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pivotTables/pivotTable1.xml" ContentType="application/vnd.openxmlformats-officedocument.spreadsheetml.pivotTable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S:\Apportionment\Apport\Federal Program Alloc\22-23\Title III Final\approved\"/>
    </mc:Choice>
  </mc:AlternateContent>
  <xr:revisionPtr revIDLastSave="0" documentId="13_ncr:1_{29F30872-7898-4EAA-AB98-1152CA2201F7}" xr6:coauthVersionLast="47" xr6:coauthVersionMax="47" xr10:uidLastSave="{00000000-0000-0000-0000-000000000000}"/>
  <bookViews>
    <workbookView xWindow="-120" yWindow="-120" windowWidth="29040" windowHeight="17640" tabRatio="783" firstSheet="2" activeTab="2" xr2:uid="{00000000-000D-0000-FFFF-FFFF00000000}"/>
  </bookViews>
  <sheets>
    <sheet name="comparison from previous" sheetId="75" state="hidden" r:id="rId1"/>
    <sheet name="districts not meeting min" sheetId="71" state="hidden" r:id="rId2"/>
    <sheet name="District" sheetId="30" r:id="rId3"/>
    <sheet name="Allocation 2022-23" sheetId="78" state="hidden" r:id="rId4"/>
    <sheet name="Assumptions" sheetId="6" state="hidden" r:id="rId5"/>
    <sheet name="ccddd 1 col" sheetId="18" state="hidden" r:id="rId6"/>
    <sheet name="Allocation 2021-22" sheetId="77" state="hidden" r:id="rId7"/>
    <sheet name="Allocation 2020-21" sheetId="76" state="hidden" r:id="rId8"/>
    <sheet name="Allocation 2019-20" sheetId="74" state="hidden" r:id="rId9"/>
    <sheet name="Allocation 2018-19" sheetId="73" state="hidden" r:id="rId10"/>
    <sheet name="Allocation 2017-18" sheetId="72" state="hidden" r:id="rId11"/>
    <sheet name="Allocation 2016-17" sheetId="70" state="hidden" r:id="rId12"/>
    <sheet name="Allocation 2015-16" sheetId="66" state="hidden" r:id="rId13"/>
    <sheet name="Allocation 2014-15" sheetId="61" state="hidden" r:id="rId14"/>
    <sheet name="Allocation 2013-14" sheetId="54" state="hidden" r:id="rId15"/>
    <sheet name="Allocation 2012-13" sheetId="49" state="hidden" r:id="rId16"/>
    <sheet name="Allocation 2011-12" sheetId="43" state="hidden" r:id="rId17"/>
    <sheet name="Late Change 2012" sheetId="53" state="hidden" r:id="rId18"/>
    <sheet name="Allocation 2011-12 Revised" sheetId="47" state="hidden" r:id="rId19"/>
    <sheet name="Allocation 2010-11" sheetId="40" state="hidden" r:id="rId20"/>
    <sheet name="iGRANTS" sheetId="20" state="hidden" r:id="rId21"/>
    <sheet name="Allocation 2009-10" sheetId="33" state="hidden" r:id="rId22"/>
    <sheet name="Allocation 2008-09" sheetId="25" state="hidden" r:id="rId23"/>
    <sheet name="Comparison" sheetId="29" state="hidden" r:id="rId24"/>
    <sheet name="Participation 2013-14" sheetId="58" state="hidden" r:id="rId25"/>
    <sheet name="Title III 15-16" sheetId="65" state="hidden" r:id="rId26"/>
    <sheet name="Title III 2013-14" sheetId="59" state="hidden" r:id="rId27"/>
    <sheet name="Title III 2012-13" sheetId="51" state="hidden" r:id="rId28"/>
    <sheet name="Title III" sheetId="26" state="hidden" r:id="rId29"/>
    <sheet name="data" sheetId="22" state="hidden" r:id="rId30"/>
    <sheet name="Enrollment_old" sheetId="16" state="hidden" r:id="rId31"/>
    <sheet name="Enrollment 22-23" sheetId="79" state="hidden" r:id="rId32"/>
    <sheet name="Enrollment" sheetId="67" state="hidden" r:id="rId33"/>
    <sheet name="Native American" sheetId="68" state="hidden" r:id="rId34"/>
    <sheet name="Native American 050714" sheetId="63" state="hidden" r:id="rId35"/>
    <sheet name="Native American Enroll 060413" sheetId="57" state="hidden" r:id="rId36"/>
    <sheet name="Native American Enroll 040213" sheetId="56" state="hidden" r:id="rId37"/>
    <sheet name="Biling Enroll 050714" sheetId="62" state="hidden" r:id="rId38"/>
    <sheet name="Biling Enroll 080613" sheetId="60" state="hidden" r:id="rId39"/>
    <sheet name="Biling Enroll 032813" sheetId="55" state="hidden" r:id="rId40"/>
    <sheet name="Helen Enrollment 050312" sheetId="50" state="hidden" r:id="rId41"/>
    <sheet name="Helen Enrollment 1112" sheetId="44" state="hidden" r:id="rId42"/>
    <sheet name="Helen Enroll 1011" sheetId="41" state="hidden" r:id="rId43"/>
    <sheet name="Helen Enroll w NatAmer" sheetId="38" state="hidden" r:id="rId44"/>
    <sheet name="Helen Enrollment Jul09" sheetId="37" state="hidden" r:id="rId45"/>
    <sheet name="Enroll Est from Helen" sheetId="34" state="hidden" r:id="rId46"/>
    <sheet name="Native Amer Enroll" sheetId="42" state="hidden" r:id="rId47"/>
    <sheet name="Participation info Aug 11" sheetId="46" state="hidden" r:id="rId48"/>
    <sheet name="2011_05_20" sheetId="45" state="hidden" r:id="rId49"/>
    <sheet name="TBIP Enroll" sheetId="69" state="hidden" r:id="rId50"/>
    <sheet name="Participation 0809" sheetId="28" state="hidden" r:id="rId51"/>
    <sheet name="Grants 0910" sheetId="36" state="hidden" r:id="rId52"/>
    <sheet name="Final 09 Immigrant Districts" sheetId="32" state="hidden" r:id="rId53"/>
    <sheet name="Grants 0809" sheetId="31" state="hidden" r:id="rId54"/>
    <sheet name="Grants Estimate 0809" sheetId="27" state="hidden" r:id="rId55"/>
    <sheet name="EI Competitive" sheetId="15" state="hidden" r:id="rId56"/>
    <sheet name="Allocation 2007-08" sheetId="17" state="hidden" r:id="rId57"/>
    <sheet name="Allocation 2006-07" sheetId="23" state="hidden" r:id="rId58"/>
    <sheet name="data 2" sheetId="24" state="hidden" r:id="rId59"/>
  </sheets>
  <externalReferences>
    <externalReference r:id="rId60"/>
    <externalReference r:id="rId61"/>
    <externalReference r:id="rId62"/>
  </externalReferences>
  <definedNames>
    <definedName name="_xlnm._FilterDatabase" localSheetId="12" hidden="1">'Allocation 2015-16'!$A$8:$AK$313</definedName>
    <definedName name="_xlnm._FilterDatabase" localSheetId="11" hidden="1">'Allocation 2016-17'!$A$8:$AK$323</definedName>
    <definedName name="_xlnm._FilterDatabase" localSheetId="10" hidden="1">'Allocation 2017-18'!$A$8:$AK$323</definedName>
    <definedName name="_xlnm._FilterDatabase" localSheetId="9" hidden="1">'Allocation 2018-19'!$A$8:$AK$322</definedName>
    <definedName name="_xlnm._FilterDatabase" localSheetId="8" hidden="1">'Allocation 2019-20'!$A$8:$AK$322</definedName>
    <definedName name="_xlnm._FilterDatabase" localSheetId="7" hidden="1">'Allocation 2020-21'!$A$8:$AK$324</definedName>
    <definedName name="_xlnm._FilterDatabase" localSheetId="6" hidden="1">'Allocation 2021-22'!$A$8:$AK$326</definedName>
    <definedName name="_xlnm._FilterDatabase" localSheetId="3" hidden="1">'Allocation 2022-23'!$A$8:$AK$326</definedName>
    <definedName name="_xlnm._FilterDatabase" localSheetId="37" hidden="1">'Biling Enroll 050714'!$A$1:$C$303</definedName>
    <definedName name="_xlnm._FilterDatabase" localSheetId="5" hidden="1">'ccddd 1 col'!$A$1:$C$318</definedName>
    <definedName name="_xlnm._FilterDatabase" localSheetId="23" hidden="1">Comparison!$A$1:$F$1</definedName>
    <definedName name="_xlnm._FilterDatabase" localSheetId="32" hidden="1">Enrollment!$A$7:$J$324</definedName>
    <definedName name="_xlnm._FilterDatabase" localSheetId="31" hidden="1">'Enrollment 22-23'!$A$7:$J$324</definedName>
    <definedName name="_xlnm._FilterDatabase" localSheetId="20" hidden="1">iGRANTS!$A$7:$O$139</definedName>
    <definedName name="_xlnm._FilterDatabase" localSheetId="47" hidden="1">'Participation info Aug 11'!$A$1:$J$297</definedName>
    <definedName name="_Key1" localSheetId="38" hidden="1">'Biling Enroll 080613'!$B$9</definedName>
    <definedName name="_Key1" localSheetId="42" hidden="1">'Helen Enroll 1011'!$B$9</definedName>
    <definedName name="_Key1" localSheetId="40" hidden="1">'Helen Enrollment 050312'!$B$9</definedName>
    <definedName name="_Key1" hidden="1">'Helen Enrollment Jul09'!$B$9</definedName>
    <definedName name="_Key2" localSheetId="38" hidden="1">'Biling Enroll 080613'!$B$9:$B$303</definedName>
    <definedName name="_Key2" localSheetId="42" hidden="1">'Helen Enroll 1011'!$B$9:$B$303</definedName>
    <definedName name="_Key2" localSheetId="40" hidden="1">'Helen Enrollment 050312'!$B$9:$B$303</definedName>
    <definedName name="_Key2" hidden="1">'Helen Enrollment Jul09'!$B$9:$B$303</definedName>
    <definedName name="_Order1" hidden="1">255</definedName>
    <definedName name="_Order2" hidden="1">255</definedName>
    <definedName name="_Sort" localSheetId="38" hidden="1">'Biling Enroll 080613'!$A$9:$Q$303</definedName>
    <definedName name="_Sort" localSheetId="42" hidden="1">'Helen Enroll 1011'!$A$9:$O$303</definedName>
    <definedName name="_Sort" localSheetId="40" hidden="1">'Helen Enrollment 050312'!$A$9:$P$303</definedName>
    <definedName name="_Sort" hidden="1">'Helen Enrollment Jul09'!$A$9:$N$303</definedName>
    <definedName name="CCDDD" localSheetId="16">#REF!</definedName>
    <definedName name="CCDDD" localSheetId="18">#REF!</definedName>
    <definedName name="CCDDD" localSheetId="15">#REF!</definedName>
    <definedName name="CCDDD" localSheetId="13">#REF!</definedName>
    <definedName name="CCDDD" localSheetId="11">#REF!</definedName>
    <definedName name="CCDDD" localSheetId="10">#REF!</definedName>
    <definedName name="CCDDD" localSheetId="9">#REF!</definedName>
    <definedName name="CCDDD" localSheetId="8">#REF!</definedName>
    <definedName name="CCDDD" localSheetId="7">#REF!</definedName>
    <definedName name="CCDDD" localSheetId="6">#REF!</definedName>
    <definedName name="CCDDD" localSheetId="3">#REF!</definedName>
    <definedName name="CCDDD" localSheetId="0">#REF!</definedName>
    <definedName name="CCDDD" localSheetId="31">#REF!</definedName>
    <definedName name="CCDDD">#REF!</definedName>
    <definedName name="CCDDD_DATA">'ccddd 1 col'!$C$1:$C$312</definedName>
    <definedName name="Census99" localSheetId="16">#REF!</definedName>
    <definedName name="Census99" localSheetId="18">#REF!</definedName>
    <definedName name="Census99" localSheetId="15">#REF!</definedName>
    <definedName name="Census99" localSheetId="13">#REF!</definedName>
    <definedName name="Census99" localSheetId="11">#REF!</definedName>
    <definedName name="Census99" localSheetId="10">#REF!</definedName>
    <definedName name="Census99" localSheetId="9">#REF!</definedName>
    <definedName name="Census99" localSheetId="8">#REF!</definedName>
    <definedName name="Census99" localSheetId="7">#REF!</definedName>
    <definedName name="Census99" localSheetId="6">#REF!</definedName>
    <definedName name="Census99" localSheetId="3">#REF!</definedName>
    <definedName name="Census99" localSheetId="0">#REF!</definedName>
    <definedName name="Census99" localSheetId="31">#REF!</definedName>
    <definedName name="Census99">#REF!</definedName>
    <definedName name="CLASS_SIZE" localSheetId="16">#REF!</definedName>
    <definedName name="CLASS_SIZE" localSheetId="18">#REF!</definedName>
    <definedName name="CLASS_SIZE" localSheetId="15">#REF!</definedName>
    <definedName name="CLASS_SIZE" localSheetId="13">#REF!</definedName>
    <definedName name="CLASS_SIZE" localSheetId="11">#REF!</definedName>
    <definedName name="CLASS_SIZE" localSheetId="10">#REF!</definedName>
    <definedName name="CLASS_SIZE" localSheetId="9">#REF!</definedName>
    <definedName name="CLASS_SIZE" localSheetId="8">#REF!</definedName>
    <definedName name="CLASS_SIZE" localSheetId="7">#REF!</definedName>
    <definedName name="CLASS_SIZE" localSheetId="6">#REF!</definedName>
    <definedName name="CLASS_SIZE" localSheetId="3">#REF!</definedName>
    <definedName name="CLASS_SIZE" localSheetId="0">#REF!</definedName>
    <definedName name="CLASS_SIZE" localSheetId="31">#REF!</definedName>
    <definedName name="CLASS_SIZE">#REF!</definedName>
    <definedName name="EISENHOWER" localSheetId="16">#REF!</definedName>
    <definedName name="EISENHOWER" localSheetId="18">#REF!</definedName>
    <definedName name="EISENHOWER" localSheetId="15">#REF!</definedName>
    <definedName name="EISENHOWER" localSheetId="13">#REF!</definedName>
    <definedName name="EISENHOWER" localSheetId="11">#REF!</definedName>
    <definedName name="EISENHOWER" localSheetId="10">#REF!</definedName>
    <definedName name="EISENHOWER" localSheetId="9">#REF!</definedName>
    <definedName name="EISENHOWER" localSheetId="8">#REF!</definedName>
    <definedName name="EISENHOWER" localSheetId="7">#REF!</definedName>
    <definedName name="EISENHOWER" localSheetId="6">#REF!</definedName>
    <definedName name="EISENHOWER" localSheetId="3">#REF!</definedName>
    <definedName name="EISENHOWER" localSheetId="0">#REF!</definedName>
    <definedName name="EISENHOWER" localSheetId="31">#REF!</definedName>
    <definedName name="EISENHOWER">#REF!</definedName>
    <definedName name="eligibles0203">'[1]02-03 Populations'!$E$9:$R$307</definedName>
    <definedName name="eligibles0304">'[1]03-04 Populations'!$B$13:$O$311</definedName>
    <definedName name="esd">'ccddd 1 col'!$B$2:$B$312</definedName>
    <definedName name="Pov_lu" localSheetId="0">#REF!</definedName>
    <definedName name="Pov_lu" localSheetId="20">#REF!</definedName>
    <definedName name="_xlnm.Print_Area" localSheetId="57">'Allocation 2006-07'!$A$1:$O$317</definedName>
    <definedName name="_xlnm.Print_Area" localSheetId="56">'Allocation 2007-08'!$A$1:$O$317</definedName>
    <definedName name="_xlnm.Print_Area" localSheetId="22">'Allocation 2008-09'!$A$1:$O$318</definedName>
    <definedName name="_xlnm.Print_Area" localSheetId="21">'Allocation 2009-10'!$A$1:$O$318</definedName>
    <definedName name="_xlnm.Print_Area" localSheetId="19">'Allocation 2010-11'!$A$1:$O$317</definedName>
    <definedName name="_xlnm.Print_Area" localSheetId="16">'Allocation 2011-12'!$A$1:$O$304</definedName>
    <definedName name="_xlnm.Print_Area" localSheetId="18">'Allocation 2011-12 Revised'!$A$1:$O$304</definedName>
    <definedName name="_xlnm.Print_Area" localSheetId="15">'Allocation 2012-13'!$A$1:$O$304</definedName>
    <definedName name="_xlnm.Print_Area" localSheetId="13">'Allocation 2014-15'!$A$1:$S$304</definedName>
    <definedName name="_xlnm.Print_Area" localSheetId="4">Assumptions!$A$1:$Q$23</definedName>
    <definedName name="_xlnm.Print_Area" localSheetId="38">'Biling Enroll 080613'!$A$9:$Q$304</definedName>
    <definedName name="_xlnm.Print_Area" localSheetId="29">data!$B$1:$G$9</definedName>
    <definedName name="_xlnm.Print_Area" localSheetId="30">Enrollment_old!$A$1:$I$303</definedName>
    <definedName name="_xlnm.Print_Area" localSheetId="42">'Helen Enroll 1011'!$A$9:$O$304</definedName>
    <definedName name="_xlnm.Print_Area" localSheetId="40">'Helen Enrollment 050312'!$A$9:$P$304</definedName>
    <definedName name="_xlnm.Print_Area" localSheetId="44">'Helen Enrollment Jul09'!$A$9:$N$304</definedName>
    <definedName name="_xlnm.Print_Titles" localSheetId="57">'Allocation 2006-07'!$B:$C,'Allocation 2006-07'!$1:$6</definedName>
    <definedName name="_xlnm.Print_Titles" localSheetId="56">'Allocation 2007-08'!$B:$C,'Allocation 2007-08'!$1:$6</definedName>
    <definedName name="_xlnm.Print_Titles" localSheetId="22">'Allocation 2008-09'!$B:$C,'Allocation 2008-09'!$1:$7</definedName>
    <definedName name="_xlnm.Print_Titles" localSheetId="21">'Allocation 2009-10'!$B:$C,'Allocation 2009-10'!$1:$7</definedName>
    <definedName name="_xlnm.Print_Titles" localSheetId="19">'Allocation 2010-11'!$B:$C,'Allocation 2010-11'!$1:$7</definedName>
    <definedName name="_xlnm.Print_Titles" localSheetId="16">'Allocation 2011-12'!$B:$C,'Allocation 2011-12'!$1:$7</definedName>
    <definedName name="_xlnm.Print_Titles" localSheetId="18">'Allocation 2011-12 Revised'!$B:$C,'Allocation 2011-12 Revised'!$1:$7</definedName>
    <definedName name="_xlnm.Print_Titles" localSheetId="15">'Allocation 2012-13'!$B:$C,'Allocation 2012-13'!$1:$7</definedName>
    <definedName name="_xlnm.Print_Titles" localSheetId="13">'Allocation 2014-15'!$A:$C,'Allocation 2014-15'!$4:$4</definedName>
    <definedName name="_xlnm.Print_Titles" localSheetId="38">'Biling Enroll 080613'!$4:$8</definedName>
    <definedName name="_xlnm.Print_Titles" localSheetId="23">Comparison!$A:$B,Comparison!$1:$1</definedName>
    <definedName name="_xlnm.Print_Titles" localSheetId="0">'comparison from previous'!$7:$7</definedName>
    <definedName name="_xlnm.Print_Titles" localSheetId="30">Enrollment_old!$3:$7</definedName>
    <definedName name="_xlnm.Print_Titles" localSheetId="42">'Helen Enroll 1011'!$4:$8</definedName>
    <definedName name="_xlnm.Print_Titles" localSheetId="40">'Helen Enrollment 050312'!$4:$8</definedName>
    <definedName name="_xlnm.Print_Titles" localSheetId="44">'Helen Enrollment Jul09'!$4:$8</definedName>
    <definedName name="_xlnm.Print_Titles" localSheetId="20">iGRANTS!$7:$7</definedName>
    <definedName name="Print_Titles_MI" localSheetId="38">'Biling Enroll 080613'!$4:$8</definedName>
    <definedName name="Print_Titles_MI" localSheetId="42">'Helen Enroll 1011'!$4:$8</definedName>
    <definedName name="Print_Titles_MI" localSheetId="40">'Helen Enrollment 050312'!$4:$8</definedName>
    <definedName name="Print_Titles_MI" localSheetId="44">'Helen Enrollment Jul09'!$4:$8</definedName>
    <definedName name="PY_Eligibles" localSheetId="16">#REF!</definedName>
    <definedName name="PY_Eligibles" localSheetId="18">#REF!</definedName>
    <definedName name="PY_Eligibles" localSheetId="15">#REF!</definedName>
    <definedName name="PY_Eligibles" localSheetId="13">#REF!</definedName>
    <definedName name="PY_Eligibles" localSheetId="11">#REF!</definedName>
    <definedName name="PY_Eligibles" localSheetId="10">#REF!</definedName>
    <definedName name="PY_Eligibles" localSheetId="9">#REF!</definedName>
    <definedName name="PY_Eligibles" localSheetId="8">#REF!</definedName>
    <definedName name="PY_Eligibles" localSheetId="7">#REF!</definedName>
    <definedName name="PY_Eligibles" localSheetId="6">#REF!</definedName>
    <definedName name="PY_Eligibles" localSheetId="3">#REF!</definedName>
    <definedName name="PY_Eligibles" localSheetId="0">#REF!</definedName>
    <definedName name="PY_Eligibles" localSheetId="31">#REF!</definedName>
    <definedName name="PY_Eligibles">#REF!</definedName>
  </definedNames>
  <calcPr calcId="191029"/>
  <pivotCaches>
    <pivotCache cacheId="0" r:id="rId6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30" l="1"/>
  <c r="K10" i="78"/>
  <c r="K11" i="78"/>
  <c r="K12" i="78"/>
  <c r="K13" i="78"/>
  <c r="K14" i="78"/>
  <c r="K15" i="78"/>
  <c r="K16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31" i="78"/>
  <c r="K32" i="78"/>
  <c r="K33" i="78"/>
  <c r="K34" i="78"/>
  <c r="K35" i="78"/>
  <c r="K36" i="78"/>
  <c r="K37" i="78"/>
  <c r="K38" i="78"/>
  <c r="K39" i="78"/>
  <c r="K40" i="78"/>
  <c r="K41" i="78"/>
  <c r="K42" i="78"/>
  <c r="K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62" i="78"/>
  <c r="K63" i="78"/>
  <c r="K64" i="78"/>
  <c r="K65" i="78"/>
  <c r="K66" i="78"/>
  <c r="K67" i="78"/>
  <c r="K68" i="78"/>
  <c r="K69" i="78"/>
  <c r="K70" i="78"/>
  <c r="K71" i="78"/>
  <c r="K72" i="78"/>
  <c r="K73" i="78"/>
  <c r="K74" i="78"/>
  <c r="K75" i="78"/>
  <c r="K76" i="78"/>
  <c r="K77" i="78"/>
  <c r="K78" i="78"/>
  <c r="K79" i="78"/>
  <c r="K80" i="78"/>
  <c r="K81" i="78"/>
  <c r="K82" i="78"/>
  <c r="K83" i="78"/>
  <c r="K84" i="78"/>
  <c r="K85" i="78"/>
  <c r="K86" i="78"/>
  <c r="K87" i="78"/>
  <c r="K88" i="78"/>
  <c r="K89" i="78"/>
  <c r="K90" i="78"/>
  <c r="K91" i="78"/>
  <c r="K92" i="78"/>
  <c r="K93" i="78"/>
  <c r="K94" i="78"/>
  <c r="K95" i="78"/>
  <c r="K96" i="78"/>
  <c r="K97" i="78"/>
  <c r="K98" i="78"/>
  <c r="K99" i="78"/>
  <c r="K100" i="78"/>
  <c r="K101" i="78"/>
  <c r="K102" i="78"/>
  <c r="K103" i="78"/>
  <c r="K104" i="78"/>
  <c r="K105" i="78"/>
  <c r="K106" i="78"/>
  <c r="K107" i="78"/>
  <c r="K108" i="78"/>
  <c r="K109" i="78"/>
  <c r="K110" i="78"/>
  <c r="K111" i="78"/>
  <c r="K112" i="78"/>
  <c r="K113" i="78"/>
  <c r="K114" i="78"/>
  <c r="K115" i="78"/>
  <c r="K116" i="78"/>
  <c r="K117" i="78"/>
  <c r="K118" i="78"/>
  <c r="K119" i="78"/>
  <c r="K120" i="78"/>
  <c r="K121" i="78"/>
  <c r="K122" i="78"/>
  <c r="K123" i="78"/>
  <c r="K124" i="78"/>
  <c r="K125" i="78"/>
  <c r="K126" i="78"/>
  <c r="K127" i="78"/>
  <c r="K128" i="78"/>
  <c r="K129" i="78"/>
  <c r="K130" i="78"/>
  <c r="K131" i="78"/>
  <c r="K132" i="78"/>
  <c r="K133" i="78"/>
  <c r="K134" i="78"/>
  <c r="K135" i="78"/>
  <c r="K136" i="78"/>
  <c r="K137" i="78"/>
  <c r="K138" i="78"/>
  <c r="K139" i="78"/>
  <c r="K140" i="78"/>
  <c r="K141" i="78"/>
  <c r="K142" i="78"/>
  <c r="K143" i="78"/>
  <c r="K144" i="78"/>
  <c r="K145" i="78"/>
  <c r="K146" i="78"/>
  <c r="K147" i="78"/>
  <c r="K148" i="78"/>
  <c r="K149" i="78"/>
  <c r="K150" i="78"/>
  <c r="K151" i="78"/>
  <c r="K152" i="78"/>
  <c r="K153" i="78"/>
  <c r="K154" i="78"/>
  <c r="K155" i="78"/>
  <c r="K156" i="78"/>
  <c r="K157" i="78"/>
  <c r="K158" i="78"/>
  <c r="K159" i="78"/>
  <c r="K160" i="78"/>
  <c r="K161" i="78"/>
  <c r="K162" i="78"/>
  <c r="K163" i="78"/>
  <c r="K164" i="78"/>
  <c r="K165" i="78"/>
  <c r="K166" i="78"/>
  <c r="K167" i="78"/>
  <c r="K168" i="78"/>
  <c r="K169" i="78"/>
  <c r="K170" i="78"/>
  <c r="K171" i="78"/>
  <c r="K172" i="78"/>
  <c r="K173" i="78"/>
  <c r="K174" i="78"/>
  <c r="K175" i="78"/>
  <c r="K176" i="78"/>
  <c r="K177" i="78"/>
  <c r="K178" i="78"/>
  <c r="K179" i="78"/>
  <c r="K180" i="78"/>
  <c r="K181" i="78"/>
  <c r="K182" i="78"/>
  <c r="K183" i="78"/>
  <c r="K184" i="78"/>
  <c r="K185" i="78"/>
  <c r="K186" i="78"/>
  <c r="K187" i="78"/>
  <c r="K188" i="78"/>
  <c r="K189" i="78"/>
  <c r="K190" i="78"/>
  <c r="K191" i="78"/>
  <c r="K192" i="78"/>
  <c r="K193" i="78"/>
  <c r="K194" i="78"/>
  <c r="K195" i="78"/>
  <c r="K196" i="78"/>
  <c r="K197" i="78"/>
  <c r="K198" i="78"/>
  <c r="K199" i="78"/>
  <c r="K200" i="78"/>
  <c r="K201" i="78"/>
  <c r="K202" i="78"/>
  <c r="K203" i="78"/>
  <c r="K204" i="78"/>
  <c r="K205" i="78"/>
  <c r="K206" i="78"/>
  <c r="K207" i="78"/>
  <c r="K208" i="78"/>
  <c r="K209" i="78"/>
  <c r="K210" i="78"/>
  <c r="K211" i="78"/>
  <c r="K212" i="78"/>
  <c r="K213" i="78"/>
  <c r="K214" i="78"/>
  <c r="K215" i="78"/>
  <c r="K216" i="78"/>
  <c r="K217" i="78"/>
  <c r="K218" i="78"/>
  <c r="K219" i="78"/>
  <c r="K220" i="78"/>
  <c r="K221" i="78"/>
  <c r="K222" i="78"/>
  <c r="K223" i="78"/>
  <c r="K224" i="78"/>
  <c r="K225" i="78"/>
  <c r="K226" i="78"/>
  <c r="K227" i="78"/>
  <c r="K228" i="78"/>
  <c r="K229" i="78"/>
  <c r="K230" i="78"/>
  <c r="K231" i="78"/>
  <c r="K232" i="78"/>
  <c r="K233" i="78"/>
  <c r="K234" i="78"/>
  <c r="K235" i="78"/>
  <c r="K236" i="78"/>
  <c r="K237" i="78"/>
  <c r="K238" i="78"/>
  <c r="K239" i="78"/>
  <c r="K240" i="78"/>
  <c r="K241" i="78"/>
  <c r="K242" i="78"/>
  <c r="K243" i="78"/>
  <c r="K244" i="78"/>
  <c r="K245" i="78"/>
  <c r="K246" i="78"/>
  <c r="K247" i="78"/>
  <c r="K248" i="78"/>
  <c r="K249" i="78"/>
  <c r="K250" i="78"/>
  <c r="K251" i="78"/>
  <c r="K252" i="78"/>
  <c r="K253" i="78"/>
  <c r="K254" i="78"/>
  <c r="K255" i="78"/>
  <c r="K256" i="78"/>
  <c r="K257" i="78"/>
  <c r="K258" i="78"/>
  <c r="K259" i="78"/>
  <c r="K260" i="78"/>
  <c r="K261" i="78"/>
  <c r="K262" i="78"/>
  <c r="K263" i="78"/>
  <c r="K264" i="78"/>
  <c r="K265" i="78"/>
  <c r="K266" i="78"/>
  <c r="K267" i="78"/>
  <c r="K268" i="78"/>
  <c r="K269" i="78"/>
  <c r="K270" i="78"/>
  <c r="K271" i="78"/>
  <c r="K272" i="78"/>
  <c r="K273" i="78"/>
  <c r="K274" i="78"/>
  <c r="K275" i="78"/>
  <c r="K276" i="78"/>
  <c r="K277" i="78"/>
  <c r="K278" i="78"/>
  <c r="K279" i="78"/>
  <c r="K280" i="78"/>
  <c r="K281" i="78"/>
  <c r="K282" i="78"/>
  <c r="K283" i="78"/>
  <c r="K284" i="78"/>
  <c r="K285" i="78"/>
  <c r="K286" i="78"/>
  <c r="K287" i="78"/>
  <c r="K288" i="78"/>
  <c r="K289" i="78"/>
  <c r="K290" i="78"/>
  <c r="K291" i="78"/>
  <c r="K292" i="78"/>
  <c r="K293" i="78"/>
  <c r="K294" i="78"/>
  <c r="K295" i="78"/>
  <c r="K296" i="78"/>
  <c r="K297" i="78"/>
  <c r="K298" i="78"/>
  <c r="K299" i="78"/>
  <c r="K300" i="78"/>
  <c r="K301" i="78"/>
  <c r="K302" i="78"/>
  <c r="K303" i="78"/>
  <c r="K304" i="78"/>
  <c r="K305" i="78"/>
  <c r="K306" i="78"/>
  <c r="K307" i="78"/>
  <c r="K308" i="78"/>
  <c r="K309" i="78"/>
  <c r="K310" i="78"/>
  <c r="K311" i="78"/>
  <c r="K312" i="78"/>
  <c r="K313" i="78"/>
  <c r="K314" i="78"/>
  <c r="K315" i="78"/>
  <c r="K316" i="78"/>
  <c r="K317" i="78"/>
  <c r="K318" i="78"/>
  <c r="K319" i="78"/>
  <c r="K320" i="78"/>
  <c r="K321" i="78"/>
  <c r="K322" i="78"/>
  <c r="K323" i="78"/>
  <c r="K324" i="78"/>
  <c r="K325" i="78"/>
  <c r="K9" i="78"/>
  <c r="W326" i="78" l="1"/>
  <c r="W7" i="78" s="1"/>
  <c r="X325" i="78"/>
  <c r="X324" i="78"/>
  <c r="X323" i="78"/>
  <c r="X322" i="78"/>
  <c r="X321" i="78"/>
  <c r="X320" i="78"/>
  <c r="X319" i="78"/>
  <c r="X318" i="78"/>
  <c r="X317" i="78"/>
  <c r="X316" i="78"/>
  <c r="X315" i="78"/>
  <c r="X314" i="78"/>
  <c r="X313" i="78"/>
  <c r="X312" i="78"/>
  <c r="X311" i="78"/>
  <c r="X310" i="78"/>
  <c r="X309" i="78"/>
  <c r="X308" i="78"/>
  <c r="X307" i="78"/>
  <c r="X306" i="78"/>
  <c r="X305" i="78"/>
  <c r="X304" i="78"/>
  <c r="X303" i="78"/>
  <c r="X302" i="78"/>
  <c r="X301" i="78"/>
  <c r="X300" i="78"/>
  <c r="X299" i="78"/>
  <c r="X298" i="78"/>
  <c r="X297" i="78"/>
  <c r="X296" i="78"/>
  <c r="X295" i="78"/>
  <c r="X294" i="78"/>
  <c r="X293" i="78"/>
  <c r="X292" i="78"/>
  <c r="X291" i="78"/>
  <c r="X290" i="78"/>
  <c r="X289" i="78"/>
  <c r="X288" i="78"/>
  <c r="X287" i="78"/>
  <c r="X286" i="78"/>
  <c r="X285" i="78"/>
  <c r="X284" i="78"/>
  <c r="X283" i="78"/>
  <c r="X282" i="78"/>
  <c r="X281" i="78"/>
  <c r="X280" i="78"/>
  <c r="X279" i="78"/>
  <c r="X278" i="78"/>
  <c r="X277" i="78"/>
  <c r="X276" i="78"/>
  <c r="X275" i="78"/>
  <c r="X274" i="78"/>
  <c r="X273" i="78"/>
  <c r="X272" i="78"/>
  <c r="X271" i="78"/>
  <c r="X270" i="78"/>
  <c r="X269" i="78"/>
  <c r="X268" i="78"/>
  <c r="X267" i="78"/>
  <c r="X266" i="78"/>
  <c r="X265" i="78"/>
  <c r="X264" i="78"/>
  <c r="X263" i="78"/>
  <c r="X262" i="78"/>
  <c r="X261" i="78"/>
  <c r="X260" i="78"/>
  <c r="X259" i="78"/>
  <c r="X258" i="78"/>
  <c r="X257" i="78"/>
  <c r="X256" i="78"/>
  <c r="X255" i="78"/>
  <c r="X254" i="78"/>
  <c r="X253" i="78"/>
  <c r="X252" i="78"/>
  <c r="X251" i="78"/>
  <c r="X250" i="78"/>
  <c r="X249" i="78"/>
  <c r="X248" i="78"/>
  <c r="X247" i="78"/>
  <c r="X246" i="78"/>
  <c r="X245" i="78"/>
  <c r="X244" i="78"/>
  <c r="X243" i="78"/>
  <c r="X242" i="78"/>
  <c r="X241" i="78"/>
  <c r="X240" i="78"/>
  <c r="X239" i="78"/>
  <c r="X238" i="78"/>
  <c r="X237" i="78"/>
  <c r="X236" i="78"/>
  <c r="X235" i="78"/>
  <c r="X234" i="78"/>
  <c r="X233" i="78"/>
  <c r="X232" i="78"/>
  <c r="X231" i="78"/>
  <c r="X230" i="78"/>
  <c r="X229" i="78"/>
  <c r="X228" i="78"/>
  <c r="X227" i="78"/>
  <c r="X226" i="78"/>
  <c r="X225" i="78"/>
  <c r="X224" i="78"/>
  <c r="X223" i="78"/>
  <c r="X222" i="78"/>
  <c r="X221" i="78"/>
  <c r="X220" i="78"/>
  <c r="X219" i="78"/>
  <c r="X218" i="78"/>
  <c r="X217" i="78"/>
  <c r="X216" i="78"/>
  <c r="X215" i="78"/>
  <c r="X214" i="78"/>
  <c r="X213" i="78"/>
  <c r="X212" i="78"/>
  <c r="X211" i="78"/>
  <c r="X210" i="78"/>
  <c r="X209" i="78"/>
  <c r="X208" i="78"/>
  <c r="X207" i="78"/>
  <c r="X206" i="78"/>
  <c r="X205" i="78"/>
  <c r="X204" i="78"/>
  <c r="X203" i="78"/>
  <c r="X202" i="78"/>
  <c r="X201" i="78"/>
  <c r="X200" i="78"/>
  <c r="X199" i="78"/>
  <c r="X198" i="78"/>
  <c r="X197" i="78"/>
  <c r="X196" i="78"/>
  <c r="X195" i="78"/>
  <c r="X194" i="78"/>
  <c r="X193" i="78"/>
  <c r="X192" i="78"/>
  <c r="X191" i="78"/>
  <c r="X190" i="78"/>
  <c r="X189" i="78"/>
  <c r="X188" i="78"/>
  <c r="X187" i="78"/>
  <c r="X186" i="78"/>
  <c r="X185" i="78"/>
  <c r="X184" i="78"/>
  <c r="X183" i="78"/>
  <c r="X182" i="78"/>
  <c r="X181" i="78"/>
  <c r="X180" i="78"/>
  <c r="X179" i="78"/>
  <c r="X178" i="78"/>
  <c r="X177" i="78"/>
  <c r="X176" i="78"/>
  <c r="X175" i="78"/>
  <c r="X174" i="78"/>
  <c r="X173" i="78"/>
  <c r="X172" i="78"/>
  <c r="X171" i="78"/>
  <c r="X170" i="78"/>
  <c r="X169" i="78"/>
  <c r="X168" i="78"/>
  <c r="X167" i="78"/>
  <c r="X166" i="78"/>
  <c r="X165" i="78"/>
  <c r="X164" i="78"/>
  <c r="X163" i="78"/>
  <c r="X162" i="78"/>
  <c r="X161" i="78"/>
  <c r="X160" i="78"/>
  <c r="X159" i="78"/>
  <c r="X158" i="78"/>
  <c r="X157" i="78"/>
  <c r="X156" i="78"/>
  <c r="X155" i="78"/>
  <c r="X154" i="78"/>
  <c r="X153" i="78"/>
  <c r="X152" i="78"/>
  <c r="X151" i="78"/>
  <c r="X150" i="78"/>
  <c r="X149" i="78"/>
  <c r="X148" i="78"/>
  <c r="X147" i="78"/>
  <c r="X146" i="78"/>
  <c r="X145" i="78"/>
  <c r="X144" i="78"/>
  <c r="X143" i="78"/>
  <c r="X142" i="78"/>
  <c r="X141" i="78"/>
  <c r="X140" i="78"/>
  <c r="X139" i="78"/>
  <c r="X138" i="78"/>
  <c r="X137" i="78"/>
  <c r="X136" i="78"/>
  <c r="X135" i="78"/>
  <c r="X134" i="78"/>
  <c r="X133" i="78"/>
  <c r="X132" i="78"/>
  <c r="X131" i="78"/>
  <c r="X130" i="78"/>
  <c r="X129" i="78"/>
  <c r="X128" i="78"/>
  <c r="X127" i="78"/>
  <c r="X126" i="78"/>
  <c r="X125" i="78"/>
  <c r="X124" i="78"/>
  <c r="X123" i="78"/>
  <c r="X122" i="78"/>
  <c r="X121" i="78"/>
  <c r="X120" i="78"/>
  <c r="X119" i="78"/>
  <c r="X118" i="78"/>
  <c r="X117" i="78"/>
  <c r="X116" i="78"/>
  <c r="X115" i="78"/>
  <c r="X114" i="78"/>
  <c r="X113" i="78"/>
  <c r="X112" i="78"/>
  <c r="X111" i="78"/>
  <c r="X110" i="78"/>
  <c r="X109" i="78"/>
  <c r="X108" i="78"/>
  <c r="X107" i="78"/>
  <c r="X106" i="78"/>
  <c r="X105" i="78"/>
  <c r="X104" i="78"/>
  <c r="X103" i="78"/>
  <c r="X102" i="78"/>
  <c r="X101" i="78"/>
  <c r="X100" i="78"/>
  <c r="X99" i="78"/>
  <c r="X98" i="78"/>
  <c r="X97" i="78"/>
  <c r="X96" i="78"/>
  <c r="X95" i="78"/>
  <c r="X94" i="78"/>
  <c r="X93" i="78"/>
  <c r="X92" i="78"/>
  <c r="X91" i="78"/>
  <c r="X90" i="78"/>
  <c r="X89" i="78"/>
  <c r="X88" i="78"/>
  <c r="X87" i="78"/>
  <c r="X86" i="78"/>
  <c r="X85" i="78"/>
  <c r="X84" i="78"/>
  <c r="X83" i="78"/>
  <c r="X82" i="78"/>
  <c r="X81" i="78"/>
  <c r="X80" i="78"/>
  <c r="X79" i="78"/>
  <c r="X78" i="78"/>
  <c r="X77" i="78"/>
  <c r="X76" i="78"/>
  <c r="X75" i="78"/>
  <c r="X74" i="78"/>
  <c r="X73" i="78"/>
  <c r="X72" i="78"/>
  <c r="X71" i="78"/>
  <c r="X70" i="78"/>
  <c r="X69" i="78"/>
  <c r="X68" i="78"/>
  <c r="X67" i="78"/>
  <c r="X66" i="78"/>
  <c r="X65" i="78"/>
  <c r="X64" i="78"/>
  <c r="X63" i="78"/>
  <c r="X62" i="78"/>
  <c r="X61" i="78"/>
  <c r="X60" i="78"/>
  <c r="X59" i="78"/>
  <c r="X58" i="78"/>
  <c r="X57" i="78"/>
  <c r="X56" i="78"/>
  <c r="X55" i="78"/>
  <c r="X54" i="78"/>
  <c r="X53" i="78"/>
  <c r="X52" i="78"/>
  <c r="X51" i="78"/>
  <c r="X50" i="78"/>
  <c r="X49" i="78"/>
  <c r="X48" i="78"/>
  <c r="X47" i="78"/>
  <c r="X46" i="78"/>
  <c r="X45" i="78"/>
  <c r="X44" i="78"/>
  <c r="X43" i="78"/>
  <c r="X42" i="78"/>
  <c r="X41" i="78"/>
  <c r="X40" i="78"/>
  <c r="X39" i="78"/>
  <c r="X38" i="78"/>
  <c r="X37" i="78"/>
  <c r="X36" i="78"/>
  <c r="X35" i="78"/>
  <c r="X34" i="78"/>
  <c r="X33" i="78"/>
  <c r="X32" i="78"/>
  <c r="X31" i="78"/>
  <c r="X30" i="78"/>
  <c r="X29" i="78"/>
  <c r="X28" i="78"/>
  <c r="X27" i="78"/>
  <c r="X26" i="78"/>
  <c r="X25" i="78"/>
  <c r="X24" i="78"/>
  <c r="X23" i="78"/>
  <c r="X22" i="78"/>
  <c r="X21" i="78"/>
  <c r="X20" i="78"/>
  <c r="X19" i="78"/>
  <c r="X18" i="78"/>
  <c r="X17" i="78"/>
  <c r="X16" i="78"/>
  <c r="X15" i="78"/>
  <c r="X14" i="78"/>
  <c r="X13" i="78"/>
  <c r="X12" i="78"/>
  <c r="X11" i="78"/>
  <c r="X10" i="78"/>
  <c r="X9" i="78"/>
  <c r="C6" i="6"/>
  <c r="C7" i="6" s="1"/>
  <c r="C10" i="6"/>
  <c r="C9" i="6" l="1"/>
  <c r="C12" i="6" s="1"/>
  <c r="C8" i="6"/>
  <c r="C14" i="6" l="1"/>
  <c r="C18" i="6" s="1"/>
  <c r="I324" i="79"/>
  <c r="D325" i="78" s="1"/>
  <c r="I323" i="79"/>
  <c r="D324" i="78" s="1"/>
  <c r="I322" i="79"/>
  <c r="D323" i="78" s="1"/>
  <c r="I321" i="79"/>
  <c r="D322" i="78" s="1"/>
  <c r="I320" i="79"/>
  <c r="D321" i="78" s="1"/>
  <c r="I319" i="79"/>
  <c r="D320" i="78" s="1"/>
  <c r="I318" i="79"/>
  <c r="D319" i="78" s="1"/>
  <c r="I317" i="79"/>
  <c r="D318" i="78" s="1"/>
  <c r="I316" i="79"/>
  <c r="D317" i="78" s="1"/>
  <c r="I315" i="79"/>
  <c r="D316" i="78" s="1"/>
  <c r="I314" i="79"/>
  <c r="D315" i="78" s="1"/>
  <c r="I313" i="79"/>
  <c r="D314" i="78" s="1"/>
  <c r="I312" i="79"/>
  <c r="D313" i="78" s="1"/>
  <c r="I311" i="79"/>
  <c r="D312" i="78" s="1"/>
  <c r="I310" i="79"/>
  <c r="D311" i="78" s="1"/>
  <c r="I309" i="79"/>
  <c r="D310" i="78" s="1"/>
  <c r="I308" i="79"/>
  <c r="D309" i="78" s="1"/>
  <c r="I307" i="79"/>
  <c r="D308" i="78" s="1"/>
  <c r="I306" i="79"/>
  <c r="D307" i="78" s="1"/>
  <c r="I305" i="79"/>
  <c r="D306" i="78" s="1"/>
  <c r="I304" i="79"/>
  <c r="D305" i="78" s="1"/>
  <c r="I303" i="79"/>
  <c r="D304" i="78" s="1"/>
  <c r="I302" i="79"/>
  <c r="D303" i="78" s="1"/>
  <c r="I301" i="79"/>
  <c r="D302" i="78" s="1"/>
  <c r="I300" i="79"/>
  <c r="D301" i="78" s="1"/>
  <c r="I299" i="79"/>
  <c r="D300" i="78" s="1"/>
  <c r="I298" i="79"/>
  <c r="D299" i="78" s="1"/>
  <c r="I297" i="79"/>
  <c r="D298" i="78" s="1"/>
  <c r="I296" i="79"/>
  <c r="D297" i="78" s="1"/>
  <c r="I295" i="79"/>
  <c r="D296" i="78" s="1"/>
  <c r="I294" i="79"/>
  <c r="D295" i="78" s="1"/>
  <c r="I293" i="79"/>
  <c r="D294" i="78" s="1"/>
  <c r="I292" i="79"/>
  <c r="D293" i="78" s="1"/>
  <c r="I291" i="79"/>
  <c r="D292" i="78" s="1"/>
  <c r="I290" i="79"/>
  <c r="D291" i="78" s="1"/>
  <c r="I289" i="79"/>
  <c r="D290" i="78" s="1"/>
  <c r="I288" i="79"/>
  <c r="D289" i="78" s="1"/>
  <c r="I287" i="79"/>
  <c r="D288" i="78" s="1"/>
  <c r="I286" i="79"/>
  <c r="D287" i="78" s="1"/>
  <c r="I285" i="79"/>
  <c r="D286" i="78" s="1"/>
  <c r="I284" i="79"/>
  <c r="D285" i="78" s="1"/>
  <c r="I283" i="79"/>
  <c r="D284" i="78" s="1"/>
  <c r="I282" i="79"/>
  <c r="D283" i="78" s="1"/>
  <c r="I281" i="79"/>
  <c r="D282" i="78" s="1"/>
  <c r="I280" i="79"/>
  <c r="D281" i="78" s="1"/>
  <c r="I279" i="79"/>
  <c r="D280" i="78" s="1"/>
  <c r="I278" i="79"/>
  <c r="D279" i="78" s="1"/>
  <c r="I277" i="79"/>
  <c r="D278" i="78" s="1"/>
  <c r="I276" i="79"/>
  <c r="D277" i="78" s="1"/>
  <c r="I275" i="79"/>
  <c r="D276" i="78" s="1"/>
  <c r="I274" i="79"/>
  <c r="D275" i="78" s="1"/>
  <c r="I273" i="79"/>
  <c r="D274" i="78" s="1"/>
  <c r="I272" i="79"/>
  <c r="D273" i="78" s="1"/>
  <c r="I271" i="79"/>
  <c r="D272" i="78" s="1"/>
  <c r="I270" i="79"/>
  <c r="D271" i="78" s="1"/>
  <c r="I269" i="79"/>
  <c r="D270" i="78" s="1"/>
  <c r="I268" i="79"/>
  <c r="D269" i="78" s="1"/>
  <c r="I267" i="79"/>
  <c r="D268" i="78" s="1"/>
  <c r="I266" i="79"/>
  <c r="D267" i="78" s="1"/>
  <c r="I265" i="79"/>
  <c r="D266" i="78" s="1"/>
  <c r="I264" i="79"/>
  <c r="D265" i="78" s="1"/>
  <c r="I263" i="79"/>
  <c r="D264" i="78" s="1"/>
  <c r="I262" i="79"/>
  <c r="D263" i="78" s="1"/>
  <c r="I261" i="79"/>
  <c r="D262" i="78" s="1"/>
  <c r="I260" i="79"/>
  <c r="D261" i="78" s="1"/>
  <c r="I259" i="79"/>
  <c r="D260" i="78" s="1"/>
  <c r="I258" i="79"/>
  <c r="D259" i="78" s="1"/>
  <c r="I257" i="79"/>
  <c r="D258" i="78" s="1"/>
  <c r="I256" i="79"/>
  <c r="D257" i="78" s="1"/>
  <c r="I255" i="79"/>
  <c r="D256" i="78" s="1"/>
  <c r="I254" i="79"/>
  <c r="D255" i="78" s="1"/>
  <c r="I253" i="79"/>
  <c r="D254" i="78" s="1"/>
  <c r="I252" i="79"/>
  <c r="D253" i="78" s="1"/>
  <c r="I251" i="79"/>
  <c r="D252" i="78" s="1"/>
  <c r="I250" i="79"/>
  <c r="D251" i="78" s="1"/>
  <c r="I249" i="79"/>
  <c r="D250" i="78" s="1"/>
  <c r="I248" i="79"/>
  <c r="D249" i="78" s="1"/>
  <c r="I247" i="79"/>
  <c r="D248" i="78" s="1"/>
  <c r="I246" i="79"/>
  <c r="D247" i="78" s="1"/>
  <c r="I245" i="79"/>
  <c r="D246" i="78" s="1"/>
  <c r="I244" i="79"/>
  <c r="D245" i="78" s="1"/>
  <c r="I243" i="79"/>
  <c r="D244" i="78" s="1"/>
  <c r="I242" i="79"/>
  <c r="D243" i="78" s="1"/>
  <c r="I241" i="79"/>
  <c r="D242" i="78" s="1"/>
  <c r="I240" i="79"/>
  <c r="D241" i="78" s="1"/>
  <c r="I239" i="79"/>
  <c r="D240" i="78" s="1"/>
  <c r="I238" i="79"/>
  <c r="D239" i="78" s="1"/>
  <c r="I237" i="79"/>
  <c r="D238" i="78" s="1"/>
  <c r="I236" i="79"/>
  <c r="D237" i="78" s="1"/>
  <c r="I235" i="79"/>
  <c r="D236" i="78" s="1"/>
  <c r="I234" i="79"/>
  <c r="D235" i="78" s="1"/>
  <c r="I233" i="79"/>
  <c r="D234" i="78" s="1"/>
  <c r="I232" i="79"/>
  <c r="D233" i="78" s="1"/>
  <c r="I231" i="79"/>
  <c r="D232" i="78" s="1"/>
  <c r="I230" i="79"/>
  <c r="D231" i="78" s="1"/>
  <c r="I229" i="79"/>
  <c r="D230" i="78" s="1"/>
  <c r="I228" i="79"/>
  <c r="D229" i="78" s="1"/>
  <c r="I227" i="79"/>
  <c r="D228" i="78" s="1"/>
  <c r="I226" i="79"/>
  <c r="D227" i="78" s="1"/>
  <c r="I225" i="79"/>
  <c r="D226" i="78" s="1"/>
  <c r="I224" i="79"/>
  <c r="D225" i="78" s="1"/>
  <c r="I223" i="79"/>
  <c r="D224" i="78" s="1"/>
  <c r="I222" i="79"/>
  <c r="D223" i="78" s="1"/>
  <c r="I221" i="79"/>
  <c r="D222" i="78" s="1"/>
  <c r="I220" i="79"/>
  <c r="D221" i="78" s="1"/>
  <c r="I219" i="79"/>
  <c r="D220" i="78" s="1"/>
  <c r="I218" i="79"/>
  <c r="D219" i="78" s="1"/>
  <c r="I217" i="79"/>
  <c r="D218" i="78" s="1"/>
  <c r="I216" i="79"/>
  <c r="D217" i="78" s="1"/>
  <c r="I215" i="79"/>
  <c r="D216" i="78" s="1"/>
  <c r="I214" i="79"/>
  <c r="D215" i="78" s="1"/>
  <c r="I213" i="79"/>
  <c r="D214" i="78" s="1"/>
  <c r="I212" i="79"/>
  <c r="D213" i="78" s="1"/>
  <c r="I211" i="79"/>
  <c r="D212" i="78" s="1"/>
  <c r="I210" i="79"/>
  <c r="D211" i="78" s="1"/>
  <c r="I209" i="79"/>
  <c r="D210" i="78" s="1"/>
  <c r="I208" i="79"/>
  <c r="D209" i="78" s="1"/>
  <c r="I207" i="79"/>
  <c r="D208" i="78" s="1"/>
  <c r="I206" i="79"/>
  <c r="D207" i="78" s="1"/>
  <c r="I205" i="79"/>
  <c r="D206" i="78" s="1"/>
  <c r="I204" i="79"/>
  <c r="D205" i="78" s="1"/>
  <c r="I203" i="79"/>
  <c r="D204" i="78" s="1"/>
  <c r="I202" i="79"/>
  <c r="D203" i="78" s="1"/>
  <c r="I201" i="79"/>
  <c r="D202" i="78" s="1"/>
  <c r="I200" i="79"/>
  <c r="D201" i="78" s="1"/>
  <c r="I199" i="79"/>
  <c r="D200" i="78" s="1"/>
  <c r="I198" i="79"/>
  <c r="D199" i="78" s="1"/>
  <c r="I197" i="79"/>
  <c r="D198" i="78" s="1"/>
  <c r="I196" i="79"/>
  <c r="D197" i="78" s="1"/>
  <c r="I195" i="79"/>
  <c r="D196" i="78" s="1"/>
  <c r="I194" i="79"/>
  <c r="D195" i="78" s="1"/>
  <c r="I193" i="79"/>
  <c r="D194" i="78" s="1"/>
  <c r="I192" i="79"/>
  <c r="D193" i="78" s="1"/>
  <c r="I191" i="79"/>
  <c r="D192" i="78" s="1"/>
  <c r="I190" i="79"/>
  <c r="D191" i="78" s="1"/>
  <c r="I189" i="79"/>
  <c r="D190" i="78" s="1"/>
  <c r="I188" i="79"/>
  <c r="D189" i="78" s="1"/>
  <c r="I187" i="79"/>
  <c r="D188" i="78" s="1"/>
  <c r="I186" i="79"/>
  <c r="D187" i="78" s="1"/>
  <c r="I185" i="79"/>
  <c r="D186" i="78" s="1"/>
  <c r="I184" i="79"/>
  <c r="D185" i="78" s="1"/>
  <c r="I183" i="79"/>
  <c r="D184" i="78" s="1"/>
  <c r="I182" i="79"/>
  <c r="D183" i="78" s="1"/>
  <c r="I181" i="79"/>
  <c r="D182" i="78" s="1"/>
  <c r="I180" i="79"/>
  <c r="D181" i="78" s="1"/>
  <c r="I179" i="79"/>
  <c r="D180" i="78" s="1"/>
  <c r="I178" i="79"/>
  <c r="D179" i="78" s="1"/>
  <c r="I177" i="79"/>
  <c r="D178" i="78" s="1"/>
  <c r="I176" i="79"/>
  <c r="D177" i="78" s="1"/>
  <c r="I175" i="79"/>
  <c r="D176" i="78" s="1"/>
  <c r="I174" i="79"/>
  <c r="D175" i="78" s="1"/>
  <c r="I173" i="79"/>
  <c r="D174" i="78" s="1"/>
  <c r="I172" i="79"/>
  <c r="D173" i="78" s="1"/>
  <c r="I171" i="79"/>
  <c r="D172" i="78" s="1"/>
  <c r="I170" i="79"/>
  <c r="D171" i="78" s="1"/>
  <c r="I169" i="79"/>
  <c r="D170" i="78" s="1"/>
  <c r="I168" i="79"/>
  <c r="D169" i="78" s="1"/>
  <c r="I167" i="79"/>
  <c r="D168" i="78" s="1"/>
  <c r="I166" i="79"/>
  <c r="D167" i="78" s="1"/>
  <c r="I165" i="79"/>
  <c r="D166" i="78" s="1"/>
  <c r="I164" i="79"/>
  <c r="D165" i="78" s="1"/>
  <c r="I163" i="79"/>
  <c r="D164" i="78" s="1"/>
  <c r="I162" i="79"/>
  <c r="D163" i="78" s="1"/>
  <c r="I161" i="79"/>
  <c r="D162" i="78" s="1"/>
  <c r="I160" i="79"/>
  <c r="D161" i="78" s="1"/>
  <c r="I159" i="79"/>
  <c r="D160" i="78" s="1"/>
  <c r="I158" i="79"/>
  <c r="D159" i="78" s="1"/>
  <c r="I157" i="79"/>
  <c r="D158" i="78" s="1"/>
  <c r="I156" i="79"/>
  <c r="D157" i="78" s="1"/>
  <c r="I155" i="79"/>
  <c r="D156" i="78" s="1"/>
  <c r="I154" i="79"/>
  <c r="D155" i="78" s="1"/>
  <c r="I153" i="79"/>
  <c r="D154" i="78" s="1"/>
  <c r="I152" i="79"/>
  <c r="D153" i="78" s="1"/>
  <c r="I151" i="79"/>
  <c r="D152" i="78" s="1"/>
  <c r="I150" i="79"/>
  <c r="D151" i="78" s="1"/>
  <c r="I149" i="79"/>
  <c r="D150" i="78" s="1"/>
  <c r="I148" i="79"/>
  <c r="D149" i="78" s="1"/>
  <c r="I147" i="79"/>
  <c r="D148" i="78" s="1"/>
  <c r="I146" i="79"/>
  <c r="D147" i="78" s="1"/>
  <c r="I145" i="79"/>
  <c r="D146" i="78" s="1"/>
  <c r="I144" i="79"/>
  <c r="D145" i="78" s="1"/>
  <c r="I143" i="79"/>
  <c r="D144" i="78" s="1"/>
  <c r="I142" i="79"/>
  <c r="D143" i="78" s="1"/>
  <c r="I141" i="79"/>
  <c r="D142" i="78" s="1"/>
  <c r="I140" i="79"/>
  <c r="D141" i="78" s="1"/>
  <c r="I139" i="79"/>
  <c r="D140" i="78" s="1"/>
  <c r="I138" i="79"/>
  <c r="D139" i="78" s="1"/>
  <c r="I137" i="79"/>
  <c r="D138" i="78" s="1"/>
  <c r="I136" i="79"/>
  <c r="D137" i="78" s="1"/>
  <c r="I135" i="79"/>
  <c r="D136" i="78" s="1"/>
  <c r="I134" i="79"/>
  <c r="D135" i="78" s="1"/>
  <c r="I133" i="79"/>
  <c r="D134" i="78" s="1"/>
  <c r="I132" i="79"/>
  <c r="D133" i="78" s="1"/>
  <c r="I131" i="79"/>
  <c r="D132" i="78" s="1"/>
  <c r="I130" i="79"/>
  <c r="D131" i="78" s="1"/>
  <c r="I129" i="79"/>
  <c r="D130" i="78" s="1"/>
  <c r="I128" i="79"/>
  <c r="D129" i="78" s="1"/>
  <c r="I127" i="79"/>
  <c r="D128" i="78" s="1"/>
  <c r="I126" i="79"/>
  <c r="D127" i="78" s="1"/>
  <c r="I125" i="79"/>
  <c r="D126" i="78" s="1"/>
  <c r="I124" i="79"/>
  <c r="D125" i="78" s="1"/>
  <c r="I123" i="79"/>
  <c r="D124" i="78" s="1"/>
  <c r="I122" i="79"/>
  <c r="D123" i="78" s="1"/>
  <c r="I121" i="79"/>
  <c r="D122" i="78" s="1"/>
  <c r="I120" i="79"/>
  <c r="D121" i="78" s="1"/>
  <c r="I119" i="79"/>
  <c r="D120" i="78" s="1"/>
  <c r="I118" i="79"/>
  <c r="D119" i="78" s="1"/>
  <c r="I117" i="79"/>
  <c r="D118" i="78" s="1"/>
  <c r="I116" i="79"/>
  <c r="D117" i="78" s="1"/>
  <c r="I115" i="79"/>
  <c r="D116" i="78" s="1"/>
  <c r="I114" i="79"/>
  <c r="D115" i="78" s="1"/>
  <c r="I113" i="79"/>
  <c r="D114" i="78" s="1"/>
  <c r="I112" i="79"/>
  <c r="D113" i="78" s="1"/>
  <c r="I111" i="79"/>
  <c r="D112" i="78" s="1"/>
  <c r="I110" i="79"/>
  <c r="D111" i="78" s="1"/>
  <c r="I109" i="79"/>
  <c r="D110" i="78" s="1"/>
  <c r="I108" i="79"/>
  <c r="D109" i="78" s="1"/>
  <c r="I107" i="79"/>
  <c r="D108" i="78" s="1"/>
  <c r="I106" i="79"/>
  <c r="D107" i="78" s="1"/>
  <c r="I105" i="79"/>
  <c r="D106" i="78" s="1"/>
  <c r="I104" i="79"/>
  <c r="D105" i="78" s="1"/>
  <c r="I103" i="79"/>
  <c r="D104" i="78" s="1"/>
  <c r="I102" i="79"/>
  <c r="D103" i="78" s="1"/>
  <c r="I101" i="79"/>
  <c r="D102" i="78" s="1"/>
  <c r="I100" i="79"/>
  <c r="D101" i="78" s="1"/>
  <c r="I99" i="79"/>
  <c r="D100" i="78" s="1"/>
  <c r="I98" i="79"/>
  <c r="D99" i="78" s="1"/>
  <c r="I97" i="79"/>
  <c r="D98" i="78" s="1"/>
  <c r="I96" i="79"/>
  <c r="D97" i="78" s="1"/>
  <c r="I95" i="79"/>
  <c r="D96" i="78" s="1"/>
  <c r="I94" i="79"/>
  <c r="D95" i="78" s="1"/>
  <c r="I93" i="79"/>
  <c r="D94" i="78" s="1"/>
  <c r="I92" i="79"/>
  <c r="D93" i="78" s="1"/>
  <c r="I91" i="79"/>
  <c r="D92" i="78" s="1"/>
  <c r="I90" i="79"/>
  <c r="D91" i="78" s="1"/>
  <c r="I89" i="79"/>
  <c r="D90" i="78" s="1"/>
  <c r="I88" i="79"/>
  <c r="D89" i="78" s="1"/>
  <c r="I87" i="79"/>
  <c r="D88" i="78" s="1"/>
  <c r="I86" i="79"/>
  <c r="D87" i="78" s="1"/>
  <c r="I85" i="79"/>
  <c r="D86" i="78" s="1"/>
  <c r="I84" i="79"/>
  <c r="D85" i="78" s="1"/>
  <c r="I83" i="79"/>
  <c r="D84" i="78" s="1"/>
  <c r="I82" i="79"/>
  <c r="D83" i="78" s="1"/>
  <c r="I81" i="79"/>
  <c r="D82" i="78" s="1"/>
  <c r="I80" i="79"/>
  <c r="D81" i="78" s="1"/>
  <c r="I79" i="79"/>
  <c r="D80" i="78" s="1"/>
  <c r="I78" i="79"/>
  <c r="D79" i="78" s="1"/>
  <c r="I77" i="79"/>
  <c r="D78" i="78" s="1"/>
  <c r="I76" i="79"/>
  <c r="D77" i="78" s="1"/>
  <c r="I75" i="79"/>
  <c r="D76" i="78" s="1"/>
  <c r="I74" i="79"/>
  <c r="D75" i="78" s="1"/>
  <c r="I73" i="79"/>
  <c r="D74" i="78" s="1"/>
  <c r="I72" i="79"/>
  <c r="D73" i="78" s="1"/>
  <c r="I71" i="79"/>
  <c r="D72" i="78" s="1"/>
  <c r="I70" i="79"/>
  <c r="D71" i="78" s="1"/>
  <c r="I69" i="79"/>
  <c r="D70" i="78" s="1"/>
  <c r="I68" i="79"/>
  <c r="D69" i="78" s="1"/>
  <c r="I67" i="79"/>
  <c r="D68" i="78" s="1"/>
  <c r="I66" i="79"/>
  <c r="D67" i="78" s="1"/>
  <c r="I65" i="79"/>
  <c r="D66" i="78" s="1"/>
  <c r="I64" i="79"/>
  <c r="D65" i="78" s="1"/>
  <c r="I63" i="79"/>
  <c r="D64" i="78" s="1"/>
  <c r="I62" i="79"/>
  <c r="D63" i="78" s="1"/>
  <c r="I61" i="79"/>
  <c r="D62" i="78" s="1"/>
  <c r="I60" i="79"/>
  <c r="D61" i="78" s="1"/>
  <c r="I59" i="79"/>
  <c r="D60" i="78" s="1"/>
  <c r="I58" i="79"/>
  <c r="D59" i="78" s="1"/>
  <c r="I57" i="79"/>
  <c r="D58" i="78" s="1"/>
  <c r="I56" i="79"/>
  <c r="D57" i="78" s="1"/>
  <c r="I55" i="79"/>
  <c r="D56" i="78" s="1"/>
  <c r="I54" i="79"/>
  <c r="D55" i="78" s="1"/>
  <c r="I53" i="79"/>
  <c r="D54" i="78" s="1"/>
  <c r="I52" i="79"/>
  <c r="D53" i="78" s="1"/>
  <c r="I51" i="79"/>
  <c r="D52" i="78" s="1"/>
  <c r="I50" i="79"/>
  <c r="D51" i="78" s="1"/>
  <c r="I49" i="79"/>
  <c r="D50" i="78" s="1"/>
  <c r="I48" i="79"/>
  <c r="D49" i="78" s="1"/>
  <c r="I47" i="79"/>
  <c r="D48" i="78" s="1"/>
  <c r="I46" i="79"/>
  <c r="D47" i="78" s="1"/>
  <c r="I45" i="79"/>
  <c r="D46" i="78" s="1"/>
  <c r="I44" i="79"/>
  <c r="D45" i="78" s="1"/>
  <c r="I43" i="79"/>
  <c r="D44" i="78" s="1"/>
  <c r="I42" i="79"/>
  <c r="D43" i="78" s="1"/>
  <c r="I41" i="79"/>
  <c r="D42" i="78" s="1"/>
  <c r="I40" i="79"/>
  <c r="D41" i="78" s="1"/>
  <c r="I39" i="79"/>
  <c r="D40" i="78" s="1"/>
  <c r="I38" i="79"/>
  <c r="D39" i="78" s="1"/>
  <c r="I37" i="79"/>
  <c r="D38" i="78" s="1"/>
  <c r="I36" i="79"/>
  <c r="D37" i="78" s="1"/>
  <c r="I35" i="79"/>
  <c r="D36" i="78" s="1"/>
  <c r="I34" i="79"/>
  <c r="D35" i="78" s="1"/>
  <c r="I33" i="79"/>
  <c r="D34" i="78" s="1"/>
  <c r="I32" i="79"/>
  <c r="D33" i="78" s="1"/>
  <c r="I31" i="79"/>
  <c r="D32" i="78" s="1"/>
  <c r="I30" i="79"/>
  <c r="D31" i="78" s="1"/>
  <c r="I29" i="79"/>
  <c r="D30" i="78" s="1"/>
  <c r="I28" i="79"/>
  <c r="D29" i="78" s="1"/>
  <c r="I27" i="79"/>
  <c r="D28" i="78" s="1"/>
  <c r="I26" i="79"/>
  <c r="D27" i="78" s="1"/>
  <c r="I25" i="79"/>
  <c r="D26" i="78" s="1"/>
  <c r="I24" i="79"/>
  <c r="D25" i="78" s="1"/>
  <c r="I23" i="79"/>
  <c r="D24" i="78" s="1"/>
  <c r="I22" i="79"/>
  <c r="D23" i="78" s="1"/>
  <c r="I21" i="79"/>
  <c r="D22" i="78" s="1"/>
  <c r="I20" i="79"/>
  <c r="D21" i="78" s="1"/>
  <c r="I19" i="79"/>
  <c r="D20" i="78" s="1"/>
  <c r="I18" i="79"/>
  <c r="D19" i="78" s="1"/>
  <c r="I17" i="79"/>
  <c r="D18" i="78" s="1"/>
  <c r="I16" i="79"/>
  <c r="D17" i="78" s="1"/>
  <c r="I15" i="79"/>
  <c r="D16" i="78" s="1"/>
  <c r="I14" i="79"/>
  <c r="D15" i="78" s="1"/>
  <c r="I13" i="79"/>
  <c r="D14" i="78" s="1"/>
  <c r="I12" i="79"/>
  <c r="D13" i="78" s="1"/>
  <c r="I11" i="79"/>
  <c r="D12" i="78" s="1"/>
  <c r="I10" i="79"/>
  <c r="D11" i="78" s="1"/>
  <c r="I9" i="79"/>
  <c r="D10" i="78" s="1"/>
  <c r="I8" i="79"/>
  <c r="D9" i="78" s="1"/>
  <c r="J7" i="79"/>
  <c r="G7" i="79"/>
  <c r="F7" i="79"/>
  <c r="E7" i="79"/>
  <c r="G326" i="78"/>
  <c r="F326" i="78"/>
  <c r="AA325" i="78"/>
  <c r="Q325" i="78"/>
  <c r="AA324" i="78"/>
  <c r="Z324" i="78"/>
  <c r="Q324" i="78"/>
  <c r="AA323" i="78"/>
  <c r="Q323" i="78"/>
  <c r="Q7" i="78" s="1"/>
  <c r="AA322" i="78"/>
  <c r="Q322" i="78"/>
  <c r="AA321" i="78"/>
  <c r="Z321" i="78"/>
  <c r="Q321" i="78"/>
  <c r="AA320" i="78"/>
  <c r="Z320" i="78"/>
  <c r="Q320" i="78"/>
  <c r="AA319" i="78"/>
  <c r="Q319" i="78"/>
  <c r="AA318" i="78"/>
  <c r="Z318" i="78"/>
  <c r="Q318" i="78"/>
  <c r="AA317" i="78"/>
  <c r="Z317" i="78"/>
  <c r="Q317" i="78"/>
  <c r="AA316" i="78"/>
  <c r="Z316" i="78"/>
  <c r="Q316" i="78"/>
  <c r="AA315" i="78"/>
  <c r="Z315" i="78"/>
  <c r="Q315" i="78"/>
  <c r="AA314" i="78"/>
  <c r="Q314" i="78"/>
  <c r="AA313" i="78"/>
  <c r="Q313" i="78"/>
  <c r="AA312" i="78"/>
  <c r="Z312" i="78"/>
  <c r="Q312" i="78"/>
  <c r="AA311" i="78"/>
  <c r="Z311" i="78"/>
  <c r="Q311" i="78"/>
  <c r="AA310" i="78"/>
  <c r="Q310" i="78"/>
  <c r="AA309" i="78"/>
  <c r="Q309" i="78"/>
  <c r="AA308" i="78"/>
  <c r="Q308" i="78"/>
  <c r="AA307" i="78"/>
  <c r="Q307" i="78"/>
  <c r="AA306" i="78"/>
  <c r="Z306" i="78"/>
  <c r="Q306" i="78"/>
  <c r="AA305" i="78"/>
  <c r="Z305" i="78"/>
  <c r="Q305" i="78"/>
  <c r="AA304" i="78"/>
  <c r="Q304" i="78"/>
  <c r="AA303" i="78"/>
  <c r="Q303" i="78"/>
  <c r="AA302" i="78"/>
  <c r="Q302" i="78"/>
  <c r="AA301" i="78"/>
  <c r="Q301" i="78"/>
  <c r="AA300" i="78"/>
  <c r="Z300" i="78"/>
  <c r="Q300" i="78"/>
  <c r="AA299" i="78"/>
  <c r="Q299" i="78"/>
  <c r="AA298" i="78"/>
  <c r="Q298" i="78"/>
  <c r="AA297" i="78"/>
  <c r="Q297" i="78"/>
  <c r="AA296" i="78"/>
  <c r="Q296" i="78"/>
  <c r="AA295" i="78"/>
  <c r="Z295" i="78"/>
  <c r="Q295" i="78"/>
  <c r="AA294" i="78"/>
  <c r="Q294" i="78"/>
  <c r="AA293" i="78"/>
  <c r="Q293" i="78"/>
  <c r="AA292" i="78"/>
  <c r="Q292" i="78"/>
  <c r="AA291" i="78"/>
  <c r="Q291" i="78"/>
  <c r="AA290" i="78"/>
  <c r="Z290" i="78"/>
  <c r="Q290" i="78"/>
  <c r="AA289" i="78"/>
  <c r="Z289" i="78"/>
  <c r="Q289" i="78"/>
  <c r="AA288" i="78"/>
  <c r="Z288" i="78"/>
  <c r="Q288" i="78"/>
  <c r="AA287" i="78"/>
  <c r="Q287" i="78"/>
  <c r="AA286" i="78"/>
  <c r="Q286" i="78"/>
  <c r="AA285" i="78"/>
  <c r="Z285" i="78"/>
  <c r="Q285" i="78"/>
  <c r="AA284" i="78"/>
  <c r="Z284" i="78"/>
  <c r="Q284" i="78"/>
  <c r="AA283" i="78"/>
  <c r="Z283" i="78"/>
  <c r="Q283" i="78"/>
  <c r="AA282" i="78"/>
  <c r="Z282" i="78"/>
  <c r="Q282" i="78"/>
  <c r="AA281" i="78"/>
  <c r="Q281" i="78"/>
  <c r="AA280" i="78"/>
  <c r="Z280" i="78"/>
  <c r="Q280" i="78"/>
  <c r="AA279" i="78"/>
  <c r="Q279" i="78"/>
  <c r="AA278" i="78"/>
  <c r="Q278" i="78"/>
  <c r="AA277" i="78"/>
  <c r="Q277" i="78"/>
  <c r="AA276" i="78"/>
  <c r="Z276" i="78"/>
  <c r="Q276" i="78"/>
  <c r="AA275" i="78"/>
  <c r="Z275" i="78"/>
  <c r="Q275" i="78"/>
  <c r="AA274" i="78"/>
  <c r="Z274" i="78"/>
  <c r="Q274" i="78"/>
  <c r="AA273" i="78"/>
  <c r="Z273" i="78"/>
  <c r="Q273" i="78"/>
  <c r="AA272" i="78"/>
  <c r="Q272" i="78"/>
  <c r="AA271" i="78"/>
  <c r="Z271" i="78"/>
  <c r="Q271" i="78"/>
  <c r="AA270" i="78"/>
  <c r="Z270" i="78"/>
  <c r="Q270" i="78"/>
  <c r="AA269" i="78"/>
  <c r="Q269" i="78"/>
  <c r="AA268" i="78"/>
  <c r="Z268" i="78"/>
  <c r="Q268" i="78"/>
  <c r="AA267" i="78"/>
  <c r="Z267" i="78"/>
  <c r="Q267" i="78"/>
  <c r="AA266" i="78"/>
  <c r="Z266" i="78"/>
  <c r="Q266" i="78"/>
  <c r="AA265" i="78"/>
  <c r="Q265" i="78"/>
  <c r="AA264" i="78"/>
  <c r="Z264" i="78"/>
  <c r="Q264" i="78"/>
  <c r="AA263" i="78"/>
  <c r="Z263" i="78"/>
  <c r="Q263" i="78"/>
  <c r="AA262" i="78"/>
  <c r="Z262" i="78"/>
  <c r="Q262" i="78"/>
  <c r="AA261" i="78"/>
  <c r="Q261" i="78"/>
  <c r="AA260" i="78"/>
  <c r="Z260" i="78"/>
  <c r="Q260" i="78"/>
  <c r="AA259" i="78"/>
  <c r="Z259" i="78"/>
  <c r="Q259" i="78"/>
  <c r="AA258" i="78"/>
  <c r="Q258" i="78"/>
  <c r="AA257" i="78"/>
  <c r="Q257" i="78"/>
  <c r="AA256" i="78"/>
  <c r="Q256" i="78"/>
  <c r="AA255" i="78"/>
  <c r="Q255" i="78"/>
  <c r="AA254" i="78"/>
  <c r="Q254" i="78"/>
  <c r="AA253" i="78"/>
  <c r="Z253" i="78"/>
  <c r="Q253" i="78"/>
  <c r="AA252" i="78"/>
  <c r="Z252" i="78"/>
  <c r="Q252" i="78"/>
  <c r="AA251" i="78"/>
  <c r="Q251" i="78"/>
  <c r="AA250" i="78"/>
  <c r="Q250" i="78"/>
  <c r="AA249" i="78"/>
  <c r="Z249" i="78"/>
  <c r="Q249" i="78"/>
  <c r="AA248" i="78"/>
  <c r="Z248" i="78"/>
  <c r="Q248" i="78"/>
  <c r="AA247" i="78"/>
  <c r="Z247" i="78"/>
  <c r="Q247" i="78"/>
  <c r="AA246" i="78"/>
  <c r="Q246" i="78"/>
  <c r="AA245" i="78"/>
  <c r="Q245" i="78"/>
  <c r="AA244" i="78"/>
  <c r="Q244" i="78"/>
  <c r="AA243" i="78"/>
  <c r="Z243" i="78"/>
  <c r="Q243" i="78"/>
  <c r="AA242" i="78"/>
  <c r="Z242" i="78"/>
  <c r="Q242" i="78"/>
  <c r="AA241" i="78"/>
  <c r="Z241" i="78"/>
  <c r="Q241" i="78"/>
  <c r="AA240" i="78"/>
  <c r="Q240" i="78"/>
  <c r="AA239" i="78"/>
  <c r="Q239" i="78"/>
  <c r="AA238" i="78"/>
  <c r="Z238" i="78"/>
  <c r="Q238" i="78"/>
  <c r="AA237" i="78"/>
  <c r="Z237" i="78"/>
  <c r="Q237" i="78"/>
  <c r="AA236" i="78"/>
  <c r="Q236" i="78"/>
  <c r="AA235" i="78"/>
  <c r="Q235" i="78"/>
  <c r="AA234" i="78"/>
  <c r="Z234" i="78"/>
  <c r="Q234" i="78"/>
  <c r="AA233" i="78"/>
  <c r="Z233" i="78"/>
  <c r="Q233" i="78"/>
  <c r="AA232" i="78"/>
  <c r="Q232" i="78"/>
  <c r="AA231" i="78"/>
  <c r="Q231" i="78"/>
  <c r="AA230" i="78"/>
  <c r="Z230" i="78"/>
  <c r="Q230" i="78"/>
  <c r="AA229" i="78"/>
  <c r="Q229" i="78"/>
  <c r="AA228" i="78"/>
  <c r="Z228" i="78"/>
  <c r="Q228" i="78"/>
  <c r="AA227" i="78"/>
  <c r="Q227" i="78"/>
  <c r="AA226" i="78"/>
  <c r="Q226" i="78"/>
  <c r="AA225" i="78"/>
  <c r="Q225" i="78"/>
  <c r="AA224" i="78"/>
  <c r="Z224" i="78"/>
  <c r="Q224" i="78"/>
  <c r="AA223" i="78"/>
  <c r="Q223" i="78"/>
  <c r="AA222" i="78"/>
  <c r="Q222" i="78"/>
  <c r="AA221" i="78"/>
  <c r="Q221" i="78"/>
  <c r="AA220" i="78"/>
  <c r="Z220" i="78"/>
  <c r="Q220" i="78"/>
  <c r="AA219" i="78"/>
  <c r="Z219" i="78"/>
  <c r="Q219" i="78"/>
  <c r="AA218" i="78"/>
  <c r="Q218" i="78"/>
  <c r="AA217" i="78"/>
  <c r="Z217" i="78"/>
  <c r="Q217" i="78"/>
  <c r="AA216" i="78"/>
  <c r="Q216" i="78"/>
  <c r="AA215" i="78"/>
  <c r="Q215" i="78"/>
  <c r="AA214" i="78"/>
  <c r="Z214" i="78"/>
  <c r="Q214" i="78"/>
  <c r="AA213" i="78"/>
  <c r="Q213" i="78"/>
  <c r="AA212" i="78"/>
  <c r="Z212" i="78"/>
  <c r="Q212" i="78"/>
  <c r="AA211" i="78"/>
  <c r="Z211" i="78"/>
  <c r="Q211" i="78"/>
  <c r="AA210" i="78"/>
  <c r="Z210" i="78"/>
  <c r="Q210" i="78"/>
  <c r="AA209" i="78"/>
  <c r="Z209" i="78"/>
  <c r="Q209" i="78"/>
  <c r="AA208" i="78"/>
  <c r="Z208" i="78"/>
  <c r="Q208" i="78"/>
  <c r="AA207" i="78"/>
  <c r="Q207" i="78"/>
  <c r="AA206" i="78"/>
  <c r="Z206" i="78"/>
  <c r="Q206" i="78"/>
  <c r="AA205" i="78"/>
  <c r="Z205" i="78"/>
  <c r="Q205" i="78"/>
  <c r="AA204" i="78"/>
  <c r="Z204" i="78"/>
  <c r="Q204" i="78"/>
  <c r="AA203" i="78"/>
  <c r="Q203" i="78"/>
  <c r="AA202" i="78"/>
  <c r="Z202" i="78"/>
  <c r="Q202" i="78"/>
  <c r="AA201" i="78"/>
  <c r="Z201" i="78"/>
  <c r="Q201" i="78"/>
  <c r="AA200" i="78"/>
  <c r="Q200" i="78"/>
  <c r="AA199" i="78"/>
  <c r="Q199" i="78"/>
  <c r="AA198" i="78"/>
  <c r="Z198" i="78"/>
  <c r="Q198" i="78"/>
  <c r="AA197" i="78"/>
  <c r="Q197" i="78"/>
  <c r="AA196" i="78"/>
  <c r="Z196" i="78"/>
  <c r="Q196" i="78"/>
  <c r="AA195" i="78"/>
  <c r="Z195" i="78"/>
  <c r="Q195" i="78"/>
  <c r="AA194" i="78"/>
  <c r="Q194" i="78"/>
  <c r="AA193" i="78"/>
  <c r="Z193" i="78"/>
  <c r="Q193" i="78"/>
  <c r="AA192" i="78"/>
  <c r="Q192" i="78"/>
  <c r="AA191" i="78"/>
  <c r="Q191" i="78"/>
  <c r="AA190" i="78"/>
  <c r="Q190" i="78"/>
  <c r="AA189" i="78"/>
  <c r="Q189" i="78"/>
  <c r="AA188" i="78"/>
  <c r="Z188" i="78"/>
  <c r="Q188" i="78"/>
  <c r="AA187" i="78"/>
  <c r="Q187" i="78"/>
  <c r="AA186" i="78"/>
  <c r="Q186" i="78"/>
  <c r="AA185" i="78"/>
  <c r="Q185" i="78"/>
  <c r="AA184" i="78"/>
  <c r="Z184" i="78"/>
  <c r="Q184" i="78"/>
  <c r="AA183" i="78"/>
  <c r="Q183" i="78"/>
  <c r="AA182" i="78"/>
  <c r="Q182" i="78"/>
  <c r="AA181" i="78"/>
  <c r="Z181" i="78"/>
  <c r="Q181" i="78"/>
  <c r="AA180" i="78"/>
  <c r="Q180" i="78"/>
  <c r="AA179" i="78"/>
  <c r="Z179" i="78"/>
  <c r="Q179" i="78"/>
  <c r="AA178" i="78"/>
  <c r="Q178" i="78"/>
  <c r="AA177" i="78"/>
  <c r="Q177" i="78"/>
  <c r="AA176" i="78"/>
  <c r="Q176" i="78"/>
  <c r="AA175" i="78"/>
  <c r="Q175" i="78"/>
  <c r="AA174" i="78"/>
  <c r="Q174" i="78"/>
  <c r="AA173" i="78"/>
  <c r="Z173" i="78"/>
  <c r="Q173" i="78"/>
  <c r="AA172" i="78"/>
  <c r="Z172" i="78"/>
  <c r="Q172" i="78"/>
  <c r="AA171" i="78"/>
  <c r="Q171" i="78"/>
  <c r="AA170" i="78"/>
  <c r="Q170" i="78"/>
  <c r="AA169" i="78"/>
  <c r="Z169" i="78"/>
  <c r="Q169" i="78"/>
  <c r="AA168" i="78"/>
  <c r="Q168" i="78"/>
  <c r="AA167" i="78"/>
  <c r="Q167" i="78"/>
  <c r="AA166" i="78"/>
  <c r="Q166" i="78"/>
  <c r="AA165" i="78"/>
  <c r="Z165" i="78"/>
  <c r="Q165" i="78"/>
  <c r="AA164" i="78"/>
  <c r="Q164" i="78"/>
  <c r="AA163" i="78"/>
  <c r="Q163" i="78"/>
  <c r="AA162" i="78"/>
  <c r="Q162" i="78"/>
  <c r="AA161" i="78"/>
  <c r="Q161" i="78"/>
  <c r="AA160" i="78"/>
  <c r="Z160" i="78"/>
  <c r="Q160" i="78"/>
  <c r="AA159" i="78"/>
  <c r="Z159" i="78"/>
  <c r="Q159" i="78"/>
  <c r="AA158" i="78"/>
  <c r="Q158" i="78"/>
  <c r="AA157" i="78"/>
  <c r="Z157" i="78"/>
  <c r="Q157" i="78"/>
  <c r="AA156" i="78"/>
  <c r="Z156" i="78"/>
  <c r="Q156" i="78"/>
  <c r="AA155" i="78"/>
  <c r="Q155" i="78"/>
  <c r="AA154" i="78"/>
  <c r="Q154" i="78"/>
  <c r="AA153" i="78"/>
  <c r="Z153" i="78"/>
  <c r="Q153" i="78"/>
  <c r="AA152" i="78"/>
  <c r="Q152" i="78"/>
  <c r="AA151" i="78"/>
  <c r="Z151" i="78"/>
  <c r="Q151" i="78"/>
  <c r="AA150" i="78"/>
  <c r="Q150" i="78"/>
  <c r="AA149" i="78"/>
  <c r="Z149" i="78"/>
  <c r="Q149" i="78"/>
  <c r="AA148" i="78"/>
  <c r="Z148" i="78"/>
  <c r="Q148" i="78"/>
  <c r="AA147" i="78"/>
  <c r="Q147" i="78"/>
  <c r="AA146" i="78"/>
  <c r="Z146" i="78"/>
  <c r="Q146" i="78"/>
  <c r="AA145" i="78"/>
  <c r="Q145" i="78"/>
  <c r="AA144" i="78"/>
  <c r="Q144" i="78"/>
  <c r="AA143" i="78"/>
  <c r="Z143" i="78"/>
  <c r="Q143" i="78"/>
  <c r="AA142" i="78"/>
  <c r="Z142" i="78"/>
  <c r="Q142" i="78"/>
  <c r="AA141" i="78"/>
  <c r="Q141" i="78"/>
  <c r="AA140" i="78"/>
  <c r="Z140" i="78"/>
  <c r="Q140" i="78"/>
  <c r="AA139" i="78"/>
  <c r="Q139" i="78"/>
  <c r="AA138" i="78"/>
  <c r="Z138" i="78"/>
  <c r="Q138" i="78"/>
  <c r="AA137" i="78"/>
  <c r="Z137" i="78"/>
  <c r="Q137" i="78"/>
  <c r="AA136" i="78"/>
  <c r="Z136" i="78"/>
  <c r="Q136" i="78"/>
  <c r="AA135" i="78"/>
  <c r="Q135" i="78"/>
  <c r="AA134" i="78"/>
  <c r="Q134" i="78"/>
  <c r="AA133" i="78"/>
  <c r="Q133" i="78"/>
  <c r="AA132" i="78"/>
  <c r="Q132" i="78"/>
  <c r="AA131" i="78"/>
  <c r="Z131" i="78"/>
  <c r="Q131" i="78"/>
  <c r="AA130" i="78"/>
  <c r="Z130" i="78"/>
  <c r="Q130" i="78"/>
  <c r="AA129" i="78"/>
  <c r="Q129" i="78"/>
  <c r="AA128" i="78"/>
  <c r="Z128" i="78"/>
  <c r="Q128" i="78"/>
  <c r="AA127" i="78"/>
  <c r="Q127" i="78"/>
  <c r="AA126" i="78"/>
  <c r="Q126" i="78"/>
  <c r="AA125" i="78"/>
  <c r="Z125" i="78"/>
  <c r="Q125" i="78"/>
  <c r="AA124" i="78"/>
  <c r="Q124" i="78"/>
  <c r="AA123" i="78"/>
  <c r="Q123" i="78"/>
  <c r="AA122" i="78"/>
  <c r="Q122" i="78"/>
  <c r="AA121" i="78"/>
  <c r="Z121" i="78"/>
  <c r="Q121" i="78"/>
  <c r="AA120" i="78"/>
  <c r="Z120" i="78"/>
  <c r="Q120" i="78"/>
  <c r="AA119" i="78"/>
  <c r="Z119" i="78"/>
  <c r="Q119" i="78"/>
  <c r="AA118" i="78"/>
  <c r="Q118" i="78"/>
  <c r="AA117" i="78"/>
  <c r="Z117" i="78"/>
  <c r="Q117" i="78"/>
  <c r="AA116" i="78"/>
  <c r="Q116" i="78"/>
  <c r="AA115" i="78"/>
  <c r="Q115" i="78"/>
  <c r="AA114" i="78"/>
  <c r="Q114" i="78"/>
  <c r="AA113" i="78"/>
  <c r="Q113" i="78"/>
  <c r="AA112" i="78"/>
  <c r="Q112" i="78"/>
  <c r="AA111" i="78"/>
  <c r="Z111" i="78"/>
  <c r="Q111" i="78"/>
  <c r="AA110" i="78"/>
  <c r="Q110" i="78"/>
  <c r="AA109" i="78"/>
  <c r="Q109" i="78"/>
  <c r="AA108" i="78"/>
  <c r="Q108" i="78"/>
  <c r="AA107" i="78"/>
  <c r="Z107" i="78"/>
  <c r="Q107" i="78"/>
  <c r="AA106" i="78"/>
  <c r="Z106" i="78"/>
  <c r="Q106" i="78"/>
  <c r="AA105" i="78"/>
  <c r="Z105" i="78"/>
  <c r="Q105" i="78"/>
  <c r="AA104" i="78"/>
  <c r="Z104" i="78"/>
  <c r="Q104" i="78"/>
  <c r="AA103" i="78"/>
  <c r="Z103" i="78"/>
  <c r="Q103" i="78"/>
  <c r="AA102" i="78"/>
  <c r="Z102" i="78"/>
  <c r="Q102" i="78"/>
  <c r="AA101" i="78"/>
  <c r="Q101" i="78"/>
  <c r="AA100" i="78"/>
  <c r="Q100" i="78"/>
  <c r="AA99" i="78"/>
  <c r="Q99" i="78"/>
  <c r="AA98" i="78"/>
  <c r="Q98" i="78"/>
  <c r="AA97" i="78"/>
  <c r="Z97" i="78"/>
  <c r="Q97" i="78"/>
  <c r="AA96" i="78"/>
  <c r="Z96" i="78"/>
  <c r="Q96" i="78"/>
  <c r="AA95" i="78"/>
  <c r="Z95" i="78"/>
  <c r="Q95" i="78"/>
  <c r="AA94" i="78"/>
  <c r="Q94" i="78"/>
  <c r="AA93" i="78"/>
  <c r="Q93" i="78"/>
  <c r="AA92" i="78"/>
  <c r="Q92" i="78"/>
  <c r="AA91" i="78"/>
  <c r="Z91" i="78"/>
  <c r="Q91" i="78"/>
  <c r="AA90" i="78"/>
  <c r="Q90" i="78"/>
  <c r="AA89" i="78"/>
  <c r="Z89" i="78"/>
  <c r="Q89" i="78"/>
  <c r="AA88" i="78"/>
  <c r="Q88" i="78"/>
  <c r="AA87" i="78"/>
  <c r="Q87" i="78"/>
  <c r="AA86" i="78"/>
  <c r="Z86" i="78"/>
  <c r="Q86" i="78"/>
  <c r="AA85" i="78"/>
  <c r="Z85" i="78"/>
  <c r="Q85" i="78"/>
  <c r="AA84" i="78"/>
  <c r="Z84" i="78"/>
  <c r="Q84" i="78"/>
  <c r="AA83" i="78"/>
  <c r="Z83" i="78"/>
  <c r="Q83" i="78"/>
  <c r="AA82" i="78"/>
  <c r="Q82" i="78"/>
  <c r="AA81" i="78"/>
  <c r="Q81" i="78"/>
  <c r="AA80" i="78"/>
  <c r="Z80" i="78"/>
  <c r="Q80" i="78"/>
  <c r="AA79" i="78"/>
  <c r="Z79" i="78"/>
  <c r="Q79" i="78"/>
  <c r="AA78" i="78"/>
  <c r="Q78" i="78"/>
  <c r="AA77" i="78"/>
  <c r="Q77" i="78"/>
  <c r="AA76" i="78"/>
  <c r="Q76" i="78"/>
  <c r="AA75" i="78"/>
  <c r="Z75" i="78"/>
  <c r="Q75" i="78"/>
  <c r="AA74" i="78"/>
  <c r="Q74" i="78"/>
  <c r="AA73" i="78"/>
  <c r="Q73" i="78"/>
  <c r="AA72" i="78"/>
  <c r="Q72" i="78"/>
  <c r="AA71" i="78"/>
  <c r="Q71" i="78"/>
  <c r="AA70" i="78"/>
  <c r="Z70" i="78"/>
  <c r="Q70" i="78"/>
  <c r="AA69" i="78"/>
  <c r="Q69" i="78"/>
  <c r="AA68" i="78"/>
  <c r="Z68" i="78"/>
  <c r="Q68" i="78"/>
  <c r="AA67" i="78"/>
  <c r="Z67" i="78"/>
  <c r="Q67" i="78"/>
  <c r="AA66" i="78"/>
  <c r="Z66" i="78"/>
  <c r="Q66" i="78"/>
  <c r="AA65" i="78"/>
  <c r="Z65" i="78"/>
  <c r="Q65" i="78"/>
  <c r="AA64" i="78"/>
  <c r="Z64" i="78"/>
  <c r="Q64" i="78"/>
  <c r="AA63" i="78"/>
  <c r="Z63" i="78"/>
  <c r="Q63" i="78"/>
  <c r="AA62" i="78"/>
  <c r="Z62" i="78"/>
  <c r="Q62" i="78"/>
  <c r="AA61" i="78"/>
  <c r="Z61" i="78"/>
  <c r="Q61" i="78"/>
  <c r="AA60" i="78"/>
  <c r="Z60" i="78"/>
  <c r="Q60" i="78"/>
  <c r="AA59" i="78"/>
  <c r="Q59" i="78"/>
  <c r="AA58" i="78"/>
  <c r="Z58" i="78"/>
  <c r="Q58" i="78"/>
  <c r="AA57" i="78"/>
  <c r="Z57" i="78"/>
  <c r="Q57" i="78"/>
  <c r="AA56" i="78"/>
  <c r="Q56" i="78"/>
  <c r="AA55" i="78"/>
  <c r="Z55" i="78"/>
  <c r="Q55" i="78"/>
  <c r="AA54" i="78"/>
  <c r="Z54" i="78"/>
  <c r="Q54" i="78"/>
  <c r="AA53" i="78"/>
  <c r="Q53" i="78"/>
  <c r="AA52" i="78"/>
  <c r="Z52" i="78"/>
  <c r="Q52" i="78"/>
  <c r="AA51" i="78"/>
  <c r="Z51" i="78"/>
  <c r="Q51" i="78"/>
  <c r="AA50" i="78"/>
  <c r="Q50" i="78"/>
  <c r="AA49" i="78"/>
  <c r="Z49" i="78"/>
  <c r="Q49" i="78"/>
  <c r="AA48" i="78"/>
  <c r="Q48" i="78"/>
  <c r="AA47" i="78"/>
  <c r="Q47" i="78"/>
  <c r="AA46" i="78"/>
  <c r="Z46" i="78"/>
  <c r="Q46" i="78"/>
  <c r="AA45" i="78"/>
  <c r="Z45" i="78"/>
  <c r="Q45" i="78"/>
  <c r="AA44" i="78"/>
  <c r="Z44" i="78"/>
  <c r="Q44" i="78"/>
  <c r="AA43" i="78"/>
  <c r="Q43" i="78"/>
  <c r="AA42" i="78"/>
  <c r="Q42" i="78"/>
  <c r="AA41" i="78"/>
  <c r="Q41" i="78"/>
  <c r="AA40" i="78"/>
  <c r="Q40" i="78"/>
  <c r="AA39" i="78"/>
  <c r="Q39" i="78"/>
  <c r="AA38" i="78"/>
  <c r="Z38" i="78"/>
  <c r="Q38" i="78"/>
  <c r="AA37" i="78"/>
  <c r="Z37" i="78"/>
  <c r="Q37" i="78"/>
  <c r="AA36" i="78"/>
  <c r="Z36" i="78"/>
  <c r="Q36" i="78"/>
  <c r="AA35" i="78"/>
  <c r="Q35" i="78"/>
  <c r="AA34" i="78"/>
  <c r="Z34" i="78"/>
  <c r="Q34" i="78"/>
  <c r="AA33" i="78"/>
  <c r="Q33" i="78"/>
  <c r="AA32" i="78"/>
  <c r="Z32" i="78"/>
  <c r="Q32" i="78"/>
  <c r="AA31" i="78"/>
  <c r="Z31" i="78"/>
  <c r="Q31" i="78"/>
  <c r="AA30" i="78"/>
  <c r="Q30" i="78"/>
  <c r="AA29" i="78"/>
  <c r="Q29" i="78"/>
  <c r="AA28" i="78"/>
  <c r="Z28" i="78"/>
  <c r="Q28" i="78"/>
  <c r="AA27" i="78"/>
  <c r="Q27" i="78"/>
  <c r="AA26" i="78"/>
  <c r="Q26" i="78"/>
  <c r="AA25" i="78"/>
  <c r="Q25" i="78"/>
  <c r="AA24" i="78"/>
  <c r="Z24" i="78"/>
  <c r="Q24" i="78"/>
  <c r="AA23" i="78"/>
  <c r="Q23" i="78"/>
  <c r="AA22" i="78"/>
  <c r="Z22" i="78"/>
  <c r="Q22" i="78"/>
  <c r="AA21" i="78"/>
  <c r="Q21" i="78"/>
  <c r="AA20" i="78"/>
  <c r="Z20" i="78"/>
  <c r="Q20" i="78"/>
  <c r="AA19" i="78"/>
  <c r="Q19" i="78"/>
  <c r="AA18" i="78"/>
  <c r="Q18" i="78"/>
  <c r="AA17" i="78"/>
  <c r="Q17" i="78"/>
  <c r="AA16" i="78"/>
  <c r="Z16" i="78"/>
  <c r="Q16" i="78"/>
  <c r="AA15" i="78"/>
  <c r="Q15" i="78"/>
  <c r="AA14" i="78"/>
  <c r="Z14" i="78"/>
  <c r="Q14" i="78"/>
  <c r="AA13" i="78"/>
  <c r="Q13" i="78"/>
  <c r="AA12" i="78"/>
  <c r="Q12" i="78"/>
  <c r="AA11" i="78"/>
  <c r="Z11" i="78"/>
  <c r="Q11" i="78"/>
  <c r="AA10" i="78"/>
  <c r="Z10" i="78"/>
  <c r="Q10" i="78"/>
  <c r="AA9" i="78"/>
  <c r="Q9" i="78"/>
  <c r="W8" i="78"/>
  <c r="G8" i="78"/>
  <c r="F8" i="78"/>
  <c r="R7" i="78"/>
  <c r="S17" i="78" s="1"/>
  <c r="G7" i="78"/>
  <c r="F7" i="78"/>
  <c r="AA1" i="78"/>
  <c r="Z1" i="78"/>
  <c r="Y1" i="78"/>
  <c r="X1" i="78"/>
  <c r="W1" i="78"/>
  <c r="V1" i="78"/>
  <c r="U1" i="78"/>
  <c r="T1" i="78"/>
  <c r="S1" i="78"/>
  <c r="R1" i="78"/>
  <c r="Q1" i="78"/>
  <c r="P1" i="78"/>
  <c r="O1" i="78"/>
  <c r="N1" i="78"/>
  <c r="M1" i="78"/>
  <c r="L1" i="78"/>
  <c r="K1" i="78"/>
  <c r="J1" i="78"/>
  <c r="I1" i="78"/>
  <c r="H1" i="78"/>
  <c r="G1" i="78"/>
  <c r="F1" i="78"/>
  <c r="E1" i="78"/>
  <c r="D1" i="78"/>
  <c r="C1" i="78"/>
  <c r="B1" i="78"/>
  <c r="O3" i="78" l="1"/>
  <c r="W3" i="78" s="1"/>
  <c r="W6" i="78" s="1"/>
  <c r="E6" i="78"/>
  <c r="I7" i="79"/>
  <c r="AA7" i="78"/>
  <c r="D8" i="78"/>
  <c r="R11" i="78"/>
  <c r="R17" i="78"/>
  <c r="Q326" i="78"/>
  <c r="Q8" i="78"/>
  <c r="S11" i="78"/>
  <c r="R325" i="78"/>
  <c r="S322" i="78"/>
  <c r="R317" i="78"/>
  <c r="S314" i="78"/>
  <c r="R309" i="78"/>
  <c r="S306" i="78"/>
  <c r="R301" i="78"/>
  <c r="S298" i="78"/>
  <c r="R293" i="78"/>
  <c r="S290" i="78"/>
  <c r="R285" i="78"/>
  <c r="R322" i="78"/>
  <c r="S319" i="78"/>
  <c r="R314" i="78"/>
  <c r="S311" i="78"/>
  <c r="R306" i="78"/>
  <c r="S303" i="78"/>
  <c r="R298" i="78"/>
  <c r="S295" i="78"/>
  <c r="R290" i="78"/>
  <c r="S287" i="78"/>
  <c r="S324" i="78"/>
  <c r="R319" i="78"/>
  <c r="S316" i="78"/>
  <c r="R311" i="78"/>
  <c r="S308" i="78"/>
  <c r="R303" i="78"/>
  <c r="S300" i="78"/>
  <c r="R295" i="78"/>
  <c r="S292" i="78"/>
  <c r="R287" i="78"/>
  <c r="S284" i="78"/>
  <c r="R324" i="78"/>
  <c r="S321" i="78"/>
  <c r="R316" i="78"/>
  <c r="S313" i="78"/>
  <c r="R308" i="78"/>
  <c r="S305" i="78"/>
  <c r="R300" i="78"/>
  <c r="S297" i="78"/>
  <c r="R292" i="78"/>
  <c r="S289" i="78"/>
  <c r="R321" i="78"/>
  <c r="S318" i="78"/>
  <c r="R313" i="78"/>
  <c r="S310" i="78"/>
  <c r="R305" i="78"/>
  <c r="S302" i="78"/>
  <c r="R297" i="78"/>
  <c r="S294" i="78"/>
  <c r="R289" i="78"/>
  <c r="S286" i="78"/>
  <c r="S325" i="78"/>
  <c r="R320" i="78"/>
  <c r="S317" i="78"/>
  <c r="R312" i="78"/>
  <c r="S309" i="78"/>
  <c r="R304" i="78"/>
  <c r="S301" i="78"/>
  <c r="R296" i="78"/>
  <c r="S293" i="78"/>
  <c r="R288" i="78"/>
  <c r="S299" i="78"/>
  <c r="R294" i="78"/>
  <c r="S280" i="78"/>
  <c r="R275" i="78"/>
  <c r="S272" i="78"/>
  <c r="R267" i="78"/>
  <c r="S264" i="78"/>
  <c r="R299" i="78"/>
  <c r="S296" i="78"/>
  <c r="R280" i="78"/>
  <c r="S277" i="78"/>
  <c r="R272" i="78"/>
  <c r="S269" i="78"/>
  <c r="S307" i="78"/>
  <c r="R302" i="78"/>
  <c r="R284" i="78"/>
  <c r="R277" i="78"/>
  <c r="S274" i="78"/>
  <c r="R269" i="78"/>
  <c r="S266" i="78"/>
  <c r="R261" i="78"/>
  <c r="S258" i="78"/>
  <c r="R307" i="78"/>
  <c r="S304" i="78"/>
  <c r="S282" i="78"/>
  <c r="S279" i="78"/>
  <c r="S315" i="78"/>
  <c r="R310" i="78"/>
  <c r="R282" i="78"/>
  <c r="R279" i="78"/>
  <c r="S276" i="78"/>
  <c r="R271" i="78"/>
  <c r="S268" i="78"/>
  <c r="R263" i="78"/>
  <c r="S260" i="78"/>
  <c r="R255" i="78"/>
  <c r="S252" i="78"/>
  <c r="R315" i="78"/>
  <c r="S312" i="78"/>
  <c r="S283" i="78"/>
  <c r="S281" i="78"/>
  <c r="R276" i="78"/>
  <c r="S273" i="78"/>
  <c r="R291" i="78"/>
  <c r="R266" i="78"/>
  <c r="S263" i="78"/>
  <c r="S259" i="78"/>
  <c r="R258" i="78"/>
  <c r="R252" i="78"/>
  <c r="S251" i="78"/>
  <c r="S248" i="78"/>
  <c r="R243" i="78"/>
  <c r="S240" i="78"/>
  <c r="R235" i="78"/>
  <c r="S320" i="78"/>
  <c r="S271" i="78"/>
  <c r="R259" i="78"/>
  <c r="R251" i="78"/>
  <c r="R248" i="78"/>
  <c r="S245" i="78"/>
  <c r="R240" i="78"/>
  <c r="S237" i="78"/>
  <c r="R232" i="78"/>
  <c r="S288" i="78"/>
  <c r="S285" i="78"/>
  <c r="R268" i="78"/>
  <c r="R260" i="78"/>
  <c r="S250" i="78"/>
  <c r="R245" i="78"/>
  <c r="S278" i="78"/>
  <c r="S270" i="78"/>
  <c r="S265" i="78"/>
  <c r="R264" i="78"/>
  <c r="R250" i="78"/>
  <c r="S247" i="78"/>
  <c r="R242" i="78"/>
  <c r="S239" i="78"/>
  <c r="R234" i="78"/>
  <c r="S231" i="78"/>
  <c r="R318" i="78"/>
  <c r="R286" i="78"/>
  <c r="R281" i="78"/>
  <c r="R278" i="78"/>
  <c r="S275" i="78"/>
  <c r="R274" i="78"/>
  <c r="R270" i="78"/>
  <c r="R265" i="78"/>
  <c r="S261" i="78"/>
  <c r="R247" i="78"/>
  <c r="S244" i="78"/>
  <c r="R239" i="78"/>
  <c r="S236" i="78"/>
  <c r="R323" i="78"/>
  <c r="S291" i="78"/>
  <c r="R283" i="78"/>
  <c r="R262" i="78"/>
  <c r="R257" i="78"/>
  <c r="R256" i="78"/>
  <c r="R253" i="78"/>
  <c r="R246" i="78"/>
  <c r="S243" i="78"/>
  <c r="R238" i="78"/>
  <c r="S235" i="78"/>
  <c r="R230" i="78"/>
  <c r="R273" i="78"/>
  <c r="R227" i="78"/>
  <c r="S224" i="78"/>
  <c r="R219" i="78"/>
  <c r="S216" i="78"/>
  <c r="R211" i="78"/>
  <c r="S208" i="78"/>
  <c r="R203" i="78"/>
  <c r="S234" i="78"/>
  <c r="S229" i="78"/>
  <c r="R224" i="78"/>
  <c r="S221" i="78"/>
  <c r="S267" i="78"/>
  <c r="S233" i="78"/>
  <c r="S230" i="78"/>
  <c r="R229" i="78"/>
  <c r="S226" i="78"/>
  <c r="R221" i="78"/>
  <c r="S218" i="78"/>
  <c r="R213" i="78"/>
  <c r="S210" i="78"/>
  <c r="S262" i="78"/>
  <c r="S249" i="78"/>
  <c r="S238" i="78"/>
  <c r="R233" i="78"/>
  <c r="R226" i="78"/>
  <c r="S223" i="78"/>
  <c r="R218" i="78"/>
  <c r="S215" i="78"/>
  <c r="R210" i="78"/>
  <c r="S323" i="78"/>
  <c r="S254" i="78"/>
  <c r="R249" i="78"/>
  <c r="R244" i="78"/>
  <c r="S242" i="78"/>
  <c r="R237" i="78"/>
  <c r="R231" i="78"/>
  <c r="S228" i="78"/>
  <c r="R223" i="78"/>
  <c r="S220" i="78"/>
  <c r="R215" i="78"/>
  <c r="S212" i="78"/>
  <c r="S227" i="78"/>
  <c r="R222" i="78"/>
  <c r="S219" i="78"/>
  <c r="R214" i="78"/>
  <c r="S211" i="78"/>
  <c r="R206" i="78"/>
  <c r="S255" i="78"/>
  <c r="S246" i="78"/>
  <c r="S214" i="78"/>
  <c r="R202" i="78"/>
  <c r="R199" i="78"/>
  <c r="S196" i="78"/>
  <c r="R191" i="78"/>
  <c r="S241" i="78"/>
  <c r="S217" i="78"/>
  <c r="S213" i="78"/>
  <c r="R208" i="78"/>
  <c r="S201" i="78"/>
  <c r="R196" i="78"/>
  <c r="S193" i="78"/>
  <c r="R188" i="78"/>
  <c r="S185" i="78"/>
  <c r="R180" i="78"/>
  <c r="S177" i="78"/>
  <c r="S256" i="78"/>
  <c r="S253" i="78"/>
  <c r="R241" i="78"/>
  <c r="R217" i="78"/>
  <c r="R201" i="78"/>
  <c r="S225" i="78"/>
  <c r="R220" i="78"/>
  <c r="R212" i="78"/>
  <c r="S205" i="78"/>
  <c r="R198" i="78"/>
  <c r="S195" i="78"/>
  <c r="R190" i="78"/>
  <c r="S187" i="78"/>
  <c r="S257" i="78"/>
  <c r="S232" i="78"/>
  <c r="R225" i="78"/>
  <c r="S222" i="78"/>
  <c r="R216" i="78"/>
  <c r="S206" i="78"/>
  <c r="R205" i="78"/>
  <c r="S200" i="78"/>
  <c r="R195" i="78"/>
  <c r="S192" i="78"/>
  <c r="R187" i="78"/>
  <c r="S184" i="78"/>
  <c r="R179" i="78"/>
  <c r="S176" i="78"/>
  <c r="R254" i="78"/>
  <c r="R228" i="78"/>
  <c r="S207" i="78"/>
  <c r="R236" i="78"/>
  <c r="S209" i="78"/>
  <c r="R207" i="78"/>
  <c r="R204" i="78"/>
  <c r="R197" i="78"/>
  <c r="S194" i="78"/>
  <c r="R189" i="78"/>
  <c r="R209" i="78"/>
  <c r="S203" i="78"/>
  <c r="S202" i="78"/>
  <c r="S199" i="78"/>
  <c r="R194" i="78"/>
  <c r="S191" i="78"/>
  <c r="R186" i="78"/>
  <c r="S186" i="78"/>
  <c r="R178" i="78"/>
  <c r="S171" i="78"/>
  <c r="R166" i="78"/>
  <c r="S163" i="78"/>
  <c r="R158" i="78"/>
  <c r="S155" i="78"/>
  <c r="R193" i="78"/>
  <c r="R192" i="78"/>
  <c r="S190" i="78"/>
  <c r="S182" i="78"/>
  <c r="S181" i="78"/>
  <c r="S179" i="78"/>
  <c r="R171" i="78"/>
  <c r="S168" i="78"/>
  <c r="R163" i="78"/>
  <c r="S160" i="78"/>
  <c r="R155" i="78"/>
  <c r="S152" i="78"/>
  <c r="R147" i="78"/>
  <c r="S144" i="78"/>
  <c r="S189" i="78"/>
  <c r="S183" i="78"/>
  <c r="R182" i="78"/>
  <c r="R181" i="78"/>
  <c r="S180" i="78"/>
  <c r="R168" i="78"/>
  <c r="S165" i="78"/>
  <c r="R160" i="78"/>
  <c r="S157" i="78"/>
  <c r="R152" i="78"/>
  <c r="S149" i="78"/>
  <c r="R144" i="78"/>
  <c r="S198" i="78"/>
  <c r="S197" i="78"/>
  <c r="R185" i="78"/>
  <c r="R183" i="78"/>
  <c r="S174" i="78"/>
  <c r="S173" i="78"/>
  <c r="S170" i="78"/>
  <c r="R165" i="78"/>
  <c r="S162" i="78"/>
  <c r="R157" i="78"/>
  <c r="S154" i="78"/>
  <c r="R149" i="78"/>
  <c r="S146" i="78"/>
  <c r="S188" i="78"/>
  <c r="S175" i="78"/>
  <c r="R174" i="78"/>
  <c r="R173" i="78"/>
  <c r="R170" i="78"/>
  <c r="S167" i="78"/>
  <c r="R162" i="78"/>
  <c r="S159" i="78"/>
  <c r="R154" i="78"/>
  <c r="S151" i="78"/>
  <c r="R146" i="78"/>
  <c r="S143" i="78"/>
  <c r="R138" i="78"/>
  <c r="S135" i="78"/>
  <c r="R130" i="78"/>
  <c r="S127" i="78"/>
  <c r="R122" i="78"/>
  <c r="S119" i="78"/>
  <c r="R175" i="78"/>
  <c r="S172" i="78"/>
  <c r="R167" i="78"/>
  <c r="S164" i="78"/>
  <c r="R159" i="78"/>
  <c r="S204" i="78"/>
  <c r="R200" i="78"/>
  <c r="R184" i="78"/>
  <c r="R176" i="78"/>
  <c r="R172" i="78"/>
  <c r="S169" i="78"/>
  <c r="R164" i="78"/>
  <c r="S178" i="78"/>
  <c r="R177" i="78"/>
  <c r="R169" i="78"/>
  <c r="S166" i="78"/>
  <c r="R161" i="78"/>
  <c r="S158" i="78"/>
  <c r="R153" i="78"/>
  <c r="S150" i="78"/>
  <c r="R145" i="78"/>
  <c r="S142" i="78"/>
  <c r="R137" i="78"/>
  <c r="S134" i="78"/>
  <c r="S148" i="78"/>
  <c r="S141" i="78"/>
  <c r="S132" i="78"/>
  <c r="S131" i="78"/>
  <c r="S123" i="78"/>
  <c r="R116" i="78"/>
  <c r="S113" i="78"/>
  <c r="R108" i="78"/>
  <c r="S156" i="78"/>
  <c r="R148" i="78"/>
  <c r="R141" i="78"/>
  <c r="S133" i="78"/>
  <c r="R132" i="78"/>
  <c r="R131" i="78"/>
  <c r="S130" i="78"/>
  <c r="S129" i="78"/>
  <c r="R123" i="78"/>
  <c r="R113" i="78"/>
  <c r="S110" i="78"/>
  <c r="R105" i="78"/>
  <c r="R156" i="78"/>
  <c r="R143" i="78"/>
  <c r="R133" i="78"/>
  <c r="R129" i="78"/>
  <c r="S128" i="78"/>
  <c r="S122" i="78"/>
  <c r="S121" i="78"/>
  <c r="S115" i="78"/>
  <c r="S153" i="78"/>
  <c r="S147" i="78"/>
  <c r="R134" i="78"/>
  <c r="R128" i="78"/>
  <c r="R121" i="78"/>
  <c r="S120" i="78"/>
  <c r="R115" i="78"/>
  <c r="S161" i="78"/>
  <c r="R151" i="78"/>
  <c r="S136" i="78"/>
  <c r="R135" i="78"/>
  <c r="R127" i="78"/>
  <c r="S126" i="78"/>
  <c r="R120" i="78"/>
  <c r="R112" i="78"/>
  <c r="S109" i="78"/>
  <c r="R104" i="78"/>
  <c r="S101" i="78"/>
  <c r="R96" i="78"/>
  <c r="S93" i="78"/>
  <c r="R88" i="78"/>
  <c r="S85" i="78"/>
  <c r="R80" i="78"/>
  <c r="S77" i="78"/>
  <c r="R72" i="78"/>
  <c r="S69" i="78"/>
  <c r="R142" i="78"/>
  <c r="R136" i="78"/>
  <c r="R126" i="78"/>
  <c r="S125" i="78"/>
  <c r="R119" i="78"/>
  <c r="S118" i="78"/>
  <c r="S114" i="78"/>
  <c r="R109" i="78"/>
  <c r="S106" i="78"/>
  <c r="R101" i="78"/>
  <c r="R150" i="78"/>
  <c r="S140" i="78"/>
  <c r="S139" i="78"/>
  <c r="S137" i="78"/>
  <c r="S145" i="78"/>
  <c r="R140" i="78"/>
  <c r="R139" i="78"/>
  <c r="S138" i="78"/>
  <c r="R124" i="78"/>
  <c r="R117" i="78"/>
  <c r="S116" i="78"/>
  <c r="R111" i="78"/>
  <c r="S108" i="78"/>
  <c r="R103" i="78"/>
  <c r="S100" i="78"/>
  <c r="R95" i="78"/>
  <c r="S92" i="78"/>
  <c r="S124" i="78"/>
  <c r="S117" i="78"/>
  <c r="S105" i="78"/>
  <c r="S103" i="78"/>
  <c r="R100" i="78"/>
  <c r="S91" i="78"/>
  <c r="R90" i="78"/>
  <c r="R89" i="78"/>
  <c r="S88" i="78"/>
  <c r="R87" i="78"/>
  <c r="S86" i="78"/>
  <c r="S80" i="78"/>
  <c r="S79" i="78"/>
  <c r="R73" i="78"/>
  <c r="S65" i="78"/>
  <c r="R60" i="78"/>
  <c r="R91" i="78"/>
  <c r="R86" i="78"/>
  <c r="R79" i="78"/>
  <c r="S78" i="78"/>
  <c r="S72" i="78"/>
  <c r="S71" i="78"/>
  <c r="R65" i="78"/>
  <c r="S62" i="78"/>
  <c r="R57" i="78"/>
  <c r="S54" i="78"/>
  <c r="R49" i="78"/>
  <c r="R125" i="78"/>
  <c r="R118" i="78"/>
  <c r="S107" i="78"/>
  <c r="R92" i="78"/>
  <c r="R85" i="78"/>
  <c r="S84" i="78"/>
  <c r="R78" i="78"/>
  <c r="R71" i="78"/>
  <c r="S70" i="78"/>
  <c r="R62" i="78"/>
  <c r="S59" i="78"/>
  <c r="R54" i="78"/>
  <c r="R114" i="78"/>
  <c r="R107" i="78"/>
  <c r="S94" i="78"/>
  <c r="R93" i="78"/>
  <c r="R84" i="78"/>
  <c r="S83" i="78"/>
  <c r="R77" i="78"/>
  <c r="S76" i="78"/>
  <c r="R70" i="78"/>
  <c r="S64" i="78"/>
  <c r="R59" i="78"/>
  <c r="S56" i="78"/>
  <c r="R51" i="78"/>
  <c r="S48" i="78"/>
  <c r="R43" i="78"/>
  <c r="S40" i="78"/>
  <c r="S112" i="78"/>
  <c r="S102" i="78"/>
  <c r="R94" i="78"/>
  <c r="R83" i="78"/>
  <c r="S82" i="78"/>
  <c r="R76" i="78"/>
  <c r="S75" i="78"/>
  <c r="R69" i="78"/>
  <c r="S68" i="78"/>
  <c r="R64" i="78"/>
  <c r="S61" i="78"/>
  <c r="R56" i="78"/>
  <c r="S53" i="78"/>
  <c r="R48" i="78"/>
  <c r="S45" i="78"/>
  <c r="R40" i="78"/>
  <c r="S37" i="78"/>
  <c r="R32" i="78"/>
  <c r="S29" i="78"/>
  <c r="R24" i="78"/>
  <c r="S21" i="78"/>
  <c r="R16" i="78"/>
  <c r="S13" i="78"/>
  <c r="S111" i="78"/>
  <c r="R106" i="78"/>
  <c r="S104" i="78"/>
  <c r="R102" i="78"/>
  <c r="S98" i="78"/>
  <c r="S97" i="78"/>
  <c r="S95" i="78"/>
  <c r="R82" i="78"/>
  <c r="R75" i="78"/>
  <c r="S74" i="78"/>
  <c r="R68" i="78"/>
  <c r="S67" i="78"/>
  <c r="R61" i="78"/>
  <c r="S58" i="78"/>
  <c r="S99" i="78"/>
  <c r="R98" i="78"/>
  <c r="R110" i="78"/>
  <c r="R99" i="78"/>
  <c r="S90" i="78"/>
  <c r="S89" i="78"/>
  <c r="S87" i="78"/>
  <c r="R81" i="78"/>
  <c r="S73" i="78"/>
  <c r="R66" i="78"/>
  <c r="R63" i="78"/>
  <c r="S60" i="78"/>
  <c r="R55" i="78"/>
  <c r="S52" i="78"/>
  <c r="R47" i="78"/>
  <c r="S44" i="78"/>
  <c r="S96" i="78"/>
  <c r="R53" i="78"/>
  <c r="S50" i="78"/>
  <c r="R46" i="78"/>
  <c r="S43" i="78"/>
  <c r="S33" i="78"/>
  <c r="R26" i="78"/>
  <c r="S63" i="78"/>
  <c r="R50" i="78"/>
  <c r="R33" i="78"/>
  <c r="S25" i="78"/>
  <c r="R18" i="78"/>
  <c r="R97" i="78"/>
  <c r="S41" i="78"/>
  <c r="S32" i="78"/>
  <c r="S31" i="78"/>
  <c r="R52" i="78"/>
  <c r="R44" i="78"/>
  <c r="R41" i="78"/>
  <c r="R31" i="78"/>
  <c r="S30" i="78"/>
  <c r="S24" i="78"/>
  <c r="S23" i="78"/>
  <c r="S66" i="78"/>
  <c r="S47" i="78"/>
  <c r="S42" i="78"/>
  <c r="S36" i="78"/>
  <c r="R30" i="78"/>
  <c r="R23" i="78"/>
  <c r="S22" i="78"/>
  <c r="S16" i="78"/>
  <c r="S15" i="78"/>
  <c r="S10" i="78"/>
  <c r="S38" i="78"/>
  <c r="R37" i="78"/>
  <c r="R36" i="78"/>
  <c r="S35" i="78"/>
  <c r="R15" i="78"/>
  <c r="S51" i="78"/>
  <c r="S49" i="78"/>
  <c r="R45" i="78"/>
  <c r="R42" i="78"/>
  <c r="R29" i="78"/>
  <c r="S28" i="78"/>
  <c r="R22" i="78"/>
  <c r="S14" i="78"/>
  <c r="R10" i="78"/>
  <c r="S81" i="78"/>
  <c r="R67" i="78"/>
  <c r="S39" i="78"/>
  <c r="R38" i="78"/>
  <c r="R35" i="78"/>
  <c r="S34" i="78"/>
  <c r="R28" i="78"/>
  <c r="S27" i="78"/>
  <c r="R21" i="78"/>
  <c r="S20" i="78"/>
  <c r="R14" i="78"/>
  <c r="R74" i="78"/>
  <c r="R58" i="78"/>
  <c r="S57" i="78"/>
  <c r="S55" i="78"/>
  <c r="S46" i="78"/>
  <c r="R39" i="78"/>
  <c r="R34" i="78"/>
  <c r="R27" i="78"/>
  <c r="S26" i="78"/>
  <c r="R20" i="78"/>
  <c r="S19" i="78"/>
  <c r="R13" i="78"/>
  <c r="S12" i="78"/>
  <c r="S9" i="78"/>
  <c r="R19" i="78"/>
  <c r="S18" i="78"/>
  <c r="R9" i="78"/>
  <c r="X326" i="78"/>
  <c r="X7" i="78"/>
  <c r="R12" i="78"/>
  <c r="R25" i="78"/>
  <c r="D326" i="78"/>
  <c r="D7" i="78" s="1"/>
  <c r="D10" i="6"/>
  <c r="D6" i="6"/>
  <c r="D7" i="6" s="1"/>
  <c r="I311" i="78" l="1"/>
  <c r="I321" i="78"/>
  <c r="I276" i="78"/>
  <c r="I250" i="78"/>
  <c r="I149" i="78"/>
  <c r="I300" i="78"/>
  <c r="I286" i="78"/>
  <c r="I199" i="78"/>
  <c r="I325" i="78"/>
  <c r="I313" i="78"/>
  <c r="I322" i="78"/>
  <c r="I294" i="78"/>
  <c r="I264" i="78"/>
  <c r="I254" i="78"/>
  <c r="I231" i="78"/>
  <c r="I216" i="78"/>
  <c r="I187" i="78"/>
  <c r="I142" i="78"/>
  <c r="I139" i="78"/>
  <c r="I61" i="78"/>
  <c r="I59" i="78"/>
  <c r="I40" i="78"/>
  <c r="I310" i="78"/>
  <c r="I239" i="78"/>
  <c r="I148" i="78"/>
  <c r="I290" i="78"/>
  <c r="I298" i="78"/>
  <c r="I258" i="78"/>
  <c r="I192" i="78"/>
  <c r="I51" i="78"/>
  <c r="I95" i="78"/>
  <c r="I126" i="78"/>
  <c r="I214" i="78"/>
  <c r="I162" i="78"/>
  <c r="I157" i="78"/>
  <c r="I124" i="78"/>
  <c r="I44" i="78"/>
  <c r="I170" i="78"/>
  <c r="I262" i="78"/>
  <c r="I284" i="78"/>
  <c r="I223" i="78"/>
  <c r="I37" i="78"/>
  <c r="I237" i="78"/>
  <c r="I166" i="78"/>
  <c r="I101" i="78"/>
  <c r="I226" i="78"/>
  <c r="I303" i="78"/>
  <c r="I146" i="78"/>
  <c r="I79" i="78"/>
  <c r="I252" i="78"/>
  <c r="I306" i="78"/>
  <c r="I212" i="78"/>
  <c r="I200" i="78"/>
  <c r="I176" i="78"/>
  <c r="I116" i="78"/>
  <c r="I93" i="78"/>
  <c r="I75" i="78"/>
  <c r="I132" i="78"/>
  <c r="I308" i="78"/>
  <c r="I289" i="78"/>
  <c r="I280" i="78"/>
  <c r="I266" i="78"/>
  <c r="I82" i="78"/>
  <c r="I251" i="78"/>
  <c r="I314" i="78"/>
  <c r="I295" i="78"/>
  <c r="I243" i="78"/>
  <c r="I255" i="78"/>
  <c r="I271" i="78"/>
  <c r="I228" i="78"/>
  <c r="I205" i="78"/>
  <c r="I150" i="78"/>
  <c r="I18" i="78"/>
  <c r="I175" i="78"/>
  <c r="I143" i="78"/>
  <c r="I159" i="78"/>
  <c r="I83" i="78"/>
  <c r="I113" i="78"/>
  <c r="I68" i="78"/>
  <c r="I29" i="78"/>
  <c r="I21" i="78"/>
  <c r="I190" i="78"/>
  <c r="I167" i="78"/>
  <c r="I137" i="78"/>
  <c r="I104" i="78"/>
  <c r="I98" i="78"/>
  <c r="I122" i="78"/>
  <c r="I108" i="78"/>
  <c r="I105" i="78"/>
  <c r="I96" i="78"/>
  <c r="I27" i="78"/>
  <c r="I272" i="78"/>
  <c r="I234" i="78"/>
  <c r="I207" i="78"/>
  <c r="I184" i="78"/>
  <c r="I195" i="78"/>
  <c r="I133" i="78"/>
  <c r="I92" i="78"/>
  <c r="I109" i="78"/>
  <c r="I74" i="78"/>
  <c r="I56" i="78"/>
  <c r="I64" i="78"/>
  <c r="I66" i="78"/>
  <c r="I287" i="78"/>
  <c r="I302" i="78"/>
  <c r="I274" i="78"/>
  <c r="I305" i="78"/>
  <c r="I210" i="78"/>
  <c r="I218" i="78"/>
  <c r="I204" i="78"/>
  <c r="I173" i="78"/>
  <c r="I134" i="78"/>
  <c r="I127" i="78"/>
  <c r="I123" i="78"/>
  <c r="I129" i="78"/>
  <c r="I77" i="78"/>
  <c r="I130" i="78"/>
  <c r="I76" i="78"/>
  <c r="I58" i="78"/>
  <c r="I97" i="78"/>
  <c r="I53" i="78"/>
  <c r="I39" i="78"/>
  <c r="I268" i="78"/>
  <c r="I245" i="78"/>
  <c r="I247" i="78"/>
  <c r="I224" i="78"/>
  <c r="I211" i="78"/>
  <c r="I208" i="78"/>
  <c r="I191" i="78"/>
  <c r="I158" i="78"/>
  <c r="I135" i="78"/>
  <c r="I154" i="78"/>
  <c r="I100" i="78"/>
  <c r="I85" i="78"/>
  <c r="I118" i="78"/>
  <c r="I114" i="78"/>
  <c r="I60" i="78"/>
  <c r="I45" i="78"/>
  <c r="I33" i="78"/>
  <c r="I25" i="78"/>
  <c r="I165" i="78"/>
  <c r="I52" i="78"/>
  <c r="I9" i="78"/>
  <c r="I319" i="78"/>
  <c r="I317" i="78"/>
  <c r="I309" i="78"/>
  <c r="I301" i="78"/>
  <c r="I293" i="78"/>
  <c r="I312" i="78"/>
  <c r="I323" i="78"/>
  <c r="I7" i="78" s="1"/>
  <c r="I291" i="78"/>
  <c r="I283" i="78"/>
  <c r="I277" i="78"/>
  <c r="I269" i="78"/>
  <c r="I320" i="78"/>
  <c r="I288" i="78"/>
  <c r="I299" i="78"/>
  <c r="I282" i="78"/>
  <c r="I296" i="78"/>
  <c r="I285" i="78"/>
  <c r="I307" i="78"/>
  <c r="I281" i="78"/>
  <c r="I273" i="78"/>
  <c r="I265" i="78"/>
  <c r="I248" i="78"/>
  <c r="I240" i="78"/>
  <c r="I261" i="78"/>
  <c r="I267" i="78"/>
  <c r="I315" i="78"/>
  <c r="I257" i="78"/>
  <c r="I244" i="78"/>
  <c r="I236" i="78"/>
  <c r="I304" i="78"/>
  <c r="I275" i="78"/>
  <c r="I270" i="78"/>
  <c r="I256" i="78"/>
  <c r="I246" i="78"/>
  <c r="I230" i="78"/>
  <c r="I259" i="78"/>
  <c r="I241" i="78"/>
  <c r="I229" i="78"/>
  <c r="I221" i="78"/>
  <c r="I232" i="78"/>
  <c r="I263" i="78"/>
  <c r="I253" i="78"/>
  <c r="I238" i="78"/>
  <c r="I227" i="78"/>
  <c r="I219" i="78"/>
  <c r="I196" i="78"/>
  <c r="I278" i="78"/>
  <c r="I249" i="78"/>
  <c r="I201" i="78"/>
  <c r="I193" i="78"/>
  <c r="I185" i="78"/>
  <c r="I177" i="78"/>
  <c r="I209" i="78"/>
  <c r="I206" i="78"/>
  <c r="I217" i="78"/>
  <c r="I213" i="78"/>
  <c r="I225" i="78"/>
  <c r="I202" i="78"/>
  <c r="I194" i="78"/>
  <c r="I233" i="78"/>
  <c r="I222" i="78"/>
  <c r="I182" i="78"/>
  <c r="I180" i="78"/>
  <c r="I171" i="78"/>
  <c r="I163" i="78"/>
  <c r="I155" i="78"/>
  <c r="I183" i="78"/>
  <c r="I168" i="78"/>
  <c r="I160" i="78"/>
  <c r="I152" i="78"/>
  <c r="I144" i="78"/>
  <c r="I174" i="78"/>
  <c r="I186" i="78"/>
  <c r="I178" i="78"/>
  <c r="I172" i="78"/>
  <c r="I164" i="78"/>
  <c r="I198" i="78"/>
  <c r="I197" i="78"/>
  <c r="I189" i="78"/>
  <c r="I169" i="78"/>
  <c r="I188" i="78"/>
  <c r="I181" i="78"/>
  <c r="I128" i="78"/>
  <c r="I121" i="78"/>
  <c r="I110" i="78"/>
  <c r="I145" i="78"/>
  <c r="I136" i="78"/>
  <c r="I120" i="78"/>
  <c r="I156" i="78"/>
  <c r="I140" i="78"/>
  <c r="I138" i="78"/>
  <c r="I125" i="78"/>
  <c r="I161" i="78"/>
  <c r="I153" i="78"/>
  <c r="I141" i="78"/>
  <c r="I131" i="78"/>
  <c r="I147" i="78"/>
  <c r="I112" i="78"/>
  <c r="I78" i="78"/>
  <c r="I72" i="78"/>
  <c r="I71" i="78"/>
  <c r="I65" i="78"/>
  <c r="I111" i="78"/>
  <c r="I102" i="78"/>
  <c r="I94" i="78"/>
  <c r="I84" i="78"/>
  <c r="I70" i="78"/>
  <c r="I62" i="78"/>
  <c r="I54" i="78"/>
  <c r="I117" i="78"/>
  <c r="I103" i="78"/>
  <c r="I99" i="78"/>
  <c r="I67" i="78"/>
  <c r="I115" i="78"/>
  <c r="I107" i="78"/>
  <c r="I91" i="78"/>
  <c r="I86" i="78"/>
  <c r="I80" i="78"/>
  <c r="I55" i="78"/>
  <c r="I49" i="78"/>
  <c r="I31" i="78"/>
  <c r="I17" i="78"/>
  <c r="I90" i="78"/>
  <c r="I57" i="78"/>
  <c r="I42" i="78"/>
  <c r="I30" i="78"/>
  <c r="I63" i="78"/>
  <c r="I36" i="78"/>
  <c r="I22" i="78"/>
  <c r="I38" i="78"/>
  <c r="I14" i="78"/>
  <c r="I35" i="78"/>
  <c r="I87" i="78"/>
  <c r="I50" i="78"/>
  <c r="I46" i="78"/>
  <c r="I43" i="78"/>
  <c r="I88" i="78"/>
  <c r="I73" i="78"/>
  <c r="I41" i="78"/>
  <c r="I11" i="78"/>
  <c r="I23" i="78"/>
  <c r="I16" i="78"/>
  <c r="I15" i="78"/>
  <c r="I24" i="78"/>
  <c r="I10" i="78"/>
  <c r="I316" i="78"/>
  <c r="I318" i="78"/>
  <c r="I324" i="78"/>
  <c r="I292" i="78"/>
  <c r="I297" i="78"/>
  <c r="I279" i="78"/>
  <c r="I260" i="78"/>
  <c r="I242" i="78"/>
  <c r="I215" i="78"/>
  <c r="I235" i="78"/>
  <c r="I220" i="78"/>
  <c r="I203" i="78"/>
  <c r="I179" i="78"/>
  <c r="I151" i="78"/>
  <c r="I106" i="78"/>
  <c r="I69" i="78"/>
  <c r="I119" i="78"/>
  <c r="I81" i="78"/>
  <c r="I89" i="78"/>
  <c r="I48" i="78"/>
  <c r="I47" i="78"/>
  <c r="I19" i="78"/>
  <c r="I13" i="78"/>
  <c r="I28" i="78"/>
  <c r="I26" i="78"/>
  <c r="R8" i="78"/>
  <c r="I20" i="78"/>
  <c r="I34" i="78"/>
  <c r="I12" i="78"/>
  <c r="I32" i="78"/>
  <c r="D9" i="6"/>
  <c r="D8" i="6"/>
  <c r="D181" i="67"/>
  <c r="I326" i="78" l="1"/>
  <c r="I8" i="78"/>
  <c r="D14" i="6"/>
  <c r="D18" i="6" s="1"/>
  <c r="D12" i="6"/>
  <c r="F82" i="67"/>
  <c r="I6" i="20" l="1"/>
  <c r="F324" i="67" l="1"/>
  <c r="F323" i="67"/>
  <c r="F322" i="67"/>
  <c r="F321" i="67"/>
  <c r="F320" i="67"/>
  <c r="F319" i="67"/>
  <c r="F318" i="67"/>
  <c r="F317" i="67"/>
  <c r="F316" i="67"/>
  <c r="F315" i="67"/>
  <c r="F314" i="67"/>
  <c r="F313" i="67"/>
  <c r="F312" i="67"/>
  <c r="F311" i="67"/>
  <c r="F310" i="67"/>
  <c r="F309" i="67"/>
  <c r="F308" i="67"/>
  <c r="F307" i="67"/>
  <c r="F306" i="67"/>
  <c r="F305" i="67"/>
  <c r="F304" i="67"/>
  <c r="F303" i="67"/>
  <c r="F302" i="67"/>
  <c r="F301" i="67"/>
  <c r="F300" i="67"/>
  <c r="F299" i="67"/>
  <c r="F298" i="67"/>
  <c r="F297" i="67"/>
  <c r="F296" i="67"/>
  <c r="F295" i="67"/>
  <c r="F294" i="67"/>
  <c r="F293" i="67"/>
  <c r="F292" i="67"/>
  <c r="F291" i="67"/>
  <c r="F290" i="67"/>
  <c r="F289" i="67"/>
  <c r="F288" i="67"/>
  <c r="F287" i="67"/>
  <c r="F286" i="67"/>
  <c r="F285" i="67"/>
  <c r="F284" i="67"/>
  <c r="F283" i="67"/>
  <c r="F282" i="67"/>
  <c r="F281" i="67"/>
  <c r="F280" i="67"/>
  <c r="F279" i="67"/>
  <c r="F278" i="67"/>
  <c r="F277" i="67"/>
  <c r="F276" i="67"/>
  <c r="F275" i="67"/>
  <c r="F274" i="67"/>
  <c r="F273" i="67"/>
  <c r="F272" i="67"/>
  <c r="F271" i="67"/>
  <c r="F270" i="67"/>
  <c r="F269" i="67"/>
  <c r="F268" i="67"/>
  <c r="F267" i="67"/>
  <c r="F266" i="67"/>
  <c r="F265" i="67"/>
  <c r="F264" i="67"/>
  <c r="F263" i="67"/>
  <c r="F262" i="67"/>
  <c r="F261" i="67"/>
  <c r="F260" i="67"/>
  <c r="F259" i="67"/>
  <c r="F258" i="67"/>
  <c r="F257" i="67"/>
  <c r="F256" i="67"/>
  <c r="F255" i="67"/>
  <c r="F254" i="67"/>
  <c r="F253" i="67"/>
  <c r="F252" i="67"/>
  <c r="F251" i="67"/>
  <c r="F250" i="67"/>
  <c r="F249" i="67"/>
  <c r="F248" i="67"/>
  <c r="F247" i="67"/>
  <c r="F246" i="67"/>
  <c r="F245" i="67"/>
  <c r="F244" i="67"/>
  <c r="F243" i="67"/>
  <c r="F242" i="67"/>
  <c r="F241" i="67"/>
  <c r="F240" i="67"/>
  <c r="F239" i="67"/>
  <c r="F238" i="67"/>
  <c r="F237" i="67"/>
  <c r="F236" i="67"/>
  <c r="F235" i="67"/>
  <c r="F234" i="67"/>
  <c r="F233" i="67"/>
  <c r="F232" i="67"/>
  <c r="F231" i="67"/>
  <c r="F230" i="67"/>
  <c r="F229" i="67"/>
  <c r="F228" i="67"/>
  <c r="F227" i="67"/>
  <c r="F226" i="67"/>
  <c r="F225" i="67"/>
  <c r="F224" i="67"/>
  <c r="F223" i="67"/>
  <c r="F222" i="67"/>
  <c r="F221" i="67"/>
  <c r="F220" i="67"/>
  <c r="F219" i="67"/>
  <c r="F218" i="67"/>
  <c r="F217" i="67"/>
  <c r="F216" i="67"/>
  <c r="F215" i="67"/>
  <c r="F214" i="67"/>
  <c r="F213" i="67"/>
  <c r="F212" i="67"/>
  <c r="F211" i="67"/>
  <c r="F210" i="67"/>
  <c r="F209" i="67"/>
  <c r="F208" i="67"/>
  <c r="F207" i="67"/>
  <c r="F206" i="67"/>
  <c r="F205" i="67"/>
  <c r="F204" i="67"/>
  <c r="F203" i="67"/>
  <c r="F202" i="67"/>
  <c r="F201" i="67"/>
  <c r="F200" i="67"/>
  <c r="F199" i="67"/>
  <c r="F198" i="67"/>
  <c r="F197" i="67"/>
  <c r="F196" i="67"/>
  <c r="F195" i="67"/>
  <c r="F194" i="67"/>
  <c r="F193" i="67"/>
  <c r="F192" i="67"/>
  <c r="F191" i="67"/>
  <c r="F190" i="67"/>
  <c r="F189" i="67"/>
  <c r="F188" i="67"/>
  <c r="F187" i="67"/>
  <c r="F186" i="67"/>
  <c r="F185" i="67"/>
  <c r="F184" i="67"/>
  <c r="F183" i="67"/>
  <c r="F182" i="67"/>
  <c r="F181" i="67"/>
  <c r="F180" i="67"/>
  <c r="F179" i="67"/>
  <c r="F178" i="67"/>
  <c r="F177" i="67"/>
  <c r="F176" i="67"/>
  <c r="F175" i="67"/>
  <c r="F174" i="67"/>
  <c r="F173" i="67"/>
  <c r="F172" i="67"/>
  <c r="F171" i="67"/>
  <c r="F170" i="67"/>
  <c r="F169" i="67"/>
  <c r="F168" i="67"/>
  <c r="F167" i="67"/>
  <c r="F166" i="67"/>
  <c r="F165" i="67"/>
  <c r="F164" i="67"/>
  <c r="F163" i="67"/>
  <c r="F162" i="67"/>
  <c r="F161" i="67"/>
  <c r="F160" i="67"/>
  <c r="F159" i="67"/>
  <c r="F158" i="67"/>
  <c r="F157" i="67"/>
  <c r="F156" i="67"/>
  <c r="F155" i="67"/>
  <c r="F154" i="67"/>
  <c r="F153" i="67"/>
  <c r="F152" i="67"/>
  <c r="F151" i="67"/>
  <c r="F150" i="67"/>
  <c r="F149" i="67"/>
  <c r="F148" i="67"/>
  <c r="F147" i="67"/>
  <c r="F146" i="67"/>
  <c r="F145" i="67"/>
  <c r="F144" i="67"/>
  <c r="F143" i="67"/>
  <c r="F142" i="67"/>
  <c r="F141" i="67"/>
  <c r="F140" i="67"/>
  <c r="F139" i="67"/>
  <c r="F138" i="67"/>
  <c r="F137" i="67"/>
  <c r="F136" i="67"/>
  <c r="F135" i="67"/>
  <c r="F134" i="67"/>
  <c r="F133" i="67"/>
  <c r="F132" i="67"/>
  <c r="F131" i="67"/>
  <c r="F130" i="67"/>
  <c r="F129" i="67"/>
  <c r="F128" i="67"/>
  <c r="F127" i="67"/>
  <c r="F126" i="67"/>
  <c r="F125" i="67"/>
  <c r="F124" i="67"/>
  <c r="F123" i="67"/>
  <c r="F122" i="67"/>
  <c r="F121" i="67"/>
  <c r="F120" i="67"/>
  <c r="F119" i="67"/>
  <c r="F118" i="67"/>
  <c r="F117" i="67"/>
  <c r="F116" i="67"/>
  <c r="F115" i="67"/>
  <c r="F114" i="67"/>
  <c r="F113" i="67"/>
  <c r="F112" i="67"/>
  <c r="F111" i="67"/>
  <c r="F110" i="67"/>
  <c r="F109" i="67"/>
  <c r="F108" i="67"/>
  <c r="F107" i="67"/>
  <c r="F106" i="67"/>
  <c r="F105" i="67"/>
  <c r="F104" i="67"/>
  <c r="F103" i="67"/>
  <c r="F102" i="67"/>
  <c r="F101" i="67"/>
  <c r="F100" i="67"/>
  <c r="F99" i="67"/>
  <c r="F98" i="67"/>
  <c r="F97" i="67"/>
  <c r="F96" i="67"/>
  <c r="F95" i="67"/>
  <c r="F94" i="67"/>
  <c r="F93" i="67"/>
  <c r="F92" i="67"/>
  <c r="F91" i="67"/>
  <c r="F90" i="67"/>
  <c r="F89" i="67"/>
  <c r="F88" i="67"/>
  <c r="F87" i="67"/>
  <c r="F86" i="67"/>
  <c r="F85" i="67"/>
  <c r="F84" i="67"/>
  <c r="F83" i="67"/>
  <c r="F81" i="67"/>
  <c r="F80" i="67"/>
  <c r="F79" i="67"/>
  <c r="F78" i="67"/>
  <c r="F77" i="67"/>
  <c r="F76" i="67"/>
  <c r="F75" i="67"/>
  <c r="F74" i="67"/>
  <c r="F73" i="67"/>
  <c r="F72" i="67"/>
  <c r="F71" i="67"/>
  <c r="F70" i="67"/>
  <c r="F69" i="67"/>
  <c r="F68" i="67"/>
  <c r="F67" i="67"/>
  <c r="F66" i="67"/>
  <c r="F65" i="67"/>
  <c r="F64" i="67"/>
  <c r="F63" i="67"/>
  <c r="F62" i="67"/>
  <c r="F61" i="67"/>
  <c r="F60" i="67"/>
  <c r="F59" i="67"/>
  <c r="F58" i="67"/>
  <c r="F57" i="67"/>
  <c r="F56" i="67"/>
  <c r="F55" i="67"/>
  <c r="F54" i="67"/>
  <c r="F53" i="67"/>
  <c r="F52" i="67"/>
  <c r="F51" i="67"/>
  <c r="F50" i="67"/>
  <c r="F49" i="67"/>
  <c r="F48" i="67"/>
  <c r="F47" i="67"/>
  <c r="F46" i="67"/>
  <c r="F45" i="67"/>
  <c r="F44" i="67"/>
  <c r="F43" i="67"/>
  <c r="F42" i="67"/>
  <c r="F41" i="67"/>
  <c r="F40" i="67"/>
  <c r="F39" i="67"/>
  <c r="F38" i="67"/>
  <c r="F37" i="67"/>
  <c r="F36" i="67"/>
  <c r="F35" i="67"/>
  <c r="F34" i="67"/>
  <c r="F33" i="67"/>
  <c r="F32" i="67"/>
  <c r="F31" i="67"/>
  <c r="F30" i="67"/>
  <c r="F29" i="67"/>
  <c r="F28" i="67"/>
  <c r="F27" i="67"/>
  <c r="F26" i="67"/>
  <c r="F25" i="67"/>
  <c r="F24" i="67"/>
  <c r="F23" i="67"/>
  <c r="F22" i="67"/>
  <c r="F21" i="67"/>
  <c r="F20" i="67"/>
  <c r="F19" i="67"/>
  <c r="F18" i="67"/>
  <c r="F17" i="67"/>
  <c r="F16" i="67"/>
  <c r="F15" i="67"/>
  <c r="F14" i="67"/>
  <c r="F13" i="67"/>
  <c r="F12" i="67"/>
  <c r="F11" i="67"/>
  <c r="F10" i="67"/>
  <c r="F9" i="67"/>
  <c r="D324" i="67"/>
  <c r="D323" i="67"/>
  <c r="D322" i="67"/>
  <c r="D321" i="67"/>
  <c r="D320" i="67"/>
  <c r="D319" i="67"/>
  <c r="D318" i="67"/>
  <c r="D317" i="67"/>
  <c r="D316" i="67"/>
  <c r="D315" i="67"/>
  <c r="D314" i="67"/>
  <c r="D313" i="67"/>
  <c r="D312" i="67"/>
  <c r="D311" i="67"/>
  <c r="D310" i="67"/>
  <c r="D309" i="67"/>
  <c r="D308" i="67"/>
  <c r="D307" i="67"/>
  <c r="D306" i="67"/>
  <c r="D305" i="67"/>
  <c r="D304" i="67"/>
  <c r="D303" i="67"/>
  <c r="D302" i="67"/>
  <c r="D301" i="67"/>
  <c r="D300" i="67"/>
  <c r="D299" i="67"/>
  <c r="D298" i="67"/>
  <c r="D297" i="67"/>
  <c r="D296" i="67"/>
  <c r="D295" i="67"/>
  <c r="D294" i="67"/>
  <c r="D293" i="67"/>
  <c r="D292" i="67"/>
  <c r="D291" i="67"/>
  <c r="D290" i="67"/>
  <c r="D289" i="67"/>
  <c r="D288" i="67"/>
  <c r="D287" i="67"/>
  <c r="D286" i="67"/>
  <c r="D285" i="67"/>
  <c r="D284" i="67"/>
  <c r="D283" i="67"/>
  <c r="D282" i="67"/>
  <c r="D281" i="67"/>
  <c r="D280" i="67"/>
  <c r="D279" i="67"/>
  <c r="D278" i="67"/>
  <c r="D277" i="67"/>
  <c r="D276" i="67"/>
  <c r="D275" i="67"/>
  <c r="D274" i="67"/>
  <c r="D273" i="67"/>
  <c r="D272" i="67"/>
  <c r="D271" i="67"/>
  <c r="D270" i="67"/>
  <c r="D269" i="67"/>
  <c r="D268" i="67"/>
  <c r="D267" i="67"/>
  <c r="D266" i="67"/>
  <c r="D265" i="67"/>
  <c r="D264" i="67"/>
  <c r="D263" i="67"/>
  <c r="D262" i="67"/>
  <c r="D261" i="67"/>
  <c r="D260" i="67"/>
  <c r="D259" i="67"/>
  <c r="D258" i="67"/>
  <c r="D257" i="67"/>
  <c r="D256" i="67"/>
  <c r="D255" i="67"/>
  <c r="D254" i="67"/>
  <c r="D253" i="67"/>
  <c r="D252" i="67"/>
  <c r="D251" i="67"/>
  <c r="D250" i="67"/>
  <c r="D249" i="67"/>
  <c r="D248" i="67"/>
  <c r="D247" i="67"/>
  <c r="D246" i="67"/>
  <c r="D245" i="67"/>
  <c r="D244" i="67"/>
  <c r="D243" i="67"/>
  <c r="D242" i="67"/>
  <c r="D241" i="67"/>
  <c r="D240" i="67"/>
  <c r="D239" i="67"/>
  <c r="D238" i="67"/>
  <c r="D237" i="67"/>
  <c r="D236" i="67"/>
  <c r="D235" i="67"/>
  <c r="D234" i="67"/>
  <c r="D233" i="67"/>
  <c r="D232" i="67"/>
  <c r="D231" i="67"/>
  <c r="D230" i="67"/>
  <c r="D229" i="67"/>
  <c r="D228" i="67"/>
  <c r="D227" i="67"/>
  <c r="D226" i="67"/>
  <c r="D225" i="67"/>
  <c r="D224" i="67"/>
  <c r="D223" i="67"/>
  <c r="D222" i="67"/>
  <c r="D221" i="67"/>
  <c r="D220" i="67"/>
  <c r="D219" i="67"/>
  <c r="D218" i="67"/>
  <c r="D217" i="67"/>
  <c r="D216" i="67"/>
  <c r="D215" i="67"/>
  <c r="D214" i="67"/>
  <c r="D213" i="67"/>
  <c r="D212" i="67"/>
  <c r="D211" i="67"/>
  <c r="D210" i="67"/>
  <c r="D209" i="67"/>
  <c r="D208" i="67"/>
  <c r="D207" i="67"/>
  <c r="D206" i="67"/>
  <c r="D205" i="67"/>
  <c r="D204" i="67"/>
  <c r="D203" i="67"/>
  <c r="D202" i="67"/>
  <c r="D201" i="67"/>
  <c r="D200" i="67"/>
  <c r="D199" i="67"/>
  <c r="D198" i="67"/>
  <c r="D197" i="67"/>
  <c r="D196" i="67"/>
  <c r="D195" i="67"/>
  <c r="D194" i="67"/>
  <c r="D193" i="67"/>
  <c r="D192" i="67"/>
  <c r="D191" i="67"/>
  <c r="D190" i="67"/>
  <c r="D189" i="67"/>
  <c r="D188" i="67"/>
  <c r="D187" i="67"/>
  <c r="D186" i="67"/>
  <c r="D185" i="67"/>
  <c r="D184" i="67"/>
  <c r="D183" i="67"/>
  <c r="D182" i="67"/>
  <c r="D180" i="67"/>
  <c r="D179" i="67"/>
  <c r="D178" i="67"/>
  <c r="D177" i="67"/>
  <c r="D176" i="67"/>
  <c r="D175" i="67"/>
  <c r="D174" i="67"/>
  <c r="D173" i="67"/>
  <c r="D172" i="67"/>
  <c r="D171" i="67"/>
  <c r="D170" i="67"/>
  <c r="D169" i="67"/>
  <c r="D168" i="67"/>
  <c r="D167" i="67"/>
  <c r="D166" i="67"/>
  <c r="D165" i="67"/>
  <c r="D164" i="67"/>
  <c r="D163" i="67"/>
  <c r="D162" i="67"/>
  <c r="D161" i="67"/>
  <c r="D160" i="67"/>
  <c r="D159" i="67"/>
  <c r="D158" i="67"/>
  <c r="D157" i="67"/>
  <c r="D156" i="67"/>
  <c r="D155" i="67"/>
  <c r="D154" i="67"/>
  <c r="D153" i="67"/>
  <c r="D152" i="67"/>
  <c r="D151" i="67"/>
  <c r="D150" i="67"/>
  <c r="D149" i="67"/>
  <c r="D148" i="67"/>
  <c r="D147" i="67"/>
  <c r="D146" i="67"/>
  <c r="D145" i="67"/>
  <c r="D144" i="67"/>
  <c r="D143" i="67"/>
  <c r="D142" i="67"/>
  <c r="D141" i="67"/>
  <c r="D140" i="67"/>
  <c r="D139" i="67"/>
  <c r="D138" i="67"/>
  <c r="D137" i="67"/>
  <c r="D136" i="67"/>
  <c r="D135" i="67"/>
  <c r="D134" i="67"/>
  <c r="D133" i="67"/>
  <c r="D132" i="67"/>
  <c r="D131" i="67"/>
  <c r="D130" i="67"/>
  <c r="D129" i="67"/>
  <c r="D128" i="67"/>
  <c r="D127" i="67"/>
  <c r="D126" i="67"/>
  <c r="D125" i="67"/>
  <c r="D124" i="67"/>
  <c r="D123" i="67"/>
  <c r="D122" i="67"/>
  <c r="D121" i="67"/>
  <c r="D120" i="67"/>
  <c r="D119" i="67"/>
  <c r="D118" i="67"/>
  <c r="D117" i="67"/>
  <c r="D116" i="67"/>
  <c r="D115" i="67"/>
  <c r="D114" i="67"/>
  <c r="D113" i="67"/>
  <c r="D112" i="67"/>
  <c r="D111" i="67"/>
  <c r="D110" i="67"/>
  <c r="D109" i="67"/>
  <c r="D108" i="67"/>
  <c r="D107" i="67"/>
  <c r="D106" i="67"/>
  <c r="D105" i="67"/>
  <c r="D104" i="67"/>
  <c r="D103" i="67"/>
  <c r="D102" i="67"/>
  <c r="D101" i="67"/>
  <c r="D100" i="67"/>
  <c r="D99" i="67"/>
  <c r="D98" i="67"/>
  <c r="D97" i="67"/>
  <c r="D96" i="67"/>
  <c r="D95" i="67"/>
  <c r="D94" i="67"/>
  <c r="D93" i="67"/>
  <c r="D92" i="67"/>
  <c r="D91" i="67"/>
  <c r="D90" i="67"/>
  <c r="D89" i="67"/>
  <c r="D88" i="67"/>
  <c r="D87" i="67"/>
  <c r="D86" i="67"/>
  <c r="D85" i="67"/>
  <c r="D84" i="67"/>
  <c r="D83" i="67"/>
  <c r="D82" i="67"/>
  <c r="D81" i="67"/>
  <c r="D80" i="67"/>
  <c r="D79" i="67"/>
  <c r="D78" i="67"/>
  <c r="D77" i="67"/>
  <c r="D76" i="67"/>
  <c r="D75" i="67"/>
  <c r="D74" i="67"/>
  <c r="D73" i="67"/>
  <c r="D72" i="67"/>
  <c r="D71" i="67"/>
  <c r="D70" i="67"/>
  <c r="D69" i="67"/>
  <c r="D68" i="67"/>
  <c r="D67" i="67"/>
  <c r="D66" i="67"/>
  <c r="D65" i="67"/>
  <c r="D64" i="67"/>
  <c r="D63" i="67"/>
  <c r="D62" i="67"/>
  <c r="D61" i="67"/>
  <c r="D60" i="67"/>
  <c r="D59" i="67"/>
  <c r="D58" i="67"/>
  <c r="D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318" i="18" l="1"/>
  <c r="E7" i="67" l="1"/>
  <c r="G7" i="67" l="1"/>
  <c r="I324" i="67"/>
  <c r="I323" i="67"/>
  <c r="I322" i="67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219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E10" i="6" l="1"/>
  <c r="E6" i="6"/>
  <c r="E7" i="6" s="1"/>
  <c r="D9" i="20" l="1"/>
  <c r="D23" i="20"/>
  <c r="D43" i="20"/>
  <c r="D54" i="20"/>
  <c r="D62" i="20"/>
  <c r="D73" i="20"/>
  <c r="D88" i="20"/>
  <c r="D103" i="20"/>
  <c r="D114" i="20"/>
  <c r="D129" i="20"/>
  <c r="D142" i="20"/>
  <c r="D158" i="20"/>
  <c r="D172" i="20"/>
  <c r="D187" i="20"/>
  <c r="D198" i="20"/>
  <c r="D209" i="20"/>
  <c r="D223" i="20"/>
  <c r="D236" i="20"/>
  <c r="D248" i="20"/>
  <c r="D265" i="20"/>
  <c r="D275" i="20"/>
  <c r="D289" i="20"/>
  <c r="D311" i="20"/>
  <c r="D10" i="20"/>
  <c r="D27" i="20"/>
  <c r="D44" i="20"/>
  <c r="D55" i="20"/>
  <c r="D63" i="20"/>
  <c r="D74" i="20"/>
  <c r="D90" i="20"/>
  <c r="D104" i="20"/>
  <c r="D116" i="20"/>
  <c r="D130" i="20"/>
  <c r="D145" i="20"/>
  <c r="D159" i="20"/>
  <c r="D174" i="20"/>
  <c r="D191" i="20"/>
  <c r="D200" i="20"/>
  <c r="D210" i="20"/>
  <c r="D225" i="20"/>
  <c r="D237" i="20"/>
  <c r="D251" i="20"/>
  <c r="D266" i="20"/>
  <c r="D279" i="20"/>
  <c r="D294" i="20"/>
  <c r="D314" i="20"/>
  <c r="D21" i="20"/>
  <c r="D113" i="20"/>
  <c r="D208" i="20"/>
  <c r="D288" i="20"/>
  <c r="D11" i="20"/>
  <c r="D30" i="20"/>
  <c r="D45" i="20"/>
  <c r="D56" i="20"/>
  <c r="D64" i="20"/>
  <c r="D78" i="20"/>
  <c r="D94" i="20"/>
  <c r="D105" i="20"/>
  <c r="D118" i="20"/>
  <c r="D135" i="20"/>
  <c r="D147" i="20"/>
  <c r="D161" i="20"/>
  <c r="D178" i="20"/>
  <c r="D192" i="20"/>
  <c r="D201" i="20"/>
  <c r="D211" i="20"/>
  <c r="D226" i="20"/>
  <c r="D239" i="20"/>
  <c r="D252" i="20"/>
  <c r="D267" i="20"/>
  <c r="D281" i="20"/>
  <c r="D297" i="20"/>
  <c r="D315" i="20"/>
  <c r="D37" i="20"/>
  <c r="D127" i="20"/>
  <c r="D221" i="20"/>
  <c r="D310" i="20"/>
  <c r="D13" i="20"/>
  <c r="D31" i="20"/>
  <c r="D46" i="20"/>
  <c r="D57" i="20"/>
  <c r="D65" i="20"/>
  <c r="D79" i="20"/>
  <c r="D95" i="20"/>
  <c r="D106" i="20"/>
  <c r="D119" i="20"/>
  <c r="D136" i="20"/>
  <c r="D148" i="20"/>
  <c r="D164" i="20"/>
  <c r="D180" i="20"/>
  <c r="D193" i="20"/>
  <c r="D203" i="20"/>
  <c r="D213" i="20"/>
  <c r="D227" i="20"/>
  <c r="D240" i="20"/>
  <c r="D258" i="20"/>
  <c r="D269" i="20"/>
  <c r="D282" i="20"/>
  <c r="D299" i="20"/>
  <c r="D316" i="20"/>
  <c r="D320" i="20"/>
  <c r="D85" i="20"/>
  <c r="D171" i="20"/>
  <c r="D235" i="20"/>
  <c r="D323" i="20"/>
  <c r="D14" i="20"/>
  <c r="D33" i="20"/>
  <c r="D48" i="20"/>
  <c r="D58" i="20"/>
  <c r="D66" i="20"/>
  <c r="D82" i="20"/>
  <c r="D96" i="20"/>
  <c r="D109" i="20"/>
  <c r="D120" i="20"/>
  <c r="D137" i="20"/>
  <c r="D150" i="20"/>
  <c r="D165" i="20"/>
  <c r="D183" i="20"/>
  <c r="D194" i="20"/>
  <c r="D204" i="20"/>
  <c r="D216" i="20"/>
  <c r="D229" i="20"/>
  <c r="D241" i="20"/>
  <c r="D259" i="20"/>
  <c r="D270" i="20"/>
  <c r="D283" i="20"/>
  <c r="D303" i="20"/>
  <c r="D317" i="20"/>
  <c r="D53" i="20"/>
  <c r="D141" i="20"/>
  <c r="D186" i="20"/>
  <c r="D263" i="20"/>
  <c r="D15" i="20"/>
  <c r="D35" i="20"/>
  <c r="D50" i="20"/>
  <c r="D59" i="20"/>
  <c r="D67" i="20"/>
  <c r="D83" i="20"/>
  <c r="D97" i="20"/>
  <c r="D110" i="20"/>
  <c r="D124" i="20"/>
  <c r="D139" i="20"/>
  <c r="D152" i="20"/>
  <c r="D168" i="20"/>
  <c r="D184" i="20"/>
  <c r="D195" i="20"/>
  <c r="D205" i="20"/>
  <c r="D218" i="20"/>
  <c r="D232" i="20"/>
  <c r="D242" i="20"/>
  <c r="D261" i="20"/>
  <c r="D272" i="20"/>
  <c r="D284" i="20"/>
  <c r="D304" i="20"/>
  <c r="D319" i="20"/>
  <c r="D69" i="20"/>
  <c r="D156" i="20"/>
  <c r="D247" i="20"/>
  <c r="D19" i="20"/>
  <c r="D36" i="20"/>
  <c r="D51" i="20"/>
  <c r="D60" i="20"/>
  <c r="D68" i="20"/>
  <c r="D84" i="20"/>
  <c r="D101" i="20"/>
  <c r="D112" i="20"/>
  <c r="D126" i="20"/>
  <c r="D140" i="20"/>
  <c r="D155" i="20"/>
  <c r="D169" i="20"/>
  <c r="D185" i="20"/>
  <c r="D196" i="20"/>
  <c r="D207" i="20"/>
  <c r="D219" i="20"/>
  <c r="D233" i="20"/>
  <c r="D246" i="20"/>
  <c r="D262" i="20"/>
  <c r="D273" i="20"/>
  <c r="D287" i="20"/>
  <c r="D305" i="20"/>
  <c r="D61" i="20"/>
  <c r="D102" i="20"/>
  <c r="D197" i="20"/>
  <c r="D274" i="20"/>
  <c r="E9" i="6"/>
  <c r="E8" i="6"/>
  <c r="E14" i="6" l="1"/>
  <c r="E18" i="6" s="1"/>
  <c r="E12" i="6"/>
  <c r="F10" i="6"/>
  <c r="F6" i="6"/>
  <c r="F7" i="6" s="1"/>
  <c r="F8" i="6" l="1"/>
  <c r="F9" i="6"/>
  <c r="E12" i="78" l="1"/>
  <c r="H12" i="78" s="1"/>
  <c r="J12" i="78" s="1"/>
  <c r="L12" i="78" s="1"/>
  <c r="M12" i="78" s="1"/>
  <c r="E285" i="78"/>
  <c r="H285" i="78" s="1"/>
  <c r="J285" i="78" s="1"/>
  <c r="L285" i="78" s="1"/>
  <c r="M285" i="78" s="1"/>
  <c r="E247" i="78"/>
  <c r="H247" i="78" s="1"/>
  <c r="J247" i="78" s="1"/>
  <c r="L247" i="78" s="1"/>
  <c r="M247" i="78" s="1"/>
  <c r="E92" i="78"/>
  <c r="H92" i="78" s="1"/>
  <c r="J92" i="78" s="1"/>
  <c r="L92" i="78" s="1"/>
  <c r="M92" i="78" s="1"/>
  <c r="E289" i="78"/>
  <c r="H289" i="78" s="1"/>
  <c r="J289" i="78" s="1"/>
  <c r="L289" i="78" s="1"/>
  <c r="M289" i="78" s="1"/>
  <c r="E213" i="78"/>
  <c r="H213" i="78" s="1"/>
  <c r="J213" i="78" s="1"/>
  <c r="L213" i="78" s="1"/>
  <c r="M213" i="78" s="1"/>
  <c r="E237" i="78"/>
  <c r="H237" i="78" s="1"/>
  <c r="J237" i="78" s="1"/>
  <c r="L237" i="78" s="1"/>
  <c r="M237" i="78" s="1"/>
  <c r="E298" i="78"/>
  <c r="H298" i="78" s="1"/>
  <c r="J298" i="78" s="1"/>
  <c r="L298" i="78" s="1"/>
  <c r="M298" i="78" s="1"/>
  <c r="E15" i="78"/>
  <c r="H15" i="78" s="1"/>
  <c r="J15" i="78" s="1"/>
  <c r="L15" i="78" s="1"/>
  <c r="M15" i="78" s="1"/>
  <c r="E216" i="78"/>
  <c r="H216" i="78" s="1"/>
  <c r="J216" i="78" s="1"/>
  <c r="L216" i="78" s="1"/>
  <c r="M216" i="78" s="1"/>
  <c r="E90" i="78"/>
  <c r="H90" i="78" s="1"/>
  <c r="J90" i="78" s="1"/>
  <c r="L90" i="78" s="1"/>
  <c r="M90" i="78" s="1"/>
  <c r="E37" i="78"/>
  <c r="H37" i="78" s="1"/>
  <c r="J37" i="78" s="1"/>
  <c r="L37" i="78" s="1"/>
  <c r="M37" i="78" s="1"/>
  <c r="E132" i="78"/>
  <c r="H132" i="78" s="1"/>
  <c r="J132" i="78" s="1"/>
  <c r="L132" i="78" s="1"/>
  <c r="M132" i="78" s="1"/>
  <c r="E276" i="78"/>
  <c r="H276" i="78" s="1"/>
  <c r="J276" i="78" s="1"/>
  <c r="L276" i="78" s="1"/>
  <c r="M276" i="78" s="1"/>
  <c r="E170" i="78"/>
  <c r="H170" i="78" s="1"/>
  <c r="J170" i="78" s="1"/>
  <c r="L170" i="78" s="1"/>
  <c r="M170" i="78" s="1"/>
  <c r="E50" i="78"/>
  <c r="H50" i="78" s="1"/>
  <c r="J50" i="78" s="1"/>
  <c r="L50" i="78" s="1"/>
  <c r="M50" i="78" s="1"/>
  <c r="E91" i="78"/>
  <c r="H91" i="78" s="1"/>
  <c r="J91" i="78" s="1"/>
  <c r="L91" i="78" s="1"/>
  <c r="M91" i="78" s="1"/>
  <c r="E72" i="78"/>
  <c r="H72" i="78" s="1"/>
  <c r="J72" i="78" s="1"/>
  <c r="L72" i="78" s="1"/>
  <c r="M72" i="78" s="1"/>
  <c r="E105" i="78"/>
  <c r="H105" i="78" s="1"/>
  <c r="J105" i="78" s="1"/>
  <c r="L105" i="78" s="1"/>
  <c r="M105" i="78" s="1"/>
  <c r="E60" i="78"/>
  <c r="H60" i="78" s="1"/>
  <c r="J60" i="78" s="1"/>
  <c r="L60" i="78" s="1"/>
  <c r="M60" i="78" s="1"/>
  <c r="E295" i="78"/>
  <c r="H295" i="78" s="1"/>
  <c r="J295" i="78" s="1"/>
  <c r="L295" i="78" s="1"/>
  <c r="M295" i="78" s="1"/>
  <c r="E283" i="78"/>
  <c r="H283" i="78" s="1"/>
  <c r="J283" i="78" s="1"/>
  <c r="L283" i="78" s="1"/>
  <c r="M283" i="78" s="1"/>
  <c r="E253" i="78"/>
  <c r="H253" i="78" s="1"/>
  <c r="J253" i="78" s="1"/>
  <c r="L253" i="78" s="1"/>
  <c r="M253" i="78" s="1"/>
  <c r="E230" i="78"/>
  <c r="H230" i="78" s="1"/>
  <c r="J230" i="78" s="1"/>
  <c r="L230" i="78" s="1"/>
  <c r="M230" i="78" s="1"/>
  <c r="E240" i="78"/>
  <c r="H240" i="78" s="1"/>
  <c r="J240" i="78" s="1"/>
  <c r="L240" i="78" s="1"/>
  <c r="M240" i="78" s="1"/>
  <c r="E217" i="78"/>
  <c r="H217" i="78" s="1"/>
  <c r="J217" i="78" s="1"/>
  <c r="L217" i="78" s="1"/>
  <c r="M217" i="78" s="1"/>
  <c r="E211" i="78"/>
  <c r="H211" i="78" s="1"/>
  <c r="J211" i="78" s="1"/>
  <c r="L211" i="78" s="1"/>
  <c r="M211" i="78" s="1"/>
  <c r="E201" i="78"/>
  <c r="H201" i="78" s="1"/>
  <c r="J201" i="78" s="1"/>
  <c r="L201" i="78" s="1"/>
  <c r="M201" i="78" s="1"/>
  <c r="E220" i="78"/>
  <c r="H220" i="78" s="1"/>
  <c r="J220" i="78" s="1"/>
  <c r="L220" i="78" s="1"/>
  <c r="M220" i="78" s="1"/>
  <c r="E212" i="78"/>
  <c r="H212" i="78" s="1"/>
  <c r="J212" i="78" s="1"/>
  <c r="L212" i="78" s="1"/>
  <c r="M212" i="78" s="1"/>
  <c r="E158" i="78"/>
  <c r="H158" i="78" s="1"/>
  <c r="J158" i="78" s="1"/>
  <c r="L158" i="78" s="1"/>
  <c r="M158" i="78" s="1"/>
  <c r="E152" i="78"/>
  <c r="H152" i="78" s="1"/>
  <c r="J152" i="78" s="1"/>
  <c r="L152" i="78" s="1"/>
  <c r="M152" i="78" s="1"/>
  <c r="E120" i="78"/>
  <c r="H120" i="78" s="1"/>
  <c r="J120" i="78" s="1"/>
  <c r="L120" i="78" s="1"/>
  <c r="M120" i="78" s="1"/>
  <c r="E139" i="78"/>
  <c r="H139" i="78" s="1"/>
  <c r="J139" i="78" s="1"/>
  <c r="L139" i="78" s="1"/>
  <c r="M139" i="78" s="1"/>
  <c r="E80" i="78"/>
  <c r="H80" i="78" s="1"/>
  <c r="J80" i="78" s="1"/>
  <c r="L80" i="78" s="1"/>
  <c r="M80" i="78" s="1"/>
  <c r="E93" i="78"/>
  <c r="H93" i="78" s="1"/>
  <c r="J93" i="78" s="1"/>
  <c r="L93" i="78" s="1"/>
  <c r="M93" i="78" s="1"/>
  <c r="E94" i="78"/>
  <c r="H94" i="78" s="1"/>
  <c r="J94" i="78" s="1"/>
  <c r="L94" i="78" s="1"/>
  <c r="M94" i="78" s="1"/>
  <c r="E118" i="78"/>
  <c r="H118" i="78" s="1"/>
  <c r="J118" i="78" s="1"/>
  <c r="L118" i="78" s="1"/>
  <c r="M118" i="78" s="1"/>
  <c r="E41" i="78"/>
  <c r="H41" i="78" s="1"/>
  <c r="J41" i="78" s="1"/>
  <c r="L41" i="78" s="1"/>
  <c r="M41" i="78" s="1"/>
  <c r="E32" i="78"/>
  <c r="H32" i="78" s="1"/>
  <c r="J32" i="78" s="1"/>
  <c r="L32" i="78" s="1"/>
  <c r="M32" i="78" s="1"/>
  <c r="E53" i="78"/>
  <c r="H53" i="78" s="1"/>
  <c r="J53" i="78" s="1"/>
  <c r="L53" i="78" s="1"/>
  <c r="M53" i="78" s="1"/>
  <c r="E14" i="78"/>
  <c r="H14" i="78" s="1"/>
  <c r="J14" i="78" s="1"/>
  <c r="L14" i="78" s="1"/>
  <c r="M14" i="78" s="1"/>
  <c r="E293" i="78"/>
  <c r="H293" i="78" s="1"/>
  <c r="J293" i="78" s="1"/>
  <c r="L293" i="78" s="1"/>
  <c r="M293" i="78" s="1"/>
  <c r="E272" i="78"/>
  <c r="H272" i="78" s="1"/>
  <c r="J272" i="78" s="1"/>
  <c r="L272" i="78" s="1"/>
  <c r="M272" i="78" s="1"/>
  <c r="E140" i="78"/>
  <c r="H140" i="78" s="1"/>
  <c r="J140" i="78" s="1"/>
  <c r="L140" i="78" s="1"/>
  <c r="M140" i="78" s="1"/>
  <c r="E290" i="78"/>
  <c r="H290" i="78" s="1"/>
  <c r="J290" i="78" s="1"/>
  <c r="L290" i="78" s="1"/>
  <c r="M290" i="78" s="1"/>
  <c r="E175" i="78"/>
  <c r="H175" i="78" s="1"/>
  <c r="J175" i="78" s="1"/>
  <c r="L175" i="78" s="1"/>
  <c r="M175" i="78" s="1"/>
  <c r="E239" i="78"/>
  <c r="H239" i="78" s="1"/>
  <c r="J239" i="78" s="1"/>
  <c r="L239" i="78" s="1"/>
  <c r="M239" i="78" s="1"/>
  <c r="E101" i="78"/>
  <c r="H101" i="78" s="1"/>
  <c r="J101" i="78" s="1"/>
  <c r="L101" i="78" s="1"/>
  <c r="M101" i="78" s="1"/>
  <c r="E17" i="78"/>
  <c r="H17" i="78" s="1"/>
  <c r="J17" i="78" s="1"/>
  <c r="L17" i="78" s="1"/>
  <c r="M17" i="78" s="1"/>
  <c r="E40" i="78"/>
  <c r="H40" i="78" s="1"/>
  <c r="J40" i="78" s="1"/>
  <c r="L40" i="78" s="1"/>
  <c r="M40" i="78" s="1"/>
  <c r="E251" i="78"/>
  <c r="H251" i="78" s="1"/>
  <c r="J251" i="78" s="1"/>
  <c r="L251" i="78" s="1"/>
  <c r="M251" i="78" s="1"/>
  <c r="E203" i="78"/>
  <c r="H203" i="78" s="1"/>
  <c r="J203" i="78" s="1"/>
  <c r="L203" i="78" s="1"/>
  <c r="M203" i="78" s="1"/>
  <c r="E322" i="78"/>
  <c r="H322" i="78" s="1"/>
  <c r="J322" i="78" s="1"/>
  <c r="L322" i="78" s="1"/>
  <c r="M322" i="78" s="1"/>
  <c r="E266" i="78"/>
  <c r="H266" i="78" s="1"/>
  <c r="J266" i="78" s="1"/>
  <c r="L266" i="78" s="1"/>
  <c r="M266" i="78" s="1"/>
  <c r="E119" i="78"/>
  <c r="H119" i="78" s="1"/>
  <c r="J119" i="78" s="1"/>
  <c r="L119" i="78" s="1"/>
  <c r="M119" i="78" s="1"/>
  <c r="E243" i="78"/>
  <c r="H243" i="78" s="1"/>
  <c r="J243" i="78" s="1"/>
  <c r="L243" i="78" s="1"/>
  <c r="M243" i="78" s="1"/>
  <c r="E43" i="78"/>
  <c r="H43" i="78" s="1"/>
  <c r="J43" i="78" s="1"/>
  <c r="L43" i="78" s="1"/>
  <c r="M43" i="78" s="1"/>
  <c r="E112" i="78"/>
  <c r="H112" i="78" s="1"/>
  <c r="J112" i="78" s="1"/>
  <c r="L112" i="78" s="1"/>
  <c r="M112" i="78" s="1"/>
  <c r="E280" i="78"/>
  <c r="H280" i="78" s="1"/>
  <c r="J280" i="78" s="1"/>
  <c r="L280" i="78" s="1"/>
  <c r="M280" i="78" s="1"/>
  <c r="E279" i="78"/>
  <c r="H279" i="78" s="1"/>
  <c r="J279" i="78" s="1"/>
  <c r="L279" i="78" s="1"/>
  <c r="M279" i="78" s="1"/>
  <c r="E191" i="78"/>
  <c r="H191" i="78" s="1"/>
  <c r="J191" i="78" s="1"/>
  <c r="L191" i="78" s="1"/>
  <c r="M191" i="78" s="1"/>
  <c r="E111" i="78"/>
  <c r="H111" i="78" s="1"/>
  <c r="J111" i="78" s="1"/>
  <c r="L111" i="78" s="1"/>
  <c r="M111" i="78" s="1"/>
  <c r="E150" i="78"/>
  <c r="H150" i="78" s="1"/>
  <c r="J150" i="78" s="1"/>
  <c r="L150" i="78" s="1"/>
  <c r="M150" i="78" s="1"/>
  <c r="E130" i="78"/>
  <c r="H130" i="78" s="1"/>
  <c r="J130" i="78" s="1"/>
  <c r="L130" i="78" s="1"/>
  <c r="M130" i="78" s="1"/>
  <c r="E108" i="78"/>
  <c r="H108" i="78" s="1"/>
  <c r="J108" i="78" s="1"/>
  <c r="L108" i="78" s="1"/>
  <c r="M108" i="78" s="1"/>
  <c r="E224" i="78"/>
  <c r="H224" i="78" s="1"/>
  <c r="J224" i="78" s="1"/>
  <c r="L224" i="78" s="1"/>
  <c r="M224" i="78" s="1"/>
  <c r="E189" i="78"/>
  <c r="H189" i="78" s="1"/>
  <c r="J189" i="78" s="1"/>
  <c r="L189" i="78" s="1"/>
  <c r="M189" i="78" s="1"/>
  <c r="E199" i="78"/>
  <c r="H199" i="78" s="1"/>
  <c r="J199" i="78" s="1"/>
  <c r="L199" i="78" s="1"/>
  <c r="M199" i="78" s="1"/>
  <c r="E99" i="78"/>
  <c r="H99" i="78" s="1"/>
  <c r="J99" i="78" s="1"/>
  <c r="L99" i="78" s="1"/>
  <c r="M99" i="78" s="1"/>
  <c r="E20" i="78"/>
  <c r="H20" i="78" s="1"/>
  <c r="J20" i="78" s="1"/>
  <c r="L20" i="78" s="1"/>
  <c r="M20" i="78" s="1"/>
  <c r="E287" i="78"/>
  <c r="H287" i="78" s="1"/>
  <c r="J287" i="78" s="1"/>
  <c r="L287" i="78" s="1"/>
  <c r="M287" i="78" s="1"/>
  <c r="E291" i="78"/>
  <c r="H291" i="78" s="1"/>
  <c r="J291" i="78" s="1"/>
  <c r="L291" i="78" s="1"/>
  <c r="M291" i="78" s="1"/>
  <c r="E275" i="78"/>
  <c r="H275" i="78" s="1"/>
  <c r="J275" i="78" s="1"/>
  <c r="L275" i="78" s="1"/>
  <c r="M275" i="78" s="1"/>
  <c r="E273" i="78"/>
  <c r="H273" i="78" s="1"/>
  <c r="J273" i="78" s="1"/>
  <c r="L273" i="78" s="1"/>
  <c r="M273" i="78" s="1"/>
  <c r="E232" i="78"/>
  <c r="H232" i="78" s="1"/>
  <c r="J232" i="78" s="1"/>
  <c r="L232" i="78" s="1"/>
  <c r="M232" i="78" s="1"/>
  <c r="E209" i="78"/>
  <c r="H209" i="78" s="1"/>
  <c r="J209" i="78" s="1"/>
  <c r="L209" i="78" s="1"/>
  <c r="M209" i="78" s="1"/>
  <c r="E193" i="78"/>
  <c r="H193" i="78" s="1"/>
  <c r="J193" i="78" s="1"/>
  <c r="L193" i="78" s="1"/>
  <c r="M193" i="78" s="1"/>
  <c r="E204" i="78"/>
  <c r="H204" i="78" s="1"/>
  <c r="J204" i="78" s="1"/>
  <c r="L204" i="78" s="1"/>
  <c r="M204" i="78" s="1"/>
  <c r="E188" i="78"/>
  <c r="H188" i="78" s="1"/>
  <c r="J188" i="78" s="1"/>
  <c r="L188" i="78" s="1"/>
  <c r="M188" i="78" s="1"/>
  <c r="E153" i="78"/>
  <c r="H153" i="78" s="1"/>
  <c r="J153" i="78" s="1"/>
  <c r="L153" i="78" s="1"/>
  <c r="M153" i="78" s="1"/>
  <c r="E144" i="78"/>
  <c r="H144" i="78" s="1"/>
  <c r="J144" i="78" s="1"/>
  <c r="L144" i="78" s="1"/>
  <c r="M144" i="78" s="1"/>
  <c r="E196" i="78"/>
  <c r="H196" i="78" s="1"/>
  <c r="J196" i="78" s="1"/>
  <c r="L196" i="78" s="1"/>
  <c r="M196" i="78" s="1"/>
  <c r="E178" i="78"/>
  <c r="H178" i="78" s="1"/>
  <c r="J178" i="78" s="1"/>
  <c r="L178" i="78" s="1"/>
  <c r="M178" i="78" s="1"/>
  <c r="E154" i="78"/>
  <c r="H154" i="78" s="1"/>
  <c r="J154" i="78" s="1"/>
  <c r="L154" i="78" s="1"/>
  <c r="M154" i="78" s="1"/>
  <c r="E138" i="78"/>
  <c r="H138" i="78" s="1"/>
  <c r="J138" i="78" s="1"/>
  <c r="L138" i="78" s="1"/>
  <c r="M138" i="78" s="1"/>
  <c r="E85" i="78"/>
  <c r="H85" i="78" s="1"/>
  <c r="J85" i="78" s="1"/>
  <c r="L85" i="78" s="1"/>
  <c r="M85" i="78" s="1"/>
  <c r="E84" i="78"/>
  <c r="H84" i="78" s="1"/>
  <c r="J84" i="78" s="1"/>
  <c r="L84" i="78" s="1"/>
  <c r="M84" i="78" s="1"/>
  <c r="E10" i="78"/>
  <c r="H10" i="78" s="1"/>
  <c r="J10" i="78" s="1"/>
  <c r="L10" i="78" s="1"/>
  <c r="M10" i="78" s="1"/>
  <c r="E222" i="78"/>
  <c r="H222" i="78" s="1"/>
  <c r="J222" i="78" s="1"/>
  <c r="L222" i="78" s="1"/>
  <c r="M222" i="78" s="1"/>
  <c r="E107" i="78"/>
  <c r="H107" i="78" s="1"/>
  <c r="J107" i="78" s="1"/>
  <c r="L107" i="78" s="1"/>
  <c r="M107" i="78" s="1"/>
  <c r="E82" i="78"/>
  <c r="H82" i="78" s="1"/>
  <c r="J82" i="78" s="1"/>
  <c r="L82" i="78" s="1"/>
  <c r="M82" i="78" s="1"/>
  <c r="E58" i="78"/>
  <c r="H58" i="78" s="1"/>
  <c r="J58" i="78" s="1"/>
  <c r="L58" i="78" s="1"/>
  <c r="M58" i="78" s="1"/>
  <c r="E39" i="78"/>
  <c r="H39" i="78" s="1"/>
  <c r="J39" i="78" s="1"/>
  <c r="L39" i="78" s="1"/>
  <c r="M39" i="78" s="1"/>
  <c r="E258" i="78"/>
  <c r="H258" i="78" s="1"/>
  <c r="J258" i="78" s="1"/>
  <c r="L258" i="78" s="1"/>
  <c r="M258" i="78" s="1"/>
  <c r="E42" i="78"/>
  <c r="H42" i="78" s="1"/>
  <c r="J42" i="78" s="1"/>
  <c r="L42" i="78" s="1"/>
  <c r="M42" i="78" s="1"/>
  <c r="E312" i="78"/>
  <c r="H312" i="78" s="1"/>
  <c r="J312" i="78" s="1"/>
  <c r="L312" i="78" s="1"/>
  <c r="M312" i="78" s="1"/>
  <c r="E271" i="78"/>
  <c r="H271" i="78" s="1"/>
  <c r="J271" i="78" s="1"/>
  <c r="L271" i="78" s="1"/>
  <c r="M271" i="78" s="1"/>
  <c r="E214" i="78"/>
  <c r="H214" i="78" s="1"/>
  <c r="J214" i="78" s="1"/>
  <c r="L214" i="78" s="1"/>
  <c r="M214" i="78" s="1"/>
  <c r="E18" i="78"/>
  <c r="H18" i="78" s="1"/>
  <c r="J18" i="78" s="1"/>
  <c r="L18" i="78" s="1"/>
  <c r="M18" i="78" s="1"/>
  <c r="E309" i="78"/>
  <c r="H309" i="78" s="1"/>
  <c r="J309" i="78" s="1"/>
  <c r="L309" i="78" s="1"/>
  <c r="M309" i="78" s="1"/>
  <c r="E226" i="78"/>
  <c r="H226" i="78" s="1"/>
  <c r="J226" i="78" s="1"/>
  <c r="L226" i="78" s="1"/>
  <c r="M226" i="78" s="1"/>
  <c r="E306" i="78"/>
  <c r="H306" i="78" s="1"/>
  <c r="J306" i="78" s="1"/>
  <c r="L306" i="78" s="1"/>
  <c r="M306" i="78" s="1"/>
  <c r="E304" i="78"/>
  <c r="H304" i="78" s="1"/>
  <c r="J304" i="78" s="1"/>
  <c r="L304" i="78" s="1"/>
  <c r="M304" i="78" s="1"/>
  <c r="E134" i="78"/>
  <c r="H134" i="78" s="1"/>
  <c r="J134" i="78" s="1"/>
  <c r="L134" i="78" s="1"/>
  <c r="M134" i="78" s="1"/>
  <c r="E316" i="78"/>
  <c r="H316" i="78" s="1"/>
  <c r="J316" i="78" s="1"/>
  <c r="L316" i="78" s="1"/>
  <c r="M316" i="78" s="1"/>
  <c r="E305" i="78"/>
  <c r="H305" i="78" s="1"/>
  <c r="J305" i="78" s="1"/>
  <c r="L305" i="78" s="1"/>
  <c r="M305" i="78" s="1"/>
  <c r="E133" i="78"/>
  <c r="H133" i="78" s="1"/>
  <c r="J133" i="78" s="1"/>
  <c r="L133" i="78" s="1"/>
  <c r="M133" i="78" s="1"/>
  <c r="E198" i="78"/>
  <c r="H198" i="78" s="1"/>
  <c r="J198" i="78" s="1"/>
  <c r="L198" i="78" s="1"/>
  <c r="M198" i="78" s="1"/>
  <c r="E210" i="78"/>
  <c r="H210" i="78" s="1"/>
  <c r="J210" i="78" s="1"/>
  <c r="L210" i="78" s="1"/>
  <c r="M210" i="78" s="1"/>
  <c r="E142" i="78"/>
  <c r="H142" i="78" s="1"/>
  <c r="J142" i="78" s="1"/>
  <c r="L142" i="78" s="1"/>
  <c r="M142" i="78" s="1"/>
  <c r="E88" i="78"/>
  <c r="H88" i="78" s="1"/>
  <c r="J88" i="78" s="1"/>
  <c r="L88" i="78" s="1"/>
  <c r="M88" i="78" s="1"/>
  <c r="E292" i="78"/>
  <c r="H292" i="78" s="1"/>
  <c r="J292" i="78" s="1"/>
  <c r="L292" i="78" s="1"/>
  <c r="M292" i="78" s="1"/>
  <c r="E268" i="78"/>
  <c r="H268" i="78" s="1"/>
  <c r="J268" i="78" s="1"/>
  <c r="L268" i="78" s="1"/>
  <c r="M268" i="78" s="1"/>
  <c r="E179" i="78"/>
  <c r="H179" i="78" s="1"/>
  <c r="J179" i="78" s="1"/>
  <c r="L179" i="78" s="1"/>
  <c r="M179" i="78" s="1"/>
  <c r="E323" i="78"/>
  <c r="H323" i="78" s="1"/>
  <c r="J323" i="78" s="1"/>
  <c r="E241" i="78"/>
  <c r="H241" i="78" s="1"/>
  <c r="J241" i="78" s="1"/>
  <c r="L241" i="78" s="1"/>
  <c r="M241" i="78" s="1"/>
  <c r="E147" i="78"/>
  <c r="H147" i="78" s="1"/>
  <c r="J147" i="78" s="1"/>
  <c r="L147" i="78" s="1"/>
  <c r="M147" i="78" s="1"/>
  <c r="E7" i="78"/>
  <c r="E277" i="78"/>
  <c r="H277" i="78" s="1"/>
  <c r="J277" i="78" s="1"/>
  <c r="L277" i="78" s="1"/>
  <c r="M277" i="78" s="1"/>
  <c r="E259" i="78"/>
  <c r="H259" i="78" s="1"/>
  <c r="J259" i="78" s="1"/>
  <c r="L259" i="78" s="1"/>
  <c r="M259" i="78" s="1"/>
  <c r="E254" i="78"/>
  <c r="H254" i="78" s="1"/>
  <c r="J254" i="78" s="1"/>
  <c r="L254" i="78" s="1"/>
  <c r="M254" i="78" s="1"/>
  <c r="E227" i="78"/>
  <c r="H227" i="78" s="1"/>
  <c r="J227" i="78" s="1"/>
  <c r="L227" i="78" s="1"/>
  <c r="M227" i="78" s="1"/>
  <c r="E228" i="78"/>
  <c r="H228" i="78" s="1"/>
  <c r="J228" i="78" s="1"/>
  <c r="L228" i="78" s="1"/>
  <c r="M228" i="78" s="1"/>
  <c r="E185" i="78"/>
  <c r="H185" i="78" s="1"/>
  <c r="J185" i="78" s="1"/>
  <c r="L185" i="78" s="1"/>
  <c r="M185" i="78" s="1"/>
  <c r="E195" i="78"/>
  <c r="H195" i="78" s="1"/>
  <c r="J195" i="78" s="1"/>
  <c r="L195" i="78" s="1"/>
  <c r="M195" i="78" s="1"/>
  <c r="E151" i="78"/>
  <c r="H151" i="78" s="1"/>
  <c r="J151" i="78" s="1"/>
  <c r="L151" i="78" s="1"/>
  <c r="M151" i="78" s="1"/>
  <c r="E145" i="78"/>
  <c r="H145" i="78" s="1"/>
  <c r="J145" i="78" s="1"/>
  <c r="L145" i="78" s="1"/>
  <c r="M145" i="78" s="1"/>
  <c r="E73" i="78"/>
  <c r="H73" i="78" s="1"/>
  <c r="J73" i="78" s="1"/>
  <c r="L73" i="78" s="1"/>
  <c r="M73" i="78" s="1"/>
  <c r="E86" i="78"/>
  <c r="H86" i="78" s="1"/>
  <c r="J86" i="78" s="1"/>
  <c r="L86" i="78" s="1"/>
  <c r="M86" i="78" s="1"/>
  <c r="E78" i="78"/>
  <c r="H78" i="78" s="1"/>
  <c r="J78" i="78" s="1"/>
  <c r="L78" i="78" s="1"/>
  <c r="M78" i="78" s="1"/>
  <c r="E77" i="78"/>
  <c r="H77" i="78" s="1"/>
  <c r="J77" i="78" s="1"/>
  <c r="L77" i="78" s="1"/>
  <c r="M77" i="78" s="1"/>
  <c r="E109" i="78"/>
  <c r="H109" i="78" s="1"/>
  <c r="J109" i="78" s="1"/>
  <c r="L109" i="78" s="1"/>
  <c r="M109" i="78" s="1"/>
  <c r="E30" i="78"/>
  <c r="H30" i="78" s="1"/>
  <c r="J30" i="78" s="1"/>
  <c r="L30" i="78" s="1"/>
  <c r="M30" i="78" s="1"/>
  <c r="E29" i="78"/>
  <c r="H29" i="78" s="1"/>
  <c r="J29" i="78" s="1"/>
  <c r="L29" i="78" s="1"/>
  <c r="M29" i="78" s="1"/>
  <c r="E117" i="78"/>
  <c r="H117" i="78" s="1"/>
  <c r="J117" i="78" s="1"/>
  <c r="L117" i="78" s="1"/>
  <c r="M117" i="78" s="1"/>
  <c r="E97" i="78"/>
  <c r="H97" i="78" s="1"/>
  <c r="J97" i="78" s="1"/>
  <c r="L97" i="78" s="1"/>
  <c r="M97" i="78" s="1"/>
  <c r="E67" i="78"/>
  <c r="H67" i="78" s="1"/>
  <c r="J67" i="78" s="1"/>
  <c r="L67" i="78" s="1"/>
  <c r="M67" i="78" s="1"/>
  <c r="E66" i="78"/>
  <c r="H66" i="78" s="1"/>
  <c r="J66" i="78" s="1"/>
  <c r="L66" i="78" s="1"/>
  <c r="M66" i="78" s="1"/>
  <c r="E155" i="78"/>
  <c r="H155" i="78" s="1"/>
  <c r="J155" i="78" s="1"/>
  <c r="L155" i="78" s="1"/>
  <c r="M155" i="78" s="1"/>
  <c r="E307" i="78"/>
  <c r="H307" i="78" s="1"/>
  <c r="J307" i="78" s="1"/>
  <c r="L307" i="78" s="1"/>
  <c r="M307" i="78" s="1"/>
  <c r="E246" i="78"/>
  <c r="H246" i="78" s="1"/>
  <c r="J246" i="78" s="1"/>
  <c r="L246" i="78" s="1"/>
  <c r="M246" i="78" s="1"/>
  <c r="E231" i="78"/>
  <c r="H231" i="78" s="1"/>
  <c r="J231" i="78" s="1"/>
  <c r="L231" i="78" s="1"/>
  <c r="M231" i="78" s="1"/>
  <c r="E215" i="78"/>
  <c r="H215" i="78" s="1"/>
  <c r="J215" i="78" s="1"/>
  <c r="L215" i="78" s="1"/>
  <c r="M215" i="78" s="1"/>
  <c r="E169" i="78"/>
  <c r="H169" i="78" s="1"/>
  <c r="J169" i="78" s="1"/>
  <c r="L169" i="78" s="1"/>
  <c r="M169" i="78" s="1"/>
  <c r="E57" i="78"/>
  <c r="H57" i="78" s="1"/>
  <c r="J57" i="78" s="1"/>
  <c r="L57" i="78" s="1"/>
  <c r="M57" i="78" s="1"/>
  <c r="E31" i="78"/>
  <c r="H31" i="78" s="1"/>
  <c r="J31" i="78" s="1"/>
  <c r="L31" i="78" s="1"/>
  <c r="M31" i="78" s="1"/>
  <c r="E301" i="78"/>
  <c r="H301" i="78" s="1"/>
  <c r="J301" i="78" s="1"/>
  <c r="L301" i="78" s="1"/>
  <c r="M301" i="78" s="1"/>
  <c r="E255" i="78"/>
  <c r="H255" i="78" s="1"/>
  <c r="J255" i="78" s="1"/>
  <c r="L255" i="78" s="1"/>
  <c r="M255" i="78" s="1"/>
  <c r="E164" i="78"/>
  <c r="H164" i="78" s="1"/>
  <c r="J164" i="78" s="1"/>
  <c r="L164" i="78" s="1"/>
  <c r="M164" i="78" s="1"/>
  <c r="E197" i="78"/>
  <c r="H197" i="78" s="1"/>
  <c r="J197" i="78" s="1"/>
  <c r="L197" i="78" s="1"/>
  <c r="M197" i="78" s="1"/>
  <c r="E264" i="78"/>
  <c r="H264" i="78" s="1"/>
  <c r="J264" i="78" s="1"/>
  <c r="L264" i="78" s="1"/>
  <c r="M264" i="78" s="1"/>
  <c r="E269" i="78"/>
  <c r="H269" i="78" s="1"/>
  <c r="J269" i="78" s="1"/>
  <c r="L269" i="78" s="1"/>
  <c r="M269" i="78" s="1"/>
  <c r="E167" i="78"/>
  <c r="H167" i="78" s="1"/>
  <c r="J167" i="78" s="1"/>
  <c r="L167" i="78" s="1"/>
  <c r="M167" i="78" s="1"/>
  <c r="E49" i="78"/>
  <c r="H49" i="78" s="1"/>
  <c r="J49" i="78" s="1"/>
  <c r="L49" i="78" s="1"/>
  <c r="M49" i="78" s="1"/>
  <c r="E13" i="78"/>
  <c r="H13" i="78" s="1"/>
  <c r="J13" i="78" s="1"/>
  <c r="L13" i="78" s="1"/>
  <c r="M13" i="78" s="1"/>
  <c r="E81" i="78"/>
  <c r="H81" i="78" s="1"/>
  <c r="J81" i="78" s="1"/>
  <c r="L81" i="78" s="1"/>
  <c r="M81" i="78" s="1"/>
  <c r="E234" i="78"/>
  <c r="H234" i="78" s="1"/>
  <c r="J234" i="78" s="1"/>
  <c r="L234" i="78" s="1"/>
  <c r="M234" i="78" s="1"/>
  <c r="E260" i="78"/>
  <c r="H260" i="78" s="1"/>
  <c r="J260" i="78" s="1"/>
  <c r="L260" i="78" s="1"/>
  <c r="M260" i="78" s="1"/>
  <c r="E165" i="78"/>
  <c r="H165" i="78" s="1"/>
  <c r="J165" i="78" s="1"/>
  <c r="L165" i="78" s="1"/>
  <c r="M165" i="78" s="1"/>
  <c r="E317" i="78"/>
  <c r="H317" i="78" s="1"/>
  <c r="J317" i="78" s="1"/>
  <c r="L317" i="78" s="1"/>
  <c r="M317" i="78" s="1"/>
  <c r="E262" i="78"/>
  <c r="H262" i="78" s="1"/>
  <c r="J262" i="78" s="1"/>
  <c r="L262" i="78" s="1"/>
  <c r="M262" i="78" s="1"/>
  <c r="E162" i="78"/>
  <c r="H162" i="78" s="1"/>
  <c r="J162" i="78" s="1"/>
  <c r="L162" i="78" s="1"/>
  <c r="M162" i="78" s="1"/>
  <c r="E321" i="78"/>
  <c r="H321" i="78" s="1"/>
  <c r="J321" i="78" s="1"/>
  <c r="L321" i="78" s="1"/>
  <c r="M321" i="78" s="1"/>
  <c r="E282" i="78"/>
  <c r="H282" i="78" s="1"/>
  <c r="J282" i="78" s="1"/>
  <c r="L282" i="78" s="1"/>
  <c r="M282" i="78" s="1"/>
  <c r="E100" i="78"/>
  <c r="H100" i="78" s="1"/>
  <c r="J100" i="78" s="1"/>
  <c r="L100" i="78" s="1"/>
  <c r="M100" i="78" s="1"/>
  <c r="E297" i="78"/>
  <c r="H297" i="78" s="1"/>
  <c r="J297" i="78" s="1"/>
  <c r="L297" i="78" s="1"/>
  <c r="M297" i="78" s="1"/>
  <c r="E114" i="78"/>
  <c r="H114" i="78" s="1"/>
  <c r="J114" i="78" s="1"/>
  <c r="L114" i="78" s="1"/>
  <c r="M114" i="78" s="1"/>
  <c r="E83" i="78"/>
  <c r="H83" i="78" s="1"/>
  <c r="J83" i="78" s="1"/>
  <c r="L83" i="78" s="1"/>
  <c r="M83" i="78" s="1"/>
  <c r="E23" i="78"/>
  <c r="H23" i="78" s="1"/>
  <c r="J23" i="78" s="1"/>
  <c r="L23" i="78" s="1"/>
  <c r="M23" i="78" s="1"/>
  <c r="E125" i="78"/>
  <c r="H125" i="78" s="1"/>
  <c r="J125" i="78" s="1"/>
  <c r="L125" i="78" s="1"/>
  <c r="M125" i="78" s="1"/>
  <c r="E56" i="78"/>
  <c r="H56" i="78" s="1"/>
  <c r="J56" i="78" s="1"/>
  <c r="L56" i="78" s="1"/>
  <c r="M56" i="78" s="1"/>
  <c r="E218" i="78"/>
  <c r="H218" i="78" s="1"/>
  <c r="J218" i="78" s="1"/>
  <c r="L218" i="78" s="1"/>
  <c r="M218" i="78" s="1"/>
  <c r="E163" i="78"/>
  <c r="H163" i="78" s="1"/>
  <c r="J163" i="78" s="1"/>
  <c r="L163" i="78" s="1"/>
  <c r="M163" i="78" s="1"/>
  <c r="E274" i="78"/>
  <c r="H274" i="78" s="1"/>
  <c r="J274" i="78" s="1"/>
  <c r="L274" i="78" s="1"/>
  <c r="M274" i="78" s="1"/>
  <c r="E229" i="78"/>
  <c r="H229" i="78" s="1"/>
  <c r="J229" i="78" s="1"/>
  <c r="L229" i="78" s="1"/>
  <c r="M229" i="78" s="1"/>
  <c r="E89" i="78"/>
  <c r="H89" i="78" s="1"/>
  <c r="J89" i="78" s="1"/>
  <c r="L89" i="78" s="1"/>
  <c r="M89" i="78" s="1"/>
  <c r="E325" i="78"/>
  <c r="H325" i="78" s="1"/>
  <c r="J325" i="78" s="1"/>
  <c r="L325" i="78" s="1"/>
  <c r="M325" i="78" s="1"/>
  <c r="E52" i="78"/>
  <c r="H52" i="78" s="1"/>
  <c r="J52" i="78" s="1"/>
  <c r="L52" i="78" s="1"/>
  <c r="M52" i="78" s="1"/>
  <c r="E315" i="78"/>
  <c r="H315" i="78" s="1"/>
  <c r="J315" i="78" s="1"/>
  <c r="L315" i="78" s="1"/>
  <c r="M315" i="78" s="1"/>
  <c r="E267" i="78"/>
  <c r="H267" i="78" s="1"/>
  <c r="J267" i="78" s="1"/>
  <c r="L267" i="78" s="1"/>
  <c r="M267" i="78" s="1"/>
  <c r="E252" i="78"/>
  <c r="H252" i="78" s="1"/>
  <c r="J252" i="78" s="1"/>
  <c r="L252" i="78" s="1"/>
  <c r="M252" i="78" s="1"/>
  <c r="E265" i="78"/>
  <c r="H265" i="78" s="1"/>
  <c r="J265" i="78" s="1"/>
  <c r="L265" i="78" s="1"/>
  <c r="M265" i="78" s="1"/>
  <c r="E310" i="78"/>
  <c r="H310" i="78" s="1"/>
  <c r="J310" i="78" s="1"/>
  <c r="L310" i="78" s="1"/>
  <c r="M310" i="78" s="1"/>
  <c r="E244" i="78"/>
  <c r="H244" i="78" s="1"/>
  <c r="J244" i="78" s="1"/>
  <c r="L244" i="78" s="1"/>
  <c r="E202" i="78"/>
  <c r="H202" i="78" s="1"/>
  <c r="J202" i="78" s="1"/>
  <c r="L202" i="78" s="1"/>
  <c r="M202" i="78" s="1"/>
  <c r="E263" i="78"/>
  <c r="H263" i="78" s="1"/>
  <c r="J263" i="78" s="1"/>
  <c r="L263" i="78" s="1"/>
  <c r="M263" i="78" s="1"/>
  <c r="E200" i="78"/>
  <c r="H200" i="78" s="1"/>
  <c r="J200" i="78" s="1"/>
  <c r="L200" i="78" s="1"/>
  <c r="M200" i="78" s="1"/>
  <c r="E181" i="78"/>
  <c r="H181" i="78" s="1"/>
  <c r="J181" i="78" s="1"/>
  <c r="L181" i="78" s="1"/>
  <c r="M181" i="78" s="1"/>
  <c r="E187" i="78"/>
  <c r="H187" i="78" s="1"/>
  <c r="J187" i="78" s="1"/>
  <c r="L187" i="78" s="1"/>
  <c r="M187" i="78" s="1"/>
  <c r="E186" i="78"/>
  <c r="H186" i="78" s="1"/>
  <c r="J186" i="78" s="1"/>
  <c r="L186" i="78" s="1"/>
  <c r="M186" i="78" s="1"/>
  <c r="E135" i="78"/>
  <c r="H135" i="78" s="1"/>
  <c r="J135" i="78" s="1"/>
  <c r="L135" i="78" s="1"/>
  <c r="M135" i="78" s="1"/>
  <c r="E71" i="78"/>
  <c r="H71" i="78" s="1"/>
  <c r="J71" i="78" s="1"/>
  <c r="L71" i="78" s="1"/>
  <c r="M71" i="78" s="1"/>
  <c r="E70" i="78"/>
  <c r="H70" i="78" s="1"/>
  <c r="J70" i="78" s="1"/>
  <c r="L70" i="78" s="1"/>
  <c r="M70" i="78" s="1"/>
  <c r="E103" i="78"/>
  <c r="H103" i="78" s="1"/>
  <c r="J103" i="78" s="1"/>
  <c r="L103" i="78" s="1"/>
  <c r="M103" i="78" s="1"/>
  <c r="E45" i="78"/>
  <c r="H45" i="78" s="1"/>
  <c r="J45" i="78" s="1"/>
  <c r="L45" i="78" s="1"/>
  <c r="M45" i="78" s="1"/>
  <c r="E48" i="78"/>
  <c r="H48" i="78" s="1"/>
  <c r="J48" i="78" s="1"/>
  <c r="L48" i="78" s="1"/>
  <c r="M48" i="78" s="1"/>
  <c r="E11" i="78"/>
  <c r="H11" i="78" s="1"/>
  <c r="J11" i="78" s="1"/>
  <c r="L11" i="78" s="1"/>
  <c r="M11" i="78" s="1"/>
  <c r="E313" i="78"/>
  <c r="H313" i="78" s="1"/>
  <c r="J313" i="78" s="1"/>
  <c r="L313" i="78" s="1"/>
  <c r="M313" i="78" s="1"/>
  <c r="E270" i="78"/>
  <c r="H270" i="78" s="1"/>
  <c r="J270" i="78" s="1"/>
  <c r="L270" i="78" s="1"/>
  <c r="M270" i="78" s="1"/>
  <c r="E76" i="78"/>
  <c r="H76" i="78" s="1"/>
  <c r="J76" i="78" s="1"/>
  <c r="L76" i="78" s="1"/>
  <c r="M76" i="78" s="1"/>
  <c r="E79" i="78"/>
  <c r="H79" i="78" s="1"/>
  <c r="J79" i="78" s="1"/>
  <c r="L79" i="78" s="1"/>
  <c r="M79" i="78" s="1"/>
  <c r="E221" i="78"/>
  <c r="H221" i="78" s="1"/>
  <c r="J221" i="78" s="1"/>
  <c r="L221" i="78" s="1"/>
  <c r="M221" i="78" s="1"/>
  <c r="E208" i="78"/>
  <c r="H208" i="78" s="1"/>
  <c r="J208" i="78" s="1"/>
  <c r="L208" i="78" s="1"/>
  <c r="M208" i="78" s="1"/>
  <c r="E123" i="78"/>
  <c r="H123" i="78" s="1"/>
  <c r="J123" i="78" s="1"/>
  <c r="L123" i="78" s="1"/>
  <c r="M123" i="78" s="1"/>
  <c r="E44" i="78"/>
  <c r="H44" i="78" s="1"/>
  <c r="J44" i="78" s="1"/>
  <c r="L44" i="78" s="1"/>
  <c r="M44" i="78" s="1"/>
  <c r="E319" i="78"/>
  <c r="H319" i="78" s="1"/>
  <c r="J319" i="78" s="1"/>
  <c r="L319" i="78" s="1"/>
  <c r="M319" i="78" s="1"/>
  <c r="E281" i="78"/>
  <c r="H281" i="78" s="1"/>
  <c r="J281" i="78" s="1"/>
  <c r="L281" i="78" s="1"/>
  <c r="M281" i="78" s="1"/>
  <c r="E194" i="78"/>
  <c r="H194" i="78" s="1"/>
  <c r="J194" i="78" s="1"/>
  <c r="L194" i="78" s="1"/>
  <c r="M194" i="78" s="1"/>
  <c r="E192" i="78"/>
  <c r="H192" i="78" s="1"/>
  <c r="J192" i="78" s="1"/>
  <c r="L192" i="78" s="1"/>
  <c r="M192" i="78" s="1"/>
  <c r="E184" i="78"/>
  <c r="H184" i="78" s="1"/>
  <c r="J184" i="78" s="1"/>
  <c r="L184" i="78" s="1"/>
  <c r="M184" i="78" s="1"/>
  <c r="E54" i="78"/>
  <c r="H54" i="78" s="1"/>
  <c r="J54" i="78" s="1"/>
  <c r="L54" i="78" s="1"/>
  <c r="M54" i="78" s="1"/>
  <c r="E55" i="78"/>
  <c r="H55" i="78" s="1"/>
  <c r="J55" i="78" s="1"/>
  <c r="L55" i="78" s="1"/>
  <c r="M55" i="78" s="1"/>
  <c r="E149" i="78"/>
  <c r="H149" i="78" s="1"/>
  <c r="J149" i="78" s="1"/>
  <c r="L149" i="78" s="1"/>
  <c r="M149" i="78" s="1"/>
  <c r="E223" i="78"/>
  <c r="H223" i="78" s="1"/>
  <c r="J223" i="78" s="1"/>
  <c r="L223" i="78" s="1"/>
  <c r="M223" i="78" s="1"/>
  <c r="E157" i="78"/>
  <c r="H157" i="78" s="1"/>
  <c r="J157" i="78" s="1"/>
  <c r="L157" i="78" s="1"/>
  <c r="M157" i="78" s="1"/>
  <c r="E127" i="78"/>
  <c r="H127" i="78" s="1"/>
  <c r="J127" i="78" s="1"/>
  <c r="L127" i="78" s="1"/>
  <c r="M127" i="78" s="1"/>
  <c r="E311" i="78"/>
  <c r="H311" i="78" s="1"/>
  <c r="J311" i="78" s="1"/>
  <c r="L311" i="78" s="1"/>
  <c r="M311" i="78" s="1"/>
  <c r="E257" i="78"/>
  <c r="H257" i="78" s="1"/>
  <c r="J257" i="78" s="1"/>
  <c r="L257" i="78" s="1"/>
  <c r="M257" i="78" s="1"/>
  <c r="E159" i="78"/>
  <c r="H159" i="78" s="1"/>
  <c r="J159" i="78" s="1"/>
  <c r="L159" i="78" s="1"/>
  <c r="M159" i="78" s="1"/>
  <c r="E63" i="78"/>
  <c r="H63" i="78" s="1"/>
  <c r="J63" i="78" s="1"/>
  <c r="L63" i="78" s="1"/>
  <c r="M63" i="78" s="1"/>
  <c r="E24" i="78"/>
  <c r="H24" i="78" s="1"/>
  <c r="J24" i="78" s="1"/>
  <c r="L24" i="78" s="1"/>
  <c r="M24" i="78" s="1"/>
  <c r="E174" i="78"/>
  <c r="H174" i="78" s="1"/>
  <c r="J174" i="78" s="1"/>
  <c r="L174" i="78" s="1"/>
  <c r="M174" i="78" s="1"/>
  <c r="E300" i="78"/>
  <c r="H300" i="78" s="1"/>
  <c r="J300" i="78" s="1"/>
  <c r="L300" i="78" s="1"/>
  <c r="M300" i="78" s="1"/>
  <c r="E233" i="78"/>
  <c r="H233" i="78" s="1"/>
  <c r="J233" i="78" s="1"/>
  <c r="L233" i="78" s="1"/>
  <c r="M233" i="78" s="1"/>
  <c r="E278" i="78"/>
  <c r="H278" i="78" s="1"/>
  <c r="J278" i="78" s="1"/>
  <c r="L278" i="78" s="1"/>
  <c r="M278" i="78" s="1"/>
  <c r="E219" i="78"/>
  <c r="H219" i="78" s="1"/>
  <c r="J219" i="78" s="1"/>
  <c r="L219" i="78" s="1"/>
  <c r="M219" i="78" s="1"/>
  <c r="E320" i="78"/>
  <c r="H320" i="78" s="1"/>
  <c r="J320" i="78" s="1"/>
  <c r="L320" i="78" s="1"/>
  <c r="M320" i="78" s="1"/>
  <c r="E69" i="78"/>
  <c r="H69" i="78" s="1"/>
  <c r="J69" i="78" s="1"/>
  <c r="L69" i="78" s="1"/>
  <c r="M69" i="78" s="1"/>
  <c r="E146" i="78"/>
  <c r="H146" i="78" s="1"/>
  <c r="J146" i="78" s="1"/>
  <c r="L146" i="78" s="1"/>
  <c r="M146" i="78" s="1"/>
  <c r="E64" i="78"/>
  <c r="H64" i="78" s="1"/>
  <c r="J64" i="78" s="1"/>
  <c r="L64" i="78" s="1"/>
  <c r="M64" i="78" s="1"/>
  <c r="E124" i="78"/>
  <c r="H124" i="78" s="1"/>
  <c r="J124" i="78" s="1"/>
  <c r="L124" i="78" s="1"/>
  <c r="M124" i="78" s="1"/>
  <c r="E296" i="78"/>
  <c r="H296" i="78" s="1"/>
  <c r="J296" i="78" s="1"/>
  <c r="L296" i="78" s="1"/>
  <c r="M296" i="78" s="1"/>
  <c r="E122" i="78"/>
  <c r="H122" i="78" s="1"/>
  <c r="J122" i="78" s="1"/>
  <c r="L122" i="78" s="1"/>
  <c r="M122" i="78" s="1"/>
  <c r="E96" i="78"/>
  <c r="H96" i="78" s="1"/>
  <c r="J96" i="78" s="1"/>
  <c r="L96" i="78" s="1"/>
  <c r="M96" i="78" s="1"/>
  <c r="E318" i="78"/>
  <c r="H318" i="78" s="1"/>
  <c r="J318" i="78" s="1"/>
  <c r="L318" i="78" s="1"/>
  <c r="M318" i="78" s="1"/>
  <c r="E261" i="78"/>
  <c r="H261" i="78" s="1"/>
  <c r="J261" i="78" s="1"/>
  <c r="L261" i="78" s="1"/>
  <c r="M261" i="78" s="1"/>
  <c r="E236" i="78"/>
  <c r="H236" i="78" s="1"/>
  <c r="J236" i="78" s="1"/>
  <c r="L236" i="78" s="1"/>
  <c r="M236" i="78" s="1"/>
  <c r="E180" i="78"/>
  <c r="H180" i="78" s="1"/>
  <c r="J180" i="78" s="1"/>
  <c r="L180" i="78" s="1"/>
  <c r="M180" i="78" s="1"/>
  <c r="E177" i="78"/>
  <c r="H177" i="78" s="1"/>
  <c r="J177" i="78" s="1"/>
  <c r="L177" i="78" s="1"/>
  <c r="M177" i="78" s="1"/>
  <c r="E128" i="78"/>
  <c r="H128" i="78" s="1"/>
  <c r="J128" i="78" s="1"/>
  <c r="L128" i="78" s="1"/>
  <c r="M128" i="78" s="1"/>
  <c r="E143" i="78"/>
  <c r="H143" i="78" s="1"/>
  <c r="J143" i="78" s="1"/>
  <c r="L143" i="78" s="1"/>
  <c r="M143" i="78" s="1"/>
  <c r="E65" i="78"/>
  <c r="H65" i="78" s="1"/>
  <c r="J65" i="78" s="1"/>
  <c r="L65" i="78" s="1"/>
  <c r="M65" i="78" s="1"/>
  <c r="E62" i="78"/>
  <c r="H62" i="78" s="1"/>
  <c r="J62" i="78" s="1"/>
  <c r="L62" i="78" s="1"/>
  <c r="M62" i="78" s="1"/>
  <c r="E26" i="78"/>
  <c r="H26" i="78" s="1"/>
  <c r="J26" i="78" s="1"/>
  <c r="L26" i="78" s="1"/>
  <c r="M26" i="78" s="1"/>
  <c r="E36" i="78"/>
  <c r="H36" i="78" s="1"/>
  <c r="J36" i="78" s="1"/>
  <c r="L36" i="78" s="1"/>
  <c r="M36" i="78" s="1"/>
  <c r="E61" i="78"/>
  <c r="H61" i="78" s="1"/>
  <c r="J61" i="78" s="1"/>
  <c r="L61" i="78" s="1"/>
  <c r="M61" i="78" s="1"/>
  <c r="E129" i="78"/>
  <c r="H129" i="78" s="1"/>
  <c r="J129" i="78" s="1"/>
  <c r="L129" i="78" s="1"/>
  <c r="M129" i="78" s="1"/>
  <c r="E308" i="78"/>
  <c r="H308" i="78" s="1"/>
  <c r="J308" i="78" s="1"/>
  <c r="L308" i="78" s="1"/>
  <c r="M308" i="78" s="1"/>
  <c r="E171" i="78"/>
  <c r="H171" i="78" s="1"/>
  <c r="J171" i="78" s="1"/>
  <c r="L171" i="78" s="1"/>
  <c r="M171" i="78" s="1"/>
  <c r="E249" i="78"/>
  <c r="H249" i="78" s="1"/>
  <c r="J249" i="78" s="1"/>
  <c r="L249" i="78" s="1"/>
  <c r="M249" i="78" s="1"/>
  <c r="E207" i="78"/>
  <c r="H207" i="78" s="1"/>
  <c r="J207" i="78" s="1"/>
  <c r="L207" i="78" s="1"/>
  <c r="M207" i="78" s="1"/>
  <c r="E176" i="78"/>
  <c r="H176" i="78" s="1"/>
  <c r="J176" i="78" s="1"/>
  <c r="L176" i="78" s="1"/>
  <c r="M176" i="78" s="1"/>
  <c r="E205" i="78"/>
  <c r="H205" i="78" s="1"/>
  <c r="J205" i="78" s="1"/>
  <c r="L205" i="78" s="1"/>
  <c r="M205" i="78" s="1"/>
  <c r="E51" i="78"/>
  <c r="H51" i="78" s="1"/>
  <c r="J51" i="78" s="1"/>
  <c r="L51" i="78" s="1"/>
  <c r="M51" i="78" s="1"/>
  <c r="E248" i="78"/>
  <c r="H248" i="78" s="1"/>
  <c r="J248" i="78" s="1"/>
  <c r="L248" i="78" s="1"/>
  <c r="M248" i="78" s="1"/>
  <c r="E121" i="78"/>
  <c r="H121" i="78" s="1"/>
  <c r="J121" i="78" s="1"/>
  <c r="L121" i="78" s="1"/>
  <c r="M121" i="78" s="1"/>
  <c r="E74" i="78"/>
  <c r="H74" i="78" s="1"/>
  <c r="J74" i="78" s="1"/>
  <c r="L74" i="78" s="1"/>
  <c r="M74" i="78" s="1"/>
  <c r="E25" i="78"/>
  <c r="H25" i="78" s="1"/>
  <c r="J25" i="78" s="1"/>
  <c r="L25" i="78" s="1"/>
  <c r="M25" i="78" s="1"/>
  <c r="E47" i="78"/>
  <c r="H47" i="78" s="1"/>
  <c r="J47" i="78" s="1"/>
  <c r="L47" i="78" s="1"/>
  <c r="M47" i="78" s="1"/>
  <c r="E75" i="78"/>
  <c r="H75" i="78" s="1"/>
  <c r="J75" i="78" s="1"/>
  <c r="L75" i="78" s="1"/>
  <c r="M75" i="78" s="1"/>
  <c r="E106" i="78"/>
  <c r="H106" i="78" s="1"/>
  <c r="J106" i="78" s="1"/>
  <c r="L106" i="78" s="1"/>
  <c r="M106" i="78" s="1"/>
  <c r="E302" i="78"/>
  <c r="H302" i="78" s="1"/>
  <c r="J302" i="78" s="1"/>
  <c r="L302" i="78" s="1"/>
  <c r="M302" i="78" s="1"/>
  <c r="E166" i="78"/>
  <c r="H166" i="78" s="1"/>
  <c r="J166" i="78" s="1"/>
  <c r="L166" i="78" s="1"/>
  <c r="M166" i="78" s="1"/>
  <c r="E46" i="78"/>
  <c r="H46" i="78" s="1"/>
  <c r="J46" i="78" s="1"/>
  <c r="L46" i="78" s="1"/>
  <c r="M46" i="78" s="1"/>
  <c r="E28" i="78"/>
  <c r="H28" i="78" s="1"/>
  <c r="J28" i="78" s="1"/>
  <c r="L28" i="78" s="1"/>
  <c r="M28" i="78" s="1"/>
  <c r="E137" i="78"/>
  <c r="H137" i="78" s="1"/>
  <c r="J137" i="78" s="1"/>
  <c r="L137" i="78" s="1"/>
  <c r="M137" i="78" s="1"/>
  <c r="E284" i="78"/>
  <c r="H284" i="78" s="1"/>
  <c r="J284" i="78" s="1"/>
  <c r="L284" i="78" s="1"/>
  <c r="M284" i="78" s="1"/>
  <c r="E104" i="78"/>
  <c r="H104" i="78" s="1"/>
  <c r="J104" i="78" s="1"/>
  <c r="L104" i="78" s="1"/>
  <c r="M104" i="78" s="1"/>
  <c r="E59" i="78"/>
  <c r="H59" i="78" s="1"/>
  <c r="J59" i="78" s="1"/>
  <c r="L59" i="78" s="1"/>
  <c r="M59" i="78" s="1"/>
  <c r="E245" i="78"/>
  <c r="H245" i="78" s="1"/>
  <c r="J245" i="78" s="1"/>
  <c r="L245" i="78" s="1"/>
  <c r="M245" i="78" s="1"/>
  <c r="E126" i="78"/>
  <c r="H126" i="78" s="1"/>
  <c r="J126" i="78" s="1"/>
  <c r="L126" i="78" s="1"/>
  <c r="M126" i="78" s="1"/>
  <c r="E115" i="78"/>
  <c r="H115" i="78" s="1"/>
  <c r="J115" i="78" s="1"/>
  <c r="L115" i="78" s="1"/>
  <c r="M115" i="78" s="1"/>
  <c r="E35" i="78"/>
  <c r="H35" i="78" s="1"/>
  <c r="J35" i="78" s="1"/>
  <c r="L35" i="78" s="1"/>
  <c r="M35" i="78" s="1"/>
  <c r="E314" i="78"/>
  <c r="H314" i="78" s="1"/>
  <c r="J314" i="78" s="1"/>
  <c r="L314" i="78" s="1"/>
  <c r="M314" i="78" s="1"/>
  <c r="E206" i="78"/>
  <c r="H206" i="78" s="1"/>
  <c r="J206" i="78" s="1"/>
  <c r="L206" i="78" s="1"/>
  <c r="M206" i="78" s="1"/>
  <c r="E34" i="78"/>
  <c r="H34" i="78" s="1"/>
  <c r="J34" i="78" s="1"/>
  <c r="L34" i="78" s="1"/>
  <c r="M34" i="78" s="1"/>
  <c r="E288" i="78"/>
  <c r="H288" i="78" s="1"/>
  <c r="J288" i="78" s="1"/>
  <c r="L288" i="78" s="1"/>
  <c r="M288" i="78" s="1"/>
  <c r="E324" i="78"/>
  <c r="H324" i="78" s="1"/>
  <c r="J324" i="78" s="1"/>
  <c r="L324" i="78" s="1"/>
  <c r="M324" i="78" s="1"/>
  <c r="E235" i="78"/>
  <c r="H235" i="78" s="1"/>
  <c r="J235" i="78" s="1"/>
  <c r="L235" i="78" s="1"/>
  <c r="M235" i="78" s="1"/>
  <c r="E172" i="78"/>
  <c r="H172" i="78" s="1"/>
  <c r="J172" i="78" s="1"/>
  <c r="L172" i="78" s="1"/>
  <c r="M172" i="78" s="1"/>
  <c r="E141" i="78"/>
  <c r="H141" i="78" s="1"/>
  <c r="J141" i="78" s="1"/>
  <c r="L141" i="78" s="1"/>
  <c r="M141" i="78" s="1"/>
  <c r="E16" i="78"/>
  <c r="H16" i="78" s="1"/>
  <c r="J16" i="78" s="1"/>
  <c r="L16" i="78" s="1"/>
  <c r="M16" i="78" s="1"/>
  <c r="E95" i="78"/>
  <c r="H95" i="78" s="1"/>
  <c r="J95" i="78" s="1"/>
  <c r="L95" i="78" s="1"/>
  <c r="M95" i="78" s="1"/>
  <c r="E9" i="78"/>
  <c r="E250" i="78"/>
  <c r="H250" i="78" s="1"/>
  <c r="J250" i="78" s="1"/>
  <c r="L250" i="78" s="1"/>
  <c r="M250" i="78" s="1"/>
  <c r="E173" i="78"/>
  <c r="H173" i="78" s="1"/>
  <c r="J173" i="78" s="1"/>
  <c r="L173" i="78" s="1"/>
  <c r="M173" i="78" s="1"/>
  <c r="E116" i="78"/>
  <c r="H116" i="78" s="1"/>
  <c r="J116" i="78" s="1"/>
  <c r="L116" i="78" s="1"/>
  <c r="M116" i="78" s="1"/>
  <c r="E256" i="78"/>
  <c r="H256" i="78" s="1"/>
  <c r="J256" i="78" s="1"/>
  <c r="L256" i="78" s="1"/>
  <c r="M256" i="78" s="1"/>
  <c r="E183" i="78"/>
  <c r="H183" i="78" s="1"/>
  <c r="J183" i="78" s="1"/>
  <c r="L183" i="78" s="1"/>
  <c r="M183" i="78" s="1"/>
  <c r="E131" i="78"/>
  <c r="H131" i="78" s="1"/>
  <c r="J131" i="78" s="1"/>
  <c r="L131" i="78" s="1"/>
  <c r="M131" i="78" s="1"/>
  <c r="E98" i="78"/>
  <c r="H98" i="78" s="1"/>
  <c r="J98" i="78" s="1"/>
  <c r="L98" i="78" s="1"/>
  <c r="M98" i="78" s="1"/>
  <c r="E303" i="78"/>
  <c r="H303" i="78" s="1"/>
  <c r="J303" i="78" s="1"/>
  <c r="L303" i="78" s="1"/>
  <c r="M303" i="78" s="1"/>
  <c r="E299" i="78"/>
  <c r="H299" i="78" s="1"/>
  <c r="J299" i="78" s="1"/>
  <c r="L299" i="78" s="1"/>
  <c r="M299" i="78" s="1"/>
  <c r="E294" i="78"/>
  <c r="H294" i="78" s="1"/>
  <c r="J294" i="78" s="1"/>
  <c r="L294" i="78" s="1"/>
  <c r="M294" i="78" s="1"/>
  <c r="E238" i="78"/>
  <c r="H238" i="78" s="1"/>
  <c r="J238" i="78" s="1"/>
  <c r="L238" i="78" s="1"/>
  <c r="M238" i="78" s="1"/>
  <c r="E161" i="78"/>
  <c r="H161" i="78" s="1"/>
  <c r="J161" i="78" s="1"/>
  <c r="L161" i="78" s="1"/>
  <c r="M161" i="78" s="1"/>
  <c r="E160" i="78"/>
  <c r="H160" i="78" s="1"/>
  <c r="J160" i="78" s="1"/>
  <c r="L160" i="78" s="1"/>
  <c r="M160" i="78" s="1"/>
  <c r="E136" i="78"/>
  <c r="H136" i="78" s="1"/>
  <c r="J136" i="78" s="1"/>
  <c r="L136" i="78" s="1"/>
  <c r="M136" i="78" s="1"/>
  <c r="E87" i="78"/>
  <c r="H87" i="78" s="1"/>
  <c r="J87" i="78" s="1"/>
  <c r="L87" i="78" s="1"/>
  <c r="M87" i="78" s="1"/>
  <c r="E102" i="78"/>
  <c r="H102" i="78" s="1"/>
  <c r="J102" i="78" s="1"/>
  <c r="L102" i="78" s="1"/>
  <c r="M102" i="78" s="1"/>
  <c r="E38" i="78"/>
  <c r="H38" i="78" s="1"/>
  <c r="J38" i="78" s="1"/>
  <c r="L38" i="78" s="1"/>
  <c r="M38" i="78" s="1"/>
  <c r="E113" i="78"/>
  <c r="H113" i="78" s="1"/>
  <c r="J113" i="78" s="1"/>
  <c r="L113" i="78" s="1"/>
  <c r="M113" i="78" s="1"/>
  <c r="E21" i="78"/>
  <c r="H21" i="78" s="1"/>
  <c r="J21" i="78" s="1"/>
  <c r="L21" i="78" s="1"/>
  <c r="M21" i="78" s="1"/>
  <c r="E242" i="78"/>
  <c r="H242" i="78" s="1"/>
  <c r="J242" i="78" s="1"/>
  <c r="L242" i="78" s="1"/>
  <c r="M242" i="78" s="1"/>
  <c r="E190" i="78"/>
  <c r="H190" i="78" s="1"/>
  <c r="J190" i="78" s="1"/>
  <c r="L190" i="78" s="1"/>
  <c r="M190" i="78" s="1"/>
  <c r="E148" i="78"/>
  <c r="H148" i="78" s="1"/>
  <c r="J148" i="78" s="1"/>
  <c r="L148" i="78" s="1"/>
  <c r="M148" i="78" s="1"/>
  <c r="E182" i="78"/>
  <c r="H182" i="78" s="1"/>
  <c r="J182" i="78" s="1"/>
  <c r="L182" i="78" s="1"/>
  <c r="M182" i="78" s="1"/>
  <c r="E156" i="78"/>
  <c r="H156" i="78" s="1"/>
  <c r="J156" i="78" s="1"/>
  <c r="L156" i="78" s="1"/>
  <c r="M156" i="78" s="1"/>
  <c r="E19" i="78"/>
  <c r="H19" i="78" s="1"/>
  <c r="J19" i="78" s="1"/>
  <c r="L19" i="78" s="1"/>
  <c r="M19" i="78" s="1"/>
  <c r="E27" i="78"/>
  <c r="H27" i="78" s="1"/>
  <c r="J27" i="78" s="1"/>
  <c r="L27" i="78" s="1"/>
  <c r="M27" i="78" s="1"/>
  <c r="E68" i="78"/>
  <c r="H68" i="78" s="1"/>
  <c r="J68" i="78" s="1"/>
  <c r="L68" i="78" s="1"/>
  <c r="M68" i="78" s="1"/>
  <c r="E286" i="78"/>
  <c r="H286" i="78" s="1"/>
  <c r="J286" i="78" s="1"/>
  <c r="L286" i="78" s="1"/>
  <c r="M286" i="78" s="1"/>
  <c r="E225" i="78"/>
  <c r="H225" i="78" s="1"/>
  <c r="J225" i="78" s="1"/>
  <c r="L225" i="78" s="1"/>
  <c r="M225" i="78" s="1"/>
  <c r="E168" i="78"/>
  <c r="H168" i="78" s="1"/>
  <c r="J168" i="78" s="1"/>
  <c r="L168" i="78" s="1"/>
  <c r="M168" i="78" s="1"/>
  <c r="E110" i="78"/>
  <c r="H110" i="78" s="1"/>
  <c r="J110" i="78" s="1"/>
  <c r="L110" i="78" s="1"/>
  <c r="M110" i="78" s="1"/>
  <c r="E22" i="78"/>
  <c r="H22" i="78" s="1"/>
  <c r="J22" i="78" s="1"/>
  <c r="L22" i="78" s="1"/>
  <c r="M22" i="78" s="1"/>
  <c r="E33" i="78"/>
  <c r="H33" i="78" s="1"/>
  <c r="J33" i="78" s="1"/>
  <c r="L33" i="78" s="1"/>
  <c r="M33" i="78" s="1"/>
  <c r="I316" i="67"/>
  <c r="F12" i="6"/>
  <c r="F14" i="6"/>
  <c r="F18" i="6" s="1"/>
  <c r="M244" i="78" l="1"/>
  <c r="V28" i="78"/>
  <c r="V242" i="78"/>
  <c r="V121" i="78"/>
  <c r="V128" i="78"/>
  <c r="V233" i="78"/>
  <c r="V68" i="78"/>
  <c r="V238" i="78"/>
  <c r="V116" i="78"/>
  <c r="V248" i="78"/>
  <c r="V300" i="78"/>
  <c r="V157" i="78"/>
  <c r="V270" i="78"/>
  <c r="V165" i="78"/>
  <c r="V264" i="78"/>
  <c r="V117" i="78"/>
  <c r="V84" i="78"/>
  <c r="V188" i="78"/>
  <c r="V119" i="78"/>
  <c r="V32" i="78"/>
  <c r="V230" i="78"/>
  <c r="V298" i="78"/>
  <c r="V274" i="78"/>
  <c r="V306" i="78"/>
  <c r="V20" i="78"/>
  <c r="V237" i="78"/>
  <c r="V38" i="78"/>
  <c r="V59" i="78"/>
  <c r="V106" i="78"/>
  <c r="V36" i="78"/>
  <c r="V146" i="78"/>
  <c r="V24" i="78"/>
  <c r="V149" i="78"/>
  <c r="V44" i="78"/>
  <c r="V11" i="78"/>
  <c r="V252" i="78"/>
  <c r="V234" i="78"/>
  <c r="V195" i="78"/>
  <c r="V193" i="78"/>
  <c r="V290" i="78"/>
  <c r="V212" i="78"/>
  <c r="V283" i="78"/>
  <c r="V276" i="78"/>
  <c r="V64" i="78"/>
  <c r="V204" i="78"/>
  <c r="V175" i="78"/>
  <c r="V22" i="78"/>
  <c r="V156" i="78"/>
  <c r="H9" i="78"/>
  <c r="E326" i="78"/>
  <c r="E8" i="78"/>
  <c r="V34" i="78"/>
  <c r="V104" i="78"/>
  <c r="V75" i="78"/>
  <c r="V63" i="78"/>
  <c r="V55" i="78"/>
  <c r="V181" i="78"/>
  <c r="V267" i="78"/>
  <c r="V282" i="78"/>
  <c r="V241" i="78"/>
  <c r="V198" i="78"/>
  <c r="V58" i="78"/>
  <c r="V209" i="78"/>
  <c r="V140" i="78"/>
  <c r="V220" i="78"/>
  <c r="V295" i="78"/>
  <c r="V289" i="78"/>
  <c r="V61" i="78"/>
  <c r="V142" i="78"/>
  <c r="V85" i="78"/>
  <c r="V266" i="78"/>
  <c r="V253" i="78"/>
  <c r="V95" i="78"/>
  <c r="V206" i="78"/>
  <c r="V284" i="78"/>
  <c r="V62" i="78"/>
  <c r="V318" i="78"/>
  <c r="V320" i="78"/>
  <c r="V159" i="78"/>
  <c r="V54" i="78"/>
  <c r="V208" i="78"/>
  <c r="V45" i="78"/>
  <c r="V315" i="78"/>
  <c r="V321" i="78"/>
  <c r="V228" i="78"/>
  <c r="L323" i="78"/>
  <c r="M323" i="78" s="1"/>
  <c r="V280" i="78"/>
  <c r="V201" i="78"/>
  <c r="V60" i="78"/>
  <c r="V37" i="78"/>
  <c r="V173" i="78"/>
  <c r="V51" i="78"/>
  <c r="V260" i="78"/>
  <c r="V151" i="78"/>
  <c r="V111" i="78"/>
  <c r="V148" i="78"/>
  <c r="V136" i="78"/>
  <c r="V131" i="78"/>
  <c r="V16" i="78"/>
  <c r="V137" i="78"/>
  <c r="V249" i="78"/>
  <c r="V65" i="78"/>
  <c r="V96" i="78"/>
  <c r="V219" i="78"/>
  <c r="V184" i="78"/>
  <c r="V103" i="78"/>
  <c r="V263" i="78"/>
  <c r="V52" i="78"/>
  <c r="V125" i="78"/>
  <c r="V49" i="78"/>
  <c r="V31" i="78"/>
  <c r="V66" i="78"/>
  <c r="V179" i="78"/>
  <c r="V305" i="78"/>
  <c r="V214" i="78"/>
  <c r="V107" i="78"/>
  <c r="V196" i="78"/>
  <c r="V273" i="78"/>
  <c r="V224" i="78"/>
  <c r="V80" i="78"/>
  <c r="V211" i="78"/>
  <c r="V105" i="78"/>
  <c r="V247" i="78"/>
  <c r="V171" i="78"/>
  <c r="V143" i="78"/>
  <c r="V311" i="78"/>
  <c r="V79" i="78"/>
  <c r="V70" i="78"/>
  <c r="V202" i="78"/>
  <c r="V262" i="78"/>
  <c r="V57" i="78"/>
  <c r="V67" i="78"/>
  <c r="V86" i="78"/>
  <c r="V268" i="78"/>
  <c r="V316" i="78"/>
  <c r="V271" i="78"/>
  <c r="V275" i="78"/>
  <c r="V14" i="78"/>
  <c r="V217" i="78"/>
  <c r="V285" i="78"/>
  <c r="V160" i="78"/>
  <c r="V172" i="78"/>
  <c r="V46" i="78"/>
  <c r="V89" i="78"/>
  <c r="V83" i="78"/>
  <c r="V317" i="78"/>
  <c r="V169" i="78"/>
  <c r="V97" i="78"/>
  <c r="V259" i="78"/>
  <c r="V312" i="78"/>
  <c r="V10" i="78"/>
  <c r="V153" i="78"/>
  <c r="V130" i="78"/>
  <c r="V243" i="78"/>
  <c r="V120" i="78"/>
  <c r="V12" i="78"/>
  <c r="I321" i="67"/>
  <c r="F8" i="67"/>
  <c r="I153" i="67"/>
  <c r="J9" i="78" l="1"/>
  <c r="H326" i="78"/>
  <c r="H7" i="78" s="1"/>
  <c r="H8" i="78"/>
  <c r="H6" i="78" s="1"/>
  <c r="I288" i="67"/>
  <c r="I280" i="67"/>
  <c r="F7" i="67"/>
  <c r="I301" i="67"/>
  <c r="L9" i="78" l="1"/>
  <c r="J326" i="78"/>
  <c r="J7" i="78" s="1"/>
  <c r="J8" i="78"/>
  <c r="I19" i="67"/>
  <c r="I190" i="67"/>
  <c r="I129" i="67"/>
  <c r="I217" i="67"/>
  <c r="I43" i="67"/>
  <c r="I13" i="67"/>
  <c r="I113" i="67"/>
  <c r="I195" i="67"/>
  <c r="I116" i="67"/>
  <c r="I87" i="67"/>
  <c r="I203" i="67"/>
  <c r="I215" i="67"/>
  <c r="I137" i="67"/>
  <c r="I249" i="67"/>
  <c r="I77" i="67"/>
  <c r="I122" i="67"/>
  <c r="I33" i="67"/>
  <c r="I32" i="67"/>
  <c r="I286" i="67"/>
  <c r="I200" i="67"/>
  <c r="I57" i="67"/>
  <c r="I230" i="67"/>
  <c r="I30" i="67"/>
  <c r="I208" i="67"/>
  <c r="I274" i="67"/>
  <c r="I119" i="67"/>
  <c r="I99" i="67"/>
  <c r="I282" i="67"/>
  <c r="I82" i="67"/>
  <c r="I29" i="67"/>
  <c r="I16" i="67"/>
  <c r="I216" i="67"/>
  <c r="I317" i="67"/>
  <c r="I64" i="67"/>
  <c r="I248" i="67"/>
  <c r="I130" i="67"/>
  <c r="I267" i="67"/>
  <c r="I34" i="67"/>
  <c r="I110" i="67"/>
  <c r="I298" i="67"/>
  <c r="I112" i="67"/>
  <c r="I187" i="67"/>
  <c r="I26" i="67"/>
  <c r="I191" i="67"/>
  <c r="I70" i="67"/>
  <c r="I136" i="67"/>
  <c r="I284" i="67"/>
  <c r="I111" i="67"/>
  <c r="I59" i="67"/>
  <c r="I186" i="67"/>
  <c r="I106" i="67"/>
  <c r="I214" i="67"/>
  <c r="I193" i="67"/>
  <c r="I166" i="67"/>
  <c r="I247" i="67"/>
  <c r="I109" i="67"/>
  <c r="I199" i="67"/>
  <c r="I277" i="67"/>
  <c r="I209" i="67"/>
  <c r="I281" i="67"/>
  <c r="I55" i="67"/>
  <c r="I238" i="67"/>
  <c r="I223" i="67"/>
  <c r="I151" i="67"/>
  <c r="I79" i="67"/>
  <c r="I294" i="67"/>
  <c r="I93" i="67"/>
  <c r="D8" i="67"/>
  <c r="I105" i="67"/>
  <c r="I165" i="67"/>
  <c r="I141" i="67"/>
  <c r="I149" i="67"/>
  <c r="I75" i="67"/>
  <c r="I258" i="67"/>
  <c r="I123" i="67"/>
  <c r="I54" i="67"/>
  <c r="I225" i="67"/>
  <c r="I296" i="67"/>
  <c r="I177" i="67"/>
  <c r="I175" i="67"/>
  <c r="I173" i="67"/>
  <c r="I56" i="67"/>
  <c r="I241" i="67"/>
  <c r="I206" i="67"/>
  <c r="I27" i="67"/>
  <c r="I207" i="67"/>
  <c r="I42" i="67"/>
  <c r="I201" i="67"/>
  <c r="I226" i="67"/>
  <c r="I84" i="67"/>
  <c r="I78" i="67"/>
  <c r="I144" i="67"/>
  <c r="I103" i="67"/>
  <c r="I275" i="67"/>
  <c r="I213" i="67"/>
  <c r="I235" i="67"/>
  <c r="I17" i="67"/>
  <c r="I269" i="67"/>
  <c r="I219" i="67"/>
  <c r="I14" i="67"/>
  <c r="I259" i="67"/>
  <c r="I237" i="67"/>
  <c r="I108" i="67"/>
  <c r="I233" i="67"/>
  <c r="I125" i="67"/>
  <c r="I114" i="67"/>
  <c r="I172" i="67"/>
  <c r="I310" i="67"/>
  <c r="I308" i="67"/>
  <c r="I306" i="67"/>
  <c r="I302" i="67"/>
  <c r="I303" i="67"/>
  <c r="I313" i="67"/>
  <c r="I311" i="67"/>
  <c r="I24" i="67"/>
  <c r="I15" i="67"/>
  <c r="I167" i="67"/>
  <c r="I36" i="67"/>
  <c r="I240" i="67"/>
  <c r="I312" i="67"/>
  <c r="I61" i="67"/>
  <c r="I71" i="67"/>
  <c r="I262" i="67"/>
  <c r="I74" i="67"/>
  <c r="I117" i="67"/>
  <c r="I44" i="67"/>
  <c r="I297" i="67"/>
  <c r="I21" i="67"/>
  <c r="I35" i="67"/>
  <c r="I268" i="67"/>
  <c r="I91" i="67"/>
  <c r="I118" i="67"/>
  <c r="I221" i="67"/>
  <c r="I92" i="67"/>
  <c r="I291" i="67"/>
  <c r="I133" i="67"/>
  <c r="I159" i="67"/>
  <c r="I80" i="67"/>
  <c r="I152" i="67"/>
  <c r="I150" i="67"/>
  <c r="I9" i="67"/>
  <c r="I295" i="67"/>
  <c r="I23" i="67"/>
  <c r="I263" i="67"/>
  <c r="I182" i="67"/>
  <c r="I196" i="67"/>
  <c r="I39" i="67"/>
  <c r="I289" i="67"/>
  <c r="I38" i="67"/>
  <c r="I244" i="67"/>
  <c r="I212" i="67"/>
  <c r="I10" i="67"/>
  <c r="I58" i="67"/>
  <c r="I178" i="67"/>
  <c r="I292" i="67"/>
  <c r="I101" i="67"/>
  <c r="I63" i="67"/>
  <c r="I242" i="67"/>
  <c r="I97" i="67"/>
  <c r="I232" i="67"/>
  <c r="I138" i="67"/>
  <c r="I198" i="67"/>
  <c r="I168" i="67"/>
  <c r="I104" i="67"/>
  <c r="I161" i="67"/>
  <c r="I181" i="67"/>
  <c r="I179" i="67"/>
  <c r="I25" i="67"/>
  <c r="I194" i="67"/>
  <c r="I146" i="67"/>
  <c r="I264" i="67"/>
  <c r="I188" i="67"/>
  <c r="I176" i="67"/>
  <c r="I211" i="67"/>
  <c r="I239" i="67"/>
  <c r="I160" i="67"/>
  <c r="I293" i="67"/>
  <c r="I169" i="67"/>
  <c r="I162" i="67"/>
  <c r="I60" i="67"/>
  <c r="I229" i="67"/>
  <c r="I250" i="67"/>
  <c r="I205" i="67"/>
  <c r="I257" i="67"/>
  <c r="I31" i="67"/>
  <c r="I272" i="67"/>
  <c r="I255" i="67"/>
  <c r="I66" i="67"/>
  <c r="I189" i="67"/>
  <c r="I45" i="67"/>
  <c r="I197" i="67"/>
  <c r="I88" i="67"/>
  <c r="I20" i="67"/>
  <c r="I72" i="67"/>
  <c r="I290" i="67"/>
  <c r="I86" i="67"/>
  <c r="I309" i="67"/>
  <c r="I231" i="67"/>
  <c r="I184" i="67"/>
  <c r="I132" i="67"/>
  <c r="I224" i="67"/>
  <c r="I52" i="67"/>
  <c r="I28" i="67"/>
  <c r="I227" i="67"/>
  <c r="I11" i="67"/>
  <c r="I120" i="67"/>
  <c r="I53" i="67"/>
  <c r="I156" i="67"/>
  <c r="I234" i="67"/>
  <c r="I155" i="67"/>
  <c r="I147" i="67"/>
  <c r="I252" i="67"/>
  <c r="I81" i="67"/>
  <c r="I124" i="67"/>
  <c r="I157" i="67"/>
  <c r="I73" i="67"/>
  <c r="I12" i="67"/>
  <c r="I140" i="67"/>
  <c r="I107" i="67"/>
  <c r="I148" i="67"/>
  <c r="I236" i="67"/>
  <c r="I126" i="67"/>
  <c r="I253" i="67"/>
  <c r="I62" i="67"/>
  <c r="I96" i="67"/>
  <c r="I246" i="67"/>
  <c r="I243" i="67"/>
  <c r="I185" i="67"/>
  <c r="I98" i="67"/>
  <c r="I163" i="67"/>
  <c r="I143" i="67"/>
  <c r="I142" i="67"/>
  <c r="I37" i="67"/>
  <c r="I89" i="67"/>
  <c r="I40" i="67"/>
  <c r="I68" i="67"/>
  <c r="I128" i="67"/>
  <c r="I287" i="67"/>
  <c r="I65" i="67"/>
  <c r="I218" i="67"/>
  <c r="I307" i="67"/>
  <c r="I314" i="67"/>
  <c r="I305" i="67"/>
  <c r="I183" i="67"/>
  <c r="I41" i="67"/>
  <c r="I285" i="67"/>
  <c r="I273" i="67"/>
  <c r="I51" i="67"/>
  <c r="I131" i="67"/>
  <c r="I254" i="67"/>
  <c r="I83" i="67"/>
  <c r="I49" i="67"/>
  <c r="I139" i="67"/>
  <c r="I171" i="67"/>
  <c r="I115" i="67"/>
  <c r="I300" i="67"/>
  <c r="I170" i="67"/>
  <c r="I270" i="67"/>
  <c r="I180" i="67"/>
  <c r="I210" i="67"/>
  <c r="I100" i="67"/>
  <c r="I220" i="67"/>
  <c r="I261" i="67"/>
  <c r="I318" i="67"/>
  <c r="I319" i="67"/>
  <c r="I320" i="67"/>
  <c r="I276" i="67"/>
  <c r="I67" i="67"/>
  <c r="I279" i="67"/>
  <c r="I47" i="67"/>
  <c r="I266" i="67"/>
  <c r="I50" i="67"/>
  <c r="I278" i="67"/>
  <c r="I202" i="67"/>
  <c r="I304" i="67"/>
  <c r="I18" i="67"/>
  <c r="I85" i="67"/>
  <c r="I22" i="67"/>
  <c r="I134" i="67"/>
  <c r="I145" i="67"/>
  <c r="I164" i="67"/>
  <c r="I154" i="67"/>
  <c r="I315" i="67"/>
  <c r="I121" i="67"/>
  <c r="I127" i="67"/>
  <c r="I260" i="67"/>
  <c r="I204" i="67"/>
  <c r="I46" i="67"/>
  <c r="I192" i="67"/>
  <c r="I90" i="67"/>
  <c r="I251" i="67"/>
  <c r="I48" i="67"/>
  <c r="I76" i="67"/>
  <c r="I222" i="67"/>
  <c r="I245" i="67"/>
  <c r="I174" i="67"/>
  <c r="I271" i="67"/>
  <c r="I158" i="67"/>
  <c r="I299" i="67"/>
  <c r="I69" i="67"/>
  <c r="I228" i="67"/>
  <c r="I135" i="67"/>
  <c r="I94" i="67"/>
  <c r="I256" i="67"/>
  <c r="I265" i="67"/>
  <c r="I102" i="67"/>
  <c r="I95" i="67"/>
  <c r="L8" i="78" l="1"/>
  <c r="L326" i="78"/>
  <c r="L7" i="78" s="1"/>
  <c r="L3" i="78" s="1"/>
  <c r="M9" i="78"/>
  <c r="I283" i="67"/>
  <c r="C4" i="69"/>
  <c r="I8" i="67"/>
  <c r="M326" i="78" l="1"/>
  <c r="M7" i="78" s="1"/>
  <c r="M8" i="78"/>
  <c r="C19" i="6" s="1"/>
  <c r="C21" i="6" s="1"/>
  <c r="I7" i="67"/>
  <c r="D7" i="67"/>
  <c r="N9" i="78" l="1"/>
  <c r="N183" i="78"/>
  <c r="O183" i="78" s="1"/>
  <c r="N256" i="78"/>
  <c r="O256" i="78" s="1"/>
  <c r="N21" i="78"/>
  <c r="O21" i="78" s="1"/>
  <c r="N126" i="78"/>
  <c r="O126" i="78" s="1"/>
  <c r="N177" i="78"/>
  <c r="O177" i="78" s="1"/>
  <c r="N281" i="78"/>
  <c r="O281" i="78" s="1"/>
  <c r="N229" i="78"/>
  <c r="O229" i="78" s="1"/>
  <c r="N188" i="78"/>
  <c r="O188" i="78" s="1"/>
  <c r="N306" i="78"/>
  <c r="O306" i="78" s="1"/>
  <c r="N205" i="78"/>
  <c r="O205" i="78" s="1"/>
  <c r="V205" i="78" s="1"/>
  <c r="N24" i="78"/>
  <c r="O24" i="78" s="1"/>
  <c r="N234" i="78"/>
  <c r="O234" i="78" s="1"/>
  <c r="N195" i="78"/>
  <c r="O195" i="78" s="1"/>
  <c r="N212" i="78"/>
  <c r="O212" i="78" s="1"/>
  <c r="N69" i="78"/>
  <c r="O69" i="78" s="1"/>
  <c r="N48" i="78"/>
  <c r="O48" i="78" s="1"/>
  <c r="N109" i="78"/>
  <c r="O109" i="78" s="1"/>
  <c r="N309" i="78"/>
  <c r="O309" i="78" s="1"/>
  <c r="N199" i="78"/>
  <c r="O199" i="78" s="1"/>
  <c r="N94" i="78"/>
  <c r="O94" i="78" s="1"/>
  <c r="N223" i="78"/>
  <c r="O223" i="78" s="1"/>
  <c r="N182" i="78"/>
  <c r="O182" i="78" s="1"/>
  <c r="N301" i="78"/>
  <c r="O301" i="78" s="1"/>
  <c r="N178" i="78"/>
  <c r="O178" i="78" s="1"/>
  <c r="N251" i="78"/>
  <c r="O251" i="78" s="1"/>
  <c r="N158" i="78"/>
  <c r="O158" i="78" s="1"/>
  <c r="N25" i="78"/>
  <c r="O25" i="78" s="1"/>
  <c r="N162" i="78"/>
  <c r="O162" i="78" s="1"/>
  <c r="N78" i="78"/>
  <c r="O78" i="78" s="1"/>
  <c r="N171" i="78"/>
  <c r="O171" i="78" s="1"/>
  <c r="N167" i="78"/>
  <c r="O167" i="78" s="1"/>
  <c r="N254" i="78"/>
  <c r="O254" i="78" s="1"/>
  <c r="N222" i="78"/>
  <c r="O222" i="78" s="1"/>
  <c r="N43" i="78"/>
  <c r="O43" i="78" s="1"/>
  <c r="N76" i="78"/>
  <c r="O76" i="78" s="1"/>
  <c r="N73" i="78"/>
  <c r="O73" i="78" s="1"/>
  <c r="N240" i="78"/>
  <c r="O240" i="78" s="1"/>
  <c r="N10" i="78"/>
  <c r="O10" i="78" s="1"/>
  <c r="N15" i="78"/>
  <c r="O15" i="78" s="1"/>
  <c r="N233" i="78"/>
  <c r="O233" i="78" s="1"/>
  <c r="N287" i="78"/>
  <c r="O287" i="78" s="1"/>
  <c r="N19" i="78"/>
  <c r="O19" i="78" s="1"/>
  <c r="N164" i="78"/>
  <c r="O164" i="78" s="1"/>
  <c r="N147" i="78"/>
  <c r="O147" i="78" s="1"/>
  <c r="N322" i="78"/>
  <c r="O322" i="78" s="1"/>
  <c r="N302" i="78"/>
  <c r="O302" i="78" s="1"/>
  <c r="N29" i="78"/>
  <c r="O29" i="78" s="1"/>
  <c r="N75" i="78"/>
  <c r="O75" i="78" s="1"/>
  <c r="N282" i="78"/>
  <c r="O282" i="78" s="1"/>
  <c r="N289" i="78"/>
  <c r="O289" i="78" s="1"/>
  <c r="N85" i="78"/>
  <c r="O85" i="78" s="1"/>
  <c r="N206" i="78"/>
  <c r="O206" i="78" s="1"/>
  <c r="N62" i="78"/>
  <c r="O62" i="78" s="1"/>
  <c r="N54" i="78"/>
  <c r="O54" i="78" s="1"/>
  <c r="N315" i="78"/>
  <c r="O315" i="78" s="1"/>
  <c r="N60" i="78"/>
  <c r="O60" i="78" s="1"/>
  <c r="N173" i="78"/>
  <c r="O173" i="78" s="1"/>
  <c r="N260" i="78"/>
  <c r="O260" i="78" s="1"/>
  <c r="N131" i="78"/>
  <c r="O131" i="78" s="1"/>
  <c r="N219" i="78"/>
  <c r="O219" i="78" s="1"/>
  <c r="N103" i="78"/>
  <c r="O103" i="78" s="1"/>
  <c r="N214" i="78"/>
  <c r="O214" i="78" s="1"/>
  <c r="N224" i="78"/>
  <c r="O224" i="78" s="1"/>
  <c r="N80" i="78"/>
  <c r="O80" i="78" s="1"/>
  <c r="N247" i="78"/>
  <c r="O247" i="78" s="1"/>
  <c r="N311" i="78"/>
  <c r="O311" i="78" s="1"/>
  <c r="N202" i="78"/>
  <c r="O202" i="78" s="1"/>
  <c r="N217" i="78"/>
  <c r="O217" i="78" s="1"/>
  <c r="N160" i="78"/>
  <c r="O160" i="78" s="1"/>
  <c r="N46" i="78"/>
  <c r="O46" i="78" s="1"/>
  <c r="N317" i="78"/>
  <c r="O317" i="78" s="1"/>
  <c r="N312" i="78"/>
  <c r="O312" i="78" s="1"/>
  <c r="N130" i="78"/>
  <c r="O130" i="78" s="1"/>
  <c r="N120" i="78"/>
  <c r="O120" i="78" s="1"/>
  <c r="N12" i="78"/>
  <c r="O12" i="78" s="1"/>
  <c r="N192" i="78"/>
  <c r="O192" i="78" s="1"/>
  <c r="N144" i="78"/>
  <c r="O144" i="78" s="1"/>
  <c r="N35" i="78"/>
  <c r="O35" i="78" s="1"/>
  <c r="N269" i="78"/>
  <c r="O269" i="78" s="1"/>
  <c r="N243" i="78"/>
  <c r="O243" i="78" s="1"/>
  <c r="N235" i="78"/>
  <c r="O235" i="78" s="1"/>
  <c r="N261" i="78"/>
  <c r="O261" i="78" s="1"/>
  <c r="N27" i="78"/>
  <c r="O27" i="78" s="1"/>
  <c r="N53" i="78"/>
  <c r="O53" i="78" s="1"/>
  <c r="N115" i="78"/>
  <c r="O115" i="78" s="1"/>
  <c r="N194" i="78"/>
  <c r="O194" i="78" s="1"/>
  <c r="N166" i="78"/>
  <c r="O166" i="78" s="1"/>
  <c r="N124" i="78"/>
  <c r="O124" i="78" s="1"/>
  <c r="N114" i="78"/>
  <c r="O114" i="78" s="1"/>
  <c r="N117" i="78"/>
  <c r="O117" i="78" s="1"/>
  <c r="N304" i="78"/>
  <c r="O304" i="78" s="1"/>
  <c r="V304" i="78" s="1"/>
  <c r="N32" i="78"/>
  <c r="O32" i="78" s="1"/>
  <c r="N298" i="78"/>
  <c r="O298" i="78" s="1"/>
  <c r="N319" i="78"/>
  <c r="O319" i="78" s="1"/>
  <c r="V319" i="78" s="1"/>
  <c r="N20" i="78"/>
  <c r="O20" i="78" s="1"/>
  <c r="N288" i="78"/>
  <c r="O288" i="78" s="1"/>
  <c r="V288" i="78" s="1"/>
  <c r="N36" i="78"/>
  <c r="O36" i="78" s="1"/>
  <c r="N149" i="78"/>
  <c r="O149" i="78" s="1"/>
  <c r="N252" i="78"/>
  <c r="O252" i="78" s="1"/>
  <c r="N138" i="78"/>
  <c r="O138" i="78" s="1"/>
  <c r="V138" i="78" s="1"/>
  <c r="N283" i="78"/>
  <c r="O283" i="78" s="1"/>
  <c r="N22" i="78"/>
  <c r="O22" i="78" s="1"/>
  <c r="N176" i="78"/>
  <c r="O176" i="78" s="1"/>
  <c r="N81" i="78"/>
  <c r="O81" i="78" s="1"/>
  <c r="N185" i="78"/>
  <c r="O185" i="78" s="1"/>
  <c r="N279" i="78"/>
  <c r="O279" i="78" s="1"/>
  <c r="N190" i="78"/>
  <c r="O190" i="78" s="1"/>
  <c r="N265" i="78"/>
  <c r="O265" i="78" s="1"/>
  <c r="N87" i="78"/>
  <c r="O87" i="78" s="1"/>
  <c r="N56" i="78"/>
  <c r="O56" i="78" s="1"/>
  <c r="N155" i="78"/>
  <c r="O155" i="78" s="1"/>
  <c r="N133" i="78"/>
  <c r="O133" i="78" s="1"/>
  <c r="N232" i="78"/>
  <c r="O232" i="78" s="1"/>
  <c r="N272" i="78"/>
  <c r="O272" i="78" s="1"/>
  <c r="N168" i="78"/>
  <c r="O168" i="78" s="1"/>
  <c r="V168" i="78" s="1"/>
  <c r="N257" i="78"/>
  <c r="O257" i="78" s="1"/>
  <c r="N227" i="78"/>
  <c r="O227" i="78" s="1"/>
  <c r="N112" i="78"/>
  <c r="O112" i="78" s="1"/>
  <c r="N225" i="78"/>
  <c r="O225" i="78" s="1"/>
  <c r="N325" i="78"/>
  <c r="O325" i="78" s="1"/>
  <c r="N17" i="78"/>
  <c r="O17" i="78" s="1"/>
  <c r="N72" i="78"/>
  <c r="O72" i="78" s="1"/>
  <c r="N244" i="78"/>
  <c r="O244" i="78" s="1"/>
  <c r="N129" i="78"/>
  <c r="O129" i="78" s="1"/>
  <c r="N175" i="78"/>
  <c r="O175" i="78" s="1"/>
  <c r="N307" i="78"/>
  <c r="O307" i="78" s="1"/>
  <c r="N110" i="78"/>
  <c r="O110" i="78" s="1"/>
  <c r="N74" i="78"/>
  <c r="O74" i="78" s="1"/>
  <c r="N127" i="78"/>
  <c r="O127" i="78" s="1"/>
  <c r="N28" i="78"/>
  <c r="O28" i="78" s="1"/>
  <c r="N238" i="78"/>
  <c r="O238" i="78" s="1"/>
  <c r="N270" i="78"/>
  <c r="O270" i="78" s="1"/>
  <c r="N145" i="78"/>
  <c r="O145" i="78" s="1"/>
  <c r="N42" i="78"/>
  <c r="O42" i="78" s="1"/>
  <c r="N150" i="78"/>
  <c r="O150" i="78" s="1"/>
  <c r="N152" i="78"/>
  <c r="O152" i="78" s="1"/>
  <c r="N113" i="78"/>
  <c r="O113" i="78" s="1"/>
  <c r="N41" i="78"/>
  <c r="O41" i="78" s="1"/>
  <c r="N236" i="78"/>
  <c r="O236" i="78" s="1"/>
  <c r="N163" i="78"/>
  <c r="O163" i="78" s="1"/>
  <c r="N246" i="78"/>
  <c r="O246" i="78" s="1"/>
  <c r="N63" i="78"/>
  <c r="O63" i="78" s="1"/>
  <c r="N181" i="78"/>
  <c r="O181" i="78" s="1"/>
  <c r="N58" i="78"/>
  <c r="O58" i="78" s="1"/>
  <c r="N220" i="78"/>
  <c r="O220" i="78" s="1"/>
  <c r="N266" i="78"/>
  <c r="O266" i="78" s="1"/>
  <c r="N284" i="78"/>
  <c r="O284" i="78" s="1"/>
  <c r="N318" i="78"/>
  <c r="O318" i="78" s="1"/>
  <c r="N208" i="78"/>
  <c r="O208" i="78" s="1"/>
  <c r="N37" i="78"/>
  <c r="O37" i="78" s="1"/>
  <c r="N51" i="78"/>
  <c r="O51" i="78" s="1"/>
  <c r="N151" i="78"/>
  <c r="O151" i="78" s="1"/>
  <c r="N16" i="78"/>
  <c r="O16" i="78" s="1"/>
  <c r="N249" i="78"/>
  <c r="O249" i="78" s="1"/>
  <c r="N263" i="78"/>
  <c r="O263" i="78" s="1"/>
  <c r="N49" i="78"/>
  <c r="O49" i="78" s="1"/>
  <c r="N107" i="78"/>
  <c r="O107" i="78" s="1"/>
  <c r="N211" i="78"/>
  <c r="O211" i="78" s="1"/>
  <c r="N143" i="78"/>
  <c r="O143" i="78" s="1"/>
  <c r="N57" i="78"/>
  <c r="O57" i="78" s="1"/>
  <c r="N268" i="78"/>
  <c r="O268" i="78" s="1"/>
  <c r="N310" i="78"/>
  <c r="O310" i="78" s="1"/>
  <c r="N106" i="78"/>
  <c r="O106" i="78" s="1"/>
  <c r="N102" i="78"/>
  <c r="O102" i="78" s="1"/>
  <c r="V102" i="78" s="1"/>
  <c r="N82" i="78"/>
  <c r="O82" i="78" s="1"/>
  <c r="N293" i="78"/>
  <c r="O293" i="78" s="1"/>
  <c r="N108" i="78"/>
  <c r="O108" i="78" s="1"/>
  <c r="N291" i="78"/>
  <c r="O291" i="78" s="1"/>
  <c r="N286" i="78"/>
  <c r="O286" i="78" s="1"/>
  <c r="N71" i="78"/>
  <c r="O71" i="78" s="1"/>
  <c r="N116" i="78"/>
  <c r="O116" i="78" s="1"/>
  <c r="N135" i="78"/>
  <c r="O135" i="78" s="1"/>
  <c r="N165" i="78"/>
  <c r="O165" i="78" s="1"/>
  <c r="N274" i="78"/>
  <c r="O274" i="78" s="1"/>
  <c r="N38" i="78"/>
  <c r="O38" i="78" s="1"/>
  <c r="N59" i="78"/>
  <c r="O59" i="78" s="1"/>
  <c r="N44" i="78"/>
  <c r="O44" i="78" s="1"/>
  <c r="N210" i="78"/>
  <c r="O210" i="78" s="1"/>
  <c r="V210" i="78" s="1"/>
  <c r="N193" i="78"/>
  <c r="O193" i="78" s="1"/>
  <c r="N290" i="78"/>
  <c r="O290" i="78" s="1"/>
  <c r="N276" i="78"/>
  <c r="O276" i="78" s="1"/>
  <c r="N64" i="78"/>
  <c r="O64" i="78" s="1"/>
  <c r="N204" i="78"/>
  <c r="O204" i="78" s="1"/>
  <c r="N156" i="78"/>
  <c r="O156" i="78" s="1"/>
  <c r="N26" i="78"/>
  <c r="O26" i="78" s="1"/>
  <c r="N255" i="78"/>
  <c r="O255" i="78" s="1"/>
  <c r="N154" i="78"/>
  <c r="O154" i="78" s="1"/>
  <c r="N203" i="78"/>
  <c r="O203" i="78" s="1"/>
  <c r="N197" i="78"/>
  <c r="O197" i="78" s="1"/>
  <c r="N98" i="78"/>
  <c r="O98" i="78" s="1"/>
  <c r="N47" i="78"/>
  <c r="O47" i="78" s="1"/>
  <c r="N77" i="78"/>
  <c r="O77" i="78" s="1"/>
  <c r="N18" i="78"/>
  <c r="O18" i="78" s="1"/>
  <c r="N189" i="78"/>
  <c r="O189" i="78" s="1"/>
  <c r="V189" i="78" s="1"/>
  <c r="N93" i="78"/>
  <c r="O93" i="78" s="1"/>
  <c r="N92" i="78"/>
  <c r="O92" i="78" s="1"/>
  <c r="N174" i="78"/>
  <c r="O174" i="78" s="1"/>
  <c r="N258" i="78"/>
  <c r="O258" i="78" s="1"/>
  <c r="N314" i="78"/>
  <c r="O314" i="78" s="1"/>
  <c r="N40" i="78"/>
  <c r="O40" i="78" s="1"/>
  <c r="N141" i="78"/>
  <c r="O141" i="78" s="1"/>
  <c r="N122" i="78"/>
  <c r="O122" i="78" s="1"/>
  <c r="N23" i="78"/>
  <c r="O23" i="78" s="1"/>
  <c r="N216" i="78"/>
  <c r="O216" i="78" s="1"/>
  <c r="N161" i="78"/>
  <c r="O161" i="78" s="1"/>
  <c r="N296" i="78"/>
  <c r="O296" i="78" s="1"/>
  <c r="N292" i="78"/>
  <c r="O292" i="78" s="1"/>
  <c r="N101" i="78"/>
  <c r="O101" i="78" s="1"/>
  <c r="N119" i="78"/>
  <c r="O119" i="78" s="1"/>
  <c r="N218" i="78"/>
  <c r="O218" i="78" s="1"/>
  <c r="N13" i="78"/>
  <c r="O13" i="78" s="1"/>
  <c r="N186" i="78"/>
  <c r="O186" i="78" s="1"/>
  <c r="N121" i="78"/>
  <c r="O121" i="78" s="1"/>
  <c r="N248" i="78"/>
  <c r="O248" i="78" s="1"/>
  <c r="N300" i="78"/>
  <c r="O300" i="78" s="1"/>
  <c r="N277" i="78"/>
  <c r="O277" i="78" s="1"/>
  <c r="N245" i="78"/>
  <c r="O245" i="78" s="1"/>
  <c r="N231" i="78"/>
  <c r="O231" i="78" s="1"/>
  <c r="N299" i="78"/>
  <c r="O299" i="78" s="1"/>
  <c r="N100" i="78"/>
  <c r="O100" i="78" s="1"/>
  <c r="N30" i="78"/>
  <c r="O30" i="78" s="1"/>
  <c r="N226" i="78"/>
  <c r="O226" i="78" s="1"/>
  <c r="N99" i="78"/>
  <c r="O99" i="78" s="1"/>
  <c r="N118" i="78"/>
  <c r="O118" i="78" s="1"/>
  <c r="N213" i="78"/>
  <c r="O213" i="78" s="1"/>
  <c r="N313" i="78"/>
  <c r="O313" i="78" s="1"/>
  <c r="N34" i="78"/>
  <c r="O34" i="78" s="1"/>
  <c r="N55" i="78"/>
  <c r="O55" i="78" s="1"/>
  <c r="N267" i="78"/>
  <c r="O267" i="78" s="1"/>
  <c r="N241" i="78"/>
  <c r="O241" i="78" s="1"/>
  <c r="N295" i="78"/>
  <c r="O295" i="78" s="1"/>
  <c r="N324" i="78"/>
  <c r="O324" i="78" s="1"/>
  <c r="V324" i="78" s="1"/>
  <c r="N253" i="78"/>
  <c r="O253" i="78" s="1"/>
  <c r="N320" i="78"/>
  <c r="O320" i="78" s="1"/>
  <c r="N45" i="78"/>
  <c r="O45" i="78" s="1"/>
  <c r="N321" i="78"/>
  <c r="O321" i="78" s="1"/>
  <c r="N148" i="78"/>
  <c r="O148" i="78" s="1"/>
  <c r="N65" i="78"/>
  <c r="O65" i="78" s="1"/>
  <c r="N184" i="78"/>
  <c r="O184" i="78" s="1"/>
  <c r="N52" i="78"/>
  <c r="O52" i="78" s="1"/>
  <c r="N31" i="78"/>
  <c r="O31" i="78" s="1"/>
  <c r="N179" i="78"/>
  <c r="O179" i="78" s="1"/>
  <c r="N196" i="78"/>
  <c r="O196" i="78" s="1"/>
  <c r="N105" i="78"/>
  <c r="O105" i="78" s="1"/>
  <c r="N79" i="78"/>
  <c r="O79" i="78" s="1"/>
  <c r="N67" i="78"/>
  <c r="O67" i="78" s="1"/>
  <c r="N316" i="78"/>
  <c r="O316" i="78" s="1"/>
  <c r="N275" i="78"/>
  <c r="O275" i="78" s="1"/>
  <c r="N14" i="78"/>
  <c r="O14" i="78" s="1"/>
  <c r="N89" i="78"/>
  <c r="O89" i="78" s="1"/>
  <c r="N169" i="78"/>
  <c r="O169" i="78" s="1"/>
  <c r="N153" i="78"/>
  <c r="O153" i="78" s="1"/>
  <c r="N91" i="78"/>
  <c r="O91" i="78" s="1"/>
  <c r="V91" i="78" s="1"/>
  <c r="N230" i="78"/>
  <c r="O230" i="78" s="1"/>
  <c r="N146" i="78"/>
  <c r="O146" i="78" s="1"/>
  <c r="N207" i="78"/>
  <c r="O207" i="78" s="1"/>
  <c r="N221" i="78"/>
  <c r="O221" i="78" s="1"/>
  <c r="N278" i="78"/>
  <c r="O278" i="78" s="1"/>
  <c r="N139" i="78"/>
  <c r="O139" i="78" s="1"/>
  <c r="N134" i="78"/>
  <c r="O134" i="78" s="1"/>
  <c r="N242" i="78"/>
  <c r="O242" i="78" s="1"/>
  <c r="N128" i="78"/>
  <c r="O128" i="78" s="1"/>
  <c r="N68" i="78"/>
  <c r="O68" i="78" s="1"/>
  <c r="N157" i="78"/>
  <c r="O157" i="78" s="1"/>
  <c r="N215" i="78"/>
  <c r="O215" i="78" s="1"/>
  <c r="N88" i="78"/>
  <c r="O88" i="78" s="1"/>
  <c r="N239" i="78"/>
  <c r="O239" i="78" s="1"/>
  <c r="N50" i="78"/>
  <c r="O50" i="78" s="1"/>
  <c r="N180" i="78"/>
  <c r="O180" i="78" s="1"/>
  <c r="N33" i="78"/>
  <c r="O33" i="78" s="1"/>
  <c r="N250" i="78"/>
  <c r="O250" i="78" s="1"/>
  <c r="N187" i="78"/>
  <c r="O187" i="78" s="1"/>
  <c r="N39" i="78"/>
  <c r="O39" i="78" s="1"/>
  <c r="N191" i="78"/>
  <c r="O191" i="78" s="1"/>
  <c r="N294" i="78"/>
  <c r="O294" i="78" s="1"/>
  <c r="N297" i="78"/>
  <c r="O297" i="78" s="1"/>
  <c r="V297" i="78" s="1"/>
  <c r="N170" i="78"/>
  <c r="O170" i="78" s="1"/>
  <c r="N303" i="78"/>
  <c r="O303" i="78" s="1"/>
  <c r="N104" i="78"/>
  <c r="O104" i="78" s="1"/>
  <c r="N198" i="78"/>
  <c r="O198" i="78" s="1"/>
  <c r="N209" i="78"/>
  <c r="O209" i="78" s="1"/>
  <c r="N140" i="78"/>
  <c r="O140" i="78" s="1"/>
  <c r="N61" i="78"/>
  <c r="O61" i="78" s="1"/>
  <c r="N142" i="78"/>
  <c r="O142" i="78" s="1"/>
  <c r="N95" i="78"/>
  <c r="O95" i="78" s="1"/>
  <c r="N159" i="78"/>
  <c r="O159" i="78" s="1"/>
  <c r="N228" i="78"/>
  <c r="O228" i="78" s="1"/>
  <c r="N280" i="78"/>
  <c r="O280" i="78" s="1"/>
  <c r="N201" i="78"/>
  <c r="O201" i="78" s="1"/>
  <c r="N111" i="78"/>
  <c r="O111" i="78" s="1"/>
  <c r="N136" i="78"/>
  <c r="O136" i="78" s="1"/>
  <c r="N137" i="78"/>
  <c r="O137" i="78" s="1"/>
  <c r="N96" i="78"/>
  <c r="O96" i="78" s="1"/>
  <c r="N125" i="78"/>
  <c r="O125" i="78" s="1"/>
  <c r="N66" i="78"/>
  <c r="O66" i="78" s="1"/>
  <c r="N305" i="78"/>
  <c r="O305" i="78" s="1"/>
  <c r="N273" i="78"/>
  <c r="O273" i="78" s="1"/>
  <c r="N70" i="78"/>
  <c r="O70" i="78" s="1"/>
  <c r="N262" i="78"/>
  <c r="O262" i="78" s="1"/>
  <c r="N86" i="78"/>
  <c r="O86" i="78" s="1"/>
  <c r="N271" i="78"/>
  <c r="O271" i="78" s="1"/>
  <c r="N285" i="78"/>
  <c r="O285" i="78" s="1"/>
  <c r="N172" i="78"/>
  <c r="O172" i="78" s="1"/>
  <c r="N83" i="78"/>
  <c r="O83" i="78" s="1"/>
  <c r="N97" i="78"/>
  <c r="O97" i="78" s="1"/>
  <c r="N308" i="78"/>
  <c r="O308" i="78" s="1"/>
  <c r="N259" i="78"/>
  <c r="O259" i="78" s="1"/>
  <c r="N264" i="78"/>
  <c r="O264" i="78" s="1"/>
  <c r="N84" i="78"/>
  <c r="O84" i="78" s="1"/>
  <c r="N237" i="78"/>
  <c r="O237" i="78" s="1"/>
  <c r="N11" i="78"/>
  <c r="O11" i="78" s="1"/>
  <c r="N123" i="78"/>
  <c r="O123" i="78" s="1"/>
  <c r="N132" i="78"/>
  <c r="O132" i="78" s="1"/>
  <c r="N200" i="78"/>
  <c r="O200" i="78" s="1"/>
  <c r="N90" i="78"/>
  <c r="O90" i="78" s="1"/>
  <c r="N323" i="78"/>
  <c r="H10" i="6"/>
  <c r="H6" i="6"/>
  <c r="H7" i="6" s="1"/>
  <c r="T285" i="78" l="1"/>
  <c r="U285" i="78"/>
  <c r="Y285" i="78"/>
  <c r="U67" i="78"/>
  <c r="Y67" i="78"/>
  <c r="T67" i="78"/>
  <c r="Y123" i="78"/>
  <c r="Z123" i="78" s="1"/>
  <c r="U123" i="78"/>
  <c r="T123" i="78"/>
  <c r="V123" i="78"/>
  <c r="T305" i="78"/>
  <c r="U305" i="78"/>
  <c r="Y305" i="78"/>
  <c r="Y187" i="78"/>
  <c r="Z187" i="78" s="1"/>
  <c r="T187" i="78"/>
  <c r="U187" i="78"/>
  <c r="V187" i="78"/>
  <c r="T207" i="78"/>
  <c r="Y207" i="78"/>
  <c r="Z207" i="78" s="1"/>
  <c r="U207" i="78"/>
  <c r="V207" i="78"/>
  <c r="T52" i="78"/>
  <c r="Y52" i="78"/>
  <c r="U52" i="78"/>
  <c r="Y118" i="78"/>
  <c r="Z118" i="78" s="1"/>
  <c r="T118" i="78"/>
  <c r="U118" i="78"/>
  <c r="V118" i="78"/>
  <c r="Y101" i="78"/>
  <c r="Z101" i="78" s="1"/>
  <c r="U101" i="78"/>
  <c r="T101" i="78"/>
  <c r="V101" i="78"/>
  <c r="T77" i="78"/>
  <c r="Y77" i="78"/>
  <c r="Z77" i="78" s="1"/>
  <c r="U77" i="78"/>
  <c r="V77" i="78"/>
  <c r="T59" i="78"/>
  <c r="Y59" i="78"/>
  <c r="Z59" i="78" s="1"/>
  <c r="U59" i="78"/>
  <c r="Y57" i="78"/>
  <c r="T57" i="78"/>
  <c r="U57" i="78"/>
  <c r="Y325" i="78"/>
  <c r="Z325" i="78" s="1"/>
  <c r="T325" i="78"/>
  <c r="U325" i="78"/>
  <c r="V325" i="78"/>
  <c r="Y11" i="78"/>
  <c r="T11" i="78"/>
  <c r="U11" i="78"/>
  <c r="Y172" i="78"/>
  <c r="U172" i="78"/>
  <c r="T172" i="78"/>
  <c r="T66" i="78"/>
  <c r="Y66" i="78"/>
  <c r="U66" i="78"/>
  <c r="U228" i="78"/>
  <c r="T228" i="78"/>
  <c r="Y228" i="78"/>
  <c r="T104" i="78"/>
  <c r="U104" i="78"/>
  <c r="Y104" i="78"/>
  <c r="T250" i="78"/>
  <c r="U250" i="78"/>
  <c r="Y250" i="78"/>
  <c r="Z250" i="78" s="1"/>
  <c r="V250" i="78"/>
  <c r="Y68" i="78"/>
  <c r="T68" i="78"/>
  <c r="U68" i="78"/>
  <c r="U146" i="78"/>
  <c r="T146" i="78"/>
  <c r="Y146" i="78"/>
  <c r="U316" i="78"/>
  <c r="T316" i="78"/>
  <c r="Y316" i="78"/>
  <c r="T184" i="78"/>
  <c r="Y184" i="78"/>
  <c r="U184" i="78"/>
  <c r="T295" i="78"/>
  <c r="Y295" i="78"/>
  <c r="U295" i="78"/>
  <c r="U99" i="78"/>
  <c r="T99" i="78"/>
  <c r="Y99" i="78"/>
  <c r="Z99" i="78" s="1"/>
  <c r="V99" i="78"/>
  <c r="T300" i="78"/>
  <c r="Y300" i="78"/>
  <c r="U300" i="78"/>
  <c r="Y292" i="78"/>
  <c r="Z292" i="78" s="1"/>
  <c r="T292" i="78"/>
  <c r="U292" i="78"/>
  <c r="V292" i="78"/>
  <c r="U314" i="78"/>
  <c r="Y314" i="78"/>
  <c r="Z314" i="78" s="1"/>
  <c r="T314" i="78"/>
  <c r="V314" i="78"/>
  <c r="U47" i="78"/>
  <c r="Y47" i="78"/>
  <c r="Z47" i="78" s="1"/>
  <c r="T47" i="78"/>
  <c r="V47" i="78"/>
  <c r="Y204" i="78"/>
  <c r="T204" i="78"/>
  <c r="U204" i="78"/>
  <c r="T38" i="78"/>
  <c r="U38" i="78"/>
  <c r="Y38" i="78"/>
  <c r="T108" i="78"/>
  <c r="U108" i="78"/>
  <c r="Y108" i="78"/>
  <c r="Z108" i="78" s="1"/>
  <c r="V108" i="78"/>
  <c r="U143" i="78"/>
  <c r="Y143" i="78"/>
  <c r="T143" i="78"/>
  <c r="T51" i="78"/>
  <c r="U51" i="78"/>
  <c r="Y51" i="78"/>
  <c r="T181" i="78"/>
  <c r="Y181" i="78"/>
  <c r="U181" i="78"/>
  <c r="Y150" i="78"/>
  <c r="Z150" i="78" s="1"/>
  <c r="T150" i="78"/>
  <c r="U150" i="78"/>
  <c r="V150" i="78"/>
  <c r="U110" i="78"/>
  <c r="Y110" i="78"/>
  <c r="Z110" i="78" s="1"/>
  <c r="T110" i="78"/>
  <c r="V110" i="78"/>
  <c r="U225" i="78"/>
  <c r="Y225" i="78"/>
  <c r="Z225" i="78" s="1"/>
  <c r="T225" i="78"/>
  <c r="V225" i="78"/>
  <c r="Y155" i="78"/>
  <c r="Z155" i="78" s="1"/>
  <c r="T155" i="78"/>
  <c r="U155" i="78"/>
  <c r="V155" i="78"/>
  <c r="U176" i="78"/>
  <c r="Y176" i="78"/>
  <c r="Z176" i="78" s="1"/>
  <c r="T176" i="78"/>
  <c r="V176" i="78"/>
  <c r="Y20" i="78"/>
  <c r="T20" i="78"/>
  <c r="U20" i="78"/>
  <c r="Y166" i="78"/>
  <c r="Z166" i="78" s="1"/>
  <c r="T166" i="78"/>
  <c r="U166" i="78"/>
  <c r="V166" i="78"/>
  <c r="T269" i="78"/>
  <c r="U269" i="78"/>
  <c r="Y269" i="78"/>
  <c r="Z269" i="78" s="1"/>
  <c r="V269" i="78"/>
  <c r="Y317" i="78"/>
  <c r="T317" i="78"/>
  <c r="U317" i="78"/>
  <c r="Y224" i="78"/>
  <c r="T224" i="78"/>
  <c r="U224" i="78"/>
  <c r="U315" i="78"/>
  <c r="Y315" i="78"/>
  <c r="T315" i="78"/>
  <c r="Y29" i="78"/>
  <c r="Z29" i="78" s="1"/>
  <c r="T29" i="78"/>
  <c r="U29" i="78"/>
  <c r="V29" i="78"/>
  <c r="T15" i="78"/>
  <c r="U15" i="78"/>
  <c r="Y15" i="78"/>
  <c r="Z15" i="78" s="1"/>
  <c r="V15" i="78"/>
  <c r="Y167" i="78"/>
  <c r="Z167" i="78" s="1"/>
  <c r="U167" i="78"/>
  <c r="T167" i="78"/>
  <c r="V167" i="78"/>
  <c r="Y301" i="78"/>
  <c r="Z301" i="78" s="1"/>
  <c r="T301" i="78"/>
  <c r="U301" i="78"/>
  <c r="V301" i="78"/>
  <c r="Y69" i="78"/>
  <c r="Z69" i="78" s="1"/>
  <c r="T69" i="78"/>
  <c r="U69" i="78"/>
  <c r="V69" i="78"/>
  <c r="Y229" i="78"/>
  <c r="Z229" i="78" s="1"/>
  <c r="U229" i="78"/>
  <c r="T229" i="78"/>
  <c r="V229" i="78"/>
  <c r="T237" i="78"/>
  <c r="Y237" i="78"/>
  <c r="U237" i="78"/>
  <c r="Y230" i="78"/>
  <c r="T230" i="78"/>
  <c r="U230" i="78"/>
  <c r="U296" i="78"/>
  <c r="Y296" i="78"/>
  <c r="Z296" i="78" s="1"/>
  <c r="T296" i="78"/>
  <c r="V296" i="78"/>
  <c r="T293" i="78"/>
  <c r="Y293" i="78"/>
  <c r="Z293" i="78" s="1"/>
  <c r="U293" i="78"/>
  <c r="V293" i="78"/>
  <c r="Y63" i="78"/>
  <c r="T63" i="78"/>
  <c r="U63" i="78"/>
  <c r="Y307" i="78"/>
  <c r="Z307" i="78" s="1"/>
  <c r="U307" i="78"/>
  <c r="T307" i="78"/>
  <c r="V307" i="78"/>
  <c r="T56" i="78"/>
  <c r="Y56" i="78"/>
  <c r="Z56" i="78" s="1"/>
  <c r="U56" i="78"/>
  <c r="V56" i="78"/>
  <c r="T319" i="78"/>
  <c r="U319" i="78"/>
  <c r="Y319" i="78"/>
  <c r="Z319" i="78" s="1"/>
  <c r="T35" i="78"/>
  <c r="U35" i="78"/>
  <c r="Y35" i="78"/>
  <c r="Z35" i="78" s="1"/>
  <c r="V35" i="78"/>
  <c r="T214" i="78"/>
  <c r="Y214" i="78"/>
  <c r="U214" i="78"/>
  <c r="U302" i="78"/>
  <c r="Y302" i="78"/>
  <c r="Z302" i="78" s="1"/>
  <c r="T302" i="78"/>
  <c r="V302" i="78"/>
  <c r="Y171" i="78"/>
  <c r="Z171" i="78" s="1"/>
  <c r="U171" i="78"/>
  <c r="T171" i="78"/>
  <c r="T281" i="78"/>
  <c r="U281" i="78"/>
  <c r="Y281" i="78"/>
  <c r="Z281" i="78" s="1"/>
  <c r="V281" i="78"/>
  <c r="T84" i="78"/>
  <c r="Y84" i="78"/>
  <c r="U84" i="78"/>
  <c r="U271" i="78"/>
  <c r="T271" i="78"/>
  <c r="Y271" i="78"/>
  <c r="Y96" i="78"/>
  <c r="U96" i="78"/>
  <c r="T96" i="78"/>
  <c r="Y95" i="78"/>
  <c r="T95" i="78"/>
  <c r="U95" i="78"/>
  <c r="T170" i="78"/>
  <c r="Y170" i="78"/>
  <c r="Z170" i="78" s="1"/>
  <c r="U170" i="78"/>
  <c r="V170" i="78"/>
  <c r="T180" i="78"/>
  <c r="Y180" i="78"/>
  <c r="Z180" i="78" s="1"/>
  <c r="U180" i="78"/>
  <c r="V180" i="78"/>
  <c r="U242" i="78"/>
  <c r="T242" i="78"/>
  <c r="Y242" i="78"/>
  <c r="Y91" i="78"/>
  <c r="U91" i="78"/>
  <c r="T91" i="78"/>
  <c r="T79" i="78"/>
  <c r="U79" i="78"/>
  <c r="Y79" i="78"/>
  <c r="T148" i="78"/>
  <c r="Y148" i="78"/>
  <c r="U148" i="78"/>
  <c r="Y267" i="78"/>
  <c r="T267" i="78"/>
  <c r="U267" i="78"/>
  <c r="Y30" i="78"/>
  <c r="Z30" i="78" s="1"/>
  <c r="U30" i="78"/>
  <c r="T30" i="78"/>
  <c r="V30" i="78"/>
  <c r="T121" i="78"/>
  <c r="Y121" i="78"/>
  <c r="U121" i="78"/>
  <c r="Y161" i="78"/>
  <c r="Z161" i="78" s="1"/>
  <c r="T161" i="78"/>
  <c r="U161" i="78"/>
  <c r="V161" i="78"/>
  <c r="U174" i="78"/>
  <c r="T174" i="78"/>
  <c r="Y174" i="78"/>
  <c r="Z174" i="78" s="1"/>
  <c r="V174" i="78"/>
  <c r="T197" i="78"/>
  <c r="Y197" i="78"/>
  <c r="Z197" i="78" s="1"/>
  <c r="U197" i="78"/>
  <c r="V197" i="78"/>
  <c r="U276" i="78"/>
  <c r="Y276" i="78"/>
  <c r="T276" i="78"/>
  <c r="T165" i="78"/>
  <c r="Y165" i="78"/>
  <c r="U165" i="78"/>
  <c r="Y82" i="78"/>
  <c r="Z82" i="78" s="1"/>
  <c r="U82" i="78"/>
  <c r="T82" i="78"/>
  <c r="V82" i="78"/>
  <c r="T107" i="78"/>
  <c r="Y107" i="78"/>
  <c r="U107" i="78"/>
  <c r="T208" i="78"/>
  <c r="U208" i="78"/>
  <c r="Y208" i="78"/>
  <c r="Y246" i="78"/>
  <c r="Z246" i="78" s="1"/>
  <c r="T246" i="78"/>
  <c r="U246" i="78"/>
  <c r="V246" i="78"/>
  <c r="U145" i="78"/>
  <c r="Y145" i="78"/>
  <c r="Z145" i="78" s="1"/>
  <c r="T145" i="78"/>
  <c r="V145" i="78"/>
  <c r="Y175" i="78"/>
  <c r="Z175" i="78" s="1"/>
  <c r="T175" i="78"/>
  <c r="U175" i="78"/>
  <c r="U227" i="78"/>
  <c r="T227" i="78"/>
  <c r="Y227" i="78"/>
  <c r="Z227" i="78" s="1"/>
  <c r="V227" i="78"/>
  <c r="Y87" i="78"/>
  <c r="Z87" i="78" s="1"/>
  <c r="T87" i="78"/>
  <c r="U87" i="78"/>
  <c r="V87" i="78"/>
  <c r="U283" i="78"/>
  <c r="Y283" i="78"/>
  <c r="T283" i="78"/>
  <c r="T298" i="78"/>
  <c r="Y298" i="78"/>
  <c r="Z298" i="78" s="1"/>
  <c r="U298" i="78"/>
  <c r="T115" i="78"/>
  <c r="Y115" i="78"/>
  <c r="Z115" i="78" s="1"/>
  <c r="U115" i="78"/>
  <c r="V115" i="78"/>
  <c r="Y144" i="78"/>
  <c r="Z144" i="78" s="1"/>
  <c r="T144" i="78"/>
  <c r="U144" i="78"/>
  <c r="V144" i="78"/>
  <c r="U160" i="78"/>
  <c r="T160" i="78"/>
  <c r="Y160" i="78"/>
  <c r="T103" i="78"/>
  <c r="U103" i="78"/>
  <c r="Y103" i="78"/>
  <c r="Y62" i="78"/>
  <c r="T62" i="78"/>
  <c r="U62" i="78"/>
  <c r="T322" i="78"/>
  <c r="U322" i="78"/>
  <c r="Y322" i="78"/>
  <c r="Z322" i="78" s="1"/>
  <c r="V322" i="78"/>
  <c r="T240" i="78"/>
  <c r="U240" i="78"/>
  <c r="Y240" i="78"/>
  <c r="Z240" i="78" s="1"/>
  <c r="V240" i="78"/>
  <c r="Y78" i="78"/>
  <c r="Z78" i="78" s="1"/>
  <c r="T78" i="78"/>
  <c r="U78" i="78"/>
  <c r="V78" i="78"/>
  <c r="T223" i="78"/>
  <c r="U223" i="78"/>
  <c r="Y223" i="78"/>
  <c r="Z223" i="78" s="1"/>
  <c r="V223" i="78"/>
  <c r="Y195" i="78"/>
  <c r="T195" i="78"/>
  <c r="U195" i="78"/>
  <c r="U177" i="78"/>
  <c r="Y177" i="78"/>
  <c r="Z177" i="78" s="1"/>
  <c r="T177" i="78"/>
  <c r="V177" i="78"/>
  <c r="T159" i="78"/>
  <c r="Y159" i="78"/>
  <c r="U159" i="78"/>
  <c r="Y65" i="78"/>
  <c r="U65" i="78"/>
  <c r="T65" i="78"/>
  <c r="U98" i="78"/>
  <c r="T98" i="78"/>
  <c r="Y98" i="78"/>
  <c r="Z98" i="78" s="1"/>
  <c r="V98" i="78"/>
  <c r="U274" i="78"/>
  <c r="Y274" i="78"/>
  <c r="T274" i="78"/>
  <c r="Y37" i="78"/>
  <c r="T37" i="78"/>
  <c r="U37" i="78"/>
  <c r="T42" i="78"/>
  <c r="Y42" i="78"/>
  <c r="Z42" i="78" s="1"/>
  <c r="U42" i="78"/>
  <c r="V42" i="78"/>
  <c r="T112" i="78"/>
  <c r="U112" i="78"/>
  <c r="Y112" i="78"/>
  <c r="Z112" i="78" s="1"/>
  <c r="V112" i="78"/>
  <c r="T22" i="78"/>
  <c r="U22" i="78"/>
  <c r="Y22" i="78"/>
  <c r="T194" i="78"/>
  <c r="U194" i="78"/>
  <c r="Y194" i="78"/>
  <c r="Z194" i="78" s="1"/>
  <c r="V194" i="78"/>
  <c r="U46" i="78"/>
  <c r="Y46" i="78"/>
  <c r="T46" i="78"/>
  <c r="U54" i="78"/>
  <c r="T54" i="78"/>
  <c r="Y54" i="78"/>
  <c r="T10" i="78"/>
  <c r="U10" i="78"/>
  <c r="Y10" i="78"/>
  <c r="Y182" i="78"/>
  <c r="Z182" i="78" s="1"/>
  <c r="T182" i="78"/>
  <c r="U182" i="78"/>
  <c r="V182" i="78"/>
  <c r="Y212" i="78"/>
  <c r="T212" i="78"/>
  <c r="U212" i="78"/>
  <c r="N7" i="78"/>
  <c r="O323" i="78"/>
  <c r="T264" i="78"/>
  <c r="Y264" i="78"/>
  <c r="U264" i="78"/>
  <c r="Y86" i="78"/>
  <c r="T86" i="78"/>
  <c r="U86" i="78"/>
  <c r="Y137" i="78"/>
  <c r="U137" i="78"/>
  <c r="T137" i="78"/>
  <c r="T142" i="78"/>
  <c r="Y142" i="78"/>
  <c r="U142" i="78"/>
  <c r="Y297" i="78"/>
  <c r="Z297" i="78" s="1"/>
  <c r="U297" i="78"/>
  <c r="T297" i="78"/>
  <c r="U50" i="78"/>
  <c r="T50" i="78"/>
  <c r="Y50" i="78"/>
  <c r="Z50" i="78" s="1"/>
  <c r="V50" i="78"/>
  <c r="Y134" i="78"/>
  <c r="Z134" i="78" s="1"/>
  <c r="T134" i="78"/>
  <c r="U134" i="78"/>
  <c r="V134" i="78"/>
  <c r="Y153" i="78"/>
  <c r="T153" i="78"/>
  <c r="U153" i="78"/>
  <c r="T105" i="78"/>
  <c r="Y105" i="78"/>
  <c r="U105" i="78"/>
  <c r="Y321" i="78"/>
  <c r="U321" i="78"/>
  <c r="T321" i="78"/>
  <c r="T55" i="78"/>
  <c r="Y55" i="78"/>
  <c r="U55" i="78"/>
  <c r="Y100" i="78"/>
  <c r="Z100" i="78" s="1"/>
  <c r="U100" i="78"/>
  <c r="T100" i="78"/>
  <c r="V100" i="78"/>
  <c r="U186" i="78"/>
  <c r="Y186" i="78"/>
  <c r="Z186" i="78" s="1"/>
  <c r="T186" i="78"/>
  <c r="V186" i="78"/>
  <c r="Y216" i="78"/>
  <c r="Z216" i="78" s="1"/>
  <c r="T216" i="78"/>
  <c r="U216" i="78"/>
  <c r="V216" i="78"/>
  <c r="T92" i="78"/>
  <c r="Y92" i="78"/>
  <c r="Z92" i="78" s="1"/>
  <c r="U92" i="78"/>
  <c r="V92" i="78"/>
  <c r="Y203" i="78"/>
  <c r="Z203" i="78" s="1"/>
  <c r="T203" i="78"/>
  <c r="U203" i="78"/>
  <c r="V203" i="78"/>
  <c r="Y290" i="78"/>
  <c r="U290" i="78"/>
  <c r="T290" i="78"/>
  <c r="T135" i="78"/>
  <c r="Y135" i="78"/>
  <c r="Z135" i="78" s="1"/>
  <c r="U135" i="78"/>
  <c r="V135" i="78"/>
  <c r="T102" i="78"/>
  <c r="U102" i="78"/>
  <c r="Y102" i="78"/>
  <c r="T49" i="78"/>
  <c r="U49" i="78"/>
  <c r="Y49" i="78"/>
  <c r="T318" i="78"/>
  <c r="Y318" i="78"/>
  <c r="U318" i="78"/>
  <c r="U163" i="78"/>
  <c r="T163" i="78"/>
  <c r="Y163" i="78"/>
  <c r="Z163" i="78" s="1"/>
  <c r="V163" i="78"/>
  <c r="Y270" i="78"/>
  <c r="U270" i="78"/>
  <c r="T270" i="78"/>
  <c r="Y129" i="78"/>
  <c r="Z129" i="78" s="1"/>
  <c r="U129" i="78"/>
  <c r="T129" i="78"/>
  <c r="V129" i="78"/>
  <c r="U257" i="78"/>
  <c r="Y257" i="78"/>
  <c r="Z257" i="78" s="1"/>
  <c r="T257" i="78"/>
  <c r="V257" i="78"/>
  <c r="T265" i="78"/>
  <c r="Y265" i="78"/>
  <c r="Z265" i="78" s="1"/>
  <c r="U265" i="78"/>
  <c r="V265" i="78"/>
  <c r="T138" i="78"/>
  <c r="Y138" i="78"/>
  <c r="U138" i="78"/>
  <c r="U32" i="78"/>
  <c r="T32" i="78"/>
  <c r="Y32" i="78"/>
  <c r="Y53" i="78"/>
  <c r="Z53" i="78" s="1"/>
  <c r="U53" i="78"/>
  <c r="T53" i="78"/>
  <c r="V53" i="78"/>
  <c r="U192" i="78"/>
  <c r="Y192" i="78"/>
  <c r="Z192" i="78" s="1"/>
  <c r="T192" i="78"/>
  <c r="V192" i="78"/>
  <c r="T217" i="78"/>
  <c r="Y217" i="78"/>
  <c r="U217" i="78"/>
  <c r="Y219" i="78"/>
  <c r="U219" i="78"/>
  <c r="T219" i="78"/>
  <c r="Y206" i="78"/>
  <c r="U206" i="78"/>
  <c r="T206" i="78"/>
  <c r="U147" i="78"/>
  <c r="Y147" i="78"/>
  <c r="Z147" i="78" s="1"/>
  <c r="T147" i="78"/>
  <c r="V147" i="78"/>
  <c r="Y73" i="78"/>
  <c r="Z73" i="78" s="1"/>
  <c r="T73" i="78"/>
  <c r="U73" i="78"/>
  <c r="V73" i="78"/>
  <c r="Y162" i="78"/>
  <c r="Z162" i="78" s="1"/>
  <c r="U162" i="78"/>
  <c r="T162" i="78"/>
  <c r="V162" i="78"/>
  <c r="U94" i="78"/>
  <c r="Y94" i="78"/>
  <c r="Z94" i="78" s="1"/>
  <c r="T94" i="78"/>
  <c r="V94" i="78"/>
  <c r="Y234" i="78"/>
  <c r="U234" i="78"/>
  <c r="T234" i="78"/>
  <c r="Y126" i="78"/>
  <c r="Z126" i="78" s="1"/>
  <c r="T126" i="78"/>
  <c r="U126" i="78"/>
  <c r="V126" i="78"/>
  <c r="Y128" i="78"/>
  <c r="T128" i="78"/>
  <c r="U128" i="78"/>
  <c r="T258" i="78"/>
  <c r="Y258" i="78"/>
  <c r="Z258" i="78" s="1"/>
  <c r="U258" i="78"/>
  <c r="V258" i="78"/>
  <c r="T90" i="78"/>
  <c r="Y90" i="78"/>
  <c r="Z90" i="78" s="1"/>
  <c r="U90" i="78"/>
  <c r="V90" i="78"/>
  <c r="T294" i="78"/>
  <c r="Y294" i="78"/>
  <c r="Z294" i="78" s="1"/>
  <c r="U294" i="78"/>
  <c r="V294" i="78"/>
  <c r="Y169" i="78"/>
  <c r="U169" i="78"/>
  <c r="T169" i="78"/>
  <c r="Y299" i="78"/>
  <c r="Z299" i="78" s="1"/>
  <c r="T299" i="78"/>
  <c r="U299" i="78"/>
  <c r="V299" i="78"/>
  <c r="U93" i="78"/>
  <c r="Y93" i="78"/>
  <c r="Z93" i="78" s="1"/>
  <c r="T93" i="78"/>
  <c r="V93" i="78"/>
  <c r="T116" i="78"/>
  <c r="U116" i="78"/>
  <c r="Y116" i="78"/>
  <c r="Z116" i="78" s="1"/>
  <c r="Y263" i="78"/>
  <c r="U263" i="78"/>
  <c r="T263" i="78"/>
  <c r="T236" i="78"/>
  <c r="Y236" i="78"/>
  <c r="Z236" i="78" s="1"/>
  <c r="U236" i="78"/>
  <c r="V236" i="78"/>
  <c r="Y238" i="78"/>
  <c r="T238" i="78"/>
  <c r="U238" i="78"/>
  <c r="T244" i="78"/>
  <c r="Y244" i="78"/>
  <c r="Z244" i="78" s="1"/>
  <c r="U244" i="78"/>
  <c r="V244" i="78"/>
  <c r="Y168" i="78"/>
  <c r="Z168" i="78" s="1"/>
  <c r="T168" i="78"/>
  <c r="U168" i="78"/>
  <c r="Y252" i="78"/>
  <c r="T252" i="78"/>
  <c r="U252" i="78"/>
  <c r="Y304" i="78"/>
  <c r="Z304" i="78" s="1"/>
  <c r="T304" i="78"/>
  <c r="U304" i="78"/>
  <c r="U27" i="78"/>
  <c r="Y27" i="78"/>
  <c r="Z27" i="78" s="1"/>
  <c r="T27" i="78"/>
  <c r="V27" i="78"/>
  <c r="T12" i="78"/>
  <c r="U12" i="78"/>
  <c r="Y12" i="78"/>
  <c r="Z12" i="78" s="1"/>
  <c r="T202" i="78"/>
  <c r="Y202" i="78"/>
  <c r="U202" i="78"/>
  <c r="T131" i="78"/>
  <c r="Y131" i="78"/>
  <c r="U131" i="78"/>
  <c r="Y85" i="78"/>
  <c r="U85" i="78"/>
  <c r="T85" i="78"/>
  <c r="Y164" i="78"/>
  <c r="Z164" i="78" s="1"/>
  <c r="U164" i="78"/>
  <c r="T164" i="78"/>
  <c r="V164" i="78"/>
  <c r="U76" i="78"/>
  <c r="T76" i="78"/>
  <c r="Y76" i="78"/>
  <c r="Z76" i="78" s="1"/>
  <c r="V76" i="78"/>
  <c r="T25" i="78"/>
  <c r="U25" i="78"/>
  <c r="Y25" i="78"/>
  <c r="Z25" i="78" s="1"/>
  <c r="V25" i="78"/>
  <c r="T199" i="78"/>
  <c r="Y199" i="78"/>
  <c r="Z199" i="78" s="1"/>
  <c r="U199" i="78"/>
  <c r="V199" i="78"/>
  <c r="Y24" i="78"/>
  <c r="T24" i="78"/>
  <c r="U24" i="78"/>
  <c r="T21" i="78"/>
  <c r="U21" i="78"/>
  <c r="Y21" i="78"/>
  <c r="Z21" i="78" s="1"/>
  <c r="V21" i="78"/>
  <c r="Y125" i="78"/>
  <c r="T125" i="78"/>
  <c r="U125" i="78"/>
  <c r="U226" i="78"/>
  <c r="Y226" i="78"/>
  <c r="Z226" i="78" s="1"/>
  <c r="T226" i="78"/>
  <c r="V226" i="78"/>
  <c r="U211" i="78"/>
  <c r="Y211" i="78"/>
  <c r="T211" i="78"/>
  <c r="T262" i="78"/>
  <c r="Y262" i="78"/>
  <c r="U262" i="78"/>
  <c r="T61" i="78"/>
  <c r="Y61" i="78"/>
  <c r="U61" i="78"/>
  <c r="U139" i="78"/>
  <c r="T139" i="78"/>
  <c r="Y139" i="78"/>
  <c r="Z139" i="78" s="1"/>
  <c r="V139" i="78"/>
  <c r="Y45" i="78"/>
  <c r="U45" i="78"/>
  <c r="T45" i="78"/>
  <c r="T34" i="78"/>
  <c r="U34" i="78"/>
  <c r="Y34" i="78"/>
  <c r="Y23" i="78"/>
  <c r="Z23" i="78" s="1"/>
  <c r="U23" i="78"/>
  <c r="T23" i="78"/>
  <c r="V23" i="78"/>
  <c r="Y154" i="78"/>
  <c r="Z154" i="78" s="1"/>
  <c r="U154" i="78"/>
  <c r="T154" i="78"/>
  <c r="V154" i="78"/>
  <c r="Y106" i="78"/>
  <c r="T106" i="78"/>
  <c r="U106" i="78"/>
  <c r="T284" i="78"/>
  <c r="Y284" i="78"/>
  <c r="U284" i="78"/>
  <c r="Y190" i="78"/>
  <c r="Z190" i="78" s="1"/>
  <c r="T190" i="78"/>
  <c r="U190" i="78"/>
  <c r="V190" i="78"/>
  <c r="U200" i="78"/>
  <c r="Y200" i="78"/>
  <c r="Z200" i="78" s="1"/>
  <c r="T200" i="78"/>
  <c r="V200" i="78"/>
  <c r="U308" i="78"/>
  <c r="T308" i="78"/>
  <c r="Y308" i="78"/>
  <c r="Z308" i="78" s="1"/>
  <c r="V308" i="78"/>
  <c r="T70" i="78"/>
  <c r="U70" i="78"/>
  <c r="Y70" i="78"/>
  <c r="U111" i="78"/>
  <c r="Y111" i="78"/>
  <c r="T111" i="78"/>
  <c r="U140" i="78"/>
  <c r="T140" i="78"/>
  <c r="Y140" i="78"/>
  <c r="Y191" i="78"/>
  <c r="Z191" i="78" s="1"/>
  <c r="U191" i="78"/>
  <c r="T191" i="78"/>
  <c r="V191" i="78"/>
  <c r="T88" i="78"/>
  <c r="U88" i="78"/>
  <c r="Y88" i="78"/>
  <c r="Z88" i="78" s="1"/>
  <c r="V88" i="78"/>
  <c r="T278" i="78"/>
  <c r="Y278" i="78"/>
  <c r="Z278" i="78" s="1"/>
  <c r="U278" i="78"/>
  <c r="V278" i="78"/>
  <c r="T89" i="78"/>
  <c r="Y89" i="78"/>
  <c r="U89" i="78"/>
  <c r="Y179" i="78"/>
  <c r="T179" i="78"/>
  <c r="U179" i="78"/>
  <c r="Y320" i="78"/>
  <c r="T320" i="78"/>
  <c r="U320" i="78"/>
  <c r="T313" i="78"/>
  <c r="Y313" i="78"/>
  <c r="Z313" i="78" s="1"/>
  <c r="U313" i="78"/>
  <c r="V313" i="78"/>
  <c r="T231" i="78"/>
  <c r="U231" i="78"/>
  <c r="Y231" i="78"/>
  <c r="Z231" i="78" s="1"/>
  <c r="V231" i="78"/>
  <c r="T218" i="78"/>
  <c r="Y218" i="78"/>
  <c r="Z218" i="78" s="1"/>
  <c r="U218" i="78"/>
  <c r="V218" i="78"/>
  <c r="U122" i="78"/>
  <c r="T122" i="78"/>
  <c r="Y122" i="78"/>
  <c r="Z122" i="78" s="1"/>
  <c r="V122" i="78"/>
  <c r="T189" i="78"/>
  <c r="Y189" i="78"/>
  <c r="Z189" i="78" s="1"/>
  <c r="U189" i="78"/>
  <c r="Y255" i="78"/>
  <c r="Z255" i="78" s="1"/>
  <c r="T255" i="78"/>
  <c r="U255" i="78"/>
  <c r="V255" i="78"/>
  <c r="U210" i="78"/>
  <c r="Y210" i="78"/>
  <c r="T210" i="78"/>
  <c r="T71" i="78"/>
  <c r="Y71" i="78"/>
  <c r="Z71" i="78" s="1"/>
  <c r="U71" i="78"/>
  <c r="V71" i="78"/>
  <c r="T310" i="78"/>
  <c r="Y310" i="78"/>
  <c r="Z310" i="78" s="1"/>
  <c r="U310" i="78"/>
  <c r="V310" i="78"/>
  <c r="Y249" i="78"/>
  <c r="T249" i="78"/>
  <c r="U249" i="78"/>
  <c r="T266" i="78"/>
  <c r="U266" i="78"/>
  <c r="Y266" i="78"/>
  <c r="T41" i="78"/>
  <c r="Y41" i="78"/>
  <c r="Z41" i="78" s="1"/>
  <c r="U41" i="78"/>
  <c r="V41" i="78"/>
  <c r="Y28" i="78"/>
  <c r="T28" i="78"/>
  <c r="U28" i="78"/>
  <c r="T72" i="78"/>
  <c r="Y72" i="78"/>
  <c r="Z72" i="78" s="1"/>
  <c r="U72" i="78"/>
  <c r="V72" i="78"/>
  <c r="T272" i="78"/>
  <c r="U272" i="78"/>
  <c r="Y272" i="78"/>
  <c r="Z272" i="78" s="1"/>
  <c r="V272" i="78"/>
  <c r="Y279" i="78"/>
  <c r="Z279" i="78" s="1"/>
  <c r="T279" i="78"/>
  <c r="U279" i="78"/>
  <c r="V279" i="78"/>
  <c r="Y149" i="78"/>
  <c r="T149" i="78"/>
  <c r="U149" i="78"/>
  <c r="Y117" i="78"/>
  <c r="T117" i="78"/>
  <c r="U117" i="78"/>
  <c r="T261" i="78"/>
  <c r="Y261" i="78"/>
  <c r="Z261" i="78" s="1"/>
  <c r="U261" i="78"/>
  <c r="V261" i="78"/>
  <c r="T120" i="78"/>
  <c r="U120" i="78"/>
  <c r="Y120" i="78"/>
  <c r="T311" i="78"/>
  <c r="U311" i="78"/>
  <c r="Y311" i="78"/>
  <c r="U260" i="78"/>
  <c r="T260" i="78"/>
  <c r="Y260" i="78"/>
  <c r="U289" i="78"/>
  <c r="Y289" i="78"/>
  <c r="T289" i="78"/>
  <c r="Y19" i="78"/>
  <c r="Z19" i="78" s="1"/>
  <c r="U19" i="78"/>
  <c r="T19" i="78"/>
  <c r="V19" i="78"/>
  <c r="Y43" i="78"/>
  <c r="Z43" i="78" s="1"/>
  <c r="U43" i="78"/>
  <c r="T43" i="78"/>
  <c r="V43" i="78"/>
  <c r="U158" i="78"/>
  <c r="Y158" i="78"/>
  <c r="Z158" i="78" s="1"/>
  <c r="T158" i="78"/>
  <c r="V158" i="78"/>
  <c r="T309" i="78"/>
  <c r="U309" i="78"/>
  <c r="Y309" i="78"/>
  <c r="Z309" i="78" s="1"/>
  <c r="V309" i="78"/>
  <c r="Y205" i="78"/>
  <c r="U205" i="78"/>
  <c r="T205" i="78"/>
  <c r="U256" i="78"/>
  <c r="T256" i="78"/>
  <c r="Y256" i="78"/>
  <c r="Z256" i="78" s="1"/>
  <c r="V256" i="78"/>
  <c r="T303" i="78"/>
  <c r="Y303" i="78"/>
  <c r="Z303" i="78" s="1"/>
  <c r="U303" i="78"/>
  <c r="V303" i="78"/>
  <c r="Y241" i="78"/>
  <c r="T241" i="78"/>
  <c r="U241" i="78"/>
  <c r="U64" i="78"/>
  <c r="T64" i="78"/>
  <c r="Y64" i="78"/>
  <c r="T259" i="78"/>
  <c r="U259" i="78"/>
  <c r="Y259" i="78"/>
  <c r="T136" i="78"/>
  <c r="Y136" i="78"/>
  <c r="U136" i="78"/>
  <c r="Y239" i="78"/>
  <c r="Z239" i="78" s="1"/>
  <c r="U239" i="78"/>
  <c r="T239" i="78"/>
  <c r="V239" i="78"/>
  <c r="Y196" i="78"/>
  <c r="U196" i="78"/>
  <c r="T196" i="78"/>
  <c r="T13" i="78"/>
  <c r="Y13" i="78"/>
  <c r="Z13" i="78" s="1"/>
  <c r="U13" i="78"/>
  <c r="V13" i="78"/>
  <c r="T193" i="78"/>
  <c r="Y193" i="78"/>
  <c r="U193" i="78"/>
  <c r="T132" i="78"/>
  <c r="Y132" i="78"/>
  <c r="Z132" i="78" s="1"/>
  <c r="U132" i="78"/>
  <c r="V132" i="78"/>
  <c r="Y97" i="78"/>
  <c r="T97" i="78"/>
  <c r="U97" i="78"/>
  <c r="T273" i="78"/>
  <c r="U273" i="78"/>
  <c r="Y273" i="78"/>
  <c r="T201" i="78"/>
  <c r="Y201" i="78"/>
  <c r="U201" i="78"/>
  <c r="T209" i="78"/>
  <c r="Y209" i="78"/>
  <c r="U209" i="78"/>
  <c r="U39" i="78"/>
  <c r="T39" i="78"/>
  <c r="Y39" i="78"/>
  <c r="Z39" i="78" s="1"/>
  <c r="V39" i="78"/>
  <c r="Y215" i="78"/>
  <c r="Z215" i="78" s="1"/>
  <c r="U215" i="78"/>
  <c r="T215" i="78"/>
  <c r="V215" i="78"/>
  <c r="T221" i="78"/>
  <c r="Y221" i="78"/>
  <c r="Z221" i="78" s="1"/>
  <c r="U221" i="78"/>
  <c r="V221" i="78"/>
  <c r="T14" i="78"/>
  <c r="U14" i="78"/>
  <c r="Y14" i="78"/>
  <c r="T31" i="78"/>
  <c r="Y31" i="78"/>
  <c r="U31" i="78"/>
  <c r="Y253" i="78"/>
  <c r="T253" i="78"/>
  <c r="U253" i="78"/>
  <c r="U213" i="78"/>
  <c r="T213" i="78"/>
  <c r="Y213" i="78"/>
  <c r="Z213" i="78" s="1"/>
  <c r="V213" i="78"/>
  <c r="U245" i="78"/>
  <c r="T245" i="78"/>
  <c r="Y245" i="78"/>
  <c r="Z245" i="78" s="1"/>
  <c r="V245" i="78"/>
  <c r="U119" i="78"/>
  <c r="T119" i="78"/>
  <c r="Y119" i="78"/>
  <c r="U141" i="78"/>
  <c r="T141" i="78"/>
  <c r="Y141" i="78"/>
  <c r="Z141" i="78" s="1"/>
  <c r="V141" i="78"/>
  <c r="T18" i="78"/>
  <c r="U18" i="78"/>
  <c r="Y18" i="78"/>
  <c r="Z18" i="78" s="1"/>
  <c r="V18" i="78"/>
  <c r="T26" i="78"/>
  <c r="Y26" i="78"/>
  <c r="Z26" i="78" s="1"/>
  <c r="U26" i="78"/>
  <c r="V26" i="78"/>
  <c r="Y44" i="78"/>
  <c r="T44" i="78"/>
  <c r="U44" i="78"/>
  <c r="U286" i="78"/>
  <c r="T286" i="78"/>
  <c r="Y286" i="78"/>
  <c r="Z286" i="78" s="1"/>
  <c r="V286" i="78"/>
  <c r="Y268" i="78"/>
  <c r="U268" i="78"/>
  <c r="T268" i="78"/>
  <c r="Y16" i="78"/>
  <c r="T16" i="78"/>
  <c r="U16" i="78"/>
  <c r="Y220" i="78"/>
  <c r="U220" i="78"/>
  <c r="T220" i="78"/>
  <c r="U113" i="78"/>
  <c r="Y113" i="78"/>
  <c r="Z113" i="78" s="1"/>
  <c r="T113" i="78"/>
  <c r="V113" i="78"/>
  <c r="Y127" i="78"/>
  <c r="Z127" i="78" s="1"/>
  <c r="U127" i="78"/>
  <c r="T127" i="78"/>
  <c r="V127" i="78"/>
  <c r="U17" i="78"/>
  <c r="T17" i="78"/>
  <c r="Y17" i="78"/>
  <c r="Z17" i="78" s="1"/>
  <c r="V17" i="78"/>
  <c r="T232" i="78"/>
  <c r="U232" i="78"/>
  <c r="Y232" i="78"/>
  <c r="Z232" i="78" s="1"/>
  <c r="V232" i="78"/>
  <c r="U185" i="78"/>
  <c r="Y185" i="78"/>
  <c r="Z185" i="78" s="1"/>
  <c r="T185" i="78"/>
  <c r="V185" i="78"/>
  <c r="Y36" i="78"/>
  <c r="U36" i="78"/>
  <c r="T36" i="78"/>
  <c r="V114" i="78"/>
  <c r="U114" i="78"/>
  <c r="T114" i="78"/>
  <c r="Y114" i="78"/>
  <c r="Z114" i="78" s="1"/>
  <c r="T235" i="78"/>
  <c r="Y235" i="78"/>
  <c r="Z235" i="78" s="1"/>
  <c r="U235" i="78"/>
  <c r="V235" i="78"/>
  <c r="Y130" i="78"/>
  <c r="U130" i="78"/>
  <c r="T130" i="78"/>
  <c r="T247" i="78"/>
  <c r="Y247" i="78"/>
  <c r="U247" i="78"/>
  <c r="Y173" i="78"/>
  <c r="T173" i="78"/>
  <c r="U173" i="78"/>
  <c r="Y282" i="78"/>
  <c r="U282" i="78"/>
  <c r="T282" i="78"/>
  <c r="U287" i="78"/>
  <c r="T287" i="78"/>
  <c r="Y287" i="78"/>
  <c r="Z287" i="78" s="1"/>
  <c r="V287" i="78"/>
  <c r="T222" i="78"/>
  <c r="U222" i="78"/>
  <c r="Y222" i="78"/>
  <c r="Z222" i="78" s="1"/>
  <c r="V222" i="78"/>
  <c r="T251" i="78"/>
  <c r="Y251" i="78"/>
  <c r="Z251" i="78" s="1"/>
  <c r="U251" i="78"/>
  <c r="V251" i="78"/>
  <c r="T109" i="78"/>
  <c r="Y109" i="78"/>
  <c r="Z109" i="78" s="1"/>
  <c r="U109" i="78"/>
  <c r="V109" i="78"/>
  <c r="T306" i="78"/>
  <c r="Y306" i="78"/>
  <c r="U306" i="78"/>
  <c r="U183" i="78"/>
  <c r="T183" i="78"/>
  <c r="Y183" i="78"/>
  <c r="Z183" i="78" s="1"/>
  <c r="V183" i="78"/>
  <c r="Y33" i="78"/>
  <c r="Z33" i="78" s="1"/>
  <c r="U33" i="78"/>
  <c r="T33" i="78"/>
  <c r="V33" i="78"/>
  <c r="U248" i="78"/>
  <c r="Y248" i="78"/>
  <c r="T248" i="78"/>
  <c r="Y83" i="78"/>
  <c r="U83" i="78"/>
  <c r="T83" i="78"/>
  <c r="Y280" i="78"/>
  <c r="T280" i="78"/>
  <c r="U280" i="78"/>
  <c r="U198" i="78"/>
  <c r="T198" i="78"/>
  <c r="Y198" i="78"/>
  <c r="T157" i="78"/>
  <c r="Y157" i="78"/>
  <c r="U157" i="78"/>
  <c r="U275" i="78"/>
  <c r="Y275" i="78"/>
  <c r="T275" i="78"/>
  <c r="Y324" i="78"/>
  <c r="U324" i="78"/>
  <c r="T324" i="78"/>
  <c r="Y277" i="78"/>
  <c r="Z277" i="78" s="1"/>
  <c r="U277" i="78"/>
  <c r="T277" i="78"/>
  <c r="V277" i="78"/>
  <c r="Y40" i="78"/>
  <c r="Z40" i="78" s="1"/>
  <c r="U40" i="78"/>
  <c r="T40" i="78"/>
  <c r="V40" i="78"/>
  <c r="Y156" i="78"/>
  <c r="T156" i="78"/>
  <c r="U156" i="78"/>
  <c r="Y291" i="78"/>
  <c r="Z291" i="78" s="1"/>
  <c r="T291" i="78"/>
  <c r="U291" i="78"/>
  <c r="V291" i="78"/>
  <c r="Y151" i="78"/>
  <c r="U151" i="78"/>
  <c r="T151" i="78"/>
  <c r="U58" i="78"/>
  <c r="Y58" i="78"/>
  <c r="T58" i="78"/>
  <c r="Y152" i="78"/>
  <c r="Z152" i="78" s="1"/>
  <c r="T152" i="78"/>
  <c r="U152" i="78"/>
  <c r="V152" i="78"/>
  <c r="U74" i="78"/>
  <c r="T74" i="78"/>
  <c r="Y74" i="78"/>
  <c r="Z74" i="78" s="1"/>
  <c r="V74" i="78"/>
  <c r="T133" i="78"/>
  <c r="U133" i="78"/>
  <c r="Y133" i="78"/>
  <c r="Z133" i="78" s="1"/>
  <c r="V133" i="78"/>
  <c r="Y81" i="78"/>
  <c r="Z81" i="78" s="1"/>
  <c r="U81" i="78"/>
  <c r="T81" i="78"/>
  <c r="V81" i="78"/>
  <c r="Y288" i="78"/>
  <c r="U288" i="78"/>
  <c r="T288" i="78"/>
  <c r="Y124" i="78"/>
  <c r="Z124" i="78" s="1"/>
  <c r="U124" i="78"/>
  <c r="T124" i="78"/>
  <c r="V124" i="78"/>
  <c r="Y243" i="78"/>
  <c r="T243" i="78"/>
  <c r="U243" i="78"/>
  <c r="T312" i="78"/>
  <c r="U312" i="78"/>
  <c r="Y312" i="78"/>
  <c r="Y80" i="78"/>
  <c r="T80" i="78"/>
  <c r="U80" i="78"/>
  <c r="Y60" i="78"/>
  <c r="T60" i="78"/>
  <c r="U60" i="78"/>
  <c r="U75" i="78"/>
  <c r="T75" i="78"/>
  <c r="Y75" i="78"/>
  <c r="Y233" i="78"/>
  <c r="U233" i="78"/>
  <c r="T233" i="78"/>
  <c r="Y254" i="78"/>
  <c r="Z254" i="78" s="1"/>
  <c r="T254" i="78"/>
  <c r="U254" i="78"/>
  <c r="V254" i="78"/>
  <c r="U178" i="78"/>
  <c r="Y178" i="78"/>
  <c r="Z178" i="78" s="1"/>
  <c r="T178" i="78"/>
  <c r="V178" i="78"/>
  <c r="T48" i="78"/>
  <c r="Y48" i="78"/>
  <c r="Z48" i="78" s="1"/>
  <c r="U48" i="78"/>
  <c r="V48" i="78"/>
  <c r="Y188" i="78"/>
  <c r="T188" i="78"/>
  <c r="U188" i="78"/>
  <c r="N326" i="78"/>
  <c r="N8" i="78"/>
  <c r="O9" i="78"/>
  <c r="V9" i="78" s="1"/>
  <c r="H8" i="6"/>
  <c r="H9" i="6"/>
  <c r="O326" i="78" l="1"/>
  <c r="O7" i="78" s="1"/>
  <c r="T323" i="78"/>
  <c r="Y323" i="78"/>
  <c r="Z323" i="78" s="1"/>
  <c r="U323" i="78"/>
  <c r="V323" i="78"/>
  <c r="AC8" i="78"/>
  <c r="T9" i="78"/>
  <c r="T7" i="78" s="1"/>
  <c r="Y9" i="78"/>
  <c r="U9" i="78"/>
  <c r="O8" i="78"/>
  <c r="H12" i="6"/>
  <c r="H14" i="6"/>
  <c r="H18" i="6" s="1"/>
  <c r="U8" i="78" l="1"/>
  <c r="Z9" i="78"/>
  <c r="Z326" i="78" s="1"/>
  <c r="Y326" i="78"/>
  <c r="U326" i="78"/>
  <c r="Y7" i="78"/>
  <c r="U7" i="78"/>
  <c r="O6" i="78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2" i="29"/>
  <c r="J19" i="6"/>
  <c r="I10" i="6"/>
  <c r="I6" i="6"/>
  <c r="I7" i="6" s="1"/>
  <c r="U6" i="78" l="1"/>
  <c r="I8" i="6"/>
  <c r="I9" i="6"/>
  <c r="I12" i="6" l="1"/>
  <c r="I14" i="6"/>
  <c r="I18" i="6" s="1"/>
  <c r="J10" i="6" l="1"/>
  <c r="K10" i="6"/>
  <c r="J6" i="6"/>
  <c r="J9" i="6" l="1"/>
  <c r="J14" i="6" s="1"/>
  <c r="J18" i="6" s="1"/>
  <c r="J8" i="6"/>
  <c r="J7" i="6"/>
  <c r="J12" i="6" l="1"/>
  <c r="D243" i="20"/>
  <c r="D91" i="20"/>
  <c r="D324" i="20"/>
  <c r="D182" i="20"/>
  <c r="D214" i="20"/>
  <c r="D238" i="20"/>
  <c r="D16" i="20"/>
  <c r="D257" i="20"/>
  <c r="D157" i="20"/>
  <c r="D268" i="20"/>
  <c r="D86" i="20"/>
  <c r="D70" i="20"/>
  <c r="D253" i="20"/>
  <c r="D160" i="20"/>
  <c r="D108" i="20"/>
  <c r="D249" i="20"/>
  <c r="D92" i="20"/>
  <c r="D298" i="20"/>
  <c r="D256" i="20"/>
  <c r="D188" i="20"/>
  <c r="D189" i="20"/>
  <c r="D302" i="20"/>
  <c r="D318" i="20"/>
  <c r="D244" i="20"/>
  <c r="D286" i="20"/>
  <c r="D260" i="20"/>
  <c r="D12" i="20"/>
  <c r="D115" i="20"/>
  <c r="D313" i="20"/>
  <c r="D177" i="20"/>
  <c r="D206" i="20"/>
  <c r="D98" i="20"/>
  <c r="D123" i="20"/>
  <c r="D224" i="20"/>
  <c r="D212" i="20"/>
  <c r="D301" i="20"/>
  <c r="D163" i="20"/>
  <c r="D149" i="20"/>
  <c r="D162" i="20"/>
  <c r="D117" i="20"/>
  <c r="D190" i="20"/>
  <c r="D41" i="20"/>
  <c r="D111" i="20"/>
  <c r="D131" i="20"/>
  <c r="D121" i="20"/>
  <c r="D276" i="20"/>
  <c r="D81" i="20"/>
  <c r="D306" i="20"/>
  <c r="D153" i="20"/>
  <c r="D99" i="20"/>
  <c r="D49" i="20"/>
  <c r="D22" i="20"/>
  <c r="D222" i="20"/>
  <c r="D77" i="20"/>
  <c r="D75" i="20"/>
  <c r="D231" i="20"/>
  <c r="D47" i="20"/>
  <c r="D167" i="20"/>
  <c r="D296" i="20"/>
  <c r="D166" i="20"/>
  <c r="D29" i="20"/>
  <c r="D38" i="20"/>
  <c r="D309" i="20"/>
  <c r="D280" i="20"/>
  <c r="D24" i="20"/>
  <c r="D295" i="20"/>
  <c r="D293" i="20"/>
  <c r="D40" i="20"/>
  <c r="D217" i="20"/>
  <c r="D245" i="20"/>
  <c r="D199" i="20"/>
  <c r="D202" i="20"/>
  <c r="D264" i="20"/>
  <c r="D133" i="20"/>
  <c r="D122" i="20"/>
  <c r="D72" i="20"/>
  <c r="D143" i="20"/>
  <c r="D87" i="20"/>
  <c r="D300" i="20"/>
  <c r="D290" i="20"/>
  <c r="D39" i="20"/>
  <c r="D278" i="20"/>
  <c r="D132" i="20"/>
  <c r="D76" i="20"/>
  <c r="D20" i="20"/>
  <c r="D307" i="20"/>
  <c r="D215" i="20"/>
  <c r="D89" i="20"/>
  <c r="D292" i="20"/>
  <c r="D322" i="20"/>
  <c r="D125" i="20"/>
  <c r="D71" i="20"/>
  <c r="D254" i="20"/>
  <c r="D80" i="20"/>
  <c r="D170" i="20"/>
  <c r="D134" i="20"/>
  <c r="D271" i="20"/>
  <c r="D308" i="20"/>
  <c r="D52" i="20"/>
  <c r="D175" i="20"/>
  <c r="D107" i="20"/>
  <c r="D285" i="20"/>
  <c r="D17" i="20"/>
  <c r="D28" i="20"/>
  <c r="D277" i="20"/>
  <c r="D144" i="20"/>
  <c r="D146" i="20"/>
  <c r="D230" i="20"/>
  <c r="D100" i="20"/>
  <c r="D128" i="20"/>
  <c r="D25" i="20"/>
  <c r="D173" i="20"/>
  <c r="D181" i="20"/>
  <c r="D34" i="20"/>
  <c r="D228" i="20"/>
  <c r="D179" i="20"/>
  <c r="D42" i="20"/>
  <c r="D312" i="20"/>
  <c r="D18" i="20"/>
  <c r="D26" i="20"/>
  <c r="D138" i="20"/>
  <c r="D154" i="20"/>
  <c r="D250" i="20"/>
  <c r="D220" i="20"/>
  <c r="D291" i="20"/>
  <c r="D176" i="20"/>
  <c r="D234" i="20"/>
  <c r="D255" i="20"/>
  <c r="D151" i="20"/>
  <c r="D321" i="20"/>
  <c r="D93" i="20"/>
  <c r="D32" i="20"/>
  <c r="D19" i="6"/>
  <c r="D21" i="6" s="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2" i="18"/>
  <c r="F306" i="29"/>
  <c r="F312" i="29"/>
  <c r="F314" i="29"/>
  <c r="F309" i="29"/>
  <c r="F313" i="29"/>
  <c r="F307" i="29"/>
  <c r="F308" i="29"/>
  <c r="C17" i="30" l="1"/>
  <c r="F9" i="30"/>
  <c r="D11" i="30"/>
  <c r="L11" i="30"/>
  <c r="J13" i="30"/>
  <c r="H14" i="30"/>
  <c r="F15" i="30"/>
  <c r="D17" i="30"/>
  <c r="L17" i="30"/>
  <c r="F13" i="30"/>
  <c r="D14" i="30"/>
  <c r="J15" i="30"/>
  <c r="C15" i="30"/>
  <c r="G9" i="30"/>
  <c r="E11" i="30"/>
  <c r="M11" i="30"/>
  <c r="K13" i="30"/>
  <c r="I14" i="30"/>
  <c r="G15" i="30"/>
  <c r="E17" i="30"/>
  <c r="M17" i="30"/>
  <c r="H11" i="30"/>
  <c r="H17" i="30"/>
  <c r="C14" i="30"/>
  <c r="H9" i="30"/>
  <c r="F11" i="30"/>
  <c r="D13" i="30"/>
  <c r="L13" i="30"/>
  <c r="J14" i="30"/>
  <c r="H15" i="30"/>
  <c r="F17" i="30"/>
  <c r="J9" i="30"/>
  <c r="C13" i="30"/>
  <c r="I9" i="30"/>
  <c r="G11" i="30"/>
  <c r="E13" i="30"/>
  <c r="M13" i="30"/>
  <c r="K14" i="30"/>
  <c r="I15" i="30"/>
  <c r="G17" i="30"/>
  <c r="C11" i="30"/>
  <c r="L14" i="30"/>
  <c r="C9" i="30"/>
  <c r="K9" i="30"/>
  <c r="I11" i="30"/>
  <c r="G13" i="30"/>
  <c r="E14" i="30"/>
  <c r="M14" i="30"/>
  <c r="K15" i="30"/>
  <c r="I17" i="30"/>
  <c r="M9" i="30"/>
  <c r="K11" i="30"/>
  <c r="G14" i="30"/>
  <c r="M15" i="30"/>
  <c r="D9" i="30"/>
  <c r="L9" i="30"/>
  <c r="J11" i="30"/>
  <c r="H13" i="30"/>
  <c r="F14" i="30"/>
  <c r="D15" i="30"/>
  <c r="L15" i="30"/>
  <c r="J17" i="30"/>
  <c r="E9" i="30"/>
  <c r="I13" i="30"/>
  <c r="E15" i="30"/>
  <c r="K17" i="30"/>
  <c r="D8" i="20"/>
  <c r="D6" i="20" s="1"/>
  <c r="E19" i="6"/>
  <c r="F311" i="29"/>
  <c r="F310" i="29"/>
  <c r="L19" i="30" l="1"/>
  <c r="L20" i="30" s="1"/>
  <c r="I19" i="30"/>
  <c r="I20" i="30" s="1"/>
  <c r="F19" i="30"/>
  <c r="F20" i="30" s="1"/>
  <c r="H19" i="30"/>
  <c r="H20" i="30" s="1"/>
  <c r="D19" i="30"/>
  <c r="D20" i="30" s="1"/>
  <c r="J19" i="30"/>
  <c r="J20" i="30" s="1"/>
  <c r="K19" i="30"/>
  <c r="K20" i="30" s="1"/>
  <c r="M13" i="6"/>
  <c r="L10" i="6"/>
  <c r="L19" i="6"/>
  <c r="K6" i="6"/>
  <c r="K9" i="6" s="1"/>
  <c r="K14" i="6" s="1"/>
  <c r="K12" i="6" l="1"/>
  <c r="K18" i="6"/>
  <c r="K7" i="6"/>
  <c r="K8" i="6"/>
  <c r="L13" i="6" l="1"/>
  <c r="O19" i="6" l="1"/>
  <c r="M10" i="6" l="1"/>
  <c r="L6" i="6"/>
  <c r="L7" i="6" l="1"/>
  <c r="L8" i="6"/>
  <c r="L9" i="6"/>
  <c r="L14" i="6" s="1"/>
  <c r="L12" i="6" l="1"/>
  <c r="L18" i="6"/>
  <c r="M6" i="6" l="1"/>
  <c r="N6" i="6"/>
  <c r="M9" i="6" l="1"/>
  <c r="M12" i="6" s="1"/>
  <c r="M8" i="6"/>
  <c r="M7" i="6"/>
  <c r="N9" i="6"/>
  <c r="N10" i="6" s="1"/>
  <c r="M14" i="6" l="1"/>
  <c r="M18" i="6" s="1"/>
  <c r="N13" i="6" l="1"/>
  <c r="N14" i="6" s="1"/>
  <c r="N8" i="6"/>
  <c r="N18" i="6" l="1"/>
  <c r="N12" i="6"/>
  <c r="N7" i="6"/>
  <c r="O3" i="70" l="1"/>
  <c r="J7" i="67" l="1"/>
  <c r="O13" i="6" l="1"/>
  <c r="O21" i="6"/>
  <c r="O6" i="6"/>
  <c r="O8" i="6" s="1"/>
  <c r="O9" i="6" l="1"/>
  <c r="O10" i="6" s="1"/>
  <c r="O12" i="6" s="1"/>
  <c r="O7" i="6"/>
  <c r="P13" i="6"/>
  <c r="O14" i="6" l="1"/>
  <c r="O18" i="6" s="1"/>
  <c r="P5" i="6"/>
  <c r="F302" i="29" l="1"/>
  <c r="F304" i="29"/>
  <c r="F303" i="29"/>
  <c r="E3" i="65"/>
  <c r="E4" i="65"/>
  <c r="E5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E104" i="65"/>
  <c r="E105" i="65"/>
  <c r="E106" i="65"/>
  <c r="E107" i="65"/>
  <c r="E108" i="65"/>
  <c r="E109" i="65"/>
  <c r="E110" i="65"/>
  <c r="E111" i="65"/>
  <c r="E112" i="65"/>
  <c r="E113" i="65"/>
  <c r="E114" i="65"/>
  <c r="E115" i="65"/>
  <c r="E116" i="65"/>
  <c r="E117" i="65"/>
  <c r="E118" i="65"/>
  <c r="E119" i="65"/>
  <c r="E120" i="65"/>
  <c r="E121" i="65"/>
  <c r="E122" i="65"/>
  <c r="E123" i="65"/>
  <c r="E124" i="65"/>
  <c r="E125" i="65"/>
  <c r="E126" i="65"/>
  <c r="E127" i="65"/>
  <c r="E128" i="65"/>
  <c r="E129" i="65"/>
  <c r="E130" i="65"/>
  <c r="E131" i="65"/>
  <c r="E132" i="65"/>
  <c r="E133" i="65"/>
  <c r="E134" i="65"/>
  <c r="E135" i="65"/>
  <c r="E136" i="65"/>
  <c r="E137" i="65"/>
  <c r="E138" i="65"/>
  <c r="E139" i="65"/>
  <c r="E140" i="65"/>
  <c r="E141" i="65"/>
  <c r="E142" i="65"/>
  <c r="E143" i="65"/>
  <c r="E144" i="65"/>
  <c r="E145" i="65"/>
  <c r="E146" i="65"/>
  <c r="E147" i="65"/>
  <c r="E148" i="65"/>
  <c r="E149" i="65"/>
  <c r="E150" i="65"/>
  <c r="E151" i="65"/>
  <c r="E152" i="65"/>
  <c r="E153" i="65"/>
  <c r="E154" i="65"/>
  <c r="E155" i="65"/>
  <c r="E156" i="65"/>
  <c r="E157" i="65"/>
  <c r="E158" i="65"/>
  <c r="E159" i="65"/>
  <c r="E160" i="65"/>
  <c r="E161" i="65"/>
  <c r="E162" i="65"/>
  <c r="E163" i="65"/>
  <c r="E164" i="65"/>
  <c r="E165" i="65"/>
  <c r="E166" i="65"/>
  <c r="E167" i="65"/>
  <c r="E168" i="65"/>
  <c r="E169" i="65"/>
  <c r="E170" i="65"/>
  <c r="E171" i="65"/>
  <c r="E172" i="65"/>
  <c r="E173" i="65"/>
  <c r="E174" i="65"/>
  <c r="E175" i="65"/>
  <c r="E176" i="65"/>
  <c r="E177" i="65"/>
  <c r="E178" i="65"/>
  <c r="E179" i="65"/>
  <c r="E180" i="65"/>
  <c r="E181" i="65"/>
  <c r="E182" i="65"/>
  <c r="E183" i="65"/>
  <c r="E184" i="65"/>
  <c r="E185" i="65"/>
  <c r="E186" i="65"/>
  <c r="E187" i="65"/>
  <c r="E188" i="65"/>
  <c r="E189" i="65"/>
  <c r="E190" i="65"/>
  <c r="E191" i="65"/>
  <c r="E192" i="65"/>
  <c r="E193" i="65"/>
  <c r="E194" i="65"/>
  <c r="E195" i="65"/>
  <c r="E196" i="65"/>
  <c r="E197" i="65"/>
  <c r="E198" i="65"/>
  <c r="E199" i="65"/>
  <c r="E200" i="65"/>
  <c r="E201" i="65"/>
  <c r="E202" i="65"/>
  <c r="E203" i="65"/>
  <c r="E204" i="65"/>
  <c r="E205" i="65"/>
  <c r="E206" i="65"/>
  <c r="E207" i="65"/>
  <c r="E208" i="65"/>
  <c r="E209" i="65"/>
  <c r="E210" i="65"/>
  <c r="E211" i="65"/>
  <c r="E212" i="65"/>
  <c r="E213" i="65"/>
  <c r="E214" i="65"/>
  <c r="E215" i="65"/>
  <c r="E216" i="65"/>
  <c r="E217" i="65"/>
  <c r="E218" i="65"/>
  <c r="E219" i="65"/>
  <c r="E220" i="65"/>
  <c r="E221" i="65"/>
  <c r="E222" i="65"/>
  <c r="E223" i="65"/>
  <c r="E224" i="65"/>
  <c r="E225" i="65"/>
  <c r="E226" i="65"/>
  <c r="E227" i="65"/>
  <c r="E228" i="65"/>
  <c r="E229" i="65"/>
  <c r="E230" i="65"/>
  <c r="E231" i="65"/>
  <c r="E232" i="65"/>
  <c r="E233" i="65"/>
  <c r="E234" i="65"/>
  <c r="E235" i="65"/>
  <c r="E236" i="65"/>
  <c r="E237" i="65"/>
  <c r="E238" i="65"/>
  <c r="E239" i="65"/>
  <c r="E240" i="65"/>
  <c r="E241" i="65"/>
  <c r="E242" i="65"/>
  <c r="E243" i="65"/>
  <c r="E244" i="65"/>
  <c r="E245" i="65"/>
  <c r="E246" i="65"/>
  <c r="E247" i="65"/>
  <c r="E248" i="65"/>
  <c r="E249" i="65"/>
  <c r="E250" i="65"/>
  <c r="E251" i="65"/>
  <c r="E252" i="65"/>
  <c r="E253" i="65"/>
  <c r="E254" i="65"/>
  <c r="E255" i="65"/>
  <c r="E256" i="65"/>
  <c r="E257" i="65"/>
  <c r="E258" i="65"/>
  <c r="E259" i="65"/>
  <c r="E260" i="65"/>
  <c r="E261" i="65"/>
  <c r="E262" i="65"/>
  <c r="E263" i="65"/>
  <c r="E264" i="65"/>
  <c r="E265" i="65"/>
  <c r="E266" i="65"/>
  <c r="E267" i="65"/>
  <c r="E268" i="65"/>
  <c r="E269" i="65"/>
  <c r="E270" i="65"/>
  <c r="E271" i="65"/>
  <c r="E272" i="65"/>
  <c r="E273" i="65"/>
  <c r="E274" i="65"/>
  <c r="E275" i="65"/>
  <c r="E276" i="65"/>
  <c r="E277" i="65"/>
  <c r="E278" i="65"/>
  <c r="E279" i="65"/>
  <c r="E280" i="65"/>
  <c r="E281" i="65"/>
  <c r="E282" i="65"/>
  <c r="E283" i="65"/>
  <c r="E284" i="65"/>
  <c r="E285" i="65"/>
  <c r="E286" i="65"/>
  <c r="E287" i="65"/>
  <c r="E288" i="65"/>
  <c r="E289" i="65"/>
  <c r="E290" i="65"/>
  <c r="E291" i="65"/>
  <c r="E292" i="65"/>
  <c r="E293" i="65"/>
  <c r="E294" i="65"/>
  <c r="E295" i="65"/>
  <c r="E296" i="65"/>
  <c r="E297" i="65"/>
  <c r="E298" i="65"/>
  <c r="E299" i="65"/>
  <c r="E300" i="65"/>
  <c r="E301" i="65"/>
  <c r="E302" i="65"/>
  <c r="E303" i="65"/>
  <c r="E304" i="65"/>
  <c r="E305" i="65"/>
  <c r="E2" i="65"/>
  <c r="P6" i="6" l="1"/>
  <c r="P9" i="6" s="1"/>
  <c r="P14" i="6" s="1"/>
  <c r="P18" i="6" s="1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B1" i="69"/>
  <c r="C1" i="69" s="1"/>
  <c r="P7" i="6" l="1"/>
  <c r="P10" i="6"/>
  <c r="P12" i="6" s="1"/>
  <c r="P8" i="6"/>
  <c r="F9" i="16" l="1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8" i="16"/>
  <c r="E64" i="63"/>
  <c r="D9" i="16" l="1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8" i="16"/>
  <c r="Q6" i="6"/>
  <c r="Q8" i="6" s="1"/>
  <c r="Q7" i="6" l="1"/>
  <c r="Q9" i="6"/>
  <c r="L3" i="70" l="1"/>
  <c r="Q14" i="6"/>
  <c r="Q18" i="6" s="1"/>
  <c r="Q10" i="6"/>
  <c r="Q12" i="6" l="1"/>
  <c r="O304" i="60"/>
  <c r="M304" i="60"/>
  <c r="L304" i="60"/>
  <c r="K304" i="60"/>
  <c r="J304" i="60"/>
  <c r="I304" i="60"/>
  <c r="H304" i="60"/>
  <c r="G304" i="60"/>
  <c r="F304" i="60"/>
  <c r="E304" i="60"/>
  <c r="D304" i="60"/>
  <c r="N303" i="60"/>
  <c r="R303" i="60" s="1"/>
  <c r="N302" i="60"/>
  <c r="R302" i="60" s="1"/>
  <c r="N301" i="60"/>
  <c r="R301" i="60" s="1"/>
  <c r="N300" i="60"/>
  <c r="R300" i="60" s="1"/>
  <c r="N299" i="60"/>
  <c r="R299" i="60" s="1"/>
  <c r="N298" i="60"/>
  <c r="R298" i="60" s="1"/>
  <c r="N297" i="60"/>
  <c r="R297" i="60" s="1"/>
  <c r="N296" i="60"/>
  <c r="R296" i="60" s="1"/>
  <c r="N295" i="60"/>
  <c r="R295" i="60" s="1"/>
  <c r="N294" i="60"/>
  <c r="R294" i="60" s="1"/>
  <c r="N293" i="60"/>
  <c r="R293" i="60" s="1"/>
  <c r="N292" i="60"/>
  <c r="R292" i="60" s="1"/>
  <c r="N291" i="60"/>
  <c r="R291" i="60" s="1"/>
  <c r="N290" i="60"/>
  <c r="R290" i="60" s="1"/>
  <c r="N289" i="60"/>
  <c r="R289" i="60" s="1"/>
  <c r="N288" i="60"/>
  <c r="R288" i="60" s="1"/>
  <c r="N287" i="60"/>
  <c r="R287" i="60" s="1"/>
  <c r="N286" i="60"/>
  <c r="R286" i="60" s="1"/>
  <c r="N285" i="60"/>
  <c r="R285" i="60" s="1"/>
  <c r="N284" i="60"/>
  <c r="R284" i="60" s="1"/>
  <c r="N283" i="60"/>
  <c r="R283" i="60" s="1"/>
  <c r="N282" i="60"/>
  <c r="R282" i="60" s="1"/>
  <c r="N281" i="60"/>
  <c r="R281" i="60" s="1"/>
  <c r="N280" i="60"/>
  <c r="R280" i="60" s="1"/>
  <c r="N279" i="60"/>
  <c r="R279" i="60" s="1"/>
  <c r="N278" i="60"/>
  <c r="R278" i="60" s="1"/>
  <c r="N277" i="60"/>
  <c r="R277" i="60" s="1"/>
  <c r="N276" i="60"/>
  <c r="R276" i="60" s="1"/>
  <c r="N275" i="60"/>
  <c r="R275" i="60" s="1"/>
  <c r="N274" i="60"/>
  <c r="R274" i="60" s="1"/>
  <c r="N273" i="60"/>
  <c r="R273" i="60" s="1"/>
  <c r="N272" i="60"/>
  <c r="R272" i="60" s="1"/>
  <c r="N271" i="60"/>
  <c r="R271" i="60" s="1"/>
  <c r="N270" i="60"/>
  <c r="R270" i="60" s="1"/>
  <c r="N269" i="60"/>
  <c r="R269" i="60" s="1"/>
  <c r="N268" i="60"/>
  <c r="R268" i="60" s="1"/>
  <c r="N267" i="60"/>
  <c r="R267" i="60" s="1"/>
  <c r="N266" i="60"/>
  <c r="R266" i="60" s="1"/>
  <c r="N265" i="60"/>
  <c r="R265" i="60" s="1"/>
  <c r="N264" i="60"/>
  <c r="R264" i="60" s="1"/>
  <c r="N263" i="60"/>
  <c r="R263" i="60" s="1"/>
  <c r="N262" i="60"/>
  <c r="R262" i="60" s="1"/>
  <c r="N261" i="60"/>
  <c r="R261" i="60" s="1"/>
  <c r="N260" i="60"/>
  <c r="R260" i="60" s="1"/>
  <c r="N259" i="60"/>
  <c r="R259" i="60" s="1"/>
  <c r="N258" i="60"/>
  <c r="R258" i="60" s="1"/>
  <c r="N257" i="60"/>
  <c r="R257" i="60" s="1"/>
  <c r="N256" i="60"/>
  <c r="R256" i="60" s="1"/>
  <c r="N255" i="60"/>
  <c r="R255" i="60" s="1"/>
  <c r="N254" i="60"/>
  <c r="R254" i="60" s="1"/>
  <c r="N253" i="60"/>
  <c r="R253" i="60" s="1"/>
  <c r="N252" i="60"/>
  <c r="R252" i="60" s="1"/>
  <c r="N251" i="60"/>
  <c r="R251" i="60" s="1"/>
  <c r="N250" i="60"/>
  <c r="R250" i="60" s="1"/>
  <c r="N249" i="60"/>
  <c r="R249" i="60" s="1"/>
  <c r="N248" i="60"/>
  <c r="R248" i="60" s="1"/>
  <c r="N247" i="60"/>
  <c r="R247" i="60" s="1"/>
  <c r="N246" i="60"/>
  <c r="R246" i="60" s="1"/>
  <c r="N245" i="60"/>
  <c r="R245" i="60" s="1"/>
  <c r="N244" i="60"/>
  <c r="R244" i="60" s="1"/>
  <c r="N243" i="60"/>
  <c r="R243" i="60" s="1"/>
  <c r="N242" i="60"/>
  <c r="R242" i="60" s="1"/>
  <c r="N241" i="60"/>
  <c r="R241" i="60" s="1"/>
  <c r="N240" i="60"/>
  <c r="R240" i="60" s="1"/>
  <c r="N239" i="60"/>
  <c r="R239" i="60" s="1"/>
  <c r="N238" i="60"/>
  <c r="R238" i="60" s="1"/>
  <c r="N237" i="60"/>
  <c r="R237" i="60" s="1"/>
  <c r="N236" i="60"/>
  <c r="R236" i="60" s="1"/>
  <c r="N235" i="60"/>
  <c r="R235" i="60" s="1"/>
  <c r="N234" i="60"/>
  <c r="R234" i="60" s="1"/>
  <c r="N233" i="60"/>
  <c r="R233" i="60" s="1"/>
  <c r="N232" i="60"/>
  <c r="R232" i="60" s="1"/>
  <c r="N231" i="60"/>
  <c r="R231" i="60" s="1"/>
  <c r="N230" i="60"/>
  <c r="R230" i="60" s="1"/>
  <c r="N229" i="60"/>
  <c r="R229" i="60" s="1"/>
  <c r="N228" i="60"/>
  <c r="R228" i="60" s="1"/>
  <c r="N227" i="60"/>
  <c r="R227" i="60" s="1"/>
  <c r="N226" i="60"/>
  <c r="R226" i="60" s="1"/>
  <c r="N225" i="60"/>
  <c r="R225" i="60" s="1"/>
  <c r="N224" i="60"/>
  <c r="R224" i="60" s="1"/>
  <c r="N223" i="60"/>
  <c r="R223" i="60" s="1"/>
  <c r="N222" i="60"/>
  <c r="R222" i="60" s="1"/>
  <c r="N221" i="60"/>
  <c r="R221" i="60" s="1"/>
  <c r="N220" i="60"/>
  <c r="R220" i="60" s="1"/>
  <c r="N219" i="60"/>
  <c r="R219" i="60" s="1"/>
  <c r="N218" i="60"/>
  <c r="R218" i="60" s="1"/>
  <c r="N217" i="60"/>
  <c r="R217" i="60" s="1"/>
  <c r="N216" i="60"/>
  <c r="R216" i="60" s="1"/>
  <c r="N215" i="60"/>
  <c r="R215" i="60" s="1"/>
  <c r="N214" i="60"/>
  <c r="R214" i="60" s="1"/>
  <c r="N213" i="60"/>
  <c r="R213" i="60" s="1"/>
  <c r="N212" i="60"/>
  <c r="R212" i="60" s="1"/>
  <c r="N211" i="60"/>
  <c r="R211" i="60" s="1"/>
  <c r="N210" i="60"/>
  <c r="R210" i="60" s="1"/>
  <c r="N209" i="60"/>
  <c r="R209" i="60" s="1"/>
  <c r="N208" i="60"/>
  <c r="R208" i="60" s="1"/>
  <c r="N207" i="60"/>
  <c r="R207" i="60" s="1"/>
  <c r="N206" i="60"/>
  <c r="R206" i="60" s="1"/>
  <c r="N205" i="60"/>
  <c r="R205" i="60" s="1"/>
  <c r="N204" i="60"/>
  <c r="R204" i="60" s="1"/>
  <c r="N203" i="60"/>
  <c r="R203" i="60" s="1"/>
  <c r="N202" i="60"/>
  <c r="R202" i="60" s="1"/>
  <c r="N201" i="60"/>
  <c r="R201" i="60" s="1"/>
  <c r="N200" i="60"/>
  <c r="R200" i="60" s="1"/>
  <c r="N199" i="60"/>
  <c r="R199" i="60" s="1"/>
  <c r="N198" i="60"/>
  <c r="R198" i="60" s="1"/>
  <c r="N197" i="60"/>
  <c r="R197" i="60" s="1"/>
  <c r="N196" i="60"/>
  <c r="R196" i="60" s="1"/>
  <c r="N195" i="60"/>
  <c r="R195" i="60" s="1"/>
  <c r="N194" i="60"/>
  <c r="R194" i="60" s="1"/>
  <c r="N193" i="60"/>
  <c r="R193" i="60" s="1"/>
  <c r="N192" i="60"/>
  <c r="R192" i="60" s="1"/>
  <c r="N191" i="60"/>
  <c r="R191" i="60" s="1"/>
  <c r="N190" i="60"/>
  <c r="R190" i="60" s="1"/>
  <c r="N189" i="60"/>
  <c r="R189" i="60" s="1"/>
  <c r="N188" i="60"/>
  <c r="R188" i="60" s="1"/>
  <c r="N187" i="60"/>
  <c r="R187" i="60" s="1"/>
  <c r="N186" i="60"/>
  <c r="R186" i="60" s="1"/>
  <c r="N185" i="60"/>
  <c r="R185" i="60" s="1"/>
  <c r="N184" i="60"/>
  <c r="R184" i="60" s="1"/>
  <c r="N183" i="60"/>
  <c r="R183" i="60" s="1"/>
  <c r="N182" i="60"/>
  <c r="R182" i="60" s="1"/>
  <c r="N181" i="60"/>
  <c r="R181" i="60" s="1"/>
  <c r="N180" i="60"/>
  <c r="R180" i="60" s="1"/>
  <c r="N179" i="60"/>
  <c r="R179" i="60" s="1"/>
  <c r="N178" i="60"/>
  <c r="R178" i="60" s="1"/>
  <c r="N177" i="60"/>
  <c r="R177" i="60" s="1"/>
  <c r="N176" i="60"/>
  <c r="R176" i="60" s="1"/>
  <c r="N175" i="60"/>
  <c r="R175" i="60" s="1"/>
  <c r="N174" i="60"/>
  <c r="R174" i="60" s="1"/>
  <c r="N173" i="60"/>
  <c r="R173" i="60" s="1"/>
  <c r="N172" i="60"/>
  <c r="R172" i="60" s="1"/>
  <c r="N171" i="60"/>
  <c r="R171" i="60" s="1"/>
  <c r="N170" i="60"/>
  <c r="R170" i="60" s="1"/>
  <c r="N169" i="60"/>
  <c r="R169" i="60" s="1"/>
  <c r="N168" i="60"/>
  <c r="R168" i="60" s="1"/>
  <c r="N167" i="60"/>
  <c r="R167" i="60" s="1"/>
  <c r="N166" i="60"/>
  <c r="R166" i="60" s="1"/>
  <c r="N165" i="60"/>
  <c r="R165" i="60" s="1"/>
  <c r="N164" i="60"/>
  <c r="R164" i="60" s="1"/>
  <c r="N163" i="60"/>
  <c r="R163" i="60" s="1"/>
  <c r="N162" i="60"/>
  <c r="R162" i="60" s="1"/>
  <c r="N161" i="60"/>
  <c r="R161" i="60" s="1"/>
  <c r="N160" i="60"/>
  <c r="R160" i="60" s="1"/>
  <c r="N159" i="60"/>
  <c r="R159" i="60" s="1"/>
  <c r="N158" i="60"/>
  <c r="R158" i="60" s="1"/>
  <c r="N157" i="60"/>
  <c r="R157" i="60" s="1"/>
  <c r="N156" i="60"/>
  <c r="R156" i="60" s="1"/>
  <c r="N155" i="60"/>
  <c r="R155" i="60" s="1"/>
  <c r="N154" i="60"/>
  <c r="R154" i="60" s="1"/>
  <c r="N153" i="60"/>
  <c r="R153" i="60" s="1"/>
  <c r="N152" i="60"/>
  <c r="R152" i="60" s="1"/>
  <c r="N151" i="60"/>
  <c r="R151" i="60" s="1"/>
  <c r="N150" i="60"/>
  <c r="R150" i="60" s="1"/>
  <c r="N149" i="60"/>
  <c r="R149" i="60" s="1"/>
  <c r="N148" i="60"/>
  <c r="R148" i="60" s="1"/>
  <c r="N147" i="60"/>
  <c r="R147" i="60" s="1"/>
  <c r="N146" i="60"/>
  <c r="R146" i="60" s="1"/>
  <c r="N145" i="60"/>
  <c r="R145" i="60" s="1"/>
  <c r="N144" i="60"/>
  <c r="R144" i="60" s="1"/>
  <c r="N143" i="60"/>
  <c r="R143" i="60" s="1"/>
  <c r="N142" i="60"/>
  <c r="R142" i="60" s="1"/>
  <c r="N141" i="60"/>
  <c r="R141" i="60" s="1"/>
  <c r="N140" i="60"/>
  <c r="R140" i="60" s="1"/>
  <c r="N139" i="60"/>
  <c r="R139" i="60" s="1"/>
  <c r="N138" i="60"/>
  <c r="R138" i="60" s="1"/>
  <c r="N137" i="60"/>
  <c r="R137" i="60" s="1"/>
  <c r="N136" i="60"/>
  <c r="R136" i="60" s="1"/>
  <c r="N135" i="60"/>
  <c r="R135" i="60" s="1"/>
  <c r="N134" i="60"/>
  <c r="R134" i="60" s="1"/>
  <c r="N133" i="60"/>
  <c r="R133" i="60" s="1"/>
  <c r="N132" i="60"/>
  <c r="R132" i="60" s="1"/>
  <c r="N131" i="60"/>
  <c r="R131" i="60" s="1"/>
  <c r="N130" i="60"/>
  <c r="R130" i="60" s="1"/>
  <c r="N129" i="60"/>
  <c r="R129" i="60" s="1"/>
  <c r="N128" i="60"/>
  <c r="R128" i="60" s="1"/>
  <c r="N127" i="60"/>
  <c r="R127" i="60" s="1"/>
  <c r="N126" i="60"/>
  <c r="R126" i="60" s="1"/>
  <c r="N125" i="60"/>
  <c r="R125" i="60" s="1"/>
  <c r="N124" i="60"/>
  <c r="R124" i="60" s="1"/>
  <c r="N123" i="60"/>
  <c r="R123" i="60" s="1"/>
  <c r="N122" i="60"/>
  <c r="R122" i="60" s="1"/>
  <c r="N121" i="60"/>
  <c r="R121" i="60" s="1"/>
  <c r="N120" i="60"/>
  <c r="R120" i="60" s="1"/>
  <c r="N119" i="60"/>
  <c r="R119" i="60" s="1"/>
  <c r="N118" i="60"/>
  <c r="R118" i="60" s="1"/>
  <c r="N117" i="60"/>
  <c r="R117" i="60" s="1"/>
  <c r="N116" i="60"/>
  <c r="R116" i="60" s="1"/>
  <c r="N115" i="60"/>
  <c r="R115" i="60" s="1"/>
  <c r="N114" i="60"/>
  <c r="R114" i="60" s="1"/>
  <c r="N113" i="60"/>
  <c r="R113" i="60" s="1"/>
  <c r="N112" i="60"/>
  <c r="R112" i="60" s="1"/>
  <c r="N111" i="60"/>
  <c r="R111" i="60" s="1"/>
  <c r="N110" i="60"/>
  <c r="R110" i="60" s="1"/>
  <c r="N109" i="60"/>
  <c r="R109" i="60" s="1"/>
  <c r="N108" i="60"/>
  <c r="R108" i="60" s="1"/>
  <c r="N107" i="60"/>
  <c r="R107" i="60" s="1"/>
  <c r="N106" i="60"/>
  <c r="R106" i="60" s="1"/>
  <c r="N105" i="60"/>
  <c r="R105" i="60" s="1"/>
  <c r="N104" i="60"/>
  <c r="R104" i="60" s="1"/>
  <c r="N103" i="60"/>
  <c r="R103" i="60" s="1"/>
  <c r="N102" i="60"/>
  <c r="R102" i="60" s="1"/>
  <c r="N101" i="60"/>
  <c r="R101" i="60" s="1"/>
  <c r="N100" i="60"/>
  <c r="R100" i="60" s="1"/>
  <c r="N99" i="60"/>
  <c r="R99" i="60" s="1"/>
  <c r="N98" i="60"/>
  <c r="R98" i="60" s="1"/>
  <c r="N97" i="60"/>
  <c r="R97" i="60" s="1"/>
  <c r="N96" i="60"/>
  <c r="R96" i="60" s="1"/>
  <c r="N95" i="60"/>
  <c r="R95" i="60" s="1"/>
  <c r="N94" i="60"/>
  <c r="R94" i="60" s="1"/>
  <c r="N93" i="60"/>
  <c r="R93" i="60" s="1"/>
  <c r="N92" i="60"/>
  <c r="R92" i="60" s="1"/>
  <c r="N91" i="60"/>
  <c r="R91" i="60" s="1"/>
  <c r="N90" i="60"/>
  <c r="R90" i="60" s="1"/>
  <c r="N89" i="60"/>
  <c r="R89" i="60" s="1"/>
  <c r="N88" i="60"/>
  <c r="R88" i="60" s="1"/>
  <c r="N87" i="60"/>
  <c r="R87" i="60" s="1"/>
  <c r="N86" i="60"/>
  <c r="R86" i="60" s="1"/>
  <c r="N85" i="60"/>
  <c r="R85" i="60" s="1"/>
  <c r="N84" i="60"/>
  <c r="R84" i="60" s="1"/>
  <c r="N83" i="60"/>
  <c r="R83" i="60" s="1"/>
  <c r="N82" i="60"/>
  <c r="R82" i="60" s="1"/>
  <c r="N81" i="60"/>
  <c r="R81" i="60" s="1"/>
  <c r="N80" i="60"/>
  <c r="R80" i="60" s="1"/>
  <c r="N79" i="60"/>
  <c r="R79" i="60" s="1"/>
  <c r="N78" i="60"/>
  <c r="R78" i="60" s="1"/>
  <c r="N77" i="60"/>
  <c r="R77" i="60" s="1"/>
  <c r="N76" i="60"/>
  <c r="R76" i="60" s="1"/>
  <c r="N75" i="60"/>
  <c r="R75" i="60" s="1"/>
  <c r="N74" i="60"/>
  <c r="R74" i="60" s="1"/>
  <c r="N73" i="60"/>
  <c r="R73" i="60" s="1"/>
  <c r="N72" i="60"/>
  <c r="R72" i="60" s="1"/>
  <c r="N71" i="60"/>
  <c r="R71" i="60" s="1"/>
  <c r="N70" i="60"/>
  <c r="R70" i="60" s="1"/>
  <c r="N69" i="60"/>
  <c r="R69" i="60" s="1"/>
  <c r="N68" i="60"/>
  <c r="R68" i="60" s="1"/>
  <c r="N67" i="60"/>
  <c r="R67" i="60" s="1"/>
  <c r="N66" i="60"/>
  <c r="R66" i="60" s="1"/>
  <c r="N65" i="60"/>
  <c r="R65" i="60" s="1"/>
  <c r="N64" i="60"/>
  <c r="R64" i="60" s="1"/>
  <c r="N63" i="60"/>
  <c r="R63" i="60" s="1"/>
  <c r="N62" i="60"/>
  <c r="R62" i="60" s="1"/>
  <c r="N61" i="60"/>
  <c r="R61" i="60" s="1"/>
  <c r="N60" i="60"/>
  <c r="R60" i="60" s="1"/>
  <c r="N59" i="60"/>
  <c r="R59" i="60" s="1"/>
  <c r="N58" i="60"/>
  <c r="R58" i="60" s="1"/>
  <c r="N57" i="60"/>
  <c r="R57" i="60" s="1"/>
  <c r="N56" i="60"/>
  <c r="R56" i="60" s="1"/>
  <c r="N55" i="60"/>
  <c r="R55" i="60" s="1"/>
  <c r="N54" i="60"/>
  <c r="R54" i="60" s="1"/>
  <c r="N53" i="60"/>
  <c r="R53" i="60" s="1"/>
  <c r="N52" i="60"/>
  <c r="R52" i="60" s="1"/>
  <c r="N51" i="60"/>
  <c r="R51" i="60" s="1"/>
  <c r="N50" i="60"/>
  <c r="R50" i="60" s="1"/>
  <c r="N49" i="60"/>
  <c r="R49" i="60" s="1"/>
  <c r="N48" i="60"/>
  <c r="R48" i="60" s="1"/>
  <c r="N47" i="60"/>
  <c r="R47" i="60" s="1"/>
  <c r="N46" i="60"/>
  <c r="R46" i="60" s="1"/>
  <c r="N45" i="60"/>
  <c r="R45" i="60" s="1"/>
  <c r="N44" i="60"/>
  <c r="R44" i="60" s="1"/>
  <c r="N43" i="60"/>
  <c r="R43" i="60" s="1"/>
  <c r="N42" i="60"/>
  <c r="R42" i="60" s="1"/>
  <c r="N41" i="60"/>
  <c r="R41" i="60" s="1"/>
  <c r="N40" i="60"/>
  <c r="R40" i="60" s="1"/>
  <c r="N39" i="60"/>
  <c r="R39" i="60" s="1"/>
  <c r="N38" i="60"/>
  <c r="R38" i="60" s="1"/>
  <c r="N37" i="60"/>
  <c r="R37" i="60" s="1"/>
  <c r="N36" i="60"/>
  <c r="R36" i="60" s="1"/>
  <c r="N35" i="60"/>
  <c r="R35" i="60" s="1"/>
  <c r="N34" i="60"/>
  <c r="R34" i="60" s="1"/>
  <c r="N33" i="60"/>
  <c r="R33" i="60" s="1"/>
  <c r="N32" i="60"/>
  <c r="R32" i="60" s="1"/>
  <c r="N31" i="60"/>
  <c r="R31" i="60" s="1"/>
  <c r="N30" i="60"/>
  <c r="R30" i="60" s="1"/>
  <c r="N29" i="60"/>
  <c r="R29" i="60" s="1"/>
  <c r="N28" i="60"/>
  <c r="R28" i="60" s="1"/>
  <c r="N27" i="60"/>
  <c r="R27" i="60" s="1"/>
  <c r="N26" i="60"/>
  <c r="R26" i="60" s="1"/>
  <c r="N25" i="60"/>
  <c r="R25" i="60" s="1"/>
  <c r="N24" i="60"/>
  <c r="R24" i="60" s="1"/>
  <c r="N23" i="60"/>
  <c r="R23" i="60" s="1"/>
  <c r="N22" i="60"/>
  <c r="R22" i="60" s="1"/>
  <c r="N21" i="60"/>
  <c r="R21" i="60" s="1"/>
  <c r="N20" i="60"/>
  <c r="R20" i="60" s="1"/>
  <c r="N19" i="60"/>
  <c r="R19" i="60" s="1"/>
  <c r="N18" i="60"/>
  <c r="R18" i="60" s="1"/>
  <c r="N17" i="60"/>
  <c r="R17" i="60" s="1"/>
  <c r="N16" i="60"/>
  <c r="R16" i="60" s="1"/>
  <c r="N15" i="60"/>
  <c r="R15" i="60" s="1"/>
  <c r="N14" i="60"/>
  <c r="R14" i="60" s="1"/>
  <c r="N13" i="60"/>
  <c r="R13" i="60" s="1"/>
  <c r="N12" i="60"/>
  <c r="R12" i="60" s="1"/>
  <c r="N11" i="60"/>
  <c r="R11" i="60" s="1"/>
  <c r="N10" i="60"/>
  <c r="R10" i="60" s="1"/>
  <c r="N9" i="60"/>
  <c r="R9" i="60" s="1"/>
  <c r="N304" i="60" l="1"/>
  <c r="R7" i="60"/>
  <c r="A5" i="60" s="1"/>
  <c r="F19" i="6" l="1"/>
  <c r="F21" i="6" s="1"/>
  <c r="E21" i="6"/>
  <c r="C167" i="29"/>
  <c r="C183" i="29"/>
  <c r="C24" i="29"/>
  <c r="C77" i="29"/>
  <c r="C234" i="29"/>
  <c r="C201" i="29"/>
  <c r="C29" i="29"/>
  <c r="C162" i="29"/>
  <c r="C68" i="29"/>
  <c r="C17" i="29"/>
  <c r="C52" i="29"/>
  <c r="C147" i="29"/>
  <c r="C53" i="29"/>
  <c r="C47" i="29"/>
  <c r="C144" i="29"/>
  <c r="C202" i="29"/>
  <c r="C274" i="29"/>
  <c r="C74" i="29"/>
  <c r="C161" i="29"/>
  <c r="C101" i="29"/>
  <c r="C186" i="29"/>
  <c r="C196" i="29"/>
  <c r="C301" i="29"/>
  <c r="C262" i="29"/>
  <c r="C299" i="29"/>
  <c r="C78" i="29"/>
  <c r="C221" i="29"/>
  <c r="C314" i="29"/>
  <c r="C84" i="29"/>
  <c r="C169" i="29"/>
  <c r="C295" i="29"/>
  <c r="C158" i="29"/>
  <c r="C249" i="29"/>
  <c r="C222" i="29"/>
  <c r="C30" i="29"/>
  <c r="C278" i="29"/>
  <c r="C163" i="29"/>
  <c r="C273" i="29"/>
  <c r="C199" i="29"/>
  <c r="C225" i="29"/>
  <c r="C250" i="29"/>
  <c r="C70" i="29"/>
  <c r="C215" i="29"/>
  <c r="C66" i="29"/>
  <c r="C208" i="29"/>
  <c r="C8" i="29"/>
  <c r="C7" i="29"/>
  <c r="C310" i="29"/>
  <c r="C6" i="29"/>
  <c r="C126" i="29"/>
  <c r="C142" i="29"/>
  <c r="C231" i="29"/>
  <c r="C304" i="29"/>
  <c r="C308" i="29"/>
  <c r="C150" i="29"/>
  <c r="C137" i="29"/>
  <c r="C91" i="29"/>
  <c r="C139" i="29"/>
  <c r="C228" i="29"/>
  <c r="C22" i="29"/>
  <c r="C117" i="29"/>
  <c r="C43" i="29"/>
  <c r="C156" i="29"/>
  <c r="C4" i="29"/>
  <c r="C14" i="29"/>
  <c r="C19" i="29"/>
  <c r="C106" i="29"/>
  <c r="C268" i="29"/>
  <c r="C220" i="29"/>
  <c r="C185" i="29"/>
  <c r="C110" i="29"/>
  <c r="C223" i="29"/>
  <c r="C298" i="29"/>
  <c r="C94" i="29"/>
  <c r="C246" i="29"/>
  <c r="C265" i="29"/>
  <c r="C125" i="29"/>
  <c r="C305" i="29"/>
  <c r="C263" i="29"/>
  <c r="C151" i="29"/>
  <c r="C149" i="29"/>
  <c r="C174" i="29"/>
  <c r="C257" i="29"/>
  <c r="C87" i="29"/>
  <c r="C307" i="29"/>
  <c r="C49" i="29"/>
  <c r="C209" i="29"/>
  <c r="C130" i="29"/>
  <c r="C42" i="29"/>
  <c r="C281" i="29"/>
  <c r="C168" i="29"/>
  <c r="C48" i="29"/>
  <c r="C58" i="29"/>
  <c r="C83" i="29"/>
  <c r="C251" i="29"/>
  <c r="C252" i="29"/>
  <c r="C35" i="29"/>
  <c r="C212" i="29"/>
  <c r="C291" i="29"/>
  <c r="C170" i="29"/>
  <c r="C63" i="29"/>
  <c r="C191" i="29"/>
  <c r="C54" i="29"/>
  <c r="C146" i="29"/>
  <c r="C86" i="29"/>
  <c r="C217" i="29"/>
  <c r="C114" i="29"/>
  <c r="C193" i="29"/>
  <c r="C80" i="29"/>
  <c r="C232" i="29"/>
  <c r="C164" i="29"/>
  <c r="C93" i="29"/>
  <c r="C50" i="29"/>
  <c r="C269" i="29"/>
  <c r="C160" i="29"/>
  <c r="C31" i="29"/>
  <c r="C195" i="29"/>
  <c r="C153" i="29"/>
  <c r="C192" i="29"/>
  <c r="C283" i="29"/>
  <c r="C306" i="29"/>
  <c r="C172" i="29"/>
  <c r="C92" i="29"/>
  <c r="C57" i="29"/>
  <c r="C34" i="29"/>
  <c r="C287" i="29"/>
  <c r="C121" i="29"/>
  <c r="C118" i="29"/>
  <c r="C90" i="29"/>
  <c r="C40" i="29"/>
  <c r="C89" i="29"/>
  <c r="C157" i="29"/>
  <c r="C64" i="29"/>
  <c r="C148" i="29"/>
  <c r="C309" i="29"/>
  <c r="C79" i="29"/>
  <c r="C190" i="29"/>
  <c r="C88" i="29"/>
  <c r="C300" i="29"/>
  <c r="C279" i="29"/>
  <c r="C181" i="29"/>
  <c r="C5" i="29"/>
  <c r="C69" i="29"/>
  <c r="C13" i="29"/>
  <c r="C65" i="29"/>
  <c r="C26" i="29"/>
  <c r="C21" i="29"/>
  <c r="C131" i="29"/>
  <c r="C294" i="29"/>
  <c r="C20" i="29"/>
  <c r="C67" i="29"/>
  <c r="C180" i="29"/>
  <c r="C141" i="29"/>
  <c r="C96" i="29"/>
  <c r="C207" i="29"/>
  <c r="C45" i="29"/>
  <c r="C302" i="29"/>
  <c r="C264" i="29"/>
  <c r="C136" i="29"/>
  <c r="C154" i="29"/>
  <c r="C109" i="29"/>
  <c r="C145" i="29"/>
  <c r="C284" i="29"/>
  <c r="C297" i="29"/>
  <c r="C224" i="29"/>
  <c r="C276" i="29"/>
  <c r="C119" i="29"/>
  <c r="C134" i="29"/>
  <c r="C99" i="29"/>
  <c r="C286" i="29"/>
  <c r="C25" i="29"/>
  <c r="C282" i="29"/>
  <c r="C242" i="29"/>
  <c r="C113" i="29"/>
  <c r="C103" i="29"/>
  <c r="C76" i="29"/>
  <c r="C289" i="29"/>
  <c r="C112" i="29"/>
  <c r="C56" i="29"/>
  <c r="C82" i="29"/>
  <c r="C61" i="29"/>
  <c r="C140" i="29"/>
  <c r="C206" i="29"/>
  <c r="C230" i="29"/>
  <c r="C271" i="29"/>
  <c r="C203" i="29"/>
  <c r="C60" i="29"/>
  <c r="C260" i="29"/>
  <c r="C75" i="29"/>
  <c r="C123" i="29"/>
  <c r="C166" i="29"/>
  <c r="C116" i="29"/>
  <c r="C267" i="29"/>
  <c r="C213" i="29"/>
  <c r="C254" i="29"/>
  <c r="C259" i="29"/>
  <c r="C171" i="29"/>
  <c r="C198" i="29"/>
  <c r="C277" i="29"/>
  <c r="C236" i="29"/>
  <c r="C16" i="29"/>
  <c r="C244" i="29"/>
  <c r="C255" i="29"/>
  <c r="C133" i="29"/>
  <c r="C303" i="29"/>
  <c r="C247" i="29"/>
  <c r="C41" i="29"/>
  <c r="C238" i="29"/>
  <c r="C288" i="29"/>
  <c r="C23" i="29"/>
  <c r="C227" i="29"/>
  <c r="C97" i="29"/>
  <c r="C292" i="29"/>
  <c r="C59" i="29"/>
  <c r="C204" i="29"/>
  <c r="C28" i="29"/>
  <c r="C216" i="29"/>
  <c r="C233" i="29"/>
  <c r="C184" i="29"/>
  <c r="C39" i="29"/>
  <c r="C214" i="29"/>
  <c r="C104" i="29"/>
  <c r="C235" i="29"/>
  <c r="C44" i="29"/>
  <c r="C188" i="29"/>
  <c r="C261" i="29"/>
  <c r="C187" i="29"/>
  <c r="C272" i="29"/>
  <c r="C15" i="29"/>
  <c r="C293" i="29"/>
  <c r="C36" i="29"/>
  <c r="C256" i="29"/>
  <c r="C311" i="29"/>
  <c r="C312" i="29"/>
  <c r="C73" i="29"/>
  <c r="C275" i="29"/>
  <c r="C128" i="29"/>
  <c r="C177" i="29"/>
  <c r="C37" i="29"/>
  <c r="C132" i="29"/>
  <c r="C245" i="29"/>
  <c r="C85" i="29"/>
  <c r="C211" i="29"/>
  <c r="C135" i="29"/>
  <c r="C111" i="29"/>
  <c r="C38" i="29"/>
  <c r="C27" i="29"/>
  <c r="C100" i="29"/>
  <c r="C165" i="29"/>
  <c r="C253" i="29"/>
  <c r="C240" i="29"/>
  <c r="C296" i="29"/>
  <c r="C98" i="29"/>
  <c r="C270" i="29"/>
  <c r="C159" i="29"/>
  <c r="C102" i="29"/>
  <c r="C105" i="29"/>
  <c r="C122" i="29"/>
  <c r="C197" i="29"/>
  <c r="C95" i="29"/>
  <c r="C33" i="29"/>
  <c r="C120" i="29"/>
  <c r="C152" i="29"/>
  <c r="C129" i="29"/>
  <c r="C138" i="29"/>
  <c r="C241" i="29"/>
  <c r="C72" i="29"/>
  <c r="C18" i="29"/>
  <c r="C127" i="29"/>
  <c r="C237" i="29"/>
  <c r="C175" i="29"/>
  <c r="C3" i="29"/>
  <c r="F226" i="75"/>
  <c r="G226" i="75" s="1"/>
  <c r="C226" i="29"/>
  <c r="C313" i="29"/>
  <c r="C173" i="29"/>
  <c r="C248" i="29"/>
  <c r="C32" i="29"/>
  <c r="C107" i="29"/>
  <c r="C189" i="29"/>
  <c r="C290" i="29"/>
  <c r="C218" i="29"/>
  <c r="C11" i="29"/>
  <c r="C10" i="29"/>
  <c r="C55" i="29"/>
  <c r="C243" i="29"/>
  <c r="C124" i="29"/>
  <c r="C81" i="29"/>
  <c r="C280" i="29"/>
  <c r="C194" i="29"/>
  <c r="C155" i="29"/>
  <c r="C285" i="29"/>
  <c r="C143" i="29"/>
  <c r="C200" i="29"/>
  <c r="C9" i="29"/>
  <c r="C239" i="29"/>
  <c r="C176" i="29"/>
  <c r="C258" i="29"/>
  <c r="C115" i="29"/>
  <c r="C266" i="29"/>
  <c r="C46" i="29"/>
  <c r="C205" i="29"/>
  <c r="C12" i="29"/>
  <c r="C179" i="29"/>
  <c r="C178" i="29"/>
  <c r="C182" i="29"/>
  <c r="C108" i="29"/>
  <c r="C229" i="29"/>
  <c r="C219" i="29"/>
  <c r="C62" i="29"/>
  <c r="C51" i="29"/>
  <c r="C210" i="29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8" i="16"/>
  <c r="C297" i="59"/>
  <c r="F75" i="75" l="1"/>
  <c r="G75" i="75" s="1"/>
  <c r="H75" i="75"/>
  <c r="F233" i="75"/>
  <c r="G233" i="75" s="1"/>
  <c r="H233" i="75"/>
  <c r="F37" i="75"/>
  <c r="G37" i="75" s="1"/>
  <c r="H37" i="75"/>
  <c r="F236" i="75"/>
  <c r="G236" i="75" s="1"/>
  <c r="H236" i="75"/>
  <c r="F311" i="75"/>
  <c r="G311" i="75" s="1"/>
  <c r="H311" i="75"/>
  <c r="F98" i="75"/>
  <c r="G98" i="75" s="1"/>
  <c r="H98" i="75"/>
  <c r="F222" i="75"/>
  <c r="G222" i="75" s="1"/>
  <c r="H222" i="75"/>
  <c r="F36" i="75"/>
  <c r="G36" i="75" s="1"/>
  <c r="H36" i="75"/>
  <c r="F315" i="75"/>
  <c r="G315" i="75" s="1"/>
  <c r="H315" i="75"/>
  <c r="F207" i="75"/>
  <c r="G207" i="75" s="1"/>
  <c r="H207" i="75"/>
  <c r="F67" i="75"/>
  <c r="G67" i="75" s="1"/>
  <c r="H67" i="75"/>
  <c r="F232" i="75"/>
  <c r="G232" i="75" s="1"/>
  <c r="H232" i="75"/>
  <c r="F282" i="75"/>
  <c r="G282" i="75" s="1"/>
  <c r="H282" i="75"/>
  <c r="F154" i="75"/>
  <c r="G154" i="75" s="1"/>
  <c r="H154" i="75"/>
  <c r="F150" i="75"/>
  <c r="G150" i="75" s="1"/>
  <c r="H150" i="75"/>
  <c r="F299" i="75"/>
  <c r="G299" i="75" s="1"/>
  <c r="H299" i="75"/>
  <c r="F240" i="75"/>
  <c r="G240" i="75" s="1"/>
  <c r="H240" i="75"/>
  <c r="F30" i="75"/>
  <c r="G30" i="75" s="1"/>
  <c r="H30" i="75"/>
  <c r="F19" i="75"/>
  <c r="G19" i="75" s="1"/>
  <c r="H19" i="75"/>
  <c r="F124" i="75"/>
  <c r="G124" i="75" s="1"/>
  <c r="H124" i="75"/>
  <c r="F184" i="75"/>
  <c r="G184" i="75" s="1"/>
  <c r="H184" i="75"/>
  <c r="F115" i="75"/>
  <c r="G115" i="75" s="1"/>
  <c r="H115" i="75"/>
  <c r="F312" i="75"/>
  <c r="G312" i="75" s="1"/>
  <c r="H312" i="75"/>
  <c r="F181" i="75"/>
  <c r="G181" i="75" s="1"/>
  <c r="H181" i="75"/>
  <c r="F268" i="75"/>
  <c r="G268" i="75" s="1"/>
  <c r="H268" i="75"/>
  <c r="F91" i="75"/>
  <c r="G91" i="75" s="1"/>
  <c r="H91" i="75"/>
  <c r="F204" i="75"/>
  <c r="G204" i="75" s="1"/>
  <c r="H204" i="75"/>
  <c r="F32" i="75"/>
  <c r="G32" i="75" s="1"/>
  <c r="H32" i="75"/>
  <c r="F118" i="75"/>
  <c r="G118" i="75" s="1"/>
  <c r="H118" i="75"/>
  <c r="F248" i="75"/>
  <c r="G248" i="75" s="1"/>
  <c r="H248" i="75"/>
  <c r="F152" i="75"/>
  <c r="G152" i="75" s="1"/>
  <c r="H152" i="75"/>
  <c r="F63" i="75"/>
  <c r="G63" i="75" s="1"/>
  <c r="H63" i="75"/>
  <c r="F29" i="75"/>
  <c r="G29" i="75" s="1"/>
  <c r="H29" i="75"/>
  <c r="F317" i="75"/>
  <c r="G317" i="75" s="1"/>
  <c r="H317" i="75"/>
  <c r="F136" i="75"/>
  <c r="G136" i="75" s="1"/>
  <c r="H136" i="75"/>
  <c r="F97" i="75"/>
  <c r="G97" i="75" s="1"/>
  <c r="H97" i="75"/>
  <c r="F142" i="75"/>
  <c r="G142" i="75" s="1"/>
  <c r="H142" i="75"/>
  <c r="F229" i="75"/>
  <c r="G229" i="75" s="1"/>
  <c r="H229" i="75"/>
  <c r="F126" i="75"/>
  <c r="G126" i="75" s="1"/>
  <c r="H126" i="75"/>
  <c r="F294" i="75"/>
  <c r="G294" i="75" s="1"/>
  <c r="H294" i="75"/>
  <c r="F304" i="75"/>
  <c r="G304" i="75" s="1"/>
  <c r="H304" i="75"/>
  <c r="F59" i="75"/>
  <c r="G59" i="75" s="1"/>
  <c r="H59" i="75"/>
  <c r="F251" i="75"/>
  <c r="G251" i="75" s="1"/>
  <c r="H251" i="75"/>
  <c r="F246" i="75"/>
  <c r="G246" i="75" s="1"/>
  <c r="H246" i="75"/>
  <c r="F293" i="75"/>
  <c r="G293" i="75" s="1"/>
  <c r="H293" i="75"/>
  <c r="F26" i="75"/>
  <c r="G26" i="75" s="1"/>
  <c r="H26" i="75"/>
  <c r="F261" i="75"/>
  <c r="G261" i="75" s="1"/>
  <c r="H261" i="75"/>
  <c r="F43" i="75"/>
  <c r="G43" i="75" s="1"/>
  <c r="H43" i="75"/>
  <c r="F259" i="75"/>
  <c r="G259" i="75" s="1"/>
  <c r="H259" i="75"/>
  <c r="F84" i="75"/>
  <c r="G84" i="75" s="1"/>
  <c r="H84" i="75"/>
  <c r="F138" i="75"/>
  <c r="G138" i="75" s="1"/>
  <c r="H138" i="75"/>
  <c r="F158" i="75"/>
  <c r="G158" i="75" s="1"/>
  <c r="H158" i="75"/>
  <c r="F290" i="75"/>
  <c r="G290" i="75" s="1"/>
  <c r="H290" i="75"/>
  <c r="F192" i="75"/>
  <c r="G192" i="75" s="1"/>
  <c r="H192" i="75"/>
  <c r="F193" i="75"/>
  <c r="G193" i="75" s="1"/>
  <c r="H193" i="75"/>
  <c r="F77" i="75"/>
  <c r="G77" i="75" s="1"/>
  <c r="H77" i="75"/>
  <c r="F54" i="75"/>
  <c r="G54" i="75" s="1"/>
  <c r="H54" i="75"/>
  <c r="F298" i="75"/>
  <c r="G298" i="75" s="1"/>
  <c r="H298" i="75"/>
  <c r="F219" i="75"/>
  <c r="G219" i="75" s="1"/>
  <c r="H219" i="75"/>
  <c r="F147" i="75"/>
  <c r="G147" i="75" s="1"/>
  <c r="H147" i="75"/>
  <c r="F166" i="75"/>
  <c r="G166" i="75" s="1"/>
  <c r="H166" i="75"/>
  <c r="F12" i="75"/>
  <c r="G12" i="75" s="1"/>
  <c r="H12" i="75"/>
  <c r="F125" i="75"/>
  <c r="G125" i="75" s="1"/>
  <c r="H125" i="75"/>
  <c r="F244" i="75"/>
  <c r="G244" i="75" s="1"/>
  <c r="H244" i="75"/>
  <c r="F13" i="75"/>
  <c r="G13" i="75" s="1"/>
  <c r="H13" i="75"/>
  <c r="F121" i="75"/>
  <c r="G121" i="75" s="1"/>
  <c r="H121" i="75"/>
  <c r="F199" i="75"/>
  <c r="G199" i="75" s="1"/>
  <c r="H199" i="75"/>
  <c r="F120" i="75"/>
  <c r="G120" i="75" s="1"/>
  <c r="H120" i="75"/>
  <c r="F31" i="75"/>
  <c r="G31" i="75" s="1"/>
  <c r="H31" i="75"/>
  <c r="F62" i="75"/>
  <c r="G62" i="75" s="1"/>
  <c r="H62" i="75"/>
  <c r="F53" i="75"/>
  <c r="G53" i="75" s="1"/>
  <c r="H53" i="75"/>
  <c r="F218" i="75"/>
  <c r="G218" i="75" s="1"/>
  <c r="H218" i="75"/>
  <c r="F129" i="75"/>
  <c r="G129" i="75" s="1"/>
  <c r="H129" i="75"/>
  <c r="F172" i="75"/>
  <c r="G172" i="75" s="1"/>
  <c r="H172" i="75"/>
  <c r="F254" i="75"/>
  <c r="G254" i="75" s="1"/>
  <c r="H254" i="75"/>
  <c r="F319" i="75"/>
  <c r="G319" i="75" s="1"/>
  <c r="H319" i="75"/>
  <c r="F107" i="75"/>
  <c r="G107" i="75" s="1"/>
  <c r="H107" i="75"/>
  <c r="F23" i="75"/>
  <c r="G23" i="75" s="1"/>
  <c r="H23" i="75"/>
  <c r="F237" i="75"/>
  <c r="G237" i="75" s="1"/>
  <c r="H237" i="75"/>
  <c r="F247" i="75"/>
  <c r="G247" i="75" s="1"/>
  <c r="H247" i="75"/>
  <c r="F211" i="75"/>
  <c r="G211" i="75" s="1"/>
  <c r="H211" i="75"/>
  <c r="F309" i="75"/>
  <c r="G309" i="75" s="1"/>
  <c r="H309" i="75"/>
  <c r="F217" i="75"/>
  <c r="G217" i="75" s="1"/>
  <c r="H217" i="75"/>
  <c r="F47" i="75"/>
  <c r="G47" i="75" s="1"/>
  <c r="H47" i="75"/>
  <c r="F196" i="75"/>
  <c r="G196" i="75" s="1"/>
  <c r="H196" i="75"/>
  <c r="F183" i="75"/>
  <c r="G183" i="75" s="1"/>
  <c r="H183" i="75"/>
  <c r="F186" i="75"/>
  <c r="G186" i="75" s="1"/>
  <c r="H186" i="75"/>
  <c r="F123" i="75"/>
  <c r="G123" i="75" s="1"/>
  <c r="H123" i="75"/>
  <c r="F188" i="75"/>
  <c r="G188" i="75" s="1"/>
  <c r="H188" i="75"/>
  <c r="F305" i="75"/>
  <c r="G305" i="75" s="1"/>
  <c r="H305" i="75"/>
  <c r="F168" i="75"/>
  <c r="G168" i="75" s="1"/>
  <c r="H168" i="75"/>
  <c r="F242" i="75"/>
  <c r="G242" i="75" s="1"/>
  <c r="H242" i="75"/>
  <c r="F231" i="75"/>
  <c r="G231" i="75" s="1"/>
  <c r="H231" i="75"/>
  <c r="F106" i="75"/>
  <c r="G106" i="75" s="1"/>
  <c r="H106" i="75"/>
  <c r="F180" i="75"/>
  <c r="G180" i="75" s="1"/>
  <c r="H180" i="75"/>
  <c r="F42" i="75"/>
  <c r="G42" i="75" s="1"/>
  <c r="H42" i="75"/>
  <c r="F239" i="75"/>
  <c r="G239" i="75" s="1"/>
  <c r="H239" i="75"/>
  <c r="F213" i="75"/>
  <c r="G213" i="75" s="1"/>
  <c r="H213" i="75"/>
  <c r="F265" i="75"/>
  <c r="G265" i="75" s="1"/>
  <c r="H265" i="75"/>
  <c r="F102" i="75"/>
  <c r="G102" i="75" s="1"/>
  <c r="H102" i="75"/>
  <c r="F46" i="75"/>
  <c r="G46" i="75" s="1"/>
  <c r="H46" i="75"/>
  <c r="F40" i="75"/>
  <c r="G40" i="75" s="1"/>
  <c r="H40" i="75"/>
  <c r="F316" i="75"/>
  <c r="G316" i="75" s="1"/>
  <c r="H316" i="75"/>
  <c r="F137" i="75"/>
  <c r="G137" i="75" s="1"/>
  <c r="H137" i="75"/>
  <c r="F161" i="75"/>
  <c r="G161" i="75" s="1"/>
  <c r="H161" i="75"/>
  <c r="F16" i="75"/>
  <c r="G16" i="75" s="1"/>
  <c r="H16" i="75"/>
  <c r="F93" i="75"/>
  <c r="G93" i="75" s="1"/>
  <c r="H93" i="75"/>
  <c r="F156" i="75"/>
  <c r="G156" i="75" s="1"/>
  <c r="H156" i="75"/>
  <c r="F225" i="75"/>
  <c r="G225" i="75" s="1"/>
  <c r="H225" i="75"/>
  <c r="F173" i="75"/>
  <c r="G173" i="75" s="1"/>
  <c r="H173" i="75"/>
  <c r="F210" i="75"/>
  <c r="G210" i="75" s="1"/>
  <c r="H210" i="75"/>
  <c r="F206" i="75"/>
  <c r="G206" i="75" s="1"/>
  <c r="H206" i="75"/>
  <c r="F139" i="75"/>
  <c r="G139" i="75" s="1"/>
  <c r="H139" i="75"/>
  <c r="F221" i="75"/>
  <c r="G221" i="75" s="1"/>
  <c r="H221" i="75"/>
  <c r="F243" i="75"/>
  <c r="G243" i="75" s="1"/>
  <c r="H243" i="75"/>
  <c r="F100" i="75"/>
  <c r="G100" i="75" s="1"/>
  <c r="H100" i="75"/>
  <c r="F61" i="75"/>
  <c r="G61" i="75" s="1"/>
  <c r="H61" i="75"/>
  <c r="F160" i="75"/>
  <c r="G160" i="75" s="1"/>
  <c r="H160" i="75"/>
  <c r="F76" i="75"/>
  <c r="G76" i="75" s="1"/>
  <c r="H76" i="75"/>
  <c r="F284" i="75"/>
  <c r="G284" i="75" s="1"/>
  <c r="H284" i="75"/>
  <c r="F52" i="75"/>
  <c r="G52" i="75" s="1"/>
  <c r="H52" i="75"/>
  <c r="F175" i="75"/>
  <c r="G175" i="75" s="1"/>
  <c r="H175" i="75"/>
  <c r="F141" i="75"/>
  <c r="G141" i="75" s="1"/>
  <c r="H141" i="75"/>
  <c r="F179" i="75"/>
  <c r="G179" i="75" s="1"/>
  <c r="H179" i="75"/>
  <c r="F252" i="75"/>
  <c r="G252" i="75" s="1"/>
  <c r="H252" i="75"/>
  <c r="F214" i="75"/>
  <c r="G214" i="75" s="1"/>
  <c r="H214" i="75"/>
  <c r="F8" i="75"/>
  <c r="G8" i="75" s="1"/>
  <c r="H8" i="75"/>
  <c r="F14" i="75"/>
  <c r="G14" i="75" s="1"/>
  <c r="H14" i="75"/>
  <c r="F79" i="75"/>
  <c r="G79" i="75" s="1"/>
  <c r="H79" i="75"/>
  <c r="F99" i="75"/>
  <c r="G99" i="75" s="1"/>
  <c r="H99" i="75"/>
  <c r="F307" i="75"/>
  <c r="G307" i="75" s="1"/>
  <c r="H307" i="75"/>
  <c r="F155" i="75"/>
  <c r="G155" i="75" s="1"/>
  <c r="H155" i="75"/>
  <c r="F17" i="75"/>
  <c r="G17" i="75" s="1"/>
  <c r="H17" i="75"/>
  <c r="F109" i="75"/>
  <c r="G109" i="75" s="1"/>
  <c r="H109" i="75"/>
  <c r="F216" i="75"/>
  <c r="G216" i="75" s="1"/>
  <c r="H216" i="75"/>
  <c r="F167" i="75"/>
  <c r="G167" i="75" s="1"/>
  <c r="H167" i="75"/>
  <c r="F140" i="75"/>
  <c r="G140" i="75" s="1"/>
  <c r="H140" i="75"/>
  <c r="F22" i="75"/>
  <c r="G22" i="75" s="1"/>
  <c r="H22" i="75"/>
  <c r="F260" i="75"/>
  <c r="G260" i="75" s="1"/>
  <c r="H260" i="75"/>
  <c r="F249" i="75"/>
  <c r="G249" i="75" s="1"/>
  <c r="H249" i="75"/>
  <c r="F89" i="75"/>
  <c r="G89" i="75" s="1"/>
  <c r="H89" i="75"/>
  <c r="F153" i="75"/>
  <c r="G153" i="75" s="1"/>
  <c r="H153" i="75"/>
  <c r="F122" i="75"/>
  <c r="G122" i="75" s="1"/>
  <c r="H122" i="75"/>
  <c r="F277" i="75"/>
  <c r="G277" i="75" s="1"/>
  <c r="H277" i="75"/>
  <c r="F132" i="75"/>
  <c r="G132" i="75" s="1"/>
  <c r="H132" i="75"/>
  <c r="F313" i="75"/>
  <c r="G313" i="75" s="1"/>
  <c r="H313" i="75"/>
  <c r="F178" i="75"/>
  <c r="G178" i="75" s="1"/>
  <c r="H178" i="75"/>
  <c r="F90" i="75"/>
  <c r="G90" i="75" s="1"/>
  <c r="H90" i="75"/>
  <c r="F65" i="75"/>
  <c r="G65" i="75" s="1"/>
  <c r="H65" i="75"/>
  <c r="F320" i="75"/>
  <c r="G320" i="75" s="1"/>
  <c r="H320" i="75"/>
  <c r="F208" i="75"/>
  <c r="G208" i="75" s="1"/>
  <c r="H208" i="75"/>
  <c r="F302" i="75"/>
  <c r="G302" i="75" s="1"/>
  <c r="H302" i="75"/>
  <c r="F198" i="75"/>
  <c r="G198" i="75" s="1"/>
  <c r="H198" i="75"/>
  <c r="F281" i="75"/>
  <c r="G281" i="75" s="1"/>
  <c r="H281" i="75"/>
  <c r="F85" i="75"/>
  <c r="G85" i="75" s="1"/>
  <c r="H85" i="75"/>
  <c r="F200" i="75"/>
  <c r="G200" i="75" s="1"/>
  <c r="H200" i="75"/>
  <c r="F66" i="75"/>
  <c r="G66" i="75" s="1"/>
  <c r="H66" i="75"/>
  <c r="F159" i="75"/>
  <c r="G159" i="75" s="1"/>
  <c r="H159" i="75"/>
  <c r="F280" i="75"/>
  <c r="G280" i="75" s="1"/>
  <c r="H280" i="75"/>
  <c r="F70" i="75"/>
  <c r="G70" i="75" s="1"/>
  <c r="H70" i="75"/>
  <c r="F189" i="75"/>
  <c r="G189" i="75" s="1"/>
  <c r="H189" i="75"/>
  <c r="F185" i="75"/>
  <c r="G185" i="75" s="1"/>
  <c r="H185" i="75"/>
  <c r="F112" i="75"/>
  <c r="G112" i="75" s="1"/>
  <c r="H112" i="75"/>
  <c r="F33" i="75"/>
  <c r="G33" i="75" s="1"/>
  <c r="H33" i="75"/>
  <c r="F133" i="75"/>
  <c r="G133" i="75" s="1"/>
  <c r="H133" i="75"/>
  <c r="F176" i="75"/>
  <c r="G176" i="75" s="1"/>
  <c r="H176" i="75"/>
  <c r="F234" i="75"/>
  <c r="G234" i="75" s="1"/>
  <c r="H234" i="75"/>
  <c r="F74" i="75"/>
  <c r="G74" i="75" s="1"/>
  <c r="H74" i="75"/>
  <c r="F69" i="75"/>
  <c r="G69" i="75" s="1"/>
  <c r="H69" i="75"/>
  <c r="F25" i="75"/>
  <c r="G25" i="75" s="1"/>
  <c r="H25" i="75"/>
  <c r="F209" i="75"/>
  <c r="G209" i="75" s="1"/>
  <c r="H209" i="75"/>
  <c r="F297" i="75"/>
  <c r="G297" i="75" s="1"/>
  <c r="H297" i="75"/>
  <c r="F314" i="75"/>
  <c r="G314" i="75" s="1"/>
  <c r="H314" i="75"/>
  <c r="F164" i="75"/>
  <c r="G164" i="75" s="1"/>
  <c r="H164" i="75"/>
  <c r="F267" i="75"/>
  <c r="G267" i="75" s="1"/>
  <c r="H267" i="75"/>
  <c r="F162" i="75"/>
  <c r="G162" i="75" s="1"/>
  <c r="H162" i="75"/>
  <c r="F253" i="75"/>
  <c r="G253" i="75" s="1"/>
  <c r="H253" i="75"/>
  <c r="F114" i="75"/>
  <c r="G114" i="75" s="1"/>
  <c r="H114" i="75"/>
  <c r="F238" i="75"/>
  <c r="G238" i="75" s="1"/>
  <c r="H238" i="75"/>
  <c r="F48" i="75"/>
  <c r="G48" i="75" s="1"/>
  <c r="H48" i="75"/>
  <c r="F148" i="75"/>
  <c r="G148" i="75" s="1"/>
  <c r="H148" i="75"/>
  <c r="F105" i="75"/>
  <c r="G105" i="75" s="1"/>
  <c r="H105" i="75"/>
  <c r="F71" i="75"/>
  <c r="G71" i="75" s="1"/>
  <c r="H71" i="75"/>
  <c r="F195" i="75"/>
  <c r="G195" i="75" s="1"/>
  <c r="H195" i="75"/>
  <c r="F177" i="75"/>
  <c r="G177" i="75" s="1"/>
  <c r="H177" i="75"/>
  <c r="F308" i="75"/>
  <c r="G308" i="75" s="1"/>
  <c r="H308" i="75"/>
  <c r="F110" i="75"/>
  <c r="G110" i="75" s="1"/>
  <c r="H110" i="75"/>
  <c r="F270" i="75"/>
  <c r="G270" i="75" s="1"/>
  <c r="H270" i="75"/>
  <c r="F174" i="75"/>
  <c r="G174" i="75" s="1"/>
  <c r="H174" i="75"/>
  <c r="F11" i="75"/>
  <c r="G11" i="75" s="1"/>
  <c r="H11" i="75"/>
  <c r="F39" i="75"/>
  <c r="G39" i="75" s="1"/>
  <c r="H39" i="75"/>
  <c r="F130" i="75"/>
  <c r="G130" i="75" s="1"/>
  <c r="H130" i="75"/>
  <c r="F127" i="75"/>
  <c r="G127" i="75" s="1"/>
  <c r="H127" i="75"/>
  <c r="F20" i="75"/>
  <c r="G20" i="75" s="1"/>
  <c r="H20" i="75"/>
  <c r="F275" i="75"/>
  <c r="G275" i="75" s="1"/>
  <c r="H275" i="75"/>
  <c r="F288" i="75"/>
  <c r="G288" i="75" s="1"/>
  <c r="H288" i="75"/>
  <c r="F41" i="75"/>
  <c r="G41" i="75" s="1"/>
  <c r="H41" i="75"/>
  <c r="F28" i="75"/>
  <c r="G28" i="75" s="1"/>
  <c r="H28" i="75"/>
  <c r="F235" i="75"/>
  <c r="G235" i="75" s="1"/>
  <c r="H235" i="75"/>
  <c r="F95" i="75"/>
  <c r="G95" i="75" s="1"/>
  <c r="H95" i="75"/>
  <c r="F101" i="75"/>
  <c r="G101" i="75" s="1"/>
  <c r="H101" i="75"/>
  <c r="F51" i="75"/>
  <c r="G51" i="75" s="1"/>
  <c r="H51" i="75"/>
  <c r="F263" i="75"/>
  <c r="G263" i="75" s="1"/>
  <c r="H263" i="75"/>
  <c r="F44" i="75"/>
  <c r="G44" i="75" s="1"/>
  <c r="H44" i="75"/>
  <c r="F60" i="75"/>
  <c r="G60" i="75" s="1"/>
  <c r="H60" i="75"/>
  <c r="F113" i="75"/>
  <c r="G113" i="75" s="1"/>
  <c r="H113" i="75"/>
  <c r="F205" i="75"/>
  <c r="G205" i="75" s="1"/>
  <c r="H205" i="75"/>
  <c r="F72" i="75"/>
  <c r="G72" i="75" s="1"/>
  <c r="H72" i="75"/>
  <c r="F170" i="75"/>
  <c r="G170" i="75" s="1"/>
  <c r="H170" i="75"/>
  <c r="F88" i="75"/>
  <c r="G88" i="75" s="1"/>
  <c r="H88" i="75"/>
  <c r="F262" i="75"/>
  <c r="G262" i="75" s="1"/>
  <c r="H262" i="75"/>
  <c r="F165" i="75"/>
  <c r="G165" i="75" s="1"/>
  <c r="H165" i="75"/>
  <c r="F285" i="75"/>
  <c r="G285" i="75" s="1"/>
  <c r="H285" i="75"/>
  <c r="F157" i="75"/>
  <c r="G157" i="75" s="1"/>
  <c r="H157" i="75"/>
  <c r="F278" i="75"/>
  <c r="G278" i="75" s="1"/>
  <c r="H278" i="75"/>
  <c r="F163" i="75"/>
  <c r="G163" i="75" s="1"/>
  <c r="H163" i="75"/>
  <c r="F10" i="75"/>
  <c r="G10" i="75" s="1"/>
  <c r="H10" i="75"/>
  <c r="F310" i="75"/>
  <c r="G310" i="75" s="1"/>
  <c r="H310" i="75"/>
  <c r="F318" i="75"/>
  <c r="G318" i="75" s="1"/>
  <c r="H318" i="75"/>
  <c r="F68" i="75"/>
  <c r="G68" i="75" s="1"/>
  <c r="H68" i="75"/>
  <c r="F87" i="75"/>
  <c r="G87" i="75" s="1"/>
  <c r="H87" i="75"/>
  <c r="F108" i="75"/>
  <c r="G108" i="75" s="1"/>
  <c r="H108" i="75"/>
  <c r="F50" i="75"/>
  <c r="G50" i="75" s="1"/>
  <c r="H50" i="75"/>
  <c r="F55" i="75"/>
  <c r="G55" i="75" s="1"/>
  <c r="H55" i="75"/>
  <c r="F220" i="75"/>
  <c r="G220" i="75" s="1"/>
  <c r="H220" i="75"/>
  <c r="F35" i="75"/>
  <c r="G35" i="75" s="1"/>
  <c r="H35" i="75"/>
  <c r="F104" i="75"/>
  <c r="G104" i="75" s="1"/>
  <c r="H104" i="75"/>
  <c r="F264" i="75"/>
  <c r="G264" i="75" s="1"/>
  <c r="H264" i="75"/>
  <c r="F134" i="75"/>
  <c r="G134" i="75" s="1"/>
  <c r="H134" i="75"/>
  <c r="F145" i="75"/>
  <c r="G145" i="75" s="1"/>
  <c r="H145" i="75"/>
  <c r="F116" i="75"/>
  <c r="G116" i="75" s="1"/>
  <c r="H116" i="75"/>
  <c r="F271" i="75"/>
  <c r="G271" i="75" s="1"/>
  <c r="H271" i="75"/>
  <c r="F92" i="75"/>
  <c r="G92" i="75" s="1"/>
  <c r="H92" i="75"/>
  <c r="F241" i="75"/>
  <c r="G241" i="75" s="1"/>
  <c r="H241" i="75"/>
  <c r="F57" i="75"/>
  <c r="G57" i="75" s="1"/>
  <c r="H57" i="75"/>
  <c r="F144" i="75"/>
  <c r="G144" i="75" s="1"/>
  <c r="H144" i="75"/>
  <c r="F223" i="75"/>
  <c r="G223" i="75" s="1"/>
  <c r="H223" i="75"/>
  <c r="F34" i="75"/>
  <c r="G34" i="75" s="1"/>
  <c r="H34" i="75"/>
  <c r="F27" i="75"/>
  <c r="G27" i="75" s="1"/>
  <c r="H27" i="75"/>
  <c r="F306" i="75"/>
  <c r="G306" i="75" s="1"/>
  <c r="H306" i="75"/>
  <c r="F81" i="75"/>
  <c r="G81" i="75" s="1"/>
  <c r="H81" i="75"/>
  <c r="F224" i="75"/>
  <c r="G224" i="75" s="1"/>
  <c r="H224" i="75"/>
  <c r="F119" i="75"/>
  <c r="G119" i="75" s="1"/>
  <c r="H119" i="75"/>
  <c r="F56" i="75"/>
  <c r="G56" i="75" s="1"/>
  <c r="H56" i="75"/>
  <c r="F15" i="75"/>
  <c r="G15" i="75" s="1"/>
  <c r="H15" i="75"/>
  <c r="F96" i="75"/>
  <c r="G96" i="75" s="1"/>
  <c r="H96" i="75"/>
  <c r="F255" i="75"/>
  <c r="G255" i="75" s="1"/>
  <c r="H255" i="75"/>
  <c r="F300" i="75"/>
  <c r="G300" i="75" s="1"/>
  <c r="H300" i="75"/>
  <c r="F276" i="75"/>
  <c r="G276" i="75" s="1"/>
  <c r="H276" i="75"/>
  <c r="F201" i="75"/>
  <c r="G201" i="75" s="1"/>
  <c r="H201" i="75"/>
  <c r="F82" i="75"/>
  <c r="G82" i="75" s="1"/>
  <c r="H82" i="75"/>
  <c r="F73" i="75"/>
  <c r="G73" i="75" s="1"/>
  <c r="H73" i="75"/>
  <c r="F303" i="75"/>
  <c r="G303" i="75" s="1"/>
  <c r="H303" i="75"/>
  <c r="F258" i="75"/>
  <c r="G258" i="75" s="1"/>
  <c r="H258" i="75"/>
  <c r="F103" i="75"/>
  <c r="G103" i="75" s="1"/>
  <c r="H103" i="75"/>
  <c r="F287" i="75"/>
  <c r="G287" i="75" s="1"/>
  <c r="H287" i="75"/>
  <c r="F257" i="75"/>
  <c r="G257" i="75" s="1"/>
  <c r="H257" i="75"/>
  <c r="F230" i="75"/>
  <c r="G230" i="75" s="1"/>
  <c r="H230" i="75"/>
  <c r="F182" i="75"/>
  <c r="G182" i="75" s="1"/>
  <c r="H182" i="75"/>
  <c r="F279" i="75"/>
  <c r="G279" i="75" s="1"/>
  <c r="H279" i="75"/>
  <c r="F286" i="75"/>
  <c r="G286" i="75" s="1"/>
  <c r="H286" i="75"/>
  <c r="F256" i="75"/>
  <c r="G256" i="75" s="1"/>
  <c r="H256" i="75"/>
  <c r="F24" i="75"/>
  <c r="G24" i="75" s="1"/>
  <c r="H24" i="75"/>
  <c r="F215" i="75"/>
  <c r="G215" i="75" s="1"/>
  <c r="H215" i="75"/>
  <c r="F228" i="75"/>
  <c r="G228" i="75" s="1"/>
  <c r="H228" i="75"/>
  <c r="F9" i="75"/>
  <c r="G9" i="75" s="1"/>
  <c r="H9" i="75"/>
  <c r="F289" i="75"/>
  <c r="G289" i="75" s="1"/>
  <c r="H289" i="75"/>
  <c r="F202" i="75"/>
  <c r="G202" i="75" s="1"/>
  <c r="H202" i="75"/>
  <c r="F194" i="75"/>
  <c r="G194" i="75" s="1"/>
  <c r="H194" i="75"/>
  <c r="F111" i="75"/>
  <c r="G111" i="75" s="1"/>
  <c r="H111" i="75"/>
  <c r="F197" i="75"/>
  <c r="G197" i="75" s="1"/>
  <c r="H197" i="75"/>
  <c r="F128" i="75"/>
  <c r="G128" i="75" s="1"/>
  <c r="H128" i="75"/>
  <c r="F190" i="75"/>
  <c r="G190" i="75" s="1"/>
  <c r="H190" i="75"/>
  <c r="F94" i="75"/>
  <c r="G94" i="75" s="1"/>
  <c r="H94" i="75"/>
  <c r="F169" i="75"/>
  <c r="G169" i="75" s="1"/>
  <c r="H169" i="75"/>
  <c r="F18" i="75"/>
  <c r="G18" i="75" s="1"/>
  <c r="H18" i="75"/>
  <c r="F296" i="75"/>
  <c r="G296" i="75" s="1"/>
  <c r="H296" i="75"/>
  <c r="F83" i="75"/>
  <c r="G83" i="75" s="1"/>
  <c r="H83" i="75"/>
  <c r="F295" i="75"/>
  <c r="G295" i="75" s="1"/>
  <c r="H295" i="75"/>
  <c r="F212" i="75"/>
  <c r="G212" i="75" s="1"/>
  <c r="H212" i="75"/>
  <c r="F86" i="75"/>
  <c r="G86" i="75" s="1"/>
  <c r="H86" i="75"/>
  <c r="F291" i="75"/>
  <c r="G291" i="75" s="1"/>
  <c r="H291" i="75"/>
  <c r="F135" i="75"/>
  <c r="G135" i="75" s="1"/>
  <c r="H135" i="75"/>
  <c r="F269" i="75"/>
  <c r="G269" i="75" s="1"/>
  <c r="H269" i="75"/>
  <c r="F80" i="75"/>
  <c r="G80" i="75" s="1"/>
  <c r="H80" i="75"/>
  <c r="F171" i="75"/>
  <c r="G171" i="75" s="1"/>
  <c r="H171" i="75"/>
  <c r="F21" i="75"/>
  <c r="G21" i="75" s="1"/>
  <c r="H21" i="75"/>
  <c r="F146" i="75"/>
  <c r="G146" i="75" s="1"/>
  <c r="H146" i="75"/>
  <c r="F292" i="75"/>
  <c r="G292" i="75" s="1"/>
  <c r="H292" i="75"/>
  <c r="F131" i="75"/>
  <c r="G131" i="75" s="1"/>
  <c r="H131" i="75"/>
  <c r="F78" i="75"/>
  <c r="G78" i="75" s="1"/>
  <c r="H78" i="75"/>
  <c r="F58" i="75"/>
  <c r="G58" i="75" s="1"/>
  <c r="H58" i="75"/>
  <c r="F117" i="75"/>
  <c r="G117" i="75" s="1"/>
  <c r="H117" i="75"/>
  <c r="F191" i="75"/>
  <c r="G191" i="75" s="1"/>
  <c r="H191" i="75"/>
  <c r="F273" i="75"/>
  <c r="G273" i="75" s="1"/>
  <c r="H273" i="75"/>
  <c r="F250" i="75"/>
  <c r="G250" i="75" s="1"/>
  <c r="H250" i="75"/>
  <c r="F227" i="75"/>
  <c r="G227" i="75" s="1"/>
  <c r="H227" i="75"/>
  <c r="F38" i="75"/>
  <c r="G38" i="75" s="1"/>
  <c r="H38" i="75"/>
  <c r="F203" i="75"/>
  <c r="G203" i="75" s="1"/>
  <c r="H203" i="75"/>
  <c r="F274" i="75"/>
  <c r="G274" i="75" s="1"/>
  <c r="H274" i="75"/>
  <c r="F64" i="75"/>
  <c r="G64" i="75" s="1"/>
  <c r="H64" i="75"/>
  <c r="F149" i="75"/>
  <c r="G149" i="75" s="1"/>
  <c r="H149" i="75"/>
  <c r="F49" i="75"/>
  <c r="G49" i="75" s="1"/>
  <c r="H49" i="75"/>
  <c r="F151" i="75"/>
  <c r="G151" i="75" s="1"/>
  <c r="H151" i="75"/>
  <c r="F245" i="75"/>
  <c r="G245" i="75" s="1"/>
  <c r="H245" i="75"/>
  <c r="F143" i="75"/>
  <c r="G143" i="75" s="1"/>
  <c r="H143" i="75"/>
  <c r="F266" i="75"/>
  <c r="G266" i="75" s="1"/>
  <c r="H266" i="75"/>
  <c r="F272" i="75"/>
  <c r="G272" i="75" s="1"/>
  <c r="H272" i="75"/>
  <c r="F45" i="75"/>
  <c r="G45" i="75" s="1"/>
  <c r="H45" i="75"/>
  <c r="C71" i="29"/>
  <c r="C2" i="29"/>
  <c r="N19" i="6"/>
  <c r="R6" i="6"/>
  <c r="C297" i="58"/>
  <c r="I19" i="6" l="1"/>
  <c r="I21" i="6" s="1"/>
  <c r="H19" i="6"/>
  <c r="H21" i="6" s="1"/>
  <c r="Z7" i="78" s="1"/>
  <c r="F301" i="75"/>
  <c r="G301" i="75" s="1"/>
  <c r="H301" i="75"/>
  <c r="F187" i="75"/>
  <c r="G187" i="75" s="1"/>
  <c r="H187" i="75"/>
  <c r="M19" i="6"/>
  <c r="R7" i="6"/>
  <c r="R8" i="6"/>
  <c r="R9" i="6"/>
  <c r="H4" i="56"/>
  <c r="H5" i="56"/>
  <c r="H6" i="56"/>
  <c r="H7" i="56"/>
  <c r="H8" i="56"/>
  <c r="H9" i="56"/>
  <c r="H10" i="56"/>
  <c r="H11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3" i="56"/>
  <c r="D5" i="20" l="1"/>
  <c r="D6" i="75"/>
  <c r="F283" i="75"/>
  <c r="G283" i="75" s="1"/>
  <c r="N21" i="6"/>
  <c r="R10" i="6"/>
  <c r="R12" i="6" s="1"/>
  <c r="R14" i="6"/>
  <c r="R18" i="6" s="1"/>
  <c r="O304" i="55" l="1"/>
  <c r="M304" i="55"/>
  <c r="L304" i="55"/>
  <c r="K304" i="55"/>
  <c r="J304" i="55"/>
  <c r="I304" i="55"/>
  <c r="H304" i="55"/>
  <c r="G304" i="55"/>
  <c r="F304" i="55"/>
  <c r="E304" i="55"/>
  <c r="D304" i="55"/>
  <c r="N303" i="55"/>
  <c r="R303" i="55" s="1"/>
  <c r="N302" i="55"/>
  <c r="R302" i="55" s="1"/>
  <c r="N301" i="55"/>
  <c r="R301" i="55" s="1"/>
  <c r="N300" i="55"/>
  <c r="R300" i="55" s="1"/>
  <c r="N299" i="55"/>
  <c r="R299" i="55" s="1"/>
  <c r="N298" i="55"/>
  <c r="R298" i="55" s="1"/>
  <c r="N297" i="55"/>
  <c r="R297" i="55" s="1"/>
  <c r="N296" i="55"/>
  <c r="R296" i="55" s="1"/>
  <c r="N295" i="55"/>
  <c r="R295" i="55" s="1"/>
  <c r="N294" i="55"/>
  <c r="R294" i="55" s="1"/>
  <c r="N293" i="55"/>
  <c r="R293" i="55" s="1"/>
  <c r="N292" i="55"/>
  <c r="R292" i="55" s="1"/>
  <c r="N291" i="55"/>
  <c r="R291" i="55" s="1"/>
  <c r="N290" i="55"/>
  <c r="R290" i="55" s="1"/>
  <c r="N289" i="55"/>
  <c r="R289" i="55" s="1"/>
  <c r="N288" i="55"/>
  <c r="R288" i="55" s="1"/>
  <c r="N287" i="55"/>
  <c r="R287" i="55" s="1"/>
  <c r="N286" i="55"/>
  <c r="R286" i="55" s="1"/>
  <c r="R285" i="55"/>
  <c r="N285" i="55"/>
  <c r="N284" i="55"/>
  <c r="R284" i="55" s="1"/>
  <c r="N283" i="55"/>
  <c r="R283" i="55" s="1"/>
  <c r="N282" i="55"/>
  <c r="R282" i="55" s="1"/>
  <c r="N281" i="55"/>
  <c r="R281" i="55" s="1"/>
  <c r="N280" i="55"/>
  <c r="R280" i="55" s="1"/>
  <c r="N279" i="55"/>
  <c r="R279" i="55" s="1"/>
  <c r="N278" i="55"/>
  <c r="R278" i="55" s="1"/>
  <c r="N277" i="55"/>
  <c r="R277" i="55" s="1"/>
  <c r="N276" i="55"/>
  <c r="R276" i="55" s="1"/>
  <c r="N275" i="55"/>
  <c r="R275" i="55" s="1"/>
  <c r="N274" i="55"/>
  <c r="R274" i="55" s="1"/>
  <c r="R273" i="55"/>
  <c r="N273" i="55"/>
  <c r="N272" i="55"/>
  <c r="R272" i="55" s="1"/>
  <c r="N271" i="55"/>
  <c r="R271" i="55" s="1"/>
  <c r="N270" i="55"/>
  <c r="R270" i="55" s="1"/>
  <c r="N269" i="55"/>
  <c r="R269" i="55" s="1"/>
  <c r="N268" i="55"/>
  <c r="R268" i="55" s="1"/>
  <c r="N267" i="55"/>
  <c r="R267" i="55" s="1"/>
  <c r="N266" i="55"/>
  <c r="R266" i="55" s="1"/>
  <c r="N265" i="55"/>
  <c r="R265" i="55" s="1"/>
  <c r="N264" i="55"/>
  <c r="R264" i="55" s="1"/>
  <c r="N263" i="55"/>
  <c r="R263" i="55" s="1"/>
  <c r="N262" i="55"/>
  <c r="R262" i="55" s="1"/>
  <c r="R261" i="55"/>
  <c r="N261" i="55"/>
  <c r="N260" i="55"/>
  <c r="R260" i="55" s="1"/>
  <c r="N259" i="55"/>
  <c r="R259" i="55" s="1"/>
  <c r="N258" i="55"/>
  <c r="R258" i="55" s="1"/>
  <c r="N257" i="55"/>
  <c r="R257" i="55" s="1"/>
  <c r="N256" i="55"/>
  <c r="R256" i="55" s="1"/>
  <c r="N255" i="55"/>
  <c r="R255" i="55" s="1"/>
  <c r="N254" i="55"/>
  <c r="R254" i="55" s="1"/>
  <c r="N253" i="55"/>
  <c r="R253" i="55" s="1"/>
  <c r="N252" i="55"/>
  <c r="R252" i="55" s="1"/>
  <c r="N251" i="55"/>
  <c r="R251" i="55" s="1"/>
  <c r="N250" i="55"/>
  <c r="R250" i="55" s="1"/>
  <c r="N249" i="55"/>
  <c r="R249" i="55" s="1"/>
  <c r="N248" i="55"/>
  <c r="R248" i="55" s="1"/>
  <c r="N247" i="55"/>
  <c r="R247" i="55" s="1"/>
  <c r="N246" i="55"/>
  <c r="R246" i="55" s="1"/>
  <c r="N245" i="55"/>
  <c r="R245" i="55" s="1"/>
  <c r="N244" i="55"/>
  <c r="R244" i="55" s="1"/>
  <c r="N243" i="55"/>
  <c r="R243" i="55" s="1"/>
  <c r="N242" i="55"/>
  <c r="R242" i="55" s="1"/>
  <c r="N241" i="55"/>
  <c r="R241" i="55" s="1"/>
  <c r="N240" i="55"/>
  <c r="R240" i="55" s="1"/>
  <c r="N239" i="55"/>
  <c r="R239" i="55" s="1"/>
  <c r="N238" i="55"/>
  <c r="R238" i="55" s="1"/>
  <c r="N237" i="55"/>
  <c r="R237" i="55" s="1"/>
  <c r="N236" i="55"/>
  <c r="R236" i="55" s="1"/>
  <c r="N235" i="55"/>
  <c r="R235" i="55" s="1"/>
  <c r="N234" i="55"/>
  <c r="R234" i="55" s="1"/>
  <c r="N233" i="55"/>
  <c r="R233" i="55" s="1"/>
  <c r="N232" i="55"/>
  <c r="R232" i="55" s="1"/>
  <c r="N231" i="55"/>
  <c r="R231" i="55" s="1"/>
  <c r="N230" i="55"/>
  <c r="R230" i="55" s="1"/>
  <c r="N229" i="55"/>
  <c r="R229" i="55" s="1"/>
  <c r="N228" i="55"/>
  <c r="R228" i="55" s="1"/>
  <c r="N227" i="55"/>
  <c r="R227" i="55" s="1"/>
  <c r="N226" i="55"/>
  <c r="R226" i="55" s="1"/>
  <c r="N225" i="55"/>
  <c r="R225" i="55" s="1"/>
  <c r="N224" i="55"/>
  <c r="R224" i="55" s="1"/>
  <c r="N223" i="55"/>
  <c r="R223" i="55" s="1"/>
  <c r="N222" i="55"/>
  <c r="R222" i="55" s="1"/>
  <c r="N221" i="55"/>
  <c r="R221" i="55" s="1"/>
  <c r="N220" i="55"/>
  <c r="R220" i="55" s="1"/>
  <c r="N219" i="55"/>
  <c r="R219" i="55" s="1"/>
  <c r="N218" i="55"/>
  <c r="R218" i="55" s="1"/>
  <c r="N217" i="55"/>
  <c r="R217" i="55" s="1"/>
  <c r="N216" i="55"/>
  <c r="R216" i="55" s="1"/>
  <c r="N215" i="55"/>
  <c r="R215" i="55" s="1"/>
  <c r="N214" i="55"/>
  <c r="R214" i="55" s="1"/>
  <c r="N213" i="55"/>
  <c r="R213" i="55" s="1"/>
  <c r="N212" i="55"/>
  <c r="R212" i="55" s="1"/>
  <c r="N211" i="55"/>
  <c r="R211" i="55" s="1"/>
  <c r="N210" i="55"/>
  <c r="R210" i="55" s="1"/>
  <c r="N209" i="55"/>
  <c r="R209" i="55" s="1"/>
  <c r="N208" i="55"/>
  <c r="R208" i="55" s="1"/>
  <c r="N207" i="55"/>
  <c r="R207" i="55" s="1"/>
  <c r="N206" i="55"/>
  <c r="R206" i="55" s="1"/>
  <c r="N205" i="55"/>
  <c r="R205" i="55" s="1"/>
  <c r="N204" i="55"/>
  <c r="R204" i="55" s="1"/>
  <c r="N203" i="55"/>
  <c r="R203" i="55" s="1"/>
  <c r="N202" i="55"/>
  <c r="R202" i="55" s="1"/>
  <c r="N201" i="55"/>
  <c r="R201" i="55" s="1"/>
  <c r="N200" i="55"/>
  <c r="R200" i="55" s="1"/>
  <c r="N199" i="55"/>
  <c r="R199" i="55" s="1"/>
  <c r="N198" i="55"/>
  <c r="R198" i="55" s="1"/>
  <c r="N197" i="55"/>
  <c r="R197" i="55" s="1"/>
  <c r="N196" i="55"/>
  <c r="R196" i="55" s="1"/>
  <c r="N195" i="55"/>
  <c r="R195" i="55" s="1"/>
  <c r="N194" i="55"/>
  <c r="R194" i="55" s="1"/>
  <c r="N193" i="55"/>
  <c r="R193" i="55" s="1"/>
  <c r="N192" i="55"/>
  <c r="R192" i="55" s="1"/>
  <c r="N191" i="55"/>
  <c r="R191" i="55" s="1"/>
  <c r="N190" i="55"/>
  <c r="R190" i="55" s="1"/>
  <c r="N189" i="55"/>
  <c r="R189" i="55" s="1"/>
  <c r="N188" i="55"/>
  <c r="R188" i="55" s="1"/>
  <c r="N187" i="55"/>
  <c r="R187" i="55" s="1"/>
  <c r="N186" i="55"/>
  <c r="R186" i="55" s="1"/>
  <c r="N185" i="55"/>
  <c r="R185" i="55" s="1"/>
  <c r="N184" i="55"/>
  <c r="R184" i="55" s="1"/>
  <c r="N183" i="55"/>
  <c r="R183" i="55" s="1"/>
  <c r="N182" i="55"/>
  <c r="R182" i="55" s="1"/>
  <c r="N181" i="55"/>
  <c r="R181" i="55" s="1"/>
  <c r="N180" i="55"/>
  <c r="R180" i="55" s="1"/>
  <c r="N179" i="55"/>
  <c r="R179" i="55" s="1"/>
  <c r="N178" i="55"/>
  <c r="R178" i="55" s="1"/>
  <c r="N177" i="55"/>
  <c r="R177" i="55" s="1"/>
  <c r="N176" i="55"/>
  <c r="R176" i="55" s="1"/>
  <c r="N175" i="55"/>
  <c r="R175" i="55" s="1"/>
  <c r="N174" i="55"/>
  <c r="R174" i="55" s="1"/>
  <c r="N173" i="55"/>
  <c r="R173" i="55" s="1"/>
  <c r="N172" i="55"/>
  <c r="R172" i="55" s="1"/>
  <c r="N171" i="55"/>
  <c r="R171" i="55" s="1"/>
  <c r="N170" i="55"/>
  <c r="R170" i="55" s="1"/>
  <c r="N169" i="55"/>
  <c r="R169" i="55" s="1"/>
  <c r="N168" i="55"/>
  <c r="R168" i="55" s="1"/>
  <c r="N167" i="55"/>
  <c r="R167" i="55" s="1"/>
  <c r="N166" i="55"/>
  <c r="R166" i="55" s="1"/>
  <c r="N165" i="55"/>
  <c r="R165" i="55" s="1"/>
  <c r="N164" i="55"/>
  <c r="R164" i="55" s="1"/>
  <c r="N163" i="55"/>
  <c r="R163" i="55" s="1"/>
  <c r="N162" i="55"/>
  <c r="R162" i="55" s="1"/>
  <c r="N161" i="55"/>
  <c r="R161" i="55" s="1"/>
  <c r="N160" i="55"/>
  <c r="R160" i="55" s="1"/>
  <c r="N159" i="55"/>
  <c r="R159" i="55" s="1"/>
  <c r="N158" i="55"/>
  <c r="R158" i="55" s="1"/>
  <c r="N157" i="55"/>
  <c r="R157" i="55" s="1"/>
  <c r="N156" i="55"/>
  <c r="R156" i="55" s="1"/>
  <c r="N155" i="55"/>
  <c r="R155" i="55" s="1"/>
  <c r="N154" i="55"/>
  <c r="R154" i="55" s="1"/>
  <c r="N153" i="55"/>
  <c r="R153" i="55" s="1"/>
  <c r="N152" i="55"/>
  <c r="R152" i="55" s="1"/>
  <c r="N151" i="55"/>
  <c r="R151" i="55" s="1"/>
  <c r="N150" i="55"/>
  <c r="R150" i="55" s="1"/>
  <c r="N149" i="55"/>
  <c r="R149" i="55" s="1"/>
  <c r="N148" i="55"/>
  <c r="R148" i="55" s="1"/>
  <c r="N147" i="55"/>
  <c r="R147" i="55" s="1"/>
  <c r="N146" i="55"/>
  <c r="R146" i="55" s="1"/>
  <c r="N145" i="55"/>
  <c r="R145" i="55" s="1"/>
  <c r="N144" i="55"/>
  <c r="R144" i="55" s="1"/>
  <c r="N143" i="55"/>
  <c r="R143" i="55" s="1"/>
  <c r="N142" i="55"/>
  <c r="R142" i="55" s="1"/>
  <c r="N141" i="55"/>
  <c r="R141" i="55" s="1"/>
  <c r="N140" i="55"/>
  <c r="R140" i="55" s="1"/>
  <c r="N139" i="55"/>
  <c r="R139" i="55" s="1"/>
  <c r="N138" i="55"/>
  <c r="R138" i="55" s="1"/>
  <c r="N137" i="55"/>
  <c r="R137" i="55" s="1"/>
  <c r="N136" i="55"/>
  <c r="R136" i="55" s="1"/>
  <c r="N135" i="55"/>
  <c r="R135" i="55" s="1"/>
  <c r="N134" i="55"/>
  <c r="R134" i="55" s="1"/>
  <c r="N133" i="55"/>
  <c r="R133" i="55" s="1"/>
  <c r="N132" i="55"/>
  <c r="R132" i="55" s="1"/>
  <c r="N131" i="55"/>
  <c r="R131" i="55" s="1"/>
  <c r="N130" i="55"/>
  <c r="R130" i="55" s="1"/>
  <c r="N129" i="55"/>
  <c r="R129" i="55" s="1"/>
  <c r="N128" i="55"/>
  <c r="R128" i="55" s="1"/>
  <c r="N127" i="55"/>
  <c r="R127" i="55" s="1"/>
  <c r="N126" i="55"/>
  <c r="R126" i="55" s="1"/>
  <c r="N125" i="55"/>
  <c r="R125" i="55" s="1"/>
  <c r="N124" i="55"/>
  <c r="R124" i="55" s="1"/>
  <c r="N123" i="55"/>
  <c r="R123" i="55" s="1"/>
  <c r="N122" i="55"/>
  <c r="R122" i="55" s="1"/>
  <c r="N121" i="55"/>
  <c r="R121" i="55" s="1"/>
  <c r="N120" i="55"/>
  <c r="R120" i="55" s="1"/>
  <c r="N119" i="55"/>
  <c r="R119" i="55" s="1"/>
  <c r="N118" i="55"/>
  <c r="R118" i="55" s="1"/>
  <c r="N117" i="55"/>
  <c r="R117" i="55" s="1"/>
  <c r="N116" i="55"/>
  <c r="R116" i="55" s="1"/>
  <c r="N115" i="55"/>
  <c r="R115" i="55" s="1"/>
  <c r="N114" i="55"/>
  <c r="R114" i="55" s="1"/>
  <c r="N113" i="55"/>
  <c r="R113" i="55" s="1"/>
  <c r="N112" i="55"/>
  <c r="R112" i="55" s="1"/>
  <c r="N111" i="55"/>
  <c r="R111" i="55" s="1"/>
  <c r="N110" i="55"/>
  <c r="R110" i="55" s="1"/>
  <c r="N109" i="55"/>
  <c r="R109" i="55" s="1"/>
  <c r="N108" i="55"/>
  <c r="R108" i="55" s="1"/>
  <c r="N107" i="55"/>
  <c r="R107" i="55" s="1"/>
  <c r="N106" i="55"/>
  <c r="R106" i="55" s="1"/>
  <c r="N105" i="55"/>
  <c r="R105" i="55" s="1"/>
  <c r="N104" i="55"/>
  <c r="R104" i="55" s="1"/>
  <c r="N103" i="55"/>
  <c r="R103" i="55" s="1"/>
  <c r="N102" i="55"/>
  <c r="R102" i="55" s="1"/>
  <c r="N101" i="55"/>
  <c r="R101" i="55" s="1"/>
  <c r="N100" i="55"/>
  <c r="R100" i="55" s="1"/>
  <c r="N99" i="55"/>
  <c r="R99" i="55" s="1"/>
  <c r="N98" i="55"/>
  <c r="R98" i="55" s="1"/>
  <c r="N97" i="55"/>
  <c r="R97" i="55" s="1"/>
  <c r="N96" i="55"/>
  <c r="R96" i="55" s="1"/>
  <c r="N95" i="55"/>
  <c r="R95" i="55" s="1"/>
  <c r="N94" i="55"/>
  <c r="R94" i="55" s="1"/>
  <c r="N93" i="55"/>
  <c r="R93" i="55" s="1"/>
  <c r="N92" i="55"/>
  <c r="R92" i="55" s="1"/>
  <c r="N91" i="55"/>
  <c r="R91" i="55" s="1"/>
  <c r="N90" i="55"/>
  <c r="R90" i="55" s="1"/>
  <c r="N89" i="55"/>
  <c r="R89" i="55" s="1"/>
  <c r="N88" i="55"/>
  <c r="R88" i="55" s="1"/>
  <c r="N87" i="55"/>
  <c r="R87" i="55" s="1"/>
  <c r="N86" i="55"/>
  <c r="R86" i="55" s="1"/>
  <c r="N85" i="55"/>
  <c r="R85" i="55" s="1"/>
  <c r="N84" i="55"/>
  <c r="R84" i="55" s="1"/>
  <c r="N83" i="55"/>
  <c r="R83" i="55" s="1"/>
  <c r="N82" i="55"/>
  <c r="R82" i="55" s="1"/>
  <c r="N81" i="55"/>
  <c r="R81" i="55" s="1"/>
  <c r="N80" i="55"/>
  <c r="R80" i="55" s="1"/>
  <c r="N79" i="55"/>
  <c r="R79" i="55" s="1"/>
  <c r="N78" i="55"/>
  <c r="R78" i="55" s="1"/>
  <c r="N77" i="55"/>
  <c r="R77" i="55" s="1"/>
  <c r="N76" i="55"/>
  <c r="R76" i="55" s="1"/>
  <c r="N75" i="55"/>
  <c r="R75" i="55" s="1"/>
  <c r="N74" i="55"/>
  <c r="R74" i="55" s="1"/>
  <c r="N73" i="55"/>
  <c r="R73" i="55" s="1"/>
  <c r="N72" i="55"/>
  <c r="R72" i="55" s="1"/>
  <c r="N71" i="55"/>
  <c r="R71" i="55" s="1"/>
  <c r="N70" i="55"/>
  <c r="R70" i="55" s="1"/>
  <c r="N69" i="55"/>
  <c r="R69" i="55" s="1"/>
  <c r="N68" i="55"/>
  <c r="R68" i="55" s="1"/>
  <c r="N67" i="55"/>
  <c r="R67" i="55" s="1"/>
  <c r="N66" i="55"/>
  <c r="R66" i="55" s="1"/>
  <c r="N65" i="55"/>
  <c r="R65" i="55" s="1"/>
  <c r="N64" i="55"/>
  <c r="R64" i="55" s="1"/>
  <c r="N63" i="55"/>
  <c r="R63" i="55" s="1"/>
  <c r="N62" i="55"/>
  <c r="R62" i="55" s="1"/>
  <c r="N61" i="55"/>
  <c r="R61" i="55" s="1"/>
  <c r="N60" i="55"/>
  <c r="R60" i="55" s="1"/>
  <c r="N59" i="55"/>
  <c r="R59" i="55" s="1"/>
  <c r="N58" i="55"/>
  <c r="R58" i="55" s="1"/>
  <c r="N57" i="55"/>
  <c r="R57" i="55" s="1"/>
  <c r="N56" i="55"/>
  <c r="R56" i="55" s="1"/>
  <c r="N55" i="55"/>
  <c r="R55" i="55" s="1"/>
  <c r="N54" i="55"/>
  <c r="R54" i="55" s="1"/>
  <c r="N53" i="55"/>
  <c r="R53" i="55" s="1"/>
  <c r="N52" i="55"/>
  <c r="R52" i="55" s="1"/>
  <c r="N51" i="55"/>
  <c r="R51" i="55" s="1"/>
  <c r="N50" i="55"/>
  <c r="R50" i="55" s="1"/>
  <c r="N49" i="55"/>
  <c r="R49" i="55" s="1"/>
  <c r="N48" i="55"/>
  <c r="R48" i="55" s="1"/>
  <c r="N47" i="55"/>
  <c r="R47" i="55" s="1"/>
  <c r="N46" i="55"/>
  <c r="R46" i="55" s="1"/>
  <c r="N45" i="55"/>
  <c r="R45" i="55" s="1"/>
  <c r="N44" i="55"/>
  <c r="R44" i="55" s="1"/>
  <c r="N43" i="55"/>
  <c r="R43" i="55" s="1"/>
  <c r="N42" i="55"/>
  <c r="R42" i="55" s="1"/>
  <c r="N41" i="55"/>
  <c r="R41" i="55" s="1"/>
  <c r="N40" i="55"/>
  <c r="R40" i="55" s="1"/>
  <c r="N39" i="55"/>
  <c r="R39" i="55" s="1"/>
  <c r="N38" i="55"/>
  <c r="R38" i="55" s="1"/>
  <c r="N37" i="55"/>
  <c r="R37" i="55" s="1"/>
  <c r="N36" i="55"/>
  <c r="R36" i="55" s="1"/>
  <c r="N35" i="55"/>
  <c r="R35" i="55" s="1"/>
  <c r="N34" i="55"/>
  <c r="R34" i="55" s="1"/>
  <c r="N33" i="55"/>
  <c r="R33" i="55" s="1"/>
  <c r="N32" i="55"/>
  <c r="R32" i="55" s="1"/>
  <c r="N31" i="55"/>
  <c r="R31" i="55" s="1"/>
  <c r="N30" i="55"/>
  <c r="R30" i="55" s="1"/>
  <c r="N29" i="55"/>
  <c r="R29" i="55" s="1"/>
  <c r="N28" i="55"/>
  <c r="R28" i="55" s="1"/>
  <c r="N27" i="55"/>
  <c r="R27" i="55" s="1"/>
  <c r="N26" i="55"/>
  <c r="R26" i="55" s="1"/>
  <c r="N25" i="55"/>
  <c r="R25" i="55" s="1"/>
  <c r="N24" i="55"/>
  <c r="R24" i="55" s="1"/>
  <c r="N23" i="55"/>
  <c r="R23" i="55" s="1"/>
  <c r="N22" i="55"/>
  <c r="R22" i="55" s="1"/>
  <c r="N21" i="55"/>
  <c r="R21" i="55" s="1"/>
  <c r="N20" i="55"/>
  <c r="R20" i="55" s="1"/>
  <c r="N19" i="55"/>
  <c r="R19" i="55" s="1"/>
  <c r="N18" i="55"/>
  <c r="R18" i="55" s="1"/>
  <c r="N17" i="55"/>
  <c r="R17" i="55" s="1"/>
  <c r="N16" i="55"/>
  <c r="R16" i="55" s="1"/>
  <c r="N15" i="55"/>
  <c r="R15" i="55" s="1"/>
  <c r="N14" i="55"/>
  <c r="R14" i="55" s="1"/>
  <c r="N13" i="55"/>
  <c r="R13" i="55" s="1"/>
  <c r="N12" i="55"/>
  <c r="R12" i="55" s="1"/>
  <c r="N11" i="55"/>
  <c r="R11" i="55" s="1"/>
  <c r="N10" i="55"/>
  <c r="R10" i="55" s="1"/>
  <c r="N9" i="55"/>
  <c r="R9" i="55" s="1"/>
  <c r="N304" i="55" l="1"/>
  <c r="R7" i="55"/>
  <c r="A5" i="55" s="1"/>
  <c r="L21" i="6" l="1"/>
  <c r="M21" i="6"/>
  <c r="S6" i="6"/>
  <c r="S9" i="6" l="1"/>
  <c r="S7" i="6"/>
  <c r="S8" i="6"/>
  <c r="S14" i="6" l="1"/>
  <c r="S18" i="6" s="1"/>
  <c r="S10" i="6"/>
  <c r="S176" i="51"/>
  <c r="S177" i="51"/>
  <c r="S178" i="51"/>
  <c r="S179" i="51"/>
  <c r="S180" i="51"/>
  <c r="S181" i="51"/>
  <c r="S182" i="51"/>
  <c r="S183" i="51"/>
  <c r="S184" i="51"/>
  <c r="S185" i="51"/>
  <c r="S186" i="51"/>
  <c r="S187" i="51"/>
  <c r="S188" i="51"/>
  <c r="S189" i="51"/>
  <c r="S190" i="51"/>
  <c r="S191" i="51"/>
  <c r="S192" i="51"/>
  <c r="S193" i="51"/>
  <c r="S194" i="51"/>
  <c r="S195" i="51"/>
  <c r="S196" i="51"/>
  <c r="S197" i="51"/>
  <c r="S198" i="51"/>
  <c r="S199" i="51"/>
  <c r="S200" i="51"/>
  <c r="S201" i="51"/>
  <c r="S202" i="51"/>
  <c r="S203" i="51"/>
  <c r="S204" i="51"/>
  <c r="S205" i="51"/>
  <c r="S206" i="51"/>
  <c r="S207" i="51"/>
  <c r="S208" i="51"/>
  <c r="S209" i="51"/>
  <c r="S210" i="51"/>
  <c r="S211" i="51"/>
  <c r="S212" i="51"/>
  <c r="S213" i="51"/>
  <c r="S214" i="51"/>
  <c r="S215" i="51"/>
  <c r="S216" i="51"/>
  <c r="S217" i="51"/>
  <c r="S218" i="51"/>
  <c r="S219" i="51"/>
  <c r="S220" i="51"/>
  <c r="S221" i="51"/>
  <c r="S222" i="51"/>
  <c r="S223" i="51"/>
  <c r="S224" i="51"/>
  <c r="S225" i="51"/>
  <c r="S226" i="51"/>
  <c r="S227" i="51"/>
  <c r="S228" i="51"/>
  <c r="S229" i="51"/>
  <c r="S230" i="51"/>
  <c r="S231" i="51"/>
  <c r="S232" i="51"/>
  <c r="S233" i="51"/>
  <c r="S234" i="51"/>
  <c r="S235" i="51"/>
  <c r="S236" i="51"/>
  <c r="S237" i="51"/>
  <c r="S238" i="51"/>
  <c r="S239" i="51"/>
  <c r="S240" i="51"/>
  <c r="S241" i="51"/>
  <c r="S242" i="51"/>
  <c r="S243" i="51"/>
  <c r="S244" i="51"/>
  <c r="S245" i="51"/>
  <c r="S246" i="51"/>
  <c r="S247" i="51"/>
  <c r="S248" i="51"/>
  <c r="S249" i="51"/>
  <c r="S250" i="51"/>
  <c r="S251" i="51"/>
  <c r="S252" i="51"/>
  <c r="S253" i="51"/>
  <c r="S254" i="51"/>
  <c r="S255" i="51"/>
  <c r="S256" i="51"/>
  <c r="S257" i="51"/>
  <c r="S258" i="51"/>
  <c r="S259" i="51"/>
  <c r="S260" i="51"/>
  <c r="S261" i="51"/>
  <c r="S262" i="51"/>
  <c r="S263" i="51"/>
  <c r="S264" i="51"/>
  <c r="S265" i="51"/>
  <c r="S266" i="51"/>
  <c r="S267" i="51"/>
  <c r="S268" i="51"/>
  <c r="S269" i="51"/>
  <c r="S270" i="51"/>
  <c r="S271" i="51"/>
  <c r="S272" i="51"/>
  <c r="S273" i="51"/>
  <c r="S274" i="51"/>
  <c r="S275" i="51"/>
  <c r="S276" i="51"/>
  <c r="S277" i="51"/>
  <c r="S278" i="51"/>
  <c r="S279" i="51"/>
  <c r="S280" i="51"/>
  <c r="S281" i="51"/>
  <c r="S282" i="51"/>
  <c r="S283" i="51"/>
  <c r="S284" i="51"/>
  <c r="S285" i="51"/>
  <c r="S286" i="51"/>
  <c r="S287" i="51"/>
  <c r="S288" i="51"/>
  <c r="S289" i="51"/>
  <c r="S290" i="51"/>
  <c r="S291" i="51"/>
  <c r="S292" i="51"/>
  <c r="S293" i="51"/>
  <c r="S294" i="51"/>
  <c r="S295" i="51"/>
  <c r="S296" i="51"/>
  <c r="S175" i="51"/>
  <c r="S174" i="51"/>
  <c r="S173" i="51"/>
  <c r="S172" i="51"/>
  <c r="S12" i="6" l="1"/>
  <c r="T27" i="6" l="1"/>
  <c r="T28" i="6" s="1"/>
  <c r="T29" i="6" l="1"/>
  <c r="T30" i="6" s="1"/>
  <c r="T32" i="6" s="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H54" i="51"/>
  <c r="H55" i="51"/>
  <c r="H56" i="51"/>
  <c r="H57" i="51"/>
  <c r="H58" i="51"/>
  <c r="H59" i="51"/>
  <c r="H60" i="51"/>
  <c r="H61" i="51"/>
  <c r="H62" i="51"/>
  <c r="H63" i="51"/>
  <c r="H64" i="51"/>
  <c r="H65" i="51"/>
  <c r="H66" i="51"/>
  <c r="H67" i="51"/>
  <c r="H68" i="51"/>
  <c r="H69" i="51"/>
  <c r="H70" i="51"/>
  <c r="H71" i="51"/>
  <c r="H72" i="51"/>
  <c r="H73" i="51"/>
  <c r="H74" i="51"/>
  <c r="H75" i="51"/>
  <c r="H76" i="51"/>
  <c r="H77" i="51"/>
  <c r="H78" i="51"/>
  <c r="H79" i="51"/>
  <c r="H80" i="51"/>
  <c r="H81" i="51"/>
  <c r="H82" i="51"/>
  <c r="H83" i="51"/>
  <c r="H84" i="51"/>
  <c r="H85" i="51"/>
  <c r="H86" i="51"/>
  <c r="H87" i="51"/>
  <c r="H88" i="51"/>
  <c r="H89" i="51"/>
  <c r="H90" i="51"/>
  <c r="H91" i="51"/>
  <c r="H92" i="51"/>
  <c r="H93" i="51"/>
  <c r="H94" i="51"/>
  <c r="H95" i="51"/>
  <c r="H96" i="51"/>
  <c r="H97" i="51"/>
  <c r="H98" i="51"/>
  <c r="H99" i="51"/>
  <c r="H100" i="51"/>
  <c r="H101" i="51"/>
  <c r="H102" i="51"/>
  <c r="H103" i="51"/>
  <c r="H104" i="51"/>
  <c r="H105" i="51"/>
  <c r="H106" i="51"/>
  <c r="H107" i="51"/>
  <c r="H108" i="51"/>
  <c r="H109" i="51"/>
  <c r="H110" i="51"/>
  <c r="H111" i="51"/>
  <c r="H112" i="51"/>
  <c r="H113" i="51"/>
  <c r="H114" i="51"/>
  <c r="H115" i="51"/>
  <c r="H116" i="51"/>
  <c r="H117" i="51"/>
  <c r="H118" i="51"/>
  <c r="H119" i="51"/>
  <c r="H120" i="51"/>
  <c r="H121" i="51"/>
  <c r="H122" i="51"/>
  <c r="H123" i="51"/>
  <c r="H124" i="51"/>
  <c r="H125" i="51"/>
  <c r="H126" i="51"/>
  <c r="H127" i="51"/>
  <c r="H128" i="51"/>
  <c r="H129" i="51"/>
  <c r="H130" i="51"/>
  <c r="H131" i="51"/>
  <c r="H132" i="51"/>
  <c r="H133" i="51"/>
  <c r="H134" i="51"/>
  <c r="H135" i="51"/>
  <c r="H136" i="51"/>
  <c r="H137" i="51"/>
  <c r="H138" i="51"/>
  <c r="H139" i="51"/>
  <c r="H140" i="51"/>
  <c r="H141" i="51"/>
  <c r="H142" i="51"/>
  <c r="H143" i="51"/>
  <c r="H144" i="51"/>
  <c r="H145" i="51"/>
  <c r="H146" i="51"/>
  <c r="H147" i="51"/>
  <c r="H148" i="51"/>
  <c r="H149" i="51"/>
  <c r="H150" i="51"/>
  <c r="H151" i="51"/>
  <c r="H152" i="51"/>
  <c r="H153" i="51"/>
  <c r="H154" i="51"/>
  <c r="H155" i="51"/>
  <c r="H156" i="51"/>
  <c r="H157" i="51"/>
  <c r="H158" i="51"/>
  <c r="H159" i="51"/>
  <c r="H160" i="51"/>
  <c r="H161" i="51"/>
  <c r="H162" i="51"/>
  <c r="H163" i="51"/>
  <c r="H164" i="51"/>
  <c r="H165" i="51"/>
  <c r="H166" i="51"/>
  <c r="H167" i="51"/>
  <c r="H168" i="51"/>
  <c r="H169" i="51"/>
  <c r="H170" i="51"/>
  <c r="H171" i="51"/>
  <c r="H172" i="51"/>
  <c r="H173" i="51"/>
  <c r="H174" i="51"/>
  <c r="H175" i="51"/>
  <c r="H176" i="51"/>
  <c r="H177" i="51"/>
  <c r="H178" i="51"/>
  <c r="H179" i="51"/>
  <c r="H180" i="51"/>
  <c r="H181" i="51"/>
  <c r="H182" i="51"/>
  <c r="H183" i="51"/>
  <c r="H184" i="51"/>
  <c r="H185" i="51"/>
  <c r="H186" i="51"/>
  <c r="H187" i="51"/>
  <c r="H188" i="51"/>
  <c r="H189" i="51"/>
  <c r="H190" i="51"/>
  <c r="H191" i="51"/>
  <c r="H192" i="51"/>
  <c r="H193" i="51"/>
  <c r="H194" i="51"/>
  <c r="H195" i="51"/>
  <c r="H196" i="51"/>
  <c r="H197" i="51"/>
  <c r="H198" i="51"/>
  <c r="H199" i="51"/>
  <c r="H200" i="51"/>
  <c r="H201" i="51"/>
  <c r="H202" i="51"/>
  <c r="H203" i="51"/>
  <c r="H204" i="51"/>
  <c r="H205" i="51"/>
  <c r="H206" i="51"/>
  <c r="H207" i="51"/>
  <c r="H208" i="51"/>
  <c r="H209" i="51"/>
  <c r="H210" i="51"/>
  <c r="H211" i="51"/>
  <c r="H212" i="51"/>
  <c r="H213" i="51"/>
  <c r="H214" i="51"/>
  <c r="H215" i="51"/>
  <c r="H216" i="51"/>
  <c r="H217" i="51"/>
  <c r="H218" i="51"/>
  <c r="H219" i="51"/>
  <c r="H220" i="51"/>
  <c r="H221" i="51"/>
  <c r="H222" i="51"/>
  <c r="H223" i="51"/>
  <c r="H224" i="51"/>
  <c r="H225" i="51"/>
  <c r="H226" i="51"/>
  <c r="H227" i="51"/>
  <c r="H228" i="51"/>
  <c r="H229" i="51"/>
  <c r="H230" i="51"/>
  <c r="H231" i="51"/>
  <c r="H232" i="51"/>
  <c r="H233" i="51"/>
  <c r="H234" i="51"/>
  <c r="H235" i="51"/>
  <c r="H236" i="51"/>
  <c r="H237" i="51"/>
  <c r="H238" i="51"/>
  <c r="H239" i="51"/>
  <c r="H240" i="51"/>
  <c r="H241" i="51"/>
  <c r="H242" i="51"/>
  <c r="H243" i="51"/>
  <c r="H244" i="51"/>
  <c r="H245" i="51"/>
  <c r="H246" i="51"/>
  <c r="H247" i="51"/>
  <c r="H248" i="51"/>
  <c r="H249" i="51"/>
  <c r="H250" i="51"/>
  <c r="H251" i="51"/>
  <c r="H252" i="51"/>
  <c r="H253" i="51"/>
  <c r="H254" i="51"/>
  <c r="H255" i="51"/>
  <c r="H256" i="51"/>
  <c r="H257" i="51"/>
  <c r="H258" i="51"/>
  <c r="H259" i="51"/>
  <c r="H260" i="51"/>
  <c r="H261" i="51"/>
  <c r="H262" i="51"/>
  <c r="H263" i="51"/>
  <c r="H264" i="51"/>
  <c r="H265" i="51"/>
  <c r="H266" i="51"/>
  <c r="H267" i="51"/>
  <c r="H268" i="51"/>
  <c r="H269" i="51"/>
  <c r="H270" i="51"/>
  <c r="H271" i="51"/>
  <c r="H272" i="51"/>
  <c r="H273" i="51"/>
  <c r="H274" i="51"/>
  <c r="H275" i="51"/>
  <c r="H276" i="51"/>
  <c r="H277" i="51"/>
  <c r="H278" i="51"/>
  <c r="H279" i="51"/>
  <c r="H280" i="51"/>
  <c r="H281" i="51"/>
  <c r="H282" i="51"/>
  <c r="H283" i="51"/>
  <c r="H284" i="51"/>
  <c r="H285" i="51"/>
  <c r="H286" i="51"/>
  <c r="H287" i="51"/>
  <c r="H288" i="51"/>
  <c r="H289" i="51"/>
  <c r="H290" i="51"/>
  <c r="H291" i="51"/>
  <c r="H292" i="51"/>
  <c r="H293" i="51"/>
  <c r="H294" i="51"/>
  <c r="H295" i="51"/>
  <c r="H296" i="51"/>
  <c r="H28" i="51"/>
  <c r="E297" i="51"/>
  <c r="D297" i="51"/>
  <c r="N304" i="50" l="1"/>
  <c r="E304" i="50"/>
  <c r="F304" i="50"/>
  <c r="G304" i="50"/>
  <c r="H304" i="50"/>
  <c r="I304" i="50"/>
  <c r="J304" i="50"/>
  <c r="K304" i="50"/>
  <c r="L304" i="50"/>
  <c r="D304" i="50"/>
  <c r="M303" i="50"/>
  <c r="Q303" i="50" s="1"/>
  <c r="M302" i="50"/>
  <c r="Q302" i="50" s="1"/>
  <c r="M301" i="50"/>
  <c r="Q301" i="50" s="1"/>
  <c r="M300" i="50"/>
  <c r="Q300" i="50" s="1"/>
  <c r="M299" i="50"/>
  <c r="Q299" i="50" s="1"/>
  <c r="M298" i="50"/>
  <c r="Q298" i="50" s="1"/>
  <c r="M297" i="50"/>
  <c r="Q297" i="50" s="1"/>
  <c r="M296" i="50"/>
  <c r="Q296" i="50" s="1"/>
  <c r="M295" i="50"/>
  <c r="Q295" i="50" s="1"/>
  <c r="M294" i="50"/>
  <c r="Q294" i="50"/>
  <c r="M293" i="50"/>
  <c r="Q293" i="50" s="1"/>
  <c r="M292" i="50"/>
  <c r="Q292" i="50" s="1"/>
  <c r="M291" i="50"/>
  <c r="Q291" i="50" s="1"/>
  <c r="M290" i="50"/>
  <c r="Q290" i="50" s="1"/>
  <c r="M289" i="50"/>
  <c r="Q289" i="50" s="1"/>
  <c r="M288" i="50"/>
  <c r="Q288" i="50" s="1"/>
  <c r="M287" i="50"/>
  <c r="Q287" i="50" s="1"/>
  <c r="M286" i="50"/>
  <c r="Q286" i="50" s="1"/>
  <c r="M285" i="50"/>
  <c r="Q285" i="50" s="1"/>
  <c r="M284" i="50"/>
  <c r="Q284" i="50" s="1"/>
  <c r="M283" i="50"/>
  <c r="Q283" i="50" s="1"/>
  <c r="M282" i="50"/>
  <c r="Q282" i="50" s="1"/>
  <c r="M281" i="50"/>
  <c r="Q281" i="50" s="1"/>
  <c r="M280" i="50"/>
  <c r="Q280" i="50" s="1"/>
  <c r="M279" i="50"/>
  <c r="Q279" i="50" s="1"/>
  <c r="M278" i="50"/>
  <c r="Q278" i="50" s="1"/>
  <c r="M277" i="50"/>
  <c r="Q277" i="50" s="1"/>
  <c r="M276" i="50"/>
  <c r="Q276" i="50" s="1"/>
  <c r="M275" i="50"/>
  <c r="Q275" i="50" s="1"/>
  <c r="M274" i="50"/>
  <c r="Q274" i="50" s="1"/>
  <c r="M273" i="50"/>
  <c r="Q273" i="50" s="1"/>
  <c r="M272" i="50"/>
  <c r="Q272" i="50" s="1"/>
  <c r="M271" i="50"/>
  <c r="Q271" i="50" s="1"/>
  <c r="M270" i="50"/>
  <c r="Q270" i="50" s="1"/>
  <c r="M269" i="50"/>
  <c r="Q269" i="50" s="1"/>
  <c r="M268" i="50"/>
  <c r="Q268" i="50" s="1"/>
  <c r="M267" i="50"/>
  <c r="Q267" i="50" s="1"/>
  <c r="M266" i="50"/>
  <c r="Q266" i="50" s="1"/>
  <c r="M265" i="50"/>
  <c r="Q265" i="50" s="1"/>
  <c r="M264" i="50"/>
  <c r="Q264" i="50" s="1"/>
  <c r="M263" i="50"/>
  <c r="Q263" i="50" s="1"/>
  <c r="M262" i="50"/>
  <c r="Q262" i="50" s="1"/>
  <c r="M261" i="50"/>
  <c r="Q261" i="50" s="1"/>
  <c r="M260" i="50"/>
  <c r="Q260" i="50" s="1"/>
  <c r="M259" i="50"/>
  <c r="Q259" i="50" s="1"/>
  <c r="M258" i="50"/>
  <c r="Q258" i="50" s="1"/>
  <c r="M257" i="50"/>
  <c r="Q257" i="50" s="1"/>
  <c r="M256" i="50"/>
  <c r="Q256" i="50" s="1"/>
  <c r="M255" i="50"/>
  <c r="Q255" i="50" s="1"/>
  <c r="M254" i="50"/>
  <c r="Q254" i="50" s="1"/>
  <c r="M253" i="50"/>
  <c r="Q253" i="50" s="1"/>
  <c r="M252" i="50"/>
  <c r="Q252" i="50" s="1"/>
  <c r="M251" i="50"/>
  <c r="Q251" i="50" s="1"/>
  <c r="M250" i="50"/>
  <c r="Q250" i="50" s="1"/>
  <c r="M249" i="50"/>
  <c r="Q249" i="50" s="1"/>
  <c r="M248" i="50"/>
  <c r="Q248" i="50"/>
  <c r="M247" i="50"/>
  <c r="Q247" i="50" s="1"/>
  <c r="M246" i="50"/>
  <c r="Q246" i="50" s="1"/>
  <c r="M245" i="50"/>
  <c r="Q245" i="50" s="1"/>
  <c r="M244" i="50"/>
  <c r="Q244" i="50" s="1"/>
  <c r="M243" i="50"/>
  <c r="Q243" i="50" s="1"/>
  <c r="M242" i="50"/>
  <c r="Q242" i="50" s="1"/>
  <c r="M241" i="50"/>
  <c r="Q241" i="50" s="1"/>
  <c r="M240" i="50"/>
  <c r="Q240" i="50" s="1"/>
  <c r="M239" i="50"/>
  <c r="Q239" i="50" s="1"/>
  <c r="M238" i="50"/>
  <c r="Q238" i="50" s="1"/>
  <c r="M237" i="50"/>
  <c r="Q237" i="50" s="1"/>
  <c r="M236" i="50"/>
  <c r="Q236" i="50" s="1"/>
  <c r="M235" i="50"/>
  <c r="Q235" i="50" s="1"/>
  <c r="M234" i="50"/>
  <c r="Q234" i="50" s="1"/>
  <c r="M233" i="50"/>
  <c r="Q233" i="50" s="1"/>
  <c r="M232" i="50"/>
  <c r="Q232" i="50" s="1"/>
  <c r="M231" i="50"/>
  <c r="Q231" i="50" s="1"/>
  <c r="M230" i="50"/>
  <c r="Q230" i="50"/>
  <c r="M229" i="50"/>
  <c r="Q229" i="50" s="1"/>
  <c r="M228" i="50"/>
  <c r="Q228" i="50" s="1"/>
  <c r="M227" i="50"/>
  <c r="Q227" i="50" s="1"/>
  <c r="M226" i="50"/>
  <c r="Q226" i="50" s="1"/>
  <c r="M225" i="50"/>
  <c r="Q225" i="50" s="1"/>
  <c r="M224" i="50"/>
  <c r="Q224" i="50" s="1"/>
  <c r="M223" i="50"/>
  <c r="Q223" i="50" s="1"/>
  <c r="M222" i="50"/>
  <c r="Q222" i="50" s="1"/>
  <c r="M221" i="50"/>
  <c r="Q221" i="50" s="1"/>
  <c r="M220" i="50"/>
  <c r="Q220" i="50" s="1"/>
  <c r="M219" i="50"/>
  <c r="Q219" i="50" s="1"/>
  <c r="M218" i="50"/>
  <c r="Q218" i="50" s="1"/>
  <c r="M217" i="50"/>
  <c r="Q217" i="50" s="1"/>
  <c r="M216" i="50"/>
  <c r="Q216" i="50" s="1"/>
  <c r="M215" i="50"/>
  <c r="Q215" i="50" s="1"/>
  <c r="M214" i="50"/>
  <c r="Q214" i="50" s="1"/>
  <c r="M213" i="50"/>
  <c r="Q213" i="50" s="1"/>
  <c r="M212" i="50"/>
  <c r="Q212" i="50" s="1"/>
  <c r="M211" i="50"/>
  <c r="Q211" i="50" s="1"/>
  <c r="M210" i="50"/>
  <c r="Q210" i="50" s="1"/>
  <c r="M209" i="50"/>
  <c r="Q209" i="50" s="1"/>
  <c r="M208" i="50"/>
  <c r="Q208" i="50" s="1"/>
  <c r="M207" i="50"/>
  <c r="Q207" i="50" s="1"/>
  <c r="M206" i="50"/>
  <c r="Q206" i="50" s="1"/>
  <c r="M205" i="50"/>
  <c r="Q205" i="50" s="1"/>
  <c r="M204" i="50"/>
  <c r="Q204" i="50" s="1"/>
  <c r="M203" i="50"/>
  <c r="Q203" i="50" s="1"/>
  <c r="M202" i="50"/>
  <c r="Q202" i="50" s="1"/>
  <c r="M201" i="50"/>
  <c r="Q201" i="50" s="1"/>
  <c r="M200" i="50"/>
  <c r="Q200" i="50" s="1"/>
  <c r="M199" i="50"/>
  <c r="Q199" i="50" s="1"/>
  <c r="M198" i="50"/>
  <c r="Q198" i="50" s="1"/>
  <c r="M197" i="50"/>
  <c r="Q197" i="50" s="1"/>
  <c r="M196" i="50"/>
  <c r="Q196" i="50" s="1"/>
  <c r="M195" i="50"/>
  <c r="Q195" i="50" s="1"/>
  <c r="M194" i="50"/>
  <c r="Q194" i="50" s="1"/>
  <c r="M193" i="50"/>
  <c r="Q193" i="50" s="1"/>
  <c r="M192" i="50"/>
  <c r="Q192" i="50" s="1"/>
  <c r="M191" i="50"/>
  <c r="Q191" i="50" s="1"/>
  <c r="M190" i="50"/>
  <c r="Q190" i="50" s="1"/>
  <c r="M189" i="50"/>
  <c r="Q189" i="50" s="1"/>
  <c r="M188" i="50"/>
  <c r="Q188" i="50" s="1"/>
  <c r="M187" i="50"/>
  <c r="Q187" i="50" s="1"/>
  <c r="M186" i="50"/>
  <c r="Q186" i="50" s="1"/>
  <c r="M185" i="50"/>
  <c r="Q185" i="50" s="1"/>
  <c r="M184" i="50"/>
  <c r="Q184" i="50" s="1"/>
  <c r="M183" i="50"/>
  <c r="Q183" i="50" s="1"/>
  <c r="M182" i="50"/>
  <c r="Q182" i="50" s="1"/>
  <c r="M181" i="50"/>
  <c r="Q181" i="50" s="1"/>
  <c r="M180" i="50"/>
  <c r="Q180" i="50" s="1"/>
  <c r="M179" i="50"/>
  <c r="Q179" i="50" s="1"/>
  <c r="M178" i="50"/>
  <c r="Q178" i="50" s="1"/>
  <c r="M177" i="50"/>
  <c r="Q177" i="50" s="1"/>
  <c r="M176" i="50"/>
  <c r="Q176" i="50" s="1"/>
  <c r="M175" i="50"/>
  <c r="Q175" i="50" s="1"/>
  <c r="M174" i="50"/>
  <c r="Q174" i="50" s="1"/>
  <c r="M173" i="50"/>
  <c r="Q173" i="50" s="1"/>
  <c r="M172" i="50"/>
  <c r="Q172" i="50" s="1"/>
  <c r="M171" i="50"/>
  <c r="Q171" i="50" s="1"/>
  <c r="M170" i="50"/>
  <c r="Q170" i="50" s="1"/>
  <c r="M169" i="50"/>
  <c r="Q169" i="50" s="1"/>
  <c r="M168" i="50"/>
  <c r="Q168" i="50" s="1"/>
  <c r="M167" i="50"/>
  <c r="Q167" i="50" s="1"/>
  <c r="M166" i="50"/>
  <c r="Q166" i="50" s="1"/>
  <c r="M165" i="50"/>
  <c r="Q165" i="50" s="1"/>
  <c r="M164" i="50"/>
  <c r="Q164" i="50" s="1"/>
  <c r="M163" i="50"/>
  <c r="Q163" i="50" s="1"/>
  <c r="M162" i="50"/>
  <c r="Q162" i="50" s="1"/>
  <c r="M161" i="50"/>
  <c r="Q161" i="50" s="1"/>
  <c r="M160" i="50"/>
  <c r="Q160" i="50" s="1"/>
  <c r="M159" i="50"/>
  <c r="Q159" i="50" s="1"/>
  <c r="M158" i="50"/>
  <c r="Q158" i="50" s="1"/>
  <c r="M157" i="50"/>
  <c r="Q157" i="50" s="1"/>
  <c r="M156" i="50"/>
  <c r="Q156" i="50" s="1"/>
  <c r="M155" i="50"/>
  <c r="Q155" i="50" s="1"/>
  <c r="M154" i="50"/>
  <c r="Q154" i="50" s="1"/>
  <c r="M153" i="50"/>
  <c r="Q153" i="50" s="1"/>
  <c r="M152" i="50"/>
  <c r="Q152" i="50" s="1"/>
  <c r="M151" i="50"/>
  <c r="Q151" i="50" s="1"/>
  <c r="M150" i="50"/>
  <c r="Q150" i="50" s="1"/>
  <c r="M149" i="50"/>
  <c r="Q149" i="50" s="1"/>
  <c r="M148" i="50"/>
  <c r="Q148" i="50" s="1"/>
  <c r="M147" i="50"/>
  <c r="Q147" i="50" s="1"/>
  <c r="M146" i="50"/>
  <c r="Q146" i="50" s="1"/>
  <c r="M145" i="50"/>
  <c r="Q145" i="50" s="1"/>
  <c r="M144" i="50"/>
  <c r="Q144" i="50" s="1"/>
  <c r="M143" i="50"/>
  <c r="Q143" i="50" s="1"/>
  <c r="M142" i="50"/>
  <c r="Q142" i="50" s="1"/>
  <c r="M141" i="50"/>
  <c r="Q141" i="50" s="1"/>
  <c r="M140" i="50"/>
  <c r="Q140" i="50" s="1"/>
  <c r="M139" i="50"/>
  <c r="Q139" i="50" s="1"/>
  <c r="M138" i="50"/>
  <c r="Q138" i="50" s="1"/>
  <c r="M137" i="50"/>
  <c r="Q137" i="50" s="1"/>
  <c r="M136" i="50"/>
  <c r="Q136" i="50" s="1"/>
  <c r="M135" i="50"/>
  <c r="Q135" i="50" s="1"/>
  <c r="M134" i="50"/>
  <c r="Q134" i="50" s="1"/>
  <c r="M133" i="50"/>
  <c r="Q133" i="50" s="1"/>
  <c r="M132" i="50"/>
  <c r="Q132" i="50" s="1"/>
  <c r="M131" i="50"/>
  <c r="Q131" i="50" s="1"/>
  <c r="M130" i="50"/>
  <c r="Q130" i="50" s="1"/>
  <c r="M129" i="50"/>
  <c r="Q129" i="50" s="1"/>
  <c r="M128" i="50"/>
  <c r="Q128" i="50" s="1"/>
  <c r="M127" i="50"/>
  <c r="Q127" i="50" s="1"/>
  <c r="M126" i="50"/>
  <c r="Q126" i="50" s="1"/>
  <c r="M125" i="50"/>
  <c r="Q125" i="50" s="1"/>
  <c r="M124" i="50"/>
  <c r="Q124" i="50" s="1"/>
  <c r="M123" i="50"/>
  <c r="Q123" i="50" s="1"/>
  <c r="M122" i="50"/>
  <c r="Q122" i="50" s="1"/>
  <c r="M121" i="50"/>
  <c r="Q121" i="50" s="1"/>
  <c r="M120" i="50"/>
  <c r="Q120" i="50" s="1"/>
  <c r="M119" i="50"/>
  <c r="Q119" i="50" s="1"/>
  <c r="M118" i="50"/>
  <c r="Q118" i="50" s="1"/>
  <c r="M117" i="50"/>
  <c r="Q117" i="50" s="1"/>
  <c r="M116" i="50"/>
  <c r="Q116" i="50" s="1"/>
  <c r="M115" i="50"/>
  <c r="Q115" i="50" s="1"/>
  <c r="M114" i="50"/>
  <c r="Q114" i="50" s="1"/>
  <c r="M113" i="50"/>
  <c r="Q113" i="50" s="1"/>
  <c r="M112" i="50"/>
  <c r="Q112" i="50" s="1"/>
  <c r="M111" i="50"/>
  <c r="Q111" i="50" s="1"/>
  <c r="M110" i="50"/>
  <c r="Q110" i="50" s="1"/>
  <c r="M109" i="50"/>
  <c r="Q109" i="50" s="1"/>
  <c r="M108" i="50"/>
  <c r="Q108" i="50" s="1"/>
  <c r="M107" i="50"/>
  <c r="Q107" i="50" s="1"/>
  <c r="M106" i="50"/>
  <c r="Q106" i="50" s="1"/>
  <c r="M105" i="50"/>
  <c r="Q105" i="50" s="1"/>
  <c r="M104" i="50"/>
  <c r="Q104" i="50" s="1"/>
  <c r="M103" i="50"/>
  <c r="Q103" i="50" s="1"/>
  <c r="M102" i="50"/>
  <c r="Q102" i="50" s="1"/>
  <c r="M101" i="50"/>
  <c r="Q101" i="50" s="1"/>
  <c r="M100" i="50"/>
  <c r="Q100" i="50" s="1"/>
  <c r="M99" i="50"/>
  <c r="Q99" i="50" s="1"/>
  <c r="M98" i="50"/>
  <c r="Q98" i="50" s="1"/>
  <c r="M97" i="50"/>
  <c r="Q97" i="50" s="1"/>
  <c r="M96" i="50"/>
  <c r="Q96" i="50" s="1"/>
  <c r="M95" i="50"/>
  <c r="Q95" i="50" s="1"/>
  <c r="M94" i="50"/>
  <c r="Q94" i="50" s="1"/>
  <c r="M93" i="50"/>
  <c r="Q93" i="50" s="1"/>
  <c r="M92" i="50"/>
  <c r="Q92" i="50"/>
  <c r="M91" i="50"/>
  <c r="Q91" i="50" s="1"/>
  <c r="M90" i="50"/>
  <c r="Q90" i="50" s="1"/>
  <c r="M89" i="50"/>
  <c r="Q89" i="50" s="1"/>
  <c r="M88" i="50"/>
  <c r="Q88" i="50" s="1"/>
  <c r="M87" i="50"/>
  <c r="Q87" i="50" s="1"/>
  <c r="M86" i="50"/>
  <c r="Q86" i="50" s="1"/>
  <c r="M85" i="50"/>
  <c r="Q85" i="50" s="1"/>
  <c r="M84" i="50"/>
  <c r="Q84" i="50" s="1"/>
  <c r="M83" i="50"/>
  <c r="Q83" i="50" s="1"/>
  <c r="M82" i="50"/>
  <c r="Q82" i="50" s="1"/>
  <c r="M81" i="50"/>
  <c r="Q81" i="50" s="1"/>
  <c r="M80" i="50"/>
  <c r="Q80" i="50" s="1"/>
  <c r="M79" i="50"/>
  <c r="Q79" i="50" s="1"/>
  <c r="M78" i="50"/>
  <c r="Q78" i="50" s="1"/>
  <c r="M77" i="50"/>
  <c r="Q77" i="50" s="1"/>
  <c r="M76" i="50"/>
  <c r="Q76" i="50" s="1"/>
  <c r="M75" i="50"/>
  <c r="Q75" i="50" s="1"/>
  <c r="M74" i="50"/>
  <c r="Q74" i="50" s="1"/>
  <c r="M73" i="50"/>
  <c r="Q73" i="50" s="1"/>
  <c r="M72" i="50"/>
  <c r="Q72" i="50" s="1"/>
  <c r="M71" i="50"/>
  <c r="Q71" i="50" s="1"/>
  <c r="M70" i="50"/>
  <c r="Q70" i="50" s="1"/>
  <c r="M69" i="50"/>
  <c r="Q69" i="50" s="1"/>
  <c r="M68" i="50"/>
  <c r="Q68" i="50" s="1"/>
  <c r="M67" i="50"/>
  <c r="Q67" i="50" s="1"/>
  <c r="M66" i="50"/>
  <c r="Q66" i="50" s="1"/>
  <c r="M65" i="50"/>
  <c r="Q65" i="50" s="1"/>
  <c r="M64" i="50"/>
  <c r="Q64" i="50" s="1"/>
  <c r="M63" i="50"/>
  <c r="Q63" i="50" s="1"/>
  <c r="M62" i="50"/>
  <c r="Q62" i="50" s="1"/>
  <c r="M61" i="50"/>
  <c r="Q61" i="50" s="1"/>
  <c r="M60" i="50"/>
  <c r="Q60" i="50" s="1"/>
  <c r="M59" i="50"/>
  <c r="Q59" i="50" s="1"/>
  <c r="M58" i="50"/>
  <c r="Q58" i="50" s="1"/>
  <c r="M57" i="50"/>
  <c r="Q57" i="50" s="1"/>
  <c r="M56" i="50"/>
  <c r="Q56" i="50" s="1"/>
  <c r="M55" i="50"/>
  <c r="Q55" i="50" s="1"/>
  <c r="M54" i="50"/>
  <c r="Q54" i="50" s="1"/>
  <c r="M53" i="50"/>
  <c r="Q53" i="50" s="1"/>
  <c r="M52" i="50"/>
  <c r="Q52" i="50" s="1"/>
  <c r="M51" i="50"/>
  <c r="Q51" i="50" s="1"/>
  <c r="M50" i="50"/>
  <c r="Q50" i="50" s="1"/>
  <c r="M49" i="50"/>
  <c r="Q49" i="50" s="1"/>
  <c r="M48" i="50"/>
  <c r="Q48" i="50" s="1"/>
  <c r="M47" i="50"/>
  <c r="Q47" i="50" s="1"/>
  <c r="M46" i="50"/>
  <c r="Q46" i="50" s="1"/>
  <c r="M45" i="50"/>
  <c r="Q45" i="50" s="1"/>
  <c r="M44" i="50"/>
  <c r="Q44" i="50" s="1"/>
  <c r="M43" i="50"/>
  <c r="Q43" i="50" s="1"/>
  <c r="M42" i="50"/>
  <c r="Q42" i="50" s="1"/>
  <c r="M41" i="50"/>
  <c r="Q41" i="50" s="1"/>
  <c r="M40" i="50"/>
  <c r="Q40" i="50" s="1"/>
  <c r="M39" i="50"/>
  <c r="Q39" i="50" s="1"/>
  <c r="M38" i="50"/>
  <c r="Q38" i="50" s="1"/>
  <c r="M37" i="50"/>
  <c r="Q37" i="50" s="1"/>
  <c r="M36" i="50"/>
  <c r="Q36" i="50" s="1"/>
  <c r="M35" i="50"/>
  <c r="Q35" i="50" s="1"/>
  <c r="M34" i="50"/>
  <c r="Q34" i="50" s="1"/>
  <c r="M33" i="50"/>
  <c r="Q33" i="50" s="1"/>
  <c r="M32" i="50"/>
  <c r="Q32" i="50" s="1"/>
  <c r="M31" i="50"/>
  <c r="Q31" i="50" s="1"/>
  <c r="M30" i="50"/>
  <c r="Q30" i="50" s="1"/>
  <c r="M29" i="50"/>
  <c r="Q29" i="50" s="1"/>
  <c r="M28" i="50"/>
  <c r="Q28" i="50" s="1"/>
  <c r="M27" i="50"/>
  <c r="Q27" i="50" s="1"/>
  <c r="M26" i="50"/>
  <c r="Q26" i="50" s="1"/>
  <c r="M25" i="50"/>
  <c r="Q25" i="50" s="1"/>
  <c r="M24" i="50"/>
  <c r="Q24" i="50" s="1"/>
  <c r="M23" i="50"/>
  <c r="Q23" i="50" s="1"/>
  <c r="M22" i="50"/>
  <c r="Q22" i="50" s="1"/>
  <c r="M21" i="50"/>
  <c r="Q21" i="50" s="1"/>
  <c r="M20" i="50"/>
  <c r="Q20" i="50" s="1"/>
  <c r="M19" i="50"/>
  <c r="Q19" i="50" s="1"/>
  <c r="M18" i="50"/>
  <c r="Q18" i="50" s="1"/>
  <c r="M17" i="50"/>
  <c r="Q17" i="50" s="1"/>
  <c r="M16" i="50"/>
  <c r="Q16" i="50" s="1"/>
  <c r="M15" i="50"/>
  <c r="Q15" i="50" s="1"/>
  <c r="M14" i="50"/>
  <c r="Q14" i="50" s="1"/>
  <c r="M13" i="50"/>
  <c r="Q13" i="50" s="1"/>
  <c r="M12" i="50"/>
  <c r="Q12" i="50" s="1"/>
  <c r="M11" i="50"/>
  <c r="Q11" i="50" s="1"/>
  <c r="M10" i="50"/>
  <c r="Q10" i="50" s="1"/>
  <c r="M9" i="50"/>
  <c r="Q9" i="50" s="1"/>
  <c r="I76" i="16"/>
  <c r="I141" i="16"/>
  <c r="I152" i="16"/>
  <c r="I204" i="16"/>
  <c r="I216" i="16"/>
  <c r="I14" i="16"/>
  <c r="I108" i="16"/>
  <c r="I117" i="16"/>
  <c r="I40" i="16"/>
  <c r="I105" i="16"/>
  <c r="I268" i="16"/>
  <c r="I9" i="16"/>
  <c r="I193" i="16"/>
  <c r="I128" i="16"/>
  <c r="I270" i="16"/>
  <c r="I143" i="16"/>
  <c r="I116" i="16"/>
  <c r="I168" i="16"/>
  <c r="I51" i="16"/>
  <c r="I93" i="16"/>
  <c r="I202" i="16"/>
  <c r="I39" i="16"/>
  <c r="I31" i="16"/>
  <c r="I185" i="16"/>
  <c r="I26" i="16"/>
  <c r="I25" i="16"/>
  <c r="I46" i="16"/>
  <c r="I129" i="16"/>
  <c r="I119" i="16"/>
  <c r="I232" i="16"/>
  <c r="I149" i="16"/>
  <c r="I147" i="16"/>
  <c r="I234" i="16"/>
  <c r="I241" i="16"/>
  <c r="I95" i="16"/>
  <c r="I13" i="16"/>
  <c r="I126" i="16"/>
  <c r="I190" i="16"/>
  <c r="I279" i="16"/>
  <c r="I263" i="16"/>
  <c r="I283" i="16"/>
  <c r="I248" i="16"/>
  <c r="I265" i="16"/>
  <c r="I244" i="16"/>
  <c r="I201" i="16"/>
  <c r="I206" i="16"/>
  <c r="I84" i="16"/>
  <c r="I69" i="16"/>
  <c r="I90" i="16"/>
  <c r="I29" i="16"/>
  <c r="I153" i="16"/>
  <c r="I57" i="16"/>
  <c r="I180" i="16"/>
  <c r="I121" i="16"/>
  <c r="I223" i="16"/>
  <c r="I157" i="16"/>
  <c r="I42" i="16"/>
  <c r="I238" i="16"/>
  <c r="I188" i="16"/>
  <c r="I261" i="16"/>
  <c r="I235" i="16"/>
  <c r="I291" i="16"/>
  <c r="I53" i="16"/>
  <c r="I122" i="16"/>
  <c r="I194" i="16"/>
  <c r="I215" i="16"/>
  <c r="I124" i="16"/>
  <c r="I81" i="16"/>
  <c r="I284" i="16"/>
  <c r="I23" i="16"/>
  <c r="I99" i="16"/>
  <c r="I73" i="16"/>
  <c r="I138" i="16"/>
  <c r="I212" i="16"/>
  <c r="I38" i="16"/>
  <c r="I247" i="16"/>
  <c r="I98" i="16"/>
  <c r="I269" i="16"/>
  <c r="I196" i="16"/>
  <c r="I18" i="16"/>
  <c r="I192" i="16"/>
  <c r="I233" i="16"/>
  <c r="I281" i="16"/>
  <c r="I131" i="16"/>
  <c r="I134" i="16"/>
  <c r="I75" i="16"/>
  <c r="I294" i="16"/>
  <c r="I298" i="16"/>
  <c r="I224" i="16"/>
  <c r="I159" i="16"/>
  <c r="I228" i="16"/>
  <c r="I36" i="16"/>
  <c r="I257" i="16"/>
  <c r="I156" i="16"/>
  <c r="I297" i="16"/>
  <c r="I101" i="16"/>
  <c r="I34" i="16"/>
  <c r="I164" i="16"/>
  <c r="I77" i="16"/>
  <c r="I59" i="16"/>
  <c r="I218" i="16"/>
  <c r="I111" i="16"/>
  <c r="I64" i="16"/>
  <c r="I47" i="16"/>
  <c r="I56" i="16"/>
  <c r="I49" i="16"/>
  <c r="I15" i="16"/>
  <c r="I114" i="16"/>
  <c r="I251" i="16"/>
  <c r="I17" i="16"/>
  <c r="I125" i="16"/>
  <c r="I132" i="16"/>
  <c r="I205" i="16"/>
  <c r="I35" i="16"/>
  <c r="I275" i="16"/>
  <c r="I24" i="16"/>
  <c r="I213" i="16"/>
  <c r="I113" i="16"/>
  <c r="I221" i="16"/>
  <c r="I276" i="16"/>
  <c r="I236" i="16"/>
  <c r="I11" i="16"/>
  <c r="I44" i="16"/>
  <c r="I245" i="16"/>
  <c r="I199" i="16"/>
  <c r="I136" i="16"/>
  <c r="I271" i="16"/>
  <c r="I293" i="16"/>
  <c r="I54" i="16"/>
  <c r="I21" i="16"/>
  <c r="I161" i="16"/>
  <c r="I249" i="16"/>
  <c r="I217" i="16"/>
  <c r="I79" i="16"/>
  <c r="I231" i="16"/>
  <c r="I230" i="16"/>
  <c r="I100" i="16"/>
  <c r="I272" i="16"/>
  <c r="I170" i="16"/>
  <c r="I210" i="16"/>
  <c r="I219" i="16"/>
  <c r="I80" i="16"/>
  <c r="I140" i="16"/>
  <c r="I72" i="16"/>
  <c r="I139" i="16"/>
  <c r="I302" i="16"/>
  <c r="I274" i="16"/>
  <c r="I209" i="16"/>
  <c r="I207" i="16"/>
  <c r="I214" i="16"/>
  <c r="I289" i="16"/>
  <c r="I137" i="16"/>
  <c r="I176" i="16"/>
  <c r="I165" i="16"/>
  <c r="I179" i="16"/>
  <c r="I229" i="16"/>
  <c r="I273" i="16"/>
  <c r="I78" i="16"/>
  <c r="I62" i="16"/>
  <c r="I118" i="16"/>
  <c r="I163" i="16"/>
  <c r="I178" i="16"/>
  <c r="I253" i="16"/>
  <c r="I250" i="16"/>
  <c r="I115" i="16"/>
  <c r="I89" i="16"/>
  <c r="I287" i="16"/>
  <c r="I88" i="16"/>
  <c r="I173" i="16"/>
  <c r="I87" i="16"/>
  <c r="I154" i="16"/>
  <c r="I167" i="16"/>
  <c r="I255" i="16"/>
  <c r="I166" i="16"/>
  <c r="I145" i="16"/>
  <c r="I240" i="16"/>
  <c r="I198" i="16"/>
  <c r="I227" i="16"/>
  <c r="I58" i="16"/>
  <c r="I50" i="16"/>
  <c r="I172" i="16"/>
  <c r="I189" i="16"/>
  <c r="I10" i="16"/>
  <c r="I52" i="16"/>
  <c r="I280" i="16"/>
  <c r="I61" i="16"/>
  <c r="I169" i="16"/>
  <c r="I16" i="16"/>
  <c r="I146" i="16"/>
  <c r="I191" i="16"/>
  <c r="I162" i="16"/>
  <c r="I65" i="16"/>
  <c r="I28" i="16"/>
  <c r="I96" i="16"/>
  <c r="I267" i="16"/>
  <c r="I19" i="16"/>
  <c r="I278" i="16"/>
  <c r="I183" i="16"/>
  <c r="I92" i="16"/>
  <c r="I94" i="16"/>
  <c r="I32" i="16"/>
  <c r="I83" i="16"/>
  <c r="I67" i="16"/>
  <c r="I256" i="16"/>
  <c r="I174" i="16"/>
  <c r="I151" i="16"/>
  <c r="I103" i="16"/>
  <c r="I60" i="16"/>
  <c r="I20" i="16"/>
  <c r="I41" i="16"/>
  <c r="I12" i="16"/>
  <c r="I239" i="16"/>
  <c r="I107" i="16"/>
  <c r="I258" i="16"/>
  <c r="I133" i="16"/>
  <c r="I285" i="16"/>
  <c r="I71" i="16"/>
  <c r="I200" i="16"/>
  <c r="I85" i="16"/>
  <c r="I97" i="16"/>
  <c r="I203" i="16"/>
  <c r="I292" i="16"/>
  <c r="I181" i="16"/>
  <c r="I30" i="16"/>
  <c r="I197" i="16"/>
  <c r="I160" i="16"/>
  <c r="I112" i="16"/>
  <c r="I208" i="16"/>
  <c r="I104" i="16"/>
  <c r="I220" i="16"/>
  <c r="I110" i="16"/>
  <c r="I70" i="16"/>
  <c r="I175" i="16"/>
  <c r="I120" i="16"/>
  <c r="I91" i="16"/>
  <c r="I158" i="16"/>
  <c r="I226" i="16"/>
  <c r="I150" i="16"/>
  <c r="I286" i="16"/>
  <c r="I225" i="16"/>
  <c r="I63" i="16"/>
  <c r="I43" i="16"/>
  <c r="I22" i="16"/>
  <c r="I182" i="16"/>
  <c r="I282" i="16"/>
  <c r="I211" i="16"/>
  <c r="I222" i="16"/>
  <c r="I246" i="16"/>
  <c r="I187" i="16"/>
  <c r="I295" i="16"/>
  <c r="I184" i="16"/>
  <c r="I82" i="16"/>
  <c r="I109" i="16"/>
  <c r="I277" i="16"/>
  <c r="I259" i="16"/>
  <c r="I123" i="16"/>
  <c r="I144" i="16"/>
  <c r="I171" i="16"/>
  <c r="I296" i="16"/>
  <c r="I264" i="16"/>
  <c r="I45" i="16"/>
  <c r="I130" i="16"/>
  <c r="I106" i="16"/>
  <c r="I254" i="16"/>
  <c r="I288" i="16"/>
  <c r="I186" i="16"/>
  <c r="I243" i="16"/>
  <c r="I33" i="16"/>
  <c r="I102" i="16"/>
  <c r="I260" i="16"/>
  <c r="I66" i="16"/>
  <c r="I266" i="16"/>
  <c r="I262" i="16"/>
  <c r="I300" i="16"/>
  <c r="I68" i="16"/>
  <c r="I37" i="16"/>
  <c r="I8" i="16"/>
  <c r="I55" i="16"/>
  <c r="I242" i="16"/>
  <c r="I27" i="16"/>
  <c r="I237" i="16"/>
  <c r="I301" i="16"/>
  <c r="I148" i="16"/>
  <c r="I195" i="16"/>
  <c r="I135" i="16"/>
  <c r="I155" i="16"/>
  <c r="I177" i="16"/>
  <c r="I74" i="16"/>
  <c r="I142" i="16"/>
  <c r="I86" i="16"/>
  <c r="I127" i="16"/>
  <c r="I48" i="16"/>
  <c r="I290" i="16"/>
  <c r="I252" i="16"/>
  <c r="I299" i="1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P26" i="26" s="1"/>
  <c r="D27" i="26"/>
  <c r="D28" i="26"/>
  <c r="D29" i="26"/>
  <c r="D30" i="26"/>
  <c r="D31" i="26"/>
  <c r="D32" i="26"/>
  <c r="D33" i="26"/>
  <c r="D34" i="26"/>
  <c r="P34" i="26" s="1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H50" i="26" s="1"/>
  <c r="D51" i="26"/>
  <c r="D52" i="26"/>
  <c r="D53" i="26"/>
  <c r="D54" i="26"/>
  <c r="D55" i="26"/>
  <c r="D56" i="26"/>
  <c r="D57" i="26"/>
  <c r="D58" i="26"/>
  <c r="P58" i="26" s="1"/>
  <c r="D59" i="26"/>
  <c r="D60" i="26"/>
  <c r="D61" i="26"/>
  <c r="D62" i="26"/>
  <c r="D63" i="26"/>
  <c r="D64" i="26"/>
  <c r="D65" i="26"/>
  <c r="D66" i="26"/>
  <c r="H66" i="26" s="1"/>
  <c r="D67" i="26"/>
  <c r="D68" i="26"/>
  <c r="D69" i="26"/>
  <c r="D70" i="26"/>
  <c r="D71" i="26"/>
  <c r="D72" i="26"/>
  <c r="D73" i="26"/>
  <c r="D74" i="26"/>
  <c r="P74" i="26" s="1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H90" i="26" s="1"/>
  <c r="D91" i="26"/>
  <c r="D92" i="26"/>
  <c r="D93" i="26"/>
  <c r="D94" i="26"/>
  <c r="D95" i="26"/>
  <c r="D96" i="26"/>
  <c r="D97" i="26"/>
  <c r="D98" i="26"/>
  <c r="H98" i="26" s="1"/>
  <c r="D99" i="26"/>
  <c r="D100" i="26"/>
  <c r="D101" i="26"/>
  <c r="D102" i="26"/>
  <c r="D103" i="26"/>
  <c r="D104" i="26"/>
  <c r="D105" i="26"/>
  <c r="D106" i="26"/>
  <c r="H106" i="26" s="1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H130" i="26" s="1"/>
  <c r="D131" i="26"/>
  <c r="D132" i="26"/>
  <c r="D133" i="26"/>
  <c r="D134" i="26"/>
  <c r="D135" i="26"/>
  <c r="D136" i="26"/>
  <c r="D137" i="26"/>
  <c r="D138" i="26"/>
  <c r="H138" i="26" s="1"/>
  <c r="D139" i="26"/>
  <c r="D140" i="26"/>
  <c r="D141" i="26"/>
  <c r="D142" i="26"/>
  <c r="D143" i="26"/>
  <c r="D144" i="26"/>
  <c r="D145" i="26"/>
  <c r="D146" i="26"/>
  <c r="H146" i="26" s="1"/>
  <c r="D147" i="26"/>
  <c r="D148" i="26"/>
  <c r="D149" i="26"/>
  <c r="D150" i="26"/>
  <c r="D151" i="26"/>
  <c r="D152" i="26"/>
  <c r="D153" i="26"/>
  <c r="D154" i="26"/>
  <c r="P154" i="26" s="1"/>
  <c r="D155" i="26"/>
  <c r="D156" i="26"/>
  <c r="D157" i="26"/>
  <c r="D158" i="26"/>
  <c r="D159" i="26"/>
  <c r="D160" i="26"/>
  <c r="D161" i="26"/>
  <c r="D162" i="26"/>
  <c r="H162" i="26" s="1"/>
  <c r="D163" i="26"/>
  <c r="D164" i="26"/>
  <c r="D165" i="26"/>
  <c r="D166" i="26"/>
  <c r="D167" i="26"/>
  <c r="D168" i="26"/>
  <c r="D169" i="26"/>
  <c r="D170" i="26"/>
  <c r="P170" i="26" s="1"/>
  <c r="D171" i="26"/>
  <c r="D172" i="26"/>
  <c r="D173" i="26"/>
  <c r="D174" i="26"/>
  <c r="D175" i="26"/>
  <c r="D176" i="26"/>
  <c r="D177" i="26"/>
  <c r="D178" i="26"/>
  <c r="P178" i="26" s="1"/>
  <c r="D179" i="26"/>
  <c r="D180" i="26"/>
  <c r="D181" i="26"/>
  <c r="D182" i="26"/>
  <c r="D183" i="26"/>
  <c r="D184" i="26"/>
  <c r="D185" i="26"/>
  <c r="D186" i="26"/>
  <c r="H186" i="26" s="1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P202" i="26" s="1"/>
  <c r="D203" i="26"/>
  <c r="D204" i="26"/>
  <c r="D205" i="26"/>
  <c r="D206" i="26"/>
  <c r="D207" i="26"/>
  <c r="D208" i="26"/>
  <c r="D209" i="26"/>
  <c r="D210" i="26"/>
  <c r="H210" i="26" s="1"/>
  <c r="D211" i="26"/>
  <c r="D212" i="26"/>
  <c r="D213" i="26"/>
  <c r="D214" i="26"/>
  <c r="D215" i="26"/>
  <c r="D216" i="26"/>
  <c r="D217" i="26"/>
  <c r="D218" i="26"/>
  <c r="P218" i="26" s="1"/>
  <c r="D219" i="26"/>
  <c r="D220" i="26"/>
  <c r="D221" i="26"/>
  <c r="D222" i="26"/>
  <c r="D223" i="26"/>
  <c r="D224" i="26"/>
  <c r="D225" i="26"/>
  <c r="D226" i="26"/>
  <c r="H226" i="26" s="1"/>
  <c r="D227" i="26"/>
  <c r="D228" i="26"/>
  <c r="D229" i="26"/>
  <c r="D230" i="26"/>
  <c r="D231" i="26"/>
  <c r="D232" i="26"/>
  <c r="D233" i="26"/>
  <c r="D234" i="26"/>
  <c r="P234" i="26" s="1"/>
  <c r="D235" i="26"/>
  <c r="D236" i="26"/>
  <c r="D237" i="26"/>
  <c r="D238" i="26"/>
  <c r="D239" i="26"/>
  <c r="D240" i="26"/>
  <c r="D241" i="26"/>
  <c r="D242" i="26"/>
  <c r="P242" i="26" s="1"/>
  <c r="D243" i="26"/>
  <c r="D244" i="26"/>
  <c r="D245" i="26"/>
  <c r="D246" i="26"/>
  <c r="D247" i="26"/>
  <c r="D248" i="26"/>
  <c r="D249" i="26"/>
  <c r="D250" i="26"/>
  <c r="H250" i="26" s="1"/>
  <c r="D251" i="26"/>
  <c r="D252" i="26"/>
  <c r="D253" i="26"/>
  <c r="D254" i="26"/>
  <c r="D255" i="26"/>
  <c r="D256" i="26"/>
  <c r="D257" i="26"/>
  <c r="D258" i="26"/>
  <c r="P258" i="26" s="1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H274" i="26" s="1"/>
  <c r="D275" i="26"/>
  <c r="D276" i="26"/>
  <c r="D277" i="26"/>
  <c r="D278" i="26"/>
  <c r="D279" i="26"/>
  <c r="D280" i="26"/>
  <c r="D281" i="26"/>
  <c r="D282" i="26"/>
  <c r="P282" i="26" s="1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8" i="26"/>
  <c r="T6" i="6"/>
  <c r="T9" i="6" s="1"/>
  <c r="X6" i="6"/>
  <c r="X9" i="6" s="1"/>
  <c r="U6" i="6"/>
  <c r="U9" i="6" s="1"/>
  <c r="E5" i="26"/>
  <c r="G5" i="26" s="1"/>
  <c r="E4" i="26"/>
  <c r="F4" i="26"/>
  <c r="H4" i="26" s="1"/>
  <c r="E6" i="26"/>
  <c r="E7" i="26"/>
  <c r="E8" i="26"/>
  <c r="F8" i="26"/>
  <c r="H8" i="26" s="1"/>
  <c r="E9" i="26"/>
  <c r="G9" i="26" s="1"/>
  <c r="E10" i="26"/>
  <c r="F10" i="26"/>
  <c r="E11" i="26"/>
  <c r="G11" i="26" s="1"/>
  <c r="E12" i="26"/>
  <c r="F12" i="26"/>
  <c r="E13" i="26"/>
  <c r="F13" i="26"/>
  <c r="P13" i="26" s="1"/>
  <c r="E14" i="26"/>
  <c r="F14" i="26"/>
  <c r="E15" i="26"/>
  <c r="E16" i="26"/>
  <c r="G16" i="26" s="1"/>
  <c r="F16" i="26"/>
  <c r="E17" i="26"/>
  <c r="G17" i="26" s="1"/>
  <c r="E18" i="26"/>
  <c r="F18" i="26"/>
  <c r="H18" i="26" s="1"/>
  <c r="E19" i="26"/>
  <c r="G19" i="26" s="1"/>
  <c r="E20" i="26"/>
  <c r="F20" i="26"/>
  <c r="E21" i="26"/>
  <c r="P21" i="26" s="1"/>
  <c r="F21" i="26"/>
  <c r="E22" i="26"/>
  <c r="F22" i="26"/>
  <c r="E23" i="26"/>
  <c r="G23" i="26" s="1"/>
  <c r="E24" i="26"/>
  <c r="F24" i="26"/>
  <c r="E25" i="26"/>
  <c r="F25" i="26"/>
  <c r="E26" i="26"/>
  <c r="E27" i="26"/>
  <c r="G27" i="26" s="1"/>
  <c r="E28" i="26"/>
  <c r="F28" i="26"/>
  <c r="H28" i="26" s="1"/>
  <c r="E29" i="26"/>
  <c r="F29" i="26"/>
  <c r="E30" i="26"/>
  <c r="F30" i="26"/>
  <c r="H30" i="26" s="1"/>
  <c r="E31" i="26"/>
  <c r="G31" i="26" s="1"/>
  <c r="E32" i="26"/>
  <c r="F32" i="26"/>
  <c r="E33" i="26"/>
  <c r="P33" i="26" s="1"/>
  <c r="F33" i="26"/>
  <c r="E34" i="26"/>
  <c r="F34" i="26"/>
  <c r="E35" i="26"/>
  <c r="P35" i="26" s="1"/>
  <c r="F35" i="26"/>
  <c r="E36" i="26"/>
  <c r="F36" i="26"/>
  <c r="H36" i="26" s="1"/>
  <c r="E37" i="26"/>
  <c r="P37" i="26" s="1"/>
  <c r="F37" i="26"/>
  <c r="E38" i="26"/>
  <c r="F38" i="26"/>
  <c r="E39" i="26"/>
  <c r="P39" i="26" s="1"/>
  <c r="F39" i="26"/>
  <c r="E40" i="26"/>
  <c r="F40" i="26"/>
  <c r="E41" i="26"/>
  <c r="P41" i="26" s="1"/>
  <c r="F41" i="26"/>
  <c r="E42" i="26"/>
  <c r="E43" i="26"/>
  <c r="F43" i="26"/>
  <c r="H43" i="26" s="1"/>
  <c r="E44" i="26"/>
  <c r="G44" i="26" s="1"/>
  <c r="E45" i="26"/>
  <c r="G45" i="26" s="1"/>
  <c r="E46" i="26"/>
  <c r="F46" i="26"/>
  <c r="E47" i="26"/>
  <c r="G47" i="26" s="1"/>
  <c r="E48" i="26"/>
  <c r="G48" i="26" s="1"/>
  <c r="E49" i="26"/>
  <c r="F49" i="26"/>
  <c r="E50" i="26"/>
  <c r="E51" i="26"/>
  <c r="G51" i="26" s="1"/>
  <c r="E52" i="26"/>
  <c r="F52" i="26"/>
  <c r="H52" i="26" s="1"/>
  <c r="E53" i="26"/>
  <c r="G53" i="26" s="1"/>
  <c r="E54" i="26"/>
  <c r="E55" i="26"/>
  <c r="G55" i="26" s="1"/>
  <c r="E56" i="26"/>
  <c r="E57" i="26"/>
  <c r="G57" i="26" s="1"/>
  <c r="E58" i="26"/>
  <c r="E59" i="26"/>
  <c r="E60" i="26"/>
  <c r="G60" i="26" s="1"/>
  <c r="E61" i="26"/>
  <c r="F61" i="26"/>
  <c r="E62" i="26"/>
  <c r="F62" i="26"/>
  <c r="E63" i="26"/>
  <c r="G63" i="26" s="1"/>
  <c r="E64" i="26"/>
  <c r="F64" i="26"/>
  <c r="E65" i="26"/>
  <c r="P65" i="26" s="1"/>
  <c r="F65" i="26"/>
  <c r="E66" i="26"/>
  <c r="F66" i="26"/>
  <c r="E67" i="26"/>
  <c r="F67" i="26"/>
  <c r="E68" i="26"/>
  <c r="F68" i="26"/>
  <c r="E69" i="26"/>
  <c r="P69" i="26" s="1"/>
  <c r="F69" i="26"/>
  <c r="E70" i="26"/>
  <c r="F70" i="26"/>
  <c r="E71" i="26"/>
  <c r="P71" i="26" s="1"/>
  <c r="F71" i="26"/>
  <c r="E72" i="26"/>
  <c r="G72" i="26" s="1"/>
  <c r="E73" i="26"/>
  <c r="F73" i="26"/>
  <c r="H73" i="26" s="1"/>
  <c r="E74" i="26"/>
  <c r="F74" i="26"/>
  <c r="E75" i="26"/>
  <c r="F75" i="26"/>
  <c r="E76" i="26"/>
  <c r="G76" i="26" s="1"/>
  <c r="E77" i="26"/>
  <c r="F77" i="26"/>
  <c r="E78" i="26"/>
  <c r="P78" i="26" s="1"/>
  <c r="F78" i="26"/>
  <c r="E79" i="26"/>
  <c r="G79" i="26" s="1"/>
  <c r="E80" i="26"/>
  <c r="F80" i="26"/>
  <c r="H80" i="26" s="1"/>
  <c r="E81" i="26"/>
  <c r="F81" i="26"/>
  <c r="E82" i="26"/>
  <c r="F82" i="26"/>
  <c r="H82" i="26" s="1"/>
  <c r="E83" i="26"/>
  <c r="F83" i="26"/>
  <c r="E84" i="26"/>
  <c r="F84" i="26"/>
  <c r="E85" i="26"/>
  <c r="G85" i="26" s="1"/>
  <c r="E86" i="26"/>
  <c r="E87" i="26"/>
  <c r="G87" i="26" s="1"/>
  <c r="E88" i="26"/>
  <c r="G88" i="26" s="1"/>
  <c r="F88" i="26"/>
  <c r="E89" i="26"/>
  <c r="G89" i="26" s="1"/>
  <c r="E90" i="26"/>
  <c r="F90" i="26"/>
  <c r="E91" i="26"/>
  <c r="F91" i="26"/>
  <c r="E92" i="26"/>
  <c r="F92" i="26"/>
  <c r="H92" i="26" s="1"/>
  <c r="E93" i="26"/>
  <c r="G93" i="26" s="1"/>
  <c r="E94" i="26"/>
  <c r="E95" i="26"/>
  <c r="G95" i="26" s="1"/>
  <c r="E96" i="26"/>
  <c r="G96" i="26" s="1"/>
  <c r="E97" i="26"/>
  <c r="G97" i="26" s="1"/>
  <c r="E98" i="26"/>
  <c r="F98" i="26"/>
  <c r="E99" i="26"/>
  <c r="P99" i="26" s="1"/>
  <c r="F99" i="26"/>
  <c r="E100" i="26"/>
  <c r="F100" i="26"/>
  <c r="E101" i="26"/>
  <c r="G101" i="26" s="1"/>
  <c r="E102" i="26"/>
  <c r="E103" i="26"/>
  <c r="F103" i="26"/>
  <c r="E104" i="26"/>
  <c r="G104" i="26" s="1"/>
  <c r="E105" i="26"/>
  <c r="F105" i="26"/>
  <c r="E106" i="26"/>
  <c r="E107" i="26"/>
  <c r="G107" i="26" s="1"/>
  <c r="E108" i="26"/>
  <c r="G108" i="26" s="1"/>
  <c r="E109" i="26"/>
  <c r="F109" i="26"/>
  <c r="E110" i="26"/>
  <c r="P110" i="26" s="1"/>
  <c r="F110" i="26"/>
  <c r="E111" i="26"/>
  <c r="F111" i="26"/>
  <c r="H111" i="26" s="1"/>
  <c r="E112" i="26"/>
  <c r="G112" i="26" s="1"/>
  <c r="E113" i="26"/>
  <c r="F113" i="26"/>
  <c r="E114" i="26"/>
  <c r="F114" i="26"/>
  <c r="H114" i="26" s="1"/>
  <c r="E115" i="26"/>
  <c r="G115" i="26" s="1"/>
  <c r="E116" i="26"/>
  <c r="G116" i="26" s="1"/>
  <c r="E117" i="26"/>
  <c r="G117" i="26" s="1"/>
  <c r="E118" i="26"/>
  <c r="G118" i="26" s="1"/>
  <c r="E119" i="26"/>
  <c r="F119" i="26"/>
  <c r="E120" i="26"/>
  <c r="F120" i="26"/>
  <c r="H120" i="26" s="1"/>
  <c r="E121" i="26"/>
  <c r="F121" i="26"/>
  <c r="E122" i="26"/>
  <c r="F122" i="26"/>
  <c r="E123" i="26"/>
  <c r="G123" i="26" s="1"/>
  <c r="E124" i="26"/>
  <c r="G124" i="26" s="1"/>
  <c r="E125" i="26"/>
  <c r="G125" i="26" s="1"/>
  <c r="E126" i="26"/>
  <c r="P126" i="26" s="1"/>
  <c r="F126" i="26"/>
  <c r="E127" i="26"/>
  <c r="G127" i="26" s="1"/>
  <c r="E128" i="26"/>
  <c r="G128" i="26" s="1"/>
  <c r="E129" i="26"/>
  <c r="G129" i="26" s="1"/>
  <c r="E130" i="26"/>
  <c r="F130" i="26"/>
  <c r="E131" i="26"/>
  <c r="F131" i="26"/>
  <c r="H131" i="26" s="1"/>
  <c r="E132" i="26"/>
  <c r="G132" i="26" s="1"/>
  <c r="E133" i="26"/>
  <c r="F133" i="26"/>
  <c r="E134" i="26"/>
  <c r="E135" i="26"/>
  <c r="G135" i="26" s="1"/>
  <c r="E136" i="26"/>
  <c r="F136" i="26"/>
  <c r="E137" i="26"/>
  <c r="G137" i="26" s="1"/>
  <c r="E138" i="26"/>
  <c r="F138" i="26"/>
  <c r="E139" i="26"/>
  <c r="F139" i="26"/>
  <c r="H139" i="26" s="1"/>
  <c r="E140" i="26"/>
  <c r="F140" i="26"/>
  <c r="E141" i="26"/>
  <c r="F141" i="26"/>
  <c r="P141" i="26" s="1"/>
  <c r="E142" i="26"/>
  <c r="F142" i="26"/>
  <c r="E143" i="26"/>
  <c r="E144" i="26"/>
  <c r="F144" i="26"/>
  <c r="E145" i="26"/>
  <c r="G145" i="26" s="1"/>
  <c r="E146" i="26"/>
  <c r="E147" i="26"/>
  <c r="P147" i="26" s="1"/>
  <c r="F147" i="26"/>
  <c r="E148" i="26"/>
  <c r="F148" i="26"/>
  <c r="E149" i="26"/>
  <c r="F149" i="26"/>
  <c r="E150" i="26"/>
  <c r="F150" i="26"/>
  <c r="E151" i="26"/>
  <c r="G151" i="26" s="1"/>
  <c r="E152" i="26"/>
  <c r="F152" i="26"/>
  <c r="E153" i="26"/>
  <c r="F153" i="26"/>
  <c r="H153" i="26" s="1"/>
  <c r="E154" i="26"/>
  <c r="F154" i="26"/>
  <c r="E155" i="26"/>
  <c r="F155" i="26"/>
  <c r="H155" i="26" s="1"/>
  <c r="E156" i="26"/>
  <c r="F156" i="26"/>
  <c r="E157" i="26"/>
  <c r="G157" i="26" s="1"/>
  <c r="E158" i="26"/>
  <c r="G158" i="26" s="1"/>
  <c r="E159" i="26"/>
  <c r="G159" i="26" s="1"/>
  <c r="E160" i="26"/>
  <c r="F160" i="26"/>
  <c r="E161" i="26"/>
  <c r="G161" i="26" s="1"/>
  <c r="E162" i="26"/>
  <c r="F162" i="26"/>
  <c r="E163" i="26"/>
  <c r="F163" i="26"/>
  <c r="P163" i="26" s="1"/>
  <c r="E164" i="26"/>
  <c r="F164" i="26"/>
  <c r="E165" i="26"/>
  <c r="E166" i="26"/>
  <c r="F166" i="26"/>
  <c r="E167" i="26"/>
  <c r="G167" i="26" s="1"/>
  <c r="E168" i="26"/>
  <c r="F168" i="26"/>
  <c r="H168" i="26" s="1"/>
  <c r="E169" i="26"/>
  <c r="F169" i="26"/>
  <c r="H169" i="26" s="1"/>
  <c r="E170" i="26"/>
  <c r="E171" i="26"/>
  <c r="G171" i="26" s="1"/>
  <c r="E172" i="26"/>
  <c r="F172" i="26"/>
  <c r="E173" i="26"/>
  <c r="G173" i="26" s="1"/>
  <c r="E174" i="26"/>
  <c r="G174" i="26" s="1"/>
  <c r="E175" i="26"/>
  <c r="F175" i="26"/>
  <c r="E176" i="26"/>
  <c r="F176" i="26"/>
  <c r="H176" i="26" s="1"/>
  <c r="E177" i="26"/>
  <c r="F177" i="26"/>
  <c r="E178" i="26"/>
  <c r="F178" i="26"/>
  <c r="E179" i="26"/>
  <c r="E180" i="26"/>
  <c r="F180" i="26"/>
  <c r="E181" i="26"/>
  <c r="G181" i="26" s="1"/>
  <c r="E182" i="26"/>
  <c r="E183" i="26"/>
  <c r="F183" i="26"/>
  <c r="E184" i="26"/>
  <c r="G184" i="26" s="1"/>
  <c r="F184" i="26"/>
  <c r="E185" i="26"/>
  <c r="F185" i="26"/>
  <c r="E186" i="26"/>
  <c r="G186" i="26" s="1"/>
  <c r="F186" i="26"/>
  <c r="E187" i="26"/>
  <c r="F187" i="26"/>
  <c r="E188" i="26"/>
  <c r="G188" i="26" s="1"/>
  <c r="E189" i="26"/>
  <c r="F189" i="26"/>
  <c r="E190" i="26"/>
  <c r="F190" i="26"/>
  <c r="H190" i="26" s="1"/>
  <c r="E191" i="26"/>
  <c r="F191" i="26"/>
  <c r="E192" i="26"/>
  <c r="G192" i="26" s="1"/>
  <c r="E193" i="26"/>
  <c r="P193" i="26" s="1"/>
  <c r="F193" i="26"/>
  <c r="E194" i="26"/>
  <c r="E195" i="26"/>
  <c r="G195" i="26" s="1"/>
  <c r="E196" i="26"/>
  <c r="G196" i="26" s="1"/>
  <c r="E197" i="26"/>
  <c r="F197" i="26"/>
  <c r="E198" i="26"/>
  <c r="F198" i="26"/>
  <c r="H198" i="26" s="1"/>
  <c r="E199" i="26"/>
  <c r="F199" i="26"/>
  <c r="E200" i="26"/>
  <c r="F200" i="26"/>
  <c r="P200" i="26" s="1"/>
  <c r="E201" i="26"/>
  <c r="F201" i="26"/>
  <c r="E202" i="26"/>
  <c r="E203" i="26"/>
  <c r="G203" i="26" s="1"/>
  <c r="E204" i="26"/>
  <c r="F204" i="26"/>
  <c r="H204" i="26" s="1"/>
  <c r="E205" i="26"/>
  <c r="F205" i="26"/>
  <c r="P205" i="26" s="1"/>
  <c r="E206" i="26"/>
  <c r="F206" i="26"/>
  <c r="E207" i="26"/>
  <c r="G207" i="26" s="1"/>
  <c r="E208" i="26"/>
  <c r="F208" i="26"/>
  <c r="E209" i="26"/>
  <c r="F209" i="26"/>
  <c r="E210" i="26"/>
  <c r="G210" i="26" s="1"/>
  <c r="F210" i="26"/>
  <c r="E211" i="26"/>
  <c r="G211" i="26" s="1"/>
  <c r="E212" i="26"/>
  <c r="F212" i="26"/>
  <c r="H212" i="26" s="1"/>
  <c r="E213" i="26"/>
  <c r="F213" i="26"/>
  <c r="E214" i="26"/>
  <c r="E215" i="26"/>
  <c r="P215" i="26" s="1"/>
  <c r="F215" i="26"/>
  <c r="E216" i="26"/>
  <c r="F216" i="26"/>
  <c r="E217" i="26"/>
  <c r="F217" i="26"/>
  <c r="E218" i="26"/>
  <c r="E219" i="26"/>
  <c r="F219" i="26"/>
  <c r="P219" i="26" s="1"/>
  <c r="E220" i="26"/>
  <c r="F220" i="26"/>
  <c r="E221" i="26"/>
  <c r="F221" i="26"/>
  <c r="E222" i="26"/>
  <c r="E223" i="26"/>
  <c r="F223" i="26"/>
  <c r="E224" i="26"/>
  <c r="G224" i="26" s="1"/>
  <c r="F224" i="26"/>
  <c r="E225" i="26"/>
  <c r="F225" i="26"/>
  <c r="E226" i="26"/>
  <c r="E227" i="26"/>
  <c r="E228" i="26"/>
  <c r="G228" i="26" s="1"/>
  <c r="E229" i="26"/>
  <c r="F229" i="26"/>
  <c r="H229" i="26" s="1"/>
  <c r="E230" i="26"/>
  <c r="F230" i="26"/>
  <c r="E231" i="26"/>
  <c r="E232" i="26"/>
  <c r="G232" i="26" s="1"/>
  <c r="E233" i="26"/>
  <c r="F233" i="26"/>
  <c r="E234" i="26"/>
  <c r="F234" i="26"/>
  <c r="H234" i="26" s="1"/>
  <c r="E235" i="26"/>
  <c r="F235" i="26"/>
  <c r="E236" i="26"/>
  <c r="F236" i="26"/>
  <c r="P236" i="26" s="1"/>
  <c r="E237" i="26"/>
  <c r="F237" i="26"/>
  <c r="E238" i="26"/>
  <c r="F238" i="26"/>
  <c r="P238" i="26" s="1"/>
  <c r="E239" i="26"/>
  <c r="F239" i="26"/>
  <c r="E240" i="26"/>
  <c r="F240" i="26"/>
  <c r="P240" i="26" s="1"/>
  <c r="E241" i="26"/>
  <c r="E242" i="26"/>
  <c r="E243" i="26"/>
  <c r="F243" i="26"/>
  <c r="P243" i="26" s="1"/>
  <c r="E244" i="26"/>
  <c r="G244" i="26" s="1"/>
  <c r="E245" i="26"/>
  <c r="G245" i="26" s="1"/>
  <c r="E246" i="26"/>
  <c r="E247" i="26"/>
  <c r="F247" i="26"/>
  <c r="E248" i="26"/>
  <c r="G248" i="26" s="1"/>
  <c r="E249" i="26"/>
  <c r="G249" i="26" s="1"/>
  <c r="E250" i="26"/>
  <c r="G250" i="26" s="1"/>
  <c r="F250" i="26"/>
  <c r="E251" i="26"/>
  <c r="E252" i="26"/>
  <c r="F252" i="26"/>
  <c r="H252" i="26" s="1"/>
  <c r="E253" i="26"/>
  <c r="F253" i="26"/>
  <c r="E254" i="26"/>
  <c r="F254" i="26"/>
  <c r="P254" i="26" s="1"/>
  <c r="E255" i="26"/>
  <c r="E256" i="26"/>
  <c r="F256" i="26"/>
  <c r="H256" i="26" s="1"/>
  <c r="E257" i="26"/>
  <c r="G257" i="26" s="1"/>
  <c r="E258" i="26"/>
  <c r="F258" i="26"/>
  <c r="E259" i="26"/>
  <c r="E260" i="26"/>
  <c r="G260" i="26" s="1"/>
  <c r="E261" i="26"/>
  <c r="F261" i="26"/>
  <c r="E262" i="26"/>
  <c r="F262" i="26"/>
  <c r="E263" i="26"/>
  <c r="F263" i="26"/>
  <c r="E264" i="26"/>
  <c r="G264" i="26" s="1"/>
  <c r="E265" i="26"/>
  <c r="G265" i="26" s="1"/>
  <c r="E266" i="26"/>
  <c r="F266" i="26"/>
  <c r="E267" i="26"/>
  <c r="F267" i="26"/>
  <c r="P267" i="26" s="1"/>
  <c r="E268" i="26"/>
  <c r="F268" i="26"/>
  <c r="E269" i="26"/>
  <c r="F269" i="26"/>
  <c r="H269" i="26" s="1"/>
  <c r="E270" i="26"/>
  <c r="E271" i="26"/>
  <c r="F271" i="26"/>
  <c r="E272" i="26"/>
  <c r="G272" i="26" s="1"/>
  <c r="F272" i="26"/>
  <c r="E273" i="26"/>
  <c r="F273" i="26"/>
  <c r="E274" i="26"/>
  <c r="G274" i="26" s="1"/>
  <c r="F274" i="26"/>
  <c r="E275" i="26"/>
  <c r="E276" i="26"/>
  <c r="F276" i="26"/>
  <c r="P276" i="26" s="1"/>
  <c r="E277" i="26"/>
  <c r="F277" i="26"/>
  <c r="E278" i="26"/>
  <c r="F278" i="26"/>
  <c r="H278" i="26" s="1"/>
  <c r="E279" i="26"/>
  <c r="F279" i="26"/>
  <c r="E280" i="26"/>
  <c r="G280" i="26" s="1"/>
  <c r="E281" i="26"/>
  <c r="F281" i="26"/>
  <c r="E282" i="26"/>
  <c r="E283" i="26"/>
  <c r="F283" i="26"/>
  <c r="P283" i="26" s="1"/>
  <c r="E284" i="26"/>
  <c r="F284" i="26"/>
  <c r="E285" i="26"/>
  <c r="F285" i="26"/>
  <c r="E286" i="26"/>
  <c r="E287" i="26"/>
  <c r="E288" i="26"/>
  <c r="F288" i="26"/>
  <c r="P288" i="26" s="1"/>
  <c r="E289" i="26"/>
  <c r="E290" i="26"/>
  <c r="F290" i="26"/>
  <c r="E291" i="26"/>
  <c r="G291" i="26" s="1"/>
  <c r="E292" i="26"/>
  <c r="F292" i="26"/>
  <c r="E293" i="26"/>
  <c r="G293" i="26" s="1"/>
  <c r="E294" i="26"/>
  <c r="G294" i="26" s="1"/>
  <c r="E295" i="26"/>
  <c r="F295" i="26"/>
  <c r="E296" i="26"/>
  <c r="D296" i="26"/>
  <c r="E297" i="26"/>
  <c r="D297" i="26"/>
  <c r="F297" i="26"/>
  <c r="E298" i="26"/>
  <c r="F298" i="26"/>
  <c r="V19" i="6"/>
  <c r="V21" i="6" s="1"/>
  <c r="W19" i="6"/>
  <c r="W21" i="6" s="1"/>
  <c r="F5" i="26"/>
  <c r="H5" i="26" s="1"/>
  <c r="F6" i="26"/>
  <c r="F7" i="26"/>
  <c r="F9" i="26"/>
  <c r="F11" i="26"/>
  <c r="H11" i="26" s="1"/>
  <c r="F15" i="26"/>
  <c r="F17" i="26"/>
  <c r="F19" i="26"/>
  <c r="F23" i="26"/>
  <c r="H23" i="26" s="1"/>
  <c r="F26" i="26"/>
  <c r="F27" i="26"/>
  <c r="F31" i="26"/>
  <c r="F42" i="26"/>
  <c r="H42" i="26" s="1"/>
  <c r="F44" i="26"/>
  <c r="F45" i="26"/>
  <c r="F47" i="26"/>
  <c r="F48" i="26"/>
  <c r="H48" i="26" s="1"/>
  <c r="F50" i="26"/>
  <c r="F51" i="26"/>
  <c r="F53" i="26"/>
  <c r="F54" i="26"/>
  <c r="H54" i="26" s="1"/>
  <c r="F55" i="26"/>
  <c r="F56" i="26"/>
  <c r="F57" i="26"/>
  <c r="F58" i="26"/>
  <c r="F59" i="26"/>
  <c r="F60" i="26"/>
  <c r="F63" i="26"/>
  <c r="F72" i="26"/>
  <c r="H72" i="26" s="1"/>
  <c r="F76" i="26"/>
  <c r="F79" i="26"/>
  <c r="F85" i="26"/>
  <c r="F86" i="26"/>
  <c r="H86" i="26" s="1"/>
  <c r="F87" i="26"/>
  <c r="F89" i="26"/>
  <c r="F93" i="26"/>
  <c r="F94" i="26"/>
  <c r="H94" i="26" s="1"/>
  <c r="F95" i="26"/>
  <c r="F96" i="26"/>
  <c r="F97" i="26"/>
  <c r="F101" i="26"/>
  <c r="H101" i="26" s="1"/>
  <c r="F102" i="26"/>
  <c r="F104" i="26"/>
  <c r="F106" i="26"/>
  <c r="F107" i="26"/>
  <c r="H107" i="26" s="1"/>
  <c r="F108" i="26"/>
  <c r="F112" i="26"/>
  <c r="F115" i="26"/>
  <c r="F116" i="26"/>
  <c r="H116" i="26" s="1"/>
  <c r="F117" i="26"/>
  <c r="F118" i="26"/>
  <c r="F123" i="26"/>
  <c r="F124" i="26"/>
  <c r="H124" i="26" s="1"/>
  <c r="F125" i="26"/>
  <c r="F127" i="26"/>
  <c r="F128" i="26"/>
  <c r="F129" i="26"/>
  <c r="H129" i="26" s="1"/>
  <c r="F132" i="26"/>
  <c r="F134" i="26"/>
  <c r="F135" i="26"/>
  <c r="F137" i="26"/>
  <c r="H137" i="26" s="1"/>
  <c r="F143" i="26"/>
  <c r="F145" i="26"/>
  <c r="F146" i="26"/>
  <c r="F151" i="26"/>
  <c r="H151" i="26" s="1"/>
  <c r="F157" i="26"/>
  <c r="F158" i="26"/>
  <c r="F159" i="26"/>
  <c r="F161" i="26"/>
  <c r="H161" i="26" s="1"/>
  <c r="F165" i="26"/>
  <c r="F167" i="26"/>
  <c r="F170" i="26"/>
  <c r="F171" i="26"/>
  <c r="H171" i="26" s="1"/>
  <c r="F173" i="26"/>
  <c r="F174" i="26"/>
  <c r="F179" i="26"/>
  <c r="F181" i="26"/>
  <c r="H181" i="26" s="1"/>
  <c r="F182" i="26"/>
  <c r="F188" i="26"/>
  <c r="F192" i="26"/>
  <c r="F194" i="26"/>
  <c r="F195" i="26"/>
  <c r="F196" i="26"/>
  <c r="F202" i="26"/>
  <c r="F203" i="26"/>
  <c r="H203" i="26" s="1"/>
  <c r="F207" i="26"/>
  <c r="F211" i="26"/>
  <c r="F214" i="26"/>
  <c r="F218" i="26"/>
  <c r="F222" i="26"/>
  <c r="F226" i="26"/>
  <c r="F227" i="26"/>
  <c r="F228" i="26"/>
  <c r="H228" i="26" s="1"/>
  <c r="F231" i="26"/>
  <c r="F232" i="26"/>
  <c r="F241" i="26"/>
  <c r="F242" i="26"/>
  <c r="F244" i="26"/>
  <c r="F245" i="26"/>
  <c r="F246" i="26"/>
  <c r="F248" i="26"/>
  <c r="H248" i="26" s="1"/>
  <c r="F249" i="26"/>
  <c r="F251" i="26"/>
  <c r="F255" i="26"/>
  <c r="F257" i="26"/>
  <c r="H257" i="26" s="1"/>
  <c r="F259" i="26"/>
  <c r="F260" i="26"/>
  <c r="F264" i="26"/>
  <c r="F265" i="26"/>
  <c r="H265" i="26" s="1"/>
  <c r="F270" i="26"/>
  <c r="F275" i="26"/>
  <c r="F280" i="26"/>
  <c r="F282" i="26"/>
  <c r="F286" i="26"/>
  <c r="F287" i="26"/>
  <c r="F289" i="26"/>
  <c r="F291" i="26"/>
  <c r="H291" i="26" s="1"/>
  <c r="F293" i="26"/>
  <c r="F294" i="26"/>
  <c r="F296" i="26"/>
  <c r="U3" i="44"/>
  <c r="U4" i="44"/>
  <c r="U5" i="44"/>
  <c r="U6" i="44"/>
  <c r="U7" i="44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11" i="44"/>
  <c r="U112" i="44"/>
  <c r="U113" i="44"/>
  <c r="U114" i="44"/>
  <c r="U115" i="44"/>
  <c r="U116" i="44"/>
  <c r="U117" i="44"/>
  <c r="U118" i="44"/>
  <c r="U119" i="44"/>
  <c r="U120" i="44"/>
  <c r="U121" i="44"/>
  <c r="U122" i="44"/>
  <c r="U123" i="44"/>
  <c r="U124" i="44"/>
  <c r="U125" i="44"/>
  <c r="U126" i="44"/>
  <c r="U127" i="44"/>
  <c r="U128" i="44"/>
  <c r="U129" i="44"/>
  <c r="U130" i="44"/>
  <c r="U131" i="44"/>
  <c r="U132" i="44"/>
  <c r="U133" i="44"/>
  <c r="U134" i="44"/>
  <c r="U135" i="44"/>
  <c r="U136" i="44"/>
  <c r="U137" i="44"/>
  <c r="U138" i="44"/>
  <c r="U139" i="44"/>
  <c r="U140" i="44"/>
  <c r="U141" i="44"/>
  <c r="U142" i="44"/>
  <c r="U143" i="44"/>
  <c r="U144" i="44"/>
  <c r="U145" i="44"/>
  <c r="U146" i="44"/>
  <c r="U147" i="44"/>
  <c r="U148" i="44"/>
  <c r="U149" i="44"/>
  <c r="U150" i="44"/>
  <c r="U151" i="44"/>
  <c r="U152" i="44"/>
  <c r="U153" i="44"/>
  <c r="U154" i="44"/>
  <c r="U155" i="44"/>
  <c r="U156" i="44"/>
  <c r="U157" i="44"/>
  <c r="U158" i="44"/>
  <c r="U159" i="44"/>
  <c r="U160" i="44"/>
  <c r="U161" i="44"/>
  <c r="U162" i="44"/>
  <c r="U163" i="44"/>
  <c r="U164" i="44"/>
  <c r="U165" i="44"/>
  <c r="U166" i="44"/>
  <c r="U167" i="44"/>
  <c r="U168" i="44"/>
  <c r="U169" i="44"/>
  <c r="U170" i="44"/>
  <c r="U171" i="44"/>
  <c r="U172" i="44"/>
  <c r="U173" i="44"/>
  <c r="U174" i="44"/>
  <c r="U175" i="44"/>
  <c r="U176" i="44"/>
  <c r="U177" i="44"/>
  <c r="U178" i="44"/>
  <c r="U179" i="44"/>
  <c r="U180" i="44"/>
  <c r="U181" i="44"/>
  <c r="U182" i="44"/>
  <c r="U183" i="44"/>
  <c r="U184" i="44"/>
  <c r="U185" i="44"/>
  <c r="U186" i="44"/>
  <c r="U187" i="44"/>
  <c r="U188" i="44"/>
  <c r="U189" i="44"/>
  <c r="U190" i="44"/>
  <c r="U191" i="44"/>
  <c r="U192" i="44"/>
  <c r="U193" i="44"/>
  <c r="U194" i="44"/>
  <c r="U195" i="44"/>
  <c r="U196" i="44"/>
  <c r="U197" i="44"/>
  <c r="U198" i="44"/>
  <c r="U199" i="44"/>
  <c r="U200" i="44"/>
  <c r="U201" i="44"/>
  <c r="U202" i="44"/>
  <c r="U203" i="44"/>
  <c r="U204" i="44"/>
  <c r="U205" i="44"/>
  <c r="U206" i="44"/>
  <c r="U207" i="44"/>
  <c r="U208" i="44"/>
  <c r="U209" i="44"/>
  <c r="U210" i="44"/>
  <c r="U211" i="44"/>
  <c r="U212" i="44"/>
  <c r="U213" i="44"/>
  <c r="U214" i="44"/>
  <c r="U215" i="44"/>
  <c r="U216" i="44"/>
  <c r="U217" i="44"/>
  <c r="U218" i="44"/>
  <c r="U219" i="44"/>
  <c r="U220" i="44"/>
  <c r="U221" i="44"/>
  <c r="U222" i="44"/>
  <c r="U223" i="44"/>
  <c r="U224" i="44"/>
  <c r="U225" i="44"/>
  <c r="U226" i="44"/>
  <c r="U227" i="44"/>
  <c r="U228" i="44"/>
  <c r="U229" i="44"/>
  <c r="U230" i="44"/>
  <c r="U231" i="44"/>
  <c r="U232" i="44"/>
  <c r="U233" i="44"/>
  <c r="U234" i="44"/>
  <c r="U235" i="44"/>
  <c r="U236" i="44"/>
  <c r="U237" i="44"/>
  <c r="U238" i="44"/>
  <c r="U239" i="44"/>
  <c r="U240" i="44"/>
  <c r="U241" i="44"/>
  <c r="U242" i="44"/>
  <c r="U243" i="44"/>
  <c r="U244" i="44"/>
  <c r="U245" i="44"/>
  <c r="U246" i="44"/>
  <c r="U247" i="44"/>
  <c r="U248" i="44"/>
  <c r="U249" i="44"/>
  <c r="U250" i="44"/>
  <c r="U251" i="44"/>
  <c r="U252" i="44"/>
  <c r="U253" i="44"/>
  <c r="U254" i="44"/>
  <c r="U255" i="44"/>
  <c r="U256" i="44"/>
  <c r="U257" i="44"/>
  <c r="U258" i="44"/>
  <c r="U259" i="44"/>
  <c r="U260" i="44"/>
  <c r="U261" i="44"/>
  <c r="U262" i="44"/>
  <c r="U263" i="44"/>
  <c r="U264" i="44"/>
  <c r="U265" i="44"/>
  <c r="U266" i="44"/>
  <c r="U267" i="44"/>
  <c r="U268" i="44"/>
  <c r="U269" i="44"/>
  <c r="U270" i="44"/>
  <c r="U271" i="44"/>
  <c r="U272" i="44"/>
  <c r="U273" i="44"/>
  <c r="U274" i="44"/>
  <c r="U275" i="44"/>
  <c r="U276" i="44"/>
  <c r="U277" i="44"/>
  <c r="U278" i="44"/>
  <c r="U279" i="44"/>
  <c r="U280" i="44"/>
  <c r="U281" i="44"/>
  <c r="U282" i="44"/>
  <c r="U283" i="44"/>
  <c r="U284" i="44"/>
  <c r="U285" i="44"/>
  <c r="U286" i="44"/>
  <c r="U287" i="44"/>
  <c r="U288" i="44"/>
  <c r="U289" i="44"/>
  <c r="U290" i="44"/>
  <c r="U291" i="44"/>
  <c r="U292" i="44"/>
  <c r="U293" i="44"/>
  <c r="U294" i="44"/>
  <c r="U295" i="44"/>
  <c r="U296" i="44"/>
  <c r="U2" i="44"/>
  <c r="O297" i="44"/>
  <c r="N297" i="44"/>
  <c r="M297" i="44"/>
  <c r="U297" i="44" s="1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7" i="44"/>
  <c r="P6" i="44"/>
  <c r="P5" i="44"/>
  <c r="P4" i="44"/>
  <c r="P3" i="44"/>
  <c r="P2" i="44"/>
  <c r="L304" i="41"/>
  <c r="K304" i="41"/>
  <c r="J304" i="41"/>
  <c r="I304" i="41"/>
  <c r="H304" i="41"/>
  <c r="G304" i="41"/>
  <c r="F304" i="41"/>
  <c r="E304" i="41"/>
  <c r="D304" i="41"/>
  <c r="M303" i="41"/>
  <c r="P303" i="41" s="1"/>
  <c r="M302" i="41"/>
  <c r="P302" i="41" s="1"/>
  <c r="M301" i="41"/>
  <c r="P301" i="41" s="1"/>
  <c r="M300" i="41"/>
  <c r="P300" i="41" s="1"/>
  <c r="M299" i="41"/>
  <c r="P299" i="41" s="1"/>
  <c r="M298" i="41"/>
  <c r="P298" i="41" s="1"/>
  <c r="M297" i="41"/>
  <c r="P297" i="41" s="1"/>
  <c r="M296" i="41"/>
  <c r="P296" i="41" s="1"/>
  <c r="M295" i="41"/>
  <c r="P295" i="41" s="1"/>
  <c r="M294" i="41"/>
  <c r="P294" i="41" s="1"/>
  <c r="M293" i="41"/>
  <c r="P293" i="41" s="1"/>
  <c r="M292" i="41"/>
  <c r="P292" i="41" s="1"/>
  <c r="M291" i="41"/>
  <c r="P291" i="41" s="1"/>
  <c r="M290" i="41"/>
  <c r="P290" i="41" s="1"/>
  <c r="M289" i="41"/>
  <c r="P289" i="41" s="1"/>
  <c r="M288" i="41"/>
  <c r="P288" i="41" s="1"/>
  <c r="M287" i="41"/>
  <c r="P287" i="41" s="1"/>
  <c r="M286" i="41"/>
  <c r="P286" i="41" s="1"/>
  <c r="M285" i="41"/>
  <c r="P285" i="41" s="1"/>
  <c r="M284" i="41"/>
  <c r="P284" i="41" s="1"/>
  <c r="M283" i="41"/>
  <c r="P283" i="41" s="1"/>
  <c r="M282" i="41"/>
  <c r="P282" i="41" s="1"/>
  <c r="M281" i="41"/>
  <c r="P281" i="41" s="1"/>
  <c r="M280" i="41"/>
  <c r="P280" i="41" s="1"/>
  <c r="M279" i="41"/>
  <c r="P279" i="41" s="1"/>
  <c r="M278" i="41"/>
  <c r="P278" i="41" s="1"/>
  <c r="M277" i="41"/>
  <c r="P277" i="41" s="1"/>
  <c r="M276" i="41"/>
  <c r="P276" i="41" s="1"/>
  <c r="M275" i="41"/>
  <c r="P275" i="41" s="1"/>
  <c r="M274" i="41"/>
  <c r="P274" i="41" s="1"/>
  <c r="M273" i="41"/>
  <c r="P273" i="41" s="1"/>
  <c r="M272" i="41"/>
  <c r="P272" i="41" s="1"/>
  <c r="M271" i="41"/>
  <c r="P271" i="41" s="1"/>
  <c r="M270" i="41"/>
  <c r="P270" i="41" s="1"/>
  <c r="M269" i="41"/>
  <c r="P269" i="41" s="1"/>
  <c r="M268" i="41"/>
  <c r="P268" i="41" s="1"/>
  <c r="M267" i="41"/>
  <c r="P267" i="41" s="1"/>
  <c r="M266" i="41"/>
  <c r="P266" i="41" s="1"/>
  <c r="M265" i="41"/>
  <c r="P265" i="41" s="1"/>
  <c r="M264" i="41"/>
  <c r="P264" i="41" s="1"/>
  <c r="M263" i="41"/>
  <c r="P263" i="41" s="1"/>
  <c r="M262" i="41"/>
  <c r="P262" i="41" s="1"/>
  <c r="M261" i="41"/>
  <c r="P261" i="41" s="1"/>
  <c r="M260" i="41"/>
  <c r="P260" i="41" s="1"/>
  <c r="M259" i="41"/>
  <c r="P259" i="41" s="1"/>
  <c r="M258" i="41"/>
  <c r="P258" i="41" s="1"/>
  <c r="M257" i="41"/>
  <c r="P257" i="41" s="1"/>
  <c r="M256" i="41"/>
  <c r="P256" i="41" s="1"/>
  <c r="M255" i="41"/>
  <c r="P255" i="41" s="1"/>
  <c r="M254" i="41"/>
  <c r="P254" i="41" s="1"/>
  <c r="M253" i="41"/>
  <c r="P253" i="41" s="1"/>
  <c r="M252" i="41"/>
  <c r="P252" i="41" s="1"/>
  <c r="M251" i="41"/>
  <c r="P251" i="41" s="1"/>
  <c r="M250" i="41"/>
  <c r="P250" i="41" s="1"/>
  <c r="M249" i="41"/>
  <c r="P249" i="41" s="1"/>
  <c r="M248" i="41"/>
  <c r="P248" i="41" s="1"/>
  <c r="M247" i="41"/>
  <c r="P247" i="41" s="1"/>
  <c r="M246" i="41"/>
  <c r="P246" i="41" s="1"/>
  <c r="M245" i="41"/>
  <c r="P245" i="41" s="1"/>
  <c r="M244" i="41"/>
  <c r="P244" i="41" s="1"/>
  <c r="M243" i="41"/>
  <c r="P243" i="41" s="1"/>
  <c r="M242" i="41"/>
  <c r="P242" i="41" s="1"/>
  <c r="M241" i="41"/>
  <c r="P241" i="41" s="1"/>
  <c r="M240" i="41"/>
  <c r="P240" i="41" s="1"/>
  <c r="M239" i="41"/>
  <c r="P239" i="41" s="1"/>
  <c r="M238" i="41"/>
  <c r="P238" i="41" s="1"/>
  <c r="M237" i="41"/>
  <c r="P237" i="41" s="1"/>
  <c r="M236" i="41"/>
  <c r="P236" i="41" s="1"/>
  <c r="M235" i="41"/>
  <c r="P235" i="41" s="1"/>
  <c r="M234" i="41"/>
  <c r="P234" i="41" s="1"/>
  <c r="M233" i="41"/>
  <c r="P233" i="41" s="1"/>
  <c r="M232" i="41"/>
  <c r="P232" i="41" s="1"/>
  <c r="M231" i="41"/>
  <c r="P231" i="41" s="1"/>
  <c r="M230" i="41"/>
  <c r="P230" i="41" s="1"/>
  <c r="M229" i="41"/>
  <c r="P229" i="41" s="1"/>
  <c r="M228" i="41"/>
  <c r="P228" i="41" s="1"/>
  <c r="M227" i="41"/>
  <c r="P227" i="41" s="1"/>
  <c r="M226" i="41"/>
  <c r="P226" i="41" s="1"/>
  <c r="M225" i="41"/>
  <c r="P225" i="41" s="1"/>
  <c r="M224" i="41"/>
  <c r="P224" i="41" s="1"/>
  <c r="M223" i="41"/>
  <c r="P223" i="41" s="1"/>
  <c r="M222" i="41"/>
  <c r="P222" i="41" s="1"/>
  <c r="M221" i="41"/>
  <c r="P221" i="41" s="1"/>
  <c r="M220" i="41"/>
  <c r="P220" i="41" s="1"/>
  <c r="M219" i="41"/>
  <c r="P219" i="41" s="1"/>
  <c r="M218" i="41"/>
  <c r="P218" i="41" s="1"/>
  <c r="M217" i="41"/>
  <c r="P217" i="41" s="1"/>
  <c r="M216" i="41"/>
  <c r="P216" i="41" s="1"/>
  <c r="M215" i="41"/>
  <c r="P215" i="41" s="1"/>
  <c r="M214" i="41"/>
  <c r="P214" i="41" s="1"/>
  <c r="M213" i="41"/>
  <c r="P213" i="41" s="1"/>
  <c r="M212" i="41"/>
  <c r="P212" i="41" s="1"/>
  <c r="M211" i="41"/>
  <c r="P211" i="41" s="1"/>
  <c r="M210" i="41"/>
  <c r="P210" i="41" s="1"/>
  <c r="M209" i="41"/>
  <c r="P209" i="41" s="1"/>
  <c r="M208" i="41"/>
  <c r="P208" i="41" s="1"/>
  <c r="M207" i="41"/>
  <c r="P207" i="41" s="1"/>
  <c r="M206" i="41"/>
  <c r="P206" i="41" s="1"/>
  <c r="M205" i="41"/>
  <c r="P205" i="41" s="1"/>
  <c r="M204" i="41"/>
  <c r="P204" i="41" s="1"/>
  <c r="M203" i="41"/>
  <c r="P203" i="41" s="1"/>
  <c r="M202" i="41"/>
  <c r="P202" i="41" s="1"/>
  <c r="M201" i="41"/>
  <c r="P201" i="41" s="1"/>
  <c r="M200" i="41"/>
  <c r="P200" i="41" s="1"/>
  <c r="M199" i="41"/>
  <c r="P199" i="41" s="1"/>
  <c r="M198" i="41"/>
  <c r="P198" i="41" s="1"/>
  <c r="M197" i="41"/>
  <c r="P197" i="41" s="1"/>
  <c r="M196" i="41"/>
  <c r="P196" i="41" s="1"/>
  <c r="M195" i="41"/>
  <c r="P195" i="41" s="1"/>
  <c r="M194" i="41"/>
  <c r="P194" i="41" s="1"/>
  <c r="M193" i="41"/>
  <c r="P193" i="41" s="1"/>
  <c r="M192" i="41"/>
  <c r="P192" i="41" s="1"/>
  <c r="M191" i="41"/>
  <c r="P191" i="41" s="1"/>
  <c r="M190" i="41"/>
  <c r="P190" i="41" s="1"/>
  <c r="M189" i="41"/>
  <c r="P189" i="41" s="1"/>
  <c r="M188" i="41"/>
  <c r="P188" i="41" s="1"/>
  <c r="M187" i="41"/>
  <c r="P187" i="41" s="1"/>
  <c r="M186" i="41"/>
  <c r="P186" i="41" s="1"/>
  <c r="M185" i="41"/>
  <c r="P185" i="41" s="1"/>
  <c r="M184" i="41"/>
  <c r="P184" i="41" s="1"/>
  <c r="M183" i="41"/>
  <c r="P183" i="41" s="1"/>
  <c r="M182" i="41"/>
  <c r="P182" i="41" s="1"/>
  <c r="M181" i="41"/>
  <c r="P181" i="41" s="1"/>
  <c r="M180" i="41"/>
  <c r="P180" i="41" s="1"/>
  <c r="M179" i="41"/>
  <c r="P179" i="41" s="1"/>
  <c r="M178" i="41"/>
  <c r="P178" i="41" s="1"/>
  <c r="M177" i="41"/>
  <c r="P177" i="41" s="1"/>
  <c r="M176" i="41"/>
  <c r="P176" i="41" s="1"/>
  <c r="M175" i="41"/>
  <c r="P175" i="41" s="1"/>
  <c r="M174" i="41"/>
  <c r="P174" i="41" s="1"/>
  <c r="M173" i="41"/>
  <c r="P173" i="41" s="1"/>
  <c r="M172" i="41"/>
  <c r="P172" i="41" s="1"/>
  <c r="M171" i="41"/>
  <c r="P171" i="41" s="1"/>
  <c r="M170" i="41"/>
  <c r="P170" i="41" s="1"/>
  <c r="M169" i="41"/>
  <c r="P169" i="41" s="1"/>
  <c r="M168" i="41"/>
  <c r="P168" i="41" s="1"/>
  <c r="M167" i="41"/>
  <c r="P167" i="41" s="1"/>
  <c r="M166" i="41"/>
  <c r="P166" i="41" s="1"/>
  <c r="M165" i="41"/>
  <c r="P165" i="41" s="1"/>
  <c r="M164" i="41"/>
  <c r="P164" i="41" s="1"/>
  <c r="M163" i="41"/>
  <c r="P163" i="41" s="1"/>
  <c r="M162" i="41"/>
  <c r="P162" i="41" s="1"/>
  <c r="M161" i="41"/>
  <c r="P161" i="41" s="1"/>
  <c r="M160" i="41"/>
  <c r="P160" i="41" s="1"/>
  <c r="M159" i="41"/>
  <c r="P159" i="41" s="1"/>
  <c r="M158" i="41"/>
  <c r="P158" i="41" s="1"/>
  <c r="M157" i="41"/>
  <c r="P157" i="41" s="1"/>
  <c r="M156" i="41"/>
  <c r="P156" i="41" s="1"/>
  <c r="M155" i="41"/>
  <c r="P155" i="41" s="1"/>
  <c r="M154" i="41"/>
  <c r="P154" i="41" s="1"/>
  <c r="M153" i="41"/>
  <c r="P153" i="41" s="1"/>
  <c r="M152" i="41"/>
  <c r="P152" i="41" s="1"/>
  <c r="M151" i="41"/>
  <c r="P151" i="41" s="1"/>
  <c r="M150" i="41"/>
  <c r="P150" i="41" s="1"/>
  <c r="M149" i="41"/>
  <c r="P149" i="41" s="1"/>
  <c r="M148" i="41"/>
  <c r="P148" i="41" s="1"/>
  <c r="M147" i="41"/>
  <c r="P147" i="41" s="1"/>
  <c r="M146" i="41"/>
  <c r="P146" i="41" s="1"/>
  <c r="M145" i="41"/>
  <c r="P145" i="41" s="1"/>
  <c r="M144" i="41"/>
  <c r="P144" i="41" s="1"/>
  <c r="M143" i="41"/>
  <c r="P143" i="41" s="1"/>
  <c r="M142" i="41"/>
  <c r="P142" i="41" s="1"/>
  <c r="M141" i="41"/>
  <c r="P141" i="41" s="1"/>
  <c r="M140" i="41"/>
  <c r="P140" i="41" s="1"/>
  <c r="M139" i="41"/>
  <c r="P139" i="41" s="1"/>
  <c r="M138" i="41"/>
  <c r="P138" i="41" s="1"/>
  <c r="M137" i="41"/>
  <c r="P137" i="41" s="1"/>
  <c r="M136" i="41"/>
  <c r="P136" i="41" s="1"/>
  <c r="M135" i="41"/>
  <c r="P135" i="41" s="1"/>
  <c r="M134" i="41"/>
  <c r="P134" i="41" s="1"/>
  <c r="M133" i="41"/>
  <c r="P133" i="41" s="1"/>
  <c r="M132" i="41"/>
  <c r="P132" i="41" s="1"/>
  <c r="M131" i="41"/>
  <c r="P131" i="41" s="1"/>
  <c r="M130" i="41"/>
  <c r="P130" i="41" s="1"/>
  <c r="M129" i="41"/>
  <c r="P129" i="41" s="1"/>
  <c r="M128" i="41"/>
  <c r="P128" i="41" s="1"/>
  <c r="M127" i="41"/>
  <c r="P127" i="41" s="1"/>
  <c r="M126" i="41"/>
  <c r="P126" i="41" s="1"/>
  <c r="M125" i="41"/>
  <c r="P125" i="41" s="1"/>
  <c r="M124" i="41"/>
  <c r="P124" i="41" s="1"/>
  <c r="M123" i="41"/>
  <c r="P123" i="41" s="1"/>
  <c r="M122" i="41"/>
  <c r="P122" i="41" s="1"/>
  <c r="M121" i="41"/>
  <c r="P121" i="41" s="1"/>
  <c r="M120" i="41"/>
  <c r="P120" i="41" s="1"/>
  <c r="M119" i="41"/>
  <c r="P119" i="41" s="1"/>
  <c r="M118" i="41"/>
  <c r="P118" i="41" s="1"/>
  <c r="M117" i="41"/>
  <c r="P117" i="41" s="1"/>
  <c r="M116" i="41"/>
  <c r="P116" i="41" s="1"/>
  <c r="M115" i="41"/>
  <c r="P115" i="41" s="1"/>
  <c r="M114" i="41"/>
  <c r="P114" i="41" s="1"/>
  <c r="M113" i="41"/>
  <c r="P113" i="41" s="1"/>
  <c r="M112" i="41"/>
  <c r="P112" i="41" s="1"/>
  <c r="M111" i="41"/>
  <c r="P111" i="41" s="1"/>
  <c r="M110" i="41"/>
  <c r="P110" i="41" s="1"/>
  <c r="M109" i="41"/>
  <c r="P109" i="41" s="1"/>
  <c r="M108" i="41"/>
  <c r="P108" i="41" s="1"/>
  <c r="M107" i="41"/>
  <c r="P107" i="41" s="1"/>
  <c r="M106" i="41"/>
  <c r="P106" i="41" s="1"/>
  <c r="M105" i="41"/>
  <c r="P105" i="41" s="1"/>
  <c r="M104" i="41"/>
  <c r="P104" i="41" s="1"/>
  <c r="M103" i="41"/>
  <c r="P103" i="41" s="1"/>
  <c r="M102" i="41"/>
  <c r="P102" i="41" s="1"/>
  <c r="M101" i="41"/>
  <c r="P101" i="41" s="1"/>
  <c r="M100" i="41"/>
  <c r="P100" i="41" s="1"/>
  <c r="M99" i="41"/>
  <c r="P99" i="41" s="1"/>
  <c r="M98" i="41"/>
  <c r="P98" i="41" s="1"/>
  <c r="M97" i="41"/>
  <c r="P97" i="41" s="1"/>
  <c r="M96" i="41"/>
  <c r="P96" i="41" s="1"/>
  <c r="M95" i="41"/>
  <c r="P95" i="41" s="1"/>
  <c r="M94" i="41"/>
  <c r="P94" i="41" s="1"/>
  <c r="M93" i="41"/>
  <c r="P93" i="41" s="1"/>
  <c r="M92" i="41"/>
  <c r="P92" i="41" s="1"/>
  <c r="M91" i="41"/>
  <c r="P91" i="41" s="1"/>
  <c r="M90" i="41"/>
  <c r="P90" i="41" s="1"/>
  <c r="M89" i="41"/>
  <c r="P89" i="41" s="1"/>
  <c r="M88" i="41"/>
  <c r="P88" i="41" s="1"/>
  <c r="M87" i="41"/>
  <c r="P87" i="41" s="1"/>
  <c r="M86" i="41"/>
  <c r="P86" i="41" s="1"/>
  <c r="M85" i="41"/>
  <c r="P85" i="41" s="1"/>
  <c r="M84" i="41"/>
  <c r="P84" i="41" s="1"/>
  <c r="M83" i="41"/>
  <c r="P83" i="41" s="1"/>
  <c r="M82" i="41"/>
  <c r="P82" i="41" s="1"/>
  <c r="M81" i="41"/>
  <c r="P81" i="41" s="1"/>
  <c r="M80" i="41"/>
  <c r="P80" i="41" s="1"/>
  <c r="M79" i="41"/>
  <c r="P79" i="41" s="1"/>
  <c r="M78" i="41"/>
  <c r="P78" i="41" s="1"/>
  <c r="M77" i="41"/>
  <c r="P77" i="41" s="1"/>
  <c r="M76" i="41"/>
  <c r="P76" i="41" s="1"/>
  <c r="M75" i="41"/>
  <c r="P75" i="41" s="1"/>
  <c r="M74" i="41"/>
  <c r="P74" i="41" s="1"/>
  <c r="M73" i="41"/>
  <c r="P73" i="41" s="1"/>
  <c r="M72" i="41"/>
  <c r="P72" i="41" s="1"/>
  <c r="M71" i="41"/>
  <c r="P71" i="41" s="1"/>
  <c r="M70" i="41"/>
  <c r="P70" i="41" s="1"/>
  <c r="M69" i="41"/>
  <c r="P69" i="41" s="1"/>
  <c r="M68" i="41"/>
  <c r="P68" i="41" s="1"/>
  <c r="M67" i="41"/>
  <c r="P67" i="41" s="1"/>
  <c r="M66" i="41"/>
  <c r="P66" i="41" s="1"/>
  <c r="M65" i="41"/>
  <c r="P65" i="41" s="1"/>
  <c r="M64" i="41"/>
  <c r="P64" i="41" s="1"/>
  <c r="M63" i="41"/>
  <c r="P63" i="41" s="1"/>
  <c r="M62" i="41"/>
  <c r="P62" i="41" s="1"/>
  <c r="M61" i="41"/>
  <c r="P61" i="41" s="1"/>
  <c r="M60" i="41"/>
  <c r="P60" i="41" s="1"/>
  <c r="M59" i="41"/>
  <c r="P59" i="41" s="1"/>
  <c r="M58" i="41"/>
  <c r="P58" i="41" s="1"/>
  <c r="M57" i="41"/>
  <c r="P57" i="41" s="1"/>
  <c r="M56" i="41"/>
  <c r="P56" i="41" s="1"/>
  <c r="M55" i="41"/>
  <c r="P55" i="41" s="1"/>
  <c r="M54" i="41"/>
  <c r="P54" i="41" s="1"/>
  <c r="M53" i="41"/>
  <c r="P53" i="41" s="1"/>
  <c r="M52" i="41"/>
  <c r="P52" i="41" s="1"/>
  <c r="M51" i="41"/>
  <c r="P51" i="41" s="1"/>
  <c r="M50" i="41"/>
  <c r="P50" i="41" s="1"/>
  <c r="M49" i="41"/>
  <c r="P49" i="41" s="1"/>
  <c r="M48" i="41"/>
  <c r="P48" i="41" s="1"/>
  <c r="M47" i="41"/>
  <c r="P47" i="41" s="1"/>
  <c r="M46" i="41"/>
  <c r="P46" i="41" s="1"/>
  <c r="M45" i="41"/>
  <c r="P45" i="41" s="1"/>
  <c r="M44" i="41"/>
  <c r="P44" i="41" s="1"/>
  <c r="M43" i="41"/>
  <c r="P43" i="41" s="1"/>
  <c r="M42" i="41"/>
  <c r="P42" i="41" s="1"/>
  <c r="M41" i="41"/>
  <c r="P41" i="41" s="1"/>
  <c r="M40" i="41"/>
  <c r="P40" i="41" s="1"/>
  <c r="M39" i="41"/>
  <c r="P39" i="41" s="1"/>
  <c r="M38" i="41"/>
  <c r="P38" i="41" s="1"/>
  <c r="M37" i="41"/>
  <c r="P37" i="41" s="1"/>
  <c r="M36" i="41"/>
  <c r="P36" i="41" s="1"/>
  <c r="M35" i="41"/>
  <c r="P35" i="41" s="1"/>
  <c r="M34" i="41"/>
  <c r="P34" i="41" s="1"/>
  <c r="M33" i="41"/>
  <c r="P33" i="41" s="1"/>
  <c r="M32" i="41"/>
  <c r="P32" i="41" s="1"/>
  <c r="M31" i="41"/>
  <c r="P31" i="41" s="1"/>
  <c r="M30" i="41"/>
  <c r="P30" i="41" s="1"/>
  <c r="M29" i="41"/>
  <c r="P29" i="41" s="1"/>
  <c r="M28" i="41"/>
  <c r="P28" i="41" s="1"/>
  <c r="M27" i="41"/>
  <c r="P27" i="41" s="1"/>
  <c r="M26" i="41"/>
  <c r="P26" i="41" s="1"/>
  <c r="M25" i="41"/>
  <c r="P25" i="41" s="1"/>
  <c r="M24" i="41"/>
  <c r="P24" i="41" s="1"/>
  <c r="M23" i="41"/>
  <c r="P23" i="41" s="1"/>
  <c r="M22" i="41"/>
  <c r="P22" i="41" s="1"/>
  <c r="M21" i="41"/>
  <c r="P21" i="41" s="1"/>
  <c r="M20" i="41"/>
  <c r="P20" i="41" s="1"/>
  <c r="M19" i="41"/>
  <c r="P19" i="41" s="1"/>
  <c r="M18" i="41"/>
  <c r="P18" i="41" s="1"/>
  <c r="M17" i="41"/>
  <c r="P17" i="41" s="1"/>
  <c r="M16" i="41"/>
  <c r="P16" i="41" s="1"/>
  <c r="M15" i="41"/>
  <c r="P15" i="41" s="1"/>
  <c r="M14" i="41"/>
  <c r="P14" i="41" s="1"/>
  <c r="M13" i="41"/>
  <c r="P13" i="41" s="1"/>
  <c r="M12" i="41"/>
  <c r="P12" i="41" s="1"/>
  <c r="M11" i="41"/>
  <c r="P11" i="41" s="1"/>
  <c r="M10" i="41"/>
  <c r="M9" i="41"/>
  <c r="D299" i="26"/>
  <c r="V6" i="6"/>
  <c r="V9" i="6" s="1"/>
  <c r="J280" i="26"/>
  <c r="G195" i="38"/>
  <c r="F195" i="38"/>
  <c r="E195" i="38"/>
  <c r="H194" i="38"/>
  <c r="H193" i="38"/>
  <c r="H192" i="38"/>
  <c r="H191" i="38"/>
  <c r="H190" i="38"/>
  <c r="H189" i="38"/>
  <c r="H188" i="38"/>
  <c r="H187" i="38"/>
  <c r="H186" i="38"/>
  <c r="H185" i="38"/>
  <c r="H184" i="38"/>
  <c r="H183" i="38"/>
  <c r="H182" i="38"/>
  <c r="H181" i="38"/>
  <c r="H180" i="38"/>
  <c r="H179" i="38"/>
  <c r="H178" i="38"/>
  <c r="H177" i="38"/>
  <c r="H176" i="38"/>
  <c r="H175" i="38"/>
  <c r="H174" i="38"/>
  <c r="H173" i="38"/>
  <c r="H172" i="38"/>
  <c r="H171" i="38"/>
  <c r="H170" i="38"/>
  <c r="H169" i="38"/>
  <c r="H168" i="38"/>
  <c r="H167" i="38"/>
  <c r="H166" i="38"/>
  <c r="H165" i="38"/>
  <c r="H164" i="38"/>
  <c r="H163" i="38"/>
  <c r="H162" i="38"/>
  <c r="H161" i="38"/>
  <c r="H160" i="38"/>
  <c r="H159" i="38"/>
  <c r="H158" i="38"/>
  <c r="H157" i="38"/>
  <c r="H156" i="38"/>
  <c r="H155" i="38"/>
  <c r="H154" i="38"/>
  <c r="H153" i="38"/>
  <c r="H152" i="38"/>
  <c r="H151" i="38"/>
  <c r="H150" i="38"/>
  <c r="H149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34" i="38"/>
  <c r="H133" i="38"/>
  <c r="H132" i="38"/>
  <c r="H131" i="38"/>
  <c r="H130" i="38"/>
  <c r="H129" i="38"/>
  <c r="H128" i="38"/>
  <c r="H127" i="38"/>
  <c r="H126" i="38"/>
  <c r="H125" i="38"/>
  <c r="H124" i="38"/>
  <c r="H123" i="38"/>
  <c r="H122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K2" i="38"/>
  <c r="K4" i="38" s="1"/>
  <c r="H4" i="38"/>
  <c r="H3" i="38"/>
  <c r="H2" i="38"/>
  <c r="I214" i="26"/>
  <c r="I83" i="26"/>
  <c r="I119" i="26"/>
  <c r="I196" i="26"/>
  <c r="I204" i="26"/>
  <c r="I95" i="26"/>
  <c r="I12" i="26"/>
  <c r="I60" i="26"/>
  <c r="I30" i="26"/>
  <c r="I183" i="26"/>
  <c r="I132" i="26"/>
  <c r="I182" i="26"/>
  <c r="I162" i="26"/>
  <c r="I274" i="26"/>
  <c r="I20" i="26"/>
  <c r="I148" i="26"/>
  <c r="I19" i="26"/>
  <c r="I178" i="26"/>
  <c r="I34" i="26"/>
  <c r="I209" i="26"/>
  <c r="I54" i="26"/>
  <c r="I59" i="26"/>
  <c r="I93" i="26"/>
  <c r="I134" i="26"/>
  <c r="I157" i="26"/>
  <c r="I175" i="26"/>
  <c r="I190" i="26"/>
  <c r="I172" i="26"/>
  <c r="I236" i="26"/>
  <c r="I290" i="26"/>
  <c r="I226" i="26"/>
  <c r="I201" i="26"/>
  <c r="I185" i="26"/>
  <c r="I193" i="26"/>
  <c r="I228" i="26"/>
  <c r="I224" i="26"/>
  <c r="I116" i="26"/>
  <c r="I152" i="26"/>
  <c r="I151" i="26"/>
  <c r="I120" i="26"/>
  <c r="I136" i="26"/>
  <c r="I122" i="26"/>
  <c r="I243" i="26"/>
  <c r="I159" i="26"/>
  <c r="I85" i="26"/>
  <c r="I284" i="26"/>
  <c r="I37" i="26"/>
  <c r="I127" i="26"/>
  <c r="I135" i="26"/>
  <c r="I166" i="26"/>
  <c r="I96" i="26"/>
  <c r="I63" i="26"/>
  <c r="I43" i="26"/>
  <c r="I46" i="26"/>
  <c r="I198" i="26"/>
  <c r="I81" i="26"/>
  <c r="I130" i="26"/>
  <c r="I160" i="26"/>
  <c r="I118" i="26"/>
  <c r="I257" i="26"/>
  <c r="I42" i="26"/>
  <c r="I86" i="26"/>
  <c r="I44" i="26"/>
  <c r="I170" i="26"/>
  <c r="I65" i="26"/>
  <c r="I253" i="26"/>
  <c r="I298" i="26"/>
  <c r="K304" i="37"/>
  <c r="J304" i="37"/>
  <c r="I304" i="37"/>
  <c r="H304" i="37"/>
  <c r="G304" i="37"/>
  <c r="F304" i="37"/>
  <c r="E304" i="37"/>
  <c r="D304" i="37"/>
  <c r="L303" i="37"/>
  <c r="O303" i="37" s="1"/>
  <c r="L302" i="37"/>
  <c r="O302" i="37" s="1"/>
  <c r="L301" i="37"/>
  <c r="O301" i="37" s="1"/>
  <c r="L300" i="37"/>
  <c r="O300" i="37" s="1"/>
  <c r="L299" i="37"/>
  <c r="O299" i="37" s="1"/>
  <c r="L298" i="37"/>
  <c r="O298" i="37" s="1"/>
  <c r="L297" i="37"/>
  <c r="O297" i="37" s="1"/>
  <c r="L296" i="37"/>
  <c r="O296" i="37" s="1"/>
  <c r="L295" i="37"/>
  <c r="O295" i="37" s="1"/>
  <c r="L294" i="37"/>
  <c r="O294" i="37" s="1"/>
  <c r="L293" i="37"/>
  <c r="O293" i="37" s="1"/>
  <c r="L292" i="37"/>
  <c r="O292" i="37" s="1"/>
  <c r="L291" i="37"/>
  <c r="O291" i="37" s="1"/>
  <c r="L290" i="37"/>
  <c r="O290" i="37" s="1"/>
  <c r="L289" i="37"/>
  <c r="O289" i="37" s="1"/>
  <c r="L288" i="37"/>
  <c r="O288" i="37" s="1"/>
  <c r="L287" i="37"/>
  <c r="O287" i="37" s="1"/>
  <c r="L286" i="37"/>
  <c r="O286" i="37" s="1"/>
  <c r="L285" i="37"/>
  <c r="O285" i="37" s="1"/>
  <c r="L284" i="37"/>
  <c r="O284" i="37" s="1"/>
  <c r="L283" i="37"/>
  <c r="O283" i="37" s="1"/>
  <c r="L282" i="37"/>
  <c r="O282" i="37" s="1"/>
  <c r="L281" i="37"/>
  <c r="O281" i="37" s="1"/>
  <c r="L280" i="37"/>
  <c r="O280" i="37" s="1"/>
  <c r="L279" i="37"/>
  <c r="O279" i="37" s="1"/>
  <c r="L278" i="37"/>
  <c r="O278" i="37" s="1"/>
  <c r="L277" i="37"/>
  <c r="O277" i="37" s="1"/>
  <c r="L276" i="37"/>
  <c r="O276" i="37" s="1"/>
  <c r="L275" i="37"/>
  <c r="O275" i="37" s="1"/>
  <c r="L274" i="37"/>
  <c r="O274" i="37" s="1"/>
  <c r="L273" i="37"/>
  <c r="O273" i="37" s="1"/>
  <c r="L272" i="37"/>
  <c r="O272" i="37" s="1"/>
  <c r="L271" i="37"/>
  <c r="O271" i="37" s="1"/>
  <c r="L270" i="37"/>
  <c r="O270" i="37" s="1"/>
  <c r="L269" i="37"/>
  <c r="O269" i="37" s="1"/>
  <c r="L268" i="37"/>
  <c r="O268" i="37" s="1"/>
  <c r="L267" i="37"/>
  <c r="O267" i="37" s="1"/>
  <c r="L266" i="37"/>
  <c r="O266" i="37" s="1"/>
  <c r="L265" i="37"/>
  <c r="O265" i="37" s="1"/>
  <c r="L264" i="37"/>
  <c r="O264" i="37" s="1"/>
  <c r="L263" i="37"/>
  <c r="O263" i="37" s="1"/>
  <c r="L262" i="37"/>
  <c r="O262" i="37" s="1"/>
  <c r="L261" i="37"/>
  <c r="O261" i="37" s="1"/>
  <c r="L260" i="37"/>
  <c r="O260" i="37" s="1"/>
  <c r="L259" i="37"/>
  <c r="O259" i="37" s="1"/>
  <c r="L258" i="37"/>
  <c r="O258" i="37" s="1"/>
  <c r="L257" i="37"/>
  <c r="O257" i="37" s="1"/>
  <c r="L256" i="37"/>
  <c r="O256" i="37" s="1"/>
  <c r="L255" i="37"/>
  <c r="O255" i="37" s="1"/>
  <c r="L254" i="37"/>
  <c r="O254" i="37" s="1"/>
  <c r="L253" i="37"/>
  <c r="O253" i="37" s="1"/>
  <c r="L252" i="37"/>
  <c r="O252" i="37" s="1"/>
  <c r="L251" i="37"/>
  <c r="O251" i="37" s="1"/>
  <c r="L250" i="37"/>
  <c r="O250" i="37" s="1"/>
  <c r="L249" i="37"/>
  <c r="O249" i="37" s="1"/>
  <c r="L248" i="37"/>
  <c r="O248" i="37" s="1"/>
  <c r="L247" i="37"/>
  <c r="O247" i="37" s="1"/>
  <c r="L246" i="37"/>
  <c r="O246" i="37" s="1"/>
  <c r="L245" i="37"/>
  <c r="O245" i="37" s="1"/>
  <c r="L244" i="37"/>
  <c r="O244" i="37" s="1"/>
  <c r="L243" i="37"/>
  <c r="O243" i="37" s="1"/>
  <c r="L242" i="37"/>
  <c r="O242" i="37" s="1"/>
  <c r="L241" i="37"/>
  <c r="O241" i="37" s="1"/>
  <c r="L240" i="37"/>
  <c r="O240" i="37" s="1"/>
  <c r="L239" i="37"/>
  <c r="O239" i="37" s="1"/>
  <c r="L238" i="37"/>
  <c r="O238" i="37" s="1"/>
  <c r="L237" i="37"/>
  <c r="O237" i="37" s="1"/>
  <c r="L236" i="37"/>
  <c r="O236" i="37" s="1"/>
  <c r="L235" i="37"/>
  <c r="O235" i="37" s="1"/>
  <c r="L234" i="37"/>
  <c r="O234" i="37" s="1"/>
  <c r="L233" i="37"/>
  <c r="O233" i="37" s="1"/>
  <c r="L232" i="37"/>
  <c r="O232" i="37" s="1"/>
  <c r="L231" i="37"/>
  <c r="O231" i="37" s="1"/>
  <c r="L230" i="37"/>
  <c r="O230" i="37" s="1"/>
  <c r="L229" i="37"/>
  <c r="O229" i="37" s="1"/>
  <c r="L228" i="37"/>
  <c r="O228" i="37" s="1"/>
  <c r="L227" i="37"/>
  <c r="O227" i="37" s="1"/>
  <c r="L226" i="37"/>
  <c r="O226" i="37" s="1"/>
  <c r="L225" i="37"/>
  <c r="O225" i="37" s="1"/>
  <c r="L224" i="37"/>
  <c r="O224" i="37" s="1"/>
  <c r="L223" i="37"/>
  <c r="O223" i="37" s="1"/>
  <c r="L222" i="37"/>
  <c r="O222" i="37" s="1"/>
  <c r="L221" i="37"/>
  <c r="O221" i="37" s="1"/>
  <c r="L220" i="37"/>
  <c r="O220" i="37" s="1"/>
  <c r="L219" i="37"/>
  <c r="O219" i="37" s="1"/>
  <c r="L218" i="37"/>
  <c r="O218" i="37" s="1"/>
  <c r="L217" i="37"/>
  <c r="O217" i="37" s="1"/>
  <c r="L216" i="37"/>
  <c r="O216" i="37" s="1"/>
  <c r="L215" i="37"/>
  <c r="O215" i="37" s="1"/>
  <c r="L214" i="37"/>
  <c r="O214" i="37" s="1"/>
  <c r="L213" i="37"/>
  <c r="O213" i="37" s="1"/>
  <c r="L212" i="37"/>
  <c r="O212" i="37" s="1"/>
  <c r="L211" i="37"/>
  <c r="O211" i="37" s="1"/>
  <c r="L210" i="37"/>
  <c r="O210" i="37" s="1"/>
  <c r="L209" i="37"/>
  <c r="O209" i="37" s="1"/>
  <c r="L208" i="37"/>
  <c r="O208" i="37" s="1"/>
  <c r="L207" i="37"/>
  <c r="O207" i="37" s="1"/>
  <c r="L206" i="37"/>
  <c r="O206" i="37" s="1"/>
  <c r="L205" i="37"/>
  <c r="O205" i="37" s="1"/>
  <c r="L204" i="37"/>
  <c r="O204" i="37" s="1"/>
  <c r="L203" i="37"/>
  <c r="O203" i="37" s="1"/>
  <c r="L202" i="37"/>
  <c r="O202" i="37" s="1"/>
  <c r="L201" i="37"/>
  <c r="O201" i="37" s="1"/>
  <c r="L200" i="37"/>
  <c r="O200" i="37" s="1"/>
  <c r="L199" i="37"/>
  <c r="O199" i="37" s="1"/>
  <c r="L198" i="37"/>
  <c r="O198" i="37" s="1"/>
  <c r="L197" i="37"/>
  <c r="O197" i="37" s="1"/>
  <c r="L196" i="37"/>
  <c r="O196" i="37" s="1"/>
  <c r="L195" i="37"/>
  <c r="O195" i="37" s="1"/>
  <c r="L194" i="37"/>
  <c r="O194" i="37" s="1"/>
  <c r="L193" i="37"/>
  <c r="O193" i="37" s="1"/>
  <c r="L192" i="37"/>
  <c r="O192" i="37" s="1"/>
  <c r="L191" i="37"/>
  <c r="O191" i="37" s="1"/>
  <c r="L190" i="37"/>
  <c r="O190" i="37" s="1"/>
  <c r="L189" i="37"/>
  <c r="O189" i="37" s="1"/>
  <c r="L188" i="37"/>
  <c r="O188" i="37" s="1"/>
  <c r="L187" i="37"/>
  <c r="O187" i="37" s="1"/>
  <c r="L186" i="37"/>
  <c r="O186" i="37" s="1"/>
  <c r="L185" i="37"/>
  <c r="O185" i="37" s="1"/>
  <c r="L184" i="37"/>
  <c r="O184" i="37" s="1"/>
  <c r="L183" i="37"/>
  <c r="O183" i="37" s="1"/>
  <c r="L182" i="37"/>
  <c r="O182" i="37" s="1"/>
  <c r="L181" i="37"/>
  <c r="O181" i="37" s="1"/>
  <c r="L180" i="37"/>
  <c r="O180" i="37" s="1"/>
  <c r="L179" i="37"/>
  <c r="O179" i="37" s="1"/>
  <c r="L178" i="37"/>
  <c r="O178" i="37" s="1"/>
  <c r="L177" i="37"/>
  <c r="O177" i="37" s="1"/>
  <c r="L176" i="37"/>
  <c r="O176" i="37" s="1"/>
  <c r="L175" i="37"/>
  <c r="O175" i="37" s="1"/>
  <c r="L174" i="37"/>
  <c r="O174" i="37" s="1"/>
  <c r="L173" i="37"/>
  <c r="O173" i="37" s="1"/>
  <c r="L172" i="37"/>
  <c r="O172" i="37" s="1"/>
  <c r="L171" i="37"/>
  <c r="O171" i="37" s="1"/>
  <c r="L170" i="37"/>
  <c r="O170" i="37" s="1"/>
  <c r="L169" i="37"/>
  <c r="O169" i="37" s="1"/>
  <c r="L168" i="37"/>
  <c r="O168" i="37" s="1"/>
  <c r="L167" i="37"/>
  <c r="O167" i="37" s="1"/>
  <c r="L166" i="37"/>
  <c r="O166" i="37" s="1"/>
  <c r="L165" i="37"/>
  <c r="O165" i="37" s="1"/>
  <c r="L164" i="37"/>
  <c r="O164" i="37" s="1"/>
  <c r="L163" i="37"/>
  <c r="O163" i="37"/>
  <c r="L162" i="37"/>
  <c r="O162" i="37" s="1"/>
  <c r="L161" i="37"/>
  <c r="O161" i="37" s="1"/>
  <c r="L160" i="37"/>
  <c r="O160" i="37" s="1"/>
  <c r="L159" i="37"/>
  <c r="O159" i="37" s="1"/>
  <c r="L158" i="37"/>
  <c r="O158" i="37" s="1"/>
  <c r="L157" i="37"/>
  <c r="O157" i="37" s="1"/>
  <c r="L156" i="37"/>
  <c r="O156" i="37" s="1"/>
  <c r="L155" i="37"/>
  <c r="O155" i="37" s="1"/>
  <c r="L154" i="37"/>
  <c r="O154" i="37" s="1"/>
  <c r="L153" i="37"/>
  <c r="O153" i="37" s="1"/>
  <c r="L152" i="37"/>
  <c r="O152" i="37" s="1"/>
  <c r="L151" i="37"/>
  <c r="O151" i="37" s="1"/>
  <c r="L150" i="37"/>
  <c r="O150" i="37" s="1"/>
  <c r="L149" i="37"/>
  <c r="O149" i="37" s="1"/>
  <c r="L148" i="37"/>
  <c r="O148" i="37" s="1"/>
  <c r="L147" i="37"/>
  <c r="O147" i="37" s="1"/>
  <c r="L146" i="37"/>
  <c r="O146" i="37" s="1"/>
  <c r="L145" i="37"/>
  <c r="O145" i="37" s="1"/>
  <c r="L144" i="37"/>
  <c r="O144" i="37" s="1"/>
  <c r="L143" i="37"/>
  <c r="O143" i="37" s="1"/>
  <c r="L142" i="37"/>
  <c r="O142" i="37" s="1"/>
  <c r="L141" i="37"/>
  <c r="O141" i="37" s="1"/>
  <c r="L140" i="37"/>
  <c r="O140" i="37" s="1"/>
  <c r="L139" i="37"/>
  <c r="O139" i="37" s="1"/>
  <c r="L138" i="37"/>
  <c r="O138" i="37" s="1"/>
  <c r="L137" i="37"/>
  <c r="O137" i="37" s="1"/>
  <c r="L136" i="37"/>
  <c r="O136" i="37" s="1"/>
  <c r="L135" i="37"/>
  <c r="O135" i="37" s="1"/>
  <c r="L134" i="37"/>
  <c r="O134" i="37" s="1"/>
  <c r="L133" i="37"/>
  <c r="O133" i="37" s="1"/>
  <c r="L132" i="37"/>
  <c r="O132" i="37" s="1"/>
  <c r="L131" i="37"/>
  <c r="O131" i="37" s="1"/>
  <c r="L130" i="37"/>
  <c r="O130" i="37" s="1"/>
  <c r="L129" i="37"/>
  <c r="O129" i="37" s="1"/>
  <c r="L128" i="37"/>
  <c r="O128" i="37" s="1"/>
  <c r="L127" i="37"/>
  <c r="O127" i="37"/>
  <c r="L126" i="37"/>
  <c r="O126" i="37" s="1"/>
  <c r="L125" i="37"/>
  <c r="O125" i="37" s="1"/>
  <c r="L124" i="37"/>
  <c r="O124" i="37" s="1"/>
  <c r="L123" i="37"/>
  <c r="O123" i="37" s="1"/>
  <c r="L122" i="37"/>
  <c r="O122" i="37" s="1"/>
  <c r="L121" i="37"/>
  <c r="O121" i="37" s="1"/>
  <c r="L120" i="37"/>
  <c r="O120" i="37" s="1"/>
  <c r="L119" i="37"/>
  <c r="O119" i="37" s="1"/>
  <c r="L118" i="37"/>
  <c r="O118" i="37" s="1"/>
  <c r="L117" i="37"/>
  <c r="O117" i="37" s="1"/>
  <c r="L116" i="37"/>
  <c r="O116" i="37" s="1"/>
  <c r="L115" i="37"/>
  <c r="O115" i="37"/>
  <c r="L114" i="37"/>
  <c r="O114" i="37" s="1"/>
  <c r="L113" i="37"/>
  <c r="O113" i="37" s="1"/>
  <c r="L112" i="37"/>
  <c r="O112" i="37" s="1"/>
  <c r="L111" i="37"/>
  <c r="O111" i="37" s="1"/>
  <c r="L110" i="37"/>
  <c r="O110" i="37" s="1"/>
  <c r="L109" i="37"/>
  <c r="O109" i="37" s="1"/>
  <c r="L108" i="37"/>
  <c r="O108" i="37" s="1"/>
  <c r="L107" i="37"/>
  <c r="O107" i="37" s="1"/>
  <c r="L106" i="37"/>
  <c r="O106" i="37" s="1"/>
  <c r="L105" i="37"/>
  <c r="O105" i="37" s="1"/>
  <c r="L104" i="37"/>
  <c r="O104" i="37" s="1"/>
  <c r="L103" i="37"/>
  <c r="O103" i="37" s="1"/>
  <c r="L102" i="37"/>
  <c r="O102" i="37" s="1"/>
  <c r="L101" i="37"/>
  <c r="O101" i="37" s="1"/>
  <c r="L100" i="37"/>
  <c r="O100" i="37" s="1"/>
  <c r="L99" i="37"/>
  <c r="O99" i="37"/>
  <c r="L98" i="37"/>
  <c r="O98" i="37" s="1"/>
  <c r="L97" i="37"/>
  <c r="O97" i="37" s="1"/>
  <c r="L96" i="37"/>
  <c r="O96" i="37" s="1"/>
  <c r="L95" i="37"/>
  <c r="O95" i="37" s="1"/>
  <c r="L94" i="37"/>
  <c r="O94" i="37" s="1"/>
  <c r="L93" i="37"/>
  <c r="O93" i="37" s="1"/>
  <c r="L92" i="37"/>
  <c r="O92" i="37" s="1"/>
  <c r="L91" i="37"/>
  <c r="O91" i="37" s="1"/>
  <c r="L90" i="37"/>
  <c r="O90" i="37" s="1"/>
  <c r="L89" i="37"/>
  <c r="O89" i="37" s="1"/>
  <c r="L88" i="37"/>
  <c r="O88" i="37" s="1"/>
  <c r="L87" i="37"/>
  <c r="O87" i="37" s="1"/>
  <c r="L86" i="37"/>
  <c r="O86" i="37" s="1"/>
  <c r="L85" i="37"/>
  <c r="O85" i="37" s="1"/>
  <c r="L84" i="37"/>
  <c r="O84" i="37" s="1"/>
  <c r="L83" i="37"/>
  <c r="O83" i="37" s="1"/>
  <c r="L82" i="37"/>
  <c r="O82" i="37" s="1"/>
  <c r="L81" i="37"/>
  <c r="O81" i="37" s="1"/>
  <c r="L80" i="37"/>
  <c r="O80" i="37" s="1"/>
  <c r="L79" i="37"/>
  <c r="O79" i="37" s="1"/>
  <c r="L78" i="37"/>
  <c r="O78" i="37" s="1"/>
  <c r="L77" i="37"/>
  <c r="O77" i="37" s="1"/>
  <c r="L76" i="37"/>
  <c r="O76" i="37" s="1"/>
  <c r="L75" i="37"/>
  <c r="O75" i="37" s="1"/>
  <c r="L74" i="37"/>
  <c r="O74" i="37" s="1"/>
  <c r="L73" i="37"/>
  <c r="O73" i="37" s="1"/>
  <c r="L72" i="37"/>
  <c r="O72" i="37" s="1"/>
  <c r="L71" i="37"/>
  <c r="O71" i="37" s="1"/>
  <c r="L70" i="37"/>
  <c r="O70" i="37" s="1"/>
  <c r="L69" i="37"/>
  <c r="O69" i="37" s="1"/>
  <c r="L68" i="37"/>
  <c r="O68" i="37" s="1"/>
  <c r="L67" i="37"/>
  <c r="O67" i="37" s="1"/>
  <c r="L66" i="37"/>
  <c r="O66" i="37" s="1"/>
  <c r="L65" i="37"/>
  <c r="O65" i="37" s="1"/>
  <c r="L64" i="37"/>
  <c r="O64" i="37" s="1"/>
  <c r="L63" i="37"/>
  <c r="O63" i="37" s="1"/>
  <c r="L62" i="37"/>
  <c r="O62" i="37" s="1"/>
  <c r="L61" i="37"/>
  <c r="O61" i="37" s="1"/>
  <c r="L60" i="37"/>
  <c r="O60" i="37" s="1"/>
  <c r="L59" i="37"/>
  <c r="O59" i="37" s="1"/>
  <c r="L58" i="37"/>
  <c r="O58" i="37" s="1"/>
  <c r="L57" i="37"/>
  <c r="O57" i="37" s="1"/>
  <c r="L56" i="37"/>
  <c r="O56" i="37" s="1"/>
  <c r="L55" i="37"/>
  <c r="O55" i="37" s="1"/>
  <c r="L54" i="37"/>
  <c r="O54" i="37" s="1"/>
  <c r="L53" i="37"/>
  <c r="O53" i="37" s="1"/>
  <c r="L52" i="37"/>
  <c r="O52" i="37" s="1"/>
  <c r="L51" i="37"/>
  <c r="O51" i="37"/>
  <c r="L50" i="37"/>
  <c r="O50" i="37" s="1"/>
  <c r="L49" i="37"/>
  <c r="O49" i="37" s="1"/>
  <c r="L48" i="37"/>
  <c r="O48" i="37" s="1"/>
  <c r="L47" i="37"/>
  <c r="O47" i="37"/>
  <c r="L46" i="37"/>
  <c r="O46" i="37" s="1"/>
  <c r="L45" i="37"/>
  <c r="O45" i="37" s="1"/>
  <c r="L44" i="37"/>
  <c r="O44" i="37" s="1"/>
  <c r="L43" i="37"/>
  <c r="O43" i="37" s="1"/>
  <c r="L42" i="37"/>
  <c r="O42" i="37" s="1"/>
  <c r="L41" i="37"/>
  <c r="O41" i="37" s="1"/>
  <c r="L40" i="37"/>
  <c r="O40" i="37" s="1"/>
  <c r="L39" i="37"/>
  <c r="O39" i="37" s="1"/>
  <c r="L38" i="37"/>
  <c r="O38" i="37" s="1"/>
  <c r="L37" i="37"/>
  <c r="O37" i="37" s="1"/>
  <c r="L36" i="37"/>
  <c r="O36" i="37" s="1"/>
  <c r="L35" i="37"/>
  <c r="O35" i="37" s="1"/>
  <c r="L34" i="37"/>
  <c r="O34" i="37" s="1"/>
  <c r="L33" i="37"/>
  <c r="O33" i="37" s="1"/>
  <c r="L32" i="37"/>
  <c r="O32" i="37" s="1"/>
  <c r="L31" i="37"/>
  <c r="O31" i="37" s="1"/>
  <c r="L30" i="37"/>
  <c r="O30" i="37" s="1"/>
  <c r="L29" i="37"/>
  <c r="O29" i="37" s="1"/>
  <c r="L28" i="37"/>
  <c r="O28" i="37" s="1"/>
  <c r="L27" i="37"/>
  <c r="O27" i="37" s="1"/>
  <c r="L26" i="37"/>
  <c r="O26" i="37" s="1"/>
  <c r="L25" i="37"/>
  <c r="O25" i="37" s="1"/>
  <c r="L24" i="37"/>
  <c r="O24" i="37" s="1"/>
  <c r="L23" i="37"/>
  <c r="O23" i="37" s="1"/>
  <c r="L22" i="37"/>
  <c r="O22" i="37" s="1"/>
  <c r="L21" i="37"/>
  <c r="O21" i="37" s="1"/>
  <c r="L20" i="37"/>
  <c r="O20" i="37" s="1"/>
  <c r="L19" i="37"/>
  <c r="O19" i="37" s="1"/>
  <c r="L18" i="37"/>
  <c r="O18" i="37" s="1"/>
  <c r="L17" i="37"/>
  <c r="O17" i="37" s="1"/>
  <c r="L16" i="37"/>
  <c r="O16" i="37"/>
  <c r="L15" i="37"/>
  <c r="O15" i="37" s="1"/>
  <c r="L14" i="37"/>
  <c r="O14" i="37" s="1"/>
  <c r="L13" i="37"/>
  <c r="O13" i="37" s="1"/>
  <c r="L12" i="37"/>
  <c r="O12" i="37" s="1"/>
  <c r="L11" i="37"/>
  <c r="O11" i="37" s="1"/>
  <c r="L10" i="37"/>
  <c r="O10" i="37" s="1"/>
  <c r="L9" i="37"/>
  <c r="I44" i="36"/>
  <c r="J44" i="36"/>
  <c r="D202" i="34"/>
  <c r="W6" i="6"/>
  <c r="W9" i="6" s="1"/>
  <c r="D36" i="32"/>
  <c r="C35" i="32"/>
  <c r="C19" i="32"/>
  <c r="C13" i="32"/>
  <c r="C5" i="32"/>
  <c r="G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5" i="28"/>
  <c r="M104" i="28"/>
  <c r="M103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M3" i="28"/>
  <c r="M2" i="28"/>
  <c r="F311" i="24"/>
  <c r="H311" i="24"/>
  <c r="I311" i="24"/>
  <c r="J298" i="26"/>
  <c r="J297" i="26"/>
  <c r="J296" i="26"/>
  <c r="J295" i="26"/>
  <c r="J294" i="26"/>
  <c r="J293" i="26"/>
  <c r="J292" i="26"/>
  <c r="J291" i="26"/>
  <c r="J290" i="26"/>
  <c r="J289" i="26"/>
  <c r="J288" i="26"/>
  <c r="J287" i="26"/>
  <c r="J286" i="26"/>
  <c r="J285" i="26"/>
  <c r="J284" i="26"/>
  <c r="J283" i="26"/>
  <c r="J282" i="26"/>
  <c r="J281" i="26"/>
  <c r="J279" i="26"/>
  <c r="J278" i="26"/>
  <c r="J277" i="26"/>
  <c r="J276" i="26"/>
  <c r="J275" i="26"/>
  <c r="J274" i="26"/>
  <c r="J273" i="26"/>
  <c r="J272" i="26"/>
  <c r="J271" i="26"/>
  <c r="J270" i="26"/>
  <c r="J269" i="26"/>
  <c r="J268" i="26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J254" i="26"/>
  <c r="J253" i="26"/>
  <c r="J252" i="26"/>
  <c r="J251" i="26"/>
  <c r="J250" i="26"/>
  <c r="J249" i="26"/>
  <c r="J248" i="26"/>
  <c r="J247" i="26"/>
  <c r="J246" i="26"/>
  <c r="J245" i="26"/>
  <c r="J244" i="26"/>
  <c r="J243" i="26"/>
  <c r="J242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J228" i="26"/>
  <c r="J227" i="26"/>
  <c r="J226" i="26"/>
  <c r="J225" i="26"/>
  <c r="J224" i="26"/>
  <c r="J223" i="26"/>
  <c r="J222" i="26"/>
  <c r="J221" i="26"/>
  <c r="J220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J206" i="26"/>
  <c r="J205" i="26"/>
  <c r="J204" i="26"/>
  <c r="J203" i="26"/>
  <c r="J202" i="26"/>
  <c r="J201" i="26"/>
  <c r="J200" i="26"/>
  <c r="J199" i="26"/>
  <c r="J198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J184" i="26"/>
  <c r="J183" i="26"/>
  <c r="J182" i="26"/>
  <c r="J181" i="26"/>
  <c r="J180" i="26"/>
  <c r="J179" i="26"/>
  <c r="J178" i="26"/>
  <c r="J177" i="26"/>
  <c r="J176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J162" i="26"/>
  <c r="J161" i="26"/>
  <c r="J160" i="26"/>
  <c r="J159" i="26"/>
  <c r="J158" i="26"/>
  <c r="J157" i="26"/>
  <c r="J156" i="26"/>
  <c r="J155" i="26"/>
  <c r="J154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J140" i="26"/>
  <c r="J139" i="26"/>
  <c r="J138" i="26"/>
  <c r="J137" i="26"/>
  <c r="J136" i="26"/>
  <c r="J135" i="26"/>
  <c r="J134" i="26"/>
  <c r="J133" i="26"/>
  <c r="J132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J118" i="26"/>
  <c r="J117" i="26"/>
  <c r="J116" i="26"/>
  <c r="J115" i="26"/>
  <c r="J114" i="26"/>
  <c r="J113" i="26"/>
  <c r="J112" i="26"/>
  <c r="J111" i="26"/>
  <c r="J110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J96" i="26"/>
  <c r="J95" i="26"/>
  <c r="J94" i="26"/>
  <c r="J93" i="26"/>
  <c r="J92" i="26"/>
  <c r="J91" i="26"/>
  <c r="J90" i="26"/>
  <c r="J89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I15" i="26"/>
  <c r="I125" i="26"/>
  <c r="I9" i="26"/>
  <c r="I110" i="26"/>
  <c r="I113" i="26"/>
  <c r="I199" i="26"/>
  <c r="I133" i="26"/>
  <c r="K133" i="26" s="1"/>
  <c r="I246" i="26"/>
  <c r="I73" i="26"/>
  <c r="I283" i="26"/>
  <c r="K283" i="26" s="1"/>
  <c r="I26" i="26"/>
  <c r="I271" i="26"/>
  <c r="I117" i="26"/>
  <c r="I279" i="26"/>
  <c r="I25" i="26"/>
  <c r="I51" i="26"/>
  <c r="I235" i="26"/>
  <c r="I220" i="26"/>
  <c r="I147" i="26"/>
  <c r="I75" i="26"/>
  <c r="I291" i="26"/>
  <c r="I89" i="26"/>
  <c r="I4" i="26"/>
  <c r="I102" i="26"/>
  <c r="I161" i="26"/>
  <c r="I137" i="26"/>
  <c r="I145" i="26"/>
  <c r="I71" i="26"/>
  <c r="I255" i="26"/>
  <c r="I205" i="26"/>
  <c r="I50" i="26"/>
  <c r="I222" i="26"/>
  <c r="I293" i="26"/>
  <c r="I173" i="26"/>
  <c r="I171" i="26"/>
  <c r="I169" i="26"/>
  <c r="I52" i="26"/>
  <c r="I238" i="26"/>
  <c r="I202" i="26"/>
  <c r="I23" i="26"/>
  <c r="I203" i="26"/>
  <c r="K203" i="26" s="1"/>
  <c r="I38" i="26"/>
  <c r="I197" i="26"/>
  <c r="K197" i="26" s="1"/>
  <c r="I223" i="26"/>
  <c r="I80" i="26"/>
  <c r="I74" i="26"/>
  <c r="I140" i="26"/>
  <c r="I99" i="26"/>
  <c r="I272" i="26"/>
  <c r="I210" i="26"/>
  <c r="I232" i="26"/>
  <c r="I13" i="26"/>
  <c r="I266" i="26"/>
  <c r="I216" i="26"/>
  <c r="I10" i="26"/>
  <c r="I256" i="26"/>
  <c r="I234" i="26"/>
  <c r="I105" i="26"/>
  <c r="I230" i="26"/>
  <c r="I121" i="26"/>
  <c r="I111" i="26"/>
  <c r="I168" i="26"/>
  <c r="I146" i="26"/>
  <c r="I292" i="26"/>
  <c r="I260" i="26"/>
  <c r="I192" i="26"/>
  <c r="I286" i="26"/>
  <c r="I241" i="26"/>
  <c r="I6" i="26"/>
  <c r="I174" i="26"/>
  <c r="K174" i="26" s="1"/>
  <c r="I97" i="26"/>
  <c r="I239" i="26"/>
  <c r="I229" i="26"/>
  <c r="I194" i="26"/>
  <c r="K194" i="26" s="1"/>
  <c r="I101" i="26"/>
  <c r="I177" i="26"/>
  <c r="I21" i="26"/>
  <c r="I142" i="26"/>
  <c r="I184" i="26"/>
  <c r="I208" i="26"/>
  <c r="I156" i="26"/>
  <c r="I165" i="26"/>
  <c r="I56" i="26"/>
  <c r="I247" i="26"/>
  <c r="I254" i="26"/>
  <c r="I27" i="26"/>
  <c r="I269" i="26"/>
  <c r="I62" i="26"/>
  <c r="I41" i="26"/>
  <c r="I84" i="26"/>
  <c r="I16" i="26"/>
  <c r="I68" i="26"/>
  <c r="I82" i="26"/>
  <c r="I180" i="26"/>
  <c r="I128" i="26"/>
  <c r="I221" i="26"/>
  <c r="I24" i="26"/>
  <c r="I7" i="26"/>
  <c r="I49" i="26"/>
  <c r="I207" i="26"/>
  <c r="I217" i="26"/>
  <c r="I273" i="26"/>
  <c r="I219" i="26"/>
  <c r="I154" i="26"/>
  <c r="I131" i="26"/>
  <c r="I98" i="26"/>
  <c r="I285" i="26"/>
  <c r="B14" i="27"/>
  <c r="B16" i="27" s="1"/>
  <c r="C7" i="27"/>
  <c r="C6" i="27"/>
  <c r="C5" i="27"/>
  <c r="F7" i="16"/>
  <c r="Y6" i="6"/>
  <c r="Y9" i="6" s="1"/>
  <c r="B27" i="15"/>
  <c r="Y13" i="6"/>
  <c r="Y19" i="6"/>
  <c r="Y21" i="6" s="1"/>
  <c r="I48" i="26"/>
  <c r="I287" i="26"/>
  <c r="I252" i="26"/>
  <c r="I158" i="26"/>
  <c r="I261" i="26"/>
  <c r="I164" i="26"/>
  <c r="I289" i="26"/>
  <c r="I35" i="26"/>
  <c r="I5" i="26"/>
  <c r="I278" i="26"/>
  <c r="I106" i="26"/>
  <c r="I211" i="26"/>
  <c r="I108" i="26"/>
  <c r="I187" i="26"/>
  <c r="I295" i="26"/>
  <c r="I126" i="26"/>
  <c r="I206" i="26"/>
  <c r="I195" i="26"/>
  <c r="I244" i="26"/>
  <c r="I189" i="26"/>
  <c r="I103" i="26"/>
  <c r="I55" i="26"/>
  <c r="I281" i="26"/>
  <c r="I66" i="26"/>
  <c r="I22" i="26"/>
  <c r="I109" i="26"/>
  <c r="I107" i="26"/>
  <c r="I264" i="26"/>
  <c r="I245" i="26"/>
  <c r="I267" i="26"/>
  <c r="I297" i="26"/>
  <c r="I167" i="26"/>
  <c r="I45" i="26"/>
  <c r="I251" i="26"/>
  <c r="I47" i="26"/>
  <c r="I282" i="26"/>
  <c r="I179" i="26"/>
  <c r="I61" i="26"/>
  <c r="I124" i="26"/>
  <c r="I36" i="26"/>
  <c r="I33" i="26"/>
  <c r="I139" i="26"/>
  <c r="I94" i="26"/>
  <c r="I240" i="26"/>
  <c r="I92" i="26"/>
  <c r="I250" i="26"/>
  <c r="I233" i="26"/>
  <c r="I104" i="26"/>
  <c r="I8" i="26"/>
  <c r="I153" i="26"/>
  <c r="I77" i="26"/>
  <c r="I143" i="26"/>
  <c r="I231" i="26"/>
  <c r="I76" i="26"/>
  <c r="I129" i="26"/>
  <c r="I88" i="26"/>
  <c r="I115" i="26"/>
  <c r="I265" i="26"/>
  <c r="I17" i="26"/>
  <c r="I40" i="26"/>
  <c r="I70" i="26"/>
  <c r="I67" i="26"/>
  <c r="I237" i="26"/>
  <c r="K237" i="26" s="1"/>
  <c r="I163" i="26"/>
  <c r="I213" i="26"/>
  <c r="I53" i="26"/>
  <c r="I29" i="26"/>
  <c r="I39" i="26"/>
  <c r="I258" i="26"/>
  <c r="I176" i="26"/>
  <c r="I112" i="26"/>
  <c r="I79" i="26"/>
  <c r="I270" i="26"/>
  <c r="I215" i="26"/>
  <c r="I64" i="26"/>
  <c r="I138" i="26"/>
  <c r="I181" i="26"/>
  <c r="I58" i="26"/>
  <c r="I144" i="26"/>
  <c r="I69" i="26"/>
  <c r="I249" i="26"/>
  <c r="I155" i="26"/>
  <c r="I288" i="26"/>
  <c r="K288" i="26" s="1"/>
  <c r="I218" i="26"/>
  <c r="I87" i="26"/>
  <c r="I31" i="26"/>
  <c r="I294" i="26"/>
  <c r="K294" i="26" s="1"/>
  <c r="I114" i="26"/>
  <c r="I259" i="26"/>
  <c r="I57" i="26"/>
  <c r="I32" i="26"/>
  <c r="I11" i="26"/>
  <c r="I78" i="26"/>
  <c r="I100" i="26"/>
  <c r="I227" i="26"/>
  <c r="I28" i="26"/>
  <c r="I212" i="26"/>
  <c r="I191" i="26"/>
  <c r="I186" i="26"/>
  <c r="I277" i="26"/>
  <c r="I262" i="26"/>
  <c r="I225" i="26"/>
  <c r="I268" i="26"/>
  <c r="I72" i="26"/>
  <c r="I188" i="26"/>
  <c r="I123" i="26"/>
  <c r="I141" i="26"/>
  <c r="I14" i="26"/>
  <c r="I263" i="26"/>
  <c r="I149" i="26"/>
  <c r="I91" i="26"/>
  <c r="I90" i="26"/>
  <c r="I296" i="26"/>
  <c r="I242" i="26"/>
  <c r="I248" i="26"/>
  <c r="I200" i="26"/>
  <c r="I150" i="26"/>
  <c r="I18" i="26"/>
  <c r="I275" i="26"/>
  <c r="I276" i="26"/>
  <c r="I280" i="26"/>
  <c r="E7" i="16"/>
  <c r="X19" i="6"/>
  <c r="X21" i="6" s="1"/>
  <c r="P9" i="41"/>
  <c r="D7" i="16"/>
  <c r="I45" i="36"/>
  <c r="I7" i="16"/>
  <c r="H51" i="26"/>
  <c r="P51" i="26"/>
  <c r="P246" i="26"/>
  <c r="H108" i="26"/>
  <c r="P108" i="26"/>
  <c r="H288" i="26"/>
  <c r="P248" i="26"/>
  <c r="H85" i="26"/>
  <c r="P85" i="26"/>
  <c r="P64" i="26"/>
  <c r="H64" i="26"/>
  <c r="H7" i="26"/>
  <c r="H215" i="26"/>
  <c r="H15" i="26"/>
  <c r="P222" i="26"/>
  <c r="H39" i="26"/>
  <c r="H165" i="26"/>
  <c r="H196" i="26"/>
  <c r="H59" i="26"/>
  <c r="P87" i="26"/>
  <c r="H87" i="26"/>
  <c r="H40" i="26"/>
  <c r="P40" i="26"/>
  <c r="H134" i="26"/>
  <c r="P105" i="26"/>
  <c r="H105" i="26"/>
  <c r="H6" i="26"/>
  <c r="P257" i="26"/>
  <c r="H276" i="26"/>
  <c r="H230" i="26"/>
  <c r="P169" i="26"/>
  <c r="P109" i="26"/>
  <c r="H109" i="26"/>
  <c r="H148" i="26"/>
  <c r="H12" i="26"/>
  <c r="P12" i="26"/>
  <c r="H183" i="26"/>
  <c r="P183" i="26"/>
  <c r="H295" i="26"/>
  <c r="P164" i="26"/>
  <c r="H164" i="26"/>
  <c r="H251" i="26"/>
  <c r="P116" i="26"/>
  <c r="P62" i="26"/>
  <c r="H233" i="26"/>
  <c r="P233" i="26"/>
  <c r="P191" i="26"/>
  <c r="H191" i="26"/>
  <c r="H29" i="26"/>
  <c r="P284" i="26"/>
  <c r="H284" i="26"/>
  <c r="P121" i="26"/>
  <c r="H121" i="26"/>
  <c r="P226" i="26"/>
  <c r="P48" i="26"/>
  <c r="P123" i="26"/>
  <c r="H123" i="26"/>
  <c r="P136" i="26"/>
  <c r="H136" i="26"/>
  <c r="P89" i="26"/>
  <c r="H89" i="26"/>
  <c r="H69" i="26"/>
  <c r="H110" i="26"/>
  <c r="P152" i="26"/>
  <c r="P19" i="26"/>
  <c r="H19" i="26"/>
  <c r="H144" i="26"/>
  <c r="P207" i="26"/>
  <c r="P127" i="26"/>
  <c r="H127" i="26"/>
  <c r="P24" i="26"/>
  <c r="H24" i="26"/>
  <c r="H140" i="26"/>
  <c r="P140" i="26"/>
  <c r="P256" i="26"/>
  <c r="H96" i="26"/>
  <c r="P124" i="26"/>
  <c r="H174" i="26"/>
  <c r="P271" i="26"/>
  <c r="H271" i="26"/>
  <c r="P32" i="26"/>
  <c r="H159" i="26"/>
  <c r="P159" i="26"/>
  <c r="H103" i="26"/>
  <c r="P103" i="26"/>
  <c r="P265" i="26"/>
  <c r="P55" i="26"/>
  <c r="H55" i="26"/>
  <c r="H143" i="26"/>
  <c r="P97" i="26"/>
  <c r="H97" i="26"/>
  <c r="H75" i="26"/>
  <c r="H67" i="26"/>
  <c r="H149" i="26"/>
  <c r="H211" i="26"/>
  <c r="P211" i="26"/>
  <c r="H31" i="26"/>
  <c r="P31" i="26"/>
  <c r="H187" i="26"/>
  <c r="P225" i="26"/>
  <c r="H225" i="26"/>
  <c r="P106" i="26"/>
  <c r="H47" i="26"/>
  <c r="P47" i="26"/>
  <c r="P111" i="26"/>
  <c r="H157" i="26"/>
  <c r="P157" i="26"/>
  <c r="H71" i="26"/>
  <c r="P228" i="26"/>
  <c r="P204" i="26"/>
  <c r="H177" i="26"/>
  <c r="P177" i="26"/>
  <c r="H84" i="26"/>
  <c r="H99" i="26"/>
  <c r="P70" i="26"/>
  <c r="H70" i="26"/>
  <c r="H298" i="26"/>
  <c r="P102" i="26"/>
  <c r="P189" i="26"/>
  <c r="H189" i="26"/>
  <c r="H208" i="26"/>
  <c r="H213" i="26"/>
  <c r="P213" i="26"/>
  <c r="H100" i="26"/>
  <c r="P100" i="26"/>
  <c r="H247" i="26"/>
  <c r="H104" i="26"/>
  <c r="P291" i="26"/>
  <c r="H83" i="26"/>
  <c r="P83" i="26"/>
  <c r="P277" i="26"/>
  <c r="P73" i="26"/>
  <c r="P36" i="26"/>
  <c r="P198" i="26"/>
  <c r="H197" i="26"/>
  <c r="H91" i="26"/>
  <c r="P91" i="26"/>
  <c r="H221" i="26"/>
  <c r="H81" i="26"/>
  <c r="P81" i="26"/>
  <c r="H180" i="26"/>
  <c r="P273" i="26"/>
  <c r="H268" i="26"/>
  <c r="H21" i="26"/>
  <c r="H20" i="26"/>
  <c r="P20" i="26"/>
  <c r="H179" i="26"/>
  <c r="P179" i="26"/>
  <c r="P275" i="26"/>
  <c r="H38" i="26"/>
  <c r="P38" i="26"/>
  <c r="P53" i="26"/>
  <c r="H53" i="26"/>
  <c r="H133" i="26"/>
  <c r="P133" i="26"/>
  <c r="H79" i="26"/>
  <c r="P79" i="26"/>
  <c r="H41" i="26"/>
  <c r="P188" i="26"/>
  <c r="H188" i="26"/>
  <c r="H27" i="26"/>
  <c r="P27" i="26"/>
  <c r="H60" i="26"/>
  <c r="P17" i="26"/>
  <c r="H17" i="26"/>
  <c r="P239" i="26"/>
  <c r="H239" i="26"/>
  <c r="P125" i="26"/>
  <c r="H125" i="26"/>
  <c r="P195" i="26"/>
  <c r="H195" i="26"/>
  <c r="H156" i="26"/>
  <c r="P156" i="26"/>
  <c r="H117" i="26"/>
  <c r="P117" i="26"/>
  <c r="H158" i="26"/>
  <c r="H172" i="26"/>
  <c r="P172" i="26"/>
  <c r="H206" i="26"/>
  <c r="P206" i="26"/>
  <c r="H118" i="26"/>
  <c r="H244" i="26"/>
  <c r="P244" i="26"/>
  <c r="P94" i="26"/>
  <c r="P153" i="26"/>
  <c r="P142" i="26"/>
  <c r="H142" i="26"/>
  <c r="P50" i="26"/>
  <c r="P173" i="26"/>
  <c r="H173" i="26"/>
  <c r="P72" i="26"/>
  <c r="P139" i="26"/>
  <c r="H293" i="26"/>
  <c r="P293" i="26"/>
  <c r="P263" i="26"/>
  <c r="H263" i="26"/>
  <c r="P150" i="26"/>
  <c r="H150" i="26"/>
  <c r="P201" i="26"/>
  <c r="H201" i="26"/>
  <c r="H289" i="26"/>
  <c r="P167" i="26"/>
  <c r="H167" i="26"/>
  <c r="P22" i="26"/>
  <c r="H22" i="26"/>
  <c r="H184" i="26"/>
  <c r="H35" i="26"/>
  <c r="H33" i="26"/>
  <c r="P135" i="26"/>
  <c r="H135" i="26"/>
  <c r="H232" i="26"/>
  <c r="P232" i="26"/>
  <c r="P115" i="26"/>
  <c r="H115" i="26"/>
  <c r="H88" i="26"/>
  <c r="H147" i="26"/>
  <c r="H261" i="26"/>
  <c r="P261" i="26"/>
  <c r="H272" i="26"/>
  <c r="P297" i="26"/>
  <c r="H297" i="26"/>
  <c r="H253" i="26"/>
  <c r="P253" i="26"/>
  <c r="P10" i="26"/>
  <c r="H10" i="26"/>
  <c r="H224" i="26"/>
  <c r="H25" i="26"/>
  <c r="P95" i="26"/>
  <c r="H95" i="26"/>
  <c r="P231" i="26"/>
  <c r="H112" i="26"/>
  <c r="P5" i="26"/>
  <c r="H68" i="26"/>
  <c r="P68" i="26"/>
  <c r="H44" i="26"/>
  <c r="P44" i="26"/>
  <c r="P216" i="26"/>
  <c r="H216" i="26"/>
  <c r="H34" i="26"/>
  <c r="H119" i="26"/>
  <c r="P119" i="26"/>
  <c r="P249" i="26"/>
  <c r="H249" i="26"/>
  <c r="H264" i="26"/>
  <c r="P264" i="26"/>
  <c r="P76" i="26"/>
  <c r="H76" i="26"/>
  <c r="H61" i="26"/>
  <c r="P61" i="26"/>
  <c r="H128" i="26"/>
  <c r="H93" i="26"/>
  <c r="P93" i="26"/>
  <c r="H260" i="26"/>
  <c r="P192" i="26"/>
  <c r="H192" i="26"/>
  <c r="P145" i="26"/>
  <c r="H145" i="26"/>
  <c r="P255" i="26"/>
  <c r="H63" i="26"/>
  <c r="P63" i="26"/>
  <c r="H163" i="26"/>
  <c r="H37" i="26"/>
  <c r="P57" i="26"/>
  <c r="H57" i="26"/>
  <c r="P227" i="26"/>
  <c r="H227" i="26"/>
  <c r="P280" i="26"/>
  <c r="H280" i="26"/>
  <c r="H9" i="26"/>
  <c r="P9" i="26"/>
  <c r="H279" i="26"/>
  <c r="P279" i="26"/>
  <c r="H223" i="26"/>
  <c r="H214" i="26"/>
  <c r="P214" i="26"/>
  <c r="P113" i="26"/>
  <c r="H113" i="26"/>
  <c r="H126" i="26"/>
  <c r="P182" i="26"/>
  <c r="H182" i="26"/>
  <c r="P45" i="26"/>
  <c r="H45" i="26"/>
  <c r="P175" i="26"/>
  <c r="H49" i="26"/>
  <c r="P220" i="26"/>
  <c r="H220" i="26"/>
  <c r="P14" i="26"/>
  <c r="H77" i="26"/>
  <c r="P77" i="26"/>
  <c r="P11" i="26"/>
  <c r="H235" i="26"/>
  <c r="P235" i="26"/>
  <c r="M30" i="26"/>
  <c r="P237" i="26"/>
  <c r="H237" i="26"/>
  <c r="H65" i="26"/>
  <c r="H292" i="26"/>
  <c r="P292" i="26"/>
  <c r="H132" i="26"/>
  <c r="P132" i="26"/>
  <c r="H245" i="26"/>
  <c r="P245" i="26"/>
  <c r="P194" i="26"/>
  <c r="H26" i="26"/>
  <c r="U19" i="6"/>
  <c r="U21" i="6" s="1"/>
  <c r="P4" i="26"/>
  <c r="P269" i="26" l="1"/>
  <c r="P88" i="26"/>
  <c r="H170" i="26"/>
  <c r="P190" i="26"/>
  <c r="H254" i="26"/>
  <c r="P138" i="26"/>
  <c r="H13" i="26"/>
  <c r="P120" i="26"/>
  <c r="P196" i="26"/>
  <c r="H74" i="26"/>
  <c r="H219" i="26"/>
  <c r="P98" i="26"/>
  <c r="H282" i="26"/>
  <c r="H242" i="26"/>
  <c r="H218" i="26"/>
  <c r="H194" i="26"/>
  <c r="H58" i="26"/>
  <c r="G226" i="26"/>
  <c r="G208" i="26"/>
  <c r="H178" i="26"/>
  <c r="H122" i="26"/>
  <c r="H200" i="26"/>
  <c r="P294" i="26"/>
  <c r="P162" i="26"/>
  <c r="H154" i="26"/>
  <c r="P186" i="26"/>
  <c r="H202" i="26"/>
  <c r="H258" i="26"/>
  <c r="P260" i="26"/>
  <c r="K208" i="26"/>
  <c r="K68" i="26"/>
  <c r="K103" i="26"/>
  <c r="K15" i="26"/>
  <c r="K152" i="26"/>
  <c r="P297" i="44"/>
  <c r="P296" i="26"/>
  <c r="P285" i="26"/>
  <c r="P149" i="26"/>
  <c r="G144" i="26"/>
  <c r="P90" i="26"/>
  <c r="P84" i="26"/>
  <c r="P75" i="26"/>
  <c r="P67" i="26"/>
  <c r="P49" i="26"/>
  <c r="P25" i="26"/>
  <c r="H294" i="26"/>
  <c r="H286" i="26"/>
  <c r="P278" i="26"/>
  <c r="H270" i="26"/>
  <c r="P262" i="26"/>
  <c r="P230" i="26"/>
  <c r="H222" i="26"/>
  <c r="H290" i="26"/>
  <c r="P266" i="26"/>
  <c r="P82" i="26"/>
  <c r="P286" i="26"/>
  <c r="H246" i="26"/>
  <c r="G296" i="26"/>
  <c r="G288" i="26"/>
  <c r="G285" i="26"/>
  <c r="G283" i="26"/>
  <c r="G278" i="26"/>
  <c r="G276" i="26"/>
  <c r="G269" i="26"/>
  <c r="G262" i="26"/>
  <c r="G254" i="26"/>
  <c r="G252" i="26"/>
  <c r="G246" i="26"/>
  <c r="G243" i="26"/>
  <c r="G240" i="26"/>
  <c r="G238" i="26"/>
  <c r="G236" i="26"/>
  <c r="G234" i="26"/>
  <c r="G219" i="26"/>
  <c r="G214" i="26"/>
  <c r="P212" i="26"/>
  <c r="G205" i="26"/>
  <c r="G202" i="26"/>
  <c r="G200" i="26"/>
  <c r="G198" i="26"/>
  <c r="G190" i="26"/>
  <c r="G178" i="26"/>
  <c r="G170" i="26"/>
  <c r="G168" i="26"/>
  <c r="G163" i="26"/>
  <c r="G155" i="26"/>
  <c r="G153" i="26"/>
  <c r="P146" i="26"/>
  <c r="G141" i="26"/>
  <c r="G139" i="26"/>
  <c r="G120" i="26"/>
  <c r="G114" i="26"/>
  <c r="G106" i="26"/>
  <c r="G90" i="26"/>
  <c r="G84" i="26"/>
  <c r="G82" i="26"/>
  <c r="G80" i="26"/>
  <c r="G75" i="26"/>
  <c r="G73" i="26"/>
  <c r="G62" i="26"/>
  <c r="G52" i="26"/>
  <c r="G49" i="26"/>
  <c r="G30" i="26"/>
  <c r="G25" i="26"/>
  <c r="G18" i="26"/>
  <c r="G13" i="26"/>
  <c r="G8" i="26"/>
  <c r="G4" i="26"/>
  <c r="O30" i="26"/>
  <c r="P52" i="26"/>
  <c r="P8" i="26"/>
  <c r="P174" i="26"/>
  <c r="P274" i="26"/>
  <c r="H240" i="26"/>
  <c r="P30" i="26"/>
  <c r="H141" i="26"/>
  <c r="P210" i="26"/>
  <c r="P270" i="26"/>
  <c r="P224" i="26"/>
  <c r="H236" i="26"/>
  <c r="H266" i="26"/>
  <c r="P158" i="26"/>
  <c r="P114" i="26"/>
  <c r="P60" i="26"/>
  <c r="P129" i="26"/>
  <c r="H238" i="26"/>
  <c r="P168" i="26"/>
  <c r="P252" i="26"/>
  <c r="H262" i="26"/>
  <c r="H296" i="26"/>
  <c r="P208" i="26"/>
  <c r="P144" i="26"/>
  <c r="P155" i="26"/>
  <c r="P101" i="26"/>
  <c r="H195" i="38"/>
  <c r="G282" i="26"/>
  <c r="G242" i="26"/>
  <c r="G218" i="26"/>
  <c r="G194" i="26"/>
  <c r="G98" i="26"/>
  <c r="G94" i="26"/>
  <c r="G64" i="26"/>
  <c r="G58" i="26"/>
  <c r="P42" i="26"/>
  <c r="G10" i="26"/>
  <c r="H283" i="26"/>
  <c r="P272" i="26"/>
  <c r="P107" i="26"/>
  <c r="P171" i="26"/>
  <c r="P151" i="26"/>
  <c r="P16" i="26"/>
  <c r="P18" i="26"/>
  <c r="H205" i="26"/>
  <c r="P250" i="26"/>
  <c r="P112" i="26"/>
  <c r="P184" i="26"/>
  <c r="P118" i="26"/>
  <c r="P23" i="26"/>
  <c r="P161" i="26"/>
  <c r="P137" i="26"/>
  <c r="G292" i="26"/>
  <c r="G286" i="26"/>
  <c r="G284" i="26"/>
  <c r="G270" i="26"/>
  <c r="G222" i="26"/>
  <c r="G220" i="26"/>
  <c r="G206" i="26"/>
  <c r="G182" i="26"/>
  <c r="G172" i="26"/>
  <c r="G162" i="26"/>
  <c r="G130" i="26"/>
  <c r="G50" i="26"/>
  <c r="G26" i="26"/>
  <c r="K245" i="26"/>
  <c r="K261" i="26"/>
  <c r="K79" i="26"/>
  <c r="K241" i="26"/>
  <c r="K44" i="26"/>
  <c r="K96" i="26"/>
  <c r="K228" i="26"/>
  <c r="K279" i="26"/>
  <c r="K199" i="26"/>
  <c r="K163" i="26"/>
  <c r="K167" i="26"/>
  <c r="K211" i="26"/>
  <c r="K239" i="26"/>
  <c r="K51" i="26"/>
  <c r="K271" i="26"/>
  <c r="K107" i="26"/>
  <c r="C9" i="27"/>
  <c r="H281" i="26"/>
  <c r="H275" i="26"/>
  <c r="P86" i="26"/>
  <c r="P268" i="26"/>
  <c r="G266" i="26"/>
  <c r="G258" i="26"/>
  <c r="G256" i="26"/>
  <c r="G230" i="26"/>
  <c r="G160" i="26"/>
  <c r="G154" i="26"/>
  <c r="G152" i="26"/>
  <c r="G138" i="26"/>
  <c r="P130" i="26"/>
  <c r="G74" i="26"/>
  <c r="G40" i="26"/>
  <c r="G38" i="26"/>
  <c r="G36" i="26"/>
  <c r="G34" i="26"/>
  <c r="G32" i="26"/>
  <c r="P29" i="26"/>
  <c r="G22" i="26"/>
  <c r="G20" i="26"/>
  <c r="H255" i="26"/>
  <c r="H243" i="26"/>
  <c r="P223" i="26"/>
  <c r="P217" i="26"/>
  <c r="H185" i="26"/>
  <c r="H175" i="26"/>
  <c r="P128" i="26"/>
  <c r="H102" i="26"/>
  <c r="P96" i="26"/>
  <c r="H78" i="26"/>
  <c r="H14" i="26"/>
  <c r="P295" i="26"/>
  <c r="P289" i="26"/>
  <c r="H231" i="26"/>
  <c r="H207" i="26"/>
  <c r="H193" i="26"/>
  <c r="P134" i="26"/>
  <c r="H62" i="26"/>
  <c r="G42" i="26"/>
  <c r="G24" i="26"/>
  <c r="P6" i="26"/>
  <c r="G298" i="26"/>
  <c r="G217" i="26"/>
  <c r="G215" i="26"/>
  <c r="G193" i="26"/>
  <c r="G126" i="26"/>
  <c r="G110" i="26"/>
  <c r="G78" i="26"/>
  <c r="H285" i="26"/>
  <c r="H273" i="26"/>
  <c r="H267" i="26"/>
  <c r="P247" i="26"/>
  <c r="P203" i="26"/>
  <c r="P199" i="26"/>
  <c r="P181" i="26"/>
  <c r="P104" i="26"/>
  <c r="P80" i="26"/>
  <c r="H16" i="26"/>
  <c r="K225" i="26"/>
  <c r="K61" i="26"/>
  <c r="K63" i="26"/>
  <c r="K106" i="26"/>
  <c r="K22" i="26"/>
  <c r="K206" i="26"/>
  <c r="K159" i="26"/>
  <c r="K62" i="26"/>
  <c r="K246" i="26"/>
  <c r="K110" i="26"/>
  <c r="K148" i="26"/>
  <c r="H287" i="26"/>
  <c r="P287" i="26"/>
  <c r="P166" i="26"/>
  <c r="H166" i="26"/>
  <c r="P259" i="26"/>
  <c r="H259" i="26"/>
  <c r="P56" i="26"/>
  <c r="G56" i="26"/>
  <c r="H56" i="26"/>
  <c r="H46" i="26"/>
  <c r="P46" i="26"/>
  <c r="P281" i="26"/>
  <c r="H241" i="26"/>
  <c r="P241" i="26"/>
  <c r="H209" i="26"/>
  <c r="P209" i="26"/>
  <c r="H160" i="26"/>
  <c r="P160" i="26"/>
  <c r="M304" i="50"/>
  <c r="L304" i="37"/>
  <c r="O9" i="37"/>
  <c r="O7" i="37" s="1"/>
  <c r="A5" i="37" s="1"/>
  <c r="G247" i="26"/>
  <c r="G166" i="26"/>
  <c r="P298" i="26"/>
  <c r="H217" i="26"/>
  <c r="M304" i="41"/>
  <c r="P10" i="41"/>
  <c r="P7" i="41" s="1"/>
  <c r="A5" i="41" s="1"/>
  <c r="P290" i="26"/>
  <c r="G290" i="26"/>
  <c r="G287" i="26"/>
  <c r="G275" i="26"/>
  <c r="G273" i="26"/>
  <c r="G271" i="26"/>
  <c r="G251" i="26"/>
  <c r="P251" i="26"/>
  <c r="G225" i="26"/>
  <c r="G223" i="26"/>
  <c r="G216" i="26"/>
  <c r="G209" i="26"/>
  <c r="G187" i="26"/>
  <c r="P187" i="26"/>
  <c r="G185" i="26"/>
  <c r="P185" i="26"/>
  <c r="G183" i="26"/>
  <c r="P180" i="26"/>
  <c r="G150" i="26"/>
  <c r="P148" i="26"/>
  <c r="G148" i="26"/>
  <c r="G136" i="26"/>
  <c r="G133" i="26"/>
  <c r="G111" i="26"/>
  <c r="G109" i="26"/>
  <c r="G103" i="26"/>
  <c r="G100" i="26"/>
  <c r="G86" i="26"/>
  <c r="G77" i="26"/>
  <c r="G70" i="26"/>
  <c r="G68" i="26"/>
  <c r="P66" i="26"/>
  <c r="G54" i="26"/>
  <c r="P54" i="26"/>
  <c r="G7" i="26"/>
  <c r="P7" i="26"/>
  <c r="G268" i="26"/>
  <c r="G212" i="26"/>
  <c r="G204" i="26"/>
  <c r="G180" i="26"/>
  <c r="Q7" i="50"/>
  <c r="A5" i="50" s="1"/>
  <c r="G281" i="26"/>
  <c r="G134" i="26"/>
  <c r="H199" i="26"/>
  <c r="G267" i="26"/>
  <c r="G259" i="26"/>
  <c r="G231" i="26"/>
  <c r="G229" i="26"/>
  <c r="P229" i="26"/>
  <c r="G221" i="26"/>
  <c r="P221" i="26"/>
  <c r="P176" i="26"/>
  <c r="G176" i="26"/>
  <c r="G165" i="26"/>
  <c r="P165" i="26"/>
  <c r="G143" i="26"/>
  <c r="P143" i="26"/>
  <c r="G131" i="26"/>
  <c r="P131" i="26"/>
  <c r="P122" i="26"/>
  <c r="G122" i="26"/>
  <c r="P92" i="26"/>
  <c r="G92" i="26"/>
  <c r="G59" i="26"/>
  <c r="P59" i="26"/>
  <c r="G46" i="26"/>
  <c r="G43" i="26"/>
  <c r="P43" i="26"/>
  <c r="P28" i="26"/>
  <c r="G28" i="26"/>
  <c r="G15" i="26"/>
  <c r="P15" i="26"/>
  <c r="G146" i="26"/>
  <c r="G66" i="26"/>
  <c r="H32" i="26"/>
  <c r="G297" i="26"/>
  <c r="G295" i="26"/>
  <c r="G289" i="26"/>
  <c r="G279" i="26"/>
  <c r="G277" i="26"/>
  <c r="G263" i="26"/>
  <c r="G261" i="26"/>
  <c r="G255" i="26"/>
  <c r="G253" i="26"/>
  <c r="G241" i="26"/>
  <c r="G239" i="26"/>
  <c r="G237" i="26"/>
  <c r="G235" i="26"/>
  <c r="G233" i="26"/>
  <c r="G227" i="26"/>
  <c r="G213" i="26"/>
  <c r="G201" i="26"/>
  <c r="G199" i="26"/>
  <c r="G197" i="26"/>
  <c r="G191" i="26"/>
  <c r="G189" i="26"/>
  <c r="G179" i="26"/>
  <c r="G177" i="26"/>
  <c r="G175" i="26"/>
  <c r="G164" i="26"/>
  <c r="G156" i="26"/>
  <c r="G142" i="26"/>
  <c r="G140" i="26"/>
  <c r="G102" i="26"/>
  <c r="G14" i="26"/>
  <c r="G12" i="26"/>
  <c r="G6" i="26"/>
  <c r="H277" i="26"/>
  <c r="P197" i="26"/>
  <c r="H152" i="26"/>
  <c r="G169" i="26"/>
  <c r="G121" i="26"/>
  <c r="G119" i="26"/>
  <c r="G113" i="26"/>
  <c r="G105" i="26"/>
  <c r="G91" i="26"/>
  <c r="G83" i="26"/>
  <c r="G81" i="26"/>
  <c r="G61" i="26"/>
  <c r="G29" i="26"/>
  <c r="K191" i="26"/>
  <c r="K67" i="26"/>
  <c r="K219" i="26"/>
  <c r="K171" i="26"/>
  <c r="G149" i="26"/>
  <c r="G147" i="26"/>
  <c r="G99" i="26"/>
  <c r="G71" i="26"/>
  <c r="G69" i="26"/>
  <c r="G67" i="26"/>
  <c r="G65" i="26"/>
  <c r="G41" i="26"/>
  <c r="G39" i="26"/>
  <c r="G37" i="26"/>
  <c r="G35" i="26"/>
  <c r="G33" i="26"/>
  <c r="G21" i="26"/>
  <c r="U8" i="6"/>
  <c r="K165" i="26"/>
  <c r="K134" i="26"/>
  <c r="K189" i="26"/>
  <c r="K157" i="26"/>
  <c r="K8" i="26"/>
  <c r="K108" i="26"/>
  <c r="K220" i="26"/>
  <c r="K6" i="26"/>
  <c r="K280" i="26"/>
  <c r="K43" i="26"/>
  <c r="W10" i="6"/>
  <c r="W12" i="6" s="1"/>
  <c r="W14" i="6"/>
  <c r="T22" i="6" s="1"/>
  <c r="V14" i="6"/>
  <c r="S22" i="6" s="1"/>
  <c r="V10" i="6"/>
  <c r="V12" i="6" s="1"/>
  <c r="U10" i="6"/>
  <c r="U12" i="6" s="1"/>
  <c r="U14" i="6"/>
  <c r="X14" i="6"/>
  <c r="U22" i="6" s="1"/>
  <c r="X10" i="6"/>
  <c r="T10" i="6"/>
  <c r="T12" i="6" s="1"/>
  <c r="T14" i="6"/>
  <c r="Y14" i="6"/>
  <c r="V22" i="6" s="1"/>
  <c r="Y10" i="6"/>
  <c r="Y12" i="6" s="1"/>
  <c r="U7" i="6"/>
  <c r="T7" i="6"/>
  <c r="T8" i="6"/>
  <c r="K69" i="26"/>
  <c r="K229" i="26"/>
  <c r="K161" i="26"/>
  <c r="K5" i="26"/>
  <c r="K50" i="26"/>
  <c r="K114" i="26"/>
  <c r="K120" i="26"/>
  <c r="K293" i="26"/>
  <c r="K193" i="26"/>
  <c r="K175" i="26"/>
  <c r="K59" i="26"/>
  <c r="K95" i="26"/>
  <c r="K38" i="26"/>
  <c r="K276" i="26"/>
  <c r="K14" i="26"/>
  <c r="K28" i="26"/>
  <c r="K138" i="26"/>
  <c r="K40" i="26"/>
  <c r="K104" i="26"/>
  <c r="K240" i="26"/>
  <c r="K36" i="26"/>
  <c r="K264" i="26"/>
  <c r="K66" i="26"/>
  <c r="K254" i="26"/>
  <c r="K156" i="26"/>
  <c r="K260" i="26"/>
  <c r="K234" i="26"/>
  <c r="K266" i="26"/>
  <c r="K272" i="26"/>
  <c r="K52" i="26"/>
  <c r="K291" i="26"/>
  <c r="K83" i="26"/>
  <c r="K183" i="26"/>
  <c r="K46" i="26"/>
  <c r="K122" i="26"/>
  <c r="K274" i="26"/>
  <c r="K242" i="26"/>
  <c r="K100" i="26"/>
  <c r="K58" i="26"/>
  <c r="K250" i="26"/>
  <c r="K278" i="26"/>
  <c r="K287" i="26"/>
  <c r="K285" i="26"/>
  <c r="K128" i="26"/>
  <c r="K16" i="26"/>
  <c r="K56" i="26"/>
  <c r="K146" i="26"/>
  <c r="K230" i="26"/>
  <c r="K232" i="26"/>
  <c r="K201" i="26"/>
  <c r="K209" i="26"/>
  <c r="K248" i="26"/>
  <c r="K91" i="26"/>
  <c r="K268" i="26"/>
  <c r="K227" i="26"/>
  <c r="K32" i="26"/>
  <c r="K144" i="26"/>
  <c r="K112" i="26"/>
  <c r="K77" i="26"/>
  <c r="K124" i="26"/>
  <c r="K297" i="26"/>
  <c r="K98" i="26"/>
  <c r="K142" i="26"/>
  <c r="K256" i="26"/>
  <c r="K223" i="26"/>
  <c r="K169" i="26"/>
  <c r="K71" i="26"/>
  <c r="K102" i="26"/>
  <c r="K75" i="26"/>
  <c r="K73" i="26"/>
  <c r="K53" i="26"/>
  <c r="K60" i="26"/>
  <c r="K111" i="26"/>
  <c r="K166" i="26"/>
  <c r="K170" i="26"/>
  <c r="K178" i="26"/>
  <c r="K182" i="26"/>
  <c r="K253" i="26"/>
  <c r="K257" i="26"/>
  <c r="K290" i="26"/>
  <c r="K65" i="26"/>
  <c r="K85" i="26"/>
  <c r="K136" i="26"/>
  <c r="K185" i="26"/>
  <c r="K236" i="26"/>
  <c r="K54" i="26"/>
  <c r="K30" i="26"/>
  <c r="K150" i="26"/>
  <c r="K262" i="26"/>
  <c r="K87" i="26"/>
  <c r="K181" i="26"/>
  <c r="K270" i="26"/>
  <c r="K258" i="26"/>
  <c r="K213" i="26"/>
  <c r="K179" i="26"/>
  <c r="K45" i="26"/>
  <c r="K281" i="26"/>
  <c r="K244" i="26"/>
  <c r="K295" i="26"/>
  <c r="K289" i="26"/>
  <c r="K252" i="26"/>
  <c r="K154" i="26"/>
  <c r="K207" i="26"/>
  <c r="K177" i="26"/>
  <c r="K238" i="26"/>
  <c r="K173" i="26"/>
  <c r="K205" i="26"/>
  <c r="K89" i="26"/>
  <c r="K21" i="26"/>
  <c r="K82" i="26"/>
  <c r="K101" i="26"/>
  <c r="K109" i="26"/>
  <c r="K117" i="26"/>
  <c r="K160" i="26"/>
  <c r="K164" i="26"/>
  <c r="K172" i="26"/>
  <c r="K176" i="26"/>
  <c r="K196" i="26"/>
  <c r="K224" i="26"/>
  <c r="K267" i="26"/>
  <c r="K284" i="26"/>
  <c r="K118" i="26"/>
  <c r="K93" i="26"/>
  <c r="K132" i="26"/>
  <c r="K12" i="26"/>
  <c r="K218" i="26"/>
  <c r="K162" i="26"/>
  <c r="K31" i="26"/>
  <c r="K139" i="26"/>
  <c r="K202" i="26"/>
  <c r="K26" i="26"/>
  <c r="K13" i="26"/>
  <c r="K263" i="26"/>
  <c r="K186" i="26"/>
  <c r="K143" i="26"/>
  <c r="K200" i="26"/>
  <c r="K90" i="26"/>
  <c r="K188" i="26"/>
  <c r="K212" i="26"/>
  <c r="K259" i="26"/>
  <c r="K155" i="26"/>
  <c r="K76" i="26"/>
  <c r="K153" i="26"/>
  <c r="K282" i="26"/>
  <c r="K7" i="26"/>
  <c r="K84" i="26"/>
  <c r="K9" i="26"/>
  <c r="K29" i="26"/>
  <c r="K78" i="26"/>
  <c r="K251" i="26"/>
  <c r="K198" i="26"/>
  <c r="K27" i="26"/>
  <c r="K80" i="26"/>
  <c r="K145" i="26"/>
  <c r="K255" i="26"/>
  <c r="K298" i="26"/>
  <c r="K243" i="26"/>
  <c r="K296" i="26"/>
  <c r="K123" i="26"/>
  <c r="K57" i="26"/>
  <c r="K39" i="26"/>
  <c r="K47" i="26"/>
  <c r="K286" i="26"/>
  <c r="K292" i="26"/>
  <c r="K121" i="26"/>
  <c r="K137" i="26"/>
  <c r="K235" i="26"/>
  <c r="K125" i="26"/>
  <c r="K126" i="26"/>
  <c r="K86" i="26"/>
  <c r="K88" i="26"/>
  <c r="K147" i="26"/>
  <c r="K204" i="26"/>
  <c r="K131" i="26"/>
  <c r="K135" i="26"/>
  <c r="K214" i="26"/>
  <c r="K72" i="26"/>
  <c r="K277" i="26"/>
  <c r="K11" i="26"/>
  <c r="K249" i="26"/>
  <c r="K17" i="26"/>
  <c r="K129" i="26"/>
  <c r="K158" i="26"/>
  <c r="K105" i="26"/>
  <c r="K216" i="26"/>
  <c r="K210" i="26"/>
  <c r="K222" i="26"/>
  <c r="K70" i="26"/>
  <c r="K265" i="26"/>
  <c r="K233" i="26"/>
  <c r="K94" i="26"/>
  <c r="K273" i="26"/>
  <c r="K49" i="26"/>
  <c r="K269" i="26"/>
  <c r="K247" i="26"/>
  <c r="K97" i="26"/>
  <c r="K20" i="26"/>
  <c r="K187" i="26"/>
  <c r="K217" i="26"/>
  <c r="K221" i="26"/>
  <c r="K33" i="26"/>
  <c r="K149" i="26"/>
  <c r="K19" i="26"/>
  <c r="K25" i="26"/>
  <c r="K99" i="26"/>
  <c r="K115" i="26"/>
  <c r="K141" i="26"/>
  <c r="K180" i="26"/>
  <c r="K275" i="26"/>
  <c r="K64" i="26"/>
  <c r="K231" i="26"/>
  <c r="K55" i="26"/>
  <c r="K35" i="26"/>
  <c r="K24" i="26"/>
  <c r="K184" i="26"/>
  <c r="K192" i="26"/>
  <c r="K140" i="26"/>
  <c r="K23" i="26"/>
  <c r="K113" i="26"/>
  <c r="K10" i="26"/>
  <c r="K18" i="26"/>
  <c r="K215" i="26"/>
  <c r="I299" i="26"/>
  <c r="K168" i="26"/>
  <c r="K42" i="26"/>
  <c r="K130" i="26"/>
  <c r="K116" i="26"/>
  <c r="K195" i="26"/>
  <c r="J299" i="26"/>
  <c r="K92" i="26"/>
  <c r="K4" i="26"/>
  <c r="K48" i="26"/>
  <c r="K41" i="26"/>
  <c r="K74" i="26"/>
  <c r="K81" i="26"/>
  <c r="K127" i="26"/>
  <c r="K37" i="26"/>
  <c r="K151" i="26"/>
  <c r="K226" i="26"/>
  <c r="K190" i="26"/>
  <c r="K34" i="26"/>
  <c r="K119" i="26"/>
  <c r="H3" i="26" l="1"/>
  <c r="G299" i="26"/>
  <c r="X12" i="6"/>
  <c r="K299" i="26"/>
  <c r="F134" i="29" l="1"/>
  <c r="F119" i="29"/>
  <c r="F89" i="29"/>
  <c r="F139" i="29"/>
  <c r="F153" i="29"/>
  <c r="F123" i="29"/>
  <c r="F149" i="29"/>
  <c r="F158" i="29"/>
  <c r="F155" i="29"/>
  <c r="F132" i="29"/>
  <c r="F99" i="29"/>
  <c r="F88" i="29"/>
  <c r="F151" i="29"/>
  <c r="F144" i="29"/>
  <c r="F111" i="29"/>
  <c r="F128" i="29"/>
  <c r="F177" i="29"/>
  <c r="F125" i="29"/>
  <c r="F146" i="29"/>
  <c r="F160" i="29"/>
  <c r="F136" i="29"/>
  <c r="F117" i="29"/>
  <c r="F87" i="29"/>
  <c r="F152" i="29"/>
  <c r="F137" i="29"/>
  <c r="F157" i="29"/>
  <c r="F174" i="29"/>
  <c r="F124" i="29"/>
  <c r="F142" i="29"/>
  <c r="F126" i="29"/>
  <c r="F150" i="29"/>
  <c r="F148" i="29"/>
  <c r="F127" i="29"/>
  <c r="F176" i="29"/>
  <c r="B4" i="53"/>
  <c r="B5" i="53" s="1"/>
  <c r="S19" i="6" l="1"/>
  <c r="S21" i="6" s="1"/>
  <c r="R19" i="6"/>
  <c r="R21" i="6" s="1"/>
  <c r="T19" i="6"/>
  <c r="T21" i="6" s="1"/>
  <c r="C2" i="65" l="1"/>
  <c r="C78" i="65"/>
  <c r="C141" i="65"/>
  <c r="C121" i="65"/>
  <c r="C169" i="65"/>
  <c r="C118" i="65"/>
  <c r="C196" i="65"/>
  <c r="C122" i="65"/>
  <c r="C184" i="65"/>
  <c r="C103" i="65"/>
  <c r="C170" i="65"/>
  <c r="C82" i="65"/>
  <c r="C97" i="65"/>
  <c r="C197" i="65"/>
  <c r="C130" i="65"/>
  <c r="C135" i="65"/>
  <c r="C198" i="65"/>
  <c r="C257" i="65"/>
  <c r="C240" i="65"/>
  <c r="Q19" i="6"/>
  <c r="Q21" i="6" s="1"/>
  <c r="C71" i="65" l="1"/>
  <c r="C173" i="65"/>
  <c r="C119" i="65"/>
  <c r="C124" i="65"/>
  <c r="C185" i="65"/>
  <c r="C72" i="65"/>
  <c r="C199" i="65"/>
  <c r="C165" i="65"/>
  <c r="C136" i="65"/>
  <c r="C83" i="65"/>
  <c r="C164" i="65"/>
  <c r="C256" i="65"/>
  <c r="C79" i="65"/>
  <c r="C123" i="65"/>
  <c r="C241" i="65"/>
  <c r="C149" i="65"/>
  <c r="C172" i="65"/>
  <c r="C142" i="65"/>
  <c r="C73" i="65"/>
  <c r="C166" i="65"/>
  <c r="P19" i="6"/>
  <c r="P21" i="6" s="1"/>
  <c r="C19" i="30" l="1"/>
  <c r="C20" i="30" s="1"/>
  <c r="C88" i="65"/>
  <c r="C284" i="65"/>
  <c r="C134" i="65"/>
  <c r="C279" i="65"/>
  <c r="C158" i="65"/>
  <c r="C176" i="65"/>
  <c r="C137" i="65"/>
  <c r="C24" i="65"/>
  <c r="C52" i="65"/>
  <c r="C25" i="65"/>
  <c r="C86" i="65"/>
  <c r="C175" i="65"/>
  <c r="C144" i="65"/>
  <c r="C247" i="65"/>
  <c r="C29" i="65"/>
  <c r="C282" i="65"/>
  <c r="C125" i="65"/>
  <c r="C126" i="65"/>
  <c r="C37" i="65"/>
  <c r="C194" i="65"/>
  <c r="C69" i="65"/>
  <c r="C91" i="65"/>
  <c r="C283" i="65"/>
  <c r="C111" i="65"/>
  <c r="C234" i="65"/>
  <c r="C74" i="65"/>
  <c r="C151" i="65"/>
  <c r="C275" i="65"/>
  <c r="C60" i="65"/>
  <c r="C80" i="65"/>
  <c r="C263" i="65"/>
  <c r="C246" i="65"/>
  <c r="C243" i="65"/>
  <c r="C38" i="65"/>
  <c r="C202" i="65"/>
  <c r="C286" i="65"/>
  <c r="C10" i="65"/>
  <c r="C85" i="65"/>
  <c r="C280" i="65"/>
  <c r="C274" i="65"/>
  <c r="C227" i="65"/>
  <c r="C36" i="65"/>
  <c r="C265" i="65"/>
  <c r="C193" i="65"/>
  <c r="C222" i="65"/>
  <c r="C177" i="65"/>
  <c r="C157" i="65"/>
  <c r="C225" i="65"/>
  <c r="C150" i="65"/>
  <c r="C208" i="65"/>
  <c r="C249" i="65"/>
  <c r="C204" i="65"/>
  <c r="C53" i="65"/>
  <c r="C132" i="65"/>
  <c r="C244" i="65"/>
  <c r="C147" i="65"/>
  <c r="C51" i="65"/>
  <c r="C281" i="65"/>
  <c r="C216" i="65"/>
  <c r="C250" i="65"/>
  <c r="C146" i="65"/>
  <c r="C278" i="65"/>
  <c r="C239" i="65"/>
  <c r="C153" i="65"/>
  <c r="C152" i="65"/>
  <c r="C30" i="65"/>
  <c r="C276" i="65"/>
  <c r="C236" i="65"/>
  <c r="C113" i="65"/>
  <c r="C77" i="65"/>
  <c r="C140" i="65"/>
  <c r="C237" i="65"/>
  <c r="C139" i="65"/>
  <c r="C7" i="65"/>
  <c r="C260" i="65"/>
  <c r="C133" i="65"/>
  <c r="C190" i="65"/>
  <c r="C154" i="65"/>
  <c r="C89" i="65"/>
  <c r="C23" i="65"/>
  <c r="C99" i="65"/>
  <c r="C117" i="65"/>
  <c r="C195" i="65"/>
  <c r="C47" i="65"/>
  <c r="C49" i="65"/>
  <c r="C181" i="65"/>
  <c r="C41" i="65"/>
  <c r="C231" i="65"/>
  <c r="C42" i="65"/>
  <c r="C40" i="65"/>
  <c r="C258" i="65"/>
  <c r="C254" i="65"/>
  <c r="C8" i="65"/>
  <c r="C50" i="65"/>
  <c r="C81" i="65"/>
  <c r="C22" i="65"/>
  <c r="C58" i="65"/>
  <c r="C17" i="65"/>
  <c r="C155" i="65"/>
  <c r="C90" i="65"/>
  <c r="C242" i="65"/>
  <c r="C160" i="65"/>
  <c r="C221" i="65"/>
  <c r="C238" i="65"/>
  <c r="C148" i="65"/>
  <c r="C174" i="65"/>
  <c r="C209" i="65"/>
  <c r="C226" i="65"/>
  <c r="C55" i="65"/>
  <c r="C127" i="65"/>
  <c r="C255" i="65"/>
  <c r="C206" i="65"/>
  <c r="C128" i="65"/>
  <c r="C207" i="65"/>
  <c r="C228" i="65"/>
  <c r="C285" i="65"/>
  <c r="C259" i="65"/>
  <c r="C64" i="65"/>
  <c r="C59" i="65"/>
  <c r="C75" i="65"/>
  <c r="C245" i="65"/>
  <c r="C6" i="65"/>
  <c r="C129" i="65"/>
  <c r="C16" i="65"/>
  <c r="C87" i="65"/>
  <c r="C5" i="65"/>
  <c r="C248" i="65"/>
  <c r="F175" i="29"/>
  <c r="F58" i="29"/>
  <c r="F50" i="29"/>
  <c r="F86" i="29"/>
  <c r="F206" i="29"/>
  <c r="F74" i="29"/>
  <c r="F227" i="29"/>
  <c r="F281" i="29"/>
  <c r="F41" i="29"/>
  <c r="F199" i="29"/>
  <c r="F259" i="29"/>
  <c r="F285" i="29"/>
  <c r="F147" i="29"/>
  <c r="F38" i="29"/>
  <c r="F243" i="29"/>
  <c r="F245" i="29"/>
  <c r="F113" i="29"/>
  <c r="F236" i="29"/>
  <c r="F221" i="29"/>
  <c r="F90" i="29"/>
  <c r="F207" i="29"/>
  <c r="C31" i="65"/>
  <c r="F202" i="29"/>
  <c r="F16" i="29"/>
  <c r="F69" i="29"/>
  <c r="F55" i="29"/>
  <c r="C28" i="65"/>
  <c r="F226" i="29"/>
  <c r="F275" i="29"/>
  <c r="F248" i="29"/>
  <c r="F23" i="29"/>
  <c r="F286" i="29"/>
  <c r="F5" i="29"/>
  <c r="F209" i="29"/>
  <c r="F37" i="29"/>
  <c r="F249" i="29"/>
  <c r="F274" i="29"/>
  <c r="F208" i="29"/>
  <c r="F282" i="29"/>
  <c r="F79" i="29"/>
  <c r="F225" i="29"/>
  <c r="F60" i="29"/>
  <c r="F85" i="29"/>
  <c r="F250" i="29"/>
  <c r="F6" i="29"/>
  <c r="F283" i="29"/>
  <c r="F8" i="29"/>
  <c r="F81" i="29"/>
  <c r="F244" i="29"/>
  <c r="F17" i="29"/>
  <c r="F2" i="29"/>
  <c r="F193" i="29"/>
  <c r="F10" i="29"/>
  <c r="F3" i="29"/>
  <c r="F234" i="29"/>
  <c r="F255" i="29"/>
  <c r="F237" i="29"/>
  <c r="F140" i="29"/>
  <c r="F77" i="29"/>
  <c r="F75" i="29"/>
  <c r="F258" i="29"/>
  <c r="F59" i="29"/>
  <c r="F276" i="29"/>
  <c r="F64" i="29"/>
  <c r="F154" i="29"/>
  <c r="F265" i="29"/>
  <c r="F242" i="29"/>
  <c r="F241" i="29"/>
  <c r="F268" i="29"/>
  <c r="F228" i="29"/>
  <c r="F231" i="29"/>
  <c r="F181" i="29"/>
  <c r="F52" i="29"/>
  <c r="F31" i="29"/>
  <c r="F91" i="29"/>
  <c r="F24" i="29"/>
  <c r="F7" i="29"/>
  <c r="F194" i="29"/>
  <c r="F28" i="29"/>
  <c r="F246" i="29"/>
  <c r="F263" i="29"/>
  <c r="F30" i="29"/>
  <c r="F222" i="29"/>
  <c r="F133" i="29"/>
  <c r="F254" i="29"/>
  <c r="F260" i="29"/>
  <c r="F49" i="29"/>
  <c r="F129" i="29"/>
  <c r="F166" i="29"/>
  <c r="F36" i="29"/>
  <c r="F216" i="29"/>
  <c r="F22" i="29"/>
  <c r="F73" i="29"/>
  <c r="F25" i="29"/>
  <c r="F173" i="29"/>
  <c r="F238" i="29"/>
  <c r="F40" i="29"/>
  <c r="F42" i="29"/>
  <c r="F190" i="29"/>
  <c r="F47" i="29"/>
  <c r="F53" i="29"/>
  <c r="F204" i="29"/>
  <c r="F195" i="29"/>
  <c r="F284" i="29"/>
  <c r="F29" i="29"/>
  <c r="F247" i="29"/>
  <c r="F80" i="29"/>
  <c r="F280" i="29"/>
  <c r="F51" i="29"/>
  <c r="F239" i="29"/>
  <c r="F278" i="29"/>
  <c r="C268" i="65"/>
  <c r="F279" i="29"/>
  <c r="C3" i="65"/>
  <c r="E235" i="29" l="1"/>
  <c r="F235" i="29" s="1"/>
  <c r="E294" i="29" l="1"/>
  <c r="F294" i="29" s="1"/>
  <c r="E161" i="29"/>
  <c r="F161" i="29" s="1"/>
  <c r="E4" i="29"/>
  <c r="F4" i="29" s="1"/>
  <c r="E107" i="29"/>
  <c r="F107" i="29" s="1"/>
  <c r="E203" i="29"/>
  <c r="F203" i="29" s="1"/>
  <c r="E96" i="29"/>
  <c r="F96" i="29" s="1"/>
  <c r="E20" i="29"/>
  <c r="F20" i="29" s="1"/>
  <c r="E211" i="29"/>
  <c r="F211" i="29" s="1"/>
  <c r="E33" i="29"/>
  <c r="F33" i="29" s="1"/>
  <c r="E200" i="29"/>
  <c r="F200" i="29" s="1"/>
  <c r="E34" i="29"/>
  <c r="F34" i="29" s="1"/>
  <c r="E233" i="29"/>
  <c r="F233" i="29" s="1"/>
  <c r="E76" i="29"/>
  <c r="F76" i="29" s="1"/>
  <c r="E57" i="29"/>
  <c r="F57" i="29" s="1"/>
  <c r="E122" i="29"/>
  <c r="F122" i="29" s="1"/>
  <c r="E131" i="29"/>
  <c r="F131" i="29" s="1"/>
  <c r="J21" i="6"/>
  <c r="E77" i="29"/>
  <c r="E240" i="29"/>
  <c r="F240" i="29" s="1"/>
  <c r="E130" i="29"/>
  <c r="F130" i="29" s="1"/>
  <c r="E250" i="29"/>
  <c r="E141" i="29"/>
  <c r="F141" i="29" s="1"/>
  <c r="E304" i="29"/>
  <c r="E147" i="29"/>
  <c r="E208" i="29"/>
  <c r="E40" i="29"/>
  <c r="E184" i="29"/>
  <c r="F184" i="29" s="1"/>
  <c r="E228" i="29"/>
  <c r="E29" i="29"/>
  <c r="E177" i="29"/>
  <c r="E281" i="29"/>
  <c r="E132" i="29"/>
  <c r="E55" i="29"/>
  <c r="E139" i="29"/>
  <c r="E64" i="29"/>
  <c r="E30" i="29"/>
  <c r="E286" i="29"/>
  <c r="E153" i="29"/>
  <c r="E219" i="29"/>
  <c r="F219" i="29" s="1"/>
  <c r="C235" i="65"/>
  <c r="E100" i="29"/>
  <c r="F100" i="29" s="1"/>
  <c r="E70" i="29"/>
  <c r="F70" i="29" s="1"/>
  <c r="E269" i="29"/>
  <c r="F269" i="29" s="1"/>
  <c r="E162" i="29"/>
  <c r="F162" i="29" s="1"/>
  <c r="E43" i="29"/>
  <c r="F43" i="29" s="1"/>
  <c r="E183" i="29"/>
  <c r="F183" i="29" s="1"/>
  <c r="E65" i="29"/>
  <c r="F65" i="29" s="1"/>
  <c r="E230" i="29"/>
  <c r="F230" i="29" s="1"/>
  <c r="E298" i="29"/>
  <c r="F298" i="29" s="1"/>
  <c r="E179" i="29"/>
  <c r="F179" i="29" s="1"/>
  <c r="E292" i="29"/>
  <c r="F292" i="29" s="1"/>
  <c r="E19" i="29"/>
  <c r="F19" i="29" s="1"/>
  <c r="E67" i="29"/>
  <c r="F67" i="29" s="1"/>
  <c r="E214" i="29"/>
  <c r="F214" i="29" s="1"/>
  <c r="E188" i="29"/>
  <c r="F188" i="29" s="1"/>
  <c r="E163" i="29"/>
  <c r="F163" i="29" s="1"/>
  <c r="E266" i="29"/>
  <c r="F266" i="29" s="1"/>
  <c r="E112" i="29"/>
  <c r="F112" i="29" s="1"/>
  <c r="E217" i="29"/>
  <c r="F217" i="29" s="1"/>
  <c r="E63" i="29"/>
  <c r="F63" i="29" s="1"/>
  <c r="E205" i="29"/>
  <c r="F205" i="29" s="1"/>
  <c r="E213" i="29"/>
  <c r="F213" i="29" s="1"/>
  <c r="E137" i="29"/>
  <c r="E225" i="29"/>
  <c r="E222" i="29"/>
  <c r="E172" i="29"/>
  <c r="F172" i="29" s="1"/>
  <c r="E144" i="29"/>
  <c r="E256" i="29"/>
  <c r="F256" i="29" s="1"/>
  <c r="E207" i="29"/>
  <c r="E89" i="29"/>
  <c r="E227" i="29"/>
  <c r="E194" i="29"/>
  <c r="E276" i="29"/>
  <c r="E133" i="29"/>
  <c r="E259" i="29"/>
  <c r="E157" i="29"/>
  <c r="E158" i="29"/>
  <c r="E73" i="29"/>
  <c r="E111" i="29"/>
  <c r="E255" i="29"/>
  <c r="E170" i="29"/>
  <c r="F170" i="29" s="1"/>
  <c r="E148" i="29"/>
  <c r="E24" i="29"/>
  <c r="E310" i="29"/>
  <c r="E173" i="29"/>
  <c r="E36" i="29"/>
  <c r="E82" i="29"/>
  <c r="F82" i="29" s="1"/>
  <c r="E312" i="29"/>
  <c r="E275" i="29"/>
  <c r="E140" i="29"/>
  <c r="E285" i="29"/>
  <c r="E236" i="29"/>
  <c r="E150" i="29"/>
  <c r="E25" i="29"/>
  <c r="E181" i="29"/>
  <c r="E306" i="29"/>
  <c r="E243" i="29"/>
  <c r="E17" i="29"/>
  <c r="E245" i="29"/>
  <c r="E128" i="29"/>
  <c r="E113" i="29"/>
  <c r="E265" i="29"/>
  <c r="E52" i="29"/>
  <c r="E198" i="29"/>
  <c r="F198" i="29" s="1"/>
  <c r="E119" i="29"/>
  <c r="E23" i="29"/>
  <c r="E202" i="29"/>
  <c r="E254" i="29"/>
  <c r="E270" i="29"/>
  <c r="F270" i="29" s="1"/>
  <c r="E120" i="29"/>
  <c r="F120" i="29" s="1"/>
  <c r="E293" i="29"/>
  <c r="F293" i="29" s="1"/>
  <c r="E267" i="29"/>
  <c r="F267" i="29" s="1"/>
  <c r="E159" i="29"/>
  <c r="F159" i="29" s="1"/>
  <c r="E271" i="29"/>
  <c r="F271" i="29" s="1"/>
  <c r="E295" i="29"/>
  <c r="F295" i="29" s="1"/>
  <c r="E26" i="29"/>
  <c r="F26" i="29" s="1"/>
  <c r="E218" i="29"/>
  <c r="F218" i="29" s="1"/>
  <c r="E102" i="29"/>
  <c r="F102" i="29" s="1"/>
  <c r="E264" i="29"/>
  <c r="F264" i="29" s="1"/>
  <c r="E251" i="29"/>
  <c r="F251" i="29" s="1"/>
  <c r="E93" i="29"/>
  <c r="F93" i="29" s="1"/>
  <c r="E290" i="29"/>
  <c r="F290" i="29" s="1"/>
  <c r="E201" i="29"/>
  <c r="F201" i="29" s="1"/>
  <c r="E11" i="29"/>
  <c r="F11" i="29" s="1"/>
  <c r="E45" i="29"/>
  <c r="F45" i="29" s="1"/>
  <c r="E237" i="29"/>
  <c r="E75" i="29"/>
  <c r="E288" i="29"/>
  <c r="F288" i="29" s="1"/>
  <c r="E86" i="29"/>
  <c r="E117" i="29"/>
  <c r="E166" i="29"/>
  <c r="E12" i="29"/>
  <c r="F12" i="29" s="1"/>
  <c r="E81" i="29"/>
  <c r="E97" i="29"/>
  <c r="F97" i="29" s="1"/>
  <c r="E134" i="29"/>
  <c r="E126" i="29"/>
  <c r="E193" i="29"/>
  <c r="E307" i="29"/>
  <c r="E5" i="29"/>
  <c r="E10" i="29"/>
  <c r="E309" i="29"/>
  <c r="E118" i="29"/>
  <c r="F118" i="29" s="1"/>
  <c r="E58" i="29"/>
  <c r="E216" i="29"/>
  <c r="E50" i="29"/>
  <c r="E6" i="29"/>
  <c r="E268" i="29"/>
  <c r="E95" i="29"/>
  <c r="F95" i="29" s="1"/>
  <c r="E171" i="29"/>
  <c r="F171" i="29" s="1"/>
  <c r="E18" i="29"/>
  <c r="F18" i="29" s="1"/>
  <c r="E109" i="29"/>
  <c r="F109" i="29" s="1"/>
  <c r="E167" i="29"/>
  <c r="F167" i="29" s="1"/>
  <c r="E114" i="29"/>
  <c r="F114" i="29" s="1"/>
  <c r="E62" i="29"/>
  <c r="F62" i="29" s="1"/>
  <c r="E252" i="29"/>
  <c r="F252" i="29" s="1"/>
  <c r="E186" i="29"/>
  <c r="F186" i="29" s="1"/>
  <c r="E232" i="29"/>
  <c r="F232" i="29" s="1"/>
  <c r="E35" i="29"/>
  <c r="F35" i="29" s="1"/>
  <c r="E84" i="29"/>
  <c r="F84" i="29" s="1"/>
  <c r="E27" i="29"/>
  <c r="F27" i="29" s="1"/>
  <c r="E287" i="29"/>
  <c r="F287" i="29" s="1"/>
  <c r="E253" i="29"/>
  <c r="F253" i="29" s="1"/>
  <c r="E291" i="29"/>
  <c r="F291" i="29" s="1"/>
  <c r="E66" i="29"/>
  <c r="F66" i="29" s="1"/>
  <c r="E61" i="29"/>
  <c r="F61" i="29" s="1"/>
  <c r="E180" i="29"/>
  <c r="F180" i="29" s="1"/>
  <c r="E210" i="29"/>
  <c r="F210" i="29" s="1"/>
  <c r="E46" i="29"/>
  <c r="F46" i="29" s="1"/>
  <c r="E168" i="29"/>
  <c r="F168" i="29" s="1"/>
  <c r="E104" i="29"/>
  <c r="F104" i="29" s="1"/>
  <c r="E220" i="29"/>
  <c r="F220" i="29" s="1"/>
  <c r="E273" i="29"/>
  <c r="F273" i="29" s="1"/>
  <c r="E145" i="29"/>
  <c r="F145" i="29" s="1"/>
  <c r="E101" i="29"/>
  <c r="F101" i="29" s="1"/>
  <c r="E182" i="29"/>
  <c r="F182" i="29" s="1"/>
  <c r="E115" i="29"/>
  <c r="F115" i="29" s="1"/>
  <c r="E13" i="29"/>
  <c r="F13" i="29" s="1"/>
  <c r="E138" i="29"/>
  <c r="F138" i="29" s="1"/>
  <c r="E105" i="29"/>
  <c r="F105" i="29" s="1"/>
  <c r="E68" i="29"/>
  <c r="F68" i="29" s="1"/>
  <c r="E289" i="29"/>
  <c r="F289" i="29" s="1"/>
  <c r="E223" i="29"/>
  <c r="F223" i="29" s="1"/>
  <c r="E229" i="29"/>
  <c r="F229" i="29" s="1"/>
  <c r="E314" i="29"/>
  <c r="E90" i="29"/>
  <c r="E165" i="29"/>
  <c r="F165" i="29" s="1"/>
  <c r="E164" i="29"/>
  <c r="F164" i="29" s="1"/>
  <c r="E8" i="29"/>
  <c r="E195" i="29"/>
  <c r="E185" i="29"/>
  <c r="F185" i="29" s="1"/>
  <c r="E125" i="29"/>
  <c r="E280" i="29"/>
  <c r="E221" i="29"/>
  <c r="E204" i="29"/>
  <c r="E51" i="29"/>
  <c r="E176" i="29"/>
  <c r="E47" i="29"/>
  <c r="E152" i="29"/>
  <c r="E91" i="29"/>
  <c r="E274" i="29"/>
  <c r="E149" i="29"/>
  <c r="E175" i="29"/>
  <c r="E258" i="29"/>
  <c r="E196" i="29"/>
  <c r="F196" i="29" s="1"/>
  <c r="E283" i="29"/>
  <c r="E248" i="29"/>
  <c r="E121" i="29"/>
  <c r="F121" i="29" s="1"/>
  <c r="E28" i="29"/>
  <c r="E16" i="29"/>
  <c r="E169" i="29"/>
  <c r="F169" i="29" s="1"/>
  <c r="E303" i="29"/>
  <c r="E154" i="29"/>
  <c r="E103" i="29"/>
  <c r="F103" i="29" s="1"/>
  <c r="E72" i="29"/>
  <c r="F72" i="29" s="1"/>
  <c r="E78" i="29"/>
  <c r="F78" i="29" s="1"/>
  <c r="E22" i="29"/>
  <c r="E135" i="29"/>
  <c r="F135" i="29" s="1"/>
  <c r="E206" i="29"/>
  <c r="E69" i="29"/>
  <c r="E231" i="29"/>
  <c r="E146" i="29"/>
  <c r="E282" i="29"/>
  <c r="E190" i="29"/>
  <c r="E246" i="29"/>
  <c r="E127" i="29"/>
  <c r="E260" i="29"/>
  <c r="E99" i="29"/>
  <c r="E53" i="29"/>
  <c r="E3" i="29"/>
  <c r="E87" i="29"/>
  <c r="E212" i="29"/>
  <c r="F212" i="29" s="1"/>
  <c r="E300" i="29"/>
  <c r="F300" i="29" s="1"/>
  <c r="E108" i="29"/>
  <c r="F108" i="29" s="1"/>
  <c r="E98" i="29"/>
  <c r="F98" i="29" s="1"/>
  <c r="E143" i="29"/>
  <c r="F143" i="29" s="1"/>
  <c r="E215" i="29"/>
  <c r="F215" i="29" s="1"/>
  <c r="E189" i="29"/>
  <c r="F189" i="29" s="1"/>
  <c r="E224" i="29"/>
  <c r="F224" i="29" s="1"/>
  <c r="E178" i="29"/>
  <c r="F178" i="29" s="1"/>
  <c r="E272" i="29"/>
  <c r="F272" i="29" s="1"/>
  <c r="E21" i="29"/>
  <c r="F21" i="29" s="1"/>
  <c r="E299" i="29"/>
  <c r="F299" i="29" s="1"/>
  <c r="E297" i="29"/>
  <c r="F297" i="29" s="1"/>
  <c r="E106" i="29"/>
  <c r="F106" i="29" s="1"/>
  <c r="E54" i="29"/>
  <c r="F54" i="29" s="1"/>
  <c r="E261" i="29"/>
  <c r="F261" i="29" s="1"/>
  <c r="E48" i="29"/>
  <c r="F48" i="29" s="1"/>
  <c r="E187" i="29"/>
  <c r="F187" i="29" s="1"/>
  <c r="E32" i="29"/>
  <c r="F32" i="29" s="1"/>
  <c r="E9" i="29"/>
  <c r="F9" i="29" s="1"/>
  <c r="E191" i="29"/>
  <c r="F191" i="29" s="1"/>
  <c r="E262" i="29"/>
  <c r="F262" i="29" s="1"/>
  <c r="E156" i="29"/>
  <c r="F156" i="29" s="1"/>
  <c r="E192" i="29"/>
  <c r="F192" i="29" s="1"/>
  <c r="E110" i="29"/>
  <c r="F110" i="29" s="1"/>
  <c r="E94" i="29"/>
  <c r="F94" i="29" s="1"/>
  <c r="E296" i="29"/>
  <c r="F296" i="29" s="1"/>
  <c r="E14" i="29"/>
  <c r="F14" i="29" s="1"/>
  <c r="E15" i="29"/>
  <c r="F15" i="29" s="1"/>
  <c r="E301" i="29"/>
  <c r="F301" i="29" s="1"/>
  <c r="E92" i="29"/>
  <c r="F92" i="29" s="1"/>
  <c r="E305" i="29"/>
  <c r="F305" i="29" s="1"/>
  <c r="E39" i="29"/>
  <c r="F39" i="29" s="1"/>
  <c r="E49" i="29"/>
  <c r="E56" i="29"/>
  <c r="F56" i="29" s="1"/>
  <c r="E278" i="29"/>
  <c r="E234" i="29"/>
  <c r="E174" i="29"/>
  <c r="E124" i="29"/>
  <c r="E74" i="29"/>
  <c r="E7" i="29"/>
  <c r="E263" i="29"/>
  <c r="E247" i="29"/>
  <c r="E80" i="29"/>
  <c r="E311" i="29"/>
  <c r="E239" i="29"/>
  <c r="E79" i="29"/>
  <c r="E37" i="29"/>
  <c r="E242" i="29"/>
  <c r="E129" i="29"/>
  <c r="E83" i="29"/>
  <c r="F83" i="29" s="1"/>
  <c r="E197" i="29"/>
  <c r="F197" i="29" s="1"/>
  <c r="E313" i="29"/>
  <c r="E241" i="29"/>
  <c r="E155" i="29"/>
  <c r="E42" i="29"/>
  <c r="E136" i="29"/>
  <c r="E226" i="29"/>
  <c r="E284" i="29"/>
  <c r="E85" i="29"/>
  <c r="E151" i="29"/>
  <c r="E31" i="29"/>
  <c r="E199" i="29"/>
  <c r="E38" i="29"/>
  <c r="E160" i="29"/>
  <c r="E59" i="29"/>
  <c r="E308" i="29"/>
  <c r="E302" i="29"/>
  <c r="E238" i="29"/>
  <c r="E88" i="29"/>
  <c r="E123" i="29"/>
  <c r="E142" i="29"/>
  <c r="E257" i="29"/>
  <c r="F257" i="29" s="1"/>
  <c r="E41" i="29"/>
  <c r="E279" i="29"/>
  <c r="E60" i="29"/>
  <c r="E209" i="29"/>
  <c r="E249" i="29"/>
  <c r="E244" i="29"/>
  <c r="E44" i="29"/>
  <c r="F44" i="29" s="1"/>
  <c r="E116" i="29"/>
  <c r="F116" i="29" s="1"/>
  <c r="E277" i="29"/>
  <c r="F277" i="29" s="1"/>
  <c r="C191" i="65" l="1"/>
  <c r="C224" i="65"/>
  <c r="C66" i="65"/>
  <c r="C271" i="65"/>
  <c r="C20" i="65"/>
  <c r="C96" i="65"/>
  <c r="C203" i="65"/>
  <c r="C161" i="65"/>
  <c r="C39" i="65"/>
  <c r="C92" i="65"/>
  <c r="C15" i="65"/>
  <c r="C14" i="65"/>
  <c r="C110" i="65"/>
  <c r="C156" i="65"/>
  <c r="C9" i="65"/>
  <c r="C48" i="65"/>
  <c r="C108" i="65"/>
  <c r="C212" i="65"/>
  <c r="C229" i="65"/>
  <c r="C13" i="65"/>
  <c r="C115" i="65"/>
  <c r="C210" i="65"/>
  <c r="C61" i="65"/>
  <c r="C287" i="65"/>
  <c r="C232" i="65"/>
  <c r="C45" i="65"/>
  <c r="C201" i="65"/>
  <c r="C26" i="65"/>
  <c r="C267" i="65"/>
  <c r="C217" i="65"/>
  <c r="C266" i="65"/>
  <c r="C163" i="65"/>
  <c r="C188" i="65"/>
  <c r="C67" i="65"/>
  <c r="C162" i="65"/>
  <c r="C269" i="65"/>
  <c r="C57" i="65"/>
  <c r="C76" i="65"/>
  <c r="C192" i="65"/>
  <c r="C272" i="65"/>
  <c r="C11" i="65"/>
  <c r="C120" i="65"/>
  <c r="C205" i="65"/>
  <c r="C131" i="65"/>
  <c r="C33" i="65"/>
  <c r="C94" i="65"/>
  <c r="C32" i="65"/>
  <c r="C261" i="65"/>
  <c r="C21" i="65"/>
  <c r="C215" i="65"/>
  <c r="C223" i="65"/>
  <c r="C68" i="65"/>
  <c r="C220" i="65"/>
  <c r="C291" i="65"/>
  <c r="C27" i="65"/>
  <c r="C109" i="65"/>
  <c r="C18" i="65"/>
  <c r="C171" i="65"/>
  <c r="C290" i="65"/>
  <c r="C264" i="65"/>
  <c r="C293" i="65"/>
  <c r="C214" i="65"/>
  <c r="C19" i="65"/>
  <c r="C230" i="65"/>
  <c r="C70" i="65"/>
  <c r="C233" i="65"/>
  <c r="C34" i="65"/>
  <c r="C107" i="65"/>
  <c r="C56" i="65"/>
  <c r="C187" i="65"/>
  <c r="C106" i="65"/>
  <c r="C145" i="65"/>
  <c r="C273" i="65"/>
  <c r="C168" i="65"/>
  <c r="C46" i="65"/>
  <c r="C180" i="65"/>
  <c r="C186" i="65"/>
  <c r="C114" i="65"/>
  <c r="C167" i="65"/>
  <c r="C93" i="65"/>
  <c r="C251" i="65"/>
  <c r="C218" i="65"/>
  <c r="C213" i="65"/>
  <c r="C183" i="65"/>
  <c r="C43" i="65"/>
  <c r="C116" i="65"/>
  <c r="C44" i="65"/>
  <c r="C277" i="65"/>
  <c r="C296" i="65"/>
  <c r="C262" i="65"/>
  <c r="C54" i="65"/>
  <c r="C178" i="65"/>
  <c r="C189" i="65"/>
  <c r="C143" i="65"/>
  <c r="C98" i="65"/>
  <c r="C289" i="65"/>
  <c r="C105" i="65"/>
  <c r="C138" i="65"/>
  <c r="C182" i="65"/>
  <c r="C101" i="65"/>
  <c r="C104" i="65"/>
  <c r="C253" i="65"/>
  <c r="C84" i="65"/>
  <c r="C35" i="65"/>
  <c r="C252" i="65"/>
  <c r="C62" i="65"/>
  <c r="C95" i="65"/>
  <c r="C12" i="65"/>
  <c r="C288" i="65"/>
  <c r="C102" i="65"/>
  <c r="C295" i="65"/>
  <c r="C159" i="65"/>
  <c r="C270" i="65"/>
  <c r="E71" i="29"/>
  <c r="F71" i="29" s="1"/>
  <c r="C63" i="65"/>
  <c r="C112" i="65"/>
  <c r="C292" i="65"/>
  <c r="C179" i="65"/>
  <c r="C65" i="65"/>
  <c r="C100" i="65"/>
  <c r="C219" i="65"/>
  <c r="K19" i="6"/>
  <c r="K21" i="6" s="1"/>
  <c r="E2" i="29"/>
  <c r="C200" i="65"/>
  <c r="C211" i="65"/>
  <c r="C294" i="65"/>
  <c r="C4" i="6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</authors>
  <commentList>
    <comment ref="K4" authorId="0" shapeId="0" xr:uid="{E17411CB-70D4-442E-99D5-F56540D81C1E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7A2F0D2A-C44E-41B6-8055-9C52F54C0345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 xr:uid="{A96EF027-F298-4947-A08A-BD54455A0C9B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</authors>
  <commentList>
    <comment ref="D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E7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I7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Helen Malagon</author>
  </authors>
  <commentList>
    <comment ref="F14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Helen Malagon:</t>
        </r>
        <r>
          <rPr>
            <sz val="9"/>
            <color indexed="81"/>
            <rFont val="Tahoma"/>
            <family val="2"/>
          </rPr>
          <t xml:space="preserve">
Dieringer and Vashon Island looking for another partner, please leave allocation in the table.</t>
        </r>
      </text>
    </comment>
    <comment ref="F16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Helen Malagon:</t>
        </r>
        <r>
          <rPr>
            <sz val="9"/>
            <color indexed="81"/>
            <rFont val="Tahoma"/>
            <family val="2"/>
          </rPr>
          <t xml:space="preserve">
Looking for partner, leave allocation Dieringer and Vashon Island looking for another partner, please leave allocation in the table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Vicky Dyer</author>
  </authors>
  <commentList>
    <comment ref="D1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From Alyssa, 6/23/2015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</authors>
  <commentList>
    <comment ref="C1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  <comment ref="N1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</authors>
  <commentList>
    <comment ref="I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Provided by Helen Malagon</t>
        </r>
      </text>
    </comment>
    <comment ref="H3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This is a count of all of the districts who have applied for Title III funds, are not part of a consortium, and whose preliminary allocation is less than $10,000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  <author>Vicky Dyer</author>
    <author>kthompson</author>
    <author>Michelle Matakas</author>
    <author>Daniel Lunghofer</author>
  </authors>
  <commentList>
    <comment ref="X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Preliminary number from US Department of Education Funding</t>
        </r>
      </text>
    </comment>
    <comment ref="B7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For 2017-18, it is 50-50 per ESSA, but the ESSA plan submitted to the Feds recommended 60% TA and 40% CA as of the time of these calculations- -the plan has not been approved. </t>
        </r>
      </text>
    </comment>
    <comment ref="D7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E7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F7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G7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H7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I7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J7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50%/50% per Alyssa Westall 8/3/2018</t>
        </r>
      </text>
    </comment>
    <comment ref="X10" authorId="2" shapeId="0" xr:uid="{00000000-0006-0000-0200-00000A000000}">
      <text>
        <r>
          <rPr>
            <b/>
            <sz val="8"/>
            <color indexed="81"/>
            <rFont val="Tahoma"/>
            <family val="2"/>
          </rPr>
          <t>kthompson:</t>
        </r>
        <r>
          <rPr>
            <sz val="8"/>
            <color indexed="81"/>
            <rFont val="Tahoma"/>
            <family val="2"/>
          </rPr>
          <t xml:space="preserve">
change this to formula for final????
</t>
        </r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 Changed this to a "maxmimum amount" formula; does not affect sheet unless Actual Emergency Immigrant is over this amount.
</t>
        </r>
      </text>
    </comment>
    <comment ref="Y10" authorId="2" shapeId="0" xr:uid="{00000000-0006-0000-0200-00000B000000}">
      <text>
        <r>
          <rPr>
            <b/>
            <sz val="8"/>
            <color indexed="81"/>
            <rFont val="Tahoma"/>
            <family val="2"/>
          </rPr>
          <t>kthompson:</t>
        </r>
        <r>
          <rPr>
            <sz val="8"/>
            <color indexed="81"/>
            <rFont val="Tahoma"/>
            <family val="2"/>
          </rPr>
          <t xml:space="preserve">
change this to formula for final????</t>
        </r>
      </text>
    </comment>
    <comment ref="L13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Adjusted for Steilacoom (last minutes response) 
Formula in C14 (below) should be C9-C13</t>
        </r>
      </text>
    </comment>
    <comment ref="P13" authorId="3" shapeId="0" xr:uid="{00000000-0006-0000-0200-00000D000000}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adjusted for Palisades last minute application to keep other districts allocation the same.</t>
        </r>
      </text>
    </comment>
    <comment ref="X13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 xml:space="preserve">Daniel.Lunghofer:
</t>
        </r>
        <r>
          <rPr>
            <sz val="8"/>
            <color indexed="81"/>
            <rFont val="Tahoma"/>
            <family val="2"/>
          </rPr>
          <t>Preliminary number $565,230 as of 3/20/08.
Changed to $405,350 on 5/2/08
Changed to $315,100 on 7/28/08 with final numbers</t>
        </r>
      </text>
    </comment>
    <comment ref="R15" authorId="4" shapeId="0" xr:uid="{00000000-0006-0000-0200-00000F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Actual amount $787,874.57. Allocations don't deal in cents; rounded down.
</t>
        </r>
      </text>
    </comment>
    <comment ref="S15" authorId="4" shapeId="0" xr:uid="{00000000-0006-0000-0200-000010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Actual amount $787,874.57. Allocations don't deal in cents; rounded down.
</t>
        </r>
      </text>
    </comment>
    <comment ref="N17" authorId="3" shapeId="0" xr:uid="{00000000-0006-0000-0200-000011000000}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actual amount is $891,704; set aside $50,000 in reserve per Alyssa Westall</t>
        </r>
      </text>
    </comment>
    <comment ref="O17" authorId="3" shapeId="0" xr:uid="{00000000-0006-0000-0200-000012000000}">
      <text>
        <r>
          <rPr>
            <b/>
            <sz val="9"/>
            <color indexed="81"/>
            <rFont val="Tahoma"/>
            <family val="2"/>
          </rPr>
          <t>Michelle Matakas:</t>
        </r>
        <r>
          <rPr>
            <sz val="9"/>
            <color indexed="81"/>
            <rFont val="Tahoma"/>
            <family val="2"/>
          </rPr>
          <t xml:space="preserve">
actual amount is $891,704; set aside $50,000 in reserve per Alyssa Westall</t>
        </r>
      </text>
    </comment>
    <comment ref="S27" authorId="4" shapeId="0" xr:uid="{00000000-0006-0000-0200-000013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Formula deduction of 6.62%. Sequestration may take place 1/1/13, and will affect FY 13 allocations. Without knowing what percentage is available July 1 (FY 12) and what percentage is available October 1 (FY 13), the Title II Part A breakdown was used to provide an estimate of the amount to be sequestered, or 9.1% of the FY 13 amount.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Vicky Dyer</author>
  </authors>
  <commentList>
    <comment ref="E6" authorId="0" shapeId="0" xr:uid="{F09D92BF-6D15-4CF3-B464-BEA4745E9458}">
      <text>
        <r>
          <rPr>
            <b/>
            <sz val="9"/>
            <color indexed="81"/>
            <rFont val="Tahoma"/>
            <family val="2"/>
          </rPr>
          <t xml:space="preserve">Vicky Dyer:
</t>
        </r>
        <r>
          <rPr>
            <sz val="9"/>
            <color indexed="81"/>
            <rFont val="Tahoma"/>
            <family val="2"/>
          </rPr>
          <t xml:space="preserve">Self reported by districts when they complete the intent to participate.
Only update for final.
Prem. Should use the enrollment from PY (Program to remind district on this)
</t>
        </r>
      </text>
    </comment>
    <comment ref="F6" authorId="0" shapeId="0" xr:uid="{F946F777-1966-4394-9330-133F31FAD212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This is from program office.</t>
        </r>
      </text>
    </comment>
    <comment ref="G6" authorId="0" shapeId="0" xr:uid="{4A602F66-0006-40F5-BC46-AD7917F66F2F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From program office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Vicky Dyer</author>
  </authors>
  <commentList>
    <comment ref="E6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 xml:space="preserve">Vicky Dyer:
</t>
        </r>
        <r>
          <rPr>
            <sz val="9"/>
            <color indexed="81"/>
            <rFont val="Tahoma"/>
            <family val="2"/>
          </rPr>
          <t xml:space="preserve">Self reported by districts when they complete the intent to participate.
Only update for final.
Prem. Should use the enrollment from PY (Program to remind district on this)
</t>
        </r>
      </text>
    </comment>
    <comment ref="F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This is from program office.</t>
        </r>
      </text>
    </comment>
    <comment ref="G6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From program office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</authors>
  <commentList>
    <comment ref="D1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Daniel.Lunghofer:</t>
        </r>
        <r>
          <rPr>
            <sz val="9"/>
            <color indexed="81"/>
            <rFont val="Tahoma"/>
            <family val="2"/>
          </rPr>
          <t xml:space="preserve">
Per Helen on 9/7/10, districts in a consortium use FP 231, the rest use FP 232.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Daniel.Lunghofer</author>
  </authors>
  <commentList>
    <comment ref="H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Calculated as the average of April/May 2006/07, and October-March 2007-08</t>
        </r>
      </text>
    </comment>
    <comment ref="C25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  <comment ref="C35" authorId="0" shapeId="0" xr:uid="{00000000-0006-0000-3000-000003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N to Y per Helen Malagon, in person, 5/12/2008</t>
        </r>
      </text>
    </comment>
    <comment ref="C110" authorId="0" shapeId="0" xr:uid="{00000000-0006-0000-3000-000004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N to Y per Helen Malagon, in person, 5/12/2008</t>
        </r>
      </text>
    </comment>
    <comment ref="C121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  <comment ref="C17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Daniel.Lunghofer:</t>
        </r>
        <r>
          <rPr>
            <sz val="8"/>
            <color indexed="81"/>
            <rFont val="Tahoma"/>
            <family val="2"/>
          </rPr>
          <t xml:space="preserve">
Changed from Y to N per Helen Malagon, in person, 5/12/2008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hmalagon</author>
  </authors>
  <commentList>
    <comment ref="G46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hmalagon:</t>
        </r>
        <r>
          <rPr>
            <sz val="8"/>
            <color indexed="81"/>
            <rFont val="Tahoma"/>
            <family val="2"/>
          </rPr>
          <t xml:space="preserve">
Add to Title III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hmalagon</author>
  </authors>
  <commentList>
    <comment ref="G46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hmalagon:</t>
        </r>
        <r>
          <rPr>
            <sz val="8"/>
            <color indexed="81"/>
            <rFont val="Tahoma"/>
            <family val="2"/>
          </rPr>
          <t xml:space="preserve">
Add to Title III 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hmalagon</author>
  </authors>
  <commentList>
    <comment ref="D16" authorId="0" shapeId="0" xr:uid="{00000000-0006-0000-3800-000001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CONSOR W/HOQUIAM</t>
        </r>
      </text>
    </comment>
    <comment ref="F55" authorId="0" shapeId="0" xr:uid="{00000000-0006-0000-3800-000002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8/21/07 no report
8/30/07 no report</t>
        </r>
      </text>
    </comment>
    <comment ref="F62" authorId="0" shapeId="0" xr:uid="{00000000-0006-0000-3800-000003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COUNT REPORTED</t>
        </r>
      </text>
    </comment>
    <comment ref="F65" authorId="0" shapeId="0" xr:uid="{00000000-0006-0000-3800-000004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count reported
8/21/07 spoke with mary anton regarding data reports</t>
        </r>
      </text>
    </comment>
    <comment ref="F68" authorId="0" shapeId="0" xr:uid="{00000000-0006-0000-3800-000005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 students report
88
8/30/07 10 students reported no add from previous</t>
        </r>
      </text>
    </comment>
    <comment ref="F77" authorId="0" shapeId="0" xr:uid="{00000000-0006-0000-3800-000006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8/20/07 NO RECORDS ENTERED
did not test students</t>
        </r>
      </text>
    </comment>
    <comment ref="F80" authorId="0" shapeId="0" xr:uid="{00000000-0006-0000-3800-000007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</t>
        </r>
      </text>
    </comment>
    <comment ref="F93" authorId="0" shapeId="0" xr:uid="{00000000-0006-0000-3800-000008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8/5/07 message
8/21/07 message</t>
        </r>
      </text>
    </comment>
    <comment ref="H103" authorId="0" shapeId="0" xr:uid="{00000000-0006-0000-3800-000009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50000</t>
        </r>
      </text>
    </comment>
    <comment ref="F108" authorId="0" shapeId="0" xr:uid="{00000000-0006-0000-3800-00000A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 count reported  8/58/07
call marysville to correct data</t>
        </r>
      </text>
    </comment>
    <comment ref="H109" authorId="0" shapeId="0" xr:uid="{00000000-0006-0000-3800-00000B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10000</t>
        </r>
      </text>
    </comment>
    <comment ref="F114" authorId="0" shapeId="0" xr:uid="{00000000-0006-0000-3800-00000C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
8/5/07 message</t>
        </r>
      </text>
    </comment>
    <comment ref="F128" authorId="0" shapeId="0" xr:uid="{00000000-0006-0000-3800-00000D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</t>
        </r>
      </text>
    </comment>
    <comment ref="H137" authorId="0" shapeId="0" xr:uid="{00000000-0006-0000-3800-00000E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10000</t>
        </r>
      </text>
    </comment>
    <comment ref="F138" authorId="0" shapeId="0" xr:uid="{00000000-0006-0000-3800-00000F000000}">
      <text>
        <r>
          <rPr>
            <b/>
            <sz val="10"/>
            <color indexed="81"/>
            <rFont val="Tahoma"/>
            <family val="2"/>
          </rPr>
          <t>hmalagon:</t>
        </r>
        <r>
          <rPr>
            <sz val="10"/>
            <color indexed="81"/>
            <rFont val="Tahoma"/>
            <family val="2"/>
          </rPr>
          <t xml:space="preserve">
No students reported 8/5/07 message
Will submit data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</authors>
  <commentList>
    <comment ref="K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</authors>
  <commentList>
    <comment ref="K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</authors>
  <commentList>
    <comment ref="K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  <author>Alyssa Westall</author>
  </authors>
  <commentList>
    <comment ref="K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K7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Formula to use</t>
        </r>
      </text>
    </comment>
    <comment ref="AD21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Alyssa Westall:</t>
        </r>
        <r>
          <rPr>
            <sz val="9"/>
            <color indexed="81"/>
            <rFont val="Tahoma"/>
            <family val="2"/>
          </rPr>
          <t xml:space="preserve">
The district is struggling to report to CEDARS. Get the TBIP and Title III Native American counts from Sheri Dunster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  <author>Vicky Dyer</author>
  </authors>
  <commentList>
    <comment ref="K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  <comment ref="W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For consortium and any other districts receiving less than $10,000, the funding will be held by state until a decision is made. This column is to reflect the new temp final allocation without distributing money to other districts. </t>
        </r>
      </text>
    </comment>
    <comment ref="AC2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Vicky Dyer:</t>
        </r>
        <r>
          <rPr>
            <sz val="9"/>
            <color indexed="81"/>
            <rFont val="Tahoma"/>
            <family val="2"/>
          </rPr>
          <t xml:space="preserve">
Due to timing of late allocations from Ed. And district planning complected, we are allowing La Conner to apply independently.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Lunghofer</author>
  </authors>
  <commentList>
    <comment ref="K4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Daniel Lunghofer:</t>
        </r>
        <r>
          <rPr>
            <sz val="9"/>
            <color indexed="81"/>
            <rFont val="Tahoma"/>
            <family val="2"/>
          </rPr>
          <t xml:space="preserve">
Y means accepting. N means not accepting. N/A means "not allocated." NC means the district has under $10,000 and is not in a consortium.</t>
        </r>
      </text>
    </comment>
  </commentList>
</comments>
</file>

<file path=xl/sharedStrings.xml><?xml version="1.0" encoding="utf-8"?>
<sst xmlns="http://schemas.openxmlformats.org/spreadsheetml/2006/main" count="55514" uniqueCount="1805">
  <si>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</si>
  <si>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</si>
  <si>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</si>
  <si>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</si>
  <si>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</si>
  <si>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</si>
  <si>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</si>
  <si>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</si>
  <si>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</si>
  <si>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</si>
  <si>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02250</t>
  </si>
  <si>
    <t>CLARKSTON</t>
  </si>
  <si>
    <t>02420</t>
  </si>
  <si>
    <t>ASOTIN-ANATONE</t>
  </si>
  <si>
    <t>03017</t>
  </si>
  <si>
    <t>KENNEWICK</t>
  </si>
  <si>
    <t>03050</t>
  </si>
  <si>
    <t>PATERSON</t>
  </si>
  <si>
    <t>03052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</si>
  <si>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</si>
  <si>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</si>
  <si>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</si>
  <si>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</si>
  <si>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</si>
  <si>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</si>
  <si>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</si>
  <si>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</si>
  <si>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</si>
  <si>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</si>
  <si>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</si>
  <si>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</si>
  <si>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</si>
  <si>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</si>
  <si>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</si>
  <si>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</si>
  <si>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</si>
  <si>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</si>
  <si>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</si>
  <si>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</si>
  <si>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</si>
  <si>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</si>
  <si>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</si>
  <si>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</si>
  <si>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</si>
  <si>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</si>
  <si>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</si>
  <si>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</si>
  <si>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</si>
  <si>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</si>
  <si>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06037</t>
  </si>
  <si>
    <t>VANCOUVER</t>
  </si>
  <si>
    <t>06098</t>
  </si>
  <si>
    <t>HOCKINSON</t>
  </si>
  <si>
    <t>06101</t>
  </si>
  <si>
    <t>06103</t>
  </si>
  <si>
    <t>GREEN MOUNTAIN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</si>
  <si>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</si>
  <si>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</si>
  <si>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</si>
  <si>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</si>
  <si>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</si>
  <si>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</si>
  <si>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</si>
  <si>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</si>
  <si>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</si>
  <si>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</si>
  <si>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07002</t>
  </si>
  <si>
    <t>DAYTON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</si>
  <si>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</si>
  <si>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</si>
  <si>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</si>
  <si>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</si>
  <si>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</si>
  <si>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</si>
  <si>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</si>
  <si>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</si>
  <si>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</si>
  <si>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</si>
  <si>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</si>
  <si>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</si>
  <si>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</si>
  <si>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</si>
  <si>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</si>
  <si>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</si>
  <si>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</si>
  <si>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</si>
  <si>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</si>
  <si>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</si>
  <si>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</si>
  <si>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</si>
  <si>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</si>
  <si>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</si>
  <si>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</si>
  <si>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</si>
  <si>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</si>
  <si>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</si>
  <si>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</si>
  <si>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</si>
  <si>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</si>
  <si>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</si>
  <si>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</si>
  <si>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</si>
  <si>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</si>
  <si>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</si>
  <si>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</si>
  <si>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</si>
  <si>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</si>
  <si>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</si>
  <si>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</si>
  <si>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</si>
  <si>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</si>
  <si>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</si>
  <si>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12110</t>
  </si>
  <si>
    <t>POMEROY</t>
  </si>
  <si>
    <t>13073</t>
  </si>
  <si>
    <t>WAHLUKE</t>
  </si>
  <si>
    <t>13144</t>
  </si>
  <si>
    <t>QUINCY</t>
  </si>
  <si>
    <t>13146</t>
  </si>
  <si>
    <t>WARDEN</t>
  </si>
  <si>
    <t>13151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</si>
  <si>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</si>
  <si>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</si>
  <si>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</si>
  <si>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</si>
  <si>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</si>
  <si>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</si>
  <si>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</si>
  <si>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</si>
  <si>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</si>
  <si>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</si>
  <si>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</si>
  <si>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14005</t>
  </si>
  <si>
    <t>ABERDEEN</t>
  </si>
  <si>
    <t>14028</t>
  </si>
  <si>
    <t>HOQUIAM</t>
  </si>
  <si>
    <t>14064</t>
  </si>
  <si>
    <t>NORTH BEACH</t>
  </si>
  <si>
    <t>14065</t>
  </si>
  <si>
    <t>14066</t>
  </si>
  <si>
    <t>MONTESANO</t>
  </si>
  <si>
    <t>14068</t>
  </si>
  <si>
    <t>ELMA</t>
  </si>
  <si>
    <t>14077</t>
  </si>
  <si>
    <t>TAHOLAH</t>
  </si>
  <si>
    <t>14097</t>
  </si>
  <si>
    <t>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</si>
  <si>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</si>
  <si>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</si>
  <si>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</si>
  <si>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</si>
  <si>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</si>
  <si>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</si>
  <si>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</si>
  <si>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</si>
  <si>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</si>
  <si>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</si>
  <si>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</si>
  <si>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</si>
  <si>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</si>
  <si>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</si>
  <si>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</si>
  <si>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</si>
  <si>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</si>
  <si>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</si>
  <si>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</si>
  <si>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</si>
  <si>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</si>
  <si>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</si>
  <si>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</si>
  <si>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</si>
  <si>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</si>
  <si>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</si>
  <si>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</si>
  <si>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</si>
  <si>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</si>
  <si>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</si>
  <si>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</si>
  <si>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</si>
  <si>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</si>
  <si>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</si>
  <si>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</si>
  <si>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</si>
  <si>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</si>
  <si>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</si>
  <si>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</si>
  <si>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</si>
  <si>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</si>
  <si>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</si>
  <si>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</si>
  <si>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</si>
  <si>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</si>
  <si>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</si>
  <si>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</si>
  <si>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</si>
  <si>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</si>
  <si>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</si>
  <si>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</si>
  <si>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</si>
  <si>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</si>
  <si>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</si>
  <si>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</si>
  <si>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</si>
  <si>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</si>
  <si>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</si>
  <si>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</si>
  <si>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</si>
  <si>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</si>
  <si>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</si>
  <si>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</si>
  <si>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</si>
  <si>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18100</t>
  </si>
  <si>
    <t>BREMERTON</t>
  </si>
  <si>
    <t>18303</t>
  </si>
  <si>
    <t>18400</t>
  </si>
  <si>
    <t>NORTH KITSAP</t>
  </si>
  <si>
    <t>18401</t>
  </si>
  <si>
    <t>CENTRAL KITSAP</t>
  </si>
  <si>
    <t>18402</t>
  </si>
  <si>
    <t>SOUTH KITSAP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</si>
  <si>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</si>
  <si>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</si>
  <si>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</si>
  <si>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</si>
  <si>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</si>
  <si>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</si>
  <si>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</si>
  <si>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</si>
  <si>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</si>
  <si>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</si>
  <si>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</si>
  <si>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</si>
  <si>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</si>
  <si>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</si>
  <si>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</si>
  <si>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</si>
  <si>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</si>
  <si>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</si>
  <si>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</si>
  <si>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</si>
  <si>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</si>
  <si>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</si>
  <si>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</si>
  <si>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</si>
  <si>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</si>
  <si>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</si>
  <si>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</si>
  <si>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</si>
  <si>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</si>
  <si>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</si>
  <si>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</si>
  <si>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</si>
  <si>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21014</t>
  </si>
  <si>
    <t>NAPAVINE</t>
  </si>
  <si>
    <t>21018</t>
  </si>
  <si>
    <t>VADER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</si>
  <si>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</si>
  <si>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</si>
  <si>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</si>
  <si>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</si>
  <si>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</si>
  <si>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</si>
  <si>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</si>
  <si>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</si>
  <si>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</si>
  <si>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</si>
  <si>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</si>
  <si>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</si>
  <si>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</si>
  <si>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</si>
  <si>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</si>
  <si>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</si>
  <si>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</si>
  <si>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</si>
  <si>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</si>
  <si>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</si>
  <si>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</si>
  <si>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</si>
  <si>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</si>
  <si>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</si>
  <si>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22008</t>
  </si>
  <si>
    <t>SPRAGUE</t>
  </si>
  <si>
    <t>22009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</si>
  <si>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</si>
  <si>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</si>
  <si>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</si>
  <si>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</si>
  <si>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</si>
  <si>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</si>
  <si>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</si>
  <si>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</si>
  <si>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</si>
  <si>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</si>
  <si>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</si>
  <si>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</si>
  <si>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23042</t>
  </si>
  <si>
    <t>SOUTHSIDE</t>
  </si>
  <si>
    <t>23054</t>
  </si>
  <si>
    <t>GRAPEVIEW</t>
  </si>
  <si>
    <t>23309</t>
  </si>
  <si>
    <t>SHELTON</t>
  </si>
  <si>
    <t>23311</t>
  </si>
  <si>
    <t>MARY M KNIGHT</t>
  </si>
  <si>
    <t>23402</t>
  </si>
  <si>
    <t>PIONEER</t>
  </si>
  <si>
    <t>23403</t>
  </si>
  <si>
    <t>NORTH MASON</t>
  </si>
  <si>
    <t>23404</t>
  </si>
  <si>
    <t>HOOD CANAL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</si>
  <si>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</si>
  <si>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</si>
  <si>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</si>
  <si>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</si>
  <si>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</si>
  <si>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</si>
  <si>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</si>
  <si>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</si>
  <si>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</si>
  <si>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</si>
  <si>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</si>
  <si>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</si>
  <si>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</si>
  <si>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</si>
  <si>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</si>
  <si>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</si>
  <si>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25101</t>
  </si>
  <si>
    <t>OCEAN BEACH</t>
  </si>
  <si>
    <t>25116</t>
  </si>
  <si>
    <t>RAYMOND</t>
  </si>
  <si>
    <t>25118</t>
  </si>
  <si>
    <t>SOUTH BEND</t>
  </si>
  <si>
    <t>25155</t>
  </si>
  <si>
    <t>25160</t>
  </si>
  <si>
    <t>WILLAPA VALLEY</t>
  </si>
  <si>
    <t>25200</t>
  </si>
  <si>
    <t>NORTH RIVER</t>
  </si>
  <si>
    <t>26056</t>
  </si>
  <si>
    <t>NEWPORT</t>
  </si>
  <si>
    <t>26059</t>
  </si>
  <si>
    <t>CUSICK</t>
  </si>
  <si>
    <t>26070</t>
  </si>
  <si>
    <t>SELKIRK</t>
  </si>
  <si>
    <t>27001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</si>
  <si>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</si>
  <si>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</si>
  <si>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</si>
  <si>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</si>
  <si>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</si>
  <si>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</si>
  <si>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</si>
  <si>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</si>
  <si>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</si>
  <si>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</si>
  <si>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</si>
  <si>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</si>
  <si>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</si>
  <si>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</si>
  <si>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</si>
  <si>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</si>
  <si>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</si>
  <si>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</si>
  <si>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</si>
  <si>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</si>
  <si>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</si>
  <si>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</si>
  <si>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</si>
  <si>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</si>
  <si>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</si>
  <si>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</si>
  <si>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</si>
  <si>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</si>
  <si>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28010</t>
  </si>
  <si>
    <t>28137</t>
  </si>
  <si>
    <t>28144</t>
  </si>
  <si>
    <t>LOPEZ</t>
  </si>
  <si>
    <t>28149</t>
  </si>
  <si>
    <t>29011</t>
  </si>
  <si>
    <t>CONCRETE</t>
  </si>
  <si>
    <t>29100</t>
  </si>
  <si>
    <t>29101</t>
  </si>
  <si>
    <t>29103</t>
  </si>
  <si>
    <t>ANACORTES</t>
  </si>
  <si>
    <t>29311</t>
  </si>
  <si>
    <t>LA CONNER</t>
  </si>
  <si>
    <t>29317</t>
  </si>
  <si>
    <t>CONWAY</t>
  </si>
  <si>
    <t>29320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</si>
  <si>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</si>
  <si>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</si>
  <si>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</si>
  <si>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</si>
  <si>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</si>
  <si>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</si>
  <si>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</si>
  <si>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</si>
  <si>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</si>
  <si>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</si>
  <si>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</si>
  <si>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</si>
  <si>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</si>
  <si>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</si>
  <si>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</si>
  <si>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</si>
  <si>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</si>
  <si>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</si>
  <si>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</si>
  <si>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</si>
  <si>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</si>
  <si>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</si>
  <si>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</si>
  <si>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</si>
  <si>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</si>
  <si>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</si>
  <si>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</si>
  <si>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</si>
  <si>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</si>
  <si>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</si>
  <si>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</si>
  <si>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</si>
  <si>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</si>
  <si>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</si>
  <si>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</si>
  <si>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</si>
  <si>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</si>
  <si>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</si>
  <si>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</si>
  <si>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</si>
  <si>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</si>
  <si>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</si>
  <si>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</si>
  <si>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</si>
  <si>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</si>
  <si>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</si>
  <si>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</si>
  <si>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</si>
  <si>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</si>
  <si>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</si>
  <si>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</si>
  <si>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</si>
  <si>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</si>
  <si>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</si>
  <si>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32362</t>
  </si>
  <si>
    <t>LIBERTY</t>
  </si>
  <si>
    <t>32363</t>
  </si>
  <si>
    <t>32414</t>
  </si>
  <si>
    <t>DEER PARK</t>
  </si>
  <si>
    <t>32416</t>
  </si>
  <si>
    <t>RIVERSIDE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</si>
  <si>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</si>
  <si>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</si>
  <si>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</si>
  <si>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</si>
  <si>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</si>
  <si>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</si>
  <si>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</si>
  <si>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</si>
  <si>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</si>
  <si>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</si>
  <si>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</si>
  <si>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</si>
  <si>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</si>
  <si>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</si>
  <si>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</si>
  <si>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EVERGREEN (STEV)</t>
  </si>
  <si>
    <t>33206</t>
  </si>
  <si>
    <t>COLUMBIA (STEV)</t>
  </si>
  <si>
    <t>33207</t>
  </si>
  <si>
    <t>MARY WALKER</t>
  </si>
  <si>
    <t>33211</t>
  </si>
  <si>
    <t>NORTHPORT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</si>
  <si>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</si>
  <si>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</si>
  <si>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</si>
  <si>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</si>
  <si>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</si>
  <si>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</si>
  <si>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</si>
  <si>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</si>
  <si>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</si>
  <si>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</si>
  <si>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</si>
  <si>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</si>
  <si>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</si>
  <si>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</si>
  <si>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</si>
  <si>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</si>
  <si>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</si>
  <si>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</si>
  <si>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35200</t>
  </si>
  <si>
    <t>WAHKIAKUM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</si>
  <si>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</si>
  <si>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</si>
  <si>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</si>
  <si>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</si>
  <si>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</si>
  <si>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</si>
  <si>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</si>
  <si>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</si>
  <si>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</si>
  <si>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COLUMBIA (WALLA)</t>
  </si>
  <si>
    <t>36401</t>
  </si>
  <si>
    <t>WAITSBURG</t>
  </si>
  <si>
    <t>36402</t>
  </si>
  <si>
    <t>PRESCOTT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</si>
  <si>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</si>
  <si>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</si>
  <si>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</si>
  <si>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</si>
  <si>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</si>
  <si>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</si>
  <si>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</si>
  <si>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</si>
  <si>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</si>
  <si>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</si>
  <si>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</si>
  <si>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</si>
  <si>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</si>
  <si>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</si>
  <si>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38126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</si>
  <si>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</si>
  <si>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</si>
  <si>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</si>
  <si>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</si>
  <si>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</si>
  <si>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</si>
  <si>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</si>
  <si>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</si>
  <si>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</si>
  <si>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</si>
  <si>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</si>
  <si>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</si>
  <si>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</si>
  <si>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</si>
  <si>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</si>
  <si>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</si>
  <si>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</si>
  <si>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</si>
  <si>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</si>
  <si>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</si>
  <si>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</si>
  <si>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 JOHN</t>
  </si>
  <si>
    <t>38324</t>
  </si>
  <si>
    <t>OAKESDALE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</si>
  <si>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</si>
  <si>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</si>
  <si>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</si>
  <si>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</si>
  <si>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</si>
  <si>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</si>
  <si>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</si>
  <si>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</si>
  <si>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</si>
  <si>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</si>
  <si>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</si>
  <si>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</si>
  <si>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</si>
  <si>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</si>
  <si>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</si>
  <si>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</si>
  <si>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</si>
  <si>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</si>
  <si>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</si>
  <si>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</si>
  <si>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</si>
  <si>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</si>
  <si>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</si>
  <si>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</si>
  <si>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</si>
  <si>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</si>
  <si>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</si>
  <si>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(YAK)</t>
  </si>
  <si>
    <t>39209</t>
  </si>
  <si>
    <t>MOUNT ADAMS</t>
  </si>
  <si>
    <t>NOTES:</t>
  </si>
  <si>
    <t>Total State Allocation</t>
  </si>
  <si>
    <t>Funding</t>
  </si>
  <si>
    <t xml:space="preserve">Source: </t>
  </si>
  <si>
    <r>
      <t>Caution:</t>
    </r>
    <r>
      <rPr>
        <sz val="10"/>
        <rFont val="Arial"/>
        <family val="2"/>
      </rPr>
      <t xml:space="preserve"> Yellow Cells below drive are inputs into the calculations in this model</t>
    </r>
  </si>
  <si>
    <t>District</t>
  </si>
  <si>
    <t>Assumptions and Factors — Title III</t>
  </si>
  <si>
    <t>Minimum Award to a district is $10,000</t>
  </si>
  <si>
    <t>Section 3114</t>
  </si>
  <si>
    <t>DataSets:</t>
  </si>
  <si>
    <t>Number of LEP child within the districts</t>
  </si>
  <si>
    <t>Districts getting &lt; $10,000 can join a consortium so the initial allocation is done for all districts, regardless of amount.</t>
  </si>
  <si>
    <t>So there are $$ to redistribute.</t>
  </si>
  <si>
    <t>Max Emergency Immigrant reservation</t>
  </si>
  <si>
    <t>Emergency Immigrant has formula and competitive pieces.</t>
  </si>
  <si>
    <t>Native American students are tested, must be failing - under 35% on WASL or other assessments.</t>
  </si>
  <si>
    <t>Above number is a maximum</t>
  </si>
  <si>
    <t>The 15% is for districts that have experienced a significant increase in immigrant children 3114(d) (1).</t>
  </si>
  <si>
    <t>ESD</t>
  </si>
  <si>
    <t>CCDDD</t>
  </si>
  <si>
    <t xml:space="preserve">  DISTRICT</t>
  </si>
  <si>
    <t>113</t>
  </si>
  <si>
    <t>189</t>
  </si>
  <si>
    <t>123</t>
  </si>
  <si>
    <t>121</t>
  </si>
  <si>
    <t>BAINBRIDGE</t>
  </si>
  <si>
    <t>112</t>
  </si>
  <si>
    <t>114</t>
  </si>
  <si>
    <t>171</t>
  </si>
  <si>
    <t>BURLINGTON EDISON</t>
  </si>
  <si>
    <t>101</t>
  </si>
  <si>
    <t>ESD 123</t>
  </si>
  <si>
    <t>105</t>
  </si>
  <si>
    <t>EAST VALLEY (SPOK)</t>
  </si>
  <si>
    <t>Quinault</t>
  </si>
  <si>
    <t>KIONA BENTON</t>
  </si>
  <si>
    <t>LACENTER</t>
  </si>
  <si>
    <t>MT VERNON</t>
  </si>
  <si>
    <t>NASELLE GRAYS RIV</t>
  </si>
  <si>
    <t>Tonasket</t>
  </si>
  <si>
    <t>ORCAS</t>
  </si>
  <si>
    <t>SAN JUAN</t>
  </si>
  <si>
    <t>SEDRO WOOLLEY</t>
  </si>
  <si>
    <t>STANWOOD-CAMANO</t>
  </si>
  <si>
    <t>STEILACOOM HIST.</t>
  </si>
  <si>
    <t>WEST VALLEY (SPOK)</t>
  </si>
  <si>
    <t>YELM COMMUNITY</t>
  </si>
  <si>
    <t>Total</t>
  </si>
  <si>
    <t>Y</t>
  </si>
  <si>
    <t>Centralia</t>
  </si>
  <si>
    <t>Ephrata</t>
  </si>
  <si>
    <t>Lake Chelan</t>
  </si>
  <si>
    <t>North Kitsap</t>
  </si>
  <si>
    <t>Peninsula</t>
  </si>
  <si>
    <t>Tahoma</t>
  </si>
  <si>
    <t>Bellingham</t>
  </si>
  <si>
    <t>Burlington Edison</t>
  </si>
  <si>
    <t>Franklin Pierce</t>
  </si>
  <si>
    <t>North Thurston</t>
  </si>
  <si>
    <t>Othello</t>
  </si>
  <si>
    <t>Toppenish</t>
  </si>
  <si>
    <t>Wahluke</t>
  </si>
  <si>
    <t>Everett</t>
  </si>
  <si>
    <t>Kennewick</t>
  </si>
  <si>
    <t>Northshore</t>
  </si>
  <si>
    <t>Renton</t>
  </si>
  <si>
    <t>Mabton</t>
  </si>
  <si>
    <t>Shoreline</t>
  </si>
  <si>
    <t>Walla Walla</t>
  </si>
  <si>
    <t>EI</t>
  </si>
  <si>
    <t>Y/N</t>
  </si>
  <si>
    <t>N</t>
  </si>
  <si>
    <t>LACROSSE JOINT</t>
  </si>
  <si>
    <t>Total Enrollment</t>
  </si>
  <si>
    <t>Bilingual Enroll</t>
  </si>
  <si>
    <t>District Name</t>
  </si>
  <si>
    <t>04801</t>
  </si>
  <si>
    <t>ESD 171</t>
  </si>
  <si>
    <t>06801</t>
  </si>
  <si>
    <t>ESD 112</t>
  </si>
  <si>
    <t>11801</t>
  </si>
  <si>
    <t>COULEE/HARTLINE</t>
  </si>
  <si>
    <t>GRAND COULEE DAM</t>
  </si>
  <si>
    <t>MC CLEARY</t>
  </si>
  <si>
    <t>17801</t>
  </si>
  <si>
    <t>PUGET SOUND ESD (121)</t>
  </si>
  <si>
    <t>17937</t>
  </si>
  <si>
    <t>LAKE WASH TECH COLL</t>
  </si>
  <si>
    <t>17942</t>
  </si>
  <si>
    <t>SVI</t>
  </si>
  <si>
    <t>18801</t>
  </si>
  <si>
    <t>ESD 114</t>
  </si>
  <si>
    <t>REARDAN</t>
  </si>
  <si>
    <t>27931</t>
  </si>
  <si>
    <t>BATES TECH COLL</t>
  </si>
  <si>
    <t>27932</t>
  </si>
  <si>
    <t>CLOVER PARK TECH COLL</t>
  </si>
  <si>
    <t>SHAW</t>
  </si>
  <si>
    <t>29801</t>
  </si>
  <si>
    <t>ESD 189</t>
  </si>
  <si>
    <t>STANWOOD CAMANO</t>
  </si>
  <si>
    <t>EAST VALLEY (SPOK</t>
  </si>
  <si>
    <t>WEST VALLEY (SPOK</t>
  </si>
  <si>
    <t>32801</t>
  </si>
  <si>
    <t>ESD 101</t>
  </si>
  <si>
    <t>34801</t>
  </si>
  <si>
    <t>ESD 113</t>
  </si>
  <si>
    <t>36801</t>
  </si>
  <si>
    <t>ESD 105</t>
  </si>
  <si>
    <t>Total Enroll</t>
  </si>
  <si>
    <t>EI Formula</t>
  </si>
  <si>
    <t>EI Comp</t>
  </si>
  <si>
    <t>Nooksack Valley</t>
  </si>
  <si>
    <t>Sedro Woolley</t>
  </si>
  <si>
    <t>Some districts are eligible, but do not apply, and some &lt; $10,000 do not join a consortium.</t>
  </si>
  <si>
    <t>It is a "not to exceed" percent; presumably the state does not have to allocate all of the 15%.</t>
  </si>
  <si>
    <t>Bilingual count from Steve plus Native American count from districts = total we allocate on</t>
  </si>
  <si>
    <t>Bilingual department gives us the Emergency Immigrant Competitive and Formula amounts</t>
  </si>
  <si>
    <t>From Bilingual apportionment data</t>
  </si>
  <si>
    <t>Native american students are also added. See above.</t>
  </si>
  <si>
    <t>This file is from Helen Malagon. These numbers are vlookup-ed into the Allocation model.</t>
  </si>
  <si>
    <t>Emergency Immigrant Competitive</t>
  </si>
  <si>
    <t>Therefore, a part of the 15% may also be reallocated to all districts.</t>
  </si>
  <si>
    <t>Enrollment:</t>
  </si>
  <si>
    <t>Allocations:</t>
  </si>
  <si>
    <t>Allocation Amount - Step 1</t>
  </si>
  <si>
    <t>Allocation Before Any Reallocations</t>
  </si>
  <si>
    <t>Allocation Amount - Step 2</t>
  </si>
  <si>
    <t>Basic $ Reallocated</t>
  </si>
  <si>
    <t>Basic Allocation</t>
  </si>
  <si>
    <t>Basic Allocation - Based on Total Enrollment</t>
  </si>
  <si>
    <t>Enrollment for Districts Eligible for Realloc</t>
  </si>
  <si>
    <t>Allocation Amount - Step 3</t>
  </si>
  <si>
    <t>The deadline for applying for the formula EI is July 1.</t>
  </si>
  <si>
    <t>EI grants are posted to iGrants separately.</t>
  </si>
  <si>
    <t>Districts report Native American &amp; students self-identify their ethnicity, then are tested. (Helen Provides Count)</t>
  </si>
  <si>
    <t>CoDistID</t>
  </si>
  <si>
    <t>Amount</t>
  </si>
  <si>
    <t>T III Basic After Realloc of Basic</t>
  </si>
  <si>
    <t>Ocean Beach</t>
  </si>
  <si>
    <t>Allocated amount per Worksheet</t>
  </si>
  <si>
    <t>Basic Per Above</t>
  </si>
  <si>
    <t>Actual Emergency Immigrant</t>
  </si>
  <si>
    <t>Total Basic to Allocate</t>
  </si>
  <si>
    <t>Reallocate Emergency Immigrant</t>
  </si>
  <si>
    <t>Basic Allocation after EI Realloc</t>
  </si>
  <si>
    <t>3114(d)(1)</t>
  </si>
  <si>
    <t>Native American</t>
  </si>
  <si>
    <t>From H</t>
  </si>
  <si>
    <t>Apportionmnt</t>
  </si>
  <si>
    <t>NA</t>
  </si>
  <si>
    <t>NR</t>
  </si>
  <si>
    <t>y</t>
  </si>
  <si>
    <t xml:space="preserve">Y </t>
  </si>
  <si>
    <t>ReAlloc $ if &lt; $10,000 &amp; not consortium or not accepting</t>
  </si>
  <si>
    <t>Accepting funds? NR= no response</t>
  </si>
  <si>
    <t>Reallocate Emergency Immigrant for &lt; 15%</t>
  </si>
  <si>
    <t>Rounding-to Seattle</t>
  </si>
  <si>
    <t>Total Basic After Realloc 2005-06</t>
  </si>
  <si>
    <t>0607 - 0506</t>
  </si>
  <si>
    <t>% Change</t>
  </si>
  <si>
    <t>Call Kim Thompson 360-725-6303 with questions</t>
  </si>
  <si>
    <t>Ck NA for enr</t>
  </si>
  <si>
    <t xml:space="preserve">Change the formula for 0708 to see Q3 </t>
  </si>
  <si>
    <t>=IF(AND(J8&lt;$L$5,K8="N"),J8,IF(K8="NR",J8,IF(K8="N",J8,IF(K8="NA",J8,if(k8="NA",j8,0)))))</t>
  </si>
  <si>
    <t>Total Basic After Realloc Prior Year</t>
  </si>
  <si>
    <t>CY - PY</t>
  </si>
  <si>
    <t>AVERAGE</t>
  </si>
  <si>
    <t>Immigrant</t>
  </si>
  <si>
    <t>2007-08</t>
  </si>
  <si>
    <t>Title IIII</t>
  </si>
  <si>
    <t>N.A. Count add to count</t>
  </si>
  <si>
    <t>Private School</t>
  </si>
  <si>
    <t>Immigrant Competitive</t>
  </si>
  <si>
    <t>Immigrant Formula</t>
  </si>
  <si>
    <t>Hoquiam</t>
  </si>
  <si>
    <t>Stanwood-Camano</t>
  </si>
  <si>
    <t>Washoughal</t>
  </si>
  <si>
    <t>CALL IMMIGRANT</t>
  </si>
  <si>
    <t>Participating?</t>
  </si>
  <si>
    <t>Enrollment for Districts Eligible for Receiving Realloc</t>
  </si>
  <si>
    <t>2008-09</t>
  </si>
  <si>
    <t>Apply</t>
  </si>
  <si>
    <t>Consortiums</t>
  </si>
  <si>
    <t>no</t>
  </si>
  <si>
    <t>Dayton</t>
  </si>
  <si>
    <t>Based on the number of districts that will be eligible to apply for Immigrant funds.</t>
  </si>
  <si>
    <t>Number of Eligible Districts</t>
  </si>
  <si>
    <t>Grant Amt.</t>
  </si>
  <si>
    <t xml:space="preserve">Total </t>
  </si>
  <si>
    <t xml:space="preserve">4 - $50,000 Grants  </t>
  </si>
  <si>
    <t>8 - $25,000 Grants</t>
  </si>
  <si>
    <t>11 - $10,000 Grants</t>
  </si>
  <si>
    <t>14 - formula Grants</t>
  </si>
  <si>
    <t>Preliminary  2008-09 Title III Budget</t>
  </si>
  <si>
    <t>Administration 5%</t>
  </si>
  <si>
    <t>Title III Grants</t>
  </si>
  <si>
    <t>CHANGE CY - PY</t>
  </si>
  <si>
    <t>NOTE:  Live formulas in column D</t>
  </si>
  <si>
    <t>Source Sheet</t>
  </si>
  <si>
    <t>"Data"</t>
  </si>
  <si>
    <t>"Enrollment"</t>
  </si>
  <si>
    <t>"Title III"</t>
  </si>
  <si>
    <t>&lt;$10k, non-consortium</t>
  </si>
  <si>
    <t>Bilingual Enrollment</t>
  </si>
  <si>
    <t>Native American Enrollment</t>
  </si>
  <si>
    <t>Total Title III Enrollment</t>
  </si>
  <si>
    <t>Will Apply</t>
  </si>
  <si>
    <t>Yes</t>
  </si>
  <si>
    <t>No</t>
  </si>
  <si>
    <t>Will not apply</t>
  </si>
  <si>
    <t>Total Title III Enroll</t>
  </si>
  <si>
    <t>NO</t>
  </si>
  <si>
    <t xml:space="preserve"> NO</t>
  </si>
  <si>
    <t>yes</t>
  </si>
  <si>
    <t>Daniel,   Please reduce the Immigrant allocation to the following amount</t>
  </si>
  <si>
    <t xml:space="preserve">Immigrant Budget </t>
  </si>
  <si>
    <t>Enrollment</t>
  </si>
  <si>
    <t>Basic Funding</t>
  </si>
  <si>
    <t>Emerg Immigrant - Competitve</t>
  </si>
  <si>
    <t>Emerg Immigrant - Formula</t>
  </si>
  <si>
    <t>Reallocation from Non-Participants</t>
  </si>
  <si>
    <t>Title III Allocation</t>
  </si>
  <si>
    <t>Eligible Districts for Immigrant Competitive Grants 2008-09</t>
  </si>
  <si>
    <t>Funding Amount</t>
  </si>
  <si>
    <t>BAINBRIDGE ISLAND</t>
  </si>
  <si>
    <t>Eligible Districts for Immigrant Formula  Grants 2008-09</t>
  </si>
  <si>
    <t>TOTAL IMMIGRANT FUNDING</t>
  </si>
  <si>
    <t/>
  </si>
  <si>
    <t>2009-10</t>
  </si>
  <si>
    <t>2009-2010 School Year</t>
  </si>
  <si>
    <t xml:space="preserve">Estimated Funding </t>
  </si>
  <si>
    <t>State 5%</t>
  </si>
  <si>
    <t>TBIP March Avg.</t>
  </si>
  <si>
    <t>March Avg. Enrollmnt</t>
  </si>
  <si>
    <t>From 08-09 model</t>
  </si>
  <si>
    <t>2009-2010 Eligible Immigrant Districts</t>
  </si>
  <si>
    <t>$ 50,000 Eligible</t>
  </si>
  <si>
    <t>MOUNT VERNON</t>
  </si>
  <si>
    <t xml:space="preserve">$25,000 Eligible </t>
  </si>
  <si>
    <t>$10,000 Eligible</t>
  </si>
  <si>
    <t>Formula Grants</t>
  </si>
  <si>
    <t>CCDDD`</t>
  </si>
  <si>
    <t>Competitive</t>
  </si>
  <si>
    <t>Formula</t>
  </si>
  <si>
    <t>2008-2009 BILINGUAL ENROLLMENT AS OF JULY 2009</t>
  </si>
  <si>
    <t xml:space="preserve"> APPROVED</t>
  </si>
  <si>
    <t xml:space="preserve">OCT. </t>
  </si>
  <si>
    <t xml:space="preserve">NOV. </t>
  </si>
  <si>
    <t xml:space="preserve">DEC. </t>
  </si>
  <si>
    <t xml:space="preserve">JAN. </t>
  </si>
  <si>
    <t xml:space="preserve">FEB. </t>
  </si>
  <si>
    <t xml:space="preserve">MAR. </t>
  </si>
  <si>
    <t xml:space="preserve">APR.  </t>
  </si>
  <si>
    <t xml:space="preserve">MAY   </t>
  </si>
  <si>
    <t>ENROLLMENT</t>
  </si>
  <si>
    <t xml:space="preserve"> PROGRAM</t>
  </si>
  <si>
    <t>TOTAL</t>
  </si>
  <si>
    <t>Consort</t>
  </si>
  <si>
    <t>Average Enrollment as of July 2009</t>
  </si>
  <si>
    <t>Private</t>
  </si>
  <si>
    <t>NATIVE AMERICAN</t>
  </si>
  <si>
    <t>Total Enrollment (TBIP, Private, Native Amer.)</t>
  </si>
  <si>
    <t>Appy</t>
  </si>
  <si>
    <t>Grant Award</t>
  </si>
  <si>
    <t>YES</t>
  </si>
  <si>
    <t>No  response</t>
  </si>
  <si>
    <t>CLARKSTON Consortium</t>
  </si>
  <si>
    <t>CLE ELUM-ROSLYN 105</t>
  </si>
  <si>
    <t>EASTON 105</t>
  </si>
  <si>
    <t>GOLDENDALE 105</t>
  </si>
  <si>
    <t xml:space="preserve">HOQUIAM </t>
  </si>
  <si>
    <t>KITTITAS 105</t>
  </si>
  <si>
    <t>NACHES VALLEY 105</t>
  </si>
  <si>
    <t>Raymond(lead)</t>
  </si>
  <si>
    <t>OCEAN BEACH(raymone</t>
  </si>
  <si>
    <t>OMAK consort-Tonasket</t>
  </si>
  <si>
    <t>PATEROS Consort-Tonasket</t>
  </si>
  <si>
    <t>PATERSON Consortium</t>
  </si>
  <si>
    <t xml:space="preserve">QUINAULT </t>
  </si>
  <si>
    <t>RAYMOND(Ocean Beach)</t>
  </si>
  <si>
    <t>Washougal</t>
  </si>
  <si>
    <t>RIDGEFIELD  consortium Washougal</t>
  </si>
  <si>
    <t>Tonasket-Lead</t>
  </si>
  <si>
    <t>TONASKET(Pateros/Omak</t>
  </si>
  <si>
    <t>TOUCHET Consortium</t>
  </si>
  <si>
    <t>WASHOUGAL consortium Ridgefield</t>
  </si>
  <si>
    <t>WEST VALLEY (YAK) 105</t>
  </si>
  <si>
    <t>WHITE RIVER/RIVERVIEW</t>
  </si>
  <si>
    <t>Will fund 2</t>
  </si>
  <si>
    <r>
      <t xml:space="preserve">NOTE: </t>
    </r>
    <r>
      <rPr>
        <sz val="11"/>
        <color indexed="8"/>
        <rFont val="Calibri"/>
        <family val="2"/>
      </rPr>
      <t>Not all districts on this list will receive a grant!</t>
    </r>
  </si>
  <si>
    <t>From Helen Enroll w NatAmer</t>
  </si>
  <si>
    <t>Balanced</t>
  </si>
  <si>
    <t>2010-11</t>
  </si>
  <si>
    <t>SEPT.</t>
  </si>
  <si>
    <t>Reallocate Emergency Immigrant for &gt; 15%</t>
  </si>
  <si>
    <t>2009-2010 BILINGUAL ENROLLMENT AS OF JULY 2010</t>
  </si>
  <si>
    <t>Native Americans</t>
  </si>
  <si>
    <t>Provided by Helen Malagon 8/18/10</t>
  </si>
  <si>
    <t>FINAL</t>
  </si>
  <si>
    <t>Signature</t>
  </si>
  <si>
    <t>Date</t>
  </si>
  <si>
    <t>Preliminary</t>
  </si>
  <si>
    <t>Will not access Title III</t>
  </si>
  <si>
    <t>ESD189</t>
  </si>
  <si>
    <t>Cashmere</t>
  </si>
  <si>
    <t>ESD105</t>
  </si>
  <si>
    <t xml:space="preserve">ESD189 </t>
  </si>
  <si>
    <t>Snoqualmie</t>
  </si>
  <si>
    <t>ESD123</t>
  </si>
  <si>
    <t xml:space="preserve">Washougal </t>
  </si>
  <si>
    <t>FP 231</t>
  </si>
  <si>
    <t>FP 232</t>
  </si>
  <si>
    <t>2011-12</t>
  </si>
  <si>
    <t>ENROLL</t>
  </si>
  <si>
    <t>Native American Count</t>
  </si>
  <si>
    <t>Private School Count</t>
  </si>
  <si>
    <t>Total Student Count</t>
  </si>
  <si>
    <t>Preliminary Title III Allocation</t>
  </si>
  <si>
    <t>Source: Helen Malagon, May 24, 2011</t>
  </si>
  <si>
    <t>Verification from Becky McLean 5/24/11</t>
  </si>
  <si>
    <t>Variance</t>
  </si>
  <si>
    <t>00000</t>
  </si>
  <si>
    <t>STATE SUMMARY</t>
  </si>
  <si>
    <t>Only updated for final allocations.</t>
  </si>
  <si>
    <t>District Code</t>
  </si>
  <si>
    <t>School</t>
  </si>
  <si>
    <t>School Code</t>
  </si>
  <si>
    <t>Total W/O Preschool</t>
  </si>
  <si>
    <t>Title I Part A</t>
  </si>
  <si>
    <t>Title I Part B Subpart 3</t>
  </si>
  <si>
    <t>Title I Part C</t>
  </si>
  <si>
    <t>Title II Part A</t>
  </si>
  <si>
    <t>Title II Part B</t>
  </si>
  <si>
    <t>Title II Part D</t>
  </si>
  <si>
    <t>Title III</t>
  </si>
  <si>
    <t>Title IV Part B</t>
  </si>
  <si>
    <t>Carl D. Perkins Vocational</t>
  </si>
  <si>
    <t>Aberdeen School District</t>
  </si>
  <si>
    <t>St. Mary School</t>
  </si>
  <si>
    <t>X</t>
  </si>
  <si>
    <t>Arlington School District</t>
  </si>
  <si>
    <t>Highland Christian Schools</t>
  </si>
  <si>
    <t>Auburn School District</t>
  </si>
  <si>
    <t>Auburn Gateway School</t>
  </si>
  <si>
    <t>800C</t>
  </si>
  <si>
    <t>Holy Family School</t>
  </si>
  <si>
    <t>Rainier Christian Schools-Kent View Elementary</t>
  </si>
  <si>
    <t>Bainbridge Island School District</t>
  </si>
  <si>
    <t>St. Cecilia School</t>
  </si>
  <si>
    <t>Battle Ground School District</t>
  </si>
  <si>
    <t>Firm Foundation Christian School</t>
  </si>
  <si>
    <t>Gardner School</t>
  </si>
  <si>
    <t>Bellevue School District</t>
  </si>
  <si>
    <t>Bellevue Christian School</t>
  </si>
  <si>
    <t>BK Play Academy for Gifted Children</t>
  </si>
  <si>
    <t>800A</t>
  </si>
  <si>
    <t>Eastside Christian School</t>
  </si>
  <si>
    <t>Forest Ridge School of Sacred Heart</t>
  </si>
  <si>
    <t>Jewish Day School</t>
  </si>
  <si>
    <t>Sacred Heart School</t>
  </si>
  <si>
    <t>St. Louise School</t>
  </si>
  <si>
    <t>St. Madeleine Sophie School</t>
  </si>
  <si>
    <t>Three Cedars Waldorf School</t>
  </si>
  <si>
    <t>Three Points Elementary</t>
  </si>
  <si>
    <t>Bellingham School District</t>
  </si>
  <si>
    <t>Assumption Catholic School</t>
  </si>
  <si>
    <t>Bellingham Christian School</t>
  </si>
  <si>
    <t>Cedar Tree Montessori</t>
  </si>
  <si>
    <t>Explorations Academy/Global Community Institute</t>
  </si>
  <si>
    <t>Lynden Christian School - Evergreen Campus</t>
  </si>
  <si>
    <t>St. Paul's Academy</t>
  </si>
  <si>
    <t>Whatcom Hills Waldorf</t>
  </si>
  <si>
    <t>Bethel School District</t>
  </si>
  <si>
    <t>Cascade Christian Schools--Frederickson Elementary</t>
  </si>
  <si>
    <t>South Sound Christian Schools-New Hope Campus</t>
  </si>
  <si>
    <t>St. Mary's Academy</t>
  </si>
  <si>
    <t>Bremerton School District</t>
  </si>
  <si>
    <t>Alta Vista School</t>
  </si>
  <si>
    <t>Our Lady Star of the Sea School</t>
  </si>
  <si>
    <t>Sylvan Way Christian School</t>
  </si>
  <si>
    <t>Camas School District</t>
  </si>
  <si>
    <t>Bright Futures Christian School</t>
  </si>
  <si>
    <t>Pacific Crest Academy</t>
  </si>
  <si>
    <t>Central Kitsap School District</t>
  </si>
  <si>
    <t>Christ the King Lutheran School</t>
  </si>
  <si>
    <t>800E</t>
  </si>
  <si>
    <t>Crosspoint Academy</t>
  </si>
  <si>
    <t>Peace Lutheran School</t>
  </si>
  <si>
    <t>Central Valley School District</t>
  </si>
  <si>
    <t>Prism School</t>
  </si>
  <si>
    <t>St. John Vianney School</t>
  </si>
  <si>
    <t>St. Marys Catholic School</t>
  </si>
  <si>
    <t>Valley Christian School</t>
  </si>
  <si>
    <t>Chehalis School District</t>
  </si>
  <si>
    <t>St. Joseph School</t>
  </si>
  <si>
    <t>Chimacum School District</t>
  </si>
  <si>
    <t>Sunfield Farm School</t>
  </si>
  <si>
    <t>801C</t>
  </si>
  <si>
    <t>Clarkston School District</t>
  </si>
  <si>
    <t>Clover Park School District</t>
  </si>
  <si>
    <t>Lakewood Lutheran School</t>
  </si>
  <si>
    <t>St. Frances Cabrini School</t>
  </si>
  <si>
    <t>St. Mary's Christian School</t>
  </si>
  <si>
    <t>Colton School District</t>
  </si>
  <si>
    <t>Guardian Angel St. Boniface School</t>
  </si>
  <si>
    <t>Colville School District</t>
  </si>
  <si>
    <t>Colville Valley Junior Academy</t>
  </si>
  <si>
    <t>East Valley School District (Yakima)</t>
  </si>
  <si>
    <t>Riverside Christian School</t>
  </si>
  <si>
    <t>Edmonds School District</t>
  </si>
  <si>
    <t>Holy Rosary, Edmonds</t>
  </si>
  <si>
    <t>St. Pius X School</t>
  </si>
  <si>
    <t>St. Thomas More School</t>
  </si>
  <si>
    <t>Ellensburg School District</t>
  </si>
  <si>
    <t>Ellensburg Christian School</t>
  </si>
  <si>
    <t>Ephrata School District</t>
  </si>
  <si>
    <t>New Life Christian School</t>
  </si>
  <si>
    <t>St. Rose of Lima School</t>
  </si>
  <si>
    <t>Everett School District</t>
  </si>
  <si>
    <t>Archbishop Thomas J. Murphy High School</t>
  </si>
  <si>
    <t>Everett Christian School</t>
  </si>
  <si>
    <t>Immaculate Conception/Our Lady of Perpetual Help</t>
  </si>
  <si>
    <t>Light of Faith Christian Academy</t>
  </si>
  <si>
    <t>800X</t>
  </si>
  <si>
    <t>St. Mary Magdalen School</t>
  </si>
  <si>
    <t>Evergreen School District (Clark)</t>
  </si>
  <si>
    <t>Seton Catholic College Preparatory High School</t>
  </si>
  <si>
    <t>800N</t>
  </si>
  <si>
    <t>Federal Way School District</t>
  </si>
  <si>
    <t>Christian Faith School</t>
  </si>
  <si>
    <t>Evergreen Lutheran High School</t>
  </si>
  <si>
    <t>Holy Trinity Lutheran School</t>
  </si>
  <si>
    <t>Overcomer Academy</t>
  </si>
  <si>
    <t>Spring Valley Montessori</t>
  </si>
  <si>
    <t>St. Vincent De Paul School</t>
  </si>
  <si>
    <t>Ferndale School District</t>
  </si>
  <si>
    <t>Bridgeway Christian Academy</t>
  </si>
  <si>
    <t>800D</t>
  </si>
  <si>
    <t>Pioneer Meadows Montessori School</t>
  </si>
  <si>
    <t>Whatcom Day Academy</t>
  </si>
  <si>
    <t>Fife School District</t>
  </si>
  <si>
    <t>All Saints School</t>
  </si>
  <si>
    <t>Franklin Pierce School District</t>
  </si>
  <si>
    <t>Parkland Lutheran School</t>
  </si>
  <si>
    <t>Goldendale School District</t>
  </si>
  <si>
    <t>Goldendale Christian School</t>
  </si>
  <si>
    <t>Highline School District</t>
  </si>
  <si>
    <t>Glendale Lutheran School</t>
  </si>
  <si>
    <t>John F Kennedy Catholic High School</t>
  </si>
  <si>
    <t>Praise Christian Academy</t>
  </si>
  <si>
    <t>Seattle Christian School</t>
  </si>
  <si>
    <t>Shorewood Christian School</t>
  </si>
  <si>
    <t>St. Bernadette School</t>
  </si>
  <si>
    <t>St. Francis of Assisi</t>
  </si>
  <si>
    <t>St. Philomena School</t>
  </si>
  <si>
    <t>Issaquah School District</t>
  </si>
  <si>
    <t>Eastside Montessori Education Foundation</t>
  </si>
  <si>
    <t>Sammamish Christian School and Noahs Ark</t>
  </si>
  <si>
    <t>St. Joseph Catholic School of Issaquah</t>
  </si>
  <si>
    <t>Kelso School District</t>
  </si>
  <si>
    <t>Family House Academy</t>
  </si>
  <si>
    <t>Kelso Longview Adventist School</t>
  </si>
  <si>
    <t xml:space="preserve">Three Rivers Christian School-Cornerstone Jr/Sr High </t>
  </si>
  <si>
    <t>Kennewick School District</t>
  </si>
  <si>
    <t>Bethlehem Lutheran School</t>
  </si>
  <si>
    <t>St. Josephs School</t>
  </si>
  <si>
    <t>Kent School District</t>
  </si>
  <si>
    <t>Rainier Christian Middle School</t>
  </si>
  <si>
    <t>Rainier Christian Schools-Maple Valley Elementary</t>
  </si>
  <si>
    <t>Lake Chelan School District</t>
  </si>
  <si>
    <t>Chelan Valley Independent School</t>
  </si>
  <si>
    <t>Lake Stevens School District</t>
  </si>
  <si>
    <t>Zion Lutheran School</t>
  </si>
  <si>
    <t>Lake Washington School District</t>
  </si>
  <si>
    <t>Eastside Catholic School</t>
  </si>
  <si>
    <t>Faith Lutheran School of Redmond</t>
  </si>
  <si>
    <t>Holy Family Parish School</t>
  </si>
  <si>
    <t>Medina Academy</t>
  </si>
  <si>
    <t>The Bear Creek School</t>
  </si>
  <si>
    <t>Longview School District</t>
  </si>
  <si>
    <t>St. Rose School</t>
  </si>
  <si>
    <t>Three Rivers Christian School-Longview Elementary</t>
  </si>
  <si>
    <t>Lynden School District</t>
  </si>
  <si>
    <t>Cornerstone Christian School</t>
  </si>
  <si>
    <t>Ebenezer Christian School</t>
  </si>
  <si>
    <t>Lynden Christian Schools</t>
  </si>
  <si>
    <t>Marysville School District</t>
  </si>
  <si>
    <t>Grace Academy</t>
  </si>
  <si>
    <t>Mead School District</t>
  </si>
  <si>
    <t>Northwest Christian School</t>
  </si>
  <si>
    <t>Slavic Christian Academy--Spokane</t>
  </si>
  <si>
    <t>Mercer Island School District</t>
  </si>
  <si>
    <t>Child School - New Heights School at Children's Institute</t>
  </si>
  <si>
    <t>French-Am School of Puget Sound</t>
  </si>
  <si>
    <t>Northwest Yeshiva High School</t>
  </si>
  <si>
    <t>St. Monica School</t>
  </si>
  <si>
    <t>Methow Valley School District</t>
  </si>
  <si>
    <t>Methow Valley Community School</t>
  </si>
  <si>
    <t>Monroe School District</t>
  </si>
  <si>
    <t>Cornerstone Academy</t>
  </si>
  <si>
    <t>Monroe Christian School</t>
  </si>
  <si>
    <t>Mount Adams School District</t>
  </si>
  <si>
    <t>Harrah Community Christian School</t>
  </si>
  <si>
    <t>Mount Vernon School District</t>
  </si>
  <si>
    <t>Immaculate Conception Regional School</t>
  </si>
  <si>
    <t>Mount Vernon Christian School</t>
  </si>
  <si>
    <t>Mukilteo School District</t>
  </si>
  <si>
    <t>Greater Trinity Christian Learning Academy</t>
  </si>
  <si>
    <t>Mukilteo Academy</t>
  </si>
  <si>
    <t>Northshore Christian Academy</t>
  </si>
  <si>
    <t>North Kitsap School District</t>
  </si>
  <si>
    <t>Christ the King Academy</t>
  </si>
  <si>
    <t>Silverwood School</t>
  </si>
  <si>
    <t>North Thurston Public Schools</t>
  </si>
  <si>
    <t>Community Christian Academy</t>
  </si>
  <si>
    <t>Faith Lutheran School</t>
  </si>
  <si>
    <t>Northwest Christian High School</t>
  </si>
  <si>
    <t>Northshore School District</t>
  </si>
  <si>
    <t>Bellevue Christian Mack Elementary</t>
  </si>
  <si>
    <t>Heritage Christian Academy</t>
  </si>
  <si>
    <t>St. Brendan School</t>
  </si>
  <si>
    <t>The Clearwater School</t>
  </si>
  <si>
    <t>Oak Harbor School District</t>
  </si>
  <si>
    <t>Oak Harbor Christian School</t>
  </si>
  <si>
    <t>Odessa School District</t>
  </si>
  <si>
    <t>Rock Creek Hutterite</t>
  </si>
  <si>
    <t>Stahlville School</t>
  </si>
  <si>
    <t>Olympia School District</t>
  </si>
  <si>
    <t>Nova School</t>
  </si>
  <si>
    <t>Olympia Community School</t>
  </si>
  <si>
    <t>St. Michael School</t>
  </si>
  <si>
    <t>Orcas Island School District</t>
  </si>
  <si>
    <t>Orcas Christian School</t>
  </si>
  <si>
    <t>Orchard Prairie School District</t>
  </si>
  <si>
    <t>Spokane Christian Academy</t>
  </si>
  <si>
    <t>Pasco School District</t>
  </si>
  <si>
    <t>St. Patrick School</t>
  </si>
  <si>
    <t>Tri-Cities Prep</t>
  </si>
  <si>
    <t>Peninsula School District</t>
  </si>
  <si>
    <t>Gig Harbor Academy</t>
  </si>
  <si>
    <t>Harbor Christian Schools</t>
  </si>
  <si>
    <t>Harbor Montessori School</t>
  </si>
  <si>
    <t>Lighthouse Christian School</t>
  </si>
  <si>
    <t>St. Nicholas School</t>
  </si>
  <si>
    <t>Port Angeles School District</t>
  </si>
  <si>
    <t>Olympic Christian School</t>
  </si>
  <si>
    <t>Queen of Angels School</t>
  </si>
  <si>
    <t>Port Townsend School District</t>
  </si>
  <si>
    <t>Jefferson Community School</t>
  </si>
  <si>
    <t>Swan School</t>
  </si>
  <si>
    <t>Prescott School District</t>
  </si>
  <si>
    <t>Vista Hermosa Elementary School</t>
  </si>
  <si>
    <t>Puyallup School District</t>
  </si>
  <si>
    <t>Cascade Christian Junior High and High School</t>
  </si>
  <si>
    <t>Cascade Christian School-Puyallup Elementary</t>
  </si>
  <si>
    <t>Mt. Rainier Lutheran High School</t>
  </si>
  <si>
    <t>Slavic Christian Academy--Edgewood</t>
  </si>
  <si>
    <t>Quincy School District</t>
  </si>
  <si>
    <t>Quincy Valley School</t>
  </si>
  <si>
    <t>Renton School District</t>
  </si>
  <si>
    <t>Rainier Christian Schools-Highlands Elementary</t>
  </si>
  <si>
    <t>St. Anthony School</t>
  </si>
  <si>
    <t>Richland School District</t>
  </si>
  <si>
    <t>Childrens Garden Montessori</t>
  </si>
  <si>
    <t>Christ the King School</t>
  </si>
  <si>
    <t>Liberty Christian School</t>
  </si>
  <si>
    <t>San Juan Island School District</t>
  </si>
  <si>
    <t>Stillpoint School</t>
  </si>
  <si>
    <t>Seattle Public Schools</t>
  </si>
  <si>
    <t>Amazing Grace Christian School</t>
  </si>
  <si>
    <t>Assumption St. Bridget</t>
  </si>
  <si>
    <t>Bertschi School</t>
  </si>
  <si>
    <t>Billings Middle School</t>
  </si>
  <si>
    <t>Bishop Blanchet High School</t>
  </si>
  <si>
    <t>Bright Water School</t>
  </si>
  <si>
    <t>Concordia Lutheran School</t>
  </si>
  <si>
    <t>First Place</t>
  </si>
  <si>
    <t>Giddens School</t>
  </si>
  <si>
    <t>Hamlin Robinson School</t>
  </si>
  <si>
    <t>Holy Names Academy</t>
  </si>
  <si>
    <t>Holy Rosary Elementary</t>
  </si>
  <si>
    <t>Hope Lutheran School</t>
  </si>
  <si>
    <t>Islamic School of Seattle</t>
  </si>
  <si>
    <t>Koinonia - Maxine Mimms Private Academy</t>
  </si>
  <si>
    <t>Meridian School</t>
  </si>
  <si>
    <t>MMSC Day School</t>
  </si>
  <si>
    <t>800S</t>
  </si>
  <si>
    <t>Morningside Academy</t>
  </si>
  <si>
    <t>O'Dea High School</t>
  </si>
  <si>
    <t>Our Lady of Fatima School</t>
  </si>
  <si>
    <t>Our Lady of Guadalupe School</t>
  </si>
  <si>
    <t>Our Lady Of The Lake</t>
  </si>
  <si>
    <t>Pacific Crest Schools</t>
  </si>
  <si>
    <t>Seattle Hebrew Academy</t>
  </si>
  <si>
    <t>Seattle Jewish Community School</t>
  </si>
  <si>
    <t>Seattle Lutheran High School</t>
  </si>
  <si>
    <t>Seattle Prep/Matteo Ricci College</t>
  </si>
  <si>
    <t>Seattle Urban Academy</t>
  </si>
  <si>
    <t>Spruce Street School</t>
  </si>
  <si>
    <t>St. Alphonsus School</t>
  </si>
  <si>
    <t>St. Anne School</t>
  </si>
  <si>
    <t>St. Benedict School</t>
  </si>
  <si>
    <t>St. Catherine School</t>
  </si>
  <si>
    <t>St. Edwards School</t>
  </si>
  <si>
    <t>St. George School</t>
  </si>
  <si>
    <t>St. John School</t>
  </si>
  <si>
    <t>St. Matthew School</t>
  </si>
  <si>
    <t>St. Paul School</t>
  </si>
  <si>
    <t>St. Therese School</t>
  </si>
  <si>
    <t>Torah Day School of Seattle</t>
  </si>
  <si>
    <t>University Child Development School</t>
  </si>
  <si>
    <t>Villa Academy</t>
  </si>
  <si>
    <t>Zion Preparatory Academy</t>
  </si>
  <si>
    <t>Selah School District</t>
  </si>
  <si>
    <t>Selah Covenant Christian School</t>
  </si>
  <si>
    <t>Shoreline School District</t>
  </si>
  <si>
    <t>Evergreen School</t>
  </si>
  <si>
    <t>Kings Schools</t>
  </si>
  <si>
    <t>Shoreline Christian School</t>
  </si>
  <si>
    <t>St. Luke School</t>
  </si>
  <si>
    <t>St. Mark School</t>
  </si>
  <si>
    <t>Snohomish School District</t>
  </si>
  <si>
    <t>St. Michael Catholic School</t>
  </si>
  <si>
    <t>South Kitsap School District</t>
  </si>
  <si>
    <t>Bethany Lutheran Elementary</t>
  </si>
  <si>
    <t>South Kitsap Christian School</t>
  </si>
  <si>
    <t>South Whidbey School District</t>
  </si>
  <si>
    <t>Whidbey Island Waldorf School</t>
  </si>
  <si>
    <t>Spokane School District</t>
  </si>
  <si>
    <t>All Saints Catholic School</t>
  </si>
  <si>
    <t>Assumption School</t>
  </si>
  <si>
    <t>Cataldo School</t>
  </si>
  <si>
    <t>Cornerstone Christian Academy</t>
  </si>
  <si>
    <t>Discovery School</t>
  </si>
  <si>
    <t>First Presbyterian Christian School</t>
  </si>
  <si>
    <t>800B</t>
  </si>
  <si>
    <t>Gonzaga Preparatory School</t>
  </si>
  <si>
    <t>Northwest Christian Schools</t>
  </si>
  <si>
    <t>Southside Christian School</t>
  </si>
  <si>
    <t>St. Aloysius Catholic School</t>
  </si>
  <si>
    <t>St. Charles School</t>
  </si>
  <si>
    <t>St. Patrick Catholic School</t>
  </si>
  <si>
    <t>Trinity Catholic School</t>
  </si>
  <si>
    <t>Westgate Christian School</t>
  </si>
  <si>
    <t>Sunnyside School District</t>
  </si>
  <si>
    <t>Sunnyside Christian School</t>
  </si>
  <si>
    <t>Sunnyside Christian School (2nd Location)</t>
  </si>
  <si>
    <t>Tacoma School District</t>
  </si>
  <si>
    <t>Bellarmine Preparatory School</t>
  </si>
  <si>
    <t>Cascade Christian Schools-Tacoma Elementary</t>
  </si>
  <si>
    <t>First Presbyterian Church School</t>
  </si>
  <si>
    <t>Holy Rosary School</t>
  </si>
  <si>
    <t>Life Christian School</t>
  </si>
  <si>
    <t>Slavic Christian Academy--Tacoma</t>
  </si>
  <si>
    <t>South Sound Christian Schools-Tacoma Baptist Campus</t>
  </si>
  <si>
    <t>St. Charles Borromeo School</t>
  </si>
  <si>
    <t>Tacoma Waldorf School</t>
  </si>
  <si>
    <t>Visitation School</t>
  </si>
  <si>
    <t>Tumwater School District</t>
  </si>
  <si>
    <t>Olympia Waldorf School</t>
  </si>
  <si>
    <t>Vancouver School District</t>
  </si>
  <si>
    <t>Hosanna Christian School</t>
  </si>
  <si>
    <t>King's Way Christian School</t>
  </si>
  <si>
    <t>Our Lady of Lourdes School</t>
  </si>
  <si>
    <t>Vancouver Christian High School</t>
  </si>
  <si>
    <t>Walla Walla Public Schools</t>
  </si>
  <si>
    <t>Assumption Grade School</t>
  </si>
  <si>
    <t>DeSales Catholic School</t>
  </si>
  <si>
    <t>Wenatchee School District</t>
  </si>
  <si>
    <t>St. Pauls Lutheran School</t>
  </si>
  <si>
    <t>Wilson Creek School District</t>
  </si>
  <si>
    <t>Marlin Hutterite School</t>
  </si>
  <si>
    <t>Yakima School District</t>
  </si>
  <si>
    <t>Grace Lutheran School</t>
  </si>
  <si>
    <t>La Salle High School</t>
  </si>
  <si>
    <t>Montessori School of Yakima</t>
  </si>
  <si>
    <t>St. John of Kronstadt Orthodox Christian School</t>
  </si>
  <si>
    <t>St. Joseph Marquette Middle School</t>
  </si>
  <si>
    <t>St. Paul Cathedral School</t>
  </si>
  <si>
    <t>Westpark Christian Academy</t>
  </si>
  <si>
    <t>Yelm School District</t>
  </si>
  <si>
    <t>Eagle View Christian School</t>
  </si>
  <si>
    <t>800V</t>
  </si>
  <si>
    <t>Row Labels</t>
  </si>
  <si>
    <t>Grand Total</t>
  </si>
  <si>
    <t>Column Labels</t>
  </si>
  <si>
    <t>Sum of Total W/O Preschool</t>
  </si>
  <si>
    <t>Preliminary  232</t>
  </si>
  <si>
    <t>Title III Native American</t>
  </si>
  <si>
    <t>Title III  will not apply</t>
  </si>
  <si>
    <t>Consortium</t>
  </si>
  <si>
    <t>Entiate</t>
  </si>
  <si>
    <t>Entiate- Lead</t>
  </si>
  <si>
    <t>Ocean Beach- Lead</t>
  </si>
  <si>
    <t>Quinalult- Lead</t>
  </si>
  <si>
    <t>San Juan</t>
  </si>
  <si>
    <t>San Juan - Lead</t>
  </si>
  <si>
    <t>Snoqualmie - Lead</t>
  </si>
  <si>
    <t>Snoqualmie Valley</t>
  </si>
  <si>
    <t>Washougal -Lead</t>
  </si>
  <si>
    <t xml:space="preserve">No </t>
  </si>
  <si>
    <t>Updated 8/4/11</t>
  </si>
  <si>
    <t>2012-13</t>
  </si>
  <si>
    <t>N/A</t>
  </si>
  <si>
    <t>NC</t>
  </si>
  <si>
    <t>2011-2012 BILINGUAL ENROLLMENT AS OF APRIL 2012</t>
  </si>
  <si>
    <t>ALLOCATION</t>
  </si>
  <si>
    <t>Change from Prior Year</t>
  </si>
  <si>
    <t>Percent Change</t>
  </si>
  <si>
    <t>NA count</t>
  </si>
  <si>
    <t>LAKE QUINAULT</t>
  </si>
  <si>
    <t>All</t>
  </si>
  <si>
    <t>Native American Enrollment added May 9, 2012</t>
  </si>
  <si>
    <t>18404</t>
  </si>
  <si>
    <t>Apply for Title III</t>
  </si>
  <si>
    <t>Entiat Lead</t>
  </si>
  <si>
    <t>Entiat lead</t>
  </si>
  <si>
    <t>ESD 105 Lead</t>
  </si>
  <si>
    <t>ESD 123 lead</t>
  </si>
  <si>
    <t>Keep in calculation if meets 10000 allocation</t>
  </si>
  <si>
    <t>Mossyrock lead</t>
  </si>
  <si>
    <t>Raymond lead</t>
  </si>
  <si>
    <t>San Juan lead</t>
  </si>
  <si>
    <t>Steilamoom Lead</t>
  </si>
  <si>
    <t>Washougal lead</t>
  </si>
  <si>
    <t>Gross Allocation</t>
  </si>
  <si>
    <t>Less: Sequestration</t>
  </si>
  <si>
    <t>Net</t>
  </si>
  <si>
    <t>Less: State activities</t>
  </si>
  <si>
    <t>Emergency Immigrant</t>
  </si>
  <si>
    <t>Net to Districts</t>
  </si>
  <si>
    <t>Revised from Helen Malagon 6/13/12</t>
  </si>
  <si>
    <t>C</t>
  </si>
  <si>
    <t>Daniel this district does not have ELL students.</t>
  </si>
  <si>
    <t>Steilacoom</t>
  </si>
  <si>
    <t>Nespelem</t>
  </si>
  <si>
    <t>Count</t>
  </si>
  <si>
    <t>Per Student</t>
  </si>
  <si>
    <t>Allocation</t>
  </si>
  <si>
    <t>2013-14 P</t>
  </si>
  <si>
    <t>2012-2013 BILINGUAL ENROLLMENT</t>
  </si>
  <si>
    <t xml:space="preserve">JUNE   </t>
  </si>
  <si>
    <t>Title III Native Americans during SY 2012-13 as of April 2, 2013</t>
  </si>
  <si>
    <t>DistrictName</t>
  </si>
  <si>
    <t>Frequency</t>
  </si>
  <si>
    <t>Blaine School District</t>
  </si>
  <si>
    <t>Cashmere School District</t>
  </si>
  <si>
    <t>Cheney School District</t>
  </si>
  <si>
    <t>Cle Elum-Roslyn School District</t>
  </si>
  <si>
    <t>Evergreen School District (Clar</t>
  </si>
  <si>
    <t>Granger School District</t>
  </si>
  <si>
    <t>Lake Quinault School District</t>
  </si>
  <si>
    <t>Nespelem School District</t>
  </si>
  <si>
    <t>Rochester School District</t>
  </si>
  <si>
    <t>Royal School District</t>
  </si>
  <si>
    <t>Snoqualmie Valley School District</t>
  </si>
  <si>
    <t>Sumner School District</t>
  </si>
  <si>
    <t>Toppenish School District</t>
  </si>
  <si>
    <t>Touchet School District</t>
  </si>
  <si>
    <t>Wapato School District</t>
  </si>
  <si>
    <t>Wellpinit School District</t>
  </si>
  <si>
    <t>White Salmon Valley School District</t>
  </si>
  <si>
    <t>Winlock School District</t>
  </si>
  <si>
    <t>Allocations Complete - Daniel Lunghofer</t>
  </si>
  <si>
    <t>Program Review - Helen Malagon</t>
  </si>
  <si>
    <t>Budgetary Assumptions - Quynh Vu</t>
  </si>
  <si>
    <t>MOE</t>
  </si>
  <si>
    <t>MOE Reduction</t>
  </si>
  <si>
    <t>Final Allocation</t>
  </si>
  <si>
    <t>Carryover to Allocate</t>
  </si>
  <si>
    <t>Total to Allocate</t>
  </si>
  <si>
    <t>Mansfield School District</t>
  </si>
  <si>
    <t>Title III Native American Enrollments during SY 2012-13</t>
  </si>
  <si>
    <t>District 2013-14</t>
  </si>
  <si>
    <t>Title III NA</t>
  </si>
  <si>
    <t>Consoritum</t>
  </si>
  <si>
    <t>No.</t>
  </si>
  <si>
    <t>???</t>
  </si>
  <si>
    <t>Entiate/Lead</t>
  </si>
  <si>
    <t>Mossyrock/L</t>
  </si>
  <si>
    <t>Ocean Beach/L</t>
  </si>
  <si>
    <t xml:space="preserve">Entiate </t>
  </si>
  <si>
    <t>Mossyrock</t>
  </si>
  <si>
    <t>San Juan/L</t>
  </si>
  <si>
    <t>????</t>
  </si>
  <si>
    <t>No response</t>
  </si>
  <si>
    <t>2013-14 F</t>
  </si>
  <si>
    <t>WASHOUGAL/ L</t>
  </si>
  <si>
    <t>Auburn</t>
  </si>
  <si>
    <t>From Helen Enrollment 8/6/13</t>
  </si>
  <si>
    <t>Give More</t>
  </si>
  <si>
    <t>Need more</t>
  </si>
  <si>
    <t>Through April 2014</t>
  </si>
  <si>
    <t>TBIP</t>
  </si>
  <si>
    <t>State Summary</t>
  </si>
  <si>
    <t>Washtucna</t>
  </si>
  <si>
    <t>Benge</t>
  </si>
  <si>
    <t>Lind</t>
  </si>
  <si>
    <t>Ritzville</t>
  </si>
  <si>
    <t>Clarkston</t>
  </si>
  <si>
    <t>Asotin-Anatone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</si>
  <si>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</si>
  <si>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</si>
  <si>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</si>
  <si>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</si>
  <si>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</si>
  <si>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</si>
  <si>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</si>
  <si>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</si>
  <si>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</si>
  <si>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</si>
  <si>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</si>
  <si>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</si>
  <si>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</si>
  <si>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</si>
  <si>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</si>
  <si>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Vancouver</t>
  </si>
  <si>
    <t>Hockinson</t>
  </si>
  <si>
    <t>Lacenter</t>
  </si>
  <si>
    <t>Green Mountain</t>
  </si>
  <si>
    <t>Evergreen (Clark)</t>
  </si>
  <si>
    <t>Camas</t>
  </si>
  <si>
    <t>Battle Ground</t>
  </si>
  <si>
    <t>Ridgefield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</si>
  <si>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</si>
  <si>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</si>
  <si>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</si>
  <si>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</si>
  <si>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</si>
  <si>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</si>
  <si>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</si>
  <si>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</si>
  <si>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</si>
  <si>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</si>
  <si>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</si>
  <si>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</si>
  <si>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</si>
  <si>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</si>
  <si>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</si>
  <si>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</si>
  <si>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</si>
  <si>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</si>
  <si>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</si>
  <si>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</si>
  <si>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</si>
  <si>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</si>
  <si>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</si>
  <si>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Quincy</t>
  </si>
  <si>
    <t>Warden</t>
  </si>
  <si>
    <t>Coulee/Hartline</t>
  </si>
  <si>
    <t>Soap Lake</t>
  </si>
  <si>
    <t>Royal</t>
  </si>
  <si>
    <t>Moses Lake</t>
  </si>
  <si>
    <t>Wilson Creek</t>
  </si>
  <si>
    <t>Grand Coulee Dam</t>
  </si>
  <si>
    <t>Aberdeen</t>
  </si>
  <si>
    <t>North Beach</t>
  </si>
  <si>
    <t>Mc Cleary</t>
  </si>
  <si>
    <t>Montesano</t>
  </si>
  <si>
    <t>Elma</t>
  </si>
  <si>
    <t>Taholah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</si>
  <si>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</si>
  <si>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</si>
  <si>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</si>
  <si>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</si>
  <si>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</si>
  <si>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</si>
  <si>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</si>
  <si>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</si>
  <si>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</si>
  <si>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</si>
  <si>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</si>
  <si>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</si>
  <si>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</si>
  <si>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</si>
  <si>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</si>
  <si>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</si>
  <si>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</si>
  <si>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</si>
  <si>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</si>
  <si>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Skykomish</t>
  </si>
  <si>
    <t>Bellevue</t>
  </si>
  <si>
    <t>Tukwila</t>
  </si>
  <si>
    <t>Riverview</t>
  </si>
  <si>
    <t>Issaquah</t>
  </si>
  <si>
    <t>Lake Washington</t>
  </si>
  <si>
    <t>Kent</t>
  </si>
  <si>
    <t>Lake Wash Tech Coll</t>
  </si>
  <si>
    <t>Bremerton</t>
  </si>
  <si>
    <t>Bainbridge</t>
  </si>
  <si>
    <t>Central Kitsap</t>
  </si>
  <si>
    <t>South Kitsap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</si>
  <si>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</si>
  <si>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</si>
  <si>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</si>
  <si>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</si>
  <si>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</si>
  <si>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</si>
  <si>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</si>
  <si>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</si>
  <si>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</si>
  <si>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</si>
  <si>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</si>
  <si>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</si>
  <si>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</si>
  <si>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</si>
  <si>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</si>
  <si>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</si>
  <si>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</si>
  <si>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</si>
  <si>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</si>
  <si>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</si>
  <si>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</si>
  <si>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</si>
  <si>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</si>
  <si>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</si>
  <si>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</si>
  <si>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</si>
  <si>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</si>
  <si>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</si>
  <si>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</si>
  <si>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</si>
  <si>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</si>
  <si>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</si>
  <si>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</si>
  <si>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</si>
  <si>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</si>
  <si>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</si>
  <si>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</si>
  <si>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</si>
  <si>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</si>
  <si>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</si>
  <si>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</si>
  <si>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</si>
  <si>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Omak</t>
  </si>
  <si>
    <t>Okanogan</t>
  </si>
  <si>
    <t>Brewster</t>
  </si>
  <si>
    <t>Pateros</t>
  </si>
  <si>
    <t>Methow Valley</t>
  </si>
  <si>
    <t>Oroville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</si>
  <si>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</si>
  <si>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</si>
  <si>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</si>
  <si>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</si>
  <si>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</si>
  <si>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</si>
  <si>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</si>
  <si>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</si>
  <si>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</si>
  <si>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</si>
  <si>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</si>
  <si>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</si>
  <si>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</si>
  <si>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</si>
  <si>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</si>
  <si>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</si>
  <si>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</si>
  <si>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Bethel</t>
  </si>
  <si>
    <t>Eatonville</t>
  </si>
  <si>
    <t>White River</t>
  </si>
  <si>
    <t>Fife</t>
  </si>
  <si>
    <t>Bates Tech College</t>
  </si>
  <si>
    <t>Clover Park Tech Coll</t>
  </si>
  <si>
    <t>Shaw</t>
  </si>
  <si>
    <t>Orcas</t>
  </si>
  <si>
    <t>Lopez</t>
  </si>
  <si>
    <t>Concrete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</si>
  <si>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</si>
  <si>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</si>
  <si>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</si>
  <si>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</si>
  <si>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</si>
  <si>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</si>
  <si>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</si>
  <si>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</si>
  <si>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</si>
  <si>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</si>
  <si>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</si>
  <si>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</si>
  <si>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</si>
  <si>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</si>
  <si>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</si>
  <si>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</si>
  <si>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</si>
  <si>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</si>
  <si>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</si>
  <si>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</si>
  <si>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</si>
  <si>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</si>
  <si>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</si>
  <si>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</si>
  <si>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</si>
  <si>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</si>
  <si>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</si>
  <si>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</si>
  <si>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</si>
  <si>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</si>
  <si>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</si>
  <si>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</si>
  <si>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</si>
  <si>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</si>
  <si>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</si>
  <si>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</si>
  <si>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</si>
  <si>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</si>
  <si>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</si>
  <si>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</si>
  <si>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</si>
  <si>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</si>
  <si>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</si>
  <si>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</si>
  <si>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</si>
  <si>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</si>
  <si>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</si>
  <si>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</si>
  <si>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Tumwater</t>
  </si>
  <si>
    <t>Olympia</t>
  </si>
  <si>
    <t>Rainier</t>
  </si>
  <si>
    <t>Griffin</t>
  </si>
  <si>
    <t>Rochester</t>
  </si>
  <si>
    <t>Tenino</t>
  </si>
  <si>
    <t>Wahkiakum</t>
  </si>
  <si>
    <t>Dixie</t>
  </si>
  <si>
    <t>College Place</t>
  </si>
  <si>
    <t>Touchet</t>
  </si>
  <si>
    <t>Columbia (Walla)</t>
  </si>
  <si>
    <t>Waitsburg</t>
  </si>
  <si>
    <t>Prescott</t>
  </si>
  <si>
    <t>Ferndale</t>
  </si>
  <si>
    <t>Blaine</t>
  </si>
  <si>
    <t>Lynden</t>
  </si>
  <si>
    <t>Meridian</t>
  </si>
  <si>
    <t>Mount Baker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</si>
  <si>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</si>
  <si>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</si>
  <si>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</si>
  <si>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</si>
  <si>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</si>
  <si>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</si>
  <si>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</si>
  <si>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</si>
  <si>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</si>
  <si>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</si>
  <si>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</si>
  <si>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</si>
  <si>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</si>
  <si>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</si>
  <si>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</si>
  <si>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</si>
  <si>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</si>
  <si>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</si>
  <si>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Grandview</t>
  </si>
  <si>
    <t>Sunnyside</t>
  </si>
  <si>
    <t>Highland</t>
  </si>
  <si>
    <t>Granger</t>
  </si>
  <si>
    <t>Zillah</t>
  </si>
  <si>
    <t>Wapato</t>
  </si>
  <si>
    <t>West Valley (Yak)</t>
  </si>
  <si>
    <t>Mount Adams</t>
  </si>
  <si>
    <t>2014-15 P</t>
  </si>
  <si>
    <t>School District</t>
  </si>
  <si>
    <t>New Enrollments</t>
  </si>
  <si>
    <t>Continuing Enrollments</t>
  </si>
  <si>
    <t>Total Enrollments</t>
  </si>
  <si>
    <t>Blaine SD</t>
  </si>
  <si>
    <t>Bremerton SD</t>
  </si>
  <si>
    <t>Burlington-Edison School District</t>
  </si>
  <si>
    <t>Finley School District</t>
  </si>
  <si>
    <t>Lopez School District</t>
  </si>
  <si>
    <t>Mossyrock School District</t>
  </si>
  <si>
    <t>Mount Baker School District</t>
  </si>
  <si>
    <t>Ocean Beach School District</t>
  </si>
  <si>
    <t>Orting School District</t>
  </si>
  <si>
    <t>Othello School District</t>
  </si>
  <si>
    <t>Rochester SD</t>
  </si>
  <si>
    <t>Snohomish SD</t>
  </si>
  <si>
    <t>South Bend School District</t>
  </si>
  <si>
    <t>Stanwood-Camano School District</t>
  </si>
  <si>
    <t>Union Gap School District</t>
  </si>
  <si>
    <t>West Valley School District (Spokane)</t>
  </si>
  <si>
    <t>West Valley School District (Yakima)</t>
  </si>
  <si>
    <t>(blank)</t>
  </si>
  <si>
    <t>29144</t>
  </si>
  <si>
    <t>From Helen Malagon 050714</t>
  </si>
  <si>
    <t>Feeds to Allocation 2014-15</t>
  </si>
  <si>
    <t>17901</t>
  </si>
  <si>
    <t>18902</t>
  </si>
  <si>
    <t>Suquamish Tribal</t>
  </si>
  <si>
    <t>17903</t>
  </si>
  <si>
    <t>Muckleshoot Tribal</t>
  </si>
  <si>
    <t>37903</t>
  </si>
  <si>
    <t>Lummi Tribal</t>
  </si>
  <si>
    <t>NONE</t>
  </si>
  <si>
    <t>State Total</t>
  </si>
  <si>
    <t>Spent at least 75% of prior year allocation</t>
  </si>
  <si>
    <t>Eligible 
(Y/N)</t>
  </si>
  <si>
    <t>Eligible District Enroll</t>
  </si>
  <si>
    <t>TJ Added</t>
  </si>
  <si>
    <t>Re-Calculated</t>
  </si>
  <si>
    <t>Additional Carryover</t>
  </si>
  <si>
    <t>n</t>
  </si>
  <si>
    <t>Districts that spent 75% of PY Allocation</t>
  </si>
  <si>
    <t>EI (ASL)</t>
  </si>
  <si>
    <t>2015-16 F</t>
  </si>
  <si>
    <t>2016-17 P</t>
  </si>
  <si>
    <t>Give 4 More</t>
  </si>
  <si>
    <t>Take 1778 More</t>
  </si>
  <si>
    <t>Title III Native American Count (average monthly)</t>
  </si>
  <si>
    <t>34974</t>
  </si>
  <si>
    <t>School of the Blind</t>
  </si>
  <si>
    <t>34975</t>
  </si>
  <si>
    <t>School of the Deaf</t>
  </si>
  <si>
    <t>17908</t>
  </si>
  <si>
    <t>Rainier Prep</t>
  </si>
  <si>
    <t>Excel</t>
  </si>
  <si>
    <t>17906</t>
  </si>
  <si>
    <t>32907</t>
  </si>
  <si>
    <t>32901</t>
  </si>
  <si>
    <t>27909</t>
  </si>
  <si>
    <t>17902</t>
  </si>
  <si>
    <t>27905</t>
  </si>
  <si>
    <t>Pride Prep</t>
  </si>
  <si>
    <t>Spokane International Academy</t>
  </si>
  <si>
    <t>Green Dot Tacoma</t>
  </si>
  <si>
    <t>SOAR</t>
  </si>
  <si>
    <t>Summit Sierra</t>
  </si>
  <si>
    <t>Summit Olympus</t>
  </si>
  <si>
    <t>27904</t>
  </si>
  <si>
    <t>Grades 7-12 Enrollment (for re-allocation only)</t>
  </si>
  <si>
    <t>Prelim $</t>
  </si>
  <si>
    <t>G7-12 Re-allocation only</t>
  </si>
  <si>
    <t>Eligible District Enroll 
G7-12</t>
  </si>
  <si>
    <t>2016-17 F</t>
  </si>
  <si>
    <t>State Activities (3111(b)(2))</t>
  </si>
  <si>
    <t>2017-18 P</t>
  </si>
  <si>
    <t>Temp Final Allocation</t>
  </si>
  <si>
    <t>2017-18 F</t>
  </si>
  <si>
    <t>Title III Consortia 2017-18</t>
  </si>
  <si>
    <t>2018-19 P</t>
  </si>
  <si>
    <t>Give 2 More</t>
  </si>
  <si>
    <t>Take 1 More</t>
  </si>
  <si>
    <t>17911</t>
  </si>
  <si>
    <t>17905</t>
  </si>
  <si>
    <t>36901</t>
  </si>
  <si>
    <t>Impact</t>
  </si>
  <si>
    <t>Willow</t>
  </si>
  <si>
    <t>17910</t>
  </si>
  <si>
    <t>Title III Consortia 2018-19</t>
  </si>
  <si>
    <t>Change 1819 from 1718</t>
  </si>
  <si>
    <t>&lt;- Selet from the dropdown</t>
  </si>
  <si>
    <t>2018-19 F</t>
  </si>
  <si>
    <t>IF(ISNA(VLOOKUP(B9,'[Copy of allocations.xlsx]Sheet1'!$B$2:$E$314,3,0)),"N",IF(VLOOKUP(B9,'[Copy of allocations.xlsx]Sheet1'!$B$2:$D$314,3,0)="Not apply for Title III.","N",IF(VLOOKUP(B9,'[Copy of allocations.xlsx]Sheet1'!$B$2:$D$314,3,0)="Apply for Title III as part of a consortium.","C","Y")))</t>
  </si>
  <si>
    <t>50% - Consolidated Admin (CA)</t>
  </si>
  <si>
    <t>50% - State Activities (TA)</t>
  </si>
  <si>
    <t>39801</t>
  </si>
  <si>
    <t>2019-20 P</t>
  </si>
  <si>
    <t>Not Applicable</t>
  </si>
  <si>
    <t>districts that did not meet $10,000 minimum 06192019</t>
  </si>
  <si>
    <t>OLD</t>
  </si>
  <si>
    <t>W/ Correct Enroll</t>
  </si>
  <si>
    <t>Difference</t>
  </si>
  <si>
    <t>% difference</t>
  </si>
  <si>
    <t>Comparison of Preliminary SY 2019-20 Allocations</t>
  </si>
  <si>
    <t>applied</t>
  </si>
  <si>
    <t>did not apply</t>
  </si>
  <si>
    <t>2019-20 F</t>
  </si>
  <si>
    <t>Cle-Elum Roslyn</t>
  </si>
  <si>
    <t>Naselle-Grays River</t>
  </si>
  <si>
    <t>Lopez Island</t>
  </si>
  <si>
    <t>Orcas Island</t>
  </si>
  <si>
    <t>San Juan Island</t>
  </si>
  <si>
    <t>Mt. Vernon</t>
  </si>
  <si>
    <t>Title III Consortia 2019-20</t>
  </si>
  <si>
    <t>2020-21 P</t>
  </si>
  <si>
    <t>Give 1 More</t>
  </si>
  <si>
    <t>Take 3 More</t>
  </si>
  <si>
    <t>Take 131214 More</t>
  </si>
  <si>
    <t>17917</t>
  </si>
  <si>
    <t>Cascade Midway</t>
  </si>
  <si>
    <t>18901</t>
  </si>
  <si>
    <t>Catalyst Bremerton</t>
  </si>
  <si>
    <t>17916</t>
  </si>
  <si>
    <t>Impact Salish Sea</t>
  </si>
  <si>
    <t>32903</t>
  </si>
  <si>
    <t>Lumen</t>
  </si>
  <si>
    <t>37902</t>
  </si>
  <si>
    <t>Whatcom Intergenerational</t>
  </si>
  <si>
    <t>Summit Atlas Charter</t>
  </si>
  <si>
    <t>Green Dot Seattle Charter</t>
  </si>
  <si>
    <t>Impact Charter</t>
  </si>
  <si>
    <t>Willow Charter</t>
  </si>
  <si>
    <t>Pride Prep Charter</t>
  </si>
  <si>
    <t>Rainier Prep Charter</t>
  </si>
  <si>
    <t>Spokane Int'l Charter</t>
  </si>
  <si>
    <t>Summit Olympus Charter</t>
  </si>
  <si>
    <t>Summit Sierra Charter</t>
  </si>
  <si>
    <t>From Amy Ingram</t>
  </si>
  <si>
    <t>Title III Consortia 2020-21</t>
  </si>
  <si>
    <t>2020-21 F</t>
  </si>
  <si>
    <t>Mount Vernon</t>
  </si>
  <si>
    <t>2021-22 P</t>
  </si>
  <si>
    <t>Take 879755 More</t>
  </si>
  <si>
    <t>Title III Consortia 2021-22</t>
  </si>
  <si>
    <t>27902</t>
  </si>
  <si>
    <t>04901</t>
  </si>
  <si>
    <t>38901</t>
  </si>
  <si>
    <t>Why Not You Academy Charter</t>
  </si>
  <si>
    <t>Catalyst Bremerton Charter</t>
  </si>
  <si>
    <t>Impact Commencement Bay Elementary Charter</t>
  </si>
  <si>
    <t>Impact Puget Sound Elementry Charter</t>
  </si>
  <si>
    <t>Impact Salish Sea Charter</t>
  </si>
  <si>
    <t>Lumen Charter</t>
  </si>
  <si>
    <t>Pinnacle Prep Charter</t>
  </si>
  <si>
    <t>Pullman Community Montessori Charter</t>
  </si>
  <si>
    <t>Whatcom Intergenerational Charter</t>
  </si>
  <si>
    <t>Rainier Valley Leadership Academy Charter</t>
  </si>
  <si>
    <t>Enrollment from Amy Ingram 4/6/2021</t>
  </si>
  <si>
    <t>Innovation/Willow Acad Charter</t>
  </si>
  <si>
    <t>From Amy Ingram 04/06/2021</t>
  </si>
  <si>
    <t>Feeds to Allocation 2021-22</t>
  </si>
  <si>
    <t>Final 2021-22 Title III Allocations</t>
  </si>
  <si>
    <t>2021-22 F</t>
  </si>
  <si>
    <t>Give 8 More</t>
  </si>
  <si>
    <t>Take 4 More</t>
  </si>
  <si>
    <t>Feeds to Allocation 2022-23</t>
  </si>
  <si>
    <t>2022-23 P</t>
  </si>
  <si>
    <t>"Enrollment 22-23"</t>
  </si>
  <si>
    <t>Title III Consortia 2022-23</t>
  </si>
  <si>
    <t>Impact Puget</t>
  </si>
  <si>
    <t>2022-23 F</t>
  </si>
  <si>
    <t>2022-23 Title III A Final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</si>
</sst>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_(&quot;$&quot;* #,##0_);_(&quot;$&quot;* \(#,##0\);_(&quot;$&quot;* &quot;-&quot;??_);_(@_)"/>
    <numFmt numFmtId="167" formatCode="&quot;$&quot;#,##0"/>
    <numFmt numFmtId="168" formatCode="&quot;$&quot;#,##0.00"/>
    <numFmt numFmtId="169" formatCode="_(&quot;$&quot;* #,##0_);[Red]_(&quot;$&quot;* \(#,##0\);_(&quot;$&quot;* &quot;-&quot;_);_(@_)"/>
    <numFmt numFmtId="170" formatCode="###0"/>
    <numFmt numFmtId="171" formatCode="[$-409]mmmm\ d\,\ yyyy;@"/>
    <numFmt numFmtId="172" formatCode="0.0%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8"/>
      <name val="Arial"/>
      <family val="2"/>
    </font>
    <font>
      <b/>
      <i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Times New Roman"/>
      <family val="1"/>
    </font>
    <font>
      <b/>
      <sz val="10"/>
      <color indexed="6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0"/>
      <color indexed="18"/>
      <name val="Arial"/>
      <family val="2"/>
    </font>
    <font>
      <sz val="12"/>
      <color indexed="18"/>
      <name val="Monotype Corsiva"/>
      <family val="4"/>
    </font>
    <font>
      <sz val="10"/>
      <color indexed="17"/>
      <name val="Arial"/>
      <family val="2"/>
    </font>
    <font>
      <b/>
      <sz val="12"/>
      <name val="Arial MT"/>
    </font>
    <font>
      <b/>
      <sz val="12"/>
      <color indexed="10"/>
      <name val="Arial MT"/>
    </font>
    <font>
      <b/>
      <sz val="12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u val="singleAccounting"/>
      <sz val="10"/>
      <name val="Arial"/>
      <family val="2"/>
    </font>
    <font>
      <b/>
      <sz val="10"/>
      <name val="Arial MT"/>
    </font>
    <font>
      <b/>
      <i/>
      <sz val="8"/>
      <name val="Comic Sans MS"/>
      <family val="4"/>
    </font>
    <font>
      <b/>
      <i/>
      <sz val="9"/>
      <name val="Comic Sans MS"/>
      <family val="4"/>
    </font>
    <font>
      <b/>
      <i/>
      <sz val="10"/>
      <name val="Comic Sans MS"/>
      <family val="4"/>
    </font>
    <font>
      <sz val="10"/>
      <name val="Arial"/>
      <family val="2"/>
    </font>
    <font>
      <b/>
      <sz val="11"/>
      <name val="Arial MT"/>
    </font>
    <font>
      <sz val="10"/>
      <name val="Arial MT"/>
    </font>
    <font>
      <sz val="10"/>
      <name val="Century Schoolbook"/>
      <family val="1"/>
    </font>
    <font>
      <sz val="12"/>
      <name val="Arial MT"/>
    </font>
    <font>
      <sz val="11"/>
      <color indexed="8"/>
      <name val="Calibri"/>
      <family val="2"/>
    </font>
    <font>
      <sz val="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0" tint="-4.9989318521683403E-2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6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color theme="3"/>
      <name val="Arial"/>
      <family val="2"/>
    </font>
    <font>
      <sz val="11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Comic Sans MS"/>
      <family val="4"/>
    </font>
    <font>
      <i/>
      <sz val="8"/>
      <color theme="1"/>
      <name val="Arial"/>
      <family val="2"/>
    </font>
    <font>
      <sz val="11"/>
      <color theme="1"/>
      <name val="Calibri"/>
      <family val="2"/>
    </font>
    <font>
      <sz val="10"/>
      <color indexed="9"/>
      <name val="Arial"/>
      <family val="2"/>
    </font>
    <font>
      <b/>
      <sz val="12"/>
      <color rgb="FF006100"/>
      <name val="Calibri"/>
      <family val="2"/>
      <scheme val="minor"/>
    </font>
    <font>
      <b/>
      <sz val="11"/>
      <name val="Arial"/>
      <family val="2"/>
    </font>
    <font>
      <b/>
      <sz val="11"/>
      <color theme="7" tint="-0.49998474074526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name val="Verdana"/>
      <family val="2"/>
    </font>
    <font>
      <sz val="11"/>
      <color rgb="FF000000"/>
      <name val="Verdana"/>
      <family val="2"/>
    </font>
    <font>
      <sz val="12"/>
      <color theme="1"/>
      <name val="Calibri"/>
      <family val="2"/>
      <charset val="128"/>
      <scheme val="minor"/>
    </font>
    <font>
      <sz val="11"/>
      <color rgb="FF000000"/>
      <name val="Calibri"/>
      <family val="2"/>
      <scheme val="minor"/>
    </font>
    <font>
      <sz val="11"/>
      <color rgb="FF1F497D"/>
      <name val="Calibri"/>
      <family val="2"/>
    </font>
    <font>
      <sz val="11"/>
      <color rgb="FF000000"/>
      <name val="Symbol"/>
      <family val="1"/>
      <charset val="2"/>
    </font>
    <font>
      <sz val="10"/>
      <color rgb="FFFFFFFF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7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45">
    <xf numFmtId="0" fontId="0" fillId="0" borderId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5" fillId="9" borderId="0" applyNumberFormat="0" applyBorder="0" applyAlignment="0" applyProtection="0"/>
    <xf numFmtId="0" fontId="64" fillId="0" borderId="0"/>
    <xf numFmtId="0" fontId="17" fillId="0" borderId="0"/>
    <xf numFmtId="39" fontId="59" fillId="0" borderId="0"/>
    <xf numFmtId="9" fontId="15" fillId="0" borderId="0" applyFont="0" applyFill="0" applyBorder="0" applyAlignment="0" applyProtection="0"/>
    <xf numFmtId="39" fontId="59" fillId="0" borderId="0"/>
    <xf numFmtId="0" fontId="14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2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3" fillId="0" borderId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938">
    <xf numFmtId="0" fontId="0" fillId="0" borderId="0" xfId="0"/>
    <xf numFmtId="0" fontId="0" fillId="0" borderId="1" xfId="0" applyBorder="1"/>
    <xf numFmtId="165" fontId="0" fillId="0" borderId="0" xfId="1" applyNumberFormat="1" applyFont="1"/>
    <xf numFmtId="0" fontId="0" fillId="0" borderId="2" xfId="0" applyBorder="1"/>
    <xf numFmtId="0" fontId="16" fillId="2" borderId="0" xfId="0" applyFont="1" applyFill="1" applyBorder="1"/>
    <xf numFmtId="0" fontId="0" fillId="2" borderId="0" xfId="0" applyFill="1" applyBorder="1"/>
    <xf numFmtId="0" fontId="22" fillId="0" borderId="2" xfId="0" applyFont="1" applyBorder="1"/>
    <xf numFmtId="0" fontId="0" fillId="0" borderId="0" xfId="0" applyBorder="1"/>
    <xf numFmtId="0" fontId="20" fillId="0" borderId="0" xfId="0" applyFont="1" applyBorder="1"/>
    <xf numFmtId="0" fontId="17" fillId="0" borderId="0" xfId="0" applyFont="1" applyBorder="1"/>
    <xf numFmtId="43" fontId="17" fillId="0" borderId="0" xfId="1" applyFont="1" applyBorder="1"/>
    <xf numFmtId="0" fontId="22" fillId="0" borderId="0" xfId="0" applyFont="1" applyBorder="1"/>
    <xf numFmtId="0" fontId="0" fillId="0" borderId="3" xfId="0" applyBorder="1"/>
    <xf numFmtId="0" fontId="0" fillId="3" borderId="4" xfId="0" applyFill="1" applyBorder="1"/>
    <xf numFmtId="44" fontId="0" fillId="0" borderId="4" xfId="1" applyNumberFormat="1" applyFont="1" applyBorder="1"/>
    <xf numFmtId="44" fontId="0" fillId="0" borderId="0" xfId="4" applyNumberFormat="1" applyFont="1" applyBorder="1"/>
    <xf numFmtId="44" fontId="16" fillId="4" borderId="0" xfId="4" applyNumberFormat="1" applyFont="1" applyFill="1" applyBorder="1"/>
    <xf numFmtId="43" fontId="0" fillId="0" borderId="0" xfId="1" applyFont="1" applyFill="1" applyBorder="1"/>
    <xf numFmtId="0" fontId="20" fillId="0" borderId="0" xfId="0" applyFont="1"/>
    <xf numFmtId="3" fontId="0" fillId="0" borderId="0" xfId="0" applyNumberFormat="1" applyFill="1" applyBorder="1"/>
    <xf numFmtId="165" fontId="0" fillId="0" borderId="0" xfId="0" applyNumberFormat="1"/>
    <xf numFmtId="0" fontId="19" fillId="0" borderId="0" xfId="0" applyFont="1" applyBorder="1" applyAlignment="1">
      <alignment horizontal="left" wrapText="1"/>
    </xf>
    <xf numFmtId="10" fontId="17" fillId="4" borderId="0" xfId="10" applyNumberFormat="1" applyFont="1" applyFill="1"/>
    <xf numFmtId="0" fontId="0" fillId="0" borderId="0" xfId="0" applyFill="1" applyBorder="1"/>
    <xf numFmtId="43" fontId="15" fillId="0" borderId="0" xfId="1" applyFill="1" applyBorder="1"/>
    <xf numFmtId="165" fontId="17" fillId="0" borderId="0" xfId="1" applyNumberFormat="1" applyFont="1" applyFill="1" applyBorder="1" applyAlignment="1">
      <alignment horizontal="center" vertical="top" wrapText="1"/>
    </xf>
    <xf numFmtId="0" fontId="16" fillId="0" borderId="0" xfId="0" applyFont="1" applyFill="1" applyBorder="1"/>
    <xf numFmtId="165" fontId="16" fillId="0" borderId="0" xfId="1" applyNumberFormat="1" applyFont="1" applyFill="1" applyBorder="1"/>
    <xf numFmtId="38" fontId="0" fillId="0" borderId="0" xfId="0" applyNumberFormat="1" applyFill="1" applyBorder="1"/>
    <xf numFmtId="165" fontId="15" fillId="0" borderId="0" xfId="1" applyNumberFormat="1" applyFill="1" applyBorder="1"/>
    <xf numFmtId="0" fontId="16" fillId="0" borderId="0" xfId="0" applyFont="1" applyFill="1" applyBorder="1" applyAlignment="1">
      <alignment horizontal="center" wrapText="1"/>
    </xf>
    <xf numFmtId="165" fontId="16" fillId="0" borderId="0" xfId="1" applyNumberFormat="1" applyFont="1" applyFill="1" applyBorder="1" applyAlignment="1">
      <alignment horizontal="center" wrapText="1"/>
    </xf>
    <xf numFmtId="38" fontId="16" fillId="0" borderId="0" xfId="0" applyNumberFormat="1" applyFont="1" applyFill="1" applyBorder="1"/>
    <xf numFmtId="0" fontId="16" fillId="0" borderId="0" xfId="0" applyFont="1" applyFill="1" applyBorder="1" applyAlignment="1">
      <alignment wrapText="1"/>
    </xf>
    <xf numFmtId="166" fontId="17" fillId="0" borderId="0" xfId="4" applyNumberFormat="1" applyFont="1" applyFill="1" applyBorder="1" applyAlignment="1">
      <alignment horizontal="center" vertical="top" wrapText="1"/>
    </xf>
    <xf numFmtId="38" fontId="17" fillId="0" borderId="0" xfId="4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/>
    <xf numFmtId="9" fontId="17" fillId="4" borderId="0" xfId="10" applyFont="1" applyFill="1" applyBorder="1"/>
    <xf numFmtId="0" fontId="16" fillId="3" borderId="5" xfId="0" applyFont="1" applyFill="1" applyBorder="1"/>
    <xf numFmtId="0" fontId="24" fillId="0" borderId="2" xfId="0" applyFont="1" applyBorder="1"/>
    <xf numFmtId="0" fontId="17" fillId="0" borderId="0" xfId="0" applyFont="1" applyFill="1" applyBorder="1"/>
    <xf numFmtId="43" fontId="16" fillId="0" borderId="0" xfId="1" applyFont="1" applyBorder="1"/>
    <xf numFmtId="10" fontId="16" fillId="0" borderId="0" xfId="10" applyNumberFormat="1" applyFont="1" applyFill="1"/>
    <xf numFmtId="9" fontId="17" fillId="0" borderId="0" xfId="10" applyFont="1" applyFill="1" applyBorder="1"/>
    <xf numFmtId="0" fontId="16" fillId="0" borderId="0" xfId="0" quotePrefix="1" applyFont="1" applyAlignment="1">
      <alignment horizontal="center"/>
    </xf>
    <xf numFmtId="0" fontId="16" fillId="0" borderId="0" xfId="0" applyFont="1" applyFill="1" applyBorder="1" applyAlignment="1"/>
    <xf numFmtId="0" fontId="23" fillId="0" borderId="0" xfId="0" applyFont="1" applyFill="1" applyAlignment="1">
      <alignment horizontal="left"/>
    </xf>
    <xf numFmtId="0" fontId="23" fillId="0" borderId="0" xfId="0" applyFont="1" applyFill="1"/>
    <xf numFmtId="0" fontId="24" fillId="0" borderId="6" xfId="0" applyFont="1" applyFill="1" applyBorder="1" applyAlignment="1">
      <alignment horizontal="left"/>
    </xf>
    <xf numFmtId="0" fontId="27" fillId="0" borderId="6" xfId="0" applyFont="1" applyFill="1" applyBorder="1" applyAlignment="1">
      <alignment horizontal="left" vertical="top" wrapText="1"/>
    </xf>
    <xf numFmtId="44" fontId="27" fillId="0" borderId="6" xfId="4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left"/>
    </xf>
    <xf numFmtId="0" fontId="0" fillId="0" borderId="6" xfId="0" applyFill="1" applyBorder="1"/>
    <xf numFmtId="44" fontId="0" fillId="0" borderId="6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16" fillId="0" borderId="0" xfId="0" applyFont="1"/>
    <xf numFmtId="0" fontId="15" fillId="0" borderId="0" xfId="1" applyNumberFormat="1" applyFill="1" applyBorder="1"/>
    <xf numFmtId="3" fontId="15" fillId="0" borderId="0" xfId="1" applyNumberFormat="1" applyFill="1" applyBorder="1"/>
    <xf numFmtId="166" fontId="15" fillId="0" borderId="0" xfId="1" applyNumberFormat="1" applyFill="1" applyBorder="1"/>
    <xf numFmtId="39" fontId="0" fillId="0" borderId="0" xfId="0" applyNumberFormat="1" applyProtection="1"/>
    <xf numFmtId="0" fontId="0" fillId="0" borderId="0" xfId="0" quotePrefix="1"/>
    <xf numFmtId="39" fontId="0" fillId="0" borderId="0" xfId="0" quotePrefix="1" applyNumberFormat="1" applyProtection="1"/>
    <xf numFmtId="49" fontId="0" fillId="0" borderId="0" xfId="0" applyNumberFormat="1" applyAlignment="1" applyProtection="1">
      <alignment horizontal="left"/>
    </xf>
    <xf numFmtId="43" fontId="29" fillId="0" borderId="0" xfId="1" applyFont="1" applyFill="1" applyBorder="1"/>
    <xf numFmtId="43" fontId="30" fillId="4" borderId="0" xfId="1" applyFont="1" applyFill="1" applyBorder="1"/>
    <xf numFmtId="43" fontId="29" fillId="0" borderId="0" xfId="1" applyFont="1" applyFill="1" applyBorder="1" applyAlignment="1">
      <alignment wrapText="1"/>
    </xf>
    <xf numFmtId="43" fontId="30" fillId="0" borderId="0" xfId="1" applyFont="1" applyFill="1" applyBorder="1" applyAlignment="1">
      <alignment horizontal="center"/>
    </xf>
    <xf numFmtId="43" fontId="30" fillId="0" borderId="0" xfId="1" applyFont="1" applyFill="1" applyBorder="1"/>
    <xf numFmtId="165" fontId="29" fillId="0" borderId="0" xfId="1" applyNumberFormat="1" applyFont="1" applyFill="1" applyBorder="1"/>
    <xf numFmtId="165" fontId="30" fillId="0" borderId="0" xfId="1" applyNumberFormat="1" applyFont="1" applyFill="1" applyBorder="1"/>
    <xf numFmtId="43" fontId="30" fillId="0" borderId="0" xfId="1" quotePrefix="1" applyFont="1" applyFill="1" applyBorder="1" applyAlignment="1">
      <alignment horizontal="center"/>
    </xf>
    <xf numFmtId="43" fontId="30" fillId="0" borderId="0" xfId="1" applyFont="1" applyFill="1" applyBorder="1" applyAlignment="1">
      <alignment horizontal="center" wrapText="1"/>
    </xf>
    <xf numFmtId="43" fontId="29" fillId="0" borderId="0" xfId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40" fontId="16" fillId="0" borderId="0" xfId="0" applyNumberFormat="1" applyFont="1"/>
    <xf numFmtId="43" fontId="16" fillId="0" borderId="0" xfId="1" applyFont="1" applyFill="1" applyBorder="1"/>
    <xf numFmtId="43" fontId="16" fillId="0" borderId="0" xfId="1" applyFont="1" applyFill="1" applyBorder="1" applyAlignment="1">
      <alignment horizontal="center" wrapText="1"/>
    </xf>
    <xf numFmtId="40" fontId="0" fillId="0" borderId="0" xfId="0" applyNumberFormat="1"/>
    <xf numFmtId="43" fontId="29" fillId="0" borderId="4" xfId="1" applyFont="1" applyFill="1" applyBorder="1"/>
    <xf numFmtId="0" fontId="16" fillId="0" borderId="2" xfId="0" applyFont="1" applyFill="1" applyBorder="1"/>
    <xf numFmtId="0" fontId="16" fillId="5" borderId="0" xfId="0" applyFont="1" applyFill="1"/>
    <xf numFmtId="43" fontId="29" fillId="0" borderId="0" xfId="1" applyNumberFormat="1" applyFont="1" applyFill="1" applyBorder="1" applyAlignment="1">
      <alignment horizontal="center" wrapText="1"/>
    </xf>
    <xf numFmtId="43" fontId="30" fillId="4" borderId="0" xfId="1" applyNumberFormat="1" applyFont="1" applyFill="1" applyBorder="1"/>
    <xf numFmtId="43" fontId="29" fillId="0" borderId="0" xfId="1" applyNumberFormat="1" applyFont="1" applyFill="1" applyBorder="1"/>
    <xf numFmtId="43" fontId="0" fillId="0" borderId="0" xfId="0" applyNumberFormat="1"/>
    <xf numFmtId="43" fontId="30" fillId="0" borderId="0" xfId="1" applyFont="1" applyFill="1" applyBorder="1" applyAlignment="1"/>
    <xf numFmtId="43" fontId="31" fillId="0" borderId="0" xfId="1" applyFont="1" applyFill="1" applyBorder="1"/>
    <xf numFmtId="165" fontId="32" fillId="0" borderId="0" xfId="1" applyNumberFormat="1" applyFont="1" applyFill="1" applyBorder="1"/>
    <xf numFmtId="9" fontId="16" fillId="0" borderId="0" xfId="10" applyFont="1" applyFill="1" applyBorder="1"/>
    <xf numFmtId="0" fontId="0" fillId="0" borderId="6" xfId="0" applyBorder="1"/>
    <xf numFmtId="0" fontId="0" fillId="0" borderId="0" xfId="0" applyBorder="1" applyAlignment="1">
      <alignment horizontal="center"/>
    </xf>
    <xf numFmtId="0" fontId="16" fillId="0" borderId="0" xfId="0" applyFont="1" applyFill="1"/>
    <xf numFmtId="0" fontId="28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165" fontId="0" fillId="0" borderId="0" xfId="0" applyNumberFormat="1" applyFill="1"/>
    <xf numFmtId="49" fontId="16" fillId="0" borderId="0" xfId="0" applyNumberFormat="1" applyFont="1"/>
    <xf numFmtId="167" fontId="16" fillId="0" borderId="0" xfId="4" applyNumberFormat="1" applyFont="1" applyAlignment="1">
      <alignment horizontal="left"/>
    </xf>
    <xf numFmtId="0" fontId="34" fillId="0" borderId="0" xfId="0" applyFont="1"/>
    <xf numFmtId="0" fontId="19" fillId="0" borderId="0" xfId="0" applyFont="1"/>
    <xf numFmtId="39" fontId="0" fillId="0" borderId="0" xfId="0" applyNumberFormat="1" applyFill="1" applyBorder="1" applyProtection="1"/>
    <xf numFmtId="44" fontId="0" fillId="0" borderId="0" xfId="1" applyNumberFormat="1" applyFont="1" applyBorder="1"/>
    <xf numFmtId="44" fontId="16" fillId="0" borderId="7" xfId="4" applyNumberFormat="1" applyFont="1" applyBorder="1"/>
    <xf numFmtId="44" fontId="16" fillId="0" borderId="4" xfId="1" applyNumberFormat="1" applyFont="1" applyBorder="1"/>
    <xf numFmtId="0" fontId="35" fillId="5" borderId="0" xfId="0" applyFont="1" applyFill="1"/>
    <xf numFmtId="43" fontId="36" fillId="0" borderId="0" xfId="1" applyFont="1" applyFill="1" applyBorder="1"/>
    <xf numFmtId="43" fontId="37" fillId="0" borderId="0" xfId="1" applyFont="1" applyFill="1" applyBorder="1"/>
    <xf numFmtId="0" fontId="33" fillId="0" borderId="0" xfId="0" applyFont="1" applyFill="1" applyBorder="1"/>
    <xf numFmtId="0" fontId="33" fillId="0" borderId="0" xfId="1" applyNumberFormat="1" applyFont="1" applyFill="1" applyBorder="1"/>
    <xf numFmtId="38" fontId="33" fillId="0" borderId="0" xfId="0" applyNumberFormat="1" applyFont="1" applyFill="1" applyBorder="1"/>
    <xf numFmtId="3" fontId="33" fillId="0" borderId="0" xfId="1" applyNumberFormat="1" applyFont="1" applyFill="1" applyBorder="1"/>
    <xf numFmtId="49" fontId="33" fillId="0" borderId="0" xfId="0" applyNumberFormat="1" applyFont="1" applyFill="1" applyBorder="1"/>
    <xf numFmtId="3" fontId="33" fillId="0" borderId="0" xfId="0" applyNumberFormat="1" applyFont="1" applyFill="1" applyBorder="1"/>
    <xf numFmtId="44" fontId="16" fillId="4" borderId="0" xfId="4" applyFont="1" applyFill="1" applyBorder="1"/>
    <xf numFmtId="44" fontId="0" fillId="0" borderId="0" xfId="4" applyFont="1" applyBorder="1"/>
    <xf numFmtId="44" fontId="16" fillId="0" borderId="7" xfId="4" applyFont="1" applyBorder="1"/>
    <xf numFmtId="0" fontId="16" fillId="0" borderId="0" xfId="0" applyFont="1" applyBorder="1" applyAlignment="1">
      <alignment horizontal="center"/>
    </xf>
    <xf numFmtId="0" fontId="24" fillId="4" borderId="6" xfId="0" applyFont="1" applyFill="1" applyBorder="1" applyAlignment="1">
      <alignment horizontal="center"/>
    </xf>
    <xf numFmtId="0" fontId="23" fillId="4" borderId="5" xfId="0" applyFont="1" applyFill="1" applyBorder="1" applyAlignment="1"/>
    <xf numFmtId="0" fontId="23" fillId="4" borderId="4" xfId="0" applyFont="1" applyFill="1" applyBorder="1" applyAlignment="1"/>
    <xf numFmtId="0" fontId="23" fillId="4" borderId="8" xfId="0" applyFont="1" applyFill="1" applyBorder="1" applyAlignment="1"/>
    <xf numFmtId="0" fontId="23" fillId="0" borderId="0" xfId="0" applyFont="1"/>
    <xf numFmtId="49" fontId="0" fillId="0" borderId="0" xfId="0" applyNumberFormat="1"/>
    <xf numFmtId="43" fontId="0" fillId="0" borderId="0" xfId="1" applyFont="1"/>
    <xf numFmtId="43" fontId="23" fillId="4" borderId="4" xfId="1" applyFont="1" applyFill="1" applyBorder="1" applyAlignment="1"/>
    <xf numFmtId="43" fontId="0" fillId="0" borderId="0" xfId="1" applyFont="1" applyAlignment="1">
      <alignment horizontal="center" wrapText="1"/>
    </xf>
    <xf numFmtId="39" fontId="0" fillId="0" borderId="0" xfId="0" applyNumberFormat="1" applyFill="1" applyProtection="1"/>
    <xf numFmtId="165" fontId="32" fillId="0" borderId="0" xfId="1" applyNumberFormat="1" applyFont="1" applyFill="1" applyBorder="1" applyAlignment="1">
      <alignment horizontal="center"/>
    </xf>
    <xf numFmtId="43" fontId="31" fillId="0" borderId="0" xfId="1" applyFont="1" applyFill="1" applyBorder="1" applyAlignment="1">
      <alignment horizontal="center"/>
    </xf>
    <xf numFmtId="43" fontId="32" fillId="0" borderId="0" xfId="1" applyFont="1" applyFill="1" applyBorder="1"/>
    <xf numFmtId="0" fontId="30" fillId="0" borderId="0" xfId="1" applyNumberFormat="1" applyFont="1" applyFill="1" applyBorder="1"/>
    <xf numFmtId="43" fontId="30" fillId="6" borderId="3" xfId="1" applyFont="1" applyFill="1" applyBorder="1"/>
    <xf numFmtId="43" fontId="30" fillId="6" borderId="9" xfId="1" applyFont="1" applyFill="1" applyBorder="1"/>
    <xf numFmtId="0" fontId="15" fillId="0" borderId="0" xfId="0" quotePrefix="1" applyFont="1"/>
    <xf numFmtId="39" fontId="15" fillId="0" borderId="0" xfId="0" applyNumberFormat="1" applyFont="1" applyProtection="1"/>
    <xf numFmtId="43" fontId="39" fillId="0" borderId="0" xfId="1" applyFont="1" applyFill="1" applyBorder="1"/>
    <xf numFmtId="43" fontId="33" fillId="0" borderId="0" xfId="1" applyFont="1"/>
    <xf numFmtId="10" fontId="16" fillId="0" borderId="0" xfId="10" applyNumberFormat="1" applyFont="1" applyFill="1" applyBorder="1"/>
    <xf numFmtId="43" fontId="15" fillId="0" borderId="0" xfId="1" applyFont="1" applyFill="1" applyBorder="1"/>
    <xf numFmtId="0" fontId="0" fillId="0" borderId="0" xfId="0" quotePrefix="1" applyFill="1"/>
    <xf numFmtId="43" fontId="0" fillId="0" borderId="0" xfId="0" applyNumberFormat="1" applyFill="1"/>
    <xf numFmtId="41" fontId="32" fillId="0" borderId="0" xfId="1" applyNumberFormat="1" applyFont="1" applyFill="1" applyBorder="1"/>
    <xf numFmtId="41" fontId="29" fillId="0" borderId="0" xfId="1" applyNumberFormat="1" applyFont="1" applyFill="1" applyBorder="1"/>
    <xf numFmtId="165" fontId="40" fillId="0" borderId="0" xfId="0" applyNumberFormat="1" applyFont="1"/>
    <xf numFmtId="0" fontId="17" fillId="0" borderId="2" xfId="0" applyFont="1" applyBorder="1"/>
    <xf numFmtId="43" fontId="38" fillId="4" borderId="0" xfId="1" applyFont="1" applyFill="1" applyBorder="1"/>
    <xf numFmtId="43" fontId="0" fillId="0" borderId="0" xfId="0" quotePrefix="1" applyNumberFormat="1"/>
    <xf numFmtId="43" fontId="30" fillId="4" borderId="0" xfId="1" applyFont="1" applyFill="1" applyBorder="1" applyAlignment="1">
      <alignment horizontal="center"/>
    </xf>
    <xf numFmtId="43" fontId="29" fillId="4" borderId="0" xfId="1" applyFont="1" applyFill="1" applyBorder="1" applyAlignment="1">
      <alignment horizontal="center" wrapText="1"/>
    </xf>
    <xf numFmtId="43" fontId="15" fillId="0" borderId="0" xfId="1"/>
    <xf numFmtId="165" fontId="15" fillId="0" borderId="0" xfId="0" applyNumberFormat="1" applyFont="1"/>
    <xf numFmtId="43" fontId="15" fillId="0" borderId="0" xfId="1" applyFill="1"/>
    <xf numFmtId="43" fontId="29" fillId="4" borderId="0" xfId="1" applyFont="1" applyFill="1" applyBorder="1" applyAlignment="1">
      <alignment horizontal="center"/>
    </xf>
    <xf numFmtId="39" fontId="0" fillId="0" borderId="0" xfId="0" applyNumberFormat="1"/>
    <xf numFmtId="0" fontId="17" fillId="0" borderId="0" xfId="0" applyFont="1"/>
    <xf numFmtId="43" fontId="31" fillId="0" borderId="0" xfId="1" applyFont="1" applyFill="1" applyBorder="1" applyAlignment="1">
      <alignment horizontal="center" wrapText="1"/>
    </xf>
    <xf numFmtId="165" fontId="31" fillId="0" borderId="0" xfId="1" applyNumberFormat="1" applyFont="1" applyFill="1" applyBorder="1"/>
    <xf numFmtId="43" fontId="31" fillId="0" borderId="0" xfId="1" applyFont="1" applyFill="1" applyBorder="1" applyAlignment="1"/>
    <xf numFmtId="43" fontId="17" fillId="0" borderId="0" xfId="1" applyFont="1" applyFill="1" applyBorder="1"/>
    <xf numFmtId="43" fontId="17" fillId="0" borderId="0" xfId="1" applyFont="1" applyFill="1" applyBorder="1" applyAlignment="1">
      <alignment horizontal="center" wrapText="1"/>
    </xf>
    <xf numFmtId="43" fontId="17" fillId="0" borderId="0" xfId="1" applyFont="1" applyFill="1" applyBorder="1" applyAlignment="1">
      <alignment horizontal="center"/>
    </xf>
    <xf numFmtId="10" fontId="17" fillId="0" borderId="0" xfId="10" applyNumberFormat="1" applyFont="1" applyFill="1" applyBorder="1"/>
    <xf numFmtId="0" fontId="41" fillId="0" borderId="0" xfId="0" applyFont="1"/>
    <xf numFmtId="0" fontId="27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17" fillId="0" borderId="10" xfId="0" applyFont="1" applyBorder="1"/>
    <xf numFmtId="0" fontId="17" fillId="0" borderId="11" xfId="0" applyFont="1" applyBorder="1"/>
    <xf numFmtId="0" fontId="17" fillId="0" borderId="12" xfId="0" applyFont="1" applyBorder="1"/>
    <xf numFmtId="0" fontId="17" fillId="0" borderId="13" xfId="0" applyFont="1" applyBorder="1"/>
    <xf numFmtId="49" fontId="24" fillId="0" borderId="6" xfId="7" applyNumberFormat="1" applyFont="1" applyBorder="1"/>
    <xf numFmtId="167" fontId="24" fillId="0" borderId="6" xfId="5" applyNumberFormat="1" applyFont="1" applyBorder="1" applyAlignment="1">
      <alignment horizontal="left"/>
    </xf>
    <xf numFmtId="0" fontId="45" fillId="0" borderId="6" xfId="7" applyFont="1" applyFill="1" applyBorder="1" applyAlignment="1">
      <alignment horizontal="center"/>
    </xf>
    <xf numFmtId="37" fontId="45" fillId="0" borderId="6" xfId="7" applyNumberFormat="1" applyFont="1" applyFill="1" applyBorder="1" applyAlignment="1">
      <alignment horizontal="center"/>
    </xf>
    <xf numFmtId="0" fontId="45" fillId="10" borderId="6" xfId="7" applyFont="1" applyFill="1" applyBorder="1" applyAlignment="1">
      <alignment horizontal="center" wrapText="1"/>
    </xf>
    <xf numFmtId="0" fontId="35" fillId="0" borderId="0" xfId="7" applyFont="1"/>
    <xf numFmtId="39" fontId="35" fillId="0" borderId="6" xfId="7" applyNumberFormat="1" applyFont="1" applyBorder="1" applyProtection="1"/>
    <xf numFmtId="165" fontId="35" fillId="0" borderId="6" xfId="2" applyNumberFormat="1" applyFont="1" applyBorder="1"/>
    <xf numFmtId="0" fontId="45" fillId="0" borderId="6" xfId="7" applyFont="1" applyFill="1" applyBorder="1"/>
    <xf numFmtId="165" fontId="45" fillId="0" borderId="6" xfId="2" applyNumberFormat="1" applyFont="1" applyFill="1" applyBorder="1"/>
    <xf numFmtId="37" fontId="45" fillId="0" borderId="6" xfId="7" applyNumberFormat="1" applyFont="1" applyFill="1" applyBorder="1"/>
    <xf numFmtId="37" fontId="45" fillId="0" borderId="6" xfId="7" applyNumberFormat="1" applyFont="1" applyFill="1" applyBorder="1" applyAlignment="1">
      <alignment horizontal="right"/>
    </xf>
    <xf numFmtId="0" fontId="24" fillId="0" borderId="6" xfId="7" applyFont="1" applyFill="1" applyBorder="1"/>
    <xf numFmtId="44" fontId="24" fillId="0" borderId="6" xfId="5" applyFont="1" applyFill="1" applyBorder="1"/>
    <xf numFmtId="0" fontId="35" fillId="0" borderId="14" xfId="7" applyFont="1" applyBorder="1"/>
    <xf numFmtId="0" fontId="24" fillId="0" borderId="6" xfId="7" applyFont="1" applyFill="1" applyBorder="1" applyAlignment="1">
      <alignment horizontal="right"/>
    </xf>
    <xf numFmtId="49" fontId="24" fillId="0" borderId="6" xfId="7" applyNumberFormat="1" applyFont="1" applyBorder="1" applyAlignment="1">
      <alignment horizontal="right"/>
    </xf>
    <xf numFmtId="0" fontId="45" fillId="7" borderId="6" xfId="7" applyFont="1" applyFill="1" applyBorder="1"/>
    <xf numFmtId="165" fontId="45" fillId="0" borderId="6" xfId="2" applyNumberFormat="1" applyFont="1" applyFill="1" applyBorder="1" applyAlignment="1">
      <alignment horizontal="right"/>
    </xf>
    <xf numFmtId="0" fontId="45" fillId="0" borderId="0" xfId="7" applyFont="1" applyFill="1"/>
    <xf numFmtId="37" fontId="45" fillId="0" borderId="0" xfId="7" applyNumberFormat="1" applyFont="1" applyFill="1" applyAlignment="1">
      <alignment horizontal="right"/>
    </xf>
    <xf numFmtId="0" fontId="24" fillId="0" borderId="0" xfId="7" applyFont="1" applyFill="1"/>
    <xf numFmtId="8" fontId="35" fillId="0" borderId="6" xfId="7" applyNumberFormat="1" applyFont="1" applyBorder="1"/>
    <xf numFmtId="37" fontId="45" fillId="7" borderId="6" xfId="7" applyNumberFormat="1" applyFont="1" applyFill="1" applyBorder="1" applyAlignment="1">
      <alignment horizontal="right"/>
    </xf>
    <xf numFmtId="8" fontId="24" fillId="7" borderId="6" xfId="7" applyNumberFormat="1" applyFont="1" applyFill="1" applyBorder="1"/>
    <xf numFmtId="0" fontId="24" fillId="0" borderId="13" xfId="7" applyFont="1" applyFill="1" applyBorder="1"/>
    <xf numFmtId="0" fontId="35" fillId="0" borderId="6" xfId="7" applyFont="1" applyBorder="1"/>
    <xf numFmtId="44" fontId="35" fillId="0" borderId="6" xfId="5" applyFont="1" applyBorder="1"/>
    <xf numFmtId="0" fontId="45" fillId="0" borderId="6" xfId="7" applyFont="1" applyFill="1" applyBorder="1" applyAlignment="1">
      <alignment horizontal="left"/>
    </xf>
    <xf numFmtId="165" fontId="45" fillId="0" borderId="6" xfId="2" applyNumberFormat="1" applyFont="1" applyFill="1" applyBorder="1" applyAlignment="1">
      <alignment horizontal="center"/>
    </xf>
    <xf numFmtId="0" fontId="24" fillId="0" borderId="6" xfId="7" applyFont="1" applyFill="1" applyBorder="1" applyAlignment="1">
      <alignment horizontal="center"/>
    </xf>
    <xf numFmtId="0" fontId="24" fillId="0" borderId="0" xfId="7" applyFont="1" applyFill="1" applyAlignment="1">
      <alignment horizontal="center"/>
    </xf>
    <xf numFmtId="37" fontId="46" fillId="0" borderId="6" xfId="7" applyNumberFormat="1" applyFont="1" applyFill="1" applyBorder="1" applyAlignment="1">
      <alignment horizontal="right"/>
    </xf>
    <xf numFmtId="0" fontId="47" fillId="0" borderId="6" xfId="7" applyFont="1" applyFill="1" applyBorder="1"/>
    <xf numFmtId="39" fontId="35" fillId="0" borderId="6" xfId="7" applyNumberFormat="1" applyFont="1" applyFill="1" applyBorder="1" applyProtection="1"/>
    <xf numFmtId="165" fontId="35" fillId="0" borderId="6" xfId="2" applyNumberFormat="1" applyFont="1" applyFill="1" applyBorder="1"/>
    <xf numFmtId="165" fontId="46" fillId="0" borderId="6" xfId="2" applyNumberFormat="1" applyFont="1" applyFill="1" applyBorder="1"/>
    <xf numFmtId="39" fontId="35" fillId="0" borderId="6" xfId="7" quotePrefix="1" applyNumberFormat="1" applyFont="1" applyBorder="1" applyProtection="1"/>
    <xf numFmtId="0" fontId="35" fillId="0" borderId="6" xfId="7" applyFont="1" applyFill="1" applyBorder="1"/>
    <xf numFmtId="49" fontId="35" fillId="0" borderId="6" xfId="7" applyNumberFormat="1" applyFont="1" applyBorder="1" applyAlignment="1" applyProtection="1">
      <alignment horizontal="left"/>
    </xf>
    <xf numFmtId="0" fontId="46" fillId="0" borderId="6" xfId="7" applyFont="1" applyFill="1" applyBorder="1"/>
    <xf numFmtId="37" fontId="45" fillId="0" borderId="6" xfId="7" applyNumberFormat="1" applyFont="1" applyFill="1" applyBorder="1" applyAlignment="1" applyProtection="1">
      <alignment horizontal="right"/>
    </xf>
    <xf numFmtId="0" fontId="35" fillId="0" borderId="0" xfId="7" applyFont="1" applyFill="1"/>
    <xf numFmtId="43" fontId="29" fillId="0" borderId="0" xfId="1" applyNumberFormat="1" applyFont="1" applyFill="1" applyBorder="1" applyAlignment="1">
      <alignment horizontal="center"/>
    </xf>
    <xf numFmtId="43" fontId="38" fillId="0" borderId="0" xfId="1" applyFont="1" applyFill="1" applyBorder="1"/>
    <xf numFmtId="2" fontId="0" fillId="0" borderId="0" xfId="0" applyNumberFormat="1"/>
    <xf numFmtId="0" fontId="17" fillId="0" borderId="0" xfId="0" applyFont="1" applyAlignment="1">
      <alignment wrapText="1"/>
    </xf>
    <xf numFmtId="2" fontId="17" fillId="0" borderId="0" xfId="0" applyNumberFormat="1" applyFont="1"/>
    <xf numFmtId="0" fontId="0" fillId="11" borderId="0" xfId="0" applyFill="1"/>
    <xf numFmtId="39" fontId="67" fillId="0" borderId="0" xfId="0" applyNumberFormat="1" applyFont="1"/>
    <xf numFmtId="39" fontId="68" fillId="0" borderId="0" xfId="0" applyNumberFormat="1" applyFont="1"/>
    <xf numFmtId="39" fontId="68" fillId="0" borderId="6" xfId="0" applyNumberFormat="1" applyFont="1" applyBorder="1"/>
    <xf numFmtId="39" fontId="68" fillId="0" borderId="6" xfId="0" applyNumberFormat="1" applyFont="1" applyBorder="1" applyAlignment="1">
      <alignment horizontal="center"/>
    </xf>
    <xf numFmtId="39" fontId="0" fillId="0" borderId="6" xfId="0" applyNumberFormat="1" applyBorder="1"/>
    <xf numFmtId="39" fontId="0" fillId="12" borderId="0" xfId="0" applyNumberFormat="1" applyFill="1"/>
    <xf numFmtId="0" fontId="67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44" fontId="70" fillId="0" borderId="0" xfId="5" applyFont="1"/>
    <xf numFmtId="44" fontId="70" fillId="0" borderId="0" xfId="0" applyNumberFormat="1" applyFont="1"/>
    <xf numFmtId="44" fontId="69" fillId="0" borderId="0" xfId="0" applyNumberFormat="1" applyFont="1"/>
    <xf numFmtId="165" fontId="35" fillId="13" borderId="0" xfId="2" applyNumberFormat="1" applyFont="1" applyFill="1"/>
    <xf numFmtId="44" fontId="70" fillId="0" borderId="0" xfId="5" applyNumberFormat="1" applyFont="1"/>
    <xf numFmtId="164" fontId="67" fillId="0" borderId="0" xfId="0" applyNumberFormat="1" applyFont="1" applyAlignment="1">
      <alignment horizontal="center"/>
    </xf>
    <xf numFmtId="39" fontId="0" fillId="0" borderId="0" xfId="0" applyNumberFormat="1" applyAlignment="1">
      <alignment horizontal="center"/>
    </xf>
    <xf numFmtId="39" fontId="68" fillId="0" borderId="0" xfId="0" applyNumberFormat="1" applyFont="1" applyAlignment="1">
      <alignment horizontal="center"/>
    </xf>
    <xf numFmtId="43" fontId="30" fillId="6" borderId="2" xfId="1" applyFont="1" applyFill="1" applyBorder="1"/>
    <xf numFmtId="43" fontId="30" fillId="6" borderId="15" xfId="1" applyFont="1" applyFill="1" applyBorder="1"/>
    <xf numFmtId="39" fontId="0" fillId="0" borderId="0" xfId="0" applyNumberFormat="1" applyBorder="1"/>
    <xf numFmtId="0" fontId="0" fillId="14" borderId="0" xfId="0" applyFill="1"/>
    <xf numFmtId="0" fontId="23" fillId="14" borderId="0" xfId="0" applyFont="1" applyFill="1"/>
    <xf numFmtId="0" fontId="16" fillId="14" borderId="0" xfId="0" applyFont="1" applyFill="1" applyAlignment="1">
      <alignment horizontal="center"/>
    </xf>
    <xf numFmtId="43" fontId="55" fillId="14" borderId="0" xfId="1" applyFont="1" applyFill="1" applyAlignment="1">
      <alignment horizontal="center" wrapText="1"/>
    </xf>
    <xf numFmtId="165" fontId="50" fillId="14" borderId="0" xfId="0" applyNumberFormat="1" applyFont="1" applyFill="1" applyAlignment="1">
      <alignment horizontal="center" wrapText="1"/>
    </xf>
    <xf numFmtId="0" fontId="52" fillId="0" borderId="6" xfId="0" applyFont="1" applyFill="1" applyBorder="1" applyAlignment="1">
      <alignment horizontal="left"/>
    </xf>
    <xf numFmtId="0" fontId="52" fillId="0" borderId="6" xfId="0" applyFont="1" applyFill="1" applyBorder="1"/>
    <xf numFmtId="43" fontId="53" fillId="0" borderId="6" xfId="1" applyFont="1" applyFill="1" applyBorder="1" applyAlignment="1">
      <alignment horizontal="center"/>
    </xf>
    <xf numFmtId="43" fontId="53" fillId="0" borderId="6" xfId="1" applyFont="1" applyFill="1" applyBorder="1" applyAlignment="1">
      <alignment horizontal="center" wrapText="1"/>
    </xf>
    <xf numFmtId="43" fontId="53" fillId="0" borderId="6" xfId="1" applyNumberFormat="1" applyFont="1" applyFill="1" applyBorder="1" applyAlignment="1">
      <alignment horizontal="center" wrapText="1"/>
    </xf>
    <xf numFmtId="0" fontId="54" fillId="0" borderId="6" xfId="0" applyFont="1" applyFill="1" applyBorder="1" applyAlignment="1"/>
    <xf numFmtId="43" fontId="54" fillId="0" borderId="6" xfId="1" applyFont="1" applyFill="1" applyBorder="1" applyAlignment="1">
      <alignment horizontal="center" wrapText="1"/>
    </xf>
    <xf numFmtId="0" fontId="54" fillId="0" borderId="6" xfId="0" applyFont="1" applyFill="1" applyBorder="1"/>
    <xf numFmtId="165" fontId="54" fillId="0" borderId="6" xfId="1" applyNumberFormat="1" applyFont="1" applyFill="1" applyBorder="1"/>
    <xf numFmtId="38" fontId="54" fillId="0" borderId="6" xfId="0" applyNumberFormat="1" applyFont="1" applyFill="1" applyBorder="1"/>
    <xf numFmtId="0" fontId="18" fillId="0" borderId="6" xfId="0" applyFont="1" applyFill="1" applyBorder="1" applyAlignment="1">
      <alignment horizontal="center" vertical="top"/>
    </xf>
    <xf numFmtId="43" fontId="30" fillId="0" borderId="6" xfId="1" applyFont="1" applyFill="1" applyBorder="1" applyAlignment="1">
      <alignment horizontal="center" vertical="top"/>
    </xf>
    <xf numFmtId="43" fontId="30" fillId="0" borderId="6" xfId="1" applyFont="1" applyFill="1" applyBorder="1" applyAlignment="1">
      <alignment horizontal="center" vertical="top" wrapText="1"/>
    </xf>
    <xf numFmtId="43" fontId="30" fillId="0" borderId="6" xfId="1" applyNumberFormat="1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horizontal="center" vertical="top"/>
    </xf>
    <xf numFmtId="43" fontId="16" fillId="0" borderId="6" xfId="1" applyFont="1" applyFill="1" applyBorder="1" applyAlignment="1">
      <alignment horizontal="center" vertical="top" wrapText="1"/>
    </xf>
    <xf numFmtId="165" fontId="16" fillId="0" borderId="6" xfId="1" applyNumberFormat="1" applyFont="1" applyFill="1" applyBorder="1" applyAlignment="1">
      <alignment horizontal="center" vertical="top"/>
    </xf>
    <xf numFmtId="38" fontId="16" fillId="0" borderId="6" xfId="0" applyNumberFormat="1" applyFont="1" applyFill="1" applyBorder="1" applyAlignment="1">
      <alignment horizontal="center" vertical="top"/>
    </xf>
    <xf numFmtId="2" fontId="17" fillId="0" borderId="0" xfId="0" quotePrefix="1" applyNumberFormat="1" applyFont="1"/>
    <xf numFmtId="39" fontId="19" fillId="0" borderId="0" xfId="0" applyNumberFormat="1" applyFont="1" applyFill="1" applyBorder="1" applyAlignment="1">
      <alignment horizontal="center"/>
    </xf>
    <xf numFmtId="43" fontId="71" fillId="0" borderId="0" xfId="1" applyFont="1" applyFill="1" applyBorder="1"/>
    <xf numFmtId="0" fontId="0" fillId="0" borderId="0" xfId="0" applyNumberFormat="1" applyBorder="1"/>
    <xf numFmtId="0" fontId="0" fillId="0" borderId="17" xfId="0" applyBorder="1"/>
    <xf numFmtId="0" fontId="0" fillId="0" borderId="17" xfId="0" applyNumberFormat="1" applyBorder="1"/>
    <xf numFmtId="2" fontId="0" fillId="0" borderId="18" xfId="0" applyNumberFormat="1" applyBorder="1"/>
    <xf numFmtId="2" fontId="0" fillId="0" borderId="15" xfId="0" applyNumberFormat="1" applyBorder="1"/>
    <xf numFmtId="0" fontId="0" fillId="0" borderId="1" xfId="0" applyNumberFormat="1" applyBorder="1"/>
    <xf numFmtId="2" fontId="0" fillId="0" borderId="9" xfId="0" applyNumberFormat="1" applyBorder="1"/>
    <xf numFmtId="39" fontId="72" fillId="0" borderId="0" xfId="0" applyNumberFormat="1" applyFont="1"/>
    <xf numFmtId="39" fontId="72" fillId="0" borderId="6" xfId="0" applyNumberFormat="1" applyFont="1" applyBorder="1"/>
    <xf numFmtId="39" fontId="72" fillId="0" borderId="6" xfId="0" applyNumberFormat="1" applyFont="1" applyBorder="1" applyAlignment="1">
      <alignment horizontal="center"/>
    </xf>
    <xf numFmtId="39" fontId="72" fillId="15" borderId="6" xfId="0" applyNumberFormat="1" applyFont="1" applyFill="1" applyBorder="1"/>
    <xf numFmtId="39" fontId="72" fillId="0" borderId="6" xfId="0" applyNumberFormat="1" applyFont="1" applyBorder="1" applyAlignment="1">
      <alignment wrapText="1"/>
    </xf>
    <xf numFmtId="39" fontId="73" fillId="0" borderId="0" xfId="0" applyNumberFormat="1" applyFont="1" applyAlignment="1">
      <alignment horizontal="center" vertical="center" wrapText="1"/>
    </xf>
    <xf numFmtId="39" fontId="74" fillId="0" borderId="0" xfId="0" applyNumberFormat="1" applyFont="1" applyFill="1" applyBorder="1" applyAlignment="1">
      <alignment horizontal="center" vertical="center" wrapText="1"/>
    </xf>
    <xf numFmtId="0" fontId="74" fillId="0" borderId="0" xfId="0" applyFont="1"/>
    <xf numFmtId="39" fontId="74" fillId="0" borderId="0" xfId="0" applyNumberFormat="1" applyFont="1"/>
    <xf numFmtId="39" fontId="74" fillId="0" borderId="6" xfId="0" applyNumberFormat="1" applyFont="1" applyFill="1" applyBorder="1"/>
    <xf numFmtId="39" fontId="74" fillId="0" borderId="6" xfId="0" applyNumberFormat="1" applyFont="1" applyBorder="1"/>
    <xf numFmtId="39" fontId="74" fillId="15" borderId="6" xfId="0" applyNumberFormat="1" applyFont="1" applyFill="1" applyBorder="1"/>
    <xf numFmtId="39" fontId="74" fillId="15" borderId="0" xfId="0" applyNumberFormat="1" applyFont="1" applyFill="1"/>
    <xf numFmtId="0" fontId="74" fillId="0" borderId="6" xfId="0" applyFont="1" applyBorder="1"/>
    <xf numFmtId="0" fontId="74" fillId="15" borderId="0" xfId="0" applyFont="1" applyFill="1"/>
    <xf numFmtId="0" fontId="74" fillId="0" borderId="6" xfId="0" applyFont="1" applyFill="1" applyBorder="1"/>
    <xf numFmtId="2" fontId="74" fillId="0" borderId="0" xfId="0" applyNumberFormat="1" applyFont="1"/>
    <xf numFmtId="0" fontId="75" fillId="0" borderId="0" xfId="0" applyFont="1"/>
    <xf numFmtId="0" fontId="75" fillId="15" borderId="0" xfId="0" applyFont="1" applyFill="1"/>
    <xf numFmtId="39" fontId="75" fillId="0" borderId="0" xfId="0" applyNumberFormat="1" applyFont="1" applyFill="1" applyBorder="1"/>
    <xf numFmtId="44" fontId="75" fillId="15" borderId="0" xfId="5" applyFont="1" applyFill="1"/>
    <xf numFmtId="0" fontId="17" fillId="0" borderId="0" xfId="0" applyFont="1" applyFill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44" fontId="0" fillId="0" borderId="0" xfId="4" applyFont="1"/>
    <xf numFmtId="10" fontId="0" fillId="0" borderId="0" xfId="10" applyNumberFormat="1" applyFont="1"/>
    <xf numFmtId="43" fontId="29" fillId="16" borderId="0" xfId="1" applyFont="1" applyFill="1" applyBorder="1"/>
    <xf numFmtId="44" fontId="74" fillId="15" borderId="0" xfId="5" applyFont="1" applyFill="1"/>
    <xf numFmtId="0" fontId="30" fillId="15" borderId="35" xfId="0" applyFont="1" applyFill="1" applyBorder="1" applyAlignment="1">
      <alignment wrapText="1"/>
    </xf>
    <xf numFmtId="16" fontId="16" fillId="15" borderId="9" xfId="7" applyNumberFormat="1" applyFont="1" applyFill="1" applyBorder="1" applyAlignment="1">
      <alignment horizontal="center" wrapText="1"/>
    </xf>
    <xf numFmtId="0" fontId="74" fillId="15" borderId="0" xfId="0" applyFont="1" applyFill="1" applyAlignment="1">
      <alignment wrapText="1"/>
    </xf>
    <xf numFmtId="0" fontId="29" fillId="15" borderId="36" xfId="0" applyFont="1" applyFill="1" applyBorder="1" applyAlignment="1">
      <alignment wrapText="1"/>
    </xf>
    <xf numFmtId="44" fontId="74" fillId="15" borderId="8" xfId="5" applyFont="1" applyFill="1" applyBorder="1"/>
    <xf numFmtId="0" fontId="74" fillId="15" borderId="14" xfId="0" applyFont="1" applyFill="1" applyBorder="1"/>
    <xf numFmtId="0" fontId="30" fillId="15" borderId="36" xfId="0" applyFont="1" applyFill="1" applyBorder="1" applyAlignment="1">
      <alignment wrapText="1"/>
    </xf>
    <xf numFmtId="16" fontId="16" fillId="15" borderId="8" xfId="7" applyNumberFormat="1" applyFont="1" applyFill="1" applyBorder="1" applyAlignment="1">
      <alignment horizontal="center" wrapText="1"/>
    </xf>
    <xf numFmtId="0" fontId="30" fillId="15" borderId="6" xfId="0" applyFont="1" applyFill="1" applyBorder="1" applyAlignment="1">
      <alignment wrapText="1"/>
    </xf>
    <xf numFmtId="0" fontId="29" fillId="15" borderId="6" xfId="0" applyFont="1" applyFill="1" applyBorder="1" applyAlignment="1">
      <alignment wrapText="1"/>
    </xf>
    <xf numFmtId="0" fontId="29" fillId="15" borderId="0" xfId="0" applyFont="1" applyFill="1" applyBorder="1" applyAlignment="1">
      <alignment wrapText="1"/>
    </xf>
    <xf numFmtId="44" fontId="74" fillId="15" borderId="0" xfId="5" applyFont="1" applyFill="1" applyBorder="1"/>
    <xf numFmtId="0" fontId="30" fillId="15" borderId="37" xfId="0" applyFont="1" applyFill="1" applyBorder="1" applyAlignment="1">
      <alignment wrapText="1"/>
    </xf>
    <xf numFmtId="0" fontId="73" fillId="15" borderId="6" xfId="0" applyFont="1" applyFill="1" applyBorder="1"/>
    <xf numFmtId="0" fontId="29" fillId="15" borderId="37" xfId="0" applyFont="1" applyFill="1" applyBorder="1" applyAlignment="1">
      <alignment wrapText="1"/>
    </xf>
    <xf numFmtId="44" fontId="74" fillId="15" borderId="6" xfId="5" applyFont="1" applyFill="1" applyBorder="1"/>
    <xf numFmtId="0" fontId="29" fillId="15" borderId="38" xfId="0" applyFont="1" applyFill="1" applyBorder="1" applyAlignment="1">
      <alignment wrapText="1"/>
    </xf>
    <xf numFmtId="44" fontId="74" fillId="15" borderId="20" xfId="5" applyFont="1" applyFill="1" applyBorder="1"/>
    <xf numFmtId="0" fontId="29" fillId="15" borderId="5" xfId="0" applyFont="1" applyFill="1" applyBorder="1" applyAlignment="1">
      <alignment wrapText="1"/>
    </xf>
    <xf numFmtId="0" fontId="74" fillId="15" borderId="0" xfId="0" applyFont="1" applyFill="1" applyBorder="1"/>
    <xf numFmtId="0" fontId="74" fillId="15" borderId="0" xfId="0" quotePrefix="1" applyFont="1" applyFill="1"/>
    <xf numFmtId="0" fontId="68" fillId="0" borderId="6" xfId="7" applyFont="1" applyFill="1" applyBorder="1" applyAlignment="1">
      <alignment horizontal="center" wrapText="1"/>
    </xf>
    <xf numFmtId="0" fontId="76" fillId="0" borderId="0" xfId="7" applyFont="1" applyFill="1" applyAlignment="1">
      <alignment horizontal="center"/>
    </xf>
    <xf numFmtId="44" fontId="76" fillId="0" borderId="0" xfId="5" applyFont="1" applyFill="1" applyAlignment="1">
      <alignment horizontal="center"/>
    </xf>
    <xf numFmtId="0" fontId="24" fillId="0" borderId="35" xfId="7" applyFont="1" applyFill="1" applyBorder="1" applyAlignment="1">
      <alignment wrapText="1"/>
    </xf>
    <xf numFmtId="16" fontId="24" fillId="0" borderId="1" xfId="8" applyNumberFormat="1" applyFont="1" applyFill="1" applyBorder="1" applyAlignment="1">
      <alignment horizontal="center" wrapText="1"/>
    </xf>
    <xf numFmtId="44" fontId="68" fillId="0" borderId="6" xfId="5" applyFont="1" applyFill="1" applyBorder="1" applyAlignment="1">
      <alignment horizontal="center"/>
    </xf>
    <xf numFmtId="0" fontId="76" fillId="0" borderId="0" xfId="7" applyFont="1" applyFill="1" applyAlignment="1">
      <alignment wrapText="1"/>
    </xf>
    <xf numFmtId="0" fontId="76" fillId="0" borderId="0" xfId="7" applyFont="1" applyFill="1"/>
    <xf numFmtId="44" fontId="76" fillId="0" borderId="0" xfId="5" applyFont="1" applyFill="1"/>
    <xf numFmtId="0" fontId="35" fillId="0" borderId="36" xfId="7" applyFont="1" applyFill="1" applyBorder="1" applyAlignment="1">
      <alignment wrapText="1"/>
    </xf>
    <xf numFmtId="44" fontId="77" fillId="0" borderId="4" xfId="5" applyFont="1" applyFill="1" applyBorder="1"/>
    <xf numFmtId="0" fontId="68" fillId="0" borderId="6" xfId="7" applyFont="1" applyFill="1" applyBorder="1" applyAlignment="1">
      <alignment horizontal="center"/>
    </xf>
    <xf numFmtId="0" fontId="35" fillId="0" borderId="39" xfId="7" applyFont="1" applyFill="1" applyBorder="1" applyAlignment="1">
      <alignment wrapText="1"/>
    </xf>
    <xf numFmtId="44" fontId="77" fillId="0" borderId="17" xfId="5" applyFont="1" applyFill="1" applyBorder="1"/>
    <xf numFmtId="0" fontId="77" fillId="0" borderId="6" xfId="7" applyFont="1" applyFill="1" applyBorder="1"/>
    <xf numFmtId="44" fontId="72" fillId="0" borderId="8" xfId="7" applyNumberFormat="1" applyFont="1" applyFill="1" applyBorder="1"/>
    <xf numFmtId="44" fontId="72" fillId="0" borderId="6" xfId="7" applyNumberFormat="1" applyFont="1" applyFill="1" applyBorder="1" applyAlignment="1">
      <alignment horizontal="center"/>
    </xf>
    <xf numFmtId="0" fontId="77" fillId="0" borderId="14" xfId="7" applyFont="1" applyFill="1" applyBorder="1"/>
    <xf numFmtId="0" fontId="77" fillId="0" borderId="0" xfId="7" applyFont="1" applyFill="1"/>
    <xf numFmtId="0" fontId="24" fillId="0" borderId="36" xfId="7" applyFont="1" applyFill="1" applyBorder="1" applyAlignment="1">
      <alignment wrapText="1"/>
    </xf>
    <xf numFmtId="16" fontId="24" fillId="0" borderId="4" xfId="8" applyNumberFormat="1" applyFont="1" applyFill="1" applyBorder="1" applyAlignment="1">
      <alignment horizontal="center" wrapText="1"/>
    </xf>
    <xf numFmtId="0" fontId="76" fillId="0" borderId="6" xfId="7" applyFont="1" applyFill="1" applyBorder="1"/>
    <xf numFmtId="44" fontId="72" fillId="0" borderId="0" xfId="7" applyNumberFormat="1" applyFont="1" applyFill="1"/>
    <xf numFmtId="0" fontId="24" fillId="0" borderId="6" xfId="7" applyFont="1" applyFill="1" applyBorder="1" applyAlignment="1">
      <alignment wrapText="1"/>
    </xf>
    <xf numFmtId="0" fontId="35" fillId="0" borderId="6" xfId="7" applyFont="1" applyFill="1" applyBorder="1" applyAlignment="1">
      <alignment wrapText="1"/>
    </xf>
    <xf numFmtId="44" fontId="77" fillId="0" borderId="5" xfId="5" applyFont="1" applyFill="1" applyBorder="1"/>
    <xf numFmtId="44" fontId="77" fillId="0" borderId="6" xfId="5" applyFont="1" applyFill="1" applyBorder="1" applyAlignment="1">
      <alignment horizontal="center"/>
    </xf>
    <xf numFmtId="0" fontId="35" fillId="0" borderId="5" xfId="7" applyFont="1" applyFill="1" applyBorder="1" applyAlignment="1">
      <alignment wrapText="1"/>
    </xf>
    <xf numFmtId="44" fontId="72" fillId="0" borderId="4" xfId="5" applyFont="1" applyFill="1" applyBorder="1"/>
    <xf numFmtId="0" fontId="35" fillId="0" borderId="0" xfId="7" applyFont="1" applyFill="1" applyBorder="1" applyAlignment="1">
      <alignment wrapText="1"/>
    </xf>
    <xf numFmtId="44" fontId="77" fillId="0" borderId="0" xfId="5" applyFont="1" applyFill="1" applyBorder="1"/>
    <xf numFmtId="44" fontId="68" fillId="0" borderId="0" xfId="5" applyFont="1" applyFill="1" applyBorder="1" applyAlignment="1">
      <alignment horizontal="center"/>
    </xf>
    <xf numFmtId="44" fontId="68" fillId="0" borderId="6" xfId="7" applyNumberFormat="1" applyFont="1" applyFill="1" applyBorder="1" applyAlignment="1">
      <alignment horizontal="center"/>
    </xf>
    <xf numFmtId="0" fontId="24" fillId="0" borderId="40" xfId="7" applyFont="1" applyFill="1" applyBorder="1" applyAlignment="1">
      <alignment wrapText="1"/>
    </xf>
    <xf numFmtId="0" fontId="72" fillId="0" borderId="3" xfId="7" applyFont="1" applyFill="1" applyBorder="1"/>
    <xf numFmtId="44" fontId="72" fillId="0" borderId="6" xfId="6" applyNumberFormat="1" applyFont="1" applyFill="1" applyBorder="1"/>
    <xf numFmtId="0" fontId="35" fillId="0" borderId="37" xfId="7" applyFont="1" applyFill="1" applyBorder="1" applyAlignment="1">
      <alignment wrapText="1"/>
    </xf>
    <xf numFmtId="0" fontId="72" fillId="0" borderId="6" xfId="7" applyFont="1" applyFill="1" applyBorder="1" applyAlignment="1">
      <alignment horizontal="center"/>
    </xf>
    <xf numFmtId="0" fontId="35" fillId="0" borderId="38" xfId="7" applyFont="1" applyFill="1" applyBorder="1" applyAlignment="1">
      <alignment wrapText="1"/>
    </xf>
    <xf numFmtId="44" fontId="77" fillId="0" borderId="16" xfId="5" applyFont="1" applyFill="1" applyBorder="1"/>
    <xf numFmtId="44" fontId="72" fillId="0" borderId="5" xfId="7" applyNumberFormat="1" applyFont="1" applyFill="1" applyBorder="1"/>
    <xf numFmtId="0" fontId="77" fillId="0" borderId="5" xfId="7" applyFont="1" applyFill="1" applyBorder="1"/>
    <xf numFmtId="0" fontId="77" fillId="0" borderId="4" xfId="7" applyFont="1" applyFill="1" applyBorder="1"/>
    <xf numFmtId="44" fontId="68" fillId="0" borderId="8" xfId="7" applyNumberFormat="1" applyFont="1" applyFill="1" applyBorder="1" applyAlignment="1">
      <alignment horizontal="center"/>
    </xf>
    <xf numFmtId="0" fontId="68" fillId="0" borderId="0" xfId="7" applyFont="1" applyFill="1" applyAlignment="1">
      <alignment horizontal="center"/>
    </xf>
    <xf numFmtId="49" fontId="76" fillId="0" borderId="0" xfId="7" applyNumberFormat="1" applyFont="1" applyFill="1" applyAlignment="1">
      <alignment horizontal="center"/>
    </xf>
    <xf numFmtId="49" fontId="76" fillId="0" borderId="0" xfId="7" applyNumberFormat="1" applyFont="1" applyFill="1"/>
    <xf numFmtId="49" fontId="77" fillId="0" borderId="0" xfId="7" applyNumberFormat="1" applyFont="1" applyFill="1"/>
    <xf numFmtId="39" fontId="64" fillId="0" borderId="0" xfId="7" applyNumberFormat="1"/>
    <xf numFmtId="44" fontId="64" fillId="0" borderId="0" xfId="5" applyFont="1"/>
    <xf numFmtId="44" fontId="64" fillId="15" borderId="0" xfId="5" applyFont="1" applyFill="1"/>
    <xf numFmtId="39" fontId="64" fillId="0" borderId="0" xfId="7" applyNumberFormat="1" applyAlignment="1">
      <alignment horizontal="center"/>
    </xf>
    <xf numFmtId="39" fontId="66" fillId="0" borderId="0" xfId="7" applyNumberFormat="1" applyFont="1"/>
    <xf numFmtId="39" fontId="66" fillId="0" borderId="0" xfId="7" applyNumberFormat="1" applyFont="1" applyAlignment="1">
      <alignment horizontal="center" wrapText="1"/>
    </xf>
    <xf numFmtId="165" fontId="64" fillId="0" borderId="0" xfId="2" applyNumberFormat="1" applyFont="1" applyFill="1" applyBorder="1"/>
    <xf numFmtId="37" fontId="64" fillId="0" borderId="0" xfId="7" applyNumberFormat="1"/>
    <xf numFmtId="39" fontId="17" fillId="0" borderId="6" xfId="0" applyNumberFormat="1" applyFont="1" applyBorder="1"/>
    <xf numFmtId="39" fontId="78" fillId="0" borderId="0" xfId="0" applyNumberFormat="1" applyFont="1" applyAlignment="1">
      <alignment horizontal="center" vertical="center" wrapText="1"/>
    </xf>
    <xf numFmtId="0" fontId="64" fillId="0" borderId="0" xfId="7"/>
    <xf numFmtId="0" fontId="57" fillId="15" borderId="6" xfId="8" applyFont="1" applyFill="1" applyBorder="1"/>
    <xf numFmtId="44" fontId="66" fillId="15" borderId="6" xfId="5" applyFont="1" applyFill="1" applyBorder="1"/>
    <xf numFmtId="0" fontId="57" fillId="10" borderId="6" xfId="8" applyFont="1" applyFill="1" applyBorder="1"/>
    <xf numFmtId="0" fontId="57" fillId="15" borderId="0" xfId="8" applyFont="1" applyFill="1" applyBorder="1"/>
    <xf numFmtId="44" fontId="66" fillId="15" borderId="0" xfId="5" applyFont="1" applyFill="1" applyBorder="1"/>
    <xf numFmtId="0" fontId="29" fillId="15" borderId="6" xfId="7" applyFont="1" applyFill="1" applyBorder="1" applyAlignment="1">
      <alignment wrapText="1"/>
    </xf>
    <xf numFmtId="0" fontId="64" fillId="15" borderId="0" xfId="7" applyFill="1"/>
    <xf numFmtId="0" fontId="57" fillId="0" borderId="0" xfId="8" applyFont="1" applyFill="1" applyBorder="1"/>
    <xf numFmtId="0" fontId="29" fillId="0" borderId="0" xfId="7" applyFont="1" applyFill="1" applyBorder="1" applyAlignment="1">
      <alignment wrapText="1"/>
    </xf>
    <xf numFmtId="0" fontId="64" fillId="0" borderId="0" xfId="7" quotePrefix="1"/>
    <xf numFmtId="44" fontId="64" fillId="0" borderId="0" xfId="5" applyFont="1" applyFill="1" applyBorder="1"/>
    <xf numFmtId="0" fontId="64" fillId="0" borderId="0" xfId="7" applyFont="1" applyFill="1" applyBorder="1"/>
    <xf numFmtId="0" fontId="79" fillId="17" borderId="0" xfId="7" applyFont="1" applyFill="1"/>
    <xf numFmtId="44" fontId="64" fillId="0" borderId="0" xfId="7" applyNumberFormat="1"/>
    <xf numFmtId="43" fontId="29" fillId="0" borderId="0" xfId="1" applyFont="1" applyFill="1" applyBorder="1" applyAlignment="1">
      <alignment horizontal="center"/>
    </xf>
    <xf numFmtId="39" fontId="58" fillId="18" borderId="6" xfId="0" applyNumberFormat="1" applyFont="1" applyFill="1" applyBorder="1"/>
    <xf numFmtId="0" fontId="58" fillId="18" borderId="6" xfId="0" applyFont="1" applyFill="1" applyBorder="1"/>
    <xf numFmtId="39" fontId="58" fillId="0" borderId="0" xfId="0" applyNumberFormat="1" applyFont="1"/>
    <xf numFmtId="39" fontId="59" fillId="0" borderId="0" xfId="9"/>
    <xf numFmtId="39" fontId="59" fillId="0" borderId="0" xfId="9" applyAlignment="1">
      <alignment horizontal="center"/>
    </xf>
    <xf numFmtId="39" fontId="59" fillId="0" borderId="0" xfId="9" applyAlignment="1">
      <alignment horizontal="right"/>
    </xf>
    <xf numFmtId="165" fontId="0" fillId="0" borderId="19" xfId="3" applyNumberFormat="1" applyFont="1" applyBorder="1"/>
    <xf numFmtId="165" fontId="0" fillId="0" borderId="0" xfId="3" applyNumberFormat="1" applyFont="1"/>
    <xf numFmtId="165" fontId="0" fillId="0" borderId="0" xfId="3" applyNumberFormat="1" applyFont="1" applyBorder="1"/>
    <xf numFmtId="37" fontId="59" fillId="0" borderId="0" xfId="9" applyNumberFormat="1" applyProtection="1"/>
    <xf numFmtId="39" fontId="59" fillId="0" borderId="0" xfId="9" applyNumberFormat="1" applyProtection="1"/>
    <xf numFmtId="39" fontId="66" fillId="0" borderId="6" xfId="7" applyNumberFormat="1" applyFont="1" applyBorder="1"/>
    <xf numFmtId="1" fontId="66" fillId="0" borderId="5" xfId="7" applyNumberFormat="1" applyFont="1" applyBorder="1"/>
    <xf numFmtId="37" fontId="66" fillId="0" borderId="6" xfId="7" applyNumberFormat="1" applyFont="1" applyBorder="1" applyAlignment="1">
      <alignment horizontal="center" wrapText="1"/>
    </xf>
    <xf numFmtId="37" fontId="66" fillId="0" borderId="6" xfId="7" applyNumberFormat="1" applyFont="1" applyBorder="1" applyAlignment="1">
      <alignment horizontal="center"/>
    </xf>
    <xf numFmtId="37" fontId="80" fillId="19" borderId="6" xfId="7" applyNumberFormat="1" applyFont="1" applyFill="1" applyBorder="1" applyAlignment="1">
      <alignment horizontal="center" wrapText="1"/>
    </xf>
    <xf numFmtId="44" fontId="66" fillId="0" borderId="6" xfId="5" applyFont="1" applyBorder="1" applyAlignment="1">
      <alignment horizontal="center"/>
    </xf>
    <xf numFmtId="44" fontId="66" fillId="0" borderId="0" xfId="5" applyFont="1"/>
    <xf numFmtId="39" fontId="64" fillId="0" borderId="6" xfId="7" applyNumberFormat="1" applyBorder="1"/>
    <xf numFmtId="1" fontId="64" fillId="0" borderId="5" xfId="7" applyNumberFormat="1" applyBorder="1"/>
    <xf numFmtId="37" fontId="64" fillId="0" borderId="6" xfId="2" applyNumberFormat="1" applyFont="1" applyFill="1" applyBorder="1"/>
    <xf numFmtId="37" fontId="66" fillId="0" borderId="6" xfId="7" applyNumberFormat="1" applyFont="1" applyBorder="1"/>
    <xf numFmtId="37" fontId="80" fillId="19" borderId="6" xfId="7" applyNumberFormat="1" applyFont="1" applyFill="1" applyBorder="1"/>
    <xf numFmtId="39" fontId="64" fillId="0" borderId="6" xfId="7" applyNumberFormat="1" applyBorder="1" applyAlignment="1">
      <alignment horizontal="center"/>
    </xf>
    <xf numFmtId="39" fontId="66" fillId="14" borderId="6" xfId="7" applyNumberFormat="1" applyFont="1" applyFill="1" applyBorder="1"/>
    <xf numFmtId="39" fontId="66" fillId="15" borderId="6" xfId="7" applyNumberFormat="1" applyFont="1" applyFill="1" applyBorder="1"/>
    <xf numFmtId="39" fontId="80" fillId="14" borderId="6" xfId="7" applyNumberFormat="1" applyFont="1" applyFill="1" applyBorder="1"/>
    <xf numFmtId="39" fontId="73" fillId="0" borderId="6" xfId="7" applyNumberFormat="1" applyFont="1" applyBorder="1"/>
    <xf numFmtId="39" fontId="64" fillId="15" borderId="6" xfId="7" applyNumberFormat="1" applyFill="1" applyBorder="1"/>
    <xf numFmtId="1" fontId="64" fillId="15" borderId="5" xfId="7" applyNumberFormat="1" applyFill="1" applyBorder="1"/>
    <xf numFmtId="39" fontId="64" fillId="0" borderId="6" xfId="7" applyNumberFormat="1" applyFill="1" applyBorder="1" applyAlignment="1">
      <alignment horizontal="center"/>
    </xf>
    <xf numFmtId="39" fontId="66" fillId="20" borderId="6" xfId="7" applyNumberFormat="1" applyFont="1" applyFill="1" applyBorder="1"/>
    <xf numFmtId="39" fontId="66" fillId="21" borderId="6" xfId="7" applyNumberFormat="1" applyFont="1" applyFill="1" applyBorder="1"/>
    <xf numFmtId="39" fontId="64" fillId="0" borderId="6" xfId="7" applyNumberFormat="1" applyBorder="1" applyAlignment="1">
      <alignment horizontal="center" wrapText="1"/>
    </xf>
    <xf numFmtId="39" fontId="66" fillId="22" borderId="6" xfId="7" applyNumberFormat="1" applyFont="1" applyFill="1" applyBorder="1"/>
    <xf numFmtId="39" fontId="66" fillId="13" borderId="6" xfId="7" applyNumberFormat="1" applyFont="1" applyFill="1" applyBorder="1" applyAlignment="1">
      <alignment wrapText="1"/>
    </xf>
    <xf numFmtId="37" fontId="66" fillId="0" borderId="6" xfId="7" applyNumberFormat="1" applyFont="1" applyFill="1" applyBorder="1"/>
    <xf numFmtId="39" fontId="66" fillId="14" borderId="6" xfId="7" applyNumberFormat="1" applyFont="1" applyFill="1" applyBorder="1" applyAlignment="1">
      <alignment wrapText="1"/>
    </xf>
    <xf numFmtId="39" fontId="66" fillId="10" borderId="6" xfId="7" applyNumberFormat="1" applyFont="1" applyFill="1" applyBorder="1"/>
    <xf numFmtId="39" fontId="64" fillId="15" borderId="6" xfId="7" applyNumberFormat="1" applyFill="1" applyBorder="1" applyAlignment="1">
      <alignment horizontal="center"/>
    </xf>
    <xf numFmtId="39" fontId="64" fillId="0" borderId="20" xfId="7" applyNumberFormat="1" applyBorder="1"/>
    <xf numFmtId="1" fontId="64" fillId="0" borderId="16" xfId="7" applyNumberFormat="1" applyBorder="1"/>
    <xf numFmtId="1" fontId="64" fillId="0" borderId="6" xfId="7" applyNumberFormat="1" applyBorder="1"/>
    <xf numFmtId="37" fontId="64" fillId="0" borderId="6" xfId="7" applyNumberFormat="1" applyBorder="1"/>
    <xf numFmtId="1" fontId="64" fillId="0" borderId="0" xfId="7" applyNumberFormat="1"/>
    <xf numFmtId="37" fontId="66" fillId="0" borderId="0" xfId="7" applyNumberFormat="1" applyFont="1"/>
    <xf numFmtId="37" fontId="80" fillId="15" borderId="0" xfId="7" applyNumberFormat="1" applyFont="1" applyFill="1"/>
    <xf numFmtId="0" fontId="61" fillId="0" borderId="0" xfId="0" applyFont="1" applyFill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right" vertical="top" wrapText="1"/>
    </xf>
    <xf numFmtId="165" fontId="81" fillId="0" borderId="0" xfId="1" applyNumberFormat="1" applyFont="1" applyFill="1" applyBorder="1" applyAlignment="1">
      <alignment horizontal="right"/>
    </xf>
    <xf numFmtId="165" fontId="81" fillId="0" borderId="0" xfId="1" applyNumberFormat="1" applyFont="1" applyFill="1" applyBorder="1" applyAlignment="1">
      <alignment horizontal="right" wrapText="1"/>
    </xf>
    <xf numFmtId="43" fontId="0" fillId="0" borderId="0" xfId="0" applyNumberFormat="1" applyFill="1" applyBorder="1"/>
    <xf numFmtId="10" fontId="0" fillId="0" borderId="0" xfId="10" applyNumberFormat="1" applyFont="1" applyFill="1" applyBorder="1"/>
    <xf numFmtId="43" fontId="61" fillId="10" borderId="0" xfId="1" applyFont="1" applyFill="1" applyAlignment="1">
      <alignment horizontal="center" vertical="center" wrapText="1"/>
    </xf>
    <xf numFmtId="43" fontId="16" fillId="23" borderId="0" xfId="1" applyFont="1" applyFill="1" applyAlignment="1">
      <alignment horizontal="center"/>
    </xf>
    <xf numFmtId="39" fontId="0" fillId="0" borderId="0" xfId="0" applyNumberFormat="1" applyAlignment="1">
      <alignment horizontal="right"/>
    </xf>
    <xf numFmtId="37" fontId="0" fillId="0" borderId="0" xfId="0" applyNumberFormat="1" applyProtection="1"/>
    <xf numFmtId="0" fontId="82" fillId="0" borderId="0" xfId="0" applyFont="1" applyFill="1" applyAlignment="1">
      <alignment vertical="center" wrapText="1"/>
    </xf>
    <xf numFmtId="49" fontId="16" fillId="15" borderId="0" xfId="7" applyNumberFormat="1" applyFont="1" applyFill="1"/>
    <xf numFmtId="49" fontId="16" fillId="15" borderId="6" xfId="7" applyNumberFormat="1" applyFont="1" applyFill="1" applyBorder="1"/>
    <xf numFmtId="165" fontId="66" fillId="15" borderId="6" xfId="2" applyNumberFormat="1" applyFont="1" applyFill="1" applyBorder="1" applyAlignment="1">
      <alignment horizontal="center" wrapText="1"/>
    </xf>
    <xf numFmtId="39" fontId="64" fillId="15" borderId="0" xfId="7" applyNumberFormat="1" applyFill="1" applyProtection="1"/>
    <xf numFmtId="39" fontId="64" fillId="15" borderId="6" xfId="7" applyNumberFormat="1" applyFill="1" applyBorder="1" applyProtection="1"/>
    <xf numFmtId="165" fontId="66" fillId="15" borderId="6" xfId="2" applyNumberFormat="1" applyFont="1" applyFill="1" applyBorder="1"/>
    <xf numFmtId="165" fontId="64" fillId="15" borderId="6" xfId="2" applyNumberFormat="1" applyFont="1" applyFill="1" applyBorder="1"/>
    <xf numFmtId="39" fontId="17" fillId="15" borderId="0" xfId="7" applyNumberFormat="1" applyFont="1" applyFill="1" applyProtection="1"/>
    <xf numFmtId="39" fontId="17" fillId="15" borderId="6" xfId="7" applyNumberFormat="1" applyFont="1" applyFill="1" applyBorder="1" applyProtection="1"/>
    <xf numFmtId="39" fontId="64" fillId="15" borderId="0" xfId="7" quotePrefix="1" applyNumberFormat="1" applyFill="1" applyProtection="1"/>
    <xf numFmtId="49" fontId="64" fillId="15" borderId="0" xfId="7" applyNumberFormat="1" applyFill="1" applyAlignment="1" applyProtection="1">
      <alignment horizontal="left"/>
    </xf>
    <xf numFmtId="165" fontId="73" fillId="15" borderId="6" xfId="2" applyNumberFormat="1" applyFont="1" applyFill="1" applyBorder="1"/>
    <xf numFmtId="165" fontId="66" fillId="15" borderId="0" xfId="2" applyNumberFormat="1" applyFont="1" applyFill="1"/>
    <xf numFmtId="165" fontId="64" fillId="15" borderId="0" xfId="2" applyNumberFormat="1" applyFont="1" applyFill="1"/>
    <xf numFmtId="14" fontId="83" fillId="0" borderId="0" xfId="1" applyNumberFormat="1" applyFont="1"/>
    <xf numFmtId="14" fontId="83" fillId="0" borderId="0" xfId="0" applyNumberFormat="1" applyFont="1" applyFill="1" applyAlignment="1">
      <alignment vertical="center" wrapText="1"/>
    </xf>
    <xf numFmtId="0" fontId="82" fillId="24" borderId="0" xfId="0" applyFont="1" applyFill="1" applyAlignment="1">
      <alignment horizontal="center"/>
    </xf>
    <xf numFmtId="0" fontId="17" fillId="0" borderId="6" xfId="0" applyFont="1" applyBorder="1"/>
    <xf numFmtId="0" fontId="21" fillId="3" borderId="0" xfId="0" applyFont="1" applyFill="1" applyBorder="1" applyAlignment="1"/>
    <xf numFmtId="167" fontId="16" fillId="0" borderId="0" xfId="5" applyNumberFormat="1" applyFont="1" applyAlignment="1">
      <alignment horizontal="left"/>
    </xf>
    <xf numFmtId="165" fontId="66" fillId="0" borderId="0" xfId="2" applyNumberFormat="1" applyFont="1" applyAlignment="1">
      <alignment horizontal="center" wrapText="1"/>
    </xf>
    <xf numFmtId="0" fontId="16" fillId="0" borderId="0" xfId="0" applyFont="1" applyAlignment="1">
      <alignment horizontal="left"/>
    </xf>
    <xf numFmtId="0" fontId="66" fillId="0" borderId="0" xfId="0" applyFont="1"/>
    <xf numFmtId="165" fontId="17" fillId="0" borderId="0" xfId="2" applyNumberFormat="1" applyFont="1"/>
    <xf numFmtId="165" fontId="64" fillId="0" borderId="0" xfId="2" applyNumberFormat="1" applyFont="1"/>
    <xf numFmtId="10" fontId="17" fillId="0" borderId="0" xfId="10" applyNumberFormat="1" applyFont="1" applyAlignment="1">
      <alignment horizontal="left"/>
    </xf>
    <xf numFmtId="39" fontId="17" fillId="0" borderId="0" xfId="0" applyNumberFormat="1" applyFont="1" applyProtection="1"/>
    <xf numFmtId="10" fontId="17" fillId="10" borderId="0" xfId="10" applyNumberFormat="1" applyFont="1" applyFill="1" applyAlignment="1">
      <alignment horizontal="left"/>
    </xf>
    <xf numFmtId="165" fontId="64" fillId="0" borderId="0" xfId="2" applyNumberFormat="1" applyFont="1" applyAlignment="1">
      <alignment horizontal="left"/>
    </xf>
    <xf numFmtId="165" fontId="64" fillId="10" borderId="0" xfId="2" applyNumberFormat="1" applyFont="1" applyFill="1" applyAlignment="1">
      <alignment horizontal="left"/>
    </xf>
    <xf numFmtId="0" fontId="0" fillId="10" borderId="0" xfId="0" applyFill="1" applyAlignment="1">
      <alignment horizontal="left"/>
    </xf>
    <xf numFmtId="0" fontId="0" fillId="0" borderId="0" xfId="0" applyAlignment="1">
      <alignment horizontal="left"/>
    </xf>
    <xf numFmtId="165" fontId="64" fillId="0" borderId="0" xfId="2" applyNumberFormat="1" applyFont="1" applyAlignment="1"/>
    <xf numFmtId="2" fontId="0" fillId="14" borderId="0" xfId="0" applyNumberFormat="1" applyFill="1"/>
    <xf numFmtId="169" fontId="0" fillId="0" borderId="0" xfId="4" applyNumberFormat="1" applyFont="1" applyBorder="1"/>
    <xf numFmtId="39" fontId="0" fillId="0" borderId="23" xfId="0" applyNumberFormat="1" applyBorder="1" applyProtection="1"/>
    <xf numFmtId="39" fontId="15" fillId="0" borderId="23" xfId="0" applyNumberFormat="1" applyFont="1" applyBorder="1" applyProtection="1"/>
    <xf numFmtId="39" fontId="0" fillId="0" borderId="23" xfId="0" applyNumberFormat="1" applyFill="1" applyBorder="1" applyProtection="1"/>
    <xf numFmtId="49" fontId="0" fillId="0" borderId="23" xfId="0" applyNumberFormat="1" applyBorder="1" applyAlignment="1" applyProtection="1">
      <alignment horizontal="left"/>
    </xf>
    <xf numFmtId="39" fontId="0" fillId="0" borderId="25" xfId="0" applyNumberFormat="1" applyBorder="1" applyProtection="1"/>
    <xf numFmtId="44" fontId="29" fillId="0" borderId="0" xfId="4" applyFont="1" applyFill="1" applyBorder="1"/>
    <xf numFmtId="39" fontId="86" fillId="0" borderId="0" xfId="11" applyFont="1" applyAlignment="1">
      <alignment horizontal="center"/>
    </xf>
    <xf numFmtId="39" fontId="87" fillId="0" borderId="0" xfId="11" applyFont="1" applyAlignment="1">
      <alignment horizontal="center"/>
    </xf>
    <xf numFmtId="39" fontId="86" fillId="0" borderId="0" xfId="11" applyFont="1" applyAlignment="1">
      <alignment horizontal="center" wrapText="1"/>
    </xf>
    <xf numFmtId="39" fontId="86" fillId="0" borderId="0" xfId="11" applyFont="1" applyFill="1" applyAlignment="1">
      <alignment horizontal="center" wrapText="1"/>
    </xf>
    <xf numFmtId="0" fontId="88" fillId="0" borderId="0" xfId="12" applyFont="1" applyAlignment="1">
      <alignment horizontal="center" wrapText="1"/>
    </xf>
    <xf numFmtId="44" fontId="16" fillId="0" borderId="0" xfId="13" applyFont="1" applyBorder="1" applyAlignment="1">
      <alignment horizontal="center" vertical="center" wrapText="1"/>
    </xf>
    <xf numFmtId="0" fontId="88" fillId="0" borderId="0" xfId="12" applyFont="1"/>
    <xf numFmtId="39" fontId="86" fillId="0" borderId="0" xfId="11" applyFont="1"/>
    <xf numFmtId="165" fontId="86" fillId="0" borderId="19" xfId="14" applyNumberFormat="1" applyFont="1" applyBorder="1"/>
    <xf numFmtId="165" fontId="86" fillId="0" borderId="0" xfId="14" applyNumberFormat="1" applyFont="1" applyBorder="1"/>
    <xf numFmtId="39" fontId="87" fillId="0" borderId="0" xfId="11" applyFont="1"/>
    <xf numFmtId="39" fontId="88" fillId="0" borderId="0" xfId="12" applyNumberFormat="1" applyFont="1"/>
    <xf numFmtId="44" fontId="15" fillId="10" borderId="0" xfId="13" applyFont="1" applyFill="1" applyBorder="1"/>
    <xf numFmtId="165" fontId="86" fillId="0" borderId="0" xfId="14" applyNumberFormat="1" applyFont="1"/>
    <xf numFmtId="44" fontId="89" fillId="0" borderId="0" xfId="13" applyFont="1" applyBorder="1" applyAlignment="1">
      <alignment horizontal="right" vertical="top"/>
    </xf>
    <xf numFmtId="39" fontId="57" fillId="0" borderId="0" xfId="11" applyFont="1"/>
    <xf numFmtId="170" fontId="90" fillId="0" borderId="0" xfId="15" applyNumberFormat="1" applyFont="1" applyBorder="1" applyAlignment="1">
      <alignment horizontal="right" vertical="top"/>
    </xf>
    <xf numFmtId="165" fontId="86" fillId="0" borderId="0" xfId="14" applyNumberFormat="1" applyFont="1" applyFill="1" applyBorder="1"/>
    <xf numFmtId="37" fontId="86" fillId="0" borderId="0" xfId="11" applyNumberFormat="1" applyFont="1" applyProtection="1"/>
    <xf numFmtId="0" fontId="91" fillId="0" borderId="0" xfId="12" applyFont="1"/>
    <xf numFmtId="0" fontId="88" fillId="26" borderId="0" xfId="12" applyFont="1" applyFill="1" applyAlignment="1">
      <alignment horizontal="center" vertical="center" wrapText="1"/>
    </xf>
    <xf numFmtId="0" fontId="88" fillId="0" borderId="16" xfId="12" applyFont="1" applyFill="1" applyBorder="1" applyAlignment="1">
      <alignment horizontal="center" vertical="center" wrapText="1"/>
    </xf>
    <xf numFmtId="0" fontId="88" fillId="0" borderId="18" xfId="12" applyFont="1" applyFill="1" applyBorder="1" applyAlignment="1">
      <alignment horizontal="center" vertical="center" wrapText="1"/>
    </xf>
    <xf numFmtId="0" fontId="88" fillId="0" borderId="2" xfId="12" applyFont="1" applyBorder="1"/>
    <xf numFmtId="39" fontId="88" fillId="0" borderId="15" xfId="12" applyNumberFormat="1" applyFont="1" applyBorder="1"/>
    <xf numFmtId="0" fontId="88" fillId="0" borderId="3" xfId="12" applyFont="1" applyBorder="1"/>
    <xf numFmtId="39" fontId="88" fillId="0" borderId="9" xfId="12" applyNumberFormat="1" applyFont="1" applyBorder="1"/>
    <xf numFmtId="0" fontId="92" fillId="0" borderId="0" xfId="0" applyFont="1" applyFill="1" applyBorder="1" applyAlignment="1">
      <alignment horizontal="left"/>
    </xf>
    <xf numFmtId="0" fontId="92" fillId="0" borderId="0" xfId="0" quotePrefix="1" applyFont="1" applyFill="1" applyBorder="1"/>
    <xf numFmtId="0" fontId="92" fillId="0" borderId="0" xfId="0" applyFont="1" applyFill="1" applyBorder="1"/>
    <xf numFmtId="43" fontId="92" fillId="0" borderId="0" xfId="1" applyFont="1" applyFill="1" applyBorder="1" applyAlignment="1">
      <alignment horizontal="center"/>
    </xf>
    <xf numFmtId="43" fontId="92" fillId="0" borderId="0" xfId="1" quotePrefix="1" applyFont="1" applyFill="1" applyBorder="1" applyAlignment="1">
      <alignment horizontal="center"/>
    </xf>
    <xf numFmtId="43" fontId="93" fillId="0" borderId="0" xfId="1" applyFont="1" applyFill="1" applyBorder="1" applyAlignment="1">
      <alignment horizontal="center" wrapText="1"/>
    </xf>
    <xf numFmtId="0" fontId="92" fillId="0" borderId="0" xfId="0" applyFont="1" applyFill="1" applyBorder="1" applyAlignment="1"/>
    <xf numFmtId="43" fontId="93" fillId="0" borderId="0" xfId="1" applyFont="1" applyFill="1" applyBorder="1"/>
    <xf numFmtId="0" fontId="93" fillId="0" borderId="0" xfId="0" applyFont="1" applyFill="1" applyBorder="1"/>
    <xf numFmtId="165" fontId="93" fillId="0" borderId="0" xfId="1" applyNumberFormat="1" applyFont="1" applyFill="1" applyBorder="1"/>
    <xf numFmtId="38" fontId="93" fillId="0" borderId="0" xfId="0" applyNumberFormat="1" applyFont="1" applyFill="1" applyBorder="1"/>
    <xf numFmtId="0" fontId="66" fillId="0" borderId="0" xfId="16" applyFont="1" applyAlignment="1">
      <alignment wrapText="1"/>
    </xf>
    <xf numFmtId="0" fontId="66" fillId="0" borderId="0" xfId="16" applyFont="1" applyAlignment="1">
      <alignment horizontal="right" wrapText="1"/>
    </xf>
    <xf numFmtId="0" fontId="13" fillId="0" borderId="0" xfId="16"/>
    <xf numFmtId="0" fontId="13" fillId="0" borderId="0" xfId="16" applyAlignment="1">
      <alignment horizontal="right"/>
    </xf>
    <xf numFmtId="0" fontId="0" fillId="0" borderId="0" xfId="0" pivotButton="1"/>
    <xf numFmtId="0" fontId="0" fillId="0" borderId="0" xfId="0" applyNumberFormat="1"/>
    <xf numFmtId="0" fontId="15" fillId="0" borderId="0" xfId="0" applyFont="1" applyFill="1" applyBorder="1"/>
    <xf numFmtId="43" fontId="17" fillId="0" borderId="0" xfId="1" applyFont="1" applyBorder="1" applyAlignment="1">
      <alignment horizontal="left" indent="1"/>
    </xf>
    <xf numFmtId="38" fontId="17" fillId="0" borderId="0" xfId="1" applyNumberFormat="1" applyFont="1" applyBorder="1" applyAlignment="1">
      <alignment horizontal="right" indent="2"/>
    </xf>
    <xf numFmtId="39" fontId="73" fillId="0" borderId="6" xfId="11" applyFont="1" applyBorder="1" applyAlignment="1">
      <alignment horizontal="center"/>
    </xf>
    <xf numFmtId="49" fontId="73" fillId="0" borderId="6" xfId="17" applyNumberFormat="1" applyFont="1" applyBorder="1" applyAlignment="1">
      <alignment horizontal="center"/>
    </xf>
    <xf numFmtId="167" fontId="73" fillId="0" borderId="6" xfId="18" applyNumberFormat="1" applyFont="1" applyBorder="1" applyAlignment="1">
      <alignment horizontal="center" wrapText="1"/>
    </xf>
    <xf numFmtId="39" fontId="74" fillId="0" borderId="6" xfId="11" applyFont="1" applyBorder="1" applyAlignment="1">
      <alignment horizontal="center"/>
    </xf>
    <xf numFmtId="39" fontId="73" fillId="0" borderId="6" xfId="11" applyFont="1" applyFill="1" applyBorder="1" applyAlignment="1">
      <alignment horizontal="center" wrapText="1"/>
    </xf>
    <xf numFmtId="0" fontId="66" fillId="0" borderId="6" xfId="17" applyFont="1" applyBorder="1" applyAlignment="1">
      <alignment horizontal="center" wrapText="1"/>
    </xf>
    <xf numFmtId="44" fontId="73" fillId="0" borderId="6" xfId="13" applyFont="1" applyBorder="1" applyAlignment="1">
      <alignment horizontal="center" wrapText="1"/>
    </xf>
    <xf numFmtId="0" fontId="66" fillId="0" borderId="6" xfId="17" applyFont="1" applyBorder="1" applyAlignment="1">
      <alignment horizontal="center"/>
    </xf>
    <xf numFmtId="0" fontId="66" fillId="0" borderId="0" xfId="17" applyFont="1" applyAlignment="1">
      <alignment horizontal="center"/>
    </xf>
    <xf numFmtId="39" fontId="74" fillId="0" borderId="6" xfId="11" applyFont="1" applyBorder="1"/>
    <xf numFmtId="39" fontId="12" fillId="0" borderId="6" xfId="17" applyNumberFormat="1" applyFont="1" applyBorder="1" applyProtection="1"/>
    <xf numFmtId="165" fontId="12" fillId="0" borderId="6" xfId="19" applyNumberFormat="1" applyFont="1" applyBorder="1"/>
    <xf numFmtId="0" fontId="12" fillId="0" borderId="6" xfId="17" applyFont="1" applyBorder="1"/>
    <xf numFmtId="39" fontId="12" fillId="0" borderId="6" xfId="17" applyNumberFormat="1" applyFont="1" applyBorder="1"/>
    <xf numFmtId="0" fontId="12" fillId="0" borderId="8" xfId="17" applyFont="1" applyBorder="1"/>
    <xf numFmtId="0" fontId="12" fillId="0" borderId="0" xfId="17" applyFont="1"/>
    <xf numFmtId="44" fontId="95" fillId="0" borderId="6" xfId="13" applyFont="1" applyBorder="1" applyAlignment="1">
      <alignment horizontal="center" vertical="top"/>
    </xf>
    <xf numFmtId="0" fontId="12" fillId="0" borderId="8" xfId="17" applyFont="1" applyFill="1" applyBorder="1"/>
    <xf numFmtId="39" fontId="12" fillId="0" borderId="8" xfId="17" applyNumberFormat="1" applyFont="1" applyFill="1" applyBorder="1" applyProtection="1"/>
    <xf numFmtId="39" fontId="74" fillId="0" borderId="6" xfId="17" applyNumberFormat="1" applyFont="1" applyBorder="1" applyProtection="1"/>
    <xf numFmtId="37" fontId="12" fillId="0" borderId="6" xfId="17" applyNumberFormat="1" applyFont="1" applyBorder="1" applyAlignment="1"/>
    <xf numFmtId="44" fontId="74" fillId="15" borderId="6" xfId="13" applyFont="1" applyFill="1" applyBorder="1" applyAlignment="1">
      <alignment horizontal="center"/>
    </xf>
    <xf numFmtId="37" fontId="12" fillId="0" borderId="6" xfId="17" applyNumberFormat="1" applyFont="1" applyBorder="1"/>
    <xf numFmtId="49" fontId="12" fillId="0" borderId="6" xfId="17" applyNumberFormat="1" applyFont="1" applyBorder="1" applyAlignment="1" applyProtection="1">
      <alignment horizontal="left"/>
    </xf>
    <xf numFmtId="37" fontId="74" fillId="0" borderId="6" xfId="11" applyNumberFormat="1" applyFont="1" applyBorder="1" applyAlignment="1">
      <alignment horizontal="right"/>
    </xf>
    <xf numFmtId="0" fontId="12" fillId="0" borderId="6" xfId="17" applyFont="1" applyBorder="1" applyAlignment="1">
      <alignment horizontal="center"/>
    </xf>
    <xf numFmtId="39" fontId="12" fillId="27" borderId="6" xfId="17" applyNumberFormat="1" applyFont="1" applyFill="1" applyBorder="1" applyProtection="1"/>
    <xf numFmtId="39" fontId="12" fillId="0" borderId="6" xfId="17" applyNumberFormat="1" applyFont="1" applyFill="1" applyBorder="1" applyProtection="1"/>
    <xf numFmtId="39" fontId="74" fillId="0" borderId="0" xfId="11" applyFont="1"/>
    <xf numFmtId="0" fontId="12" fillId="0" borderId="0" xfId="17" applyFont="1" applyAlignment="1">
      <alignment horizontal="center"/>
    </xf>
    <xf numFmtId="39" fontId="0" fillId="0" borderId="0" xfId="0" applyNumberFormat="1" applyBorder="1" applyProtection="1"/>
    <xf numFmtId="39" fontId="15" fillId="0" borderId="0" xfId="0" applyNumberFormat="1" applyFont="1" applyBorder="1" applyProtection="1"/>
    <xf numFmtId="39" fontId="0" fillId="0" borderId="26" xfId="0" applyNumberFormat="1" applyBorder="1" applyProtection="1"/>
    <xf numFmtId="0" fontId="16" fillId="25" borderId="0" xfId="0" applyFont="1" applyFill="1" applyBorder="1" applyAlignment="1">
      <alignment horizontal="center"/>
    </xf>
    <xf numFmtId="169" fontId="0" fillId="0" borderId="23" xfId="0" applyNumberFormat="1" applyBorder="1"/>
    <xf numFmtId="10" fontId="0" fillId="0" borderId="24" xfId="10" applyNumberFormat="1" applyFont="1" applyBorder="1"/>
    <xf numFmtId="39" fontId="59" fillId="0" borderId="0" xfId="11"/>
    <xf numFmtId="39" fontId="59" fillId="10" borderId="0" xfId="11" applyFill="1"/>
    <xf numFmtId="39" fontId="59" fillId="10" borderId="0" xfId="11" applyFill="1" applyAlignment="1">
      <alignment horizontal="center"/>
    </xf>
    <xf numFmtId="39" fontId="59" fillId="0" borderId="0" xfId="11" applyAlignment="1">
      <alignment horizontal="center"/>
    </xf>
    <xf numFmtId="39" fontId="59" fillId="0" borderId="0" xfId="11" applyAlignment="1">
      <alignment horizontal="right"/>
    </xf>
    <xf numFmtId="165" fontId="0" fillId="0" borderId="0" xfId="1" applyNumberFormat="1" applyFont="1" applyBorder="1"/>
    <xf numFmtId="37" fontId="59" fillId="0" borderId="0" xfId="11" applyNumberFormat="1" applyProtection="1"/>
    <xf numFmtId="43" fontId="0" fillId="0" borderId="0" xfId="1" applyFont="1" applyProtection="1"/>
    <xf numFmtId="0" fontId="15" fillId="0" borderId="0" xfId="0" applyFont="1"/>
    <xf numFmtId="44" fontId="0" fillId="0" borderId="0" xfId="0" applyNumberFormat="1"/>
    <xf numFmtId="39" fontId="59" fillId="0" borderId="0" xfId="11" quotePrefix="1"/>
    <xf numFmtId="49" fontId="16" fillId="0" borderId="0" xfId="20" applyNumberFormat="1" applyFont="1"/>
    <xf numFmtId="49" fontId="16" fillId="0" borderId="6" xfId="20" applyNumberFormat="1" applyFont="1" applyBorder="1"/>
    <xf numFmtId="167" fontId="16" fillId="0" borderId="6" xfId="21" applyNumberFormat="1" applyFont="1" applyBorder="1" applyAlignment="1">
      <alignment horizontal="left"/>
    </xf>
    <xf numFmtId="0" fontId="11" fillId="0" borderId="6" xfId="20" applyBorder="1" applyAlignment="1">
      <alignment horizontal="center" wrapText="1"/>
    </xf>
    <xf numFmtId="0" fontId="11" fillId="0" borderId="6" xfId="20" applyBorder="1" applyAlignment="1">
      <alignment wrapText="1"/>
    </xf>
    <xf numFmtId="0" fontId="11" fillId="0" borderId="0" xfId="20"/>
    <xf numFmtId="39" fontId="11" fillId="0" borderId="0" xfId="20" applyNumberFormat="1" applyProtection="1"/>
    <xf numFmtId="39" fontId="11" fillId="0" borderId="6" xfId="20" applyNumberFormat="1" applyBorder="1" applyProtection="1"/>
    <xf numFmtId="165" fontId="0" fillId="0" borderId="6" xfId="22" applyNumberFormat="1" applyFont="1" applyBorder="1"/>
    <xf numFmtId="0" fontId="11" fillId="0" borderId="6" xfId="20" applyBorder="1" applyAlignment="1">
      <alignment horizontal="center"/>
    </xf>
    <xf numFmtId="0" fontId="11" fillId="0" borderId="6" xfId="20" applyBorder="1"/>
    <xf numFmtId="0" fontId="66" fillId="0" borderId="6" xfId="20" applyFont="1" applyBorder="1"/>
    <xf numFmtId="39" fontId="11" fillId="28" borderId="0" xfId="20" applyNumberFormat="1" applyFill="1" applyProtection="1"/>
    <xf numFmtId="39" fontId="11" fillId="15" borderId="6" xfId="20" applyNumberFormat="1" applyFill="1" applyBorder="1" applyProtection="1"/>
    <xf numFmtId="165" fontId="0" fillId="15" borderId="6" xfId="22" applyNumberFormat="1" applyFont="1" applyFill="1" applyBorder="1"/>
    <xf numFmtId="0" fontId="11" fillId="15" borderId="6" xfId="20" applyFill="1" applyBorder="1" applyAlignment="1">
      <alignment horizontal="center"/>
    </xf>
    <xf numFmtId="0" fontId="11" fillId="15" borderId="6" xfId="20" applyFill="1" applyBorder="1"/>
    <xf numFmtId="39" fontId="11" fillId="10" borderId="6" xfId="20" applyNumberFormat="1" applyFill="1" applyBorder="1" applyProtection="1"/>
    <xf numFmtId="165" fontId="0" fillId="10" borderId="6" xfId="22" applyNumberFormat="1" applyFont="1" applyFill="1" applyBorder="1"/>
    <xf numFmtId="0" fontId="74" fillId="0" borderId="6" xfId="20" applyFont="1" applyBorder="1"/>
    <xf numFmtId="39" fontId="15" fillId="0" borderId="0" xfId="20" applyNumberFormat="1" applyFont="1" applyProtection="1"/>
    <xf numFmtId="39" fontId="15" fillId="0" borderId="6" xfId="20" applyNumberFormat="1" applyFont="1" applyBorder="1" applyProtection="1"/>
    <xf numFmtId="0" fontId="96" fillId="0" borderId="6" xfId="20" applyFont="1" applyBorder="1"/>
    <xf numFmtId="0" fontId="11" fillId="0" borderId="6" xfId="20" applyNumberFormat="1" applyBorder="1" applyAlignment="1">
      <alignment horizontal="center"/>
    </xf>
    <xf numFmtId="49" fontId="11" fillId="0" borderId="0" xfId="20" applyNumberFormat="1" applyAlignment="1" applyProtection="1">
      <alignment horizontal="left"/>
    </xf>
    <xf numFmtId="39" fontId="11" fillId="0" borderId="0" xfId="20" applyNumberFormat="1" applyFill="1" applyProtection="1"/>
    <xf numFmtId="39" fontId="11" fillId="0" borderId="6" xfId="20" applyNumberFormat="1" applyFill="1" applyBorder="1" applyProtection="1"/>
    <xf numFmtId="0" fontId="11" fillId="0" borderId="0" xfId="20" applyAlignment="1">
      <alignment horizontal="center"/>
    </xf>
    <xf numFmtId="0" fontId="10" fillId="0" borderId="0" xfId="20" applyFont="1"/>
    <xf numFmtId="6" fontId="0" fillId="0" borderId="0" xfId="0" applyNumberFormat="1"/>
    <xf numFmtId="166" fontId="0" fillId="0" borderId="0" xfId="4" applyNumberFormat="1" applyFont="1"/>
    <xf numFmtId="166" fontId="0" fillId="0" borderId="0" xfId="0" applyNumberFormat="1"/>
    <xf numFmtId="0" fontId="50" fillId="0" borderId="0" xfId="0" applyFont="1"/>
    <xf numFmtId="166" fontId="50" fillId="0" borderId="0" xfId="0" applyNumberFormat="1" applyFont="1"/>
    <xf numFmtId="49" fontId="16" fillId="15" borderId="0" xfId="0" applyNumberFormat="1" applyFont="1" applyFill="1"/>
    <xf numFmtId="49" fontId="16" fillId="15" borderId="6" xfId="0" applyNumberFormat="1" applyFont="1" applyFill="1" applyBorder="1"/>
    <xf numFmtId="167" fontId="16" fillId="15" borderId="6" xfId="4" applyNumberFormat="1" applyFont="1" applyFill="1" applyBorder="1" applyAlignment="1">
      <alignment horizontal="left"/>
    </xf>
    <xf numFmtId="0" fontId="0" fillId="15" borderId="6" xfId="0" applyFill="1" applyBorder="1" applyAlignment="1">
      <alignment horizontal="center" wrapText="1"/>
    </xf>
    <xf numFmtId="0" fontId="0" fillId="15" borderId="6" xfId="0" applyFill="1" applyBorder="1" applyAlignment="1">
      <alignment wrapText="1"/>
    </xf>
    <xf numFmtId="39" fontId="0" fillId="15" borderId="0" xfId="0" applyNumberFormat="1" applyFill="1" applyProtection="1"/>
    <xf numFmtId="39" fontId="0" fillId="15" borderId="6" xfId="0" applyNumberFormat="1" applyFill="1" applyBorder="1" applyProtection="1"/>
    <xf numFmtId="165" fontId="0" fillId="15" borderId="6" xfId="1" applyNumberFormat="1" applyFont="1" applyFill="1" applyBorder="1"/>
    <xf numFmtId="0" fontId="0" fillId="15" borderId="6" xfId="0" applyFill="1" applyBorder="1" applyAlignment="1">
      <alignment horizontal="center"/>
    </xf>
    <xf numFmtId="0" fontId="0" fillId="15" borderId="6" xfId="0" applyFill="1" applyBorder="1"/>
    <xf numFmtId="49" fontId="0" fillId="15" borderId="0" xfId="0" applyNumberFormat="1" applyFill="1" applyAlignment="1" applyProtection="1">
      <alignment horizontal="left"/>
    </xf>
    <xf numFmtId="0" fontId="96" fillId="15" borderId="6" xfId="0" applyFont="1" applyFill="1" applyBorder="1"/>
    <xf numFmtId="0" fontId="74" fillId="15" borderId="6" xfId="0" applyFont="1" applyFill="1" applyBorder="1"/>
    <xf numFmtId="39" fontId="15" fillId="15" borderId="0" xfId="0" applyNumberFormat="1" applyFont="1" applyFill="1" applyProtection="1"/>
    <xf numFmtId="39" fontId="15" fillId="15" borderId="6" xfId="0" applyNumberFormat="1" applyFont="1" applyFill="1" applyBorder="1" applyProtection="1"/>
    <xf numFmtId="0" fontId="66" fillId="15" borderId="6" xfId="0" applyFont="1" applyFill="1" applyBorder="1"/>
    <xf numFmtId="0" fontId="0" fillId="15" borderId="6" xfId="0" applyNumberFormat="1" applyFill="1" applyBorder="1" applyAlignment="1">
      <alignment horizontal="center"/>
    </xf>
    <xf numFmtId="0" fontId="9" fillId="0" borderId="0" xfId="20" applyFont="1"/>
    <xf numFmtId="39" fontId="0" fillId="10" borderId="6" xfId="0" applyNumberFormat="1" applyFill="1" applyBorder="1" applyProtection="1"/>
    <xf numFmtId="165" fontId="0" fillId="10" borderId="6" xfId="1" applyNumberFormat="1" applyFont="1" applyFill="1" applyBorder="1"/>
    <xf numFmtId="0" fontId="0" fillId="10" borderId="6" xfId="0" applyFill="1" applyBorder="1" applyAlignment="1">
      <alignment horizontal="center"/>
    </xf>
    <xf numFmtId="0" fontId="96" fillId="10" borderId="6" xfId="0" applyFont="1" applyFill="1" applyBorder="1"/>
    <xf numFmtId="39" fontId="97" fillId="29" borderId="0" xfId="0" applyNumberFormat="1" applyFont="1" applyFill="1" applyProtection="1"/>
    <xf numFmtId="39" fontId="97" fillId="29" borderId="6" xfId="0" applyNumberFormat="1" applyFont="1" applyFill="1" applyBorder="1" applyProtection="1"/>
    <xf numFmtId="165" fontId="97" fillId="29" borderId="6" xfId="1" applyNumberFormat="1" applyFont="1" applyFill="1" applyBorder="1"/>
    <xf numFmtId="0" fontId="97" fillId="29" borderId="6" xfId="0" applyFont="1" applyFill="1" applyBorder="1" applyAlignment="1">
      <alignment horizontal="center"/>
    </xf>
    <xf numFmtId="0" fontId="97" fillId="29" borderId="6" xfId="0" applyFont="1" applyFill="1" applyBorder="1"/>
    <xf numFmtId="39" fontId="0" fillId="30" borderId="6" xfId="0" applyNumberFormat="1" applyFill="1" applyBorder="1" applyProtection="1"/>
    <xf numFmtId="165" fontId="0" fillId="30" borderId="6" xfId="1" applyNumberFormat="1" applyFont="1" applyFill="1" applyBorder="1"/>
    <xf numFmtId="0" fontId="0" fillId="30" borderId="6" xfId="0" applyFill="1" applyBorder="1" applyAlignment="1">
      <alignment horizontal="center"/>
    </xf>
    <xf numFmtId="0" fontId="0" fillId="30" borderId="6" xfId="0" applyFill="1" applyBorder="1"/>
    <xf numFmtId="0" fontId="8" fillId="0" borderId="0" xfId="20" applyFont="1"/>
    <xf numFmtId="165" fontId="0" fillId="0" borderId="0" xfId="1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5" xfId="0" applyBorder="1"/>
    <xf numFmtId="0" fontId="0" fillId="0" borderId="8" xfId="0" applyBorder="1" applyAlignment="1">
      <alignment horizontal="right"/>
    </xf>
    <xf numFmtId="3" fontId="0" fillId="0" borderId="15" xfId="0" applyNumberFormat="1" applyBorder="1" applyAlignment="1">
      <alignment horizontal="right" indent="2"/>
    </xf>
    <xf numFmtId="3" fontId="0" fillId="0" borderId="9" xfId="0" applyNumberFormat="1" applyBorder="1" applyAlignment="1">
      <alignment horizontal="right" indent="2"/>
    </xf>
    <xf numFmtId="0" fontId="0" fillId="23" borderId="5" xfId="0" applyFill="1" applyBorder="1"/>
    <xf numFmtId="3" fontId="0" fillId="23" borderId="8" xfId="0" applyNumberFormat="1" applyFill="1" applyBorder="1" applyAlignment="1">
      <alignment horizontal="right" indent="2"/>
    </xf>
    <xf numFmtId="0" fontId="15" fillId="0" borderId="2" xfId="0" quotePrefix="1" applyFont="1" applyBorder="1"/>
    <xf numFmtId="0" fontId="15" fillId="0" borderId="3" xfId="0" quotePrefix="1" applyFont="1" applyBorder="1"/>
    <xf numFmtId="0" fontId="15" fillId="0" borderId="6" xfId="0" applyFont="1" applyFill="1" applyBorder="1"/>
    <xf numFmtId="0" fontId="15" fillId="0" borderId="6" xfId="0" applyFont="1" applyBorder="1"/>
    <xf numFmtId="0" fontId="81" fillId="0" borderId="0" xfId="0" applyFont="1" applyFill="1" applyBorder="1"/>
    <xf numFmtId="43" fontId="98" fillId="0" borderId="0" xfId="1" applyFont="1" applyFill="1" applyBorder="1" applyAlignment="1">
      <alignment horizontal="center"/>
    </xf>
    <xf numFmtId="43" fontId="99" fillId="0" borderId="0" xfId="1" applyFont="1" applyFill="1" applyBorder="1"/>
    <xf numFmtId="43" fontId="98" fillId="0" borderId="6" xfId="1" applyFont="1" applyFill="1" applyBorder="1" applyAlignment="1">
      <alignment horizontal="center" vertical="top" wrapText="1"/>
    </xf>
    <xf numFmtId="43" fontId="100" fillId="0" borderId="6" xfId="1" applyFont="1" applyFill="1" applyBorder="1" applyAlignment="1">
      <alignment horizontal="center" wrapText="1"/>
    </xf>
    <xf numFmtId="43" fontId="99" fillId="0" borderId="0" xfId="1" applyNumberFormat="1" applyFont="1" applyFill="1" applyBorder="1"/>
    <xf numFmtId="43" fontId="101" fillId="0" borderId="0" xfId="1" applyFont="1" applyFill="1" applyBorder="1" applyAlignment="1">
      <alignment horizontal="center" wrapText="1"/>
    </xf>
    <xf numFmtId="0" fontId="16" fillId="25" borderId="21" xfId="0" applyFont="1" applyFill="1" applyBorder="1" applyAlignment="1">
      <alignment horizontal="center" wrapText="1"/>
    </xf>
    <xf numFmtId="0" fontId="16" fillId="25" borderId="0" xfId="0" applyFont="1" applyFill="1" applyBorder="1" applyAlignment="1">
      <alignment horizontal="center" wrapText="1"/>
    </xf>
    <xf numFmtId="0" fontId="16" fillId="25" borderId="22" xfId="0" applyFont="1" applyFill="1" applyBorder="1" applyAlignment="1">
      <alignment horizontal="center" wrapText="1"/>
    </xf>
    <xf numFmtId="0" fontId="16" fillId="25" borderId="0" xfId="0" applyFont="1" applyFill="1" applyBorder="1" applyAlignment="1">
      <alignment horizontal="left"/>
    </xf>
    <xf numFmtId="0" fontId="0" fillId="23" borderId="5" xfId="0" applyFill="1" applyBorder="1" applyAlignment="1">
      <alignment horizontal="center" wrapText="1"/>
    </xf>
    <xf numFmtId="0" fontId="102" fillId="0" borderId="5" xfId="23" applyBorder="1"/>
    <xf numFmtId="0" fontId="102" fillId="23" borderId="5" xfId="23" applyFill="1" applyBorder="1"/>
    <xf numFmtId="0" fontId="102" fillId="0" borderId="0" xfId="23" applyFont="1" applyFill="1" applyBorder="1" applyAlignment="1" applyProtection="1"/>
    <xf numFmtId="3" fontId="102" fillId="0" borderId="14" xfId="23" applyNumberFormat="1" applyBorder="1" applyAlignment="1">
      <alignment horizontal="right" indent="1"/>
    </xf>
    <xf numFmtId="0" fontId="102" fillId="0" borderId="14" xfId="23" applyFont="1" applyFill="1" applyBorder="1" applyAlignment="1" applyProtection="1">
      <alignment horizontal="right" indent="1"/>
    </xf>
    <xf numFmtId="3" fontId="102" fillId="0" borderId="41" xfId="23" applyNumberFormat="1" applyBorder="1" applyAlignment="1">
      <alignment horizontal="right" indent="1"/>
    </xf>
    <xf numFmtId="0" fontId="102" fillId="0" borderId="41" xfId="23" applyFont="1" applyFill="1" applyBorder="1" applyAlignment="1" applyProtection="1">
      <alignment horizontal="right" indent="1"/>
    </xf>
    <xf numFmtId="3" fontId="102" fillId="23" borderId="6" xfId="23" applyNumberFormat="1" applyFill="1" applyBorder="1" applyAlignment="1">
      <alignment horizontal="right" indent="1"/>
    </xf>
    <xf numFmtId="171" fontId="102" fillId="0" borderId="6" xfId="23" applyNumberFormat="1" applyBorder="1" applyAlignment="1">
      <alignment horizontal="right" wrapText="1"/>
    </xf>
    <xf numFmtId="171" fontId="103" fillId="31" borderId="6" xfId="23" applyNumberFormat="1" applyFont="1" applyFill="1" applyBorder="1" applyAlignment="1">
      <alignment horizontal="right" wrapText="1"/>
    </xf>
    <xf numFmtId="3" fontId="102" fillId="10" borderId="14" xfId="23" applyNumberFormat="1" applyFill="1" applyBorder="1" applyAlignment="1">
      <alignment horizontal="right" indent="1"/>
    </xf>
    <xf numFmtId="0" fontId="102" fillId="10" borderId="14" xfId="23" applyFont="1" applyFill="1" applyBorder="1" applyAlignment="1" applyProtection="1">
      <alignment horizontal="right" indent="1"/>
    </xf>
    <xf numFmtId="0" fontId="15" fillId="0" borderId="0" xfId="0" quotePrefix="1" applyFont="1" applyFill="1" applyBorder="1"/>
    <xf numFmtId="0" fontId="0" fillId="15" borderId="5" xfId="0" applyFill="1" applyBorder="1" applyAlignment="1">
      <alignment horizontal="center" wrapText="1"/>
    </xf>
    <xf numFmtId="15" fontId="0" fillId="15" borderId="0" xfId="0" applyNumberFormat="1" applyFill="1"/>
    <xf numFmtId="0" fontId="0" fillId="0" borderId="0" xfId="0" applyFont="1" applyFill="1" applyBorder="1" applyAlignment="1" applyProtection="1"/>
    <xf numFmtId="0" fontId="0" fillId="15" borderId="0" xfId="0" applyFill="1"/>
    <xf numFmtId="0" fontId="104" fillId="9" borderId="6" xfId="6" applyNumberFormat="1" applyFont="1" applyBorder="1" applyAlignment="1" applyProtection="1"/>
    <xf numFmtId="0" fontId="104" fillId="9" borderId="0" xfId="6" applyNumberFormat="1" applyFont="1" applyBorder="1" applyAlignment="1" applyProtection="1"/>
    <xf numFmtId="39" fontId="65" fillId="9" borderId="0" xfId="6" applyNumberFormat="1" applyBorder="1" applyProtection="1"/>
    <xf numFmtId="39" fontId="104" fillId="9" borderId="0" xfId="6" applyNumberFormat="1" applyFont="1" applyBorder="1" applyProtection="1"/>
    <xf numFmtId="49" fontId="16" fillId="0" borderId="6" xfId="24" applyNumberFormat="1" applyFont="1" applyBorder="1"/>
    <xf numFmtId="167" fontId="16" fillId="0" borderId="6" xfId="25" applyNumberFormat="1" applyFont="1" applyBorder="1" applyAlignment="1">
      <alignment horizontal="left"/>
    </xf>
    <xf numFmtId="0" fontId="7" fillId="0" borderId="6" xfId="24" applyBorder="1"/>
    <xf numFmtId="0" fontId="7" fillId="0" borderId="0" xfId="24"/>
    <xf numFmtId="39" fontId="7" fillId="0" borderId="6" xfId="24" applyNumberFormat="1" applyBorder="1" applyProtection="1"/>
    <xf numFmtId="165" fontId="0" fillId="0" borderId="6" xfId="26" applyNumberFormat="1" applyFont="1" applyBorder="1"/>
    <xf numFmtId="0" fontId="7" fillId="0" borderId="0" xfId="24" applyBorder="1"/>
    <xf numFmtId="39" fontId="15" fillId="0" borderId="6" xfId="24" applyNumberFormat="1" applyFont="1" applyBorder="1" applyProtection="1"/>
    <xf numFmtId="39" fontId="7" fillId="0" borderId="6" xfId="24" applyNumberFormat="1" applyFill="1" applyBorder="1" applyProtection="1"/>
    <xf numFmtId="0" fontId="7" fillId="10" borderId="6" xfId="24" applyFill="1" applyBorder="1"/>
    <xf numFmtId="49" fontId="7" fillId="0" borderId="6" xfId="24" applyNumberFormat="1" applyBorder="1" applyAlignment="1" applyProtection="1">
      <alignment horizontal="left"/>
    </xf>
    <xf numFmtId="165" fontId="7" fillId="0" borderId="0" xfId="24" applyNumberFormat="1"/>
    <xf numFmtId="49" fontId="105" fillId="0" borderId="6" xfId="27" applyNumberFormat="1" applyFont="1" applyBorder="1"/>
    <xf numFmtId="167" fontId="105" fillId="0" borderId="6" xfId="28" applyNumberFormat="1" applyFont="1" applyBorder="1" applyAlignment="1">
      <alignment horizontal="left"/>
    </xf>
    <xf numFmtId="167" fontId="105" fillId="0" borderId="6" xfId="28" applyNumberFormat="1" applyFont="1" applyBorder="1" applyAlignment="1">
      <alignment horizontal="left" wrapText="1"/>
    </xf>
    <xf numFmtId="0" fontId="66" fillId="0" borderId="6" xfId="27" applyFont="1" applyBorder="1"/>
    <xf numFmtId="0" fontId="66" fillId="0" borderId="0" xfId="27" applyFont="1"/>
    <xf numFmtId="39" fontId="6" fillId="0" borderId="6" xfId="27" applyNumberFormat="1" applyBorder="1" applyProtection="1"/>
    <xf numFmtId="165" fontId="0" fillId="0" borderId="6" xfId="29" applyNumberFormat="1" applyFont="1" applyBorder="1"/>
    <xf numFmtId="0" fontId="6" fillId="0" borderId="6" xfId="27" applyBorder="1"/>
    <xf numFmtId="0" fontId="6" fillId="0" borderId="0" xfId="27"/>
    <xf numFmtId="39" fontId="15" fillId="0" borderId="6" xfId="27" applyNumberFormat="1" applyFont="1" applyBorder="1" applyProtection="1"/>
    <xf numFmtId="0" fontId="6" fillId="15" borderId="6" xfId="27" applyFill="1" applyBorder="1"/>
    <xf numFmtId="0" fontId="6" fillId="10" borderId="6" xfId="27" applyFill="1" applyBorder="1"/>
    <xf numFmtId="39" fontId="74" fillId="0" borderId="6" xfId="27" applyNumberFormat="1" applyFont="1" applyBorder="1" applyProtection="1"/>
    <xf numFmtId="0" fontId="6" fillId="0" borderId="0" xfId="27" applyBorder="1"/>
    <xf numFmtId="49" fontId="6" fillId="0" borderId="6" xfId="27" applyNumberFormat="1" applyBorder="1" applyAlignment="1" applyProtection="1">
      <alignment horizontal="left"/>
    </xf>
    <xf numFmtId="0" fontId="6" fillId="15" borderId="0" xfId="27" applyFill="1"/>
    <xf numFmtId="39" fontId="6" fillId="15" borderId="6" xfId="27" applyNumberFormat="1" applyFill="1" applyBorder="1" applyProtection="1"/>
    <xf numFmtId="165" fontId="0" fillId="15" borderId="6" xfId="29" applyNumberFormat="1" applyFont="1" applyFill="1" applyBorder="1"/>
    <xf numFmtId="39" fontId="15" fillId="15" borderId="6" xfId="27" applyNumberFormat="1" applyFont="1" applyFill="1" applyBorder="1" applyProtection="1"/>
    <xf numFmtId="39" fontId="6" fillId="0" borderId="6" xfId="27" applyNumberFormat="1" applyFill="1" applyBorder="1" applyProtection="1"/>
    <xf numFmtId="165" fontId="6" fillId="0" borderId="0" xfId="27" applyNumberFormat="1" applyBorder="1"/>
    <xf numFmtId="0" fontId="5" fillId="0" borderId="6" xfId="27" applyFont="1" applyBorder="1"/>
    <xf numFmtId="165" fontId="29" fillId="0" borderId="0" xfId="0" applyNumberFormat="1" applyFont="1"/>
    <xf numFmtId="43" fontId="29" fillId="0" borderId="0" xfId="0" quotePrefix="1" applyNumberFormat="1" applyFont="1"/>
    <xf numFmtId="43" fontId="29" fillId="0" borderId="0" xfId="1" applyFont="1"/>
    <xf numFmtId="0" fontId="73" fillId="0" borderId="0" xfId="23" applyFont="1" applyFill="1"/>
    <xf numFmtId="0" fontId="74" fillId="0" borderId="0" xfId="23" applyFont="1" applyFill="1"/>
    <xf numFmtId="0" fontId="95" fillId="0" borderId="0" xfId="23" applyFont="1" applyFill="1"/>
    <xf numFmtId="0" fontId="95" fillId="0" borderId="0" xfId="23" applyFont="1"/>
    <xf numFmtId="0" fontId="73" fillId="0" borderId="42" xfId="23" applyFont="1" applyFill="1" applyBorder="1"/>
    <xf numFmtId="0" fontId="73" fillId="0" borderId="43" xfId="23" applyFont="1" applyFill="1" applyBorder="1"/>
    <xf numFmtId="0" fontId="73" fillId="0" borderId="44" xfId="23" applyFont="1" applyFill="1" applyBorder="1" applyAlignment="1">
      <alignment horizontal="center"/>
    </xf>
    <xf numFmtId="0" fontId="106" fillId="0" borderId="0" xfId="23" quotePrefix="1" applyFont="1" applyFill="1" applyBorder="1"/>
    <xf numFmtId="43" fontId="107" fillId="32" borderId="0" xfId="23" applyNumberFormat="1" applyFont="1" applyFill="1" applyBorder="1" applyAlignment="1">
      <alignment horizontal="center"/>
    </xf>
    <xf numFmtId="0" fontId="108" fillId="0" borderId="0" xfId="23" applyNumberFormat="1" applyFont="1" applyFill="1"/>
    <xf numFmtId="43" fontId="74" fillId="0" borderId="0" xfId="30" applyFont="1" applyFill="1"/>
    <xf numFmtId="43" fontId="95" fillId="0" borderId="0" xfId="23" applyNumberFormat="1" applyFont="1" applyFill="1"/>
    <xf numFmtId="43" fontId="95" fillId="0" borderId="0" xfId="23" applyNumberFormat="1" applyFont="1"/>
    <xf numFmtId="0" fontId="108" fillId="0" borderId="0" xfId="23" quotePrefix="1" applyNumberFormat="1" applyFont="1" applyFill="1"/>
    <xf numFmtId="0" fontId="102" fillId="0" borderId="0" xfId="23"/>
    <xf numFmtId="43" fontId="102" fillId="0" borderId="0" xfId="23" applyNumberFormat="1"/>
    <xf numFmtId="0" fontId="74" fillId="0" borderId="0" xfId="23" applyFont="1"/>
    <xf numFmtId="0" fontId="4" fillId="15" borderId="0" xfId="31" applyFill="1"/>
    <xf numFmtId="0" fontId="109" fillId="15" borderId="0" xfId="31" applyFont="1" applyFill="1" applyAlignment="1">
      <alignment horizontal="center" vertical="center" wrapText="1"/>
    </xf>
    <xf numFmtId="0" fontId="110" fillId="15" borderId="0" xfId="31" applyFont="1" applyFill="1" applyAlignment="1">
      <alignment horizontal="left" vertical="center" wrapText="1" indent="1"/>
    </xf>
    <xf numFmtId="49" fontId="4" fillId="15" borderId="0" xfId="31" applyNumberFormat="1" applyFill="1"/>
    <xf numFmtId="0" fontId="4" fillId="15" borderId="0" xfId="31" applyFont="1" applyFill="1"/>
    <xf numFmtId="0" fontId="4" fillId="15" borderId="0" xfId="31" applyFont="1" applyFill="1" applyAlignment="1"/>
    <xf numFmtId="0" fontId="112" fillId="15" borderId="0" xfId="31" applyFont="1" applyFill="1" applyAlignment="1">
      <alignment vertical="center" wrapText="1"/>
    </xf>
    <xf numFmtId="0" fontId="66" fillId="33" borderId="45" xfId="31" applyFont="1" applyFill="1" applyBorder="1" applyAlignment="1"/>
    <xf numFmtId="0" fontId="73" fillId="15" borderId="0" xfId="31" applyFont="1" applyFill="1" applyAlignment="1">
      <alignment horizontal="center" vertical="center" wrapText="1"/>
    </xf>
    <xf numFmtId="165" fontId="112" fillId="15" borderId="0" xfId="32" applyNumberFormat="1" applyFont="1" applyFill="1" applyAlignment="1">
      <alignment horizontal="left" vertical="center" wrapText="1" indent="1"/>
    </xf>
    <xf numFmtId="165" fontId="86" fillId="15" borderId="0" xfId="32" applyNumberFormat="1" applyFont="1" applyFill="1"/>
    <xf numFmtId="0" fontId="4" fillId="10" borderId="0" xfId="31" applyFill="1"/>
    <xf numFmtId="0" fontId="3" fillId="23" borderId="0" xfId="34" applyFill="1"/>
    <xf numFmtId="0" fontId="95" fillId="0" borderId="0" xfId="0" applyFont="1" applyFill="1" applyAlignment="1">
      <alignment horizontal="center"/>
    </xf>
    <xf numFmtId="0" fontId="74" fillId="0" borderId="0" xfId="0" applyFont="1" applyFill="1" applyAlignment="1">
      <alignment horizontal="center"/>
    </xf>
    <xf numFmtId="0" fontId="73" fillId="0" borderId="0" xfId="0" applyFont="1" applyFill="1"/>
    <xf numFmtId="0" fontId="74" fillId="0" borderId="0" xfId="0" applyFont="1" applyFill="1"/>
    <xf numFmtId="0" fontId="73" fillId="0" borderId="42" xfId="0" applyFont="1" applyFill="1" applyBorder="1"/>
    <xf numFmtId="0" fontId="73" fillId="0" borderId="43" xfId="0" applyFont="1" applyFill="1" applyBorder="1"/>
    <xf numFmtId="0" fontId="73" fillId="0" borderId="44" xfId="0" applyFont="1" applyFill="1" applyBorder="1" applyAlignment="1">
      <alignment horizontal="center"/>
    </xf>
    <xf numFmtId="0" fontId="106" fillId="0" borderId="0" xfId="0" quotePrefix="1" applyFont="1" applyFill="1" applyBorder="1"/>
    <xf numFmtId="43" fontId="107" fillId="32" borderId="0" xfId="0" applyNumberFormat="1" applyFont="1" applyFill="1" applyBorder="1" applyAlignment="1">
      <alignment horizontal="center"/>
    </xf>
    <xf numFmtId="0" fontId="108" fillId="0" borderId="0" xfId="0" applyNumberFormat="1" applyFont="1" applyFill="1"/>
    <xf numFmtId="0" fontId="108" fillId="0" borderId="0" xfId="0" quotePrefix="1" applyNumberFormat="1" applyFont="1" applyFill="1"/>
    <xf numFmtId="49" fontId="108" fillId="0" borderId="0" xfId="0" applyNumberFormat="1" applyFont="1" applyFill="1"/>
    <xf numFmtId="0" fontId="0" fillId="0" borderId="0" xfId="0" applyProtection="1"/>
    <xf numFmtId="0" fontId="15" fillId="0" borderId="0" xfId="0" applyFont="1" applyProtection="1"/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0" fillId="0" borderId="0" xfId="0" applyFill="1" applyBorder="1" applyProtection="1"/>
    <xf numFmtId="0" fontId="18" fillId="0" borderId="6" xfId="0" applyFont="1" applyFill="1" applyBorder="1" applyAlignment="1">
      <alignment horizontal="center" vertical="center"/>
    </xf>
    <xf numFmtId="43" fontId="30" fillId="0" borderId="6" xfId="1" applyFont="1" applyFill="1" applyBorder="1" applyAlignment="1">
      <alignment horizontal="center" vertical="center"/>
    </xf>
    <xf numFmtId="43" fontId="30" fillId="0" borderId="6" xfId="1" applyFont="1" applyFill="1" applyBorder="1" applyAlignment="1">
      <alignment horizontal="center" vertical="center" wrapText="1"/>
    </xf>
    <xf numFmtId="43" fontId="30" fillId="0" borderId="6" xfId="1" applyNumberFormat="1" applyFont="1" applyFill="1" applyBorder="1" applyAlignment="1">
      <alignment horizontal="center" vertical="center" wrapText="1"/>
    </xf>
    <xf numFmtId="43" fontId="98" fillId="0" borderId="6" xfId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43" fontId="16" fillId="0" borderId="6" xfId="1" applyFont="1" applyFill="1" applyBorder="1" applyAlignment="1">
      <alignment horizontal="center" vertical="center" wrapText="1"/>
    </xf>
    <xf numFmtId="165" fontId="16" fillId="0" borderId="6" xfId="1" applyNumberFormat="1" applyFont="1" applyFill="1" applyBorder="1" applyAlignment="1">
      <alignment horizontal="center" vertical="center"/>
    </xf>
    <xf numFmtId="38" fontId="16" fillId="0" borderId="6" xfId="0" applyNumberFormat="1" applyFont="1" applyFill="1" applyBorder="1" applyAlignment="1">
      <alignment horizontal="center" vertical="center"/>
    </xf>
    <xf numFmtId="43" fontId="99" fillId="0" borderId="0" xfId="1" applyFont="1" applyFill="1" applyBorder="1" applyAlignment="1">
      <alignment horizontal="center"/>
    </xf>
    <xf numFmtId="43" fontId="97" fillId="35" borderId="0" xfId="36" applyNumberFormat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2" fillId="23" borderId="0" xfId="34" applyFont="1" applyFill="1"/>
    <xf numFmtId="49" fontId="0" fillId="0" borderId="0" xfId="0" quotePrefix="1" applyNumberFormat="1" applyFill="1" applyBorder="1"/>
    <xf numFmtId="0" fontId="15" fillId="0" borderId="0" xfId="0" applyFont="1" applyAlignment="1">
      <alignment wrapText="1"/>
    </xf>
    <xf numFmtId="0" fontId="2" fillId="0" borderId="0" xfId="37"/>
    <xf numFmtId="0" fontId="66" fillId="0" borderId="0" xfId="37" applyFont="1" applyAlignment="1">
      <alignment horizontal="center"/>
    </xf>
    <xf numFmtId="0" fontId="65" fillId="9" borderId="0" xfId="6" applyBorder="1"/>
    <xf numFmtId="0" fontId="15" fillId="0" borderId="0" xfId="0" applyFont="1" applyBorder="1"/>
    <xf numFmtId="0" fontId="15" fillId="10" borderId="0" xfId="0" applyFont="1" applyFill="1" applyAlignment="1">
      <alignment wrapText="1"/>
    </xf>
    <xf numFmtId="49" fontId="29" fillId="0" borderId="0" xfId="1" applyNumberFormat="1" applyFont="1" applyFill="1" applyBorder="1"/>
    <xf numFmtId="0" fontId="16" fillId="36" borderId="6" xfId="0" applyFont="1" applyFill="1" applyBorder="1" applyAlignment="1">
      <alignment horizontal="center" vertical="center" wrapText="1"/>
    </xf>
    <xf numFmtId="0" fontId="0" fillId="37" borderId="0" xfId="0" applyFill="1" applyProtection="1"/>
    <xf numFmtId="49" fontId="15" fillId="0" borderId="0" xfId="0" quotePrefix="1" applyNumberFormat="1" applyFont="1" applyFill="1" applyBorder="1"/>
    <xf numFmtId="49" fontId="108" fillId="0" borderId="0" xfId="0" quotePrefix="1" applyNumberFormat="1" applyFont="1" applyFill="1"/>
    <xf numFmtId="0" fontId="35" fillId="0" borderId="0" xfId="0" applyFont="1" applyFill="1"/>
    <xf numFmtId="49" fontId="16" fillId="0" borderId="0" xfId="0" applyNumberFormat="1" applyFont="1" applyFill="1"/>
    <xf numFmtId="0" fontId="24" fillId="0" borderId="0" xfId="0" applyFont="1"/>
    <xf numFmtId="0" fontId="16" fillId="10" borderId="0" xfId="0" applyFont="1" applyFill="1"/>
    <xf numFmtId="0" fontId="82" fillId="0" borderId="0" xfId="0" applyFont="1" applyFill="1" applyAlignment="1">
      <alignment horizontal="center"/>
    </xf>
    <xf numFmtId="0" fontId="17" fillId="0" borderId="1" xfId="0" applyFont="1" applyBorder="1"/>
    <xf numFmtId="44" fontId="0" fillId="0" borderId="1" xfId="4" applyFont="1" applyBorder="1"/>
    <xf numFmtId="0" fontId="16" fillId="0" borderId="0" xfId="0" applyNumberFormat="1" applyFont="1" applyFill="1" applyAlignment="1">
      <alignment horizontal="center"/>
    </xf>
    <xf numFmtId="0" fontId="113" fillId="0" borderId="0" xfId="0" applyFont="1" applyAlignment="1">
      <alignment vertical="center"/>
    </xf>
    <xf numFmtId="0" fontId="114" fillId="38" borderId="0" xfId="0" applyFont="1" applyFill="1" applyAlignment="1">
      <alignment horizontal="left" vertical="center" indent="4"/>
    </xf>
    <xf numFmtId="165" fontId="15" fillId="0" borderId="0" xfId="10" applyNumberFormat="1" applyFont="1"/>
    <xf numFmtId="0" fontId="0" fillId="0" borderId="0" xfId="0" applyNumberFormat="1" applyFont="1"/>
    <xf numFmtId="10" fontId="115" fillId="0" borderId="0" xfId="10" applyNumberFormat="1" applyFont="1"/>
    <xf numFmtId="44" fontId="115" fillId="0" borderId="0" xfId="0" applyNumberFormat="1" applyFont="1" applyFill="1"/>
    <xf numFmtId="0" fontId="1" fillId="0" borderId="0" xfId="37" applyFont="1"/>
    <xf numFmtId="172" fontId="0" fillId="0" borderId="0" xfId="10" applyNumberFormat="1" applyFont="1"/>
    <xf numFmtId="167" fontId="16" fillId="0" borderId="0" xfId="4" applyNumberFormat="1" applyFont="1" applyAlignment="1">
      <alignment horizontal="center"/>
    </xf>
    <xf numFmtId="0" fontId="0" fillId="10" borderId="0" xfId="0" applyFill="1" applyProtection="1"/>
    <xf numFmtId="43" fontId="29" fillId="10" borderId="0" xfId="0" quotePrefix="1" applyNumberFormat="1" applyFont="1" applyFill="1"/>
    <xf numFmtId="165" fontId="0" fillId="10" borderId="0" xfId="10" applyNumberFormat="1" applyFont="1" applyFill="1"/>
    <xf numFmtId="10" fontId="15" fillId="0" borderId="0" xfId="10" applyNumberFormat="1" applyFont="1"/>
    <xf numFmtId="165" fontId="0" fillId="0" borderId="0" xfId="10" applyNumberFormat="1" applyFont="1" applyFill="1"/>
    <xf numFmtId="44" fontId="0" fillId="0" borderId="0" xfId="0" applyNumberFormat="1" applyBorder="1"/>
    <xf numFmtId="165" fontId="29" fillId="0" borderId="0" xfId="1" applyNumberFormat="1" applyFont="1" applyFill="1" applyBorder="1" applyAlignment="1">
      <alignment horizontal="center"/>
    </xf>
    <xf numFmtId="0" fontId="0" fillId="0" borderId="0" xfId="0" quotePrefix="1" applyFont="1" applyBorder="1" applyAlignment="1">
      <alignment horizontal="left"/>
    </xf>
    <xf numFmtId="49" fontId="74" fillId="0" borderId="0" xfId="0" applyNumberFormat="1" applyFont="1" applyBorder="1"/>
    <xf numFmtId="49" fontId="74" fillId="0" borderId="0" xfId="0" quotePrefix="1" applyNumberFormat="1" applyFont="1" applyBorder="1"/>
    <xf numFmtId="0" fontId="0" fillId="0" borderId="0" xfId="0" quotePrefix="1" applyNumberFormat="1" applyFont="1" applyBorder="1"/>
    <xf numFmtId="0" fontId="0" fillId="0" borderId="0" xfId="0" applyBorder="1" applyAlignment="1">
      <alignment horizontal="left"/>
    </xf>
    <xf numFmtId="0" fontId="0" fillId="0" borderId="0" xfId="0" quotePrefix="1" applyFont="1" applyFill="1" applyBorder="1" applyAlignment="1">
      <alignment horizontal="left"/>
    </xf>
    <xf numFmtId="49" fontId="0" fillId="0" borderId="0" xfId="0" applyNumberFormat="1" applyBorder="1"/>
    <xf numFmtId="0" fontId="0" fillId="0" borderId="0" xfId="0" quotePrefix="1" applyBorder="1" applyAlignment="1">
      <alignment horizontal="left"/>
    </xf>
    <xf numFmtId="0" fontId="0" fillId="0" borderId="0" xfId="0" applyNumberFormat="1" applyFont="1" applyBorder="1"/>
    <xf numFmtId="0" fontId="0" fillId="0" borderId="0" xfId="0" applyFont="1" applyBorder="1"/>
    <xf numFmtId="0" fontId="116" fillId="0" borderId="0" xfId="0" applyFont="1" applyBorder="1" applyAlignment="1">
      <alignment horizontal="left"/>
    </xf>
    <xf numFmtId="0" fontId="116" fillId="0" borderId="0" xfId="0" applyFont="1" applyFill="1" applyBorder="1" applyAlignment="1">
      <alignment horizontal="left"/>
    </xf>
    <xf numFmtId="0" fontId="74" fillId="0" borderId="0" xfId="0" applyFont="1" applyBorder="1"/>
    <xf numFmtId="0" fontId="112" fillId="0" borderId="0" xfId="0" applyFont="1" applyBorder="1"/>
    <xf numFmtId="10" fontId="32" fillId="0" borderId="0" xfId="1" applyNumberFormat="1" applyFont="1" applyFill="1" applyBorder="1"/>
    <xf numFmtId="165" fontId="15" fillId="0" borderId="0" xfId="10" applyNumberFormat="1" applyFont="1" applyAlignment="1">
      <alignment horizontal="left"/>
    </xf>
    <xf numFmtId="0" fontId="15" fillId="0" borderId="0" xfId="0" applyFont="1" applyAlignment="1">
      <alignment horizontal="left"/>
    </xf>
    <xf numFmtId="165" fontId="15" fillId="0" borderId="0" xfId="1" applyNumberFormat="1" applyFont="1" applyAlignment="1">
      <alignment horizontal="left"/>
    </xf>
    <xf numFmtId="165" fontId="15" fillId="0" borderId="0" xfId="1" quotePrefix="1" applyNumberFormat="1" applyFont="1"/>
    <xf numFmtId="0" fontId="0" fillId="0" borderId="0" xfId="0" quotePrefix="1" applyProtection="1"/>
    <xf numFmtId="0" fontId="17" fillId="0" borderId="0" xfId="4" applyNumberFormat="1" applyFont="1" applyFill="1" applyBorder="1" applyAlignment="1">
      <alignment horizontal="center" vertical="top" wrapText="1"/>
    </xf>
    <xf numFmtId="0" fontId="74" fillId="0" borderId="0" xfId="0" quotePrefix="1" applyFont="1" applyAlignment="1">
      <alignment horizontal="left"/>
    </xf>
    <xf numFmtId="3" fontId="15" fillId="0" borderId="0" xfId="0" applyNumberFormat="1" applyFont="1" applyAlignment="1">
      <alignment horizontal="left"/>
    </xf>
    <xf numFmtId="0" fontId="0" fillId="0" borderId="0" xfId="0" quotePrefix="1" applyFont="1"/>
    <xf numFmtId="9" fontId="99" fillId="0" borderId="0" xfId="10" applyFont="1" applyFill="1" applyBorder="1"/>
    <xf numFmtId="0" fontId="17" fillId="39" borderId="0" xfId="0" applyFont="1" applyFill="1"/>
    <xf numFmtId="44" fontId="16" fillId="0" borderId="0" xfId="4" applyFont="1"/>
    <xf numFmtId="43" fontId="29" fillId="40" borderId="0" xfId="1" applyFont="1" applyFill="1" applyBorder="1"/>
    <xf numFmtId="14" fontId="83" fillId="0" borderId="0" xfId="0" applyNumberFormat="1" applyFont="1" applyAlignment="1">
      <alignment vertical="center" wrapText="1"/>
    </xf>
    <xf numFmtId="0" fontId="82" fillId="0" borderId="0" xfId="0" applyFont="1" applyAlignment="1">
      <alignment vertical="center" wrapText="1"/>
    </xf>
    <xf numFmtId="0" fontId="23" fillId="4" borderId="5" xfId="0" applyFont="1" applyFill="1" applyBorder="1"/>
    <xf numFmtId="0" fontId="23" fillId="4" borderId="4" xfId="0" applyFont="1" applyFill="1" applyBorder="1"/>
    <xf numFmtId="0" fontId="6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43" fontId="15" fillId="14" borderId="0" xfId="1" applyFont="1" applyFill="1" applyAlignment="1">
      <alignment horizontal="center" wrapText="1"/>
    </xf>
    <xf numFmtId="0" fontId="116" fillId="0" borderId="0" xfId="0" applyFont="1" applyAlignment="1">
      <alignment horizontal="left"/>
    </xf>
    <xf numFmtId="0" fontId="112" fillId="0" borderId="0" xfId="0" applyFont="1"/>
    <xf numFmtId="0" fontId="28" fillId="0" borderId="0" xfId="0" applyFont="1" applyAlignment="1">
      <alignment horizontal="right"/>
    </xf>
    <xf numFmtId="0" fontId="0" fillId="41" borderId="0" xfId="0" applyFill="1" applyAlignment="1">
      <alignment horizontal="left"/>
    </xf>
    <xf numFmtId="0" fontId="0" fillId="41" borderId="0" xfId="0" quotePrefix="1" applyFill="1" applyAlignment="1">
      <alignment horizontal="left"/>
    </xf>
    <xf numFmtId="0" fontId="0" fillId="41" borderId="0" xfId="0" applyFill="1"/>
    <xf numFmtId="0" fontId="117" fillId="0" borderId="0" xfId="0" applyFont="1" applyAlignment="1">
      <alignment vertical="center"/>
    </xf>
    <xf numFmtId="49" fontId="117" fillId="0" borderId="0" xfId="0" applyNumberFormat="1" applyFont="1" applyAlignment="1">
      <alignment horizontal="left" vertical="center"/>
    </xf>
    <xf numFmtId="165" fontId="0" fillId="0" borderId="0" xfId="1" applyNumberFormat="1" applyFont="1" applyFill="1" applyAlignment="1">
      <alignment horizontal="left" vertical="center"/>
    </xf>
    <xf numFmtId="43" fontId="30" fillId="8" borderId="5" xfId="1" applyFont="1" applyFill="1" applyBorder="1" applyAlignment="1">
      <alignment horizontal="center"/>
    </xf>
    <xf numFmtId="43" fontId="30" fillId="8" borderId="4" xfId="1" applyFont="1" applyFill="1" applyBorder="1" applyAlignment="1">
      <alignment horizontal="center"/>
    </xf>
    <xf numFmtId="43" fontId="30" fillId="6" borderId="16" xfId="1" applyFont="1" applyFill="1" applyBorder="1" applyAlignment="1">
      <alignment horizontal="center"/>
    </xf>
    <xf numFmtId="43" fontId="30" fillId="6" borderId="18" xfId="1" applyFont="1" applyFill="1" applyBorder="1" applyAlignment="1">
      <alignment horizontal="center"/>
    </xf>
    <xf numFmtId="43" fontId="30" fillId="5" borderId="2" xfId="1" applyFont="1" applyFill="1" applyBorder="1" applyAlignment="1">
      <alignment horizontal="center"/>
    </xf>
    <xf numFmtId="43" fontId="30" fillId="5" borderId="0" xfId="1" applyFont="1" applyFill="1" applyBorder="1" applyAlignment="1">
      <alignment horizontal="center"/>
    </xf>
    <xf numFmtId="43" fontId="97" fillId="34" borderId="0" xfId="35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43" fontId="30" fillId="8" borderId="8" xfId="1" applyFont="1" applyFill="1" applyBorder="1" applyAlignment="1">
      <alignment horizontal="center"/>
    </xf>
    <xf numFmtId="0" fontId="9" fillId="0" borderId="0" xfId="20" applyFont="1" applyBorder="1" applyAlignment="1">
      <alignment horizontal="right" vertical="center" wrapText="1"/>
    </xf>
    <xf numFmtId="0" fontId="9" fillId="0" borderId="15" xfId="20" applyFont="1" applyBorder="1" applyAlignment="1">
      <alignment horizontal="right" vertical="center" wrapText="1"/>
    </xf>
    <xf numFmtId="39" fontId="0" fillId="0" borderId="0" xfId="0" applyNumberFormat="1" applyAlignment="1">
      <alignment horizontal="center" wrapText="1"/>
    </xf>
    <xf numFmtId="39" fontId="17" fillId="0" borderId="0" xfId="0" applyNumberFormat="1" applyFont="1" applyAlignment="1">
      <alignment horizontal="center" wrapText="1"/>
    </xf>
    <xf numFmtId="39" fontId="94" fillId="24" borderId="0" xfId="0" applyNumberFormat="1" applyFont="1" applyFill="1" applyAlignment="1">
      <alignment horizontal="center" vertical="center" wrapText="1"/>
    </xf>
    <xf numFmtId="0" fontId="94" fillId="24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4" borderId="4" xfId="0" applyFont="1" applyFill="1" applyBorder="1" applyAlignment="1">
      <alignment horizontal="center"/>
    </xf>
    <xf numFmtId="0" fontId="23" fillId="4" borderId="8" xfId="0" applyFont="1" applyFill="1" applyBorder="1" applyAlignment="1">
      <alignment horizontal="center"/>
    </xf>
    <xf numFmtId="0" fontId="0" fillId="23" borderId="5" xfId="0" applyFill="1" applyBorder="1" applyAlignment="1">
      <alignment horizontal="center" wrapText="1"/>
    </xf>
    <xf numFmtId="0" fontId="0" fillId="23" borderId="4" xfId="0" applyFill="1" applyBorder="1" applyAlignment="1">
      <alignment horizontal="center" wrapText="1"/>
    </xf>
    <xf numFmtId="0" fontId="0" fillId="23" borderId="8" xfId="0" applyFill="1" applyBorder="1" applyAlignment="1">
      <alignment horizontal="center" wrapText="1"/>
    </xf>
    <xf numFmtId="39" fontId="59" fillId="0" borderId="0" xfId="11" applyAlignment="1">
      <alignment horizontal="center" vertical="center" textRotation="90"/>
    </xf>
    <xf numFmtId="44" fontId="66" fillId="15" borderId="0" xfId="5" applyFont="1" applyFill="1" applyAlignment="1">
      <alignment horizontal="center" wrapText="1"/>
    </xf>
    <xf numFmtId="0" fontId="84" fillId="15" borderId="0" xfId="7" applyFont="1" applyFill="1" applyAlignment="1">
      <alignment horizontal="center"/>
    </xf>
    <xf numFmtId="168" fontId="66" fillId="0" borderId="0" xfId="7" applyNumberFormat="1" applyFont="1" applyAlignment="1">
      <alignment horizontal="center"/>
    </xf>
    <xf numFmtId="0" fontId="66" fillId="0" borderId="27" xfId="7" applyFont="1" applyBorder="1" applyAlignment="1">
      <alignment horizontal="center" vertical="center" wrapText="1"/>
    </xf>
    <xf numFmtId="0" fontId="66" fillId="0" borderId="28" xfId="7" applyFont="1" applyBorder="1" applyAlignment="1">
      <alignment horizontal="center" vertical="center" wrapText="1"/>
    </xf>
    <xf numFmtId="0" fontId="66" fillId="0" borderId="29" xfId="7" applyFont="1" applyBorder="1" applyAlignment="1">
      <alignment horizontal="center" vertical="center" wrapText="1"/>
    </xf>
    <xf numFmtId="0" fontId="66" fillId="0" borderId="30" xfId="7" applyFont="1" applyBorder="1" applyAlignment="1">
      <alignment horizontal="center" vertical="center" wrapText="1"/>
    </xf>
    <xf numFmtId="0" fontId="66" fillId="0" borderId="0" xfId="7" applyFont="1" applyBorder="1" applyAlignment="1">
      <alignment horizontal="center" vertical="center" wrapText="1"/>
    </xf>
    <xf numFmtId="0" fontId="66" fillId="0" borderId="31" xfId="7" applyFont="1" applyBorder="1" applyAlignment="1">
      <alignment horizontal="center" vertical="center" wrapText="1"/>
    </xf>
    <xf numFmtId="0" fontId="66" fillId="0" borderId="32" xfId="7" applyFont="1" applyBorder="1" applyAlignment="1">
      <alignment horizontal="center" vertical="center" wrapText="1"/>
    </xf>
    <xf numFmtId="0" fontId="66" fillId="0" borderId="33" xfId="7" applyFont="1" applyBorder="1" applyAlignment="1">
      <alignment horizontal="center" vertical="center" wrapText="1"/>
    </xf>
    <xf numFmtId="0" fontId="66" fillId="0" borderId="34" xfId="7" applyFont="1" applyBorder="1" applyAlignment="1">
      <alignment horizontal="center" vertical="center" wrapText="1"/>
    </xf>
    <xf numFmtId="0" fontId="56" fillId="15" borderId="5" xfId="8" applyFont="1" applyFill="1" applyBorder="1" applyAlignment="1">
      <alignment horizontal="center" wrapText="1"/>
    </xf>
    <xf numFmtId="0" fontId="56" fillId="15" borderId="8" xfId="8" applyFont="1" applyFill="1" applyBorder="1" applyAlignment="1">
      <alignment horizontal="center" wrapText="1"/>
    </xf>
    <xf numFmtId="44" fontId="51" fillId="15" borderId="5" xfId="5" applyFont="1" applyFill="1" applyBorder="1" applyAlignment="1">
      <alignment horizontal="center" wrapText="1"/>
    </xf>
    <xf numFmtId="44" fontId="51" fillId="15" borderId="8" xfId="5" applyFont="1" applyFill="1" applyBorder="1" applyAlignment="1">
      <alignment horizontal="center" wrapText="1"/>
    </xf>
    <xf numFmtId="0" fontId="66" fillId="15" borderId="1" xfId="7" applyFont="1" applyFill="1" applyBorder="1" applyAlignment="1">
      <alignment horizontal="center"/>
    </xf>
    <xf numFmtId="0" fontId="51" fillId="15" borderId="16" xfId="8" applyFont="1" applyFill="1" applyBorder="1" applyAlignment="1">
      <alignment horizontal="center"/>
    </xf>
    <xf numFmtId="0" fontId="51" fillId="15" borderId="18" xfId="8" applyFont="1" applyFill="1" applyBorder="1" applyAlignment="1">
      <alignment horizontal="center"/>
    </xf>
    <xf numFmtId="0" fontId="51" fillId="15" borderId="3" xfId="8" applyFont="1" applyFill="1" applyBorder="1" applyAlignment="1">
      <alignment horizontal="center"/>
    </xf>
    <xf numFmtId="0" fontId="51" fillId="15" borderId="9" xfId="8" applyFont="1" applyFill="1" applyBorder="1" applyAlignment="1">
      <alignment horizontal="center"/>
    </xf>
    <xf numFmtId="0" fontId="66" fillId="15" borderId="5" xfId="7" applyFont="1" applyFill="1" applyBorder="1" applyAlignment="1">
      <alignment horizontal="center"/>
    </xf>
    <xf numFmtId="0" fontId="66" fillId="15" borderId="8" xfId="7" applyFont="1" applyFill="1" applyBorder="1" applyAlignment="1">
      <alignment horizontal="center"/>
    </xf>
    <xf numFmtId="0" fontId="72" fillId="0" borderId="6" xfId="7" applyFont="1" applyFill="1" applyBorder="1" applyAlignment="1">
      <alignment horizontal="center" wrapText="1"/>
    </xf>
    <xf numFmtId="0" fontId="72" fillId="0" borderId="5" xfId="7" applyFont="1" applyFill="1" applyBorder="1" applyAlignment="1">
      <alignment horizontal="center" wrapText="1"/>
    </xf>
    <xf numFmtId="0" fontId="72" fillId="0" borderId="4" xfId="7" applyFont="1" applyFill="1" applyBorder="1" applyAlignment="1">
      <alignment horizontal="center" wrapText="1"/>
    </xf>
    <xf numFmtId="0" fontId="85" fillId="15" borderId="6" xfId="0" applyFont="1" applyFill="1" applyBorder="1" applyAlignment="1">
      <alignment horizontal="center" wrapText="1"/>
    </xf>
    <xf numFmtId="0" fontId="85" fillId="15" borderId="16" xfId="0" applyFont="1" applyFill="1" applyBorder="1" applyAlignment="1">
      <alignment horizontal="center" wrapText="1"/>
    </xf>
    <xf numFmtId="0" fontId="85" fillId="15" borderId="18" xfId="0" applyFont="1" applyFill="1" applyBorder="1" applyAlignment="1">
      <alignment horizontal="center" wrapText="1"/>
    </xf>
  </cellXfs>
  <cellStyles count="45">
    <cellStyle name="Accent1" xfId="35" builtinId="29"/>
    <cellStyle name="Accent3" xfId="36" builtinId="37"/>
    <cellStyle name="Comma" xfId="1" builtinId="3"/>
    <cellStyle name="Comma 10" xfId="38" xr:uid="{00000000-0005-0000-0000-000003000000}"/>
    <cellStyle name="Comma 2" xfId="2" xr:uid="{00000000-0005-0000-0000-000004000000}"/>
    <cellStyle name="Comma 2 2" xfId="14" xr:uid="{00000000-0005-0000-0000-000005000000}"/>
    <cellStyle name="Comma 3" xfId="3" xr:uid="{00000000-0005-0000-0000-000006000000}"/>
    <cellStyle name="Comma 4" xfId="19" xr:uid="{00000000-0005-0000-0000-000007000000}"/>
    <cellStyle name="Comma 5" xfId="22" xr:uid="{00000000-0005-0000-0000-000008000000}"/>
    <cellStyle name="Comma 6" xfId="26" xr:uid="{00000000-0005-0000-0000-000009000000}"/>
    <cellStyle name="Comma 7" xfId="29" xr:uid="{00000000-0005-0000-0000-00000A000000}"/>
    <cellStyle name="Comma 8" xfId="30" xr:uid="{00000000-0005-0000-0000-00000B000000}"/>
    <cellStyle name="Comma 9" xfId="32" xr:uid="{00000000-0005-0000-0000-00000C000000}"/>
    <cellStyle name="Currency" xfId="4" builtinId="4"/>
    <cellStyle name="Currency 2" xfId="5" xr:uid="{00000000-0005-0000-0000-00000E000000}"/>
    <cellStyle name="Currency 3" xfId="13" xr:uid="{00000000-0005-0000-0000-00000F000000}"/>
    <cellStyle name="Currency 4" xfId="18" xr:uid="{00000000-0005-0000-0000-000010000000}"/>
    <cellStyle name="Currency 5" xfId="21" xr:uid="{00000000-0005-0000-0000-000011000000}"/>
    <cellStyle name="Currency 6" xfId="25" xr:uid="{00000000-0005-0000-0000-000012000000}"/>
    <cellStyle name="Currency 7" xfId="28" xr:uid="{00000000-0005-0000-0000-000013000000}"/>
    <cellStyle name="Good" xfId="6" builtinId="26"/>
    <cellStyle name="Normal" xfId="0" builtinId="0"/>
    <cellStyle name="Normal 10" xfId="27" xr:uid="{00000000-0005-0000-0000-000016000000}"/>
    <cellStyle name="Normal 11" xfId="31" xr:uid="{00000000-0005-0000-0000-000017000000}"/>
    <cellStyle name="Normal 12" xfId="34" xr:uid="{00000000-0005-0000-0000-000018000000}"/>
    <cellStyle name="Normal 13" xfId="37" xr:uid="{00000000-0005-0000-0000-000019000000}"/>
    <cellStyle name="Normal 2" xfId="7" xr:uid="{00000000-0005-0000-0000-00001A000000}"/>
    <cellStyle name="Normal 2 2" xfId="8" xr:uid="{00000000-0005-0000-0000-00001B000000}"/>
    <cellStyle name="Normal 2 2 2" xfId="42" xr:uid="{A7441651-02E2-469B-9C72-45EE9DA42ECF}"/>
    <cellStyle name="Normal 2 3" xfId="11" xr:uid="{00000000-0005-0000-0000-00001C000000}"/>
    <cellStyle name="Normal 2 4" xfId="39" xr:uid="{CEF74F00-7644-4E8E-9D2C-D9F1870023C7}"/>
    <cellStyle name="Normal 3" xfId="9" xr:uid="{00000000-0005-0000-0000-00001D000000}"/>
    <cellStyle name="Normal 3 2" xfId="43" xr:uid="{B0E95CA0-7195-4400-8FF9-5DC42AB7A3CC}"/>
    <cellStyle name="Normal 3 3" xfId="40" xr:uid="{C980B9C4-B4D8-4708-95DB-99CEEB960A75}"/>
    <cellStyle name="Normal 4" xfId="12" xr:uid="{00000000-0005-0000-0000-00001E000000}"/>
    <cellStyle name="Normal 4 2" xfId="44" xr:uid="{7578BDDC-589B-4BD8-8909-834E7B4ECA27}"/>
    <cellStyle name="Normal 4 3" xfId="41" xr:uid="{FEA59CE8-9D54-4E06-9CD0-BC7B0CE16EB3}"/>
    <cellStyle name="Normal 5" xfId="16" xr:uid="{00000000-0005-0000-0000-00001F000000}"/>
    <cellStyle name="Normal 6" xfId="17" xr:uid="{00000000-0005-0000-0000-000020000000}"/>
    <cellStyle name="Normal 7" xfId="20" xr:uid="{00000000-0005-0000-0000-000021000000}"/>
    <cellStyle name="Normal 8" xfId="23" xr:uid="{00000000-0005-0000-0000-000022000000}"/>
    <cellStyle name="Normal 9" xfId="24" xr:uid="{00000000-0005-0000-0000-000023000000}"/>
    <cellStyle name="Normal_Sheet1" xfId="15" xr:uid="{00000000-0005-0000-0000-000024000000}"/>
    <cellStyle name="Percent" xfId="10" builtinId="5"/>
    <cellStyle name="Percent 2" xfId="33" xr:uid="{00000000-0005-0000-0000-000026000000}"/>
  </cellStyles>
  <dxfs count="105">
    <dxf>
      <font>
        <color theme="0"/>
      </font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70C0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5" tint="-0.499984740745262"/>
      </font>
      <fill>
        <patternFill>
          <bgColor theme="9" tint="0.39994506668294322"/>
        </pattern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  <dxf>
      <font>
        <b/>
        <i val="0"/>
        <color theme="2"/>
      </font>
      <fill>
        <gradientFill degree="45">
          <stop position="0">
            <color rgb="FFFFDEAD"/>
          </stop>
          <stop position="0.5">
            <color rgb="FF191970"/>
          </stop>
          <stop position="1">
            <color rgb="FFFFDEAD"/>
          </stop>
        </gradientFill>
      </fill>
    </dxf>
  </dxfs>
  <tableStyles count="0" defaultTableStyle="TableStyleMedium9" defaultPivotStyle="PivotStyleLight16"/>
  <colors>
    <mruColors>
      <color rgb="FFFFFFFF"/>
      <color rgb="FF191970"/>
      <color rgb="FFFFDE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Apport/Federal%20Program%20Alloc/03-04/Final/Title%20I%202003-04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Apport/Federal%20Program%20Alloc/22-23/Title%20III%20Prelim/Data/Survey%20Responses%2022-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Apport/Federal%20Program%20Alloc/17-18/data/Title%20III%20LA16%20FLOW%20Nov2016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Webapps"/>
      <sheetName val="District"/>
      <sheetName val=" 2003-04 Actuals"/>
      <sheetName val="03-04 Populations"/>
      <sheetName val="2002-03 Alloc"/>
      <sheetName val="02-03 Populations"/>
      <sheetName val="sd99_WA_census"/>
      <sheetName val="Sheet1"/>
    </sheetNames>
    <sheetDataSet>
      <sheetData sheetId="0"/>
      <sheetData sheetId="1"/>
      <sheetData sheetId="2"/>
      <sheetData sheetId="3"/>
      <sheetData sheetId="4">
        <row r="13">
          <cell r="B13" t="str">
            <v xml:space="preserve">FORMULA COUNTS USED TO DETERMINE TITLE I, PART A ALLOCATIONS </v>
          </cell>
        </row>
        <row r="14">
          <cell r="H14" t="str">
            <v>Sec. 1124 (C)</v>
          </cell>
          <cell r="K14" t="str">
            <v>Sec. 1124</v>
          </cell>
          <cell r="L14" t="str">
            <v>Sec. 1124A</v>
          </cell>
          <cell r="M14" t="str">
            <v>Sec. 1125</v>
          </cell>
          <cell r="N14" t="str">
            <v>Sec. 1125(c)(2)</v>
          </cell>
          <cell r="O14" t="str">
            <v>Sec. 1125A</v>
          </cell>
        </row>
        <row r="15">
          <cell r="B15" t="str">
            <v>updated for 1999 census data available at February 2003</v>
          </cell>
          <cell r="M15" t="str">
            <v>{calculation}</v>
          </cell>
          <cell r="N15" t="str">
            <v>{calculation}</v>
          </cell>
          <cell r="O15" t="str">
            <v>{calculation}</v>
          </cell>
        </row>
        <row r="16">
          <cell r="B16" t="str">
            <v>This is a live sheet that will calculate the eligible populations</v>
          </cell>
        </row>
        <row r="17">
          <cell r="B17" t="str">
            <v>LOCAL EDUCATION AGENCY</v>
          </cell>
          <cell r="C17" t="str">
            <v>POVERTY 1999 Census</v>
          </cell>
          <cell r="D17" t="str">
            <v>NEG. (Final)</v>
          </cell>
          <cell r="E17" t="str">
            <v>DEL           (final)</v>
          </cell>
          <cell r="F17" t="str">
            <v>FOSTER (final)</v>
          </cell>
          <cell r="G17" t="str">
            <v>TANF (final)</v>
          </cell>
          <cell r="H17" t="str">
            <v>Total Formula Count</v>
          </cell>
          <cell r="I17" t="str">
            <v>5 - 17 Population 1999 Census</v>
          </cell>
          <cell r="J17" t="str">
            <v>Percent. Formula</v>
          </cell>
          <cell r="K17" t="str">
            <v>BASIC ELIGIBLES' =&gt; 10 AND &gt;=2%</v>
          </cell>
          <cell r="L17" t="str">
            <v>CONC. ELIGIBLES  (Eligible for basic and ( &gt;6500 or &gt; 15%)</v>
          </cell>
          <cell r="M17" t="str">
            <v>UNWEIGHTED TARGETED &amp; EFIG ELIGIBLES</v>
          </cell>
          <cell r="N17" t="str">
            <v>WEIGHTED COUNTS _ TARGETED</v>
          </cell>
          <cell r="O17" t="str">
            <v>WEIGHED COUNTS _ EFIG</v>
          </cell>
        </row>
        <row r="18">
          <cell r="O18" t="str">
            <v>(Same as Targeted)</v>
          </cell>
        </row>
        <row r="19">
          <cell r="B19" t="str">
            <v>Statewide</v>
          </cell>
          <cell r="C19">
            <v>126157</v>
          </cell>
          <cell r="D19">
            <v>0</v>
          </cell>
          <cell r="E19">
            <v>852</v>
          </cell>
          <cell r="F19">
            <v>7195</v>
          </cell>
          <cell r="G19">
            <v>652</v>
          </cell>
          <cell r="H19">
            <v>134856</v>
          </cell>
          <cell r="I19">
            <v>1119537</v>
          </cell>
          <cell r="J19">
            <v>0.12045693889527546</v>
          </cell>
          <cell r="K19">
            <v>134749</v>
          </cell>
          <cell r="L19">
            <v>71407</v>
          </cell>
          <cell r="M19">
            <v>129966</v>
          </cell>
          <cell r="N19">
            <v>175190.49692499996</v>
          </cell>
          <cell r="O19">
            <v>175190.49692499996</v>
          </cell>
        </row>
        <row r="20">
          <cell r="B20" t="str">
            <v>ABERDEEN</v>
          </cell>
          <cell r="C20">
            <v>741</v>
          </cell>
          <cell r="D20">
            <v>0</v>
          </cell>
          <cell r="F20">
            <v>29</v>
          </cell>
          <cell r="G20">
            <v>3</v>
          </cell>
          <cell r="H20">
            <v>773</v>
          </cell>
          <cell r="I20">
            <v>3893</v>
          </cell>
          <cell r="J20">
            <v>0.19856152067814026</v>
          </cell>
          <cell r="K20">
            <v>773</v>
          </cell>
          <cell r="L20">
            <v>773</v>
          </cell>
          <cell r="M20">
            <v>773</v>
          </cell>
          <cell r="N20">
            <v>897.85294999999996</v>
          </cell>
          <cell r="O20">
            <v>897.85294999999996</v>
          </cell>
        </row>
        <row r="21">
          <cell r="B21" t="str">
            <v>ADNA</v>
          </cell>
          <cell r="C21">
            <v>43</v>
          </cell>
          <cell r="D21">
            <v>0</v>
          </cell>
          <cell r="F21">
            <v>3</v>
          </cell>
          <cell r="G21">
            <v>0</v>
          </cell>
          <cell r="H21">
            <v>46</v>
          </cell>
          <cell r="I21">
            <v>635</v>
          </cell>
          <cell r="J21">
            <v>7.2440944881889763E-2</v>
          </cell>
          <cell r="K21">
            <v>46</v>
          </cell>
          <cell r="L21">
            <v>0</v>
          </cell>
          <cell r="M21">
            <v>46</v>
          </cell>
          <cell r="N21">
            <v>46</v>
          </cell>
          <cell r="O21">
            <v>46</v>
          </cell>
        </row>
        <row r="22">
          <cell r="B22" t="str">
            <v>ALMIRA</v>
          </cell>
          <cell r="C22">
            <v>30</v>
          </cell>
          <cell r="D22">
            <v>0</v>
          </cell>
          <cell r="F22">
            <v>0</v>
          </cell>
          <cell r="G22">
            <v>0</v>
          </cell>
          <cell r="H22">
            <v>30</v>
          </cell>
          <cell r="I22">
            <v>121</v>
          </cell>
          <cell r="J22">
            <v>0.24793388429752067</v>
          </cell>
          <cell r="K22">
            <v>30</v>
          </cell>
          <cell r="L22">
            <v>30</v>
          </cell>
          <cell r="M22">
            <v>30</v>
          </cell>
          <cell r="N22">
            <v>40.796324999999996</v>
          </cell>
          <cell r="O22">
            <v>40.796324999999996</v>
          </cell>
        </row>
        <row r="23">
          <cell r="B23" t="str">
            <v>ANACORTES</v>
          </cell>
          <cell r="C23">
            <v>225</v>
          </cell>
          <cell r="D23">
            <v>0</v>
          </cell>
          <cell r="F23">
            <v>53</v>
          </cell>
          <cell r="G23">
            <v>3</v>
          </cell>
          <cell r="H23">
            <v>281</v>
          </cell>
          <cell r="I23">
            <v>3293</v>
          </cell>
          <cell r="J23">
            <v>8.5332523534770721E-2</v>
          </cell>
          <cell r="K23">
            <v>281</v>
          </cell>
          <cell r="L23">
            <v>0</v>
          </cell>
          <cell r="M23">
            <v>281</v>
          </cell>
          <cell r="N23">
            <v>281</v>
          </cell>
          <cell r="O23">
            <v>281</v>
          </cell>
        </row>
        <row r="24">
          <cell r="B24" t="str">
            <v>ARLINGTON</v>
          </cell>
          <cell r="C24">
            <v>291</v>
          </cell>
          <cell r="D24">
            <v>0</v>
          </cell>
          <cell r="F24">
            <v>33</v>
          </cell>
          <cell r="G24">
            <v>0</v>
          </cell>
          <cell r="H24">
            <v>324</v>
          </cell>
          <cell r="I24">
            <v>5339</v>
          </cell>
          <cell r="J24">
            <v>6.0685521633264655E-2</v>
          </cell>
          <cell r="K24">
            <v>324</v>
          </cell>
          <cell r="L24">
            <v>0</v>
          </cell>
          <cell r="M24">
            <v>324</v>
          </cell>
          <cell r="N24">
            <v>324</v>
          </cell>
          <cell r="O24">
            <v>324</v>
          </cell>
        </row>
        <row r="25">
          <cell r="B25" t="str">
            <v>ASOTIN-ANATONE</v>
          </cell>
          <cell r="C25">
            <v>114</v>
          </cell>
          <cell r="D25">
            <v>0</v>
          </cell>
          <cell r="F25">
            <v>2</v>
          </cell>
          <cell r="G25">
            <v>0</v>
          </cell>
          <cell r="H25">
            <v>116</v>
          </cell>
          <cell r="I25">
            <v>593</v>
          </cell>
          <cell r="J25">
            <v>0.19561551433389546</v>
          </cell>
          <cell r="K25">
            <v>116</v>
          </cell>
          <cell r="L25">
            <v>116</v>
          </cell>
          <cell r="M25">
            <v>116</v>
          </cell>
          <cell r="N25">
            <v>133.70795000000001</v>
          </cell>
          <cell r="O25">
            <v>133.70795000000001</v>
          </cell>
        </row>
        <row r="26">
          <cell r="B26" t="str">
            <v>AUBURN</v>
          </cell>
          <cell r="C26">
            <v>1379</v>
          </cell>
          <cell r="D26">
            <v>0</v>
          </cell>
          <cell r="F26">
            <v>102</v>
          </cell>
          <cell r="G26">
            <v>34</v>
          </cell>
          <cell r="H26">
            <v>1515</v>
          </cell>
          <cell r="I26">
            <v>14060</v>
          </cell>
          <cell r="J26">
            <v>0.1077524893314367</v>
          </cell>
          <cell r="K26">
            <v>1515</v>
          </cell>
          <cell r="L26">
            <v>0</v>
          </cell>
          <cell r="M26">
            <v>1515</v>
          </cell>
          <cell r="N26">
            <v>1927</v>
          </cell>
          <cell r="O26">
            <v>1927</v>
          </cell>
        </row>
        <row r="27">
          <cell r="B27" t="str">
            <v>BAINBRIDGE ISLAND</v>
          </cell>
          <cell r="C27">
            <v>171</v>
          </cell>
          <cell r="D27">
            <v>0</v>
          </cell>
          <cell r="F27">
            <v>3</v>
          </cell>
          <cell r="G27">
            <v>0</v>
          </cell>
          <cell r="H27">
            <v>174</v>
          </cell>
          <cell r="I27">
            <v>4388</v>
          </cell>
          <cell r="J27">
            <v>3.965360072926162E-2</v>
          </cell>
          <cell r="K27">
            <v>174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BATTLE GROUND</v>
          </cell>
          <cell r="C28">
            <v>672</v>
          </cell>
          <cell r="D28">
            <v>0</v>
          </cell>
          <cell r="F28">
            <v>49</v>
          </cell>
          <cell r="G28">
            <v>3</v>
          </cell>
          <cell r="H28">
            <v>724</v>
          </cell>
          <cell r="I28">
            <v>11400</v>
          </cell>
          <cell r="J28">
            <v>6.3508771929824556E-2</v>
          </cell>
          <cell r="K28">
            <v>724</v>
          </cell>
          <cell r="L28">
            <v>0</v>
          </cell>
          <cell r="M28">
            <v>724</v>
          </cell>
          <cell r="N28">
            <v>740.5</v>
          </cell>
          <cell r="O28">
            <v>740.5</v>
          </cell>
        </row>
        <row r="29">
          <cell r="B29" t="str">
            <v>BELLEVUE</v>
          </cell>
          <cell r="C29">
            <v>993</v>
          </cell>
          <cell r="D29">
            <v>0</v>
          </cell>
          <cell r="F29">
            <v>35</v>
          </cell>
          <cell r="G29">
            <v>7</v>
          </cell>
          <cell r="H29">
            <v>1035</v>
          </cell>
          <cell r="I29">
            <v>17536</v>
          </cell>
          <cell r="J29">
            <v>5.9021441605839414E-2</v>
          </cell>
          <cell r="K29">
            <v>1035</v>
          </cell>
          <cell r="L29">
            <v>0</v>
          </cell>
          <cell r="M29">
            <v>1035</v>
          </cell>
          <cell r="N29">
            <v>1207</v>
          </cell>
          <cell r="O29">
            <v>1207</v>
          </cell>
        </row>
        <row r="30">
          <cell r="B30" t="str">
            <v>BELLINGHAM</v>
          </cell>
          <cell r="C30">
            <v>1501</v>
          </cell>
          <cell r="D30">
            <v>0</v>
          </cell>
          <cell r="F30">
            <v>55</v>
          </cell>
          <cell r="G30">
            <v>5</v>
          </cell>
          <cell r="H30">
            <v>1561</v>
          </cell>
          <cell r="I30">
            <v>11842</v>
          </cell>
          <cell r="J30">
            <v>0.13181894950177334</v>
          </cell>
          <cell r="K30">
            <v>1561</v>
          </cell>
          <cell r="L30">
            <v>0</v>
          </cell>
          <cell r="M30">
            <v>1561</v>
          </cell>
          <cell r="N30">
            <v>1996</v>
          </cell>
          <cell r="O30">
            <v>1996</v>
          </cell>
        </row>
        <row r="31">
          <cell r="B31" t="str">
            <v>BENGE</v>
          </cell>
          <cell r="C31">
            <v>3</v>
          </cell>
          <cell r="D31">
            <v>0</v>
          </cell>
          <cell r="F31">
            <v>0</v>
          </cell>
          <cell r="G31">
            <v>0</v>
          </cell>
          <cell r="H31">
            <v>3</v>
          </cell>
          <cell r="I31">
            <v>15</v>
          </cell>
          <cell r="J31">
            <v>0.2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BETHEL</v>
          </cell>
          <cell r="C32">
            <v>1819</v>
          </cell>
          <cell r="D32">
            <v>0</v>
          </cell>
          <cell r="F32">
            <v>173</v>
          </cell>
          <cell r="G32">
            <v>13</v>
          </cell>
          <cell r="H32">
            <v>2005</v>
          </cell>
          <cell r="I32">
            <v>18366</v>
          </cell>
          <cell r="J32">
            <v>0.1091691168463465</v>
          </cell>
          <cell r="K32">
            <v>2005</v>
          </cell>
          <cell r="L32">
            <v>0</v>
          </cell>
          <cell r="M32">
            <v>2005</v>
          </cell>
          <cell r="N32">
            <v>2662</v>
          </cell>
          <cell r="O32">
            <v>2662</v>
          </cell>
        </row>
        <row r="33">
          <cell r="B33" t="str">
            <v>BICKLETON</v>
          </cell>
          <cell r="C33">
            <v>9</v>
          </cell>
          <cell r="D33">
            <v>0</v>
          </cell>
          <cell r="F33">
            <v>0</v>
          </cell>
          <cell r="G33">
            <v>0</v>
          </cell>
          <cell r="H33">
            <v>9</v>
          </cell>
          <cell r="I33">
            <v>67</v>
          </cell>
          <cell r="J33">
            <v>0.13432835820895522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BLAINE</v>
          </cell>
          <cell r="C34">
            <v>250</v>
          </cell>
          <cell r="D34">
            <v>0</v>
          </cell>
          <cell r="F34">
            <v>6</v>
          </cell>
          <cell r="G34">
            <v>0</v>
          </cell>
          <cell r="H34">
            <v>256</v>
          </cell>
          <cell r="I34">
            <v>2048</v>
          </cell>
          <cell r="J34">
            <v>0.125</v>
          </cell>
          <cell r="K34">
            <v>256</v>
          </cell>
          <cell r="L34">
            <v>0</v>
          </cell>
          <cell r="M34">
            <v>256</v>
          </cell>
          <cell r="N34">
            <v>256</v>
          </cell>
          <cell r="O34">
            <v>256</v>
          </cell>
        </row>
        <row r="35">
          <cell r="B35" t="str">
            <v>BOISTFORT</v>
          </cell>
          <cell r="C35">
            <v>41</v>
          </cell>
          <cell r="D35">
            <v>0</v>
          </cell>
          <cell r="F35">
            <v>3</v>
          </cell>
          <cell r="G35">
            <v>0</v>
          </cell>
          <cell r="H35">
            <v>44</v>
          </cell>
          <cell r="I35">
            <v>208</v>
          </cell>
          <cell r="J35">
            <v>0.21153846153846154</v>
          </cell>
          <cell r="K35">
            <v>44</v>
          </cell>
          <cell r="L35">
            <v>44</v>
          </cell>
          <cell r="M35">
            <v>44</v>
          </cell>
          <cell r="N35">
            <v>52.6952</v>
          </cell>
          <cell r="O35">
            <v>52.6952</v>
          </cell>
        </row>
        <row r="36">
          <cell r="B36" t="str">
            <v>BREMERTON</v>
          </cell>
          <cell r="C36">
            <v>1501</v>
          </cell>
          <cell r="D36">
            <v>0</v>
          </cell>
          <cell r="F36">
            <v>74</v>
          </cell>
          <cell r="G36">
            <v>1</v>
          </cell>
          <cell r="H36">
            <v>1576</v>
          </cell>
          <cell r="I36">
            <v>7083</v>
          </cell>
          <cell r="J36">
            <v>0.22250458845122123</v>
          </cell>
          <cell r="K36">
            <v>1576</v>
          </cell>
          <cell r="L36">
            <v>1576</v>
          </cell>
          <cell r="M36">
            <v>1576</v>
          </cell>
          <cell r="N36">
            <v>2018.5</v>
          </cell>
          <cell r="O36">
            <v>2018.5</v>
          </cell>
        </row>
        <row r="37">
          <cell r="B37" t="str">
            <v>BREWSTER</v>
          </cell>
          <cell r="C37">
            <v>345</v>
          </cell>
          <cell r="D37">
            <v>0</v>
          </cell>
          <cell r="F37">
            <v>4</v>
          </cell>
          <cell r="G37">
            <v>0</v>
          </cell>
          <cell r="H37">
            <v>349</v>
          </cell>
          <cell r="I37">
            <v>1100</v>
          </cell>
          <cell r="J37">
            <v>0.31727272727272726</v>
          </cell>
          <cell r="K37">
            <v>349</v>
          </cell>
          <cell r="L37">
            <v>349</v>
          </cell>
          <cell r="M37">
            <v>349</v>
          </cell>
          <cell r="N37">
            <v>574.48749999999995</v>
          </cell>
          <cell r="O37">
            <v>574.48749999999995</v>
          </cell>
        </row>
        <row r="38">
          <cell r="B38" t="str">
            <v>BRIDGEPORT</v>
          </cell>
          <cell r="C38">
            <v>218</v>
          </cell>
          <cell r="D38">
            <v>0</v>
          </cell>
          <cell r="F38">
            <v>0</v>
          </cell>
          <cell r="G38">
            <v>0</v>
          </cell>
          <cell r="H38">
            <v>218</v>
          </cell>
          <cell r="I38">
            <v>705</v>
          </cell>
          <cell r="J38">
            <v>0.30921985815602837</v>
          </cell>
          <cell r="K38">
            <v>218</v>
          </cell>
          <cell r="L38">
            <v>218</v>
          </cell>
          <cell r="M38">
            <v>218</v>
          </cell>
          <cell r="N38">
            <v>349.74312500000002</v>
          </cell>
          <cell r="O38">
            <v>349.74312500000002</v>
          </cell>
        </row>
        <row r="39">
          <cell r="B39" t="str">
            <v>BRINNON</v>
          </cell>
          <cell r="C39">
            <v>25</v>
          </cell>
          <cell r="D39">
            <v>0</v>
          </cell>
          <cell r="F39">
            <v>0</v>
          </cell>
          <cell r="G39">
            <v>0</v>
          </cell>
          <cell r="H39">
            <v>25</v>
          </cell>
          <cell r="I39">
            <v>156</v>
          </cell>
          <cell r="J39">
            <v>0.16025641025641027</v>
          </cell>
          <cell r="K39">
            <v>25</v>
          </cell>
          <cell r="L39">
            <v>25</v>
          </cell>
          <cell r="M39">
            <v>25</v>
          </cell>
          <cell r="N39">
            <v>25.5214</v>
          </cell>
          <cell r="O39">
            <v>25.5214</v>
          </cell>
        </row>
        <row r="40">
          <cell r="B40" t="str">
            <v>BURLINGTON-EDISON</v>
          </cell>
          <cell r="C40">
            <v>336</v>
          </cell>
          <cell r="D40">
            <v>0</v>
          </cell>
          <cell r="F40">
            <v>18</v>
          </cell>
          <cell r="G40">
            <v>12</v>
          </cell>
          <cell r="H40">
            <v>366</v>
          </cell>
          <cell r="I40">
            <v>3629</v>
          </cell>
          <cell r="J40">
            <v>0.10085422981537613</v>
          </cell>
          <cell r="K40">
            <v>366</v>
          </cell>
          <cell r="L40">
            <v>0</v>
          </cell>
          <cell r="M40">
            <v>366</v>
          </cell>
          <cell r="N40">
            <v>366</v>
          </cell>
          <cell r="O40">
            <v>366</v>
          </cell>
        </row>
        <row r="41">
          <cell r="B41" t="str">
            <v>CAMAS</v>
          </cell>
          <cell r="C41">
            <v>236</v>
          </cell>
          <cell r="D41">
            <v>0</v>
          </cell>
          <cell r="F41">
            <v>25</v>
          </cell>
          <cell r="G41">
            <v>3</v>
          </cell>
          <cell r="H41">
            <v>264</v>
          </cell>
          <cell r="I41">
            <v>4098</v>
          </cell>
          <cell r="J41">
            <v>6.4421669106881407E-2</v>
          </cell>
          <cell r="K41">
            <v>264</v>
          </cell>
          <cell r="L41">
            <v>0</v>
          </cell>
          <cell r="M41">
            <v>264</v>
          </cell>
          <cell r="N41">
            <v>264</v>
          </cell>
          <cell r="O41">
            <v>264</v>
          </cell>
        </row>
        <row r="42">
          <cell r="B42" t="str">
            <v>CAPE FLATTERY</v>
          </cell>
          <cell r="C42">
            <v>175</v>
          </cell>
          <cell r="D42">
            <v>0</v>
          </cell>
          <cell r="F42">
            <v>8</v>
          </cell>
          <cell r="G42">
            <v>0</v>
          </cell>
          <cell r="H42">
            <v>183</v>
          </cell>
          <cell r="I42">
            <v>664</v>
          </cell>
          <cell r="J42">
            <v>0.2756024096385542</v>
          </cell>
          <cell r="K42">
            <v>183</v>
          </cell>
          <cell r="L42">
            <v>183</v>
          </cell>
          <cell r="M42">
            <v>183</v>
          </cell>
          <cell r="N42">
            <v>269.80379999999997</v>
          </cell>
          <cell r="O42">
            <v>269.80379999999997</v>
          </cell>
        </row>
        <row r="43">
          <cell r="B43" t="str">
            <v>CARBONADO</v>
          </cell>
          <cell r="C43">
            <v>2</v>
          </cell>
          <cell r="D43">
            <v>0</v>
          </cell>
          <cell r="F43">
            <v>1</v>
          </cell>
          <cell r="G43">
            <v>0</v>
          </cell>
          <cell r="H43">
            <v>3</v>
          </cell>
          <cell r="I43">
            <v>205</v>
          </cell>
          <cell r="J43">
            <v>1.4634146341463415E-2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CASCADE</v>
          </cell>
          <cell r="C44">
            <v>97</v>
          </cell>
          <cell r="D44">
            <v>0</v>
          </cell>
          <cell r="F44">
            <v>3</v>
          </cell>
          <cell r="G44">
            <v>0</v>
          </cell>
          <cell r="H44">
            <v>100</v>
          </cell>
          <cell r="I44">
            <v>1851</v>
          </cell>
          <cell r="J44">
            <v>5.4024851431658562E-2</v>
          </cell>
          <cell r="K44">
            <v>100</v>
          </cell>
          <cell r="L44">
            <v>0</v>
          </cell>
          <cell r="M44">
            <v>100</v>
          </cell>
          <cell r="N44">
            <v>100</v>
          </cell>
          <cell r="O44">
            <v>100</v>
          </cell>
        </row>
        <row r="45">
          <cell r="B45" t="str">
            <v>CASHMERE</v>
          </cell>
          <cell r="C45">
            <v>146</v>
          </cell>
          <cell r="D45">
            <v>0</v>
          </cell>
          <cell r="F45">
            <v>4</v>
          </cell>
          <cell r="G45">
            <v>0</v>
          </cell>
          <cell r="H45">
            <v>150</v>
          </cell>
          <cell r="I45">
            <v>1677</v>
          </cell>
          <cell r="J45">
            <v>8.9445438282647588E-2</v>
          </cell>
          <cell r="K45">
            <v>150</v>
          </cell>
          <cell r="L45">
            <v>0</v>
          </cell>
          <cell r="M45">
            <v>150</v>
          </cell>
          <cell r="N45">
            <v>150</v>
          </cell>
          <cell r="O45">
            <v>150</v>
          </cell>
        </row>
        <row r="46">
          <cell r="B46" t="str">
            <v>CASTLE ROCK</v>
          </cell>
          <cell r="C46">
            <v>145</v>
          </cell>
          <cell r="D46">
            <v>0</v>
          </cell>
          <cell r="F46">
            <v>16</v>
          </cell>
          <cell r="G46">
            <v>0</v>
          </cell>
          <cell r="H46">
            <v>161</v>
          </cell>
          <cell r="I46">
            <v>1482</v>
          </cell>
          <cell r="J46">
            <v>0.10863697705802969</v>
          </cell>
          <cell r="K46">
            <v>161</v>
          </cell>
          <cell r="L46">
            <v>0</v>
          </cell>
          <cell r="M46">
            <v>161</v>
          </cell>
          <cell r="N46">
            <v>161</v>
          </cell>
          <cell r="O46">
            <v>161</v>
          </cell>
        </row>
        <row r="47">
          <cell r="B47" t="str">
            <v>CENTERVILLE</v>
          </cell>
          <cell r="C47">
            <v>30</v>
          </cell>
          <cell r="D47">
            <v>0</v>
          </cell>
          <cell r="F47">
            <v>0</v>
          </cell>
          <cell r="G47">
            <v>0</v>
          </cell>
          <cell r="H47">
            <v>30</v>
          </cell>
          <cell r="I47">
            <v>116</v>
          </cell>
          <cell r="J47">
            <v>0.25862068965517243</v>
          </cell>
          <cell r="K47">
            <v>30</v>
          </cell>
          <cell r="L47">
            <v>30</v>
          </cell>
          <cell r="M47">
            <v>30</v>
          </cell>
          <cell r="N47">
            <v>42.209699999999998</v>
          </cell>
          <cell r="O47">
            <v>42.209699999999998</v>
          </cell>
        </row>
        <row r="48">
          <cell r="B48" t="str">
            <v>CENTRAL KITSAP</v>
          </cell>
          <cell r="C48">
            <v>1084</v>
          </cell>
          <cell r="D48">
            <v>0</v>
          </cell>
          <cell r="F48">
            <v>101</v>
          </cell>
          <cell r="G48">
            <v>1</v>
          </cell>
          <cell r="H48">
            <v>1186</v>
          </cell>
          <cell r="I48">
            <v>14047</v>
          </cell>
          <cell r="J48">
            <v>8.4430839325122797E-2</v>
          </cell>
          <cell r="K48">
            <v>1186</v>
          </cell>
          <cell r="L48">
            <v>0</v>
          </cell>
          <cell r="M48">
            <v>1186</v>
          </cell>
          <cell r="N48">
            <v>1433.5</v>
          </cell>
          <cell r="O48">
            <v>1433.5</v>
          </cell>
        </row>
        <row r="49">
          <cell r="B49" t="str">
            <v>CENTRAL VALLEY</v>
          </cell>
          <cell r="C49">
            <v>877</v>
          </cell>
          <cell r="D49">
            <v>0</v>
          </cell>
          <cell r="F49">
            <v>80</v>
          </cell>
          <cell r="G49">
            <v>7</v>
          </cell>
          <cell r="H49">
            <v>964</v>
          </cell>
          <cell r="I49">
            <v>12977</v>
          </cell>
          <cell r="J49">
            <v>7.4285273946212524E-2</v>
          </cell>
          <cell r="K49">
            <v>964</v>
          </cell>
          <cell r="L49">
            <v>0</v>
          </cell>
          <cell r="M49">
            <v>964</v>
          </cell>
          <cell r="N49">
            <v>1100.5</v>
          </cell>
          <cell r="O49">
            <v>1100.5</v>
          </cell>
        </row>
        <row r="50">
          <cell r="B50" t="str">
            <v>CENTRALIA</v>
          </cell>
          <cell r="C50">
            <v>699</v>
          </cell>
          <cell r="D50">
            <v>0</v>
          </cell>
          <cell r="F50">
            <v>43</v>
          </cell>
          <cell r="G50">
            <v>1</v>
          </cell>
          <cell r="H50">
            <v>743</v>
          </cell>
          <cell r="I50">
            <v>3824</v>
          </cell>
          <cell r="J50">
            <v>0.19429916317991633</v>
          </cell>
          <cell r="K50">
            <v>743</v>
          </cell>
          <cell r="L50">
            <v>743</v>
          </cell>
          <cell r="M50">
            <v>743</v>
          </cell>
          <cell r="N50">
            <v>853.41560000000004</v>
          </cell>
          <cell r="O50">
            <v>853.41560000000004</v>
          </cell>
        </row>
        <row r="51">
          <cell r="B51" t="str">
            <v>CHEHALIS</v>
          </cell>
          <cell r="C51">
            <v>321</v>
          </cell>
          <cell r="D51">
            <v>0</v>
          </cell>
          <cell r="F51">
            <v>14</v>
          </cell>
          <cell r="G51">
            <v>0</v>
          </cell>
          <cell r="H51">
            <v>335</v>
          </cell>
          <cell r="I51">
            <v>2695</v>
          </cell>
          <cell r="J51">
            <v>0.12430426716141002</v>
          </cell>
          <cell r="K51">
            <v>335</v>
          </cell>
          <cell r="L51">
            <v>0</v>
          </cell>
          <cell r="M51">
            <v>335</v>
          </cell>
          <cell r="N51">
            <v>335</v>
          </cell>
          <cell r="O51">
            <v>335</v>
          </cell>
        </row>
        <row r="52">
          <cell r="B52" t="str">
            <v>CHENEY</v>
          </cell>
          <cell r="C52">
            <v>583</v>
          </cell>
          <cell r="D52">
            <v>0</v>
          </cell>
          <cell r="F52">
            <v>44</v>
          </cell>
          <cell r="G52">
            <v>4</v>
          </cell>
          <cell r="H52">
            <v>631</v>
          </cell>
          <cell r="I52">
            <v>4042</v>
          </cell>
          <cell r="J52">
            <v>0.15611083621969321</v>
          </cell>
          <cell r="K52">
            <v>631</v>
          </cell>
          <cell r="L52">
            <v>631</v>
          </cell>
          <cell r="M52">
            <v>631</v>
          </cell>
          <cell r="N52">
            <v>631.94229999999993</v>
          </cell>
          <cell r="O52">
            <v>631.94229999999993</v>
          </cell>
        </row>
        <row r="53">
          <cell r="B53" t="str">
            <v>CHEWELAH</v>
          </cell>
          <cell r="C53">
            <v>223</v>
          </cell>
          <cell r="D53">
            <v>0</v>
          </cell>
          <cell r="F53">
            <v>8</v>
          </cell>
          <cell r="G53">
            <v>0</v>
          </cell>
          <cell r="H53">
            <v>231</v>
          </cell>
          <cell r="I53">
            <v>1214</v>
          </cell>
          <cell r="J53">
            <v>0.19028006589785831</v>
          </cell>
          <cell r="K53">
            <v>231</v>
          </cell>
          <cell r="L53">
            <v>231</v>
          </cell>
          <cell r="M53">
            <v>231</v>
          </cell>
          <cell r="N53">
            <v>262.39409999999998</v>
          </cell>
          <cell r="O53">
            <v>262.39409999999998</v>
          </cell>
        </row>
        <row r="54">
          <cell r="B54" t="str">
            <v>CHIMACUM</v>
          </cell>
          <cell r="C54">
            <v>180</v>
          </cell>
          <cell r="D54">
            <v>0</v>
          </cell>
          <cell r="F54">
            <v>4</v>
          </cell>
          <cell r="G54">
            <v>0</v>
          </cell>
          <cell r="H54">
            <v>184</v>
          </cell>
          <cell r="I54">
            <v>1514</v>
          </cell>
          <cell r="J54">
            <v>0.12153236459709379</v>
          </cell>
          <cell r="K54">
            <v>184</v>
          </cell>
          <cell r="L54">
            <v>0</v>
          </cell>
          <cell r="M54">
            <v>184</v>
          </cell>
          <cell r="N54">
            <v>184</v>
          </cell>
          <cell r="O54">
            <v>184</v>
          </cell>
        </row>
        <row r="55">
          <cell r="B55" t="str">
            <v>CLARKSTON</v>
          </cell>
          <cell r="C55">
            <v>610</v>
          </cell>
          <cell r="D55">
            <v>0</v>
          </cell>
          <cell r="F55">
            <v>21</v>
          </cell>
          <cell r="G55">
            <v>0</v>
          </cell>
          <cell r="H55">
            <v>631</v>
          </cell>
          <cell r="I55">
            <v>3256</v>
          </cell>
          <cell r="J55">
            <v>0.19379606879606878</v>
          </cell>
          <cell r="K55">
            <v>631</v>
          </cell>
          <cell r="L55">
            <v>631</v>
          </cell>
          <cell r="M55">
            <v>631</v>
          </cell>
          <cell r="N55">
            <v>723.78639999999996</v>
          </cell>
          <cell r="O55">
            <v>723.78639999999996</v>
          </cell>
        </row>
        <row r="56">
          <cell r="B56" t="str">
            <v>CLE ELUM-ROSLYN</v>
          </cell>
          <cell r="C56">
            <v>103</v>
          </cell>
          <cell r="D56">
            <v>0</v>
          </cell>
          <cell r="F56">
            <v>12</v>
          </cell>
          <cell r="G56">
            <v>0</v>
          </cell>
          <cell r="H56">
            <v>115</v>
          </cell>
          <cell r="I56">
            <v>1106</v>
          </cell>
          <cell r="J56">
            <v>0.10397830018083183</v>
          </cell>
          <cell r="K56">
            <v>115</v>
          </cell>
          <cell r="L56">
            <v>0</v>
          </cell>
          <cell r="M56">
            <v>115</v>
          </cell>
          <cell r="N56">
            <v>115</v>
          </cell>
          <cell r="O56">
            <v>115</v>
          </cell>
        </row>
        <row r="57">
          <cell r="B57" t="str">
            <v>CLOVER PARK</v>
          </cell>
          <cell r="C57">
            <v>2312</v>
          </cell>
          <cell r="D57">
            <v>0</v>
          </cell>
          <cell r="F57">
            <v>81</v>
          </cell>
          <cell r="G57">
            <v>29</v>
          </cell>
          <cell r="H57">
            <v>2422</v>
          </cell>
          <cell r="I57">
            <v>14866</v>
          </cell>
          <cell r="J57">
            <v>0.16292210413023006</v>
          </cell>
          <cell r="K57">
            <v>2422</v>
          </cell>
          <cell r="L57">
            <v>2422</v>
          </cell>
          <cell r="M57">
            <v>2422</v>
          </cell>
          <cell r="N57">
            <v>3367.5</v>
          </cell>
          <cell r="O57">
            <v>3367.5</v>
          </cell>
        </row>
        <row r="58">
          <cell r="B58" t="str">
            <v>COLFAX</v>
          </cell>
          <cell r="C58">
            <v>53</v>
          </cell>
          <cell r="D58">
            <v>0</v>
          </cell>
          <cell r="F58">
            <v>2</v>
          </cell>
          <cell r="G58">
            <v>0</v>
          </cell>
          <cell r="H58">
            <v>55</v>
          </cell>
          <cell r="I58">
            <v>787</v>
          </cell>
          <cell r="J58">
            <v>6.9885641677255403E-2</v>
          </cell>
          <cell r="K58">
            <v>55</v>
          </cell>
          <cell r="L58">
            <v>0</v>
          </cell>
          <cell r="M58">
            <v>55</v>
          </cell>
          <cell r="N58">
            <v>55</v>
          </cell>
          <cell r="O58">
            <v>55</v>
          </cell>
        </row>
        <row r="59">
          <cell r="B59" t="str">
            <v>COLLEGE PLACE</v>
          </cell>
          <cell r="C59">
            <v>201</v>
          </cell>
          <cell r="D59">
            <v>0</v>
          </cell>
          <cell r="F59">
            <v>22</v>
          </cell>
          <cell r="G59">
            <v>0</v>
          </cell>
          <cell r="H59">
            <v>223</v>
          </cell>
          <cell r="I59">
            <v>1823</v>
          </cell>
          <cell r="J59">
            <v>0.12232583653318706</v>
          </cell>
          <cell r="K59">
            <v>223</v>
          </cell>
          <cell r="L59">
            <v>0</v>
          </cell>
          <cell r="M59">
            <v>223</v>
          </cell>
          <cell r="N59">
            <v>223</v>
          </cell>
          <cell r="O59">
            <v>223</v>
          </cell>
        </row>
        <row r="60">
          <cell r="B60" t="str">
            <v>COLTON</v>
          </cell>
          <cell r="C60">
            <v>12</v>
          </cell>
          <cell r="D60">
            <v>0</v>
          </cell>
          <cell r="F60">
            <v>0</v>
          </cell>
          <cell r="G60">
            <v>0</v>
          </cell>
          <cell r="H60">
            <v>12</v>
          </cell>
          <cell r="I60">
            <v>254</v>
          </cell>
          <cell r="J60">
            <v>4.7244094488188976E-2</v>
          </cell>
          <cell r="K60">
            <v>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COLUMBIA (STEV)</v>
          </cell>
          <cell r="C61">
            <v>75</v>
          </cell>
          <cell r="D61">
            <v>0</v>
          </cell>
          <cell r="F61">
            <v>9</v>
          </cell>
          <cell r="G61">
            <v>0</v>
          </cell>
          <cell r="H61">
            <v>84</v>
          </cell>
          <cell r="I61">
            <v>248</v>
          </cell>
          <cell r="J61">
            <v>0.33870967741935482</v>
          </cell>
          <cell r="K61">
            <v>84</v>
          </cell>
          <cell r="L61">
            <v>84</v>
          </cell>
          <cell r="M61">
            <v>84</v>
          </cell>
          <cell r="N61">
            <v>146.79900000000004</v>
          </cell>
          <cell r="O61">
            <v>146.79900000000004</v>
          </cell>
        </row>
        <row r="62">
          <cell r="B62" t="str">
            <v>COLUMBIA (WALLA)</v>
          </cell>
          <cell r="C62">
            <v>110</v>
          </cell>
          <cell r="D62">
            <v>0</v>
          </cell>
          <cell r="F62">
            <v>7</v>
          </cell>
          <cell r="G62">
            <v>1</v>
          </cell>
          <cell r="H62">
            <v>118</v>
          </cell>
          <cell r="I62">
            <v>946</v>
          </cell>
          <cell r="J62">
            <v>0.12473572938689217</v>
          </cell>
          <cell r="K62">
            <v>118</v>
          </cell>
          <cell r="L62">
            <v>0</v>
          </cell>
          <cell r="M62">
            <v>118</v>
          </cell>
          <cell r="N62">
            <v>118</v>
          </cell>
          <cell r="O62">
            <v>118</v>
          </cell>
        </row>
        <row r="63">
          <cell r="B63" t="str">
            <v>COLVILLE</v>
          </cell>
          <cell r="C63">
            <v>347</v>
          </cell>
          <cell r="D63">
            <v>0</v>
          </cell>
          <cell r="F63">
            <v>18</v>
          </cell>
          <cell r="G63">
            <v>0</v>
          </cell>
          <cell r="H63">
            <v>365</v>
          </cell>
          <cell r="I63">
            <v>2493</v>
          </cell>
          <cell r="J63">
            <v>0.14640994785399117</v>
          </cell>
          <cell r="K63">
            <v>365</v>
          </cell>
          <cell r="L63">
            <v>0</v>
          </cell>
          <cell r="M63">
            <v>365</v>
          </cell>
          <cell r="N63">
            <v>365</v>
          </cell>
          <cell r="O63">
            <v>365</v>
          </cell>
        </row>
        <row r="64">
          <cell r="B64" t="str">
            <v>CONCRETE</v>
          </cell>
          <cell r="C64">
            <v>204</v>
          </cell>
          <cell r="D64">
            <v>0</v>
          </cell>
          <cell r="F64">
            <v>18</v>
          </cell>
          <cell r="G64">
            <v>1</v>
          </cell>
          <cell r="H64">
            <v>223</v>
          </cell>
          <cell r="I64">
            <v>999</v>
          </cell>
          <cell r="J64">
            <v>0.22322322322322322</v>
          </cell>
          <cell r="K64">
            <v>223</v>
          </cell>
          <cell r="L64">
            <v>223</v>
          </cell>
          <cell r="M64">
            <v>223</v>
          </cell>
          <cell r="N64">
            <v>275.10767500000009</v>
          </cell>
          <cell r="O64">
            <v>275.10767500000009</v>
          </cell>
        </row>
        <row r="65">
          <cell r="B65" t="str">
            <v>CONWAY</v>
          </cell>
          <cell r="C65">
            <v>51</v>
          </cell>
          <cell r="D65">
            <v>0</v>
          </cell>
          <cell r="F65">
            <v>4</v>
          </cell>
          <cell r="G65">
            <v>1</v>
          </cell>
          <cell r="H65">
            <v>56</v>
          </cell>
          <cell r="I65">
            <v>667</v>
          </cell>
          <cell r="J65">
            <v>8.395802098950525E-2</v>
          </cell>
          <cell r="K65">
            <v>56</v>
          </cell>
          <cell r="L65">
            <v>0</v>
          </cell>
          <cell r="M65">
            <v>56</v>
          </cell>
          <cell r="N65">
            <v>56</v>
          </cell>
          <cell r="O65">
            <v>56</v>
          </cell>
        </row>
        <row r="66">
          <cell r="B66" t="str">
            <v>COSMOPOLIS</v>
          </cell>
          <cell r="C66">
            <v>56</v>
          </cell>
          <cell r="D66">
            <v>0</v>
          </cell>
          <cell r="F66">
            <v>1</v>
          </cell>
          <cell r="G66">
            <v>0</v>
          </cell>
          <cell r="H66">
            <v>57</v>
          </cell>
          <cell r="I66">
            <v>366</v>
          </cell>
          <cell r="J66">
            <v>0.15573770491803279</v>
          </cell>
          <cell r="K66">
            <v>57</v>
          </cell>
          <cell r="L66">
            <v>57</v>
          </cell>
          <cell r="M66">
            <v>57</v>
          </cell>
          <cell r="N66">
            <v>57</v>
          </cell>
          <cell r="O66">
            <v>57</v>
          </cell>
        </row>
        <row r="67">
          <cell r="B67" t="str">
            <v>COULEE-HARTLINE</v>
          </cell>
          <cell r="C67">
            <v>43</v>
          </cell>
          <cell r="D67">
            <v>0</v>
          </cell>
          <cell r="F67">
            <v>2</v>
          </cell>
          <cell r="G67">
            <v>0</v>
          </cell>
          <cell r="H67">
            <v>45</v>
          </cell>
          <cell r="I67">
            <v>286</v>
          </cell>
          <cell r="J67">
            <v>0.15734265734265734</v>
          </cell>
          <cell r="K67">
            <v>45</v>
          </cell>
          <cell r="L67">
            <v>45</v>
          </cell>
          <cell r="M67">
            <v>45</v>
          </cell>
          <cell r="N67">
            <v>45.3309</v>
          </cell>
          <cell r="O67">
            <v>45.3309</v>
          </cell>
        </row>
        <row r="68">
          <cell r="B68" t="str">
            <v>COUPEVILLE</v>
          </cell>
          <cell r="C68">
            <v>102</v>
          </cell>
          <cell r="D68">
            <v>0</v>
          </cell>
          <cell r="F68">
            <v>7</v>
          </cell>
          <cell r="G68">
            <v>0</v>
          </cell>
          <cell r="H68">
            <v>109</v>
          </cell>
          <cell r="I68">
            <v>1286</v>
          </cell>
          <cell r="J68">
            <v>8.4758942457231728E-2</v>
          </cell>
          <cell r="K68">
            <v>109</v>
          </cell>
          <cell r="L68">
            <v>0</v>
          </cell>
          <cell r="M68">
            <v>109</v>
          </cell>
          <cell r="N68">
            <v>109</v>
          </cell>
          <cell r="O68">
            <v>109</v>
          </cell>
        </row>
        <row r="69">
          <cell r="B69" t="str">
            <v>CRESCENT</v>
          </cell>
          <cell r="C69">
            <v>76</v>
          </cell>
          <cell r="D69">
            <v>0</v>
          </cell>
          <cell r="F69">
            <v>5</v>
          </cell>
          <cell r="G69">
            <v>0</v>
          </cell>
          <cell r="H69">
            <v>81</v>
          </cell>
          <cell r="I69">
            <v>449</v>
          </cell>
          <cell r="J69">
            <v>0.18040089086859687</v>
          </cell>
          <cell r="K69">
            <v>81</v>
          </cell>
          <cell r="L69">
            <v>81</v>
          </cell>
          <cell r="M69">
            <v>81</v>
          </cell>
          <cell r="N69">
            <v>89.284350000000003</v>
          </cell>
          <cell r="O69">
            <v>89.284350000000003</v>
          </cell>
        </row>
        <row r="70">
          <cell r="B70" t="str">
            <v>CRESTON</v>
          </cell>
          <cell r="C70">
            <v>29</v>
          </cell>
          <cell r="D70">
            <v>0</v>
          </cell>
          <cell r="F70">
            <v>2</v>
          </cell>
          <cell r="G70">
            <v>0</v>
          </cell>
          <cell r="H70">
            <v>31</v>
          </cell>
          <cell r="I70">
            <v>116</v>
          </cell>
          <cell r="J70">
            <v>0.26724137931034481</v>
          </cell>
          <cell r="K70">
            <v>31</v>
          </cell>
          <cell r="L70">
            <v>31</v>
          </cell>
          <cell r="M70">
            <v>31</v>
          </cell>
          <cell r="N70">
            <v>44.709699999999998</v>
          </cell>
          <cell r="O70">
            <v>44.709699999999998</v>
          </cell>
        </row>
        <row r="71">
          <cell r="B71" t="str">
            <v>CURLEW</v>
          </cell>
          <cell r="C71">
            <v>75</v>
          </cell>
          <cell r="D71">
            <v>0</v>
          </cell>
          <cell r="F71">
            <v>5</v>
          </cell>
          <cell r="G71">
            <v>0</v>
          </cell>
          <cell r="H71">
            <v>80</v>
          </cell>
          <cell r="I71">
            <v>404</v>
          </cell>
          <cell r="J71">
            <v>0.19801980198019803</v>
          </cell>
          <cell r="K71">
            <v>80</v>
          </cell>
          <cell r="L71">
            <v>80</v>
          </cell>
          <cell r="M71">
            <v>80</v>
          </cell>
          <cell r="N71">
            <v>92.792599999999993</v>
          </cell>
          <cell r="O71">
            <v>92.792599999999993</v>
          </cell>
        </row>
        <row r="72">
          <cell r="B72" t="str">
            <v>CUSICK</v>
          </cell>
          <cell r="C72">
            <v>108</v>
          </cell>
          <cell r="D72">
            <v>0</v>
          </cell>
          <cell r="F72">
            <v>9</v>
          </cell>
          <cell r="G72">
            <v>0</v>
          </cell>
          <cell r="H72">
            <v>117</v>
          </cell>
          <cell r="I72">
            <v>384</v>
          </cell>
          <cell r="J72">
            <v>0.3046875</v>
          </cell>
          <cell r="K72">
            <v>117</v>
          </cell>
          <cell r="L72">
            <v>117</v>
          </cell>
          <cell r="M72">
            <v>117</v>
          </cell>
          <cell r="N72">
            <v>184.84199999999998</v>
          </cell>
          <cell r="O72">
            <v>184.84199999999998</v>
          </cell>
        </row>
        <row r="73">
          <cell r="B73" t="str">
            <v>DAMMAN</v>
          </cell>
          <cell r="C73">
            <v>3</v>
          </cell>
          <cell r="D73">
            <v>0</v>
          </cell>
          <cell r="F73">
            <v>1</v>
          </cell>
          <cell r="G73">
            <v>0</v>
          </cell>
          <cell r="H73">
            <v>4</v>
          </cell>
          <cell r="I73">
            <v>146</v>
          </cell>
          <cell r="J73">
            <v>2.7397260273972601E-2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DARRINGTON</v>
          </cell>
          <cell r="C74">
            <v>64</v>
          </cell>
          <cell r="D74">
            <v>0</v>
          </cell>
          <cell r="F74">
            <v>4</v>
          </cell>
          <cell r="G74">
            <v>0</v>
          </cell>
          <cell r="H74">
            <v>68</v>
          </cell>
          <cell r="I74">
            <v>618</v>
          </cell>
          <cell r="J74">
            <v>0.11003236245954692</v>
          </cell>
          <cell r="K74">
            <v>68</v>
          </cell>
          <cell r="L74">
            <v>0</v>
          </cell>
          <cell r="M74">
            <v>68</v>
          </cell>
          <cell r="N74">
            <v>68</v>
          </cell>
          <cell r="O74">
            <v>68</v>
          </cell>
        </row>
        <row r="75">
          <cell r="B75" t="str">
            <v>DAVENPORT</v>
          </cell>
          <cell r="C75">
            <v>54</v>
          </cell>
          <cell r="D75">
            <v>0</v>
          </cell>
          <cell r="F75">
            <v>4</v>
          </cell>
          <cell r="G75">
            <v>0</v>
          </cell>
          <cell r="H75">
            <v>58</v>
          </cell>
          <cell r="I75">
            <v>510</v>
          </cell>
          <cell r="J75">
            <v>0.11372549019607843</v>
          </cell>
          <cell r="K75">
            <v>58</v>
          </cell>
          <cell r="L75">
            <v>0</v>
          </cell>
          <cell r="M75">
            <v>58</v>
          </cell>
          <cell r="N75">
            <v>58</v>
          </cell>
          <cell r="O75">
            <v>58</v>
          </cell>
        </row>
        <row r="76">
          <cell r="B76" t="str">
            <v>DAYTON</v>
          </cell>
          <cell r="C76">
            <v>114</v>
          </cell>
          <cell r="D76">
            <v>0</v>
          </cell>
          <cell r="F76">
            <v>5</v>
          </cell>
          <cell r="G76">
            <v>0</v>
          </cell>
          <cell r="H76">
            <v>119</v>
          </cell>
          <cell r="I76">
            <v>707</v>
          </cell>
          <cell r="J76">
            <v>0.16831683168316833</v>
          </cell>
          <cell r="K76">
            <v>119</v>
          </cell>
          <cell r="L76">
            <v>119</v>
          </cell>
          <cell r="M76">
            <v>119</v>
          </cell>
          <cell r="N76">
            <v>125.63705</v>
          </cell>
          <cell r="O76">
            <v>125.63705</v>
          </cell>
        </row>
        <row r="77">
          <cell r="B77" t="str">
            <v>DEER PARK</v>
          </cell>
          <cell r="C77">
            <v>256</v>
          </cell>
          <cell r="D77">
            <v>0</v>
          </cell>
          <cell r="F77">
            <v>35</v>
          </cell>
          <cell r="G77">
            <v>2</v>
          </cell>
          <cell r="H77">
            <v>293</v>
          </cell>
          <cell r="I77">
            <v>2046</v>
          </cell>
          <cell r="J77">
            <v>0.14320625610948193</v>
          </cell>
          <cell r="K77">
            <v>293</v>
          </cell>
          <cell r="L77">
            <v>0</v>
          </cell>
          <cell r="M77">
            <v>293</v>
          </cell>
          <cell r="N77">
            <v>293</v>
          </cell>
          <cell r="O77">
            <v>293</v>
          </cell>
        </row>
        <row r="78">
          <cell r="B78" t="str">
            <v>DIERINGER</v>
          </cell>
          <cell r="C78">
            <v>76</v>
          </cell>
          <cell r="D78">
            <v>0</v>
          </cell>
          <cell r="F78">
            <v>5</v>
          </cell>
          <cell r="G78">
            <v>1</v>
          </cell>
          <cell r="H78">
            <v>82</v>
          </cell>
          <cell r="I78">
            <v>1569</v>
          </cell>
          <cell r="J78">
            <v>5.2262587635436585E-2</v>
          </cell>
          <cell r="K78">
            <v>82</v>
          </cell>
          <cell r="L78">
            <v>0</v>
          </cell>
          <cell r="M78">
            <v>82</v>
          </cell>
          <cell r="N78">
            <v>82</v>
          </cell>
          <cell r="O78">
            <v>82</v>
          </cell>
        </row>
        <row r="79">
          <cell r="B79" t="str">
            <v>DIXIE</v>
          </cell>
          <cell r="C79">
            <v>13</v>
          </cell>
          <cell r="D79">
            <v>0</v>
          </cell>
          <cell r="F79">
            <v>2</v>
          </cell>
          <cell r="G79">
            <v>0</v>
          </cell>
          <cell r="H79">
            <v>15</v>
          </cell>
          <cell r="I79">
            <v>112</v>
          </cell>
          <cell r="J79">
            <v>0.13392857142857142</v>
          </cell>
          <cell r="K79">
            <v>15</v>
          </cell>
          <cell r="L79">
            <v>0</v>
          </cell>
          <cell r="M79">
            <v>15</v>
          </cell>
          <cell r="N79">
            <v>15</v>
          </cell>
          <cell r="O79">
            <v>15</v>
          </cell>
        </row>
        <row r="80">
          <cell r="B80" t="str">
            <v>EAST VALLEY (SPK)</v>
          </cell>
          <cell r="C80">
            <v>386</v>
          </cell>
          <cell r="D80">
            <v>0</v>
          </cell>
          <cell r="F80">
            <v>44</v>
          </cell>
          <cell r="G80">
            <v>1</v>
          </cell>
          <cell r="H80">
            <v>431</v>
          </cell>
          <cell r="I80">
            <v>5372</v>
          </cell>
          <cell r="J80">
            <v>8.023082650781832E-2</v>
          </cell>
          <cell r="K80">
            <v>431</v>
          </cell>
          <cell r="L80">
            <v>0</v>
          </cell>
          <cell r="M80">
            <v>431</v>
          </cell>
          <cell r="N80">
            <v>431</v>
          </cell>
          <cell r="O80">
            <v>431</v>
          </cell>
        </row>
        <row r="81">
          <cell r="B81" t="str">
            <v>EAST VALLEY (YAK)</v>
          </cell>
          <cell r="C81">
            <v>244</v>
          </cell>
          <cell r="D81">
            <v>0</v>
          </cell>
          <cell r="F81">
            <v>21</v>
          </cell>
          <cell r="G81">
            <v>1</v>
          </cell>
          <cell r="H81">
            <v>266</v>
          </cell>
          <cell r="I81">
            <v>2541</v>
          </cell>
          <cell r="J81">
            <v>0.1046831955922865</v>
          </cell>
          <cell r="K81">
            <v>266</v>
          </cell>
          <cell r="L81">
            <v>0</v>
          </cell>
          <cell r="M81">
            <v>266</v>
          </cell>
          <cell r="N81">
            <v>266</v>
          </cell>
          <cell r="O81">
            <v>266</v>
          </cell>
        </row>
        <row r="82">
          <cell r="B82" t="str">
            <v>EASTMONT</v>
          </cell>
          <cell r="C82">
            <v>752</v>
          </cell>
          <cell r="D82">
            <v>0</v>
          </cell>
          <cell r="F82">
            <v>31</v>
          </cell>
          <cell r="G82">
            <v>0</v>
          </cell>
          <cell r="H82">
            <v>783</v>
          </cell>
          <cell r="I82">
            <v>5288</v>
          </cell>
          <cell r="J82">
            <v>0.14807110438729199</v>
          </cell>
          <cell r="K82">
            <v>783</v>
          </cell>
          <cell r="L82">
            <v>0</v>
          </cell>
          <cell r="M82">
            <v>783</v>
          </cell>
          <cell r="N82">
            <v>829</v>
          </cell>
          <cell r="O82">
            <v>829</v>
          </cell>
        </row>
        <row r="83">
          <cell r="B83" t="str">
            <v>EASTON</v>
          </cell>
          <cell r="C83">
            <v>3</v>
          </cell>
          <cell r="D83">
            <v>0</v>
          </cell>
          <cell r="F83">
            <v>1</v>
          </cell>
          <cell r="G83">
            <v>0</v>
          </cell>
          <cell r="H83">
            <v>4</v>
          </cell>
          <cell r="I83">
            <v>139</v>
          </cell>
          <cell r="J83">
            <v>2.8776978417266189E-2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EATONVILLE</v>
          </cell>
          <cell r="C84">
            <v>163</v>
          </cell>
          <cell r="D84">
            <v>0</v>
          </cell>
          <cell r="F84">
            <v>13</v>
          </cell>
          <cell r="G84">
            <v>0</v>
          </cell>
          <cell r="H84">
            <v>176</v>
          </cell>
          <cell r="I84">
            <v>2206</v>
          </cell>
          <cell r="J84">
            <v>7.9782411604714415E-2</v>
          </cell>
          <cell r="K84">
            <v>176</v>
          </cell>
          <cell r="L84">
            <v>0</v>
          </cell>
          <cell r="M84">
            <v>176</v>
          </cell>
          <cell r="N84">
            <v>176</v>
          </cell>
          <cell r="O84">
            <v>176</v>
          </cell>
        </row>
        <row r="85">
          <cell r="B85" t="str">
            <v>EDMONDS</v>
          </cell>
          <cell r="C85">
            <v>1772</v>
          </cell>
          <cell r="D85">
            <v>0</v>
          </cell>
          <cell r="F85">
            <v>74</v>
          </cell>
          <cell r="G85">
            <v>3</v>
          </cell>
          <cell r="H85">
            <v>1849</v>
          </cell>
          <cell r="I85">
            <v>25142</v>
          </cell>
          <cell r="J85">
            <v>7.3542279850449449E-2</v>
          </cell>
          <cell r="K85">
            <v>1849</v>
          </cell>
          <cell r="L85">
            <v>0</v>
          </cell>
          <cell r="M85">
            <v>1849</v>
          </cell>
          <cell r="N85">
            <v>2428</v>
          </cell>
          <cell r="O85">
            <v>2428</v>
          </cell>
        </row>
        <row r="86">
          <cell r="B86" t="str">
            <v>ELLENSBURG</v>
          </cell>
          <cell r="C86">
            <v>516</v>
          </cell>
          <cell r="D86">
            <v>0</v>
          </cell>
          <cell r="F86">
            <v>27</v>
          </cell>
          <cell r="G86">
            <v>0</v>
          </cell>
          <cell r="H86">
            <v>543</v>
          </cell>
          <cell r="I86">
            <v>2919</v>
          </cell>
          <cell r="J86">
            <v>0.18602261048304214</v>
          </cell>
          <cell r="K86">
            <v>543</v>
          </cell>
          <cell r="L86">
            <v>543</v>
          </cell>
          <cell r="M86">
            <v>543</v>
          </cell>
          <cell r="N86">
            <v>609.16485</v>
          </cell>
          <cell r="O86">
            <v>609.16485</v>
          </cell>
        </row>
        <row r="87">
          <cell r="B87" t="str">
            <v>ELMA</v>
          </cell>
          <cell r="C87">
            <v>239</v>
          </cell>
          <cell r="D87">
            <v>0</v>
          </cell>
          <cell r="F87">
            <v>17</v>
          </cell>
          <cell r="G87">
            <v>1</v>
          </cell>
          <cell r="H87">
            <v>257</v>
          </cell>
          <cell r="I87">
            <v>1861</v>
          </cell>
          <cell r="J87">
            <v>0.13809779688339602</v>
          </cell>
          <cell r="K87">
            <v>257</v>
          </cell>
          <cell r="L87">
            <v>0</v>
          </cell>
          <cell r="M87">
            <v>257</v>
          </cell>
          <cell r="N87">
            <v>257</v>
          </cell>
          <cell r="O87">
            <v>257</v>
          </cell>
        </row>
        <row r="88">
          <cell r="B88" t="str">
            <v>ENDICOTT</v>
          </cell>
          <cell r="C88">
            <v>33</v>
          </cell>
          <cell r="D88">
            <v>0</v>
          </cell>
          <cell r="F88">
            <v>0</v>
          </cell>
          <cell r="G88">
            <v>0</v>
          </cell>
          <cell r="H88">
            <v>33</v>
          </cell>
          <cell r="I88">
            <v>158</v>
          </cell>
          <cell r="J88">
            <v>0.20886075949367089</v>
          </cell>
          <cell r="K88">
            <v>33</v>
          </cell>
          <cell r="L88">
            <v>33</v>
          </cell>
          <cell r="M88">
            <v>33</v>
          </cell>
          <cell r="N88">
            <v>39.287700000000001</v>
          </cell>
          <cell r="O88">
            <v>39.287700000000001</v>
          </cell>
        </row>
        <row r="89">
          <cell r="B89" t="str">
            <v>ENTIAT</v>
          </cell>
          <cell r="C89">
            <v>58</v>
          </cell>
          <cell r="D89">
            <v>0</v>
          </cell>
          <cell r="F89">
            <v>3</v>
          </cell>
          <cell r="G89">
            <v>0</v>
          </cell>
          <cell r="H89">
            <v>61</v>
          </cell>
          <cell r="I89">
            <v>478</v>
          </cell>
          <cell r="J89">
            <v>0.12761506276150628</v>
          </cell>
          <cell r="K89">
            <v>61</v>
          </cell>
          <cell r="L89">
            <v>0</v>
          </cell>
          <cell r="M89">
            <v>61</v>
          </cell>
          <cell r="N89">
            <v>61</v>
          </cell>
          <cell r="O89">
            <v>61</v>
          </cell>
        </row>
        <row r="90">
          <cell r="B90" t="str">
            <v>ENUMCLAW</v>
          </cell>
          <cell r="C90">
            <v>223</v>
          </cell>
          <cell r="D90">
            <v>0</v>
          </cell>
          <cell r="F90">
            <v>25</v>
          </cell>
          <cell r="G90">
            <v>0</v>
          </cell>
          <cell r="H90">
            <v>248</v>
          </cell>
          <cell r="I90">
            <v>5704</v>
          </cell>
          <cell r="J90">
            <v>4.3478260869565216E-2</v>
          </cell>
          <cell r="K90">
            <v>248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EPHRATA</v>
          </cell>
          <cell r="C91">
            <v>342</v>
          </cell>
          <cell r="D91">
            <v>0</v>
          </cell>
          <cell r="F91">
            <v>8</v>
          </cell>
          <cell r="G91">
            <v>0</v>
          </cell>
          <cell r="H91">
            <v>350</v>
          </cell>
          <cell r="I91">
            <v>2457</v>
          </cell>
          <cell r="J91">
            <v>0.14245014245014245</v>
          </cell>
          <cell r="K91">
            <v>350</v>
          </cell>
          <cell r="L91">
            <v>0</v>
          </cell>
          <cell r="M91">
            <v>350</v>
          </cell>
          <cell r="N91">
            <v>350</v>
          </cell>
          <cell r="O91">
            <v>350</v>
          </cell>
        </row>
        <row r="92">
          <cell r="B92" t="str">
            <v>EVALINE</v>
          </cell>
          <cell r="C92">
            <v>5</v>
          </cell>
          <cell r="D92">
            <v>0</v>
          </cell>
          <cell r="F92">
            <v>3</v>
          </cell>
          <cell r="G92">
            <v>0</v>
          </cell>
          <cell r="H92">
            <v>8</v>
          </cell>
          <cell r="I92">
            <v>163</v>
          </cell>
          <cell r="J92">
            <v>4.9079754601226995E-2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EVERETT</v>
          </cell>
          <cell r="C93">
            <v>2025</v>
          </cell>
          <cell r="D93">
            <v>0</v>
          </cell>
          <cell r="F93">
            <v>102</v>
          </cell>
          <cell r="G93">
            <v>13</v>
          </cell>
          <cell r="H93">
            <v>2140</v>
          </cell>
          <cell r="I93">
            <v>20801</v>
          </cell>
          <cell r="J93">
            <v>0.10287966924667083</v>
          </cell>
          <cell r="K93">
            <v>2140</v>
          </cell>
          <cell r="L93">
            <v>0</v>
          </cell>
          <cell r="M93">
            <v>2140</v>
          </cell>
          <cell r="N93">
            <v>2864.5</v>
          </cell>
          <cell r="O93">
            <v>2864.5</v>
          </cell>
        </row>
        <row r="94">
          <cell r="B94" t="str">
            <v>EVERGREEN (CLARK)</v>
          </cell>
          <cell r="C94">
            <v>2468</v>
          </cell>
          <cell r="D94">
            <v>0</v>
          </cell>
          <cell r="F94">
            <v>105</v>
          </cell>
          <cell r="G94">
            <v>20</v>
          </cell>
          <cell r="H94">
            <v>2593</v>
          </cell>
          <cell r="I94">
            <v>24704</v>
          </cell>
          <cell r="J94">
            <v>0.10496275906735751</v>
          </cell>
          <cell r="K94">
            <v>2593</v>
          </cell>
          <cell r="L94">
            <v>0</v>
          </cell>
          <cell r="M94">
            <v>2593</v>
          </cell>
          <cell r="N94">
            <v>3709.5</v>
          </cell>
          <cell r="O94">
            <v>3709.5</v>
          </cell>
        </row>
        <row r="95">
          <cell r="B95" t="str">
            <v>EVERGREEN (STEV)</v>
          </cell>
          <cell r="C95">
            <v>18</v>
          </cell>
          <cell r="D95">
            <v>0</v>
          </cell>
          <cell r="F95">
            <v>0</v>
          </cell>
          <cell r="G95">
            <v>0</v>
          </cell>
          <cell r="H95">
            <v>18</v>
          </cell>
          <cell r="I95">
            <v>81</v>
          </cell>
          <cell r="J95">
            <v>0.22222222222222221</v>
          </cell>
          <cell r="K95">
            <v>18</v>
          </cell>
          <cell r="L95">
            <v>18</v>
          </cell>
          <cell r="M95">
            <v>18</v>
          </cell>
          <cell r="N95">
            <v>22.103325000000005</v>
          </cell>
          <cell r="O95">
            <v>22.103325000000005</v>
          </cell>
        </row>
        <row r="96">
          <cell r="B96" t="str">
            <v>FEDERAL WAY</v>
          </cell>
          <cell r="C96">
            <v>2401</v>
          </cell>
          <cell r="D96">
            <v>0</v>
          </cell>
          <cell r="F96">
            <v>119</v>
          </cell>
          <cell r="G96">
            <v>29</v>
          </cell>
          <cell r="H96">
            <v>2549</v>
          </cell>
          <cell r="I96">
            <v>25266</v>
          </cell>
          <cell r="J96">
            <v>0.10088656692788728</v>
          </cell>
          <cell r="K96">
            <v>2549</v>
          </cell>
          <cell r="L96">
            <v>0</v>
          </cell>
          <cell r="M96">
            <v>2549</v>
          </cell>
          <cell r="N96">
            <v>3621.5</v>
          </cell>
          <cell r="O96">
            <v>3621.5</v>
          </cell>
        </row>
        <row r="97">
          <cell r="B97" t="str">
            <v>FERNDALE</v>
          </cell>
          <cell r="C97">
            <v>819</v>
          </cell>
          <cell r="D97">
            <v>0</v>
          </cell>
          <cell r="F97">
            <v>40</v>
          </cell>
          <cell r="G97">
            <v>1</v>
          </cell>
          <cell r="H97">
            <v>860</v>
          </cell>
          <cell r="I97">
            <v>5661</v>
          </cell>
          <cell r="J97">
            <v>0.1519166225048578</v>
          </cell>
          <cell r="K97">
            <v>860</v>
          </cell>
          <cell r="L97">
            <v>860</v>
          </cell>
          <cell r="M97">
            <v>860</v>
          </cell>
          <cell r="N97">
            <v>944.5</v>
          </cell>
          <cell r="O97">
            <v>944.5</v>
          </cell>
        </row>
        <row r="98">
          <cell r="B98" t="str">
            <v>FIFE</v>
          </cell>
          <cell r="C98">
            <v>323</v>
          </cell>
          <cell r="D98">
            <v>0</v>
          </cell>
          <cell r="F98">
            <v>14</v>
          </cell>
          <cell r="G98">
            <v>1</v>
          </cell>
          <cell r="H98">
            <v>338</v>
          </cell>
          <cell r="I98">
            <v>2898</v>
          </cell>
          <cell r="J98">
            <v>0.11663216011042098</v>
          </cell>
          <cell r="K98">
            <v>338</v>
          </cell>
          <cell r="L98">
            <v>0</v>
          </cell>
          <cell r="M98">
            <v>338</v>
          </cell>
          <cell r="N98">
            <v>338</v>
          </cell>
          <cell r="O98">
            <v>338</v>
          </cell>
        </row>
        <row r="99">
          <cell r="B99" t="str">
            <v>FINLEY</v>
          </cell>
          <cell r="C99">
            <v>71</v>
          </cell>
          <cell r="D99">
            <v>0</v>
          </cell>
          <cell r="F99">
            <v>10</v>
          </cell>
          <cell r="G99">
            <v>0</v>
          </cell>
          <cell r="H99">
            <v>81</v>
          </cell>
          <cell r="I99">
            <v>1131</v>
          </cell>
          <cell r="J99">
            <v>7.161803713527852E-2</v>
          </cell>
          <cell r="K99">
            <v>81</v>
          </cell>
          <cell r="L99">
            <v>0</v>
          </cell>
          <cell r="M99">
            <v>81</v>
          </cell>
          <cell r="N99">
            <v>81</v>
          </cell>
          <cell r="O99">
            <v>81</v>
          </cell>
        </row>
        <row r="100">
          <cell r="B100" t="str">
            <v>FRANKLIN PIERCE</v>
          </cell>
          <cell r="C100">
            <v>1193</v>
          </cell>
          <cell r="D100">
            <v>0</v>
          </cell>
          <cell r="F100">
            <v>70</v>
          </cell>
          <cell r="G100">
            <v>14</v>
          </cell>
          <cell r="H100">
            <v>1277</v>
          </cell>
          <cell r="I100">
            <v>8069</v>
          </cell>
          <cell r="J100">
            <v>0.15826000743586566</v>
          </cell>
          <cell r="K100">
            <v>1277</v>
          </cell>
          <cell r="L100">
            <v>1277</v>
          </cell>
          <cell r="M100">
            <v>1277</v>
          </cell>
          <cell r="N100">
            <v>1570</v>
          </cell>
          <cell r="O100">
            <v>1570</v>
          </cell>
        </row>
        <row r="101">
          <cell r="B101" t="str">
            <v>FREEMAN</v>
          </cell>
          <cell r="C101">
            <v>32</v>
          </cell>
          <cell r="D101">
            <v>0</v>
          </cell>
          <cell r="F101">
            <v>6</v>
          </cell>
          <cell r="G101">
            <v>0</v>
          </cell>
          <cell r="H101">
            <v>38</v>
          </cell>
          <cell r="I101">
            <v>848</v>
          </cell>
          <cell r="J101">
            <v>4.4811320754716978E-2</v>
          </cell>
          <cell r="K101">
            <v>38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GARFIELD</v>
          </cell>
          <cell r="C102">
            <v>45</v>
          </cell>
          <cell r="D102">
            <v>0</v>
          </cell>
          <cell r="F102">
            <v>2</v>
          </cell>
          <cell r="G102">
            <v>0</v>
          </cell>
          <cell r="H102">
            <v>47</v>
          </cell>
          <cell r="I102">
            <v>196</v>
          </cell>
          <cell r="J102">
            <v>0.23979591836734693</v>
          </cell>
          <cell r="K102">
            <v>47</v>
          </cell>
          <cell r="L102">
            <v>47</v>
          </cell>
          <cell r="M102">
            <v>47</v>
          </cell>
          <cell r="N102">
            <v>62.095700000000001</v>
          </cell>
          <cell r="O102">
            <v>62.095700000000001</v>
          </cell>
        </row>
        <row r="103">
          <cell r="B103" t="str">
            <v>GLENWOOD</v>
          </cell>
          <cell r="C103">
            <v>10</v>
          </cell>
          <cell r="D103">
            <v>0</v>
          </cell>
          <cell r="F103">
            <v>5</v>
          </cell>
          <cell r="G103">
            <v>0</v>
          </cell>
          <cell r="H103">
            <v>15</v>
          </cell>
          <cell r="I103">
            <v>110</v>
          </cell>
          <cell r="J103">
            <v>0.13636363636363635</v>
          </cell>
          <cell r="K103">
            <v>15</v>
          </cell>
          <cell r="L103">
            <v>0</v>
          </cell>
          <cell r="M103">
            <v>15</v>
          </cell>
          <cell r="N103">
            <v>15</v>
          </cell>
          <cell r="O103">
            <v>15</v>
          </cell>
        </row>
        <row r="104">
          <cell r="B104" t="str">
            <v>GOLDENDALE</v>
          </cell>
          <cell r="C104">
            <v>317</v>
          </cell>
          <cell r="D104">
            <v>0</v>
          </cell>
          <cell r="F104">
            <v>15</v>
          </cell>
          <cell r="G104">
            <v>0</v>
          </cell>
          <cell r="H104">
            <v>332</v>
          </cell>
          <cell r="I104">
            <v>1372</v>
          </cell>
          <cell r="J104">
            <v>0.24198250728862974</v>
          </cell>
          <cell r="K104">
            <v>332</v>
          </cell>
          <cell r="L104">
            <v>332</v>
          </cell>
          <cell r="M104">
            <v>332</v>
          </cell>
          <cell r="N104">
            <v>442.16990000000004</v>
          </cell>
          <cell r="O104">
            <v>442.16990000000004</v>
          </cell>
        </row>
        <row r="105">
          <cell r="B105" t="str">
            <v>GRAND COULEE</v>
          </cell>
          <cell r="C105">
            <v>144</v>
          </cell>
          <cell r="D105">
            <v>0</v>
          </cell>
          <cell r="F105">
            <v>13</v>
          </cell>
          <cell r="G105">
            <v>0</v>
          </cell>
          <cell r="H105">
            <v>157</v>
          </cell>
          <cell r="I105">
            <v>759</v>
          </cell>
          <cell r="J105">
            <v>0.20685111989459815</v>
          </cell>
          <cell r="K105">
            <v>157</v>
          </cell>
          <cell r="L105">
            <v>157</v>
          </cell>
          <cell r="M105">
            <v>157</v>
          </cell>
          <cell r="N105">
            <v>186.06085000000002</v>
          </cell>
          <cell r="O105">
            <v>186.06085000000002</v>
          </cell>
        </row>
        <row r="106">
          <cell r="B106" t="str">
            <v>GRANDVIEW</v>
          </cell>
          <cell r="C106">
            <v>700</v>
          </cell>
          <cell r="D106">
            <v>0</v>
          </cell>
          <cell r="F106">
            <v>15</v>
          </cell>
          <cell r="G106">
            <v>0</v>
          </cell>
          <cell r="H106">
            <v>715</v>
          </cell>
          <cell r="I106">
            <v>3227</v>
          </cell>
          <cell r="J106">
            <v>0.22156801983266192</v>
          </cell>
          <cell r="K106">
            <v>715</v>
          </cell>
          <cell r="L106">
            <v>715</v>
          </cell>
          <cell r="M106">
            <v>715</v>
          </cell>
          <cell r="N106">
            <v>875.30777499999999</v>
          </cell>
          <cell r="O106">
            <v>875.30777499999999</v>
          </cell>
        </row>
        <row r="107">
          <cell r="B107" t="str">
            <v>GRANGER</v>
          </cell>
          <cell r="C107">
            <v>524</v>
          </cell>
          <cell r="D107">
            <v>0</v>
          </cell>
          <cell r="F107">
            <v>19</v>
          </cell>
          <cell r="G107">
            <v>5</v>
          </cell>
          <cell r="H107">
            <v>548</v>
          </cell>
          <cell r="I107">
            <v>1432</v>
          </cell>
          <cell r="J107">
            <v>0.38268156424581007</v>
          </cell>
          <cell r="K107">
            <v>548</v>
          </cell>
          <cell r="L107">
            <v>548</v>
          </cell>
          <cell r="M107">
            <v>548</v>
          </cell>
          <cell r="N107">
            <v>1052.5934</v>
          </cell>
          <cell r="O107">
            <v>1052.5934</v>
          </cell>
        </row>
        <row r="108">
          <cell r="B108" t="str">
            <v>GRANITE FALLS</v>
          </cell>
          <cell r="C108">
            <v>211</v>
          </cell>
          <cell r="D108">
            <v>0</v>
          </cell>
          <cell r="F108">
            <v>25</v>
          </cell>
          <cell r="G108">
            <v>0</v>
          </cell>
          <cell r="H108">
            <v>236</v>
          </cell>
          <cell r="I108">
            <v>2471</v>
          </cell>
          <cell r="J108">
            <v>9.5507891541885881E-2</v>
          </cell>
          <cell r="K108">
            <v>236</v>
          </cell>
          <cell r="L108">
            <v>0</v>
          </cell>
          <cell r="M108">
            <v>236</v>
          </cell>
          <cell r="N108">
            <v>236</v>
          </cell>
          <cell r="O108">
            <v>236</v>
          </cell>
        </row>
        <row r="109">
          <cell r="B109" t="str">
            <v>GRAPEVIEW</v>
          </cell>
          <cell r="C109">
            <v>18</v>
          </cell>
          <cell r="D109">
            <v>0</v>
          </cell>
          <cell r="F109">
            <v>4</v>
          </cell>
          <cell r="G109">
            <v>0</v>
          </cell>
          <cell r="H109">
            <v>22</v>
          </cell>
          <cell r="I109">
            <v>252</v>
          </cell>
          <cell r="J109">
            <v>8.7301587301587297E-2</v>
          </cell>
          <cell r="K109">
            <v>22</v>
          </cell>
          <cell r="L109">
            <v>0</v>
          </cell>
          <cell r="M109">
            <v>22</v>
          </cell>
          <cell r="N109">
            <v>22</v>
          </cell>
          <cell r="O109">
            <v>22</v>
          </cell>
        </row>
        <row r="110">
          <cell r="B110" t="str">
            <v>GREAT NORTHERN</v>
          </cell>
          <cell r="C110">
            <v>0</v>
          </cell>
          <cell r="D110">
            <v>0</v>
          </cell>
          <cell r="F110">
            <v>1</v>
          </cell>
          <cell r="G110">
            <v>0</v>
          </cell>
          <cell r="H110">
            <v>1</v>
          </cell>
          <cell r="I110">
            <v>101</v>
          </cell>
          <cell r="J110">
            <v>9.9009900990099011E-3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GREEN MOUNTAIN</v>
          </cell>
          <cell r="C111">
            <v>12</v>
          </cell>
          <cell r="D111">
            <v>0</v>
          </cell>
          <cell r="F111">
            <v>1</v>
          </cell>
          <cell r="G111">
            <v>0</v>
          </cell>
          <cell r="H111">
            <v>13</v>
          </cell>
          <cell r="I111">
            <v>129</v>
          </cell>
          <cell r="J111">
            <v>0.10077519379844961</v>
          </cell>
          <cell r="K111">
            <v>13</v>
          </cell>
          <cell r="L111">
            <v>0</v>
          </cell>
          <cell r="M111">
            <v>13</v>
          </cell>
          <cell r="N111">
            <v>13</v>
          </cell>
          <cell r="O111">
            <v>13</v>
          </cell>
        </row>
        <row r="112">
          <cell r="B112" t="str">
            <v>GRIFFIN</v>
          </cell>
          <cell r="C112">
            <v>73</v>
          </cell>
          <cell r="D112">
            <v>0</v>
          </cell>
          <cell r="F112">
            <v>2</v>
          </cell>
          <cell r="G112">
            <v>1</v>
          </cell>
          <cell r="H112">
            <v>76</v>
          </cell>
          <cell r="I112">
            <v>968</v>
          </cell>
          <cell r="J112">
            <v>7.8512396694214878E-2</v>
          </cell>
          <cell r="K112">
            <v>76</v>
          </cell>
          <cell r="L112">
            <v>0</v>
          </cell>
          <cell r="M112">
            <v>76</v>
          </cell>
          <cell r="N112">
            <v>76</v>
          </cell>
          <cell r="O112">
            <v>76</v>
          </cell>
        </row>
        <row r="113">
          <cell r="B113" t="str">
            <v>HARRINGTON</v>
          </cell>
          <cell r="C113">
            <v>27</v>
          </cell>
          <cell r="D113">
            <v>0</v>
          </cell>
          <cell r="F113">
            <v>0</v>
          </cell>
          <cell r="G113">
            <v>0</v>
          </cell>
          <cell r="H113">
            <v>27</v>
          </cell>
          <cell r="I113">
            <v>166</v>
          </cell>
          <cell r="J113">
            <v>0.16265060240963855</v>
          </cell>
          <cell r="K113">
            <v>27</v>
          </cell>
          <cell r="L113">
            <v>27</v>
          </cell>
          <cell r="M113">
            <v>27</v>
          </cell>
          <cell r="N113">
            <v>27.852899999999998</v>
          </cell>
          <cell r="O113">
            <v>27.852899999999998</v>
          </cell>
        </row>
        <row r="114">
          <cell r="B114" t="str">
            <v>HIGHLAND</v>
          </cell>
          <cell r="C114">
            <v>216</v>
          </cell>
          <cell r="D114">
            <v>0</v>
          </cell>
          <cell r="F114">
            <v>5</v>
          </cell>
          <cell r="G114">
            <v>0</v>
          </cell>
          <cell r="H114">
            <v>221</v>
          </cell>
          <cell r="I114">
            <v>1306</v>
          </cell>
          <cell r="J114">
            <v>0.16921898928024504</v>
          </cell>
          <cell r="K114">
            <v>221</v>
          </cell>
          <cell r="L114">
            <v>221</v>
          </cell>
          <cell r="M114">
            <v>221</v>
          </cell>
          <cell r="N114">
            <v>234.1439</v>
          </cell>
          <cell r="O114">
            <v>234.1439</v>
          </cell>
        </row>
        <row r="115">
          <cell r="B115" t="str">
            <v>HIGHLINE</v>
          </cell>
          <cell r="C115">
            <v>2462</v>
          </cell>
          <cell r="D115">
            <v>0</v>
          </cell>
          <cell r="F115">
            <v>177</v>
          </cell>
          <cell r="G115">
            <v>26</v>
          </cell>
          <cell r="H115">
            <v>2665</v>
          </cell>
          <cell r="I115">
            <v>21393</v>
          </cell>
          <cell r="J115">
            <v>0.12457345860795588</v>
          </cell>
          <cell r="K115">
            <v>2665</v>
          </cell>
          <cell r="L115">
            <v>0</v>
          </cell>
          <cell r="M115">
            <v>2665</v>
          </cell>
          <cell r="N115">
            <v>3853.5</v>
          </cell>
          <cell r="O115">
            <v>3853.5</v>
          </cell>
        </row>
        <row r="116">
          <cell r="B116" t="str">
            <v>HOCKINSON</v>
          </cell>
          <cell r="C116">
            <v>68</v>
          </cell>
          <cell r="D116">
            <v>0</v>
          </cell>
          <cell r="F116">
            <v>6</v>
          </cell>
          <cell r="G116">
            <v>1</v>
          </cell>
          <cell r="H116">
            <v>75</v>
          </cell>
          <cell r="I116">
            <v>1817</v>
          </cell>
          <cell r="J116">
            <v>4.1276829939460649E-2</v>
          </cell>
          <cell r="K116">
            <v>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HOOD CANAL</v>
          </cell>
          <cell r="C117">
            <v>99</v>
          </cell>
          <cell r="D117">
            <v>0</v>
          </cell>
          <cell r="F117">
            <v>7</v>
          </cell>
          <cell r="G117">
            <v>0</v>
          </cell>
          <cell r="H117">
            <v>106</v>
          </cell>
          <cell r="I117">
            <v>713</v>
          </cell>
          <cell r="J117">
            <v>0.14866760168302945</v>
          </cell>
          <cell r="K117">
            <v>106</v>
          </cell>
          <cell r="L117">
            <v>0</v>
          </cell>
          <cell r="M117">
            <v>106</v>
          </cell>
          <cell r="N117">
            <v>106</v>
          </cell>
          <cell r="O117">
            <v>106</v>
          </cell>
        </row>
        <row r="118">
          <cell r="B118" t="str">
            <v>HOQUIAM</v>
          </cell>
          <cell r="C118">
            <v>536</v>
          </cell>
          <cell r="D118">
            <v>0</v>
          </cell>
          <cell r="F118">
            <v>16</v>
          </cell>
          <cell r="G118">
            <v>2</v>
          </cell>
          <cell r="H118">
            <v>554</v>
          </cell>
          <cell r="I118">
            <v>2310</v>
          </cell>
          <cell r="J118">
            <v>0.23982683982683983</v>
          </cell>
          <cell r="K118">
            <v>554</v>
          </cell>
          <cell r="L118">
            <v>554</v>
          </cell>
          <cell r="M118">
            <v>554</v>
          </cell>
          <cell r="N118">
            <v>732.02074999999991</v>
          </cell>
          <cell r="O118">
            <v>732.02074999999991</v>
          </cell>
        </row>
        <row r="119">
          <cell r="B119" t="str">
            <v>INCHELIUM</v>
          </cell>
          <cell r="C119">
            <v>45</v>
          </cell>
          <cell r="D119">
            <v>0</v>
          </cell>
          <cell r="F119">
            <v>7</v>
          </cell>
          <cell r="G119">
            <v>0</v>
          </cell>
          <cell r="H119">
            <v>52</v>
          </cell>
          <cell r="I119">
            <v>281</v>
          </cell>
          <cell r="J119">
            <v>0.18505338078291814</v>
          </cell>
          <cell r="K119">
            <v>52</v>
          </cell>
          <cell r="L119">
            <v>52</v>
          </cell>
          <cell r="M119">
            <v>52</v>
          </cell>
          <cell r="N119">
            <v>58.165149999999997</v>
          </cell>
          <cell r="O119">
            <v>58.165149999999997</v>
          </cell>
        </row>
        <row r="120">
          <cell r="B120" t="str">
            <v>INDEX</v>
          </cell>
          <cell r="C120">
            <v>3</v>
          </cell>
          <cell r="D120">
            <v>0</v>
          </cell>
          <cell r="F120">
            <v>1</v>
          </cell>
          <cell r="G120">
            <v>0</v>
          </cell>
          <cell r="H120">
            <v>4</v>
          </cell>
          <cell r="I120">
            <v>61</v>
          </cell>
          <cell r="J120">
            <v>6.5573770491803282E-2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ISSAQUAH</v>
          </cell>
          <cell r="C121">
            <v>514</v>
          </cell>
          <cell r="D121">
            <v>0</v>
          </cell>
          <cell r="F121">
            <v>31</v>
          </cell>
          <cell r="G121">
            <v>2</v>
          </cell>
          <cell r="H121">
            <v>547</v>
          </cell>
          <cell r="I121">
            <v>15646</v>
          </cell>
          <cell r="J121">
            <v>3.4961012399335294E-2</v>
          </cell>
          <cell r="K121">
            <v>547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KAHLOTUS</v>
          </cell>
          <cell r="C122">
            <v>17</v>
          </cell>
          <cell r="D122">
            <v>0</v>
          </cell>
          <cell r="F122">
            <v>0</v>
          </cell>
          <cell r="G122">
            <v>0</v>
          </cell>
          <cell r="H122">
            <v>17</v>
          </cell>
          <cell r="I122">
            <v>110</v>
          </cell>
          <cell r="J122">
            <v>0.15454545454545454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</row>
        <row r="123">
          <cell r="B123" t="str">
            <v>KALAMA</v>
          </cell>
          <cell r="C123">
            <v>166</v>
          </cell>
          <cell r="D123">
            <v>0</v>
          </cell>
          <cell r="F123">
            <v>22</v>
          </cell>
          <cell r="G123">
            <v>0</v>
          </cell>
          <cell r="H123">
            <v>188</v>
          </cell>
          <cell r="I123">
            <v>986</v>
          </cell>
          <cell r="J123">
            <v>0.19066937119675456</v>
          </cell>
          <cell r="K123">
            <v>188</v>
          </cell>
          <cell r="L123">
            <v>188</v>
          </cell>
          <cell r="M123">
            <v>188</v>
          </cell>
          <cell r="N123">
            <v>213.7859</v>
          </cell>
          <cell r="O123">
            <v>213.7859</v>
          </cell>
        </row>
        <row r="124">
          <cell r="B124" t="str">
            <v>KELLER</v>
          </cell>
          <cell r="C124">
            <v>31</v>
          </cell>
          <cell r="D124">
            <v>0</v>
          </cell>
          <cell r="F124">
            <v>2</v>
          </cell>
          <cell r="G124">
            <v>0</v>
          </cell>
          <cell r="H124">
            <v>33</v>
          </cell>
          <cell r="I124">
            <v>106</v>
          </cell>
          <cell r="J124">
            <v>0.31132075471698112</v>
          </cell>
          <cell r="K124">
            <v>33</v>
          </cell>
          <cell r="L124">
            <v>33</v>
          </cell>
          <cell r="M124">
            <v>33</v>
          </cell>
          <cell r="N124">
            <v>53.309249999999992</v>
          </cell>
          <cell r="O124">
            <v>53.309249999999992</v>
          </cell>
        </row>
        <row r="125">
          <cell r="B125" t="str">
            <v>KELSO</v>
          </cell>
          <cell r="C125">
            <v>806</v>
          </cell>
          <cell r="D125">
            <v>0</v>
          </cell>
          <cell r="F125">
            <v>49</v>
          </cell>
          <cell r="G125">
            <v>1</v>
          </cell>
          <cell r="H125">
            <v>856</v>
          </cell>
          <cell r="I125">
            <v>5741</v>
          </cell>
          <cell r="J125">
            <v>0.14910294373802474</v>
          </cell>
          <cell r="K125">
            <v>856</v>
          </cell>
          <cell r="L125">
            <v>0</v>
          </cell>
          <cell r="M125">
            <v>856</v>
          </cell>
          <cell r="N125">
            <v>938.5</v>
          </cell>
          <cell r="O125">
            <v>938.5</v>
          </cell>
        </row>
        <row r="126">
          <cell r="B126" t="str">
            <v>KENNEWICK</v>
          </cell>
          <cell r="C126">
            <v>1943</v>
          </cell>
          <cell r="D126">
            <v>0</v>
          </cell>
          <cell r="F126">
            <v>83</v>
          </cell>
          <cell r="G126">
            <v>4</v>
          </cell>
          <cell r="H126">
            <v>2030</v>
          </cell>
          <cell r="I126">
            <v>14819</v>
          </cell>
          <cell r="J126">
            <v>0.13698630136986301</v>
          </cell>
          <cell r="K126">
            <v>2030</v>
          </cell>
          <cell r="L126">
            <v>0</v>
          </cell>
          <cell r="M126">
            <v>2030</v>
          </cell>
          <cell r="N126">
            <v>2699.5</v>
          </cell>
          <cell r="O126">
            <v>2699.5</v>
          </cell>
        </row>
        <row r="127">
          <cell r="B127" t="str">
            <v>KENT</v>
          </cell>
          <cell r="C127">
            <v>2527</v>
          </cell>
          <cell r="D127">
            <v>0</v>
          </cell>
          <cell r="F127">
            <v>125</v>
          </cell>
          <cell r="G127">
            <v>30</v>
          </cell>
          <cell r="H127">
            <v>2682</v>
          </cell>
          <cell r="I127">
            <v>29514</v>
          </cell>
          <cell r="J127">
            <v>9.0872128481398654E-2</v>
          </cell>
          <cell r="K127">
            <v>2682</v>
          </cell>
          <cell r="L127">
            <v>0</v>
          </cell>
          <cell r="M127">
            <v>2682</v>
          </cell>
          <cell r="N127">
            <v>3887.5</v>
          </cell>
          <cell r="O127">
            <v>3887.5</v>
          </cell>
        </row>
        <row r="128">
          <cell r="B128" t="str">
            <v>KETTLE FALLS</v>
          </cell>
          <cell r="C128">
            <v>212</v>
          </cell>
          <cell r="D128">
            <v>0</v>
          </cell>
          <cell r="F128">
            <v>1</v>
          </cell>
          <cell r="G128">
            <v>0</v>
          </cell>
          <cell r="H128">
            <v>213</v>
          </cell>
          <cell r="I128">
            <v>1036</v>
          </cell>
          <cell r="J128">
            <v>0.2055984555984556</v>
          </cell>
          <cell r="K128">
            <v>213</v>
          </cell>
          <cell r="L128">
            <v>213</v>
          </cell>
          <cell r="M128">
            <v>213</v>
          </cell>
          <cell r="N128">
            <v>251.6934</v>
          </cell>
          <cell r="O128">
            <v>251.6934</v>
          </cell>
        </row>
        <row r="129">
          <cell r="B129" t="str">
            <v>KIONA-BENTON</v>
          </cell>
          <cell r="C129">
            <v>225</v>
          </cell>
          <cell r="D129">
            <v>0</v>
          </cell>
          <cell r="F129">
            <v>13</v>
          </cell>
          <cell r="G129">
            <v>0</v>
          </cell>
          <cell r="H129">
            <v>238</v>
          </cell>
          <cell r="I129">
            <v>1950</v>
          </cell>
          <cell r="J129">
            <v>0.12205128205128205</v>
          </cell>
          <cell r="K129">
            <v>238</v>
          </cell>
          <cell r="L129">
            <v>0</v>
          </cell>
          <cell r="M129">
            <v>238</v>
          </cell>
          <cell r="N129">
            <v>238</v>
          </cell>
          <cell r="O129">
            <v>238</v>
          </cell>
        </row>
        <row r="130">
          <cell r="B130" t="str">
            <v>KITTITAS</v>
          </cell>
          <cell r="C130">
            <v>96</v>
          </cell>
          <cell r="D130">
            <v>0</v>
          </cell>
          <cell r="F130">
            <v>4</v>
          </cell>
          <cell r="G130">
            <v>0</v>
          </cell>
          <cell r="H130">
            <v>100</v>
          </cell>
          <cell r="I130">
            <v>560</v>
          </cell>
          <cell r="J130">
            <v>0.17857142857142858</v>
          </cell>
          <cell r="K130">
            <v>100</v>
          </cell>
          <cell r="L130">
            <v>100</v>
          </cell>
          <cell r="M130">
            <v>100</v>
          </cell>
          <cell r="N130">
            <v>109.56400000000001</v>
          </cell>
          <cell r="O130">
            <v>109.56400000000001</v>
          </cell>
        </row>
        <row r="131">
          <cell r="B131" t="str">
            <v>KLICKITAT</v>
          </cell>
          <cell r="C131">
            <v>41</v>
          </cell>
          <cell r="D131">
            <v>0</v>
          </cell>
          <cell r="F131">
            <v>3</v>
          </cell>
          <cell r="G131">
            <v>0</v>
          </cell>
          <cell r="H131">
            <v>44</v>
          </cell>
          <cell r="I131">
            <v>169</v>
          </cell>
          <cell r="J131">
            <v>0.26035502958579881</v>
          </cell>
          <cell r="K131">
            <v>44</v>
          </cell>
          <cell r="L131">
            <v>44</v>
          </cell>
          <cell r="M131">
            <v>44</v>
          </cell>
          <cell r="N131">
            <v>62.227925000000006</v>
          </cell>
          <cell r="O131">
            <v>62.227925000000006</v>
          </cell>
        </row>
        <row r="132">
          <cell r="B132" t="str">
            <v>LA CENTER</v>
          </cell>
          <cell r="C132">
            <v>101</v>
          </cell>
          <cell r="D132">
            <v>0</v>
          </cell>
          <cell r="F132">
            <v>9</v>
          </cell>
          <cell r="G132">
            <v>1</v>
          </cell>
          <cell r="H132">
            <v>111</v>
          </cell>
          <cell r="I132">
            <v>1550</v>
          </cell>
          <cell r="J132">
            <v>7.1612903225806449E-2</v>
          </cell>
          <cell r="K132">
            <v>111</v>
          </cell>
          <cell r="L132">
            <v>0</v>
          </cell>
          <cell r="M132">
            <v>111</v>
          </cell>
          <cell r="N132">
            <v>111</v>
          </cell>
          <cell r="O132">
            <v>111</v>
          </cell>
        </row>
        <row r="133">
          <cell r="B133" t="str">
            <v>LA CONNER</v>
          </cell>
          <cell r="C133">
            <v>94</v>
          </cell>
          <cell r="D133">
            <v>0</v>
          </cell>
          <cell r="F133">
            <v>7</v>
          </cell>
          <cell r="G133">
            <v>0</v>
          </cell>
          <cell r="H133">
            <v>101</v>
          </cell>
          <cell r="I133">
            <v>647</v>
          </cell>
          <cell r="J133">
            <v>0.15610510046367851</v>
          </cell>
          <cell r="K133">
            <v>101</v>
          </cell>
          <cell r="L133">
            <v>101</v>
          </cell>
          <cell r="M133">
            <v>101</v>
          </cell>
          <cell r="N133">
            <v>101.14805</v>
          </cell>
          <cell r="O133">
            <v>101.14805</v>
          </cell>
        </row>
        <row r="134">
          <cell r="B134" t="str">
            <v>LACROSSE</v>
          </cell>
          <cell r="C134">
            <v>14</v>
          </cell>
          <cell r="D134">
            <v>0</v>
          </cell>
          <cell r="F134">
            <v>2</v>
          </cell>
          <cell r="G134">
            <v>0</v>
          </cell>
          <cell r="H134">
            <v>16</v>
          </cell>
          <cell r="I134">
            <v>163</v>
          </cell>
          <cell r="J134">
            <v>9.815950920245399E-2</v>
          </cell>
          <cell r="K134">
            <v>16</v>
          </cell>
          <cell r="L134">
            <v>0</v>
          </cell>
          <cell r="M134">
            <v>16</v>
          </cell>
          <cell r="N134">
            <v>16</v>
          </cell>
          <cell r="O134">
            <v>16</v>
          </cell>
        </row>
        <row r="135">
          <cell r="B135" t="str">
            <v>LAKE CHELAN</v>
          </cell>
          <cell r="C135">
            <v>302</v>
          </cell>
          <cell r="D135">
            <v>0</v>
          </cell>
          <cell r="F135">
            <v>1</v>
          </cell>
          <cell r="G135">
            <v>0</v>
          </cell>
          <cell r="H135">
            <v>303</v>
          </cell>
          <cell r="I135">
            <v>1388</v>
          </cell>
          <cell r="J135">
            <v>0.21829971181556196</v>
          </cell>
          <cell r="K135">
            <v>303</v>
          </cell>
          <cell r="L135">
            <v>303</v>
          </cell>
          <cell r="M135">
            <v>303</v>
          </cell>
          <cell r="N135">
            <v>368.06220000000002</v>
          </cell>
          <cell r="O135">
            <v>368.06220000000002</v>
          </cell>
        </row>
        <row r="136">
          <cell r="B136" t="str">
            <v>LAKE STEVENS</v>
          </cell>
          <cell r="C136">
            <v>403</v>
          </cell>
          <cell r="D136">
            <v>0</v>
          </cell>
          <cell r="F136">
            <v>30</v>
          </cell>
          <cell r="G136">
            <v>3</v>
          </cell>
          <cell r="H136">
            <v>436</v>
          </cell>
          <cell r="I136">
            <v>7171</v>
          </cell>
          <cell r="J136">
            <v>6.0800446241807277E-2</v>
          </cell>
          <cell r="K136">
            <v>436</v>
          </cell>
          <cell r="L136">
            <v>0</v>
          </cell>
          <cell r="M136">
            <v>436</v>
          </cell>
          <cell r="N136">
            <v>436</v>
          </cell>
          <cell r="O136">
            <v>436</v>
          </cell>
        </row>
        <row r="137">
          <cell r="B137" t="str">
            <v>LAKE WASHINGTON</v>
          </cell>
          <cell r="C137">
            <v>1107</v>
          </cell>
          <cell r="D137">
            <v>0</v>
          </cell>
          <cell r="F137">
            <v>55</v>
          </cell>
          <cell r="G137">
            <v>7</v>
          </cell>
          <cell r="H137">
            <v>1169</v>
          </cell>
          <cell r="I137">
            <v>27056</v>
          </cell>
          <cell r="J137">
            <v>4.3206682436428147E-2</v>
          </cell>
          <cell r="K137">
            <v>1169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B138" t="str">
            <v>LAKEWOOD</v>
          </cell>
          <cell r="C138">
            <v>152</v>
          </cell>
          <cell r="D138">
            <v>0</v>
          </cell>
          <cell r="F138">
            <v>16</v>
          </cell>
          <cell r="G138">
            <v>0</v>
          </cell>
          <cell r="H138">
            <v>168</v>
          </cell>
          <cell r="I138">
            <v>2489</v>
          </cell>
          <cell r="J138">
            <v>6.7496986741663323E-2</v>
          </cell>
          <cell r="K138">
            <v>168</v>
          </cell>
          <cell r="L138">
            <v>0</v>
          </cell>
          <cell r="M138">
            <v>168</v>
          </cell>
          <cell r="N138">
            <v>168</v>
          </cell>
          <cell r="O138">
            <v>168</v>
          </cell>
        </row>
        <row r="139">
          <cell r="B139" t="str">
            <v>LAMONT</v>
          </cell>
          <cell r="C139">
            <v>3</v>
          </cell>
          <cell r="D139">
            <v>0</v>
          </cell>
          <cell r="F139">
            <v>0</v>
          </cell>
          <cell r="G139">
            <v>0</v>
          </cell>
          <cell r="H139">
            <v>3</v>
          </cell>
          <cell r="I139">
            <v>50</v>
          </cell>
          <cell r="J139">
            <v>0.06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LIBERTY</v>
          </cell>
          <cell r="C140">
            <v>68</v>
          </cell>
          <cell r="D140">
            <v>0</v>
          </cell>
          <cell r="F140">
            <v>5</v>
          </cell>
          <cell r="G140">
            <v>0</v>
          </cell>
          <cell r="H140">
            <v>73</v>
          </cell>
          <cell r="I140">
            <v>744</v>
          </cell>
          <cell r="J140">
            <v>9.8118279569892469E-2</v>
          </cell>
          <cell r="K140">
            <v>73</v>
          </cell>
          <cell r="L140">
            <v>0</v>
          </cell>
          <cell r="M140">
            <v>73</v>
          </cell>
          <cell r="N140">
            <v>73</v>
          </cell>
          <cell r="O140">
            <v>73</v>
          </cell>
        </row>
        <row r="141">
          <cell r="B141" t="str">
            <v>LIND</v>
          </cell>
          <cell r="C141">
            <v>40</v>
          </cell>
          <cell r="D141">
            <v>0</v>
          </cell>
          <cell r="F141">
            <v>1</v>
          </cell>
          <cell r="G141">
            <v>0</v>
          </cell>
          <cell r="H141">
            <v>41</v>
          </cell>
          <cell r="I141">
            <v>274</v>
          </cell>
          <cell r="J141">
            <v>0.14963503649635038</v>
          </cell>
          <cell r="K141">
            <v>41</v>
          </cell>
          <cell r="L141">
            <v>0</v>
          </cell>
          <cell r="M141">
            <v>41</v>
          </cell>
          <cell r="N141">
            <v>41</v>
          </cell>
          <cell r="O141">
            <v>41</v>
          </cell>
        </row>
        <row r="142">
          <cell r="B142" t="str">
            <v>LONGVIEW</v>
          </cell>
          <cell r="C142">
            <v>1488</v>
          </cell>
          <cell r="D142">
            <v>0</v>
          </cell>
          <cell r="F142">
            <v>60</v>
          </cell>
          <cell r="G142">
            <v>5</v>
          </cell>
          <cell r="H142">
            <v>1553</v>
          </cell>
          <cell r="I142">
            <v>8187</v>
          </cell>
          <cell r="J142">
            <v>0.18969097349456454</v>
          </cell>
          <cell r="K142">
            <v>1553</v>
          </cell>
          <cell r="L142">
            <v>1553</v>
          </cell>
          <cell r="M142">
            <v>1553</v>
          </cell>
          <cell r="N142">
            <v>1984</v>
          </cell>
          <cell r="O142">
            <v>1984</v>
          </cell>
        </row>
        <row r="143">
          <cell r="B143" t="str">
            <v>LOON LAKE</v>
          </cell>
          <cell r="C143">
            <v>29</v>
          </cell>
          <cell r="D143">
            <v>0</v>
          </cell>
          <cell r="F143">
            <v>2</v>
          </cell>
          <cell r="G143">
            <v>0</v>
          </cell>
          <cell r="H143">
            <v>31</v>
          </cell>
          <cell r="I143">
            <v>289</v>
          </cell>
          <cell r="J143">
            <v>0.10726643598615918</v>
          </cell>
          <cell r="K143">
            <v>31</v>
          </cell>
          <cell r="L143">
            <v>0</v>
          </cell>
          <cell r="M143">
            <v>31</v>
          </cell>
          <cell r="N143">
            <v>31</v>
          </cell>
          <cell r="O143">
            <v>31</v>
          </cell>
        </row>
        <row r="144">
          <cell r="B144" t="str">
            <v>LOPEZ</v>
          </cell>
          <cell r="C144">
            <v>67</v>
          </cell>
          <cell r="D144">
            <v>0</v>
          </cell>
          <cell r="F144">
            <v>1</v>
          </cell>
          <cell r="G144">
            <v>0</v>
          </cell>
          <cell r="H144">
            <v>68</v>
          </cell>
          <cell r="I144">
            <v>337</v>
          </cell>
          <cell r="J144">
            <v>0.20178041543026706</v>
          </cell>
          <cell r="K144">
            <v>68</v>
          </cell>
          <cell r="L144">
            <v>68</v>
          </cell>
          <cell r="M144">
            <v>68</v>
          </cell>
          <cell r="N144">
            <v>79.621549999999999</v>
          </cell>
          <cell r="O144">
            <v>79.621549999999999</v>
          </cell>
        </row>
        <row r="145">
          <cell r="B145" t="str">
            <v>LYLE</v>
          </cell>
          <cell r="C145">
            <v>113</v>
          </cell>
          <cell r="D145">
            <v>0</v>
          </cell>
          <cell r="F145">
            <v>12</v>
          </cell>
          <cell r="G145">
            <v>0</v>
          </cell>
          <cell r="H145">
            <v>125</v>
          </cell>
          <cell r="I145">
            <v>576</v>
          </cell>
          <cell r="J145">
            <v>0.2170138888888889</v>
          </cell>
          <cell r="K145">
            <v>125</v>
          </cell>
          <cell r="L145">
            <v>125</v>
          </cell>
          <cell r="M145">
            <v>125</v>
          </cell>
          <cell r="N145">
            <v>151.4444</v>
          </cell>
          <cell r="O145">
            <v>151.4444</v>
          </cell>
        </row>
        <row r="146">
          <cell r="B146" t="str">
            <v>LYNDEN</v>
          </cell>
          <cell r="C146">
            <v>286</v>
          </cell>
          <cell r="D146">
            <v>0</v>
          </cell>
          <cell r="F146">
            <v>13</v>
          </cell>
          <cell r="G146">
            <v>0</v>
          </cell>
          <cell r="H146">
            <v>299</v>
          </cell>
          <cell r="I146">
            <v>3664</v>
          </cell>
          <cell r="J146">
            <v>8.1604803493449785E-2</v>
          </cell>
          <cell r="K146">
            <v>299</v>
          </cell>
          <cell r="L146">
            <v>0</v>
          </cell>
          <cell r="M146">
            <v>299</v>
          </cell>
          <cell r="N146">
            <v>299</v>
          </cell>
          <cell r="O146">
            <v>299</v>
          </cell>
        </row>
        <row r="147">
          <cell r="B147" t="str">
            <v>MABTON</v>
          </cell>
          <cell r="C147">
            <v>291</v>
          </cell>
          <cell r="D147">
            <v>0</v>
          </cell>
          <cell r="F147">
            <v>3</v>
          </cell>
          <cell r="G147">
            <v>0</v>
          </cell>
          <cell r="H147">
            <v>294</v>
          </cell>
          <cell r="I147">
            <v>972</v>
          </cell>
          <cell r="J147">
            <v>0.30246913580246915</v>
          </cell>
          <cell r="K147">
            <v>294</v>
          </cell>
          <cell r="L147">
            <v>294</v>
          </cell>
          <cell r="M147">
            <v>294</v>
          </cell>
          <cell r="N147">
            <v>460.87350000000004</v>
          </cell>
          <cell r="O147">
            <v>460.87350000000004</v>
          </cell>
        </row>
        <row r="148">
          <cell r="B148" t="str">
            <v>MANSFIELD</v>
          </cell>
          <cell r="C148">
            <v>12</v>
          </cell>
          <cell r="D148">
            <v>0</v>
          </cell>
          <cell r="F148">
            <v>0</v>
          </cell>
          <cell r="G148">
            <v>0</v>
          </cell>
          <cell r="H148">
            <v>12</v>
          </cell>
          <cell r="I148">
            <v>82</v>
          </cell>
          <cell r="J148">
            <v>0.14634146341463414</v>
          </cell>
          <cell r="K148">
            <v>12</v>
          </cell>
          <cell r="L148">
            <v>0</v>
          </cell>
          <cell r="M148">
            <v>12</v>
          </cell>
          <cell r="N148">
            <v>12</v>
          </cell>
          <cell r="O148">
            <v>12</v>
          </cell>
        </row>
        <row r="149">
          <cell r="B149" t="str">
            <v>MANSON</v>
          </cell>
          <cell r="C149">
            <v>213</v>
          </cell>
          <cell r="D149">
            <v>0</v>
          </cell>
          <cell r="F149">
            <v>6</v>
          </cell>
          <cell r="G149">
            <v>0</v>
          </cell>
          <cell r="H149">
            <v>219</v>
          </cell>
          <cell r="I149">
            <v>750</v>
          </cell>
          <cell r="J149">
            <v>0.29199999999999998</v>
          </cell>
          <cell r="K149">
            <v>219</v>
          </cell>
          <cell r="L149">
            <v>219</v>
          </cell>
          <cell r="M149">
            <v>219</v>
          </cell>
          <cell r="N149">
            <v>335.49374999999998</v>
          </cell>
          <cell r="O149">
            <v>335.49374999999998</v>
          </cell>
        </row>
        <row r="150">
          <cell r="B150" t="str">
            <v>MARY M KNIGHT</v>
          </cell>
          <cell r="C150">
            <v>45</v>
          </cell>
          <cell r="D150">
            <v>0</v>
          </cell>
          <cell r="F150">
            <v>1</v>
          </cell>
          <cell r="G150">
            <v>0</v>
          </cell>
          <cell r="H150">
            <v>46</v>
          </cell>
          <cell r="I150">
            <v>274</v>
          </cell>
          <cell r="J150">
            <v>0.16788321167883211</v>
          </cell>
          <cell r="K150">
            <v>46</v>
          </cell>
          <cell r="L150">
            <v>46</v>
          </cell>
          <cell r="M150">
            <v>46</v>
          </cell>
          <cell r="N150">
            <v>48.4831</v>
          </cell>
          <cell r="O150">
            <v>48.4831</v>
          </cell>
        </row>
        <row r="151">
          <cell r="B151" t="str">
            <v>MARY WALKER</v>
          </cell>
          <cell r="C151">
            <v>214</v>
          </cell>
          <cell r="D151">
            <v>0</v>
          </cell>
          <cell r="F151">
            <v>8</v>
          </cell>
          <cell r="G151">
            <v>1</v>
          </cell>
          <cell r="H151">
            <v>223</v>
          </cell>
          <cell r="I151">
            <v>688</v>
          </cell>
          <cell r="J151">
            <v>0.32412790697674421</v>
          </cell>
          <cell r="K151">
            <v>223</v>
          </cell>
          <cell r="L151">
            <v>223</v>
          </cell>
          <cell r="M151">
            <v>223</v>
          </cell>
          <cell r="N151">
            <v>374.64400000000001</v>
          </cell>
          <cell r="O151">
            <v>374.64400000000001</v>
          </cell>
        </row>
        <row r="152">
          <cell r="B152" t="str">
            <v>MARYSVILLE</v>
          </cell>
          <cell r="C152">
            <v>809</v>
          </cell>
          <cell r="D152">
            <v>0</v>
          </cell>
          <cell r="F152">
            <v>111</v>
          </cell>
          <cell r="G152">
            <v>2</v>
          </cell>
          <cell r="H152">
            <v>922</v>
          </cell>
          <cell r="I152">
            <v>12934</v>
          </cell>
          <cell r="J152">
            <v>7.1284985310035562E-2</v>
          </cell>
          <cell r="K152">
            <v>922</v>
          </cell>
          <cell r="L152">
            <v>0</v>
          </cell>
          <cell r="M152">
            <v>922</v>
          </cell>
          <cell r="N152">
            <v>1037.5</v>
          </cell>
          <cell r="O152">
            <v>1037.5</v>
          </cell>
        </row>
        <row r="153">
          <cell r="B153" t="str">
            <v>MCCLEARY</v>
          </cell>
          <cell r="C153">
            <v>63</v>
          </cell>
          <cell r="D153">
            <v>0</v>
          </cell>
          <cell r="F153">
            <v>0</v>
          </cell>
          <cell r="G153">
            <v>0</v>
          </cell>
          <cell r="H153">
            <v>63</v>
          </cell>
          <cell r="I153">
            <v>369</v>
          </cell>
          <cell r="J153">
            <v>0.17073170731707318</v>
          </cell>
          <cell r="K153">
            <v>63</v>
          </cell>
          <cell r="L153">
            <v>63</v>
          </cell>
          <cell r="M153">
            <v>63</v>
          </cell>
          <cell r="N153">
            <v>67.132350000000002</v>
          </cell>
          <cell r="O153">
            <v>67.132350000000002</v>
          </cell>
        </row>
        <row r="154">
          <cell r="B154" t="str">
            <v>MEAD</v>
          </cell>
          <cell r="C154">
            <v>641</v>
          </cell>
          <cell r="D154">
            <v>0</v>
          </cell>
          <cell r="F154">
            <v>40</v>
          </cell>
          <cell r="G154">
            <v>3</v>
          </cell>
          <cell r="H154">
            <v>684</v>
          </cell>
          <cell r="I154">
            <v>8786</v>
          </cell>
          <cell r="J154">
            <v>7.7851126792624625E-2</v>
          </cell>
          <cell r="K154">
            <v>684</v>
          </cell>
          <cell r="L154">
            <v>0</v>
          </cell>
          <cell r="M154">
            <v>684</v>
          </cell>
          <cell r="N154">
            <v>684</v>
          </cell>
          <cell r="O154">
            <v>684</v>
          </cell>
        </row>
        <row r="155">
          <cell r="B155" t="str">
            <v>MEDICAL LAKE</v>
          </cell>
          <cell r="C155">
            <v>167</v>
          </cell>
          <cell r="D155">
            <v>0</v>
          </cell>
          <cell r="F155">
            <v>6</v>
          </cell>
          <cell r="G155">
            <v>0</v>
          </cell>
          <cell r="H155">
            <v>173</v>
          </cell>
          <cell r="I155">
            <v>2281</v>
          </cell>
          <cell r="J155">
            <v>7.5843928101709771E-2</v>
          </cell>
          <cell r="K155">
            <v>173</v>
          </cell>
          <cell r="L155">
            <v>0</v>
          </cell>
          <cell r="M155">
            <v>173</v>
          </cell>
          <cell r="N155">
            <v>173</v>
          </cell>
          <cell r="O155">
            <v>173</v>
          </cell>
        </row>
        <row r="156">
          <cell r="B156" t="str">
            <v>MERCER ISLAND</v>
          </cell>
          <cell r="C156">
            <v>162</v>
          </cell>
          <cell r="D156">
            <v>0</v>
          </cell>
          <cell r="F156">
            <v>3</v>
          </cell>
          <cell r="G156">
            <v>0</v>
          </cell>
          <cell r="H156">
            <v>165</v>
          </cell>
          <cell r="I156">
            <v>4727</v>
          </cell>
          <cell r="J156">
            <v>3.4905859953458851E-2</v>
          </cell>
          <cell r="K156">
            <v>165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B157" t="str">
            <v>MERIDIAN</v>
          </cell>
          <cell r="C157">
            <v>140</v>
          </cell>
          <cell r="D157">
            <v>0</v>
          </cell>
          <cell r="F157">
            <v>9</v>
          </cell>
          <cell r="G157">
            <v>1</v>
          </cell>
          <cell r="H157">
            <v>150</v>
          </cell>
          <cell r="I157">
            <v>1781</v>
          </cell>
          <cell r="J157">
            <v>8.4222346996069619E-2</v>
          </cell>
          <cell r="K157">
            <v>150</v>
          </cell>
          <cell r="L157">
            <v>0</v>
          </cell>
          <cell r="M157">
            <v>150</v>
          </cell>
          <cell r="N157">
            <v>150</v>
          </cell>
          <cell r="O157">
            <v>150</v>
          </cell>
        </row>
        <row r="158">
          <cell r="B158" t="str">
            <v>METHOW VALLEY</v>
          </cell>
          <cell r="C158">
            <v>110</v>
          </cell>
          <cell r="D158">
            <v>0</v>
          </cell>
          <cell r="F158">
            <v>1</v>
          </cell>
          <cell r="G158">
            <v>0</v>
          </cell>
          <cell r="H158">
            <v>111</v>
          </cell>
          <cell r="I158">
            <v>775</v>
          </cell>
          <cell r="J158">
            <v>0.1432258064516129</v>
          </cell>
          <cell r="K158">
            <v>111</v>
          </cell>
          <cell r="L158">
            <v>0</v>
          </cell>
          <cell r="M158">
            <v>111</v>
          </cell>
          <cell r="N158">
            <v>111</v>
          </cell>
          <cell r="O158">
            <v>111</v>
          </cell>
        </row>
        <row r="159">
          <cell r="B159" t="str">
            <v>MILL A</v>
          </cell>
          <cell r="C159">
            <v>22</v>
          </cell>
          <cell r="D159">
            <v>0</v>
          </cell>
          <cell r="F159">
            <v>1</v>
          </cell>
          <cell r="G159">
            <v>0</v>
          </cell>
          <cell r="H159">
            <v>23</v>
          </cell>
          <cell r="I159">
            <v>125</v>
          </cell>
          <cell r="J159">
            <v>0.184</v>
          </cell>
          <cell r="K159">
            <v>23</v>
          </cell>
          <cell r="L159">
            <v>23</v>
          </cell>
          <cell r="M159">
            <v>23</v>
          </cell>
          <cell r="N159">
            <v>25.643750000000001</v>
          </cell>
          <cell r="O159">
            <v>25.643750000000001</v>
          </cell>
        </row>
        <row r="160">
          <cell r="B160" t="str">
            <v>MONROE</v>
          </cell>
          <cell r="C160">
            <v>324</v>
          </cell>
          <cell r="D160">
            <v>0</v>
          </cell>
          <cell r="F160">
            <v>26</v>
          </cell>
          <cell r="G160">
            <v>0</v>
          </cell>
          <cell r="H160">
            <v>350</v>
          </cell>
          <cell r="I160">
            <v>6603</v>
          </cell>
          <cell r="J160">
            <v>5.3006209298803571E-2</v>
          </cell>
          <cell r="K160">
            <v>350</v>
          </cell>
          <cell r="L160">
            <v>0</v>
          </cell>
          <cell r="M160">
            <v>350</v>
          </cell>
          <cell r="N160">
            <v>350</v>
          </cell>
          <cell r="O160">
            <v>350</v>
          </cell>
        </row>
        <row r="161">
          <cell r="B161" t="str">
            <v>MONTESANO</v>
          </cell>
          <cell r="C161">
            <v>153</v>
          </cell>
          <cell r="D161">
            <v>0</v>
          </cell>
          <cell r="F161">
            <v>12</v>
          </cell>
          <cell r="G161">
            <v>0</v>
          </cell>
          <cell r="H161">
            <v>165</v>
          </cell>
          <cell r="I161">
            <v>1386</v>
          </cell>
          <cell r="J161">
            <v>0.11904761904761904</v>
          </cell>
          <cell r="K161">
            <v>165</v>
          </cell>
          <cell r="L161">
            <v>0</v>
          </cell>
          <cell r="M161">
            <v>165</v>
          </cell>
          <cell r="N161">
            <v>165</v>
          </cell>
          <cell r="O161">
            <v>165</v>
          </cell>
        </row>
        <row r="162">
          <cell r="B162" t="str">
            <v>MORTON</v>
          </cell>
          <cell r="C162">
            <v>80</v>
          </cell>
          <cell r="D162">
            <v>0</v>
          </cell>
          <cell r="F162">
            <v>1</v>
          </cell>
          <cell r="G162">
            <v>0</v>
          </cell>
          <cell r="H162">
            <v>81</v>
          </cell>
          <cell r="I162">
            <v>528</v>
          </cell>
          <cell r="J162">
            <v>0.15340909090909091</v>
          </cell>
          <cell r="K162">
            <v>81</v>
          </cell>
          <cell r="L162">
            <v>81</v>
          </cell>
          <cell r="M162">
            <v>81</v>
          </cell>
          <cell r="N162">
            <v>81</v>
          </cell>
          <cell r="O162">
            <v>81</v>
          </cell>
        </row>
        <row r="163">
          <cell r="B163" t="str">
            <v>MOSES LAKE</v>
          </cell>
          <cell r="C163">
            <v>1129</v>
          </cell>
          <cell r="D163">
            <v>0</v>
          </cell>
          <cell r="F163">
            <v>24</v>
          </cell>
          <cell r="G163">
            <v>0</v>
          </cell>
          <cell r="H163">
            <v>1153</v>
          </cell>
          <cell r="I163">
            <v>7235</v>
          </cell>
          <cell r="J163">
            <v>0.15936420179682101</v>
          </cell>
          <cell r="K163">
            <v>1153</v>
          </cell>
          <cell r="L163">
            <v>1153</v>
          </cell>
          <cell r="M163">
            <v>1153</v>
          </cell>
          <cell r="N163">
            <v>1384</v>
          </cell>
          <cell r="O163">
            <v>1384</v>
          </cell>
        </row>
        <row r="164">
          <cell r="B164" t="str">
            <v>MOSSYROCK</v>
          </cell>
          <cell r="C164">
            <v>86</v>
          </cell>
          <cell r="D164">
            <v>0</v>
          </cell>
          <cell r="F164">
            <v>3</v>
          </cell>
          <cell r="G164">
            <v>0</v>
          </cell>
          <cell r="H164">
            <v>89</v>
          </cell>
          <cell r="I164">
            <v>700</v>
          </cell>
          <cell r="J164">
            <v>0.12714285714285714</v>
          </cell>
          <cell r="K164">
            <v>89</v>
          </cell>
          <cell r="L164">
            <v>0</v>
          </cell>
          <cell r="M164">
            <v>89</v>
          </cell>
          <cell r="N164">
            <v>89</v>
          </cell>
          <cell r="O164">
            <v>89</v>
          </cell>
        </row>
        <row r="165">
          <cell r="B165" t="str">
            <v>MOUNT ADAMS</v>
          </cell>
          <cell r="C165">
            <v>290</v>
          </cell>
          <cell r="D165">
            <v>0</v>
          </cell>
          <cell r="F165">
            <v>35</v>
          </cell>
          <cell r="G165">
            <v>0</v>
          </cell>
          <cell r="H165">
            <v>325</v>
          </cell>
          <cell r="I165">
            <v>1321</v>
          </cell>
          <cell r="J165">
            <v>0.24602573807721423</v>
          </cell>
          <cell r="K165">
            <v>325</v>
          </cell>
          <cell r="L165">
            <v>325</v>
          </cell>
          <cell r="M165">
            <v>325</v>
          </cell>
          <cell r="N165">
            <v>439.08632499999999</v>
          </cell>
          <cell r="O165">
            <v>439.08632499999999</v>
          </cell>
        </row>
        <row r="166">
          <cell r="B166" t="str">
            <v>MOUNT BAKER</v>
          </cell>
          <cell r="C166">
            <v>430</v>
          </cell>
          <cell r="D166">
            <v>0</v>
          </cell>
          <cell r="F166">
            <v>10</v>
          </cell>
          <cell r="G166">
            <v>2</v>
          </cell>
          <cell r="H166">
            <v>442</v>
          </cell>
          <cell r="I166">
            <v>2749</v>
          </cell>
          <cell r="J166">
            <v>0.16078574026918879</v>
          </cell>
          <cell r="K166">
            <v>442</v>
          </cell>
          <cell r="L166">
            <v>442</v>
          </cell>
          <cell r="M166">
            <v>442</v>
          </cell>
          <cell r="N166">
            <v>452.27935000000002</v>
          </cell>
          <cell r="O166">
            <v>452.27935000000002</v>
          </cell>
        </row>
        <row r="167">
          <cell r="B167" t="str">
            <v>MOUNT PLEASANT</v>
          </cell>
          <cell r="C167">
            <v>7</v>
          </cell>
          <cell r="D167">
            <v>0</v>
          </cell>
          <cell r="F167">
            <v>1</v>
          </cell>
          <cell r="G167">
            <v>0</v>
          </cell>
          <cell r="H167">
            <v>8</v>
          </cell>
          <cell r="I167">
            <v>63</v>
          </cell>
          <cell r="J167">
            <v>0.12698412698412698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MOUNT VERNON</v>
          </cell>
          <cell r="C168">
            <v>1046</v>
          </cell>
          <cell r="D168">
            <v>0</v>
          </cell>
          <cell r="F168">
            <v>42</v>
          </cell>
          <cell r="G168">
            <v>10</v>
          </cell>
          <cell r="H168">
            <v>1098</v>
          </cell>
          <cell r="I168">
            <v>6383</v>
          </cell>
          <cell r="J168">
            <v>0.17201942660191133</v>
          </cell>
          <cell r="K168">
            <v>1098</v>
          </cell>
          <cell r="L168">
            <v>1098</v>
          </cell>
          <cell r="M168">
            <v>1098</v>
          </cell>
          <cell r="N168">
            <v>1301.5</v>
          </cell>
          <cell r="O168">
            <v>1301.5</v>
          </cell>
        </row>
        <row r="169">
          <cell r="B169" t="str">
            <v>MUKILTEO</v>
          </cell>
          <cell r="C169">
            <v>1461</v>
          </cell>
          <cell r="D169">
            <v>0</v>
          </cell>
          <cell r="F169">
            <v>57</v>
          </cell>
          <cell r="G169">
            <v>5</v>
          </cell>
          <cell r="H169">
            <v>1523</v>
          </cell>
          <cell r="I169">
            <v>15282</v>
          </cell>
          <cell r="J169">
            <v>9.9659730401779875E-2</v>
          </cell>
          <cell r="K169">
            <v>1523</v>
          </cell>
          <cell r="L169">
            <v>0</v>
          </cell>
          <cell r="M169">
            <v>1523</v>
          </cell>
          <cell r="N169">
            <v>1939</v>
          </cell>
          <cell r="O169">
            <v>1939</v>
          </cell>
        </row>
        <row r="170">
          <cell r="B170" t="str">
            <v>NACHES VALLEY</v>
          </cell>
          <cell r="C170">
            <v>87</v>
          </cell>
          <cell r="D170">
            <v>0</v>
          </cell>
          <cell r="F170">
            <v>7</v>
          </cell>
          <cell r="G170">
            <v>0</v>
          </cell>
          <cell r="H170">
            <v>94</v>
          </cell>
          <cell r="I170">
            <v>1636</v>
          </cell>
          <cell r="J170">
            <v>5.7457212713936431E-2</v>
          </cell>
          <cell r="K170">
            <v>94</v>
          </cell>
          <cell r="L170">
            <v>0</v>
          </cell>
          <cell r="M170">
            <v>94</v>
          </cell>
          <cell r="N170">
            <v>94</v>
          </cell>
          <cell r="O170">
            <v>94</v>
          </cell>
        </row>
        <row r="171">
          <cell r="B171" t="str">
            <v>NAPAVINE</v>
          </cell>
          <cell r="C171">
            <v>103</v>
          </cell>
          <cell r="D171">
            <v>0</v>
          </cell>
          <cell r="F171">
            <v>6</v>
          </cell>
          <cell r="G171">
            <v>0</v>
          </cell>
          <cell r="H171">
            <v>109</v>
          </cell>
          <cell r="I171">
            <v>858</v>
          </cell>
          <cell r="J171">
            <v>0.12703962703962704</v>
          </cell>
          <cell r="K171">
            <v>109</v>
          </cell>
          <cell r="L171">
            <v>0</v>
          </cell>
          <cell r="M171">
            <v>109</v>
          </cell>
          <cell r="N171">
            <v>109</v>
          </cell>
          <cell r="O171">
            <v>109</v>
          </cell>
        </row>
        <row r="172">
          <cell r="B172" t="str">
            <v>NASELLE-GRAYS</v>
          </cell>
          <cell r="C172">
            <v>48</v>
          </cell>
          <cell r="D172">
            <v>0</v>
          </cell>
          <cell r="F172">
            <v>1</v>
          </cell>
          <cell r="G172">
            <v>0</v>
          </cell>
          <cell r="H172">
            <v>49</v>
          </cell>
          <cell r="I172">
            <v>455</v>
          </cell>
          <cell r="J172">
            <v>0.1076923076923077</v>
          </cell>
          <cell r="K172">
            <v>49</v>
          </cell>
          <cell r="L172">
            <v>0</v>
          </cell>
          <cell r="M172">
            <v>49</v>
          </cell>
          <cell r="N172">
            <v>49</v>
          </cell>
          <cell r="O172">
            <v>49</v>
          </cell>
        </row>
        <row r="173">
          <cell r="B173" t="str">
            <v>NESPELEM</v>
          </cell>
          <cell r="C173">
            <v>89</v>
          </cell>
          <cell r="D173">
            <v>0</v>
          </cell>
          <cell r="F173">
            <v>2</v>
          </cell>
          <cell r="G173">
            <v>0</v>
          </cell>
          <cell r="H173">
            <v>91</v>
          </cell>
          <cell r="I173">
            <v>383</v>
          </cell>
          <cell r="J173">
            <v>0.23759791122715404</v>
          </cell>
          <cell r="K173">
            <v>91</v>
          </cell>
          <cell r="L173">
            <v>91</v>
          </cell>
          <cell r="M173">
            <v>91</v>
          </cell>
          <cell r="N173">
            <v>119.23547500000002</v>
          </cell>
          <cell r="O173">
            <v>119.23547500000002</v>
          </cell>
        </row>
        <row r="174">
          <cell r="B174" t="str">
            <v>NEWPORT</v>
          </cell>
          <cell r="C174">
            <v>365</v>
          </cell>
          <cell r="D174">
            <v>0</v>
          </cell>
          <cell r="F174">
            <v>14</v>
          </cell>
          <cell r="G174">
            <v>0</v>
          </cell>
          <cell r="H174">
            <v>379</v>
          </cell>
          <cell r="I174">
            <v>1508</v>
          </cell>
          <cell r="J174">
            <v>0.25132625994694963</v>
          </cell>
          <cell r="K174">
            <v>379</v>
          </cell>
          <cell r="L174">
            <v>379</v>
          </cell>
          <cell r="M174">
            <v>379</v>
          </cell>
          <cell r="N174">
            <v>521.22610000000009</v>
          </cell>
          <cell r="O174">
            <v>521.22610000000009</v>
          </cell>
        </row>
        <row r="175">
          <cell r="B175" t="str">
            <v>NINE MILE FALLS</v>
          </cell>
          <cell r="C175">
            <v>87</v>
          </cell>
          <cell r="D175">
            <v>0</v>
          </cell>
          <cell r="F175">
            <v>11</v>
          </cell>
          <cell r="G175">
            <v>0</v>
          </cell>
          <cell r="H175">
            <v>98</v>
          </cell>
          <cell r="I175">
            <v>1781</v>
          </cell>
          <cell r="J175">
            <v>5.5025266704098824E-2</v>
          </cell>
          <cell r="K175">
            <v>98</v>
          </cell>
          <cell r="L175">
            <v>0</v>
          </cell>
          <cell r="M175">
            <v>98</v>
          </cell>
          <cell r="N175">
            <v>98</v>
          </cell>
          <cell r="O175">
            <v>98</v>
          </cell>
        </row>
        <row r="176">
          <cell r="B176" t="str">
            <v>NOOKSACK VALLEY</v>
          </cell>
          <cell r="C176">
            <v>263</v>
          </cell>
          <cell r="D176">
            <v>0</v>
          </cell>
          <cell r="F176">
            <v>11</v>
          </cell>
          <cell r="G176">
            <v>3</v>
          </cell>
          <cell r="H176">
            <v>277</v>
          </cell>
          <cell r="I176">
            <v>2244</v>
          </cell>
          <cell r="J176">
            <v>0.12344028520499109</v>
          </cell>
          <cell r="K176">
            <v>277</v>
          </cell>
          <cell r="L176">
            <v>0</v>
          </cell>
          <cell r="M176">
            <v>277</v>
          </cell>
          <cell r="N176">
            <v>277</v>
          </cell>
          <cell r="O176">
            <v>277</v>
          </cell>
        </row>
        <row r="177">
          <cell r="B177" t="str">
            <v>NORTH BEACH</v>
          </cell>
          <cell r="C177">
            <v>105</v>
          </cell>
          <cell r="D177">
            <v>0</v>
          </cell>
          <cell r="F177">
            <v>12</v>
          </cell>
          <cell r="G177">
            <v>1</v>
          </cell>
          <cell r="H177">
            <v>118</v>
          </cell>
          <cell r="I177">
            <v>759</v>
          </cell>
          <cell r="J177">
            <v>0.155467720685112</v>
          </cell>
          <cell r="K177">
            <v>118</v>
          </cell>
          <cell r="L177">
            <v>118</v>
          </cell>
          <cell r="M177">
            <v>118</v>
          </cell>
          <cell r="N177">
            <v>118</v>
          </cell>
          <cell r="O177">
            <v>118</v>
          </cell>
        </row>
        <row r="178">
          <cell r="B178" t="str">
            <v>NORTH FRANKLIN</v>
          </cell>
          <cell r="C178">
            <v>307</v>
          </cell>
          <cell r="D178">
            <v>0</v>
          </cell>
          <cell r="F178">
            <v>3</v>
          </cell>
          <cell r="G178">
            <v>5</v>
          </cell>
          <cell r="H178">
            <v>315</v>
          </cell>
          <cell r="I178">
            <v>2022</v>
          </cell>
          <cell r="J178">
            <v>0.15578635014836795</v>
          </cell>
          <cell r="K178">
            <v>315</v>
          </cell>
          <cell r="L178">
            <v>315</v>
          </cell>
          <cell r="M178">
            <v>315</v>
          </cell>
          <cell r="N178">
            <v>315</v>
          </cell>
          <cell r="O178">
            <v>315</v>
          </cell>
        </row>
        <row r="179">
          <cell r="B179" t="str">
            <v>NORTH KITSAP</v>
          </cell>
          <cell r="C179">
            <v>550</v>
          </cell>
          <cell r="D179">
            <v>0</v>
          </cell>
          <cell r="F179">
            <v>76</v>
          </cell>
          <cell r="G179">
            <v>3</v>
          </cell>
          <cell r="H179">
            <v>629</v>
          </cell>
          <cell r="I179">
            <v>7894</v>
          </cell>
          <cell r="J179">
            <v>7.9680770205219159E-2</v>
          </cell>
          <cell r="K179">
            <v>629</v>
          </cell>
          <cell r="L179">
            <v>0</v>
          </cell>
          <cell r="M179">
            <v>629</v>
          </cell>
          <cell r="N179">
            <v>629</v>
          </cell>
          <cell r="O179">
            <v>629</v>
          </cell>
        </row>
        <row r="180">
          <cell r="B180" t="str">
            <v>NORTH MASON</v>
          </cell>
          <cell r="C180">
            <v>249</v>
          </cell>
          <cell r="D180">
            <v>0</v>
          </cell>
          <cell r="F180">
            <v>25</v>
          </cell>
          <cell r="G180">
            <v>5</v>
          </cell>
          <cell r="H180">
            <v>279</v>
          </cell>
          <cell r="I180">
            <v>2185</v>
          </cell>
          <cell r="J180">
            <v>0.1276887871853547</v>
          </cell>
          <cell r="K180">
            <v>279</v>
          </cell>
          <cell r="L180">
            <v>0</v>
          </cell>
          <cell r="M180">
            <v>279</v>
          </cell>
          <cell r="N180">
            <v>279</v>
          </cell>
          <cell r="O180">
            <v>279</v>
          </cell>
        </row>
        <row r="181">
          <cell r="B181" t="str">
            <v>NORTH RIVER</v>
          </cell>
          <cell r="C181">
            <v>8</v>
          </cell>
          <cell r="D181">
            <v>0</v>
          </cell>
          <cell r="F181">
            <v>0</v>
          </cell>
          <cell r="G181">
            <v>0</v>
          </cell>
          <cell r="H181">
            <v>8</v>
          </cell>
          <cell r="I181">
            <v>51</v>
          </cell>
          <cell r="J181">
            <v>0.15686274509803921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NORTH THURSTON</v>
          </cell>
          <cell r="C182">
            <v>1260</v>
          </cell>
          <cell r="D182">
            <v>0</v>
          </cell>
          <cell r="F182">
            <v>77</v>
          </cell>
          <cell r="G182">
            <v>10</v>
          </cell>
          <cell r="H182">
            <v>1347</v>
          </cell>
          <cell r="I182">
            <v>14275</v>
          </cell>
          <cell r="J182">
            <v>9.4360770577933448E-2</v>
          </cell>
          <cell r="K182">
            <v>1347</v>
          </cell>
          <cell r="L182">
            <v>0</v>
          </cell>
          <cell r="M182">
            <v>1347</v>
          </cell>
          <cell r="N182">
            <v>1675</v>
          </cell>
          <cell r="O182">
            <v>1675</v>
          </cell>
        </row>
        <row r="183">
          <cell r="B183" t="str">
            <v>NORTHPORT</v>
          </cell>
          <cell r="C183">
            <v>73</v>
          </cell>
          <cell r="D183">
            <v>0</v>
          </cell>
          <cell r="F183">
            <v>2</v>
          </cell>
          <cell r="G183">
            <v>0</v>
          </cell>
          <cell r="H183">
            <v>75</v>
          </cell>
          <cell r="I183">
            <v>282</v>
          </cell>
          <cell r="J183">
            <v>0.26595744680851063</v>
          </cell>
          <cell r="K183">
            <v>75</v>
          </cell>
          <cell r="L183">
            <v>75</v>
          </cell>
          <cell r="M183">
            <v>75</v>
          </cell>
          <cell r="N183">
            <v>107.78564999999999</v>
          </cell>
          <cell r="O183">
            <v>107.78564999999999</v>
          </cell>
        </row>
        <row r="184">
          <cell r="B184" t="str">
            <v>NORTHSHORE</v>
          </cell>
          <cell r="C184">
            <v>931</v>
          </cell>
          <cell r="D184">
            <v>0</v>
          </cell>
          <cell r="F184">
            <v>52</v>
          </cell>
          <cell r="G184">
            <v>3</v>
          </cell>
          <cell r="H184">
            <v>986</v>
          </cell>
          <cell r="I184">
            <v>22823</v>
          </cell>
          <cell r="J184">
            <v>4.3202033036848796E-2</v>
          </cell>
          <cell r="K184">
            <v>986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B185" t="str">
            <v>OAK HARBOR</v>
          </cell>
          <cell r="C185">
            <v>674</v>
          </cell>
          <cell r="D185">
            <v>0</v>
          </cell>
          <cell r="F185">
            <v>31</v>
          </cell>
          <cell r="G185">
            <v>0</v>
          </cell>
          <cell r="H185">
            <v>705</v>
          </cell>
          <cell r="I185">
            <v>7062</v>
          </cell>
          <cell r="J185">
            <v>9.9830076465590487E-2</v>
          </cell>
          <cell r="K185">
            <v>705</v>
          </cell>
          <cell r="L185">
            <v>0</v>
          </cell>
          <cell r="M185">
            <v>705</v>
          </cell>
          <cell r="N185">
            <v>712</v>
          </cell>
          <cell r="O185">
            <v>712</v>
          </cell>
        </row>
        <row r="186">
          <cell r="B186" t="str">
            <v>OAKESDALE</v>
          </cell>
          <cell r="C186">
            <v>26</v>
          </cell>
          <cell r="D186">
            <v>0</v>
          </cell>
          <cell r="F186">
            <v>0</v>
          </cell>
          <cell r="G186">
            <v>0</v>
          </cell>
          <cell r="H186">
            <v>26</v>
          </cell>
          <cell r="I186">
            <v>193</v>
          </cell>
          <cell r="J186">
            <v>0.13471502590673576</v>
          </cell>
          <cell r="K186">
            <v>26</v>
          </cell>
          <cell r="L186">
            <v>0</v>
          </cell>
          <cell r="M186">
            <v>26</v>
          </cell>
          <cell r="N186">
            <v>26</v>
          </cell>
          <cell r="O186">
            <v>26</v>
          </cell>
        </row>
        <row r="187">
          <cell r="B187" t="str">
            <v>OAKVILLE</v>
          </cell>
          <cell r="C187">
            <v>99</v>
          </cell>
          <cell r="D187">
            <v>0</v>
          </cell>
          <cell r="F187">
            <v>13</v>
          </cell>
          <cell r="G187">
            <v>0</v>
          </cell>
          <cell r="H187">
            <v>112</v>
          </cell>
          <cell r="I187">
            <v>502</v>
          </cell>
          <cell r="J187">
            <v>0.22310756972111553</v>
          </cell>
          <cell r="K187">
            <v>112</v>
          </cell>
          <cell r="L187">
            <v>112</v>
          </cell>
          <cell r="M187">
            <v>112</v>
          </cell>
          <cell r="N187">
            <v>138.09715</v>
          </cell>
          <cell r="O187">
            <v>138.09715</v>
          </cell>
        </row>
        <row r="188">
          <cell r="B188" t="str">
            <v>OCEAN BEACH</v>
          </cell>
          <cell r="C188">
            <v>224</v>
          </cell>
          <cell r="D188">
            <v>0</v>
          </cell>
          <cell r="F188">
            <v>13</v>
          </cell>
          <cell r="G188">
            <v>0</v>
          </cell>
          <cell r="H188">
            <v>237</v>
          </cell>
          <cell r="I188">
            <v>1342</v>
          </cell>
          <cell r="J188">
            <v>0.17660208643815201</v>
          </cell>
          <cell r="K188">
            <v>237</v>
          </cell>
          <cell r="L188">
            <v>237</v>
          </cell>
          <cell r="M188">
            <v>237</v>
          </cell>
          <cell r="N188">
            <v>257.93729999999999</v>
          </cell>
          <cell r="O188">
            <v>257.93729999999999</v>
          </cell>
        </row>
        <row r="189">
          <cell r="B189" t="str">
            <v>OCOSTA</v>
          </cell>
          <cell r="C189">
            <v>217</v>
          </cell>
          <cell r="D189">
            <v>0</v>
          </cell>
          <cell r="F189">
            <v>5</v>
          </cell>
          <cell r="G189">
            <v>0</v>
          </cell>
          <cell r="H189">
            <v>222</v>
          </cell>
          <cell r="I189">
            <v>884</v>
          </cell>
          <cell r="J189">
            <v>0.25113122171945701</v>
          </cell>
          <cell r="K189">
            <v>222</v>
          </cell>
          <cell r="L189">
            <v>222</v>
          </cell>
          <cell r="M189">
            <v>222</v>
          </cell>
          <cell r="N189">
            <v>305.11529999999999</v>
          </cell>
          <cell r="O189">
            <v>305.11529999999999</v>
          </cell>
        </row>
        <row r="190">
          <cell r="B190" t="str">
            <v>ODESSA</v>
          </cell>
          <cell r="C190">
            <v>48</v>
          </cell>
          <cell r="D190">
            <v>0</v>
          </cell>
          <cell r="F190">
            <v>0</v>
          </cell>
          <cell r="G190">
            <v>0</v>
          </cell>
          <cell r="H190">
            <v>48</v>
          </cell>
          <cell r="I190">
            <v>347</v>
          </cell>
          <cell r="J190">
            <v>0.13832853025936601</v>
          </cell>
          <cell r="K190">
            <v>48</v>
          </cell>
          <cell r="L190">
            <v>0</v>
          </cell>
          <cell r="M190">
            <v>48</v>
          </cell>
          <cell r="N190">
            <v>48</v>
          </cell>
          <cell r="O190">
            <v>48</v>
          </cell>
        </row>
        <row r="191">
          <cell r="B191" t="str">
            <v>OKANOGAN</v>
          </cell>
          <cell r="C191">
            <v>304</v>
          </cell>
          <cell r="D191">
            <v>0</v>
          </cell>
          <cell r="F191">
            <v>6</v>
          </cell>
          <cell r="G191">
            <v>0</v>
          </cell>
          <cell r="H191">
            <v>310</v>
          </cell>
          <cell r="I191">
            <v>1163</v>
          </cell>
          <cell r="J191">
            <v>0.26655202063628547</v>
          </cell>
          <cell r="K191">
            <v>310</v>
          </cell>
          <cell r="L191">
            <v>310</v>
          </cell>
          <cell r="M191">
            <v>310</v>
          </cell>
          <cell r="N191">
            <v>446.24897499999997</v>
          </cell>
          <cell r="O191">
            <v>446.24897499999997</v>
          </cell>
        </row>
        <row r="192">
          <cell r="B192" t="str">
            <v>OLYMPIA</v>
          </cell>
          <cell r="C192">
            <v>855</v>
          </cell>
          <cell r="D192">
            <v>0</v>
          </cell>
          <cell r="F192">
            <v>35</v>
          </cell>
          <cell r="G192">
            <v>9</v>
          </cell>
          <cell r="H192">
            <v>899</v>
          </cell>
          <cell r="I192">
            <v>9276</v>
          </cell>
          <cell r="J192">
            <v>9.6916774471755063E-2</v>
          </cell>
          <cell r="K192">
            <v>899</v>
          </cell>
          <cell r="L192">
            <v>0</v>
          </cell>
          <cell r="M192">
            <v>899</v>
          </cell>
          <cell r="N192">
            <v>1003</v>
          </cell>
          <cell r="O192">
            <v>1003</v>
          </cell>
        </row>
        <row r="193">
          <cell r="B193" t="str">
            <v>OMAK</v>
          </cell>
          <cell r="C193">
            <v>416</v>
          </cell>
          <cell r="D193">
            <v>0</v>
          </cell>
          <cell r="F193">
            <v>24</v>
          </cell>
          <cell r="G193">
            <v>1</v>
          </cell>
          <cell r="H193">
            <v>441</v>
          </cell>
          <cell r="I193">
            <v>2266</v>
          </cell>
          <cell r="J193">
            <v>0.19461606354810237</v>
          </cell>
          <cell r="K193">
            <v>441</v>
          </cell>
          <cell r="L193">
            <v>441</v>
          </cell>
          <cell r="M193">
            <v>441</v>
          </cell>
          <cell r="N193">
            <v>506.96789999999999</v>
          </cell>
          <cell r="O193">
            <v>506.96789999999999</v>
          </cell>
        </row>
        <row r="194">
          <cell r="B194" t="str">
            <v>ONALASKA</v>
          </cell>
          <cell r="C194">
            <v>191</v>
          </cell>
          <cell r="D194">
            <v>0</v>
          </cell>
          <cell r="F194">
            <v>9</v>
          </cell>
          <cell r="G194">
            <v>0</v>
          </cell>
          <cell r="H194">
            <v>200</v>
          </cell>
          <cell r="I194">
            <v>957</v>
          </cell>
          <cell r="J194">
            <v>0.2089864158829676</v>
          </cell>
          <cell r="K194">
            <v>200</v>
          </cell>
          <cell r="L194">
            <v>200</v>
          </cell>
          <cell r="M194">
            <v>200</v>
          </cell>
          <cell r="N194">
            <v>238.17455000000001</v>
          </cell>
          <cell r="O194">
            <v>238.17455000000001</v>
          </cell>
        </row>
        <row r="195">
          <cell r="B195" t="str">
            <v>ONION CREEK</v>
          </cell>
          <cell r="C195">
            <v>37</v>
          </cell>
          <cell r="D195">
            <v>0</v>
          </cell>
          <cell r="F195">
            <v>1</v>
          </cell>
          <cell r="G195">
            <v>0</v>
          </cell>
          <cell r="H195">
            <v>38</v>
          </cell>
          <cell r="I195">
            <v>95</v>
          </cell>
          <cell r="J195">
            <v>0.4</v>
          </cell>
          <cell r="K195">
            <v>38</v>
          </cell>
          <cell r="L195">
            <v>38</v>
          </cell>
          <cell r="M195">
            <v>38</v>
          </cell>
          <cell r="N195">
            <v>76.410875000000004</v>
          </cell>
          <cell r="O195">
            <v>76.410875000000004</v>
          </cell>
        </row>
        <row r="196">
          <cell r="B196" t="str">
            <v>ORCAS ISLAND</v>
          </cell>
          <cell r="C196">
            <v>123</v>
          </cell>
          <cell r="D196">
            <v>0</v>
          </cell>
          <cell r="F196">
            <v>4</v>
          </cell>
          <cell r="G196">
            <v>0</v>
          </cell>
          <cell r="H196">
            <v>127</v>
          </cell>
          <cell r="I196">
            <v>683</v>
          </cell>
          <cell r="J196">
            <v>0.18594436310395315</v>
          </cell>
          <cell r="K196">
            <v>127</v>
          </cell>
          <cell r="L196">
            <v>127</v>
          </cell>
          <cell r="M196">
            <v>127</v>
          </cell>
          <cell r="N196">
            <v>142.44145</v>
          </cell>
          <cell r="O196">
            <v>142.44145</v>
          </cell>
        </row>
        <row r="197">
          <cell r="B197" t="str">
            <v>ORCHARD PRAIRIE</v>
          </cell>
          <cell r="C197">
            <v>8</v>
          </cell>
          <cell r="D197">
            <v>0</v>
          </cell>
          <cell r="F197">
            <v>1</v>
          </cell>
          <cell r="G197">
            <v>0</v>
          </cell>
          <cell r="H197">
            <v>9</v>
          </cell>
          <cell r="I197">
            <v>148</v>
          </cell>
          <cell r="J197">
            <v>6.0810810810810814E-2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B198" t="str">
            <v>ORIENT</v>
          </cell>
          <cell r="C198">
            <v>46</v>
          </cell>
          <cell r="D198">
            <v>0</v>
          </cell>
          <cell r="F198">
            <v>0</v>
          </cell>
          <cell r="G198">
            <v>0</v>
          </cell>
          <cell r="H198">
            <v>46</v>
          </cell>
          <cell r="I198">
            <v>175</v>
          </cell>
          <cell r="J198">
            <v>0.26285714285714284</v>
          </cell>
          <cell r="K198">
            <v>46</v>
          </cell>
          <cell r="L198">
            <v>46</v>
          </cell>
          <cell r="M198">
            <v>46</v>
          </cell>
          <cell r="N198">
            <v>65.531874999999999</v>
          </cell>
          <cell r="O198">
            <v>65.531874999999999</v>
          </cell>
        </row>
        <row r="199">
          <cell r="B199" t="str">
            <v>ORONDO</v>
          </cell>
          <cell r="C199">
            <v>52</v>
          </cell>
          <cell r="D199">
            <v>0</v>
          </cell>
          <cell r="F199">
            <v>0</v>
          </cell>
          <cell r="G199">
            <v>0</v>
          </cell>
          <cell r="H199">
            <v>52</v>
          </cell>
          <cell r="I199">
            <v>311</v>
          </cell>
          <cell r="J199">
            <v>0.16720257234726688</v>
          </cell>
          <cell r="K199">
            <v>52</v>
          </cell>
          <cell r="L199">
            <v>52</v>
          </cell>
          <cell r="M199">
            <v>52</v>
          </cell>
          <cell r="N199">
            <v>54.659649999999999</v>
          </cell>
          <cell r="O199">
            <v>54.659649999999999</v>
          </cell>
        </row>
        <row r="200">
          <cell r="B200" t="str">
            <v>OROVILLE</v>
          </cell>
          <cell r="C200">
            <v>195</v>
          </cell>
          <cell r="D200">
            <v>0</v>
          </cell>
          <cell r="F200">
            <v>4</v>
          </cell>
          <cell r="G200">
            <v>0</v>
          </cell>
          <cell r="H200">
            <v>199</v>
          </cell>
          <cell r="I200">
            <v>911</v>
          </cell>
          <cell r="J200">
            <v>0.21844127332601537</v>
          </cell>
          <cell r="K200">
            <v>199</v>
          </cell>
          <cell r="L200">
            <v>199</v>
          </cell>
          <cell r="M200">
            <v>199</v>
          </cell>
          <cell r="N200">
            <v>241.79965000000001</v>
          </cell>
          <cell r="O200">
            <v>241.79965000000001</v>
          </cell>
        </row>
        <row r="201">
          <cell r="B201" t="str">
            <v>ORTING</v>
          </cell>
          <cell r="C201">
            <v>105</v>
          </cell>
          <cell r="D201">
            <v>0</v>
          </cell>
          <cell r="F201">
            <v>7</v>
          </cell>
          <cell r="G201">
            <v>0</v>
          </cell>
          <cell r="H201">
            <v>112</v>
          </cell>
          <cell r="I201">
            <v>2067</v>
          </cell>
          <cell r="J201">
            <v>5.4184808901790033E-2</v>
          </cell>
          <cell r="K201">
            <v>112</v>
          </cell>
          <cell r="L201">
            <v>0</v>
          </cell>
          <cell r="M201">
            <v>112</v>
          </cell>
          <cell r="N201">
            <v>112</v>
          </cell>
          <cell r="O201">
            <v>112</v>
          </cell>
        </row>
        <row r="202">
          <cell r="B202" t="str">
            <v>OTHELLO</v>
          </cell>
          <cell r="C202">
            <v>747</v>
          </cell>
          <cell r="D202">
            <v>0</v>
          </cell>
          <cell r="F202">
            <v>4</v>
          </cell>
          <cell r="G202">
            <v>0</v>
          </cell>
          <cell r="H202">
            <v>751</v>
          </cell>
          <cell r="I202">
            <v>3221</v>
          </cell>
          <cell r="J202">
            <v>0.2331574045327538</v>
          </cell>
          <cell r="K202">
            <v>751</v>
          </cell>
          <cell r="L202">
            <v>751</v>
          </cell>
          <cell r="M202">
            <v>751</v>
          </cell>
          <cell r="N202">
            <v>967.00382500000001</v>
          </cell>
          <cell r="O202">
            <v>967.00382500000001</v>
          </cell>
        </row>
        <row r="203">
          <cell r="B203" t="str">
            <v>PALISADES</v>
          </cell>
          <cell r="C203">
            <v>33</v>
          </cell>
          <cell r="D203">
            <v>0</v>
          </cell>
          <cell r="F203">
            <v>0</v>
          </cell>
          <cell r="G203">
            <v>0</v>
          </cell>
          <cell r="H203">
            <v>33</v>
          </cell>
          <cell r="I203">
            <v>110</v>
          </cell>
          <cell r="J203">
            <v>0.3</v>
          </cell>
          <cell r="K203">
            <v>33</v>
          </cell>
          <cell r="L203">
            <v>33</v>
          </cell>
          <cell r="M203">
            <v>33</v>
          </cell>
          <cell r="N203">
            <v>51.405750000000005</v>
          </cell>
          <cell r="O203">
            <v>51.405750000000005</v>
          </cell>
        </row>
        <row r="204">
          <cell r="B204" t="str">
            <v>PALOUSE</v>
          </cell>
          <cell r="C204">
            <v>9</v>
          </cell>
          <cell r="D204">
            <v>0</v>
          </cell>
          <cell r="F204">
            <v>0</v>
          </cell>
          <cell r="G204">
            <v>0</v>
          </cell>
          <cell r="H204">
            <v>9</v>
          </cell>
          <cell r="I204">
            <v>290</v>
          </cell>
          <cell r="J204">
            <v>3.1034482758620689E-2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B205" t="str">
            <v>PASCO</v>
          </cell>
          <cell r="C205">
            <v>2086</v>
          </cell>
          <cell r="D205">
            <v>0</v>
          </cell>
          <cell r="F205">
            <v>61</v>
          </cell>
          <cell r="G205">
            <v>9</v>
          </cell>
          <cell r="H205">
            <v>2156</v>
          </cell>
          <cell r="I205">
            <v>9901</v>
          </cell>
          <cell r="J205">
            <v>0.21775578224421777</v>
          </cell>
          <cell r="K205">
            <v>2156</v>
          </cell>
          <cell r="L205">
            <v>2156</v>
          </cell>
          <cell r="M205">
            <v>2156</v>
          </cell>
          <cell r="N205">
            <v>2888.5</v>
          </cell>
          <cell r="O205">
            <v>2888.5</v>
          </cell>
        </row>
        <row r="206">
          <cell r="B206" t="str">
            <v>PATEROS</v>
          </cell>
          <cell r="C206">
            <v>38</v>
          </cell>
          <cell r="D206">
            <v>0</v>
          </cell>
          <cell r="F206">
            <v>0</v>
          </cell>
          <cell r="G206">
            <v>0</v>
          </cell>
          <cell r="H206">
            <v>38</v>
          </cell>
          <cell r="I206">
            <v>346</v>
          </cell>
          <cell r="J206">
            <v>0.10982658959537572</v>
          </cell>
          <cell r="K206">
            <v>38</v>
          </cell>
          <cell r="L206">
            <v>0</v>
          </cell>
          <cell r="M206">
            <v>38</v>
          </cell>
          <cell r="N206">
            <v>38</v>
          </cell>
          <cell r="O206">
            <v>38</v>
          </cell>
        </row>
        <row r="207">
          <cell r="B207" t="str">
            <v>PATERSON</v>
          </cell>
          <cell r="C207">
            <v>23</v>
          </cell>
          <cell r="D207">
            <v>0</v>
          </cell>
          <cell r="F207">
            <v>0</v>
          </cell>
          <cell r="G207">
            <v>0</v>
          </cell>
          <cell r="H207">
            <v>23</v>
          </cell>
          <cell r="I207">
            <v>108</v>
          </cell>
          <cell r="J207">
            <v>0.21296296296296297</v>
          </cell>
          <cell r="K207">
            <v>23</v>
          </cell>
          <cell r="L207">
            <v>23</v>
          </cell>
          <cell r="M207">
            <v>23</v>
          </cell>
          <cell r="N207">
            <v>27.630200000000002</v>
          </cell>
          <cell r="O207">
            <v>27.630200000000002</v>
          </cell>
        </row>
        <row r="208">
          <cell r="B208" t="str">
            <v>PE ELL</v>
          </cell>
          <cell r="C208">
            <v>82</v>
          </cell>
          <cell r="D208">
            <v>0</v>
          </cell>
          <cell r="F208">
            <v>5</v>
          </cell>
          <cell r="G208">
            <v>0</v>
          </cell>
          <cell r="H208">
            <v>87</v>
          </cell>
          <cell r="I208">
            <v>336</v>
          </cell>
          <cell r="J208">
            <v>0.25892857142857145</v>
          </cell>
          <cell r="K208">
            <v>87</v>
          </cell>
          <cell r="L208">
            <v>87</v>
          </cell>
          <cell r="M208">
            <v>87</v>
          </cell>
          <cell r="N208">
            <v>122.52120000000002</v>
          </cell>
          <cell r="O208">
            <v>122.52120000000002</v>
          </cell>
        </row>
        <row r="209">
          <cell r="B209" t="str">
            <v>PENINSULA</v>
          </cell>
          <cell r="C209">
            <v>572</v>
          </cell>
          <cell r="D209">
            <v>0</v>
          </cell>
          <cell r="F209">
            <v>62</v>
          </cell>
          <cell r="G209">
            <v>1</v>
          </cell>
          <cell r="H209">
            <v>635</v>
          </cell>
          <cell r="I209">
            <v>11035</v>
          </cell>
          <cell r="J209">
            <v>5.7544177616674221E-2</v>
          </cell>
          <cell r="K209">
            <v>635</v>
          </cell>
          <cell r="L209">
            <v>0</v>
          </cell>
          <cell r="M209">
            <v>635</v>
          </cell>
          <cell r="N209">
            <v>635</v>
          </cell>
          <cell r="O209">
            <v>635</v>
          </cell>
        </row>
        <row r="210">
          <cell r="B210" t="str">
            <v>PIONEER</v>
          </cell>
          <cell r="C210">
            <v>271</v>
          </cell>
          <cell r="D210">
            <v>0</v>
          </cell>
          <cell r="F210">
            <v>16</v>
          </cell>
          <cell r="G210">
            <v>1</v>
          </cell>
          <cell r="H210">
            <v>288</v>
          </cell>
          <cell r="I210">
            <v>1410</v>
          </cell>
          <cell r="J210">
            <v>0.20425531914893616</v>
          </cell>
          <cell r="K210">
            <v>288</v>
          </cell>
          <cell r="L210">
            <v>288</v>
          </cell>
          <cell r="M210">
            <v>288</v>
          </cell>
          <cell r="N210">
            <v>339.24149999999997</v>
          </cell>
          <cell r="O210">
            <v>339.24149999999997</v>
          </cell>
        </row>
        <row r="211">
          <cell r="B211" t="str">
            <v>POMEROY</v>
          </cell>
          <cell r="C211">
            <v>77</v>
          </cell>
          <cell r="D211">
            <v>0</v>
          </cell>
          <cell r="F211">
            <v>3</v>
          </cell>
          <cell r="G211">
            <v>0</v>
          </cell>
          <cell r="H211">
            <v>80</v>
          </cell>
          <cell r="I211">
            <v>501</v>
          </cell>
          <cell r="J211">
            <v>0.15968063872255489</v>
          </cell>
          <cell r="K211">
            <v>80</v>
          </cell>
          <cell r="L211">
            <v>80</v>
          </cell>
          <cell r="M211">
            <v>80</v>
          </cell>
          <cell r="N211">
            <v>81.458150000000003</v>
          </cell>
          <cell r="O211">
            <v>81.458150000000003</v>
          </cell>
        </row>
        <row r="212">
          <cell r="B212" t="str">
            <v>PORT ANGELES</v>
          </cell>
          <cell r="C212">
            <v>642</v>
          </cell>
          <cell r="D212">
            <v>0</v>
          </cell>
          <cell r="F212">
            <v>66</v>
          </cell>
          <cell r="G212">
            <v>0</v>
          </cell>
          <cell r="H212">
            <v>708</v>
          </cell>
          <cell r="I212">
            <v>5224</v>
          </cell>
          <cell r="J212">
            <v>0.13552833078101073</v>
          </cell>
          <cell r="K212">
            <v>708</v>
          </cell>
          <cell r="L212">
            <v>0</v>
          </cell>
          <cell r="M212">
            <v>708</v>
          </cell>
          <cell r="N212">
            <v>716.5</v>
          </cell>
          <cell r="O212">
            <v>716.5</v>
          </cell>
        </row>
        <row r="213">
          <cell r="B213" t="str">
            <v>PORT TOWNSEND</v>
          </cell>
          <cell r="C213">
            <v>268</v>
          </cell>
          <cell r="D213">
            <v>0</v>
          </cell>
          <cell r="F213">
            <v>19</v>
          </cell>
          <cell r="G213">
            <v>0</v>
          </cell>
          <cell r="H213">
            <v>287</v>
          </cell>
          <cell r="I213">
            <v>1956</v>
          </cell>
          <cell r="J213">
            <v>0.1467280163599182</v>
          </cell>
          <cell r="K213">
            <v>287</v>
          </cell>
          <cell r="L213">
            <v>0</v>
          </cell>
          <cell r="M213">
            <v>287</v>
          </cell>
          <cell r="N213">
            <v>287</v>
          </cell>
          <cell r="O213">
            <v>287</v>
          </cell>
        </row>
        <row r="214">
          <cell r="B214" t="str">
            <v>PRESCOTT</v>
          </cell>
          <cell r="C214">
            <v>84</v>
          </cell>
          <cell r="D214">
            <v>0</v>
          </cell>
          <cell r="F214">
            <v>3</v>
          </cell>
          <cell r="G214">
            <v>0</v>
          </cell>
          <cell r="H214">
            <v>87</v>
          </cell>
          <cell r="I214">
            <v>453</v>
          </cell>
          <cell r="J214">
            <v>0.19205298013245034</v>
          </cell>
          <cell r="K214">
            <v>87</v>
          </cell>
          <cell r="L214">
            <v>87</v>
          </cell>
          <cell r="M214">
            <v>87</v>
          </cell>
          <cell r="N214">
            <v>99.316950000000006</v>
          </cell>
          <cell r="O214">
            <v>99.316950000000006</v>
          </cell>
        </row>
        <row r="215">
          <cell r="B215" t="str">
            <v>PROSSER</v>
          </cell>
          <cell r="C215">
            <v>512</v>
          </cell>
          <cell r="D215">
            <v>0</v>
          </cell>
          <cell r="F215">
            <v>8</v>
          </cell>
          <cell r="G215">
            <v>0</v>
          </cell>
          <cell r="H215">
            <v>520</v>
          </cell>
          <cell r="I215">
            <v>2920</v>
          </cell>
          <cell r="J215">
            <v>0.17808219178082191</v>
          </cell>
          <cell r="K215">
            <v>520</v>
          </cell>
          <cell r="L215">
            <v>520</v>
          </cell>
          <cell r="M215">
            <v>520</v>
          </cell>
          <cell r="N215">
            <v>568.798</v>
          </cell>
          <cell r="O215">
            <v>568.798</v>
          </cell>
        </row>
        <row r="216">
          <cell r="B216" t="str">
            <v>PULLMAN</v>
          </cell>
          <cell r="C216">
            <v>344</v>
          </cell>
          <cell r="D216">
            <v>0</v>
          </cell>
          <cell r="F216">
            <v>11</v>
          </cell>
          <cell r="G216">
            <v>0</v>
          </cell>
          <cell r="H216">
            <v>355</v>
          </cell>
          <cell r="I216">
            <v>2552</v>
          </cell>
          <cell r="J216">
            <v>0.1391065830721003</v>
          </cell>
          <cell r="K216">
            <v>355</v>
          </cell>
          <cell r="L216">
            <v>0</v>
          </cell>
          <cell r="M216">
            <v>355</v>
          </cell>
          <cell r="N216">
            <v>355</v>
          </cell>
          <cell r="O216">
            <v>355</v>
          </cell>
        </row>
        <row r="217">
          <cell r="B217" t="str">
            <v>PUYALLUP</v>
          </cell>
          <cell r="C217">
            <v>977</v>
          </cell>
          <cell r="D217">
            <v>0</v>
          </cell>
          <cell r="F217">
            <v>92</v>
          </cell>
          <cell r="G217">
            <v>8</v>
          </cell>
          <cell r="H217">
            <v>1077</v>
          </cell>
          <cell r="I217">
            <v>20219</v>
          </cell>
          <cell r="J217">
            <v>5.3266729314011572E-2</v>
          </cell>
          <cell r="K217">
            <v>1077</v>
          </cell>
          <cell r="L217">
            <v>0</v>
          </cell>
          <cell r="M217">
            <v>1077</v>
          </cell>
          <cell r="N217">
            <v>1270</v>
          </cell>
          <cell r="O217">
            <v>1270</v>
          </cell>
        </row>
        <row r="218">
          <cell r="B218" t="str">
            <v>QUEETS-CLEARWATER</v>
          </cell>
          <cell r="C218">
            <v>45</v>
          </cell>
          <cell r="D218">
            <v>0</v>
          </cell>
          <cell r="F218">
            <v>1</v>
          </cell>
          <cell r="G218">
            <v>0</v>
          </cell>
          <cell r="H218">
            <v>46</v>
          </cell>
          <cell r="I218">
            <v>79</v>
          </cell>
          <cell r="J218">
            <v>0.58227848101265822</v>
          </cell>
          <cell r="K218">
            <v>46</v>
          </cell>
          <cell r="L218">
            <v>46</v>
          </cell>
          <cell r="M218">
            <v>46</v>
          </cell>
          <cell r="N218">
            <v>121.14167499999999</v>
          </cell>
          <cell r="O218">
            <v>121.14167499999999</v>
          </cell>
        </row>
        <row r="219">
          <cell r="B219" t="str">
            <v>QUILCENE</v>
          </cell>
          <cell r="C219">
            <v>64</v>
          </cell>
          <cell r="D219">
            <v>0</v>
          </cell>
          <cell r="F219">
            <v>3</v>
          </cell>
          <cell r="G219">
            <v>0</v>
          </cell>
          <cell r="H219">
            <v>67</v>
          </cell>
          <cell r="I219">
            <v>303</v>
          </cell>
          <cell r="J219">
            <v>0.22112211221122113</v>
          </cell>
          <cell r="K219">
            <v>67</v>
          </cell>
          <cell r="L219">
            <v>67</v>
          </cell>
          <cell r="M219">
            <v>67</v>
          </cell>
          <cell r="N219">
            <v>81.849474999999984</v>
          </cell>
          <cell r="O219">
            <v>81.849474999999984</v>
          </cell>
        </row>
        <row r="220">
          <cell r="B220" t="str">
            <v>QUILLAYUTE VALLEY</v>
          </cell>
          <cell r="C220">
            <v>292</v>
          </cell>
          <cell r="D220">
            <v>0</v>
          </cell>
          <cell r="F220">
            <v>15</v>
          </cell>
          <cell r="G220">
            <v>0</v>
          </cell>
          <cell r="H220">
            <v>307</v>
          </cell>
          <cell r="I220">
            <v>1474</v>
          </cell>
          <cell r="J220">
            <v>0.20827679782903663</v>
          </cell>
          <cell r="K220">
            <v>307</v>
          </cell>
          <cell r="L220">
            <v>307</v>
          </cell>
          <cell r="M220">
            <v>307</v>
          </cell>
          <cell r="N220">
            <v>365.01310000000001</v>
          </cell>
          <cell r="O220">
            <v>365.01310000000001</v>
          </cell>
        </row>
        <row r="221">
          <cell r="B221" t="str">
            <v>QUINAULT</v>
          </cell>
          <cell r="C221">
            <v>46</v>
          </cell>
          <cell r="D221">
            <v>0</v>
          </cell>
          <cell r="F221">
            <v>2</v>
          </cell>
          <cell r="G221">
            <v>0</v>
          </cell>
          <cell r="H221">
            <v>48</v>
          </cell>
          <cell r="I221">
            <v>304</v>
          </cell>
          <cell r="J221">
            <v>0.15789473684210525</v>
          </cell>
          <cell r="K221">
            <v>48</v>
          </cell>
          <cell r="L221">
            <v>48</v>
          </cell>
          <cell r="M221">
            <v>48</v>
          </cell>
          <cell r="N221">
            <v>48.477600000000002</v>
          </cell>
          <cell r="O221">
            <v>48.477600000000002</v>
          </cell>
        </row>
        <row r="222">
          <cell r="B222" t="str">
            <v>QUINCY</v>
          </cell>
          <cell r="C222">
            <v>446</v>
          </cell>
          <cell r="D222">
            <v>0</v>
          </cell>
          <cell r="F222">
            <v>8</v>
          </cell>
          <cell r="G222">
            <v>0</v>
          </cell>
          <cell r="H222">
            <v>454</v>
          </cell>
          <cell r="I222">
            <v>2447</v>
          </cell>
          <cell r="J222">
            <v>0.18553330608908869</v>
          </cell>
          <cell r="K222">
            <v>454</v>
          </cell>
          <cell r="L222">
            <v>454</v>
          </cell>
          <cell r="M222">
            <v>454</v>
          </cell>
          <cell r="N222">
            <v>508.56805000000003</v>
          </cell>
          <cell r="O222">
            <v>508.56805000000003</v>
          </cell>
        </row>
        <row r="223">
          <cell r="B223" t="str">
            <v>RAINIER</v>
          </cell>
          <cell r="C223">
            <v>85</v>
          </cell>
          <cell r="D223">
            <v>0</v>
          </cell>
          <cell r="F223">
            <v>15</v>
          </cell>
          <cell r="G223">
            <v>0</v>
          </cell>
          <cell r="H223">
            <v>100</v>
          </cell>
          <cell r="I223">
            <v>934</v>
          </cell>
          <cell r="J223">
            <v>0.10706638115631692</v>
          </cell>
          <cell r="K223">
            <v>100</v>
          </cell>
          <cell r="L223">
            <v>0</v>
          </cell>
          <cell r="M223">
            <v>100</v>
          </cell>
          <cell r="N223">
            <v>100</v>
          </cell>
          <cell r="O223">
            <v>100</v>
          </cell>
        </row>
        <row r="224">
          <cell r="B224" t="str">
            <v>RAYMOND</v>
          </cell>
          <cell r="C224">
            <v>176</v>
          </cell>
          <cell r="D224">
            <v>0</v>
          </cell>
          <cell r="F224">
            <v>7</v>
          </cell>
          <cell r="G224">
            <v>0</v>
          </cell>
          <cell r="H224">
            <v>183</v>
          </cell>
          <cell r="I224">
            <v>732</v>
          </cell>
          <cell r="J224">
            <v>0.25</v>
          </cell>
          <cell r="K224">
            <v>183</v>
          </cell>
          <cell r="L224">
            <v>183</v>
          </cell>
          <cell r="M224">
            <v>183</v>
          </cell>
          <cell r="N224">
            <v>250.58190000000005</v>
          </cell>
          <cell r="O224">
            <v>250.58190000000005</v>
          </cell>
        </row>
        <row r="225">
          <cell r="B225" t="str">
            <v>REARDAN-EDWALL</v>
          </cell>
          <cell r="C225">
            <v>76</v>
          </cell>
          <cell r="D225">
            <v>0</v>
          </cell>
          <cell r="F225">
            <v>8</v>
          </cell>
          <cell r="G225">
            <v>0</v>
          </cell>
          <cell r="H225">
            <v>84</v>
          </cell>
          <cell r="I225">
            <v>793</v>
          </cell>
          <cell r="J225">
            <v>0.10592686002522068</v>
          </cell>
          <cell r="K225">
            <v>84</v>
          </cell>
          <cell r="L225">
            <v>0</v>
          </cell>
          <cell r="M225">
            <v>84</v>
          </cell>
          <cell r="N225">
            <v>84</v>
          </cell>
          <cell r="O225">
            <v>84</v>
          </cell>
        </row>
        <row r="226">
          <cell r="B226" t="str">
            <v>RENTON</v>
          </cell>
          <cell r="C226">
            <v>1622</v>
          </cell>
          <cell r="D226">
            <v>0</v>
          </cell>
          <cell r="F226">
            <v>108</v>
          </cell>
          <cell r="G226">
            <v>10</v>
          </cell>
          <cell r="H226">
            <v>1740</v>
          </cell>
          <cell r="I226">
            <v>15231</v>
          </cell>
          <cell r="J226">
            <v>0.11424069332282845</v>
          </cell>
          <cell r="K226">
            <v>1740</v>
          </cell>
          <cell r="L226">
            <v>0</v>
          </cell>
          <cell r="M226">
            <v>1740</v>
          </cell>
          <cell r="N226">
            <v>2264.5</v>
          </cell>
          <cell r="O226">
            <v>2264.5</v>
          </cell>
        </row>
        <row r="227">
          <cell r="B227" t="str">
            <v>REPUBLIC</v>
          </cell>
          <cell r="C227">
            <v>116</v>
          </cell>
          <cell r="D227">
            <v>0</v>
          </cell>
          <cell r="F227">
            <v>5</v>
          </cell>
          <cell r="G227">
            <v>0</v>
          </cell>
          <cell r="H227">
            <v>121</v>
          </cell>
          <cell r="I227">
            <v>567</v>
          </cell>
          <cell r="J227">
            <v>0.21340388007054673</v>
          </cell>
          <cell r="K227">
            <v>121</v>
          </cell>
          <cell r="L227">
            <v>121</v>
          </cell>
          <cell r="M227">
            <v>121</v>
          </cell>
          <cell r="N227">
            <v>145.49605</v>
          </cell>
          <cell r="O227">
            <v>145.49605</v>
          </cell>
        </row>
        <row r="228">
          <cell r="B228" t="str">
            <v>RICHLAND</v>
          </cell>
          <cell r="C228">
            <v>871</v>
          </cell>
          <cell r="D228">
            <v>0</v>
          </cell>
          <cell r="F228">
            <v>19</v>
          </cell>
          <cell r="G228">
            <v>0</v>
          </cell>
          <cell r="H228">
            <v>890</v>
          </cell>
          <cell r="I228">
            <v>10566</v>
          </cell>
          <cell r="J228">
            <v>8.4232443687298889E-2</v>
          </cell>
          <cell r="K228">
            <v>890</v>
          </cell>
          <cell r="L228">
            <v>0</v>
          </cell>
          <cell r="M228">
            <v>890</v>
          </cell>
          <cell r="N228">
            <v>989.5</v>
          </cell>
          <cell r="O228">
            <v>989.5</v>
          </cell>
        </row>
        <row r="229">
          <cell r="B229" t="str">
            <v>RIDGEFIELD</v>
          </cell>
          <cell r="C229">
            <v>168</v>
          </cell>
          <cell r="D229">
            <v>0</v>
          </cell>
          <cell r="F229">
            <v>3</v>
          </cell>
          <cell r="G229">
            <v>0</v>
          </cell>
          <cell r="H229">
            <v>171</v>
          </cell>
          <cell r="I229">
            <v>2116</v>
          </cell>
          <cell r="J229">
            <v>8.081285444234404E-2</v>
          </cell>
          <cell r="K229">
            <v>171</v>
          </cell>
          <cell r="L229">
            <v>0</v>
          </cell>
          <cell r="M229">
            <v>171</v>
          </cell>
          <cell r="N229">
            <v>171</v>
          </cell>
          <cell r="O229">
            <v>171</v>
          </cell>
        </row>
        <row r="230">
          <cell r="B230" t="str">
            <v>RITZVILLE</v>
          </cell>
          <cell r="C230">
            <v>63</v>
          </cell>
          <cell r="D230">
            <v>0</v>
          </cell>
          <cell r="F230">
            <v>0</v>
          </cell>
          <cell r="G230">
            <v>0</v>
          </cell>
          <cell r="H230">
            <v>63</v>
          </cell>
          <cell r="I230">
            <v>452</v>
          </cell>
          <cell r="J230">
            <v>0.13938053097345132</v>
          </cell>
          <cell r="K230">
            <v>63</v>
          </cell>
          <cell r="L230">
            <v>0</v>
          </cell>
          <cell r="M230">
            <v>63</v>
          </cell>
          <cell r="N230">
            <v>63</v>
          </cell>
          <cell r="O230">
            <v>63</v>
          </cell>
        </row>
        <row r="231">
          <cell r="B231" t="str">
            <v>RIVERSIDE</v>
          </cell>
          <cell r="C231">
            <v>279</v>
          </cell>
          <cell r="D231">
            <v>0</v>
          </cell>
          <cell r="F231">
            <v>29</v>
          </cell>
          <cell r="G231">
            <v>6</v>
          </cell>
          <cell r="H231">
            <v>314</v>
          </cell>
          <cell r="I231">
            <v>2270</v>
          </cell>
          <cell r="J231">
            <v>0.13832599118942732</v>
          </cell>
          <cell r="K231">
            <v>314</v>
          </cell>
          <cell r="L231">
            <v>0</v>
          </cell>
          <cell r="M231">
            <v>314</v>
          </cell>
          <cell r="N231">
            <v>314</v>
          </cell>
          <cell r="O231">
            <v>314</v>
          </cell>
        </row>
        <row r="232">
          <cell r="B232" t="str">
            <v>RIVERVIEW</v>
          </cell>
          <cell r="C232">
            <v>156</v>
          </cell>
          <cell r="D232">
            <v>0</v>
          </cell>
          <cell r="F232">
            <v>17</v>
          </cell>
          <cell r="G232">
            <v>0</v>
          </cell>
          <cell r="H232">
            <v>173</v>
          </cell>
          <cell r="I232">
            <v>3629</v>
          </cell>
          <cell r="J232">
            <v>4.767153485808763E-2</v>
          </cell>
          <cell r="K232">
            <v>173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ROCHESTER</v>
          </cell>
          <cell r="C233">
            <v>255</v>
          </cell>
          <cell r="D233">
            <v>0</v>
          </cell>
          <cell r="F233">
            <v>17</v>
          </cell>
          <cell r="G233">
            <v>3</v>
          </cell>
          <cell r="H233">
            <v>275</v>
          </cell>
          <cell r="I233">
            <v>2318</v>
          </cell>
          <cell r="J233">
            <v>0.1186367558239862</v>
          </cell>
          <cell r="K233">
            <v>275</v>
          </cell>
          <cell r="L233">
            <v>0</v>
          </cell>
          <cell r="M233">
            <v>275</v>
          </cell>
          <cell r="N233">
            <v>275</v>
          </cell>
          <cell r="O233">
            <v>275</v>
          </cell>
        </row>
        <row r="234">
          <cell r="B234" t="str">
            <v>ROOSEVELT</v>
          </cell>
          <cell r="C234">
            <v>10</v>
          </cell>
          <cell r="D234">
            <v>0</v>
          </cell>
          <cell r="F234">
            <v>0</v>
          </cell>
          <cell r="G234">
            <v>0</v>
          </cell>
          <cell r="H234">
            <v>10</v>
          </cell>
          <cell r="I234">
            <v>35</v>
          </cell>
          <cell r="J234">
            <v>0.2857142857142857</v>
          </cell>
          <cell r="K234">
            <v>10</v>
          </cell>
          <cell r="L234">
            <v>10</v>
          </cell>
          <cell r="M234">
            <v>10</v>
          </cell>
          <cell r="N234">
            <v>15.106375000000002</v>
          </cell>
          <cell r="O234">
            <v>15.106375000000002</v>
          </cell>
        </row>
        <row r="235">
          <cell r="B235" t="str">
            <v>ROSALIA</v>
          </cell>
          <cell r="C235">
            <v>67</v>
          </cell>
          <cell r="D235">
            <v>0</v>
          </cell>
          <cell r="F235">
            <v>1</v>
          </cell>
          <cell r="G235">
            <v>0</v>
          </cell>
          <cell r="H235">
            <v>68</v>
          </cell>
          <cell r="I235">
            <v>292</v>
          </cell>
          <cell r="J235">
            <v>0.23287671232876711</v>
          </cell>
          <cell r="K235">
            <v>68</v>
          </cell>
          <cell r="L235">
            <v>68</v>
          </cell>
          <cell r="M235">
            <v>68</v>
          </cell>
          <cell r="N235">
            <v>87.4589</v>
          </cell>
          <cell r="O235">
            <v>87.4589</v>
          </cell>
        </row>
        <row r="236">
          <cell r="B236" t="str">
            <v>ROYAL</v>
          </cell>
          <cell r="C236">
            <v>345</v>
          </cell>
          <cell r="D236">
            <v>0</v>
          </cell>
          <cell r="F236">
            <v>1</v>
          </cell>
          <cell r="G236">
            <v>0</v>
          </cell>
          <cell r="H236">
            <v>346</v>
          </cell>
          <cell r="I236">
            <v>1488</v>
          </cell>
          <cell r="J236">
            <v>0.2325268817204301</v>
          </cell>
          <cell r="K236">
            <v>346</v>
          </cell>
          <cell r="L236">
            <v>346</v>
          </cell>
          <cell r="M236">
            <v>346</v>
          </cell>
          <cell r="N236">
            <v>444.37959999999998</v>
          </cell>
          <cell r="O236">
            <v>444.37959999999998</v>
          </cell>
        </row>
        <row r="237">
          <cell r="B237" t="str">
            <v>SAN JUAN ISLAND</v>
          </cell>
          <cell r="C237">
            <v>58</v>
          </cell>
          <cell r="D237">
            <v>0</v>
          </cell>
          <cell r="F237">
            <v>2</v>
          </cell>
          <cell r="G237">
            <v>0</v>
          </cell>
          <cell r="H237">
            <v>60</v>
          </cell>
          <cell r="I237">
            <v>1121</v>
          </cell>
          <cell r="J237">
            <v>5.352363960749331E-2</v>
          </cell>
          <cell r="K237">
            <v>60</v>
          </cell>
          <cell r="L237">
            <v>0</v>
          </cell>
          <cell r="M237">
            <v>60</v>
          </cell>
          <cell r="N237">
            <v>60</v>
          </cell>
          <cell r="O237">
            <v>60</v>
          </cell>
        </row>
        <row r="238">
          <cell r="B238" t="str">
            <v>SATSOP</v>
          </cell>
          <cell r="C238">
            <v>24</v>
          </cell>
          <cell r="D238">
            <v>0</v>
          </cell>
          <cell r="F238">
            <v>2</v>
          </cell>
          <cell r="G238">
            <v>0</v>
          </cell>
          <cell r="H238">
            <v>26</v>
          </cell>
          <cell r="I238">
            <v>148</v>
          </cell>
          <cell r="J238">
            <v>0.17567567567567569</v>
          </cell>
          <cell r="K238">
            <v>26</v>
          </cell>
          <cell r="L238">
            <v>26</v>
          </cell>
          <cell r="M238">
            <v>26</v>
          </cell>
          <cell r="N238">
            <v>28.206200000000003</v>
          </cell>
          <cell r="O238">
            <v>28.206200000000003</v>
          </cell>
        </row>
        <row r="239">
          <cell r="B239" t="str">
            <v>SEATTLE</v>
          </cell>
          <cell r="C239">
            <v>7796</v>
          </cell>
          <cell r="D239">
            <v>0</v>
          </cell>
          <cell r="F239">
            <v>646</v>
          </cell>
          <cell r="G239">
            <v>44</v>
          </cell>
          <cell r="H239">
            <v>8486</v>
          </cell>
          <cell r="I239">
            <v>61683</v>
          </cell>
          <cell r="J239">
            <v>0.13757437219331095</v>
          </cell>
          <cell r="K239">
            <v>8486</v>
          </cell>
          <cell r="L239">
            <v>8486</v>
          </cell>
          <cell r="M239">
            <v>8486</v>
          </cell>
          <cell r="N239">
            <v>15813</v>
          </cell>
          <cell r="O239">
            <v>15813</v>
          </cell>
        </row>
        <row r="240">
          <cell r="B240" t="str">
            <v>SEDRO-WOOLLEY</v>
          </cell>
          <cell r="C240">
            <v>488</v>
          </cell>
          <cell r="D240">
            <v>0</v>
          </cell>
          <cell r="F240">
            <v>37</v>
          </cell>
          <cell r="G240">
            <v>4</v>
          </cell>
          <cell r="H240">
            <v>529</v>
          </cell>
          <cell r="I240">
            <v>4668</v>
          </cell>
          <cell r="J240">
            <v>0.11332476435304199</v>
          </cell>
          <cell r="K240">
            <v>529</v>
          </cell>
          <cell r="L240">
            <v>0</v>
          </cell>
          <cell r="M240">
            <v>529</v>
          </cell>
          <cell r="N240">
            <v>529</v>
          </cell>
          <cell r="O240">
            <v>529</v>
          </cell>
        </row>
        <row r="241">
          <cell r="B241" t="str">
            <v>SELAH</v>
          </cell>
          <cell r="C241">
            <v>374</v>
          </cell>
          <cell r="D241">
            <v>0</v>
          </cell>
          <cell r="F241">
            <v>17</v>
          </cell>
          <cell r="G241">
            <v>0</v>
          </cell>
          <cell r="H241">
            <v>391</v>
          </cell>
          <cell r="I241">
            <v>3917</v>
          </cell>
          <cell r="J241">
            <v>9.9821291804952764E-2</v>
          </cell>
          <cell r="K241">
            <v>391</v>
          </cell>
          <cell r="L241">
            <v>0</v>
          </cell>
          <cell r="M241">
            <v>391</v>
          </cell>
          <cell r="N241">
            <v>391</v>
          </cell>
          <cell r="O241">
            <v>391</v>
          </cell>
        </row>
        <row r="242">
          <cell r="B242" t="str">
            <v>SELKIRK</v>
          </cell>
          <cell r="C242">
            <v>87</v>
          </cell>
          <cell r="D242">
            <v>0</v>
          </cell>
          <cell r="F242">
            <v>2</v>
          </cell>
          <cell r="G242">
            <v>0</v>
          </cell>
          <cell r="H242">
            <v>89</v>
          </cell>
          <cell r="I242">
            <v>426</v>
          </cell>
          <cell r="J242">
            <v>0.20892018779342722</v>
          </cell>
          <cell r="K242">
            <v>89</v>
          </cell>
          <cell r="L242">
            <v>89</v>
          </cell>
          <cell r="M242">
            <v>89</v>
          </cell>
          <cell r="N242">
            <v>105.97190000000001</v>
          </cell>
          <cell r="O242">
            <v>105.97190000000001</v>
          </cell>
        </row>
        <row r="243">
          <cell r="B243" t="str">
            <v>SEQUIM</v>
          </cell>
          <cell r="C243">
            <v>404</v>
          </cell>
          <cell r="D243">
            <v>0</v>
          </cell>
          <cell r="F243">
            <v>27</v>
          </cell>
          <cell r="G243">
            <v>0</v>
          </cell>
          <cell r="H243">
            <v>431</v>
          </cell>
          <cell r="I243">
            <v>3111</v>
          </cell>
          <cell r="J243">
            <v>0.13854066216650596</v>
          </cell>
          <cell r="K243">
            <v>431</v>
          </cell>
          <cell r="L243">
            <v>0</v>
          </cell>
          <cell r="M243">
            <v>431</v>
          </cell>
          <cell r="N243">
            <v>431</v>
          </cell>
          <cell r="O243">
            <v>431</v>
          </cell>
        </row>
        <row r="244">
          <cell r="B244" t="str">
            <v>SHAW ISLAND</v>
          </cell>
          <cell r="C244">
            <v>5</v>
          </cell>
          <cell r="D244">
            <v>0</v>
          </cell>
          <cell r="F244">
            <v>0</v>
          </cell>
          <cell r="G244">
            <v>0</v>
          </cell>
          <cell r="H244">
            <v>5</v>
          </cell>
          <cell r="I244">
            <v>29</v>
          </cell>
          <cell r="J244">
            <v>0.17241379310344829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SHELTON</v>
          </cell>
          <cell r="C245">
            <v>585</v>
          </cell>
          <cell r="D245">
            <v>0</v>
          </cell>
          <cell r="F245">
            <v>60</v>
          </cell>
          <cell r="G245">
            <v>6</v>
          </cell>
          <cell r="H245">
            <v>651</v>
          </cell>
          <cell r="I245">
            <v>3754</v>
          </cell>
          <cell r="J245">
            <v>0.17341502397442729</v>
          </cell>
          <cell r="K245">
            <v>651</v>
          </cell>
          <cell r="L245">
            <v>651</v>
          </cell>
          <cell r="M245">
            <v>651</v>
          </cell>
          <cell r="N245">
            <v>700.5951</v>
          </cell>
          <cell r="O245">
            <v>700.5951</v>
          </cell>
        </row>
        <row r="246">
          <cell r="B246" t="str">
            <v>SHORELINE</v>
          </cell>
          <cell r="C246">
            <v>481</v>
          </cell>
          <cell r="D246">
            <v>0</v>
          </cell>
          <cell r="F246">
            <v>30</v>
          </cell>
          <cell r="G246">
            <v>3</v>
          </cell>
          <cell r="H246">
            <v>514</v>
          </cell>
          <cell r="I246">
            <v>11442</v>
          </cell>
          <cell r="J246">
            <v>4.4922216395735008E-2</v>
          </cell>
          <cell r="K246">
            <v>514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SKAMANIA</v>
          </cell>
          <cell r="C247">
            <v>7</v>
          </cell>
          <cell r="D247">
            <v>0</v>
          </cell>
          <cell r="F247">
            <v>1</v>
          </cell>
          <cell r="G247">
            <v>0</v>
          </cell>
          <cell r="H247">
            <v>8</v>
          </cell>
          <cell r="I247">
            <v>181</v>
          </cell>
          <cell r="J247">
            <v>4.4198895027624308E-2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SKYKOMISH</v>
          </cell>
          <cell r="C248">
            <v>15</v>
          </cell>
          <cell r="D248">
            <v>0</v>
          </cell>
          <cell r="F248">
            <v>0</v>
          </cell>
          <cell r="G248">
            <v>0</v>
          </cell>
          <cell r="H248">
            <v>15</v>
          </cell>
          <cell r="I248">
            <v>96</v>
          </cell>
          <cell r="J248">
            <v>0.15625</v>
          </cell>
          <cell r="K248">
            <v>15</v>
          </cell>
          <cell r="L248">
            <v>15</v>
          </cell>
          <cell r="M248">
            <v>15</v>
          </cell>
          <cell r="N248">
            <v>15.032400000000001</v>
          </cell>
          <cell r="O248">
            <v>15.032400000000001</v>
          </cell>
        </row>
        <row r="249">
          <cell r="B249" t="str">
            <v>SNOHOMISH</v>
          </cell>
          <cell r="C249">
            <v>493</v>
          </cell>
          <cell r="D249">
            <v>0</v>
          </cell>
          <cell r="F249">
            <v>48</v>
          </cell>
          <cell r="G249">
            <v>3</v>
          </cell>
          <cell r="H249">
            <v>544</v>
          </cell>
          <cell r="I249">
            <v>10177</v>
          </cell>
          <cell r="J249">
            <v>5.3453866561855162E-2</v>
          </cell>
          <cell r="K249">
            <v>544</v>
          </cell>
          <cell r="L249">
            <v>0</v>
          </cell>
          <cell r="M249">
            <v>544</v>
          </cell>
          <cell r="N249">
            <v>544</v>
          </cell>
          <cell r="O249">
            <v>544</v>
          </cell>
        </row>
        <row r="250">
          <cell r="B250" t="str">
            <v>SNOQUALMIE VALLEY</v>
          </cell>
          <cell r="C250">
            <v>255</v>
          </cell>
          <cell r="D250">
            <v>0</v>
          </cell>
          <cell r="F250">
            <v>5</v>
          </cell>
          <cell r="G250">
            <v>0</v>
          </cell>
          <cell r="H250">
            <v>260</v>
          </cell>
          <cell r="I250">
            <v>5317</v>
          </cell>
          <cell r="J250">
            <v>4.8899755501222497E-2</v>
          </cell>
          <cell r="K250">
            <v>260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SOAP LAKE</v>
          </cell>
          <cell r="C251">
            <v>225</v>
          </cell>
          <cell r="D251">
            <v>0</v>
          </cell>
          <cell r="F251">
            <v>4</v>
          </cell>
          <cell r="G251">
            <v>0</v>
          </cell>
          <cell r="H251">
            <v>229</v>
          </cell>
          <cell r="I251">
            <v>592</v>
          </cell>
          <cell r="J251">
            <v>0.38682432432432434</v>
          </cell>
          <cell r="K251">
            <v>229</v>
          </cell>
          <cell r="L251">
            <v>229</v>
          </cell>
          <cell r="M251">
            <v>229</v>
          </cell>
          <cell r="N251">
            <v>444.96040000000005</v>
          </cell>
          <cell r="O251">
            <v>444.96040000000005</v>
          </cell>
        </row>
        <row r="252">
          <cell r="B252" t="str">
            <v>SOUTH BEND</v>
          </cell>
          <cell r="C252">
            <v>111</v>
          </cell>
          <cell r="D252">
            <v>0</v>
          </cell>
          <cell r="F252">
            <v>8</v>
          </cell>
          <cell r="G252">
            <v>0</v>
          </cell>
          <cell r="H252">
            <v>119</v>
          </cell>
          <cell r="I252">
            <v>532</v>
          </cell>
          <cell r="J252">
            <v>0.22368421052631579</v>
          </cell>
          <cell r="K252">
            <v>119</v>
          </cell>
          <cell r="L252">
            <v>119</v>
          </cell>
          <cell r="M252">
            <v>119</v>
          </cell>
          <cell r="N252">
            <v>147.11689999999999</v>
          </cell>
          <cell r="O252">
            <v>147.11689999999999</v>
          </cell>
        </row>
        <row r="253">
          <cell r="B253" t="str">
            <v>SOUTH KITSAP</v>
          </cell>
          <cell r="C253">
            <v>1200</v>
          </cell>
          <cell r="D253">
            <v>0</v>
          </cell>
          <cell r="F253">
            <v>143</v>
          </cell>
          <cell r="G253">
            <v>5</v>
          </cell>
          <cell r="H253">
            <v>1348</v>
          </cell>
          <cell r="I253">
            <v>13033</v>
          </cell>
          <cell r="J253">
            <v>0.10342975523670682</v>
          </cell>
          <cell r="K253">
            <v>1348</v>
          </cell>
          <cell r="L253">
            <v>0</v>
          </cell>
          <cell r="M253">
            <v>1348</v>
          </cell>
          <cell r="N253">
            <v>1676.5</v>
          </cell>
          <cell r="O253">
            <v>1676.5</v>
          </cell>
        </row>
        <row r="254">
          <cell r="B254" t="str">
            <v>SOUTH WHIDBEY</v>
          </cell>
          <cell r="C254">
            <v>203</v>
          </cell>
          <cell r="D254">
            <v>0</v>
          </cell>
          <cell r="F254">
            <v>9</v>
          </cell>
          <cell r="G254">
            <v>0</v>
          </cell>
          <cell r="H254">
            <v>212</v>
          </cell>
          <cell r="I254">
            <v>2610</v>
          </cell>
          <cell r="J254">
            <v>8.1226053639846738E-2</v>
          </cell>
          <cell r="K254">
            <v>212</v>
          </cell>
          <cell r="L254">
            <v>0</v>
          </cell>
          <cell r="M254">
            <v>212</v>
          </cell>
          <cell r="N254">
            <v>212</v>
          </cell>
          <cell r="O254">
            <v>212</v>
          </cell>
        </row>
        <row r="255">
          <cell r="B255" t="str">
            <v>SOUTHSIDE</v>
          </cell>
          <cell r="C255">
            <v>40</v>
          </cell>
          <cell r="D255">
            <v>0</v>
          </cell>
          <cell r="F255">
            <v>7</v>
          </cell>
          <cell r="G255">
            <v>1</v>
          </cell>
          <cell r="H255">
            <v>48</v>
          </cell>
          <cell r="I255">
            <v>387</v>
          </cell>
          <cell r="J255">
            <v>0.12403100775193798</v>
          </cell>
          <cell r="K255">
            <v>48</v>
          </cell>
          <cell r="L255">
            <v>0</v>
          </cell>
          <cell r="M255">
            <v>48</v>
          </cell>
          <cell r="N255">
            <v>48</v>
          </cell>
          <cell r="O255">
            <v>48</v>
          </cell>
        </row>
        <row r="256">
          <cell r="B256" t="str">
            <v>SPOKANE</v>
          </cell>
          <cell r="C256">
            <v>6355</v>
          </cell>
          <cell r="D256">
            <v>0</v>
          </cell>
          <cell r="F256">
            <v>291</v>
          </cell>
          <cell r="G256">
            <v>55</v>
          </cell>
          <cell r="H256">
            <v>6701</v>
          </cell>
          <cell r="I256">
            <v>37525</v>
          </cell>
          <cell r="J256">
            <v>0.17857428381079279</v>
          </cell>
          <cell r="K256">
            <v>6701</v>
          </cell>
          <cell r="L256">
            <v>6701</v>
          </cell>
          <cell r="M256">
            <v>6701</v>
          </cell>
          <cell r="N256">
            <v>11925.5</v>
          </cell>
          <cell r="O256">
            <v>11925.5</v>
          </cell>
        </row>
        <row r="257">
          <cell r="B257" t="str">
            <v>SPRAGUE</v>
          </cell>
          <cell r="C257">
            <v>30</v>
          </cell>
          <cell r="D257">
            <v>0</v>
          </cell>
          <cell r="F257">
            <v>0</v>
          </cell>
          <cell r="G257">
            <v>0</v>
          </cell>
          <cell r="H257">
            <v>30</v>
          </cell>
          <cell r="I257">
            <v>148</v>
          </cell>
          <cell r="J257">
            <v>0.20270270270270271</v>
          </cell>
          <cell r="K257">
            <v>30</v>
          </cell>
          <cell r="L257">
            <v>30</v>
          </cell>
          <cell r="M257">
            <v>30</v>
          </cell>
          <cell r="N257">
            <v>35.206200000000003</v>
          </cell>
          <cell r="O257">
            <v>35.206200000000003</v>
          </cell>
        </row>
        <row r="258">
          <cell r="B258" t="str">
            <v>ST JOHN</v>
          </cell>
          <cell r="C258">
            <v>36</v>
          </cell>
          <cell r="D258">
            <v>0</v>
          </cell>
          <cell r="F258">
            <v>0</v>
          </cell>
          <cell r="G258">
            <v>0</v>
          </cell>
          <cell r="H258">
            <v>36</v>
          </cell>
          <cell r="I258">
            <v>210</v>
          </cell>
          <cell r="J258">
            <v>0.17142857142857143</v>
          </cell>
          <cell r="K258">
            <v>36</v>
          </cell>
          <cell r="L258">
            <v>36</v>
          </cell>
          <cell r="M258">
            <v>36</v>
          </cell>
          <cell r="N258">
            <v>38.461500000000001</v>
          </cell>
          <cell r="O258">
            <v>38.461500000000001</v>
          </cell>
        </row>
        <row r="259">
          <cell r="B259" t="str">
            <v>STANWOOD</v>
          </cell>
          <cell r="C259">
            <v>457</v>
          </cell>
          <cell r="D259">
            <v>0</v>
          </cell>
          <cell r="F259">
            <v>37</v>
          </cell>
          <cell r="G259">
            <v>2</v>
          </cell>
          <cell r="H259">
            <v>496</v>
          </cell>
          <cell r="I259">
            <v>5745</v>
          </cell>
          <cell r="J259">
            <v>8.6335944299390774E-2</v>
          </cell>
          <cell r="K259">
            <v>496</v>
          </cell>
          <cell r="L259">
            <v>0</v>
          </cell>
          <cell r="M259">
            <v>496</v>
          </cell>
          <cell r="N259">
            <v>496</v>
          </cell>
          <cell r="O259">
            <v>496</v>
          </cell>
        </row>
        <row r="260">
          <cell r="B260" t="str">
            <v>STAR</v>
          </cell>
          <cell r="C260">
            <v>2</v>
          </cell>
          <cell r="D260">
            <v>0</v>
          </cell>
          <cell r="F260">
            <v>0</v>
          </cell>
          <cell r="G260">
            <v>0</v>
          </cell>
          <cell r="H260">
            <v>2</v>
          </cell>
          <cell r="I260">
            <v>22</v>
          </cell>
          <cell r="J260">
            <v>9.0909090909090912E-2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STARBUCK</v>
          </cell>
          <cell r="C261">
            <v>3</v>
          </cell>
          <cell r="D261">
            <v>0</v>
          </cell>
          <cell r="F261">
            <v>1</v>
          </cell>
          <cell r="G261">
            <v>0</v>
          </cell>
          <cell r="H261">
            <v>4</v>
          </cell>
          <cell r="I261">
            <v>17</v>
          </cell>
          <cell r="J261">
            <v>0.23529411764705882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STEHEKIN</v>
          </cell>
          <cell r="C262">
            <v>3</v>
          </cell>
          <cell r="D262">
            <v>0</v>
          </cell>
          <cell r="F262">
            <v>0</v>
          </cell>
          <cell r="G262">
            <v>0</v>
          </cell>
          <cell r="H262">
            <v>3</v>
          </cell>
          <cell r="I262">
            <v>27</v>
          </cell>
          <cell r="J262">
            <v>0.1111111111111111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STEILACOOM</v>
          </cell>
          <cell r="C263">
            <v>215</v>
          </cell>
          <cell r="D263">
            <v>0</v>
          </cell>
          <cell r="F263">
            <v>18</v>
          </cell>
          <cell r="G263">
            <v>2</v>
          </cell>
          <cell r="H263">
            <v>235</v>
          </cell>
          <cell r="I263">
            <v>2407</v>
          </cell>
          <cell r="J263">
            <v>9.7631906938097215E-2</v>
          </cell>
          <cell r="K263">
            <v>235</v>
          </cell>
          <cell r="L263">
            <v>0</v>
          </cell>
          <cell r="M263">
            <v>235</v>
          </cell>
          <cell r="N263">
            <v>235</v>
          </cell>
          <cell r="O263">
            <v>235</v>
          </cell>
        </row>
        <row r="264">
          <cell r="B264" t="str">
            <v>STEPTOE</v>
          </cell>
          <cell r="C264">
            <v>9</v>
          </cell>
          <cell r="D264">
            <v>0</v>
          </cell>
          <cell r="F264">
            <v>0</v>
          </cell>
          <cell r="G264">
            <v>0</v>
          </cell>
          <cell r="H264">
            <v>9</v>
          </cell>
          <cell r="I264">
            <v>57</v>
          </cell>
          <cell r="J264">
            <v>0.15789473684210525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>STEVENSON-CARSON</v>
          </cell>
          <cell r="C265">
            <v>209</v>
          </cell>
          <cell r="D265">
            <v>0</v>
          </cell>
          <cell r="F265">
            <v>6</v>
          </cell>
          <cell r="G265">
            <v>0</v>
          </cell>
          <cell r="H265">
            <v>215</v>
          </cell>
          <cell r="I265">
            <v>1163</v>
          </cell>
          <cell r="J265">
            <v>0.18486672398968185</v>
          </cell>
          <cell r="K265">
            <v>215</v>
          </cell>
          <cell r="L265">
            <v>215</v>
          </cell>
          <cell r="M265">
            <v>215</v>
          </cell>
          <cell r="N265">
            <v>240.35345000000001</v>
          </cell>
          <cell r="O265">
            <v>240.35345000000001</v>
          </cell>
        </row>
        <row r="266">
          <cell r="B266" t="str">
            <v>SULTAN</v>
          </cell>
          <cell r="C266">
            <v>226</v>
          </cell>
          <cell r="D266">
            <v>0</v>
          </cell>
          <cell r="F266">
            <v>16</v>
          </cell>
          <cell r="G266">
            <v>0</v>
          </cell>
          <cell r="H266">
            <v>242</v>
          </cell>
          <cell r="I266">
            <v>2585</v>
          </cell>
          <cell r="J266">
            <v>9.3617021276595741E-2</v>
          </cell>
          <cell r="K266">
            <v>242</v>
          </cell>
          <cell r="L266">
            <v>0</v>
          </cell>
          <cell r="M266">
            <v>242</v>
          </cell>
          <cell r="N266">
            <v>242</v>
          </cell>
          <cell r="O266">
            <v>242</v>
          </cell>
        </row>
        <row r="267">
          <cell r="B267" t="str">
            <v>SUMMIT VALLEY</v>
          </cell>
          <cell r="C267">
            <v>23</v>
          </cell>
          <cell r="D267">
            <v>0</v>
          </cell>
          <cell r="F267">
            <v>0</v>
          </cell>
          <cell r="G267">
            <v>0</v>
          </cell>
          <cell r="H267">
            <v>23</v>
          </cell>
          <cell r="I267">
            <v>159</v>
          </cell>
          <cell r="J267">
            <v>0.14465408805031446</v>
          </cell>
          <cell r="K267">
            <v>23</v>
          </cell>
          <cell r="L267">
            <v>0</v>
          </cell>
          <cell r="M267">
            <v>23</v>
          </cell>
          <cell r="N267">
            <v>23</v>
          </cell>
          <cell r="O267">
            <v>23</v>
          </cell>
        </row>
        <row r="268">
          <cell r="B268" t="str">
            <v>SUMNER</v>
          </cell>
          <cell r="C268">
            <v>401</v>
          </cell>
          <cell r="D268">
            <v>0</v>
          </cell>
          <cell r="F268">
            <v>32</v>
          </cell>
          <cell r="G268">
            <v>4</v>
          </cell>
          <cell r="H268">
            <v>437</v>
          </cell>
          <cell r="I268">
            <v>7752</v>
          </cell>
          <cell r="J268">
            <v>5.6372549019607844E-2</v>
          </cell>
          <cell r="K268">
            <v>437</v>
          </cell>
          <cell r="L268">
            <v>0</v>
          </cell>
          <cell r="M268">
            <v>437</v>
          </cell>
          <cell r="N268">
            <v>437</v>
          </cell>
          <cell r="O268">
            <v>437</v>
          </cell>
        </row>
        <row r="269">
          <cell r="B269" t="str">
            <v>SUNNYSIDE</v>
          </cell>
          <cell r="C269">
            <v>1787</v>
          </cell>
          <cell r="D269">
            <v>0</v>
          </cell>
          <cell r="F269">
            <v>32</v>
          </cell>
          <cell r="G269">
            <v>0</v>
          </cell>
          <cell r="H269">
            <v>1819</v>
          </cell>
          <cell r="I269">
            <v>5669</v>
          </cell>
          <cell r="J269">
            <v>0.32086787793261601</v>
          </cell>
          <cell r="K269">
            <v>1819</v>
          </cell>
          <cell r="L269">
            <v>1819</v>
          </cell>
          <cell r="M269">
            <v>1819</v>
          </cell>
          <cell r="N269">
            <v>3026.9376250000005</v>
          </cell>
          <cell r="O269">
            <v>3026.9376250000005</v>
          </cell>
        </row>
        <row r="270">
          <cell r="B270" t="str">
            <v>TACOMA</v>
          </cell>
          <cell r="C270">
            <v>6639</v>
          </cell>
          <cell r="D270">
            <v>0</v>
          </cell>
          <cell r="F270">
            <v>363</v>
          </cell>
          <cell r="G270">
            <v>56</v>
          </cell>
          <cell r="H270">
            <v>7058</v>
          </cell>
          <cell r="I270">
            <v>37960</v>
          </cell>
          <cell r="J270">
            <v>0.18593256059009483</v>
          </cell>
          <cell r="K270">
            <v>7058</v>
          </cell>
          <cell r="L270">
            <v>7058</v>
          </cell>
          <cell r="M270">
            <v>7058</v>
          </cell>
          <cell r="N270">
            <v>12639.5</v>
          </cell>
          <cell r="O270">
            <v>12639.5</v>
          </cell>
        </row>
        <row r="271">
          <cell r="B271" t="str">
            <v>TAHOLAH</v>
          </cell>
          <cell r="C271">
            <v>75</v>
          </cell>
          <cell r="D271">
            <v>0</v>
          </cell>
          <cell r="F271">
            <v>1</v>
          </cell>
          <cell r="G271">
            <v>0</v>
          </cell>
          <cell r="H271">
            <v>76</v>
          </cell>
          <cell r="I271">
            <v>259</v>
          </cell>
          <cell r="J271">
            <v>0.29343629343629346</v>
          </cell>
          <cell r="K271">
            <v>76</v>
          </cell>
          <cell r="L271">
            <v>76</v>
          </cell>
          <cell r="M271">
            <v>76</v>
          </cell>
          <cell r="N271">
            <v>116.78717499999999</v>
          </cell>
          <cell r="O271">
            <v>116.78717499999999</v>
          </cell>
        </row>
        <row r="272">
          <cell r="B272" t="str">
            <v>TAHOMA</v>
          </cell>
          <cell r="C272">
            <v>136</v>
          </cell>
          <cell r="D272">
            <v>0</v>
          </cell>
          <cell r="F272">
            <v>19</v>
          </cell>
          <cell r="G272">
            <v>5</v>
          </cell>
          <cell r="H272">
            <v>160</v>
          </cell>
          <cell r="I272">
            <v>6606</v>
          </cell>
          <cell r="J272">
            <v>2.4220405691795337E-2</v>
          </cell>
          <cell r="K272">
            <v>160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TEKOA</v>
          </cell>
          <cell r="C273">
            <v>37</v>
          </cell>
          <cell r="D273">
            <v>0</v>
          </cell>
          <cell r="F273">
            <v>0</v>
          </cell>
          <cell r="G273">
            <v>0</v>
          </cell>
          <cell r="H273">
            <v>37</v>
          </cell>
          <cell r="I273">
            <v>199</v>
          </cell>
          <cell r="J273">
            <v>0.18592964824120603</v>
          </cell>
          <cell r="K273">
            <v>37</v>
          </cell>
          <cell r="L273">
            <v>37</v>
          </cell>
          <cell r="M273">
            <v>37</v>
          </cell>
          <cell r="N273">
            <v>41.496850000000002</v>
          </cell>
          <cell r="O273">
            <v>41.496850000000002</v>
          </cell>
        </row>
        <row r="274">
          <cell r="B274" t="str">
            <v>TENINO</v>
          </cell>
          <cell r="C274">
            <v>196</v>
          </cell>
          <cell r="D274">
            <v>0</v>
          </cell>
          <cell r="F274">
            <v>24</v>
          </cell>
          <cell r="G274">
            <v>0</v>
          </cell>
          <cell r="H274">
            <v>220</v>
          </cell>
          <cell r="I274">
            <v>1712</v>
          </cell>
          <cell r="J274">
            <v>0.12850467289719625</v>
          </cell>
          <cell r="K274">
            <v>220</v>
          </cell>
          <cell r="L274">
            <v>0</v>
          </cell>
          <cell r="M274">
            <v>220</v>
          </cell>
          <cell r="N274">
            <v>220</v>
          </cell>
          <cell r="O274">
            <v>220</v>
          </cell>
        </row>
        <row r="275">
          <cell r="B275" t="str">
            <v>THORP</v>
          </cell>
          <cell r="C275">
            <v>15</v>
          </cell>
          <cell r="D275">
            <v>0</v>
          </cell>
          <cell r="F275">
            <v>1</v>
          </cell>
          <cell r="G275">
            <v>0</v>
          </cell>
          <cell r="H275">
            <v>16</v>
          </cell>
          <cell r="I275">
            <v>286</v>
          </cell>
          <cell r="J275">
            <v>5.5944055944055944E-2</v>
          </cell>
          <cell r="K275">
            <v>16</v>
          </cell>
          <cell r="L275">
            <v>0</v>
          </cell>
          <cell r="M275">
            <v>16</v>
          </cell>
          <cell r="N275">
            <v>16</v>
          </cell>
          <cell r="O275">
            <v>16</v>
          </cell>
        </row>
        <row r="276">
          <cell r="B276" t="str">
            <v>TOLEDO</v>
          </cell>
          <cell r="C276">
            <v>133</v>
          </cell>
          <cell r="D276">
            <v>0</v>
          </cell>
          <cell r="F276">
            <v>25</v>
          </cell>
          <cell r="G276">
            <v>0</v>
          </cell>
          <cell r="H276">
            <v>158</v>
          </cell>
          <cell r="I276">
            <v>797</v>
          </cell>
          <cell r="J276">
            <v>0.19824341279799249</v>
          </cell>
          <cell r="K276">
            <v>158</v>
          </cell>
          <cell r="L276">
            <v>158</v>
          </cell>
          <cell r="M276">
            <v>158</v>
          </cell>
          <cell r="N276">
            <v>183.37055000000001</v>
          </cell>
          <cell r="O276">
            <v>183.37055000000001</v>
          </cell>
        </row>
        <row r="277">
          <cell r="B277" t="str">
            <v>TONASKET</v>
          </cell>
          <cell r="C277">
            <v>280</v>
          </cell>
          <cell r="D277">
            <v>0</v>
          </cell>
          <cell r="F277">
            <v>8</v>
          </cell>
          <cell r="G277">
            <v>0</v>
          </cell>
          <cell r="H277">
            <v>288</v>
          </cell>
          <cell r="I277">
            <v>1302</v>
          </cell>
          <cell r="J277">
            <v>0.22119815668202766</v>
          </cell>
          <cell r="K277">
            <v>288</v>
          </cell>
          <cell r="L277">
            <v>288</v>
          </cell>
          <cell r="M277">
            <v>288</v>
          </cell>
          <cell r="N277">
            <v>351.95714999999996</v>
          </cell>
          <cell r="O277">
            <v>351.95714999999996</v>
          </cell>
        </row>
        <row r="278">
          <cell r="B278" t="str">
            <v>TOPPENISH</v>
          </cell>
          <cell r="C278">
            <v>1033</v>
          </cell>
          <cell r="D278">
            <v>0</v>
          </cell>
          <cell r="F278">
            <v>66</v>
          </cell>
          <cell r="G278">
            <v>4</v>
          </cell>
          <cell r="H278">
            <v>1103</v>
          </cell>
          <cell r="I278">
            <v>3832</v>
          </cell>
          <cell r="J278">
            <v>0.28783924843423797</v>
          </cell>
          <cell r="K278">
            <v>1103</v>
          </cell>
          <cell r="L278">
            <v>1103</v>
          </cell>
          <cell r="M278">
            <v>1103</v>
          </cell>
          <cell r="N278">
            <v>1674.2894000000001</v>
          </cell>
          <cell r="O278">
            <v>1674.2894000000001</v>
          </cell>
        </row>
        <row r="279">
          <cell r="B279" t="str">
            <v>TOUCHET</v>
          </cell>
          <cell r="C279">
            <v>40</v>
          </cell>
          <cell r="D279">
            <v>0</v>
          </cell>
          <cell r="F279">
            <v>5</v>
          </cell>
          <cell r="G279">
            <v>0</v>
          </cell>
          <cell r="H279">
            <v>45</v>
          </cell>
          <cell r="I279">
            <v>232</v>
          </cell>
          <cell r="J279">
            <v>0.19396551724137931</v>
          </cell>
          <cell r="K279">
            <v>45</v>
          </cell>
          <cell r="L279">
            <v>45</v>
          </cell>
          <cell r="M279">
            <v>45</v>
          </cell>
          <cell r="N279">
            <v>51.640799999999999</v>
          </cell>
          <cell r="O279">
            <v>51.640799999999999</v>
          </cell>
        </row>
        <row r="280">
          <cell r="B280" t="str">
            <v>TOUTLE LAKE</v>
          </cell>
          <cell r="C280">
            <v>62</v>
          </cell>
          <cell r="D280">
            <v>0</v>
          </cell>
          <cell r="F280">
            <v>3</v>
          </cell>
          <cell r="G280">
            <v>0</v>
          </cell>
          <cell r="H280">
            <v>65</v>
          </cell>
          <cell r="I280">
            <v>613</v>
          </cell>
          <cell r="J280">
            <v>0.10603588907014681</v>
          </cell>
          <cell r="K280">
            <v>65</v>
          </cell>
          <cell r="L280">
            <v>0</v>
          </cell>
          <cell r="M280">
            <v>65</v>
          </cell>
          <cell r="N280">
            <v>65</v>
          </cell>
          <cell r="O280">
            <v>65</v>
          </cell>
        </row>
        <row r="281">
          <cell r="B281" t="str">
            <v>TROUT LAKE</v>
          </cell>
          <cell r="C281">
            <v>14</v>
          </cell>
          <cell r="D281">
            <v>0</v>
          </cell>
          <cell r="F281">
            <v>4</v>
          </cell>
          <cell r="G281">
            <v>0</v>
          </cell>
          <cell r="H281">
            <v>18</v>
          </cell>
          <cell r="I281">
            <v>173</v>
          </cell>
          <cell r="J281">
            <v>0.10404624277456648</v>
          </cell>
          <cell r="K281">
            <v>18</v>
          </cell>
          <cell r="L281">
            <v>0</v>
          </cell>
          <cell r="M281">
            <v>18</v>
          </cell>
          <cell r="N281">
            <v>18</v>
          </cell>
          <cell r="O281">
            <v>18</v>
          </cell>
        </row>
        <row r="282">
          <cell r="B282" t="str">
            <v>TUKWILA</v>
          </cell>
          <cell r="C282">
            <v>416</v>
          </cell>
          <cell r="D282">
            <v>0</v>
          </cell>
          <cell r="F282">
            <v>29</v>
          </cell>
          <cell r="G282">
            <v>5</v>
          </cell>
          <cell r="H282">
            <v>450</v>
          </cell>
          <cell r="I282">
            <v>2702</v>
          </cell>
          <cell r="J282">
            <v>0.16654330125832717</v>
          </cell>
          <cell r="K282">
            <v>450</v>
          </cell>
          <cell r="L282">
            <v>450</v>
          </cell>
          <cell r="M282">
            <v>450</v>
          </cell>
          <cell r="N282">
            <v>471.7713</v>
          </cell>
          <cell r="O282">
            <v>471.7713</v>
          </cell>
        </row>
        <row r="283">
          <cell r="B283" t="str">
            <v>TUMWATER</v>
          </cell>
          <cell r="C283">
            <v>465</v>
          </cell>
          <cell r="D283">
            <v>0</v>
          </cell>
          <cell r="F283">
            <v>30</v>
          </cell>
          <cell r="G283">
            <v>1</v>
          </cell>
          <cell r="H283">
            <v>496</v>
          </cell>
          <cell r="I283">
            <v>6410</v>
          </cell>
          <cell r="J283">
            <v>7.7379095163806547E-2</v>
          </cell>
          <cell r="K283">
            <v>496</v>
          </cell>
          <cell r="L283">
            <v>0</v>
          </cell>
          <cell r="M283">
            <v>496</v>
          </cell>
          <cell r="N283">
            <v>496</v>
          </cell>
          <cell r="O283">
            <v>496</v>
          </cell>
        </row>
        <row r="284">
          <cell r="B284" t="str">
            <v>UNION GAP</v>
          </cell>
          <cell r="C284">
            <v>93</v>
          </cell>
          <cell r="D284">
            <v>0</v>
          </cell>
          <cell r="F284">
            <v>7</v>
          </cell>
          <cell r="G284">
            <v>0</v>
          </cell>
          <cell r="H284">
            <v>100</v>
          </cell>
          <cell r="I284">
            <v>613</v>
          </cell>
          <cell r="J284">
            <v>0.16313213703099511</v>
          </cell>
          <cell r="K284">
            <v>100</v>
          </cell>
          <cell r="L284">
            <v>100</v>
          </cell>
          <cell r="M284">
            <v>100</v>
          </cell>
          <cell r="N284">
            <v>103.37095000000001</v>
          </cell>
          <cell r="O284">
            <v>103.37095000000001</v>
          </cell>
        </row>
        <row r="285">
          <cell r="B285" t="str">
            <v>UNIVERSITY PLACE</v>
          </cell>
          <cell r="C285">
            <v>340</v>
          </cell>
          <cell r="D285">
            <v>0</v>
          </cell>
          <cell r="F285">
            <v>28</v>
          </cell>
          <cell r="G285">
            <v>2</v>
          </cell>
          <cell r="H285">
            <v>370</v>
          </cell>
          <cell r="I285">
            <v>5440</v>
          </cell>
          <cell r="J285">
            <v>6.8014705882352935E-2</v>
          </cell>
          <cell r="K285">
            <v>370</v>
          </cell>
          <cell r="L285">
            <v>0</v>
          </cell>
          <cell r="M285">
            <v>370</v>
          </cell>
          <cell r="N285">
            <v>370</v>
          </cell>
          <cell r="O285">
            <v>370</v>
          </cell>
        </row>
        <row r="286">
          <cell r="B286" t="str">
            <v>VADER</v>
          </cell>
          <cell r="C286">
            <v>61</v>
          </cell>
          <cell r="D286">
            <v>0</v>
          </cell>
          <cell r="F286">
            <v>6</v>
          </cell>
          <cell r="G286">
            <v>0</v>
          </cell>
          <cell r="H286">
            <v>67</v>
          </cell>
          <cell r="I286">
            <v>351</v>
          </cell>
          <cell r="J286">
            <v>0.19088319088319089</v>
          </cell>
          <cell r="K286">
            <v>67</v>
          </cell>
          <cell r="L286">
            <v>67</v>
          </cell>
          <cell r="M286">
            <v>67</v>
          </cell>
          <cell r="N286">
            <v>76.235649999999993</v>
          </cell>
          <cell r="O286">
            <v>76.235649999999993</v>
          </cell>
        </row>
        <row r="287">
          <cell r="B287" t="str">
            <v>VALLEY</v>
          </cell>
          <cell r="C287">
            <v>66</v>
          </cell>
          <cell r="D287">
            <v>0</v>
          </cell>
          <cell r="F287">
            <v>6</v>
          </cell>
          <cell r="G287">
            <v>3</v>
          </cell>
          <cell r="H287">
            <v>75</v>
          </cell>
          <cell r="I287">
            <v>291</v>
          </cell>
          <cell r="J287">
            <v>0.25773195876288657</v>
          </cell>
          <cell r="K287">
            <v>75</v>
          </cell>
          <cell r="L287">
            <v>75</v>
          </cell>
          <cell r="M287">
            <v>75</v>
          </cell>
          <cell r="N287">
            <v>105.24157499999998</v>
          </cell>
          <cell r="O287">
            <v>105.24157499999998</v>
          </cell>
        </row>
        <row r="288">
          <cell r="B288" t="str">
            <v>VANCOUVER</v>
          </cell>
          <cell r="C288">
            <v>3618</v>
          </cell>
          <cell r="D288">
            <v>0</v>
          </cell>
          <cell r="F288">
            <v>102</v>
          </cell>
          <cell r="G288">
            <v>26</v>
          </cell>
          <cell r="H288">
            <v>3746</v>
          </cell>
          <cell r="I288">
            <v>23349</v>
          </cell>
          <cell r="J288">
            <v>0.16043513640841151</v>
          </cell>
          <cell r="K288">
            <v>3746</v>
          </cell>
          <cell r="L288">
            <v>3746</v>
          </cell>
          <cell r="M288">
            <v>3746</v>
          </cell>
          <cell r="N288">
            <v>6015.5</v>
          </cell>
          <cell r="O288">
            <v>6015.5</v>
          </cell>
        </row>
        <row r="289">
          <cell r="B289" t="str">
            <v>VASHON ISLAND</v>
          </cell>
          <cell r="C289">
            <v>101</v>
          </cell>
          <cell r="D289">
            <v>0</v>
          </cell>
          <cell r="F289">
            <v>6</v>
          </cell>
          <cell r="G289">
            <v>0</v>
          </cell>
          <cell r="H289">
            <v>107</v>
          </cell>
          <cell r="I289">
            <v>1862</v>
          </cell>
          <cell r="J289">
            <v>5.7465091299677765E-2</v>
          </cell>
          <cell r="K289">
            <v>107</v>
          </cell>
          <cell r="L289">
            <v>0</v>
          </cell>
          <cell r="M289">
            <v>107</v>
          </cell>
          <cell r="N289">
            <v>107</v>
          </cell>
          <cell r="O289">
            <v>107</v>
          </cell>
        </row>
        <row r="290">
          <cell r="B290" t="str">
            <v>WAHKIAKUM</v>
          </cell>
          <cell r="C290">
            <v>77</v>
          </cell>
          <cell r="D290">
            <v>0</v>
          </cell>
          <cell r="F290">
            <v>24</v>
          </cell>
          <cell r="G290">
            <v>0</v>
          </cell>
          <cell r="H290">
            <v>101</v>
          </cell>
          <cell r="I290">
            <v>545</v>
          </cell>
          <cell r="J290">
            <v>0.1853211009174312</v>
          </cell>
          <cell r="K290">
            <v>101</v>
          </cell>
          <cell r="L290">
            <v>101</v>
          </cell>
          <cell r="M290">
            <v>101</v>
          </cell>
          <cell r="N290">
            <v>113.06675</v>
          </cell>
          <cell r="O290">
            <v>113.06675</v>
          </cell>
        </row>
        <row r="291">
          <cell r="B291" t="str">
            <v>WAHLUKE</v>
          </cell>
          <cell r="C291">
            <v>281</v>
          </cell>
          <cell r="D291">
            <v>0</v>
          </cell>
          <cell r="F291">
            <v>1</v>
          </cell>
          <cell r="G291">
            <v>0</v>
          </cell>
          <cell r="H291">
            <v>282</v>
          </cell>
          <cell r="I291">
            <v>1463</v>
          </cell>
          <cell r="J291">
            <v>0.19275461380724537</v>
          </cell>
          <cell r="K291">
            <v>282</v>
          </cell>
          <cell r="L291">
            <v>282</v>
          </cell>
          <cell r="M291">
            <v>282</v>
          </cell>
          <cell r="N291">
            <v>322.54845</v>
          </cell>
          <cell r="O291">
            <v>322.54845</v>
          </cell>
        </row>
        <row r="292">
          <cell r="B292" t="str">
            <v>WAITSBURG</v>
          </cell>
          <cell r="C292">
            <v>50</v>
          </cell>
          <cell r="D292">
            <v>0</v>
          </cell>
          <cell r="F292">
            <v>9</v>
          </cell>
          <cell r="G292">
            <v>0</v>
          </cell>
          <cell r="H292">
            <v>59</v>
          </cell>
          <cell r="I292">
            <v>358</v>
          </cell>
          <cell r="J292">
            <v>0.16480446927374301</v>
          </cell>
          <cell r="K292">
            <v>59</v>
          </cell>
          <cell r="L292">
            <v>59</v>
          </cell>
          <cell r="M292">
            <v>59</v>
          </cell>
          <cell r="N292">
            <v>61.417700000000004</v>
          </cell>
          <cell r="O292">
            <v>61.417700000000004</v>
          </cell>
        </row>
        <row r="293">
          <cell r="B293" t="str">
            <v>WALLA WALLA</v>
          </cell>
          <cell r="C293">
            <v>1074</v>
          </cell>
          <cell r="D293">
            <v>0</v>
          </cell>
          <cell r="F293">
            <v>43</v>
          </cell>
          <cell r="G293">
            <v>0</v>
          </cell>
          <cell r="H293">
            <v>1117</v>
          </cell>
          <cell r="I293">
            <v>6201</v>
          </cell>
          <cell r="J293">
            <v>0.18013223673601031</v>
          </cell>
          <cell r="K293">
            <v>1117</v>
          </cell>
          <cell r="L293">
            <v>1117</v>
          </cell>
          <cell r="M293">
            <v>1117</v>
          </cell>
          <cell r="N293">
            <v>1330</v>
          </cell>
          <cell r="O293">
            <v>1330</v>
          </cell>
        </row>
        <row r="294">
          <cell r="B294" t="str">
            <v>WAPATO</v>
          </cell>
          <cell r="C294">
            <v>880</v>
          </cell>
          <cell r="D294">
            <v>0</v>
          </cell>
          <cell r="F294">
            <v>81</v>
          </cell>
          <cell r="G294">
            <v>0</v>
          </cell>
          <cell r="H294">
            <v>961</v>
          </cell>
          <cell r="I294">
            <v>3610</v>
          </cell>
          <cell r="J294">
            <v>0.26620498614958449</v>
          </cell>
          <cell r="K294">
            <v>961</v>
          </cell>
          <cell r="L294">
            <v>961</v>
          </cell>
          <cell r="M294">
            <v>961</v>
          </cell>
          <cell r="N294">
            <v>1382.0432500000002</v>
          </cell>
          <cell r="O294">
            <v>1382.0432500000002</v>
          </cell>
        </row>
        <row r="295">
          <cell r="B295" t="str">
            <v>WARDEN</v>
          </cell>
          <cell r="C295">
            <v>182</v>
          </cell>
          <cell r="D295">
            <v>0</v>
          </cell>
          <cell r="F295">
            <v>2</v>
          </cell>
          <cell r="G295">
            <v>0</v>
          </cell>
          <cell r="H295">
            <v>184</v>
          </cell>
          <cell r="I295">
            <v>997</v>
          </cell>
          <cell r="J295">
            <v>0.18455366098294884</v>
          </cell>
          <cell r="K295">
            <v>184</v>
          </cell>
          <cell r="L295">
            <v>184</v>
          </cell>
          <cell r="M295">
            <v>184</v>
          </cell>
          <cell r="N295">
            <v>205.50055</v>
          </cell>
          <cell r="O295">
            <v>205.50055</v>
          </cell>
        </row>
        <row r="296">
          <cell r="B296" t="str">
            <v>WASHOUGAL</v>
          </cell>
          <cell r="C296">
            <v>262</v>
          </cell>
          <cell r="D296">
            <v>0</v>
          </cell>
          <cell r="F296">
            <v>19</v>
          </cell>
          <cell r="G296">
            <v>0</v>
          </cell>
          <cell r="H296">
            <v>281</v>
          </cell>
          <cell r="I296">
            <v>2943</v>
          </cell>
          <cell r="J296">
            <v>9.5480801902820253E-2</v>
          </cell>
          <cell r="K296">
            <v>281</v>
          </cell>
          <cell r="L296">
            <v>0</v>
          </cell>
          <cell r="M296">
            <v>281</v>
          </cell>
          <cell r="N296">
            <v>281</v>
          </cell>
          <cell r="O296">
            <v>281</v>
          </cell>
        </row>
        <row r="297">
          <cell r="B297" t="str">
            <v>WASHTUCNA</v>
          </cell>
          <cell r="C297">
            <v>22</v>
          </cell>
          <cell r="D297">
            <v>0</v>
          </cell>
          <cell r="F297">
            <v>0</v>
          </cell>
          <cell r="G297">
            <v>0</v>
          </cell>
          <cell r="H297">
            <v>22</v>
          </cell>
          <cell r="I297">
            <v>86</v>
          </cell>
          <cell r="J297">
            <v>0.2558139534883721</v>
          </cell>
          <cell r="K297">
            <v>22</v>
          </cell>
          <cell r="L297">
            <v>22</v>
          </cell>
          <cell r="M297">
            <v>22</v>
          </cell>
          <cell r="N297">
            <v>30.689949999999996</v>
          </cell>
          <cell r="O297">
            <v>30.689949999999996</v>
          </cell>
        </row>
        <row r="298">
          <cell r="B298" t="str">
            <v>WATERVILLE</v>
          </cell>
          <cell r="C298">
            <v>20</v>
          </cell>
          <cell r="D298">
            <v>0</v>
          </cell>
          <cell r="F298">
            <v>6</v>
          </cell>
          <cell r="G298">
            <v>0</v>
          </cell>
          <cell r="H298">
            <v>26</v>
          </cell>
          <cell r="I298">
            <v>366</v>
          </cell>
          <cell r="J298">
            <v>7.1038251366120214E-2</v>
          </cell>
          <cell r="K298">
            <v>26</v>
          </cell>
          <cell r="L298">
            <v>0</v>
          </cell>
          <cell r="M298">
            <v>26</v>
          </cell>
          <cell r="N298">
            <v>26</v>
          </cell>
          <cell r="O298">
            <v>26</v>
          </cell>
        </row>
        <row r="299">
          <cell r="B299" t="str">
            <v>WELLPINIT</v>
          </cell>
          <cell r="C299">
            <v>101</v>
          </cell>
          <cell r="D299">
            <v>0</v>
          </cell>
          <cell r="F299">
            <v>18</v>
          </cell>
          <cell r="G299">
            <v>0</v>
          </cell>
          <cell r="H299">
            <v>119</v>
          </cell>
          <cell r="I299">
            <v>338</v>
          </cell>
          <cell r="J299">
            <v>0.35207100591715978</v>
          </cell>
          <cell r="K299">
            <v>119</v>
          </cell>
          <cell r="L299">
            <v>119</v>
          </cell>
          <cell r="M299">
            <v>119</v>
          </cell>
          <cell r="N299">
            <v>214.75024999999999</v>
          </cell>
          <cell r="O299">
            <v>214.75024999999999</v>
          </cell>
        </row>
        <row r="300">
          <cell r="B300" t="str">
            <v>WENATCHEE</v>
          </cell>
          <cell r="C300">
            <v>1258</v>
          </cell>
          <cell r="D300">
            <v>0</v>
          </cell>
          <cell r="F300">
            <v>37</v>
          </cell>
          <cell r="G300">
            <v>0</v>
          </cell>
          <cell r="H300">
            <v>1295</v>
          </cell>
          <cell r="I300">
            <v>7774</v>
          </cell>
          <cell r="J300">
            <v>0.16658091072806791</v>
          </cell>
          <cell r="K300">
            <v>1295</v>
          </cell>
          <cell r="L300">
            <v>1295</v>
          </cell>
          <cell r="M300">
            <v>1295</v>
          </cell>
          <cell r="N300">
            <v>1597</v>
          </cell>
          <cell r="O300">
            <v>1597</v>
          </cell>
        </row>
        <row r="301">
          <cell r="B301" t="str">
            <v>WEST VALLEY (SPK)</v>
          </cell>
          <cell r="C301">
            <v>425</v>
          </cell>
          <cell r="D301">
            <v>0</v>
          </cell>
          <cell r="F301">
            <v>36</v>
          </cell>
          <cell r="G301">
            <v>0</v>
          </cell>
          <cell r="H301">
            <v>461</v>
          </cell>
          <cell r="I301">
            <v>2535</v>
          </cell>
          <cell r="J301">
            <v>0.18185404339250494</v>
          </cell>
          <cell r="K301">
            <v>461</v>
          </cell>
          <cell r="L301">
            <v>461</v>
          </cell>
          <cell r="M301">
            <v>461</v>
          </cell>
          <cell r="N301">
            <v>510.53525000000002</v>
          </cell>
          <cell r="O301">
            <v>510.53525000000002</v>
          </cell>
        </row>
        <row r="302">
          <cell r="B302" t="str">
            <v>WEST VALLEY (YAK)</v>
          </cell>
          <cell r="C302">
            <v>248</v>
          </cell>
          <cell r="D302">
            <v>0</v>
          </cell>
          <cell r="F302">
            <v>12</v>
          </cell>
          <cell r="G302">
            <v>2</v>
          </cell>
          <cell r="H302">
            <v>262</v>
          </cell>
          <cell r="I302">
            <v>5263</v>
          </cell>
          <cell r="J302">
            <v>4.9781493444803343E-2</v>
          </cell>
          <cell r="K302">
            <v>262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B303" t="str">
            <v>WHITE PASS</v>
          </cell>
          <cell r="C303">
            <v>182</v>
          </cell>
          <cell r="D303">
            <v>0</v>
          </cell>
          <cell r="F303">
            <v>6</v>
          </cell>
          <cell r="G303">
            <v>0</v>
          </cell>
          <cell r="H303">
            <v>188</v>
          </cell>
          <cell r="I303">
            <v>869</v>
          </cell>
          <cell r="J303">
            <v>0.21634062140391255</v>
          </cell>
          <cell r="K303">
            <v>188</v>
          </cell>
          <cell r="L303">
            <v>188</v>
          </cell>
          <cell r="M303">
            <v>188</v>
          </cell>
          <cell r="N303">
            <v>227.45735000000002</v>
          </cell>
          <cell r="O303">
            <v>227.45735000000002</v>
          </cell>
        </row>
        <row r="304">
          <cell r="B304" t="str">
            <v>WHITE RIVER</v>
          </cell>
          <cell r="C304">
            <v>336</v>
          </cell>
          <cell r="D304">
            <v>0</v>
          </cell>
          <cell r="F304">
            <v>17</v>
          </cell>
          <cell r="G304">
            <v>1</v>
          </cell>
          <cell r="H304">
            <v>354</v>
          </cell>
          <cell r="I304">
            <v>5121</v>
          </cell>
          <cell r="J304">
            <v>6.9127123608670182E-2</v>
          </cell>
          <cell r="K304">
            <v>354</v>
          </cell>
          <cell r="L304">
            <v>0</v>
          </cell>
          <cell r="M304">
            <v>354</v>
          </cell>
          <cell r="N304">
            <v>354</v>
          </cell>
          <cell r="O304">
            <v>354</v>
          </cell>
        </row>
        <row r="305">
          <cell r="B305" t="str">
            <v>WHITE SALMON</v>
          </cell>
          <cell r="C305">
            <v>235</v>
          </cell>
          <cell r="D305">
            <v>0</v>
          </cell>
          <cell r="F305">
            <v>12</v>
          </cell>
          <cell r="G305">
            <v>4</v>
          </cell>
          <cell r="H305">
            <v>251</v>
          </cell>
          <cell r="I305">
            <v>1367</v>
          </cell>
          <cell r="J305">
            <v>0.18361375274323335</v>
          </cell>
          <cell r="K305">
            <v>251</v>
          </cell>
          <cell r="L305">
            <v>251</v>
          </cell>
          <cell r="M305">
            <v>251</v>
          </cell>
          <cell r="N305">
            <v>279.51605000000001</v>
          </cell>
          <cell r="O305">
            <v>279.51605000000001</v>
          </cell>
        </row>
        <row r="306">
          <cell r="B306" t="str">
            <v>WILBUR</v>
          </cell>
          <cell r="C306">
            <v>63</v>
          </cell>
          <cell r="D306">
            <v>0</v>
          </cell>
          <cell r="F306">
            <v>1</v>
          </cell>
          <cell r="G306">
            <v>0</v>
          </cell>
          <cell r="H306">
            <v>64</v>
          </cell>
          <cell r="I306">
            <v>284</v>
          </cell>
          <cell r="J306">
            <v>0.22535211267605634</v>
          </cell>
          <cell r="K306">
            <v>64</v>
          </cell>
          <cell r="L306">
            <v>64</v>
          </cell>
          <cell r="M306">
            <v>64</v>
          </cell>
          <cell r="N306">
            <v>79.720300000000009</v>
          </cell>
          <cell r="O306">
            <v>79.720300000000009</v>
          </cell>
        </row>
        <row r="307">
          <cell r="B307" t="str">
            <v>WILLAPA VALLEY</v>
          </cell>
          <cell r="C307">
            <v>61</v>
          </cell>
          <cell r="D307">
            <v>0</v>
          </cell>
          <cell r="F307">
            <v>3</v>
          </cell>
          <cell r="G307">
            <v>0</v>
          </cell>
          <cell r="H307">
            <v>64</v>
          </cell>
          <cell r="I307">
            <v>428</v>
          </cell>
          <cell r="J307">
            <v>0.14953271028037382</v>
          </cell>
          <cell r="K307">
            <v>64</v>
          </cell>
          <cell r="L307">
            <v>0</v>
          </cell>
          <cell r="M307">
            <v>64</v>
          </cell>
          <cell r="N307">
            <v>64</v>
          </cell>
          <cell r="O307">
            <v>64</v>
          </cell>
        </row>
        <row r="308">
          <cell r="B308" t="str">
            <v>WILSON CREEK</v>
          </cell>
          <cell r="C308">
            <v>25</v>
          </cell>
          <cell r="D308">
            <v>0</v>
          </cell>
          <cell r="F308">
            <v>0</v>
          </cell>
          <cell r="G308">
            <v>0</v>
          </cell>
          <cell r="H308">
            <v>25</v>
          </cell>
          <cell r="I308">
            <v>130</v>
          </cell>
          <cell r="J308">
            <v>0.19230769230769232</v>
          </cell>
          <cell r="K308">
            <v>25</v>
          </cell>
          <cell r="L308">
            <v>25</v>
          </cell>
          <cell r="M308">
            <v>25</v>
          </cell>
          <cell r="N308">
            <v>28.5595</v>
          </cell>
          <cell r="O308">
            <v>28.5595</v>
          </cell>
        </row>
        <row r="309">
          <cell r="B309" t="str">
            <v>WINLOCK</v>
          </cell>
          <cell r="C309">
            <v>171</v>
          </cell>
          <cell r="D309">
            <v>0</v>
          </cell>
          <cell r="F309">
            <v>19</v>
          </cell>
          <cell r="G309">
            <v>0</v>
          </cell>
          <cell r="H309">
            <v>190</v>
          </cell>
          <cell r="I309">
            <v>920</v>
          </cell>
          <cell r="J309">
            <v>0.20652173913043478</v>
          </cell>
          <cell r="K309">
            <v>190</v>
          </cell>
          <cell r="L309">
            <v>190</v>
          </cell>
          <cell r="M309">
            <v>190</v>
          </cell>
          <cell r="N309">
            <v>224.99800000000002</v>
          </cell>
          <cell r="O309">
            <v>224.99800000000002</v>
          </cell>
        </row>
        <row r="310">
          <cell r="B310" t="str">
            <v>WISHKAH VALLEY</v>
          </cell>
          <cell r="C310">
            <v>13</v>
          </cell>
          <cell r="D310">
            <v>0</v>
          </cell>
          <cell r="F310">
            <v>1</v>
          </cell>
          <cell r="G310">
            <v>0</v>
          </cell>
          <cell r="H310">
            <v>14</v>
          </cell>
          <cell r="I310">
            <v>191</v>
          </cell>
          <cell r="J310">
            <v>7.3298429319371722E-2</v>
          </cell>
          <cell r="K310">
            <v>14</v>
          </cell>
          <cell r="L310">
            <v>0</v>
          </cell>
          <cell r="M310">
            <v>14</v>
          </cell>
          <cell r="N310">
            <v>14</v>
          </cell>
          <cell r="O310">
            <v>14</v>
          </cell>
        </row>
        <row r="311">
          <cell r="B311" t="str">
            <v>WISHRAM</v>
          </cell>
          <cell r="C311">
            <v>24</v>
          </cell>
          <cell r="D311">
            <v>0</v>
          </cell>
          <cell r="F311">
            <v>0</v>
          </cell>
          <cell r="G311">
            <v>0</v>
          </cell>
          <cell r="H311">
            <v>24</v>
          </cell>
          <cell r="I311">
            <v>71</v>
          </cell>
          <cell r="J311">
            <v>0.3380281690140845</v>
          </cell>
          <cell r="K311">
            <v>24</v>
          </cell>
          <cell r="L311">
            <v>24</v>
          </cell>
          <cell r="M311">
            <v>24</v>
          </cell>
          <cell r="N311">
            <v>41.869875000000008</v>
          </cell>
          <cell r="O311">
            <v>41.869875000000008</v>
          </cell>
        </row>
      </sheetData>
      <sheetData sheetId="5"/>
      <sheetData sheetId="6">
        <row r="9">
          <cell r="E9" t="str">
            <v>ABERDEEN</v>
          </cell>
          <cell r="F9">
            <v>750</v>
          </cell>
          <cell r="G9">
            <v>0</v>
          </cell>
          <cell r="I9">
            <v>15</v>
          </cell>
          <cell r="J9">
            <v>0</v>
          </cell>
          <cell r="K9">
            <v>765</v>
          </cell>
          <cell r="L9">
            <v>4096</v>
          </cell>
          <cell r="M9">
            <v>0.186767578125</v>
          </cell>
          <cell r="N9">
            <v>765</v>
          </cell>
          <cell r="O9">
            <v>765</v>
          </cell>
          <cell r="P9">
            <v>765</v>
          </cell>
          <cell r="Q9">
            <v>860.13239999999996</v>
          </cell>
          <cell r="R9">
            <v>860.13239999999996</v>
          </cell>
        </row>
        <row r="10">
          <cell r="E10" t="str">
            <v>ADNA</v>
          </cell>
          <cell r="F10">
            <v>55</v>
          </cell>
          <cell r="G10">
            <v>0</v>
          </cell>
          <cell r="I10">
            <v>2</v>
          </cell>
          <cell r="J10">
            <v>0</v>
          </cell>
          <cell r="K10">
            <v>57</v>
          </cell>
          <cell r="L10">
            <v>694</v>
          </cell>
          <cell r="M10">
            <v>8.2132564841498557E-2</v>
          </cell>
          <cell r="N10">
            <v>57</v>
          </cell>
          <cell r="O10">
            <v>0</v>
          </cell>
          <cell r="P10">
            <v>57</v>
          </cell>
          <cell r="Q10">
            <v>57</v>
          </cell>
          <cell r="R10">
            <v>57</v>
          </cell>
        </row>
        <row r="11">
          <cell r="E11" t="str">
            <v>ALMIRA</v>
          </cell>
          <cell r="F11">
            <v>18</v>
          </cell>
          <cell r="G11">
            <v>0</v>
          </cell>
          <cell r="I11">
            <v>0</v>
          </cell>
          <cell r="J11">
            <v>0</v>
          </cell>
          <cell r="K11">
            <v>18</v>
          </cell>
          <cell r="L11">
            <v>147</v>
          </cell>
          <cell r="M11">
            <v>0.12244897959183673</v>
          </cell>
          <cell r="N11">
            <v>18</v>
          </cell>
          <cell r="O11">
            <v>0</v>
          </cell>
          <cell r="P11">
            <v>18</v>
          </cell>
          <cell r="Q11">
            <v>18</v>
          </cell>
          <cell r="R11">
            <v>18</v>
          </cell>
        </row>
        <row r="12">
          <cell r="E12" t="str">
            <v>ANACORTES</v>
          </cell>
          <cell r="F12">
            <v>457</v>
          </cell>
          <cell r="G12">
            <v>0</v>
          </cell>
          <cell r="I12">
            <v>55</v>
          </cell>
          <cell r="J12">
            <v>0</v>
          </cell>
          <cell r="K12">
            <v>512</v>
          </cell>
          <cell r="L12">
            <v>3330</v>
          </cell>
          <cell r="M12">
            <v>0.15375375375375375</v>
          </cell>
          <cell r="N12">
            <v>512</v>
          </cell>
          <cell r="O12">
            <v>512</v>
          </cell>
          <cell r="P12">
            <v>512</v>
          </cell>
          <cell r="Q12">
            <v>512</v>
          </cell>
          <cell r="R12">
            <v>512</v>
          </cell>
        </row>
        <row r="13">
          <cell r="E13" t="str">
            <v>ARLINGTON</v>
          </cell>
          <cell r="F13">
            <v>296</v>
          </cell>
          <cell r="G13">
            <v>0</v>
          </cell>
          <cell r="I13">
            <v>25</v>
          </cell>
          <cell r="J13">
            <v>1</v>
          </cell>
          <cell r="K13">
            <v>322</v>
          </cell>
          <cell r="L13">
            <v>4821</v>
          </cell>
          <cell r="M13">
            <v>6.6791122173822853E-2</v>
          </cell>
          <cell r="N13">
            <v>322</v>
          </cell>
          <cell r="O13">
            <v>0</v>
          </cell>
          <cell r="P13">
            <v>322</v>
          </cell>
          <cell r="Q13">
            <v>322</v>
          </cell>
          <cell r="R13">
            <v>322</v>
          </cell>
        </row>
        <row r="14">
          <cell r="E14" t="str">
            <v>ASOTIN-ANATONE</v>
          </cell>
          <cell r="F14">
            <v>116</v>
          </cell>
          <cell r="G14">
            <v>0</v>
          </cell>
          <cell r="I14">
            <v>3</v>
          </cell>
          <cell r="J14">
            <v>0</v>
          </cell>
          <cell r="K14">
            <v>119</v>
          </cell>
          <cell r="L14">
            <v>636</v>
          </cell>
          <cell r="M14">
            <v>0.1871069182389937</v>
          </cell>
          <cell r="N14">
            <v>119</v>
          </cell>
          <cell r="O14">
            <v>119</v>
          </cell>
          <cell r="P14">
            <v>119</v>
          </cell>
          <cell r="Q14">
            <v>133.93339999999998</v>
          </cell>
          <cell r="R14">
            <v>133.93339999999998</v>
          </cell>
        </row>
        <row r="15">
          <cell r="E15" t="str">
            <v>AUBURN</v>
          </cell>
          <cell r="F15">
            <v>1473</v>
          </cell>
          <cell r="G15">
            <v>0</v>
          </cell>
          <cell r="I15">
            <v>84</v>
          </cell>
          <cell r="J15">
            <v>42</v>
          </cell>
          <cell r="K15">
            <v>1599</v>
          </cell>
          <cell r="L15">
            <v>12264</v>
          </cell>
          <cell r="M15">
            <v>0.1303816046966732</v>
          </cell>
          <cell r="N15">
            <v>1599</v>
          </cell>
          <cell r="O15">
            <v>0</v>
          </cell>
          <cell r="P15">
            <v>1599</v>
          </cell>
          <cell r="Q15">
            <v>2053</v>
          </cell>
          <cell r="R15">
            <v>2053</v>
          </cell>
        </row>
        <row r="16">
          <cell r="E16" t="str">
            <v>BAINBRIDGE ISLAND</v>
          </cell>
          <cell r="F16">
            <v>295</v>
          </cell>
          <cell r="G16">
            <v>0</v>
          </cell>
          <cell r="I16">
            <v>4</v>
          </cell>
          <cell r="J16">
            <v>0</v>
          </cell>
          <cell r="K16">
            <v>299</v>
          </cell>
          <cell r="L16">
            <v>3945</v>
          </cell>
          <cell r="M16">
            <v>7.5792141951837769E-2</v>
          </cell>
          <cell r="N16">
            <v>299</v>
          </cell>
          <cell r="O16">
            <v>0</v>
          </cell>
          <cell r="P16">
            <v>299</v>
          </cell>
          <cell r="Q16">
            <v>299</v>
          </cell>
          <cell r="R16">
            <v>299</v>
          </cell>
        </row>
        <row r="17">
          <cell r="E17" t="str">
            <v>BATTLE GROUND</v>
          </cell>
          <cell r="F17">
            <v>1091</v>
          </cell>
          <cell r="G17">
            <v>0</v>
          </cell>
          <cell r="I17">
            <v>47</v>
          </cell>
          <cell r="J17">
            <v>6</v>
          </cell>
          <cell r="K17">
            <v>1144</v>
          </cell>
          <cell r="L17">
            <v>11033</v>
          </cell>
          <cell r="M17">
            <v>0.10368893320039881</v>
          </cell>
          <cell r="N17">
            <v>1144</v>
          </cell>
          <cell r="O17">
            <v>0</v>
          </cell>
          <cell r="P17">
            <v>1144</v>
          </cell>
          <cell r="Q17">
            <v>1370.5</v>
          </cell>
          <cell r="R17">
            <v>1370.5</v>
          </cell>
        </row>
        <row r="18">
          <cell r="E18" t="str">
            <v>BELLEVUE</v>
          </cell>
          <cell r="F18">
            <v>1517</v>
          </cell>
          <cell r="G18">
            <v>0</v>
          </cell>
          <cell r="I18">
            <v>29</v>
          </cell>
          <cell r="J18">
            <v>4</v>
          </cell>
          <cell r="K18">
            <v>1550</v>
          </cell>
          <cell r="L18">
            <v>18900</v>
          </cell>
          <cell r="M18">
            <v>8.2010582010582006E-2</v>
          </cell>
          <cell r="N18">
            <v>1550</v>
          </cell>
          <cell r="O18">
            <v>0</v>
          </cell>
          <cell r="P18">
            <v>1550</v>
          </cell>
          <cell r="Q18">
            <v>1979.5</v>
          </cell>
          <cell r="R18">
            <v>1979.5</v>
          </cell>
        </row>
        <row r="19">
          <cell r="E19" t="str">
            <v>BELLINGHAM</v>
          </cell>
          <cell r="F19">
            <v>1787</v>
          </cell>
          <cell r="G19">
            <v>0</v>
          </cell>
          <cell r="I19">
            <v>41</v>
          </cell>
          <cell r="J19">
            <v>6</v>
          </cell>
          <cell r="K19">
            <v>1834</v>
          </cell>
          <cell r="L19">
            <v>12811</v>
          </cell>
          <cell r="M19">
            <v>0.1431582234017641</v>
          </cell>
          <cell r="N19">
            <v>1834</v>
          </cell>
          <cell r="O19">
            <v>0</v>
          </cell>
          <cell r="P19">
            <v>1834</v>
          </cell>
          <cell r="Q19">
            <v>2405.5</v>
          </cell>
          <cell r="R19">
            <v>2405.5</v>
          </cell>
        </row>
        <row r="20">
          <cell r="E20" t="str">
            <v>BENGE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1</v>
          </cell>
          <cell r="L20">
            <v>16</v>
          </cell>
          <cell r="M20">
            <v>6.25E-2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 t="str">
            <v>BETHEL</v>
          </cell>
          <cell r="F21">
            <v>1715</v>
          </cell>
          <cell r="G21">
            <v>0</v>
          </cell>
          <cell r="I21">
            <v>163</v>
          </cell>
          <cell r="J21">
            <v>6</v>
          </cell>
          <cell r="K21">
            <v>1884</v>
          </cell>
          <cell r="L21">
            <v>15332</v>
          </cell>
          <cell r="M21">
            <v>0.12288025045656144</v>
          </cell>
          <cell r="N21">
            <v>1884</v>
          </cell>
          <cell r="O21">
            <v>0</v>
          </cell>
          <cell r="P21">
            <v>1884</v>
          </cell>
          <cell r="Q21">
            <v>2480.5</v>
          </cell>
          <cell r="R21">
            <v>2480.5</v>
          </cell>
        </row>
        <row r="22">
          <cell r="E22" t="str">
            <v>BICKLETON</v>
          </cell>
          <cell r="F22">
            <v>21</v>
          </cell>
          <cell r="G22">
            <v>0</v>
          </cell>
          <cell r="I22">
            <v>0</v>
          </cell>
          <cell r="J22">
            <v>0</v>
          </cell>
          <cell r="K22">
            <v>21</v>
          </cell>
          <cell r="L22">
            <v>53</v>
          </cell>
          <cell r="M22">
            <v>0.39622641509433965</v>
          </cell>
          <cell r="N22">
            <v>21</v>
          </cell>
          <cell r="O22">
            <v>21</v>
          </cell>
          <cell r="P22">
            <v>21</v>
          </cell>
          <cell r="Q22">
            <v>41.829225000000015</v>
          </cell>
          <cell r="R22">
            <v>41.829225000000015</v>
          </cell>
        </row>
        <row r="23">
          <cell r="E23" t="str">
            <v>BLAINE</v>
          </cell>
          <cell r="F23">
            <v>157</v>
          </cell>
          <cell r="G23">
            <v>0</v>
          </cell>
          <cell r="I23">
            <v>7</v>
          </cell>
          <cell r="J23">
            <v>0</v>
          </cell>
          <cell r="K23">
            <v>164</v>
          </cell>
          <cell r="L23">
            <v>1593</v>
          </cell>
          <cell r="M23">
            <v>0.1029504080351538</v>
          </cell>
          <cell r="N23">
            <v>164</v>
          </cell>
          <cell r="O23">
            <v>0</v>
          </cell>
          <cell r="P23">
            <v>164</v>
          </cell>
          <cell r="Q23">
            <v>164</v>
          </cell>
          <cell r="R23">
            <v>164</v>
          </cell>
        </row>
        <row r="24">
          <cell r="E24" t="str">
            <v>BOISTFORT</v>
          </cell>
          <cell r="F24">
            <v>32</v>
          </cell>
          <cell r="G24">
            <v>0</v>
          </cell>
          <cell r="I24">
            <v>3</v>
          </cell>
          <cell r="J24">
            <v>0</v>
          </cell>
          <cell r="K24">
            <v>35</v>
          </cell>
          <cell r="L24">
            <v>269</v>
          </cell>
          <cell r="M24">
            <v>0.13011152416356878</v>
          </cell>
          <cell r="N24">
            <v>35</v>
          </cell>
          <cell r="O24">
            <v>0</v>
          </cell>
          <cell r="P24">
            <v>35</v>
          </cell>
          <cell r="Q24">
            <v>35</v>
          </cell>
          <cell r="R24">
            <v>35</v>
          </cell>
        </row>
        <row r="25">
          <cell r="E25" t="str">
            <v>BREMERTON</v>
          </cell>
          <cell r="F25">
            <v>1872</v>
          </cell>
          <cell r="G25">
            <v>0</v>
          </cell>
          <cell r="I25">
            <v>85</v>
          </cell>
          <cell r="J25">
            <v>7</v>
          </cell>
          <cell r="K25">
            <v>1964</v>
          </cell>
          <cell r="L25">
            <v>8426</v>
          </cell>
          <cell r="M25">
            <v>0.23308806076430097</v>
          </cell>
          <cell r="N25">
            <v>1964</v>
          </cell>
          <cell r="O25">
            <v>1964</v>
          </cell>
          <cell r="P25">
            <v>1964</v>
          </cell>
          <cell r="Q25">
            <v>2600.5</v>
          </cell>
          <cell r="R25">
            <v>2600.5</v>
          </cell>
        </row>
        <row r="26">
          <cell r="E26" t="str">
            <v>BREWSTER</v>
          </cell>
          <cell r="F26">
            <v>233</v>
          </cell>
          <cell r="G26">
            <v>0</v>
          </cell>
          <cell r="I26">
            <v>1</v>
          </cell>
          <cell r="J26">
            <v>0</v>
          </cell>
          <cell r="K26">
            <v>234</v>
          </cell>
          <cell r="L26">
            <v>896</v>
          </cell>
          <cell r="M26">
            <v>0.2611607142857143</v>
          </cell>
          <cell r="N26">
            <v>234</v>
          </cell>
          <cell r="O26">
            <v>234</v>
          </cell>
          <cell r="P26">
            <v>234</v>
          </cell>
          <cell r="Q26">
            <v>331.72320000000002</v>
          </cell>
          <cell r="R26">
            <v>331.72320000000002</v>
          </cell>
        </row>
        <row r="27">
          <cell r="E27" t="str">
            <v>BRIDGEPORT</v>
          </cell>
          <cell r="F27">
            <v>232</v>
          </cell>
          <cell r="G27">
            <v>0</v>
          </cell>
          <cell r="I27">
            <v>1</v>
          </cell>
          <cell r="J27">
            <v>0</v>
          </cell>
          <cell r="K27">
            <v>233</v>
          </cell>
          <cell r="L27">
            <v>634</v>
          </cell>
          <cell r="M27">
            <v>0.36750788643533122</v>
          </cell>
          <cell r="N27">
            <v>233</v>
          </cell>
          <cell r="O27">
            <v>233</v>
          </cell>
          <cell r="P27">
            <v>233</v>
          </cell>
          <cell r="Q27">
            <v>434.62324999999998</v>
          </cell>
          <cell r="R27">
            <v>434.62324999999998</v>
          </cell>
        </row>
        <row r="28">
          <cell r="E28" t="str">
            <v>BRINNON</v>
          </cell>
          <cell r="F28">
            <v>64</v>
          </cell>
          <cell r="G28">
            <v>0</v>
          </cell>
          <cell r="I28">
            <v>1</v>
          </cell>
          <cell r="J28">
            <v>0</v>
          </cell>
          <cell r="K28">
            <v>65</v>
          </cell>
          <cell r="L28">
            <v>157</v>
          </cell>
          <cell r="M28">
            <v>0.4140127388535032</v>
          </cell>
          <cell r="N28">
            <v>65</v>
          </cell>
          <cell r="O28">
            <v>65</v>
          </cell>
          <cell r="P28">
            <v>65</v>
          </cell>
          <cell r="Q28">
            <v>135.079025</v>
          </cell>
          <cell r="R28">
            <v>135.079025</v>
          </cell>
        </row>
        <row r="29">
          <cell r="E29" t="str">
            <v>BURLINGTON-EDISON</v>
          </cell>
          <cell r="F29">
            <v>438</v>
          </cell>
          <cell r="G29">
            <v>0</v>
          </cell>
          <cell r="I29">
            <v>20</v>
          </cell>
          <cell r="J29">
            <v>0</v>
          </cell>
          <cell r="K29">
            <v>458</v>
          </cell>
          <cell r="L29">
            <v>3634</v>
          </cell>
          <cell r="M29">
            <v>0.12603192074848651</v>
          </cell>
          <cell r="N29">
            <v>458</v>
          </cell>
          <cell r="O29">
            <v>0</v>
          </cell>
          <cell r="P29">
            <v>458</v>
          </cell>
          <cell r="Q29">
            <v>458</v>
          </cell>
          <cell r="R29">
            <v>458</v>
          </cell>
        </row>
        <row r="30">
          <cell r="E30" t="str">
            <v>CAMAS</v>
          </cell>
          <cell r="F30">
            <v>343</v>
          </cell>
          <cell r="G30">
            <v>0</v>
          </cell>
          <cell r="I30">
            <v>19</v>
          </cell>
          <cell r="J30">
            <v>4</v>
          </cell>
          <cell r="K30">
            <v>366</v>
          </cell>
          <cell r="L30">
            <v>3413</v>
          </cell>
          <cell r="M30">
            <v>0.1072370348666862</v>
          </cell>
          <cell r="N30">
            <v>366</v>
          </cell>
          <cell r="O30">
            <v>0</v>
          </cell>
          <cell r="P30">
            <v>366</v>
          </cell>
          <cell r="Q30">
            <v>366</v>
          </cell>
          <cell r="R30">
            <v>366</v>
          </cell>
        </row>
        <row r="31">
          <cell r="E31" t="str">
            <v>CAPE FLATTERY</v>
          </cell>
          <cell r="F31">
            <v>153</v>
          </cell>
          <cell r="G31">
            <v>0</v>
          </cell>
          <cell r="I31">
            <v>16</v>
          </cell>
          <cell r="J31">
            <v>0</v>
          </cell>
          <cell r="K31">
            <v>169</v>
          </cell>
          <cell r="L31">
            <v>642</v>
          </cell>
          <cell r="M31">
            <v>0.26323987538940807</v>
          </cell>
          <cell r="N31">
            <v>169</v>
          </cell>
          <cell r="O31">
            <v>169</v>
          </cell>
          <cell r="P31">
            <v>169</v>
          </cell>
          <cell r="Q31">
            <v>241.02264999999997</v>
          </cell>
          <cell r="R31">
            <v>241.02264999999997</v>
          </cell>
        </row>
        <row r="32">
          <cell r="E32" t="str">
            <v>CARBONADO</v>
          </cell>
          <cell r="F32">
            <v>23</v>
          </cell>
          <cell r="G32">
            <v>0</v>
          </cell>
          <cell r="I32">
            <v>0</v>
          </cell>
          <cell r="J32">
            <v>0</v>
          </cell>
          <cell r="K32">
            <v>23</v>
          </cell>
          <cell r="L32">
            <v>200</v>
          </cell>
          <cell r="M32">
            <v>0.115</v>
          </cell>
          <cell r="N32">
            <v>23</v>
          </cell>
          <cell r="O32">
            <v>0</v>
          </cell>
          <cell r="P32">
            <v>23</v>
          </cell>
          <cell r="Q32">
            <v>23</v>
          </cell>
          <cell r="R32">
            <v>23</v>
          </cell>
        </row>
        <row r="33">
          <cell r="E33" t="str">
            <v>CASCADE</v>
          </cell>
          <cell r="F33">
            <v>277</v>
          </cell>
          <cell r="G33">
            <v>0</v>
          </cell>
          <cell r="I33">
            <v>3</v>
          </cell>
          <cell r="J33">
            <v>0</v>
          </cell>
          <cell r="K33">
            <v>280</v>
          </cell>
          <cell r="L33">
            <v>1738</v>
          </cell>
          <cell r="M33">
            <v>0.1611047180667434</v>
          </cell>
          <cell r="N33">
            <v>280</v>
          </cell>
          <cell r="O33">
            <v>280</v>
          </cell>
          <cell r="P33">
            <v>280</v>
          </cell>
          <cell r="Q33">
            <v>286.91470000000004</v>
          </cell>
          <cell r="R33">
            <v>286.91470000000004</v>
          </cell>
        </row>
        <row r="34">
          <cell r="E34" t="str">
            <v>CASHMERE</v>
          </cell>
          <cell r="F34">
            <v>255</v>
          </cell>
          <cell r="G34">
            <v>0</v>
          </cell>
          <cell r="I34">
            <v>3</v>
          </cell>
          <cell r="J34">
            <v>0</v>
          </cell>
          <cell r="K34">
            <v>258</v>
          </cell>
          <cell r="L34">
            <v>1485</v>
          </cell>
          <cell r="M34">
            <v>0.17373737373737375</v>
          </cell>
          <cell r="N34">
            <v>258</v>
          </cell>
          <cell r="O34">
            <v>258</v>
          </cell>
          <cell r="P34">
            <v>258</v>
          </cell>
          <cell r="Q34">
            <v>277.97775000000001</v>
          </cell>
          <cell r="R34">
            <v>277.97775000000001</v>
          </cell>
        </row>
        <row r="35">
          <cell r="E35" t="str">
            <v>CASTLE ROCK</v>
          </cell>
          <cell r="F35">
            <v>272</v>
          </cell>
          <cell r="G35">
            <v>0</v>
          </cell>
          <cell r="I35">
            <v>12</v>
          </cell>
          <cell r="J35">
            <v>0</v>
          </cell>
          <cell r="K35">
            <v>284</v>
          </cell>
          <cell r="L35">
            <v>1734</v>
          </cell>
          <cell r="M35">
            <v>0.1637831603229527</v>
          </cell>
          <cell r="N35">
            <v>284</v>
          </cell>
          <cell r="O35">
            <v>284</v>
          </cell>
          <cell r="P35">
            <v>284</v>
          </cell>
          <cell r="Q35">
            <v>294.38209999999998</v>
          </cell>
          <cell r="R35">
            <v>294.38209999999998</v>
          </cell>
        </row>
        <row r="36">
          <cell r="E36" t="str">
            <v>CENTERVILLE</v>
          </cell>
          <cell r="F36">
            <v>31</v>
          </cell>
          <cell r="G36">
            <v>0</v>
          </cell>
          <cell r="I36">
            <v>0</v>
          </cell>
          <cell r="J36">
            <v>0</v>
          </cell>
          <cell r="K36">
            <v>31</v>
          </cell>
          <cell r="L36">
            <v>127</v>
          </cell>
          <cell r="M36">
            <v>0.24409448818897639</v>
          </cell>
          <cell r="N36">
            <v>31</v>
          </cell>
          <cell r="O36">
            <v>31</v>
          </cell>
          <cell r="P36">
            <v>31</v>
          </cell>
          <cell r="Q36">
            <v>41.600275000000011</v>
          </cell>
          <cell r="R36">
            <v>41.600275000000011</v>
          </cell>
        </row>
        <row r="37">
          <cell r="E37" t="str">
            <v>CENTRAL KITSAP</v>
          </cell>
          <cell r="F37">
            <v>1295</v>
          </cell>
          <cell r="G37">
            <v>0</v>
          </cell>
          <cell r="I37">
            <v>72</v>
          </cell>
          <cell r="J37">
            <v>5</v>
          </cell>
          <cell r="K37">
            <v>1372</v>
          </cell>
          <cell r="L37">
            <v>14314</v>
          </cell>
          <cell r="M37">
            <v>9.5850216571189042E-2</v>
          </cell>
          <cell r="N37">
            <v>1372</v>
          </cell>
          <cell r="O37">
            <v>0</v>
          </cell>
          <cell r="P37">
            <v>1372</v>
          </cell>
          <cell r="Q37">
            <v>1712.5</v>
          </cell>
          <cell r="R37">
            <v>1712.5</v>
          </cell>
        </row>
        <row r="38">
          <cell r="E38" t="str">
            <v>CENTRAL VALLEY</v>
          </cell>
          <cell r="F38">
            <v>1183</v>
          </cell>
          <cell r="G38">
            <v>0</v>
          </cell>
          <cell r="I38">
            <v>52</v>
          </cell>
          <cell r="J38">
            <v>0</v>
          </cell>
          <cell r="K38">
            <v>1235</v>
          </cell>
          <cell r="L38">
            <v>12931</v>
          </cell>
          <cell r="M38">
            <v>9.5506921351790272E-2</v>
          </cell>
          <cell r="N38">
            <v>1235</v>
          </cell>
          <cell r="O38">
            <v>0</v>
          </cell>
          <cell r="P38">
            <v>1235</v>
          </cell>
          <cell r="Q38">
            <v>1507</v>
          </cell>
          <cell r="R38">
            <v>1507</v>
          </cell>
        </row>
        <row r="39">
          <cell r="E39" t="str">
            <v>CENTRALIA</v>
          </cell>
          <cell r="F39">
            <v>765</v>
          </cell>
          <cell r="G39">
            <v>0</v>
          </cell>
          <cell r="I39">
            <v>39</v>
          </cell>
          <cell r="J39">
            <v>1</v>
          </cell>
          <cell r="K39">
            <v>805</v>
          </cell>
          <cell r="L39">
            <v>4355</v>
          </cell>
          <cell r="M39">
            <v>0.18484500574052812</v>
          </cell>
          <cell r="N39">
            <v>805</v>
          </cell>
          <cell r="O39">
            <v>805</v>
          </cell>
          <cell r="P39">
            <v>805</v>
          </cell>
          <cell r="Q39">
            <v>899.86824999999999</v>
          </cell>
          <cell r="R39">
            <v>899.86824999999999</v>
          </cell>
        </row>
        <row r="40">
          <cell r="E40" t="str">
            <v>CHEHALIS</v>
          </cell>
          <cell r="F40">
            <v>634</v>
          </cell>
          <cell r="G40">
            <v>0</v>
          </cell>
          <cell r="I40">
            <v>9</v>
          </cell>
          <cell r="J40">
            <v>0</v>
          </cell>
          <cell r="K40">
            <v>643</v>
          </cell>
          <cell r="L40">
            <v>2972</v>
          </cell>
          <cell r="M40">
            <v>0.21635262449528936</v>
          </cell>
          <cell r="N40">
            <v>643</v>
          </cell>
          <cell r="O40">
            <v>643</v>
          </cell>
          <cell r="P40">
            <v>643</v>
          </cell>
          <cell r="Q40">
            <v>777.97180000000003</v>
          </cell>
          <cell r="R40">
            <v>777.97180000000003</v>
          </cell>
        </row>
        <row r="41">
          <cell r="E41" t="str">
            <v>CHENEY</v>
          </cell>
          <cell r="F41">
            <v>829</v>
          </cell>
          <cell r="G41">
            <v>0</v>
          </cell>
          <cell r="I41">
            <v>25</v>
          </cell>
          <cell r="J41">
            <v>2</v>
          </cell>
          <cell r="K41">
            <v>856</v>
          </cell>
          <cell r="L41">
            <v>4158</v>
          </cell>
          <cell r="M41">
            <v>0.20586820586820587</v>
          </cell>
          <cell r="N41">
            <v>856</v>
          </cell>
          <cell r="O41">
            <v>856</v>
          </cell>
          <cell r="P41">
            <v>856</v>
          </cell>
          <cell r="Q41">
            <v>1012.1377</v>
          </cell>
          <cell r="R41">
            <v>1012.1377</v>
          </cell>
        </row>
        <row r="42">
          <cell r="E42" t="str">
            <v>CHEWELAH</v>
          </cell>
          <cell r="F42">
            <v>254</v>
          </cell>
          <cell r="G42">
            <v>0</v>
          </cell>
          <cell r="I42">
            <v>8</v>
          </cell>
          <cell r="J42">
            <v>0</v>
          </cell>
          <cell r="K42">
            <v>262</v>
          </cell>
          <cell r="L42">
            <v>1324</v>
          </cell>
          <cell r="M42">
            <v>0.19788519637462235</v>
          </cell>
          <cell r="N42">
            <v>262</v>
          </cell>
          <cell r="O42">
            <v>262</v>
          </cell>
          <cell r="P42">
            <v>262</v>
          </cell>
          <cell r="Q42">
            <v>303.79059999999998</v>
          </cell>
          <cell r="R42">
            <v>303.79059999999998</v>
          </cell>
        </row>
        <row r="43">
          <cell r="E43" t="str">
            <v>CHIMACUM</v>
          </cell>
          <cell r="F43">
            <v>252</v>
          </cell>
          <cell r="G43">
            <v>0</v>
          </cell>
          <cell r="I43">
            <v>6</v>
          </cell>
          <cell r="J43">
            <v>0</v>
          </cell>
          <cell r="K43">
            <v>258</v>
          </cell>
          <cell r="L43">
            <v>1395</v>
          </cell>
          <cell r="M43">
            <v>0.18494623655913978</v>
          </cell>
          <cell r="N43">
            <v>258</v>
          </cell>
          <cell r="O43">
            <v>258</v>
          </cell>
          <cell r="P43">
            <v>258</v>
          </cell>
          <cell r="Q43">
            <v>288.49424999999997</v>
          </cell>
          <cell r="R43">
            <v>288.49424999999997</v>
          </cell>
        </row>
        <row r="44">
          <cell r="E44" t="str">
            <v>CLARKSTON</v>
          </cell>
          <cell r="F44">
            <v>856</v>
          </cell>
          <cell r="G44">
            <v>0</v>
          </cell>
          <cell r="I44">
            <v>12</v>
          </cell>
          <cell r="J44">
            <v>0</v>
          </cell>
          <cell r="K44">
            <v>868</v>
          </cell>
          <cell r="L44">
            <v>3853</v>
          </cell>
          <cell r="M44">
            <v>0.22527900337399429</v>
          </cell>
          <cell r="N44">
            <v>868</v>
          </cell>
          <cell r="O44">
            <v>868</v>
          </cell>
          <cell r="P44">
            <v>868</v>
          </cell>
          <cell r="Q44">
            <v>1080.8532249999998</v>
          </cell>
          <cell r="R44">
            <v>1080.8532249999998</v>
          </cell>
        </row>
        <row r="45">
          <cell r="E45" t="str">
            <v>CLE ELUM-ROSLYN</v>
          </cell>
          <cell r="F45">
            <v>95</v>
          </cell>
          <cell r="G45">
            <v>0</v>
          </cell>
          <cell r="I45">
            <v>6</v>
          </cell>
          <cell r="J45">
            <v>1</v>
          </cell>
          <cell r="K45">
            <v>102</v>
          </cell>
          <cell r="L45">
            <v>1112</v>
          </cell>
          <cell r="M45">
            <v>9.172661870503597E-2</v>
          </cell>
          <cell r="N45">
            <v>102</v>
          </cell>
          <cell r="O45">
            <v>0</v>
          </cell>
          <cell r="P45">
            <v>102</v>
          </cell>
          <cell r="Q45">
            <v>102</v>
          </cell>
          <cell r="R45">
            <v>102</v>
          </cell>
        </row>
        <row r="46">
          <cell r="E46" t="str">
            <v>CLOVER PARK</v>
          </cell>
          <cell r="F46">
            <v>3172</v>
          </cell>
          <cell r="G46">
            <v>0</v>
          </cell>
          <cell r="I46">
            <v>53</v>
          </cell>
          <cell r="J46">
            <v>17</v>
          </cell>
          <cell r="K46">
            <v>3242</v>
          </cell>
          <cell r="L46">
            <v>16443</v>
          </cell>
          <cell r="M46">
            <v>0.19716596728090982</v>
          </cell>
          <cell r="N46">
            <v>3242</v>
          </cell>
          <cell r="O46">
            <v>3242</v>
          </cell>
          <cell r="P46">
            <v>3242</v>
          </cell>
          <cell r="Q46">
            <v>5007.5</v>
          </cell>
          <cell r="R46">
            <v>5007.5</v>
          </cell>
        </row>
        <row r="47">
          <cell r="E47" t="str">
            <v>COLFAX</v>
          </cell>
          <cell r="F47">
            <v>91</v>
          </cell>
          <cell r="G47">
            <v>0</v>
          </cell>
          <cell r="I47">
            <v>1</v>
          </cell>
          <cell r="J47">
            <v>0</v>
          </cell>
          <cell r="K47">
            <v>92</v>
          </cell>
          <cell r="L47">
            <v>831</v>
          </cell>
          <cell r="M47">
            <v>0.11070998796630566</v>
          </cell>
          <cell r="N47">
            <v>92</v>
          </cell>
          <cell r="O47">
            <v>0</v>
          </cell>
          <cell r="P47">
            <v>92</v>
          </cell>
          <cell r="Q47">
            <v>92</v>
          </cell>
          <cell r="R47">
            <v>92</v>
          </cell>
        </row>
        <row r="48">
          <cell r="E48" t="str">
            <v>COLLEGE PLACE</v>
          </cell>
          <cell r="F48">
            <v>261</v>
          </cell>
          <cell r="G48">
            <v>0</v>
          </cell>
          <cell r="I48">
            <v>14</v>
          </cell>
          <cell r="J48">
            <v>0</v>
          </cell>
          <cell r="K48">
            <v>275</v>
          </cell>
          <cell r="L48">
            <v>1805</v>
          </cell>
          <cell r="M48">
            <v>0.1523545706371191</v>
          </cell>
          <cell r="N48">
            <v>275</v>
          </cell>
          <cell r="O48">
            <v>275</v>
          </cell>
          <cell r="P48">
            <v>275</v>
          </cell>
          <cell r="Q48">
            <v>275</v>
          </cell>
          <cell r="R48">
            <v>275</v>
          </cell>
        </row>
        <row r="49">
          <cell r="E49" t="str">
            <v>COLTON</v>
          </cell>
          <cell r="F49">
            <v>26</v>
          </cell>
          <cell r="G49">
            <v>0</v>
          </cell>
          <cell r="I49">
            <v>0</v>
          </cell>
          <cell r="J49">
            <v>0</v>
          </cell>
          <cell r="K49">
            <v>26</v>
          </cell>
          <cell r="L49">
            <v>230</v>
          </cell>
          <cell r="M49">
            <v>0.11304347826086956</v>
          </cell>
          <cell r="N49">
            <v>26</v>
          </cell>
          <cell r="O49">
            <v>0</v>
          </cell>
          <cell r="P49">
            <v>26</v>
          </cell>
          <cell r="Q49">
            <v>26</v>
          </cell>
          <cell r="R49">
            <v>26</v>
          </cell>
        </row>
        <row r="50">
          <cell r="E50" t="str">
            <v>COLUMBIA (STEV)</v>
          </cell>
          <cell r="F50">
            <v>49</v>
          </cell>
          <cell r="G50">
            <v>0</v>
          </cell>
          <cell r="I50">
            <v>5</v>
          </cell>
          <cell r="J50">
            <v>0</v>
          </cell>
          <cell r="K50">
            <v>54</v>
          </cell>
          <cell r="L50">
            <v>259</v>
          </cell>
          <cell r="M50">
            <v>0.20849420849420849</v>
          </cell>
          <cell r="N50">
            <v>54</v>
          </cell>
          <cell r="O50">
            <v>54</v>
          </cell>
          <cell r="P50">
            <v>54</v>
          </cell>
          <cell r="Q50">
            <v>64.235849999999999</v>
          </cell>
          <cell r="R50">
            <v>64.235849999999999</v>
          </cell>
        </row>
        <row r="51">
          <cell r="E51" t="str">
            <v>COLUMBIA (WALLA)</v>
          </cell>
          <cell r="F51">
            <v>42</v>
          </cell>
          <cell r="G51">
            <v>0</v>
          </cell>
          <cell r="I51">
            <v>6</v>
          </cell>
          <cell r="J51">
            <v>1</v>
          </cell>
          <cell r="K51">
            <v>49</v>
          </cell>
          <cell r="L51">
            <v>873</v>
          </cell>
          <cell r="M51">
            <v>5.6128293241695305E-2</v>
          </cell>
          <cell r="N51">
            <v>49</v>
          </cell>
          <cell r="O51">
            <v>0</v>
          </cell>
          <cell r="P51">
            <v>49</v>
          </cell>
          <cell r="Q51">
            <v>49</v>
          </cell>
          <cell r="R51">
            <v>49</v>
          </cell>
        </row>
        <row r="52">
          <cell r="E52" t="str">
            <v>COLVILLE</v>
          </cell>
          <cell r="F52">
            <v>489</v>
          </cell>
          <cell r="G52">
            <v>0</v>
          </cell>
          <cell r="I52">
            <v>13</v>
          </cell>
          <cell r="J52">
            <v>0</v>
          </cell>
          <cell r="K52">
            <v>502</v>
          </cell>
          <cell r="L52">
            <v>2878</v>
          </cell>
          <cell r="M52">
            <v>0.17442668519805421</v>
          </cell>
          <cell r="N52">
            <v>502</v>
          </cell>
          <cell r="O52">
            <v>502</v>
          </cell>
          <cell r="P52">
            <v>502</v>
          </cell>
          <cell r="Q52">
            <v>542.20570000000009</v>
          </cell>
          <cell r="R52">
            <v>542.20570000000009</v>
          </cell>
        </row>
        <row r="53">
          <cell r="E53" t="str">
            <v>CONCRETE</v>
          </cell>
          <cell r="F53">
            <v>232</v>
          </cell>
          <cell r="G53">
            <v>0</v>
          </cell>
          <cell r="I53">
            <v>13</v>
          </cell>
          <cell r="J53">
            <v>0</v>
          </cell>
          <cell r="K53">
            <v>245</v>
          </cell>
          <cell r="L53">
            <v>990</v>
          </cell>
          <cell r="M53">
            <v>0.24747474747474749</v>
          </cell>
          <cell r="N53">
            <v>245</v>
          </cell>
          <cell r="O53">
            <v>245</v>
          </cell>
          <cell r="P53">
            <v>245</v>
          </cell>
          <cell r="Q53">
            <v>332.65174999999999</v>
          </cell>
          <cell r="R53">
            <v>332.65174999999999</v>
          </cell>
        </row>
        <row r="54">
          <cell r="E54" t="str">
            <v>CONWAY</v>
          </cell>
          <cell r="F54">
            <v>87</v>
          </cell>
          <cell r="G54">
            <v>0</v>
          </cell>
          <cell r="I54">
            <v>3</v>
          </cell>
          <cell r="J54">
            <v>0</v>
          </cell>
          <cell r="K54">
            <v>90</v>
          </cell>
          <cell r="L54">
            <v>711</v>
          </cell>
          <cell r="M54">
            <v>0.12658227848101267</v>
          </cell>
          <cell r="N54">
            <v>90</v>
          </cell>
          <cell r="O54">
            <v>0</v>
          </cell>
          <cell r="P54">
            <v>90</v>
          </cell>
          <cell r="Q54">
            <v>90</v>
          </cell>
          <cell r="R54">
            <v>90</v>
          </cell>
        </row>
        <row r="55">
          <cell r="E55" t="str">
            <v>COSMOPOLIS</v>
          </cell>
          <cell r="F55">
            <v>33</v>
          </cell>
          <cell r="G55">
            <v>0</v>
          </cell>
          <cell r="I55">
            <v>3</v>
          </cell>
          <cell r="J55">
            <v>0</v>
          </cell>
          <cell r="K55">
            <v>36</v>
          </cell>
          <cell r="L55">
            <v>377</v>
          </cell>
          <cell r="M55">
            <v>9.5490716180371346E-2</v>
          </cell>
          <cell r="N55">
            <v>36</v>
          </cell>
          <cell r="O55">
            <v>0</v>
          </cell>
          <cell r="P55">
            <v>36</v>
          </cell>
          <cell r="Q55">
            <v>36</v>
          </cell>
          <cell r="R55">
            <v>36</v>
          </cell>
        </row>
        <row r="56">
          <cell r="E56" t="str">
            <v>COULEE-HARTLINE</v>
          </cell>
          <cell r="F56">
            <v>38</v>
          </cell>
          <cell r="G56">
            <v>0</v>
          </cell>
          <cell r="I56">
            <v>0</v>
          </cell>
          <cell r="J56">
            <v>0</v>
          </cell>
          <cell r="K56">
            <v>38</v>
          </cell>
          <cell r="L56">
            <v>364</v>
          </cell>
          <cell r="M56">
            <v>0.1043956043956044</v>
          </cell>
          <cell r="N56">
            <v>38</v>
          </cell>
          <cell r="O56">
            <v>0</v>
          </cell>
          <cell r="P56">
            <v>38</v>
          </cell>
          <cell r="Q56">
            <v>38</v>
          </cell>
          <cell r="R56">
            <v>38</v>
          </cell>
        </row>
        <row r="57">
          <cell r="E57" t="str">
            <v>COUPEVILLE</v>
          </cell>
          <cell r="F57">
            <v>148</v>
          </cell>
          <cell r="G57">
            <v>0</v>
          </cell>
          <cell r="I57">
            <v>10</v>
          </cell>
          <cell r="J57">
            <v>0</v>
          </cell>
          <cell r="K57">
            <v>158</v>
          </cell>
          <cell r="L57">
            <v>1219</v>
          </cell>
          <cell r="M57">
            <v>0.12961443806398687</v>
          </cell>
          <cell r="N57">
            <v>158</v>
          </cell>
          <cell r="O57">
            <v>0</v>
          </cell>
          <cell r="P57">
            <v>158</v>
          </cell>
          <cell r="Q57">
            <v>158</v>
          </cell>
          <cell r="R57">
            <v>158</v>
          </cell>
        </row>
        <row r="58">
          <cell r="E58" t="str">
            <v>CRESCENT</v>
          </cell>
          <cell r="F58">
            <v>118</v>
          </cell>
          <cell r="G58">
            <v>0</v>
          </cell>
          <cell r="I58">
            <v>5</v>
          </cell>
          <cell r="J58">
            <v>0</v>
          </cell>
          <cell r="K58">
            <v>123</v>
          </cell>
          <cell r="L58">
            <v>461</v>
          </cell>
          <cell r="M58">
            <v>0.26681127982646419</v>
          </cell>
          <cell r="N58">
            <v>123</v>
          </cell>
          <cell r="O58">
            <v>123</v>
          </cell>
          <cell r="P58">
            <v>123</v>
          </cell>
          <cell r="Q58">
            <v>177.186825</v>
          </cell>
          <cell r="R58">
            <v>177.186825</v>
          </cell>
        </row>
        <row r="59">
          <cell r="E59" t="str">
            <v>CRESTON</v>
          </cell>
          <cell r="F59">
            <v>37</v>
          </cell>
          <cell r="G59">
            <v>0</v>
          </cell>
          <cell r="I59">
            <v>1</v>
          </cell>
          <cell r="J59">
            <v>0</v>
          </cell>
          <cell r="K59">
            <v>38</v>
          </cell>
          <cell r="L59">
            <v>155</v>
          </cell>
          <cell r="M59">
            <v>0.24516129032258063</v>
          </cell>
          <cell r="N59">
            <v>38</v>
          </cell>
          <cell r="O59">
            <v>38</v>
          </cell>
          <cell r="P59">
            <v>38</v>
          </cell>
          <cell r="Q59">
            <v>51.185375000000001</v>
          </cell>
          <cell r="R59">
            <v>51.185375000000001</v>
          </cell>
        </row>
        <row r="60">
          <cell r="E60" t="str">
            <v>CURLEW</v>
          </cell>
          <cell r="F60">
            <v>98</v>
          </cell>
          <cell r="G60">
            <v>0</v>
          </cell>
          <cell r="I60">
            <v>3</v>
          </cell>
          <cell r="J60">
            <v>0</v>
          </cell>
          <cell r="K60">
            <v>101</v>
          </cell>
          <cell r="L60">
            <v>433</v>
          </cell>
          <cell r="M60">
            <v>0.23325635103926096</v>
          </cell>
          <cell r="N60">
            <v>101</v>
          </cell>
          <cell r="O60">
            <v>101</v>
          </cell>
          <cell r="P60">
            <v>101</v>
          </cell>
          <cell r="Q60">
            <v>130.10172499999999</v>
          </cell>
          <cell r="R60">
            <v>130.10172499999999</v>
          </cell>
        </row>
        <row r="61">
          <cell r="E61" t="str">
            <v>CUSICK</v>
          </cell>
          <cell r="F61">
            <v>147</v>
          </cell>
          <cell r="G61">
            <v>0</v>
          </cell>
          <cell r="I61">
            <v>4</v>
          </cell>
          <cell r="J61">
            <v>0</v>
          </cell>
          <cell r="K61">
            <v>151</v>
          </cell>
          <cell r="L61">
            <v>376</v>
          </cell>
          <cell r="M61">
            <v>0.40159574468085107</v>
          </cell>
          <cell r="N61">
            <v>151</v>
          </cell>
          <cell r="O61">
            <v>151</v>
          </cell>
          <cell r="P61">
            <v>151</v>
          </cell>
          <cell r="Q61">
            <v>304.82619999999997</v>
          </cell>
          <cell r="R61">
            <v>304.82619999999997</v>
          </cell>
        </row>
        <row r="62">
          <cell r="E62" t="str">
            <v>DAMMAN</v>
          </cell>
          <cell r="F62">
            <v>10</v>
          </cell>
          <cell r="G62">
            <v>0</v>
          </cell>
          <cell r="I62">
            <v>1</v>
          </cell>
          <cell r="J62">
            <v>0</v>
          </cell>
          <cell r="K62">
            <v>11</v>
          </cell>
          <cell r="L62">
            <v>118</v>
          </cell>
          <cell r="M62">
            <v>9.3220338983050849E-2</v>
          </cell>
          <cell r="N62">
            <v>11</v>
          </cell>
          <cell r="O62">
            <v>0</v>
          </cell>
          <cell r="P62">
            <v>11</v>
          </cell>
          <cell r="Q62">
            <v>11</v>
          </cell>
          <cell r="R62">
            <v>11</v>
          </cell>
        </row>
        <row r="63">
          <cell r="E63" t="str">
            <v>DARRINGTON</v>
          </cell>
          <cell r="F63">
            <v>119</v>
          </cell>
          <cell r="G63">
            <v>0</v>
          </cell>
          <cell r="I63">
            <v>3</v>
          </cell>
          <cell r="J63">
            <v>0</v>
          </cell>
          <cell r="K63">
            <v>122</v>
          </cell>
          <cell r="L63">
            <v>739</v>
          </cell>
          <cell r="M63">
            <v>0.16508795669824086</v>
          </cell>
          <cell r="N63">
            <v>122</v>
          </cell>
          <cell r="O63">
            <v>122</v>
          </cell>
          <cell r="P63">
            <v>122</v>
          </cell>
          <cell r="Q63">
            <v>127.14785000000001</v>
          </cell>
          <cell r="R63">
            <v>127.14785000000001</v>
          </cell>
        </row>
        <row r="64">
          <cell r="E64" t="str">
            <v>DAVENPORT</v>
          </cell>
          <cell r="F64">
            <v>87</v>
          </cell>
          <cell r="G64">
            <v>0</v>
          </cell>
          <cell r="I64">
            <v>7</v>
          </cell>
          <cell r="J64">
            <v>0</v>
          </cell>
          <cell r="K64">
            <v>94</v>
          </cell>
          <cell r="L64">
            <v>496</v>
          </cell>
          <cell r="M64">
            <v>0.18951612903225806</v>
          </cell>
          <cell r="N64">
            <v>94</v>
          </cell>
          <cell r="O64">
            <v>94</v>
          </cell>
          <cell r="P64">
            <v>94</v>
          </cell>
          <cell r="Q64">
            <v>106.5424</v>
          </cell>
          <cell r="R64">
            <v>106.5424</v>
          </cell>
        </row>
        <row r="65">
          <cell r="E65" t="str">
            <v>DAYTON</v>
          </cell>
          <cell r="F65">
            <v>122</v>
          </cell>
          <cell r="G65">
            <v>0</v>
          </cell>
          <cell r="I65">
            <v>5</v>
          </cell>
          <cell r="J65">
            <v>0</v>
          </cell>
          <cell r="K65">
            <v>127</v>
          </cell>
          <cell r="L65">
            <v>744</v>
          </cell>
          <cell r="M65">
            <v>0.17069892473118278</v>
          </cell>
          <cell r="N65">
            <v>127</v>
          </cell>
          <cell r="O65">
            <v>127</v>
          </cell>
          <cell r="P65">
            <v>127</v>
          </cell>
          <cell r="Q65">
            <v>135.31359999999998</v>
          </cell>
          <cell r="R65">
            <v>135.31359999999998</v>
          </cell>
        </row>
        <row r="66">
          <cell r="E66" t="str">
            <v>DEER PARK</v>
          </cell>
          <cell r="F66">
            <v>307</v>
          </cell>
          <cell r="G66">
            <v>0</v>
          </cell>
          <cell r="I66">
            <v>32</v>
          </cell>
          <cell r="J66">
            <v>3</v>
          </cell>
          <cell r="K66">
            <v>342</v>
          </cell>
          <cell r="L66">
            <v>1825</v>
          </cell>
          <cell r="M66">
            <v>0.1873972602739726</v>
          </cell>
          <cell r="N66">
            <v>342</v>
          </cell>
          <cell r="O66">
            <v>342</v>
          </cell>
          <cell r="P66">
            <v>342</v>
          </cell>
          <cell r="Q66">
            <v>385.24874999999997</v>
          </cell>
          <cell r="R66">
            <v>385.24874999999997</v>
          </cell>
        </row>
        <row r="67">
          <cell r="E67" t="str">
            <v>DIERINGER</v>
          </cell>
          <cell r="F67">
            <v>70</v>
          </cell>
          <cell r="G67">
            <v>0</v>
          </cell>
          <cell r="I67">
            <v>4</v>
          </cell>
          <cell r="J67">
            <v>0</v>
          </cell>
          <cell r="K67">
            <v>74</v>
          </cell>
          <cell r="L67">
            <v>1302</v>
          </cell>
          <cell r="M67">
            <v>5.683563748079877E-2</v>
          </cell>
          <cell r="N67">
            <v>74</v>
          </cell>
          <cell r="O67">
            <v>0</v>
          </cell>
          <cell r="P67">
            <v>74</v>
          </cell>
          <cell r="Q67">
            <v>74</v>
          </cell>
          <cell r="R67">
            <v>74</v>
          </cell>
        </row>
        <row r="68">
          <cell r="E68" t="str">
            <v>DIXIE</v>
          </cell>
          <cell r="F68">
            <v>9</v>
          </cell>
          <cell r="G68">
            <v>0</v>
          </cell>
          <cell r="I68">
            <v>2</v>
          </cell>
          <cell r="J68">
            <v>0</v>
          </cell>
          <cell r="K68">
            <v>11</v>
          </cell>
          <cell r="L68">
            <v>80</v>
          </cell>
          <cell r="M68">
            <v>0.13750000000000001</v>
          </cell>
          <cell r="N68">
            <v>11</v>
          </cell>
          <cell r="O68">
            <v>0</v>
          </cell>
          <cell r="P68">
            <v>11</v>
          </cell>
          <cell r="Q68">
            <v>11</v>
          </cell>
          <cell r="R68">
            <v>11</v>
          </cell>
        </row>
        <row r="69">
          <cell r="E69" t="str">
            <v>EAST VALLEY (SPK)</v>
          </cell>
          <cell r="F69">
            <v>932</v>
          </cell>
          <cell r="G69">
            <v>0</v>
          </cell>
          <cell r="I69">
            <v>38</v>
          </cell>
          <cell r="J69">
            <v>0</v>
          </cell>
          <cell r="K69">
            <v>970</v>
          </cell>
          <cell r="L69">
            <v>5335</v>
          </cell>
          <cell r="M69">
            <v>0.18181818181818182</v>
          </cell>
          <cell r="N69">
            <v>970</v>
          </cell>
          <cell r="O69">
            <v>970</v>
          </cell>
          <cell r="P69">
            <v>970</v>
          </cell>
          <cell r="Q69">
            <v>1109.5</v>
          </cell>
          <cell r="R69">
            <v>1109.5</v>
          </cell>
        </row>
        <row r="70">
          <cell r="E70" t="str">
            <v>EAST VALLEY (YAK)</v>
          </cell>
          <cell r="F70">
            <v>351</v>
          </cell>
          <cell r="G70">
            <v>0</v>
          </cell>
          <cell r="I70">
            <v>17</v>
          </cell>
          <cell r="J70">
            <v>1</v>
          </cell>
          <cell r="K70">
            <v>369</v>
          </cell>
          <cell r="L70">
            <v>2460</v>
          </cell>
          <cell r="M70">
            <v>0.15</v>
          </cell>
          <cell r="N70">
            <v>369</v>
          </cell>
          <cell r="O70">
            <v>0</v>
          </cell>
          <cell r="P70">
            <v>369</v>
          </cell>
          <cell r="Q70">
            <v>369</v>
          </cell>
          <cell r="R70">
            <v>369</v>
          </cell>
        </row>
        <row r="71">
          <cell r="E71" t="str">
            <v>EASTMONT</v>
          </cell>
          <cell r="F71">
            <v>471</v>
          </cell>
          <cell r="G71">
            <v>0</v>
          </cell>
          <cell r="I71">
            <v>29</v>
          </cell>
          <cell r="J71">
            <v>0</v>
          </cell>
          <cell r="K71">
            <v>500</v>
          </cell>
          <cell r="L71">
            <v>4888</v>
          </cell>
          <cell r="M71">
            <v>0.10229132569558101</v>
          </cell>
          <cell r="N71">
            <v>500</v>
          </cell>
          <cell r="O71">
            <v>0</v>
          </cell>
          <cell r="P71">
            <v>500</v>
          </cell>
          <cell r="Q71">
            <v>500</v>
          </cell>
          <cell r="R71">
            <v>500</v>
          </cell>
        </row>
        <row r="72">
          <cell r="E72" t="str">
            <v>EASTON</v>
          </cell>
          <cell r="F72">
            <v>15</v>
          </cell>
          <cell r="G72">
            <v>0</v>
          </cell>
          <cell r="I72">
            <v>0</v>
          </cell>
          <cell r="J72">
            <v>0</v>
          </cell>
          <cell r="K72">
            <v>15</v>
          </cell>
          <cell r="L72">
            <v>77</v>
          </cell>
          <cell r="M72">
            <v>0.19480519480519481</v>
          </cell>
          <cell r="N72">
            <v>15</v>
          </cell>
          <cell r="O72">
            <v>15</v>
          </cell>
          <cell r="P72">
            <v>15</v>
          </cell>
          <cell r="Q72">
            <v>17.252549999999999</v>
          </cell>
          <cell r="R72">
            <v>17.252549999999999</v>
          </cell>
        </row>
        <row r="73">
          <cell r="E73" t="str">
            <v>EATONVILLE</v>
          </cell>
          <cell r="F73">
            <v>204</v>
          </cell>
          <cell r="G73">
            <v>0</v>
          </cell>
          <cell r="I73">
            <v>13</v>
          </cell>
          <cell r="J73">
            <v>0</v>
          </cell>
          <cell r="K73">
            <v>217</v>
          </cell>
          <cell r="L73">
            <v>1893</v>
          </cell>
          <cell r="M73">
            <v>0.11463285789751716</v>
          </cell>
          <cell r="N73">
            <v>217</v>
          </cell>
          <cell r="O73">
            <v>0</v>
          </cell>
          <cell r="P73">
            <v>217</v>
          </cell>
          <cell r="Q73">
            <v>217</v>
          </cell>
          <cell r="R73">
            <v>217</v>
          </cell>
        </row>
        <row r="74">
          <cell r="E74" t="str">
            <v>EDMONDS</v>
          </cell>
          <cell r="F74">
            <v>2321</v>
          </cell>
          <cell r="G74">
            <v>0</v>
          </cell>
          <cell r="I74">
            <v>71</v>
          </cell>
          <cell r="J74">
            <v>8</v>
          </cell>
          <cell r="K74">
            <v>2400</v>
          </cell>
          <cell r="L74">
            <v>27644</v>
          </cell>
          <cell r="M74">
            <v>8.6818116046881777E-2</v>
          </cell>
          <cell r="N74">
            <v>2400</v>
          </cell>
          <cell r="O74">
            <v>0</v>
          </cell>
          <cell r="P74">
            <v>2400</v>
          </cell>
          <cell r="Q74">
            <v>3323.5</v>
          </cell>
          <cell r="R74">
            <v>3323.5</v>
          </cell>
        </row>
        <row r="75">
          <cell r="E75" t="str">
            <v>ELLENSBURG</v>
          </cell>
          <cell r="F75">
            <v>580</v>
          </cell>
          <cell r="G75">
            <v>0</v>
          </cell>
          <cell r="I75">
            <v>22</v>
          </cell>
          <cell r="J75">
            <v>0</v>
          </cell>
          <cell r="K75">
            <v>602</v>
          </cell>
          <cell r="L75">
            <v>3006</v>
          </cell>
          <cell r="M75">
            <v>0.20026613439787092</v>
          </cell>
          <cell r="N75">
            <v>602</v>
          </cell>
          <cell r="O75">
            <v>602</v>
          </cell>
          <cell r="P75">
            <v>602</v>
          </cell>
          <cell r="Q75">
            <v>702.24889999999994</v>
          </cell>
          <cell r="R75">
            <v>702.24889999999994</v>
          </cell>
        </row>
        <row r="76">
          <cell r="E76" t="str">
            <v>ELMA</v>
          </cell>
          <cell r="F76">
            <v>521</v>
          </cell>
          <cell r="G76">
            <v>0</v>
          </cell>
          <cell r="I76">
            <v>20</v>
          </cell>
          <cell r="J76">
            <v>0</v>
          </cell>
          <cell r="K76">
            <v>541</v>
          </cell>
          <cell r="L76">
            <v>1851</v>
          </cell>
          <cell r="M76">
            <v>0.29227444624527282</v>
          </cell>
          <cell r="N76">
            <v>541</v>
          </cell>
          <cell r="O76">
            <v>541</v>
          </cell>
          <cell r="P76">
            <v>541</v>
          </cell>
          <cell r="Q76">
            <v>829.26857500000006</v>
          </cell>
          <cell r="R76">
            <v>829.26857500000006</v>
          </cell>
        </row>
        <row r="77">
          <cell r="E77" t="str">
            <v>ENDICOTT</v>
          </cell>
          <cell r="F77">
            <v>50</v>
          </cell>
          <cell r="G77">
            <v>0</v>
          </cell>
          <cell r="I77">
            <v>0</v>
          </cell>
          <cell r="J77">
            <v>0</v>
          </cell>
          <cell r="K77">
            <v>50</v>
          </cell>
          <cell r="L77">
            <v>148</v>
          </cell>
          <cell r="M77">
            <v>0.33783783783783783</v>
          </cell>
          <cell r="N77">
            <v>50</v>
          </cell>
          <cell r="O77">
            <v>50</v>
          </cell>
          <cell r="P77">
            <v>50</v>
          </cell>
          <cell r="Q77">
            <v>87.186499999999995</v>
          </cell>
          <cell r="R77">
            <v>87.186499999999995</v>
          </cell>
        </row>
        <row r="78">
          <cell r="E78" t="str">
            <v>ENTIAT</v>
          </cell>
          <cell r="F78">
            <v>43</v>
          </cell>
          <cell r="G78">
            <v>0</v>
          </cell>
          <cell r="I78">
            <v>1</v>
          </cell>
          <cell r="J78">
            <v>0</v>
          </cell>
          <cell r="K78">
            <v>44</v>
          </cell>
          <cell r="L78">
            <v>371</v>
          </cell>
          <cell r="M78">
            <v>0.11859838274932614</v>
          </cell>
          <cell r="N78">
            <v>44</v>
          </cell>
          <cell r="O78">
            <v>0</v>
          </cell>
          <cell r="P78">
            <v>44</v>
          </cell>
          <cell r="Q78">
            <v>44</v>
          </cell>
          <cell r="R78">
            <v>44</v>
          </cell>
        </row>
        <row r="79">
          <cell r="E79" t="str">
            <v>ENUMCLAW</v>
          </cell>
          <cell r="F79">
            <v>417</v>
          </cell>
          <cell r="G79">
            <v>0</v>
          </cell>
          <cell r="I79">
            <v>18</v>
          </cell>
          <cell r="J79">
            <v>6</v>
          </cell>
          <cell r="K79">
            <v>441</v>
          </cell>
          <cell r="L79">
            <v>4699</v>
          </cell>
          <cell r="M79">
            <v>9.3849755267078103E-2</v>
          </cell>
          <cell r="N79">
            <v>441</v>
          </cell>
          <cell r="O79">
            <v>0</v>
          </cell>
          <cell r="P79">
            <v>441</v>
          </cell>
          <cell r="Q79">
            <v>441</v>
          </cell>
          <cell r="R79">
            <v>441</v>
          </cell>
        </row>
        <row r="80">
          <cell r="E80" t="str">
            <v>EPHRATA</v>
          </cell>
          <cell r="F80">
            <v>330</v>
          </cell>
          <cell r="G80">
            <v>0</v>
          </cell>
          <cell r="I80">
            <v>8</v>
          </cell>
          <cell r="J80">
            <v>0</v>
          </cell>
          <cell r="K80">
            <v>338</v>
          </cell>
          <cell r="L80">
            <v>2431</v>
          </cell>
          <cell r="M80">
            <v>0.13903743315508021</v>
          </cell>
          <cell r="N80">
            <v>338</v>
          </cell>
          <cell r="O80">
            <v>0</v>
          </cell>
          <cell r="P80">
            <v>338</v>
          </cell>
          <cell r="Q80">
            <v>338</v>
          </cell>
          <cell r="R80">
            <v>338</v>
          </cell>
        </row>
        <row r="81">
          <cell r="E81" t="str">
            <v>EVALINE</v>
          </cell>
          <cell r="F81">
            <v>25</v>
          </cell>
          <cell r="G81">
            <v>0</v>
          </cell>
          <cell r="I81">
            <v>3</v>
          </cell>
          <cell r="J81">
            <v>0</v>
          </cell>
          <cell r="K81">
            <v>28</v>
          </cell>
          <cell r="L81">
            <v>120</v>
          </cell>
          <cell r="M81">
            <v>0.23333333333333334</v>
          </cell>
          <cell r="N81">
            <v>28</v>
          </cell>
          <cell r="O81">
            <v>28</v>
          </cell>
          <cell r="P81">
            <v>28</v>
          </cell>
          <cell r="Q81">
            <v>36.079000000000008</v>
          </cell>
          <cell r="R81">
            <v>36.079000000000008</v>
          </cell>
        </row>
        <row r="82">
          <cell r="E82" t="str">
            <v>EVERETT</v>
          </cell>
          <cell r="F82">
            <v>2586</v>
          </cell>
          <cell r="G82">
            <v>0</v>
          </cell>
          <cell r="I82">
            <v>86</v>
          </cell>
          <cell r="J82">
            <v>16</v>
          </cell>
          <cell r="K82">
            <v>2688</v>
          </cell>
          <cell r="L82">
            <v>20913</v>
          </cell>
          <cell r="M82">
            <v>0.12853249175154211</v>
          </cell>
          <cell r="N82">
            <v>2688</v>
          </cell>
          <cell r="O82">
            <v>0</v>
          </cell>
          <cell r="P82">
            <v>2688</v>
          </cell>
          <cell r="Q82">
            <v>3899.5</v>
          </cell>
          <cell r="R82">
            <v>3899.5</v>
          </cell>
        </row>
        <row r="83">
          <cell r="E83" t="str">
            <v>EVERGREEN (CLARK)</v>
          </cell>
          <cell r="F83">
            <v>1880</v>
          </cell>
          <cell r="G83">
            <v>0</v>
          </cell>
          <cell r="I83">
            <v>83</v>
          </cell>
          <cell r="J83">
            <v>17</v>
          </cell>
          <cell r="K83">
            <v>1980</v>
          </cell>
          <cell r="L83">
            <v>21951</v>
          </cell>
          <cell r="M83">
            <v>9.020090200902009E-2</v>
          </cell>
          <cell r="N83">
            <v>1980</v>
          </cell>
          <cell r="O83">
            <v>0</v>
          </cell>
          <cell r="P83">
            <v>1980</v>
          </cell>
          <cell r="Q83">
            <v>2624.5</v>
          </cell>
          <cell r="R83">
            <v>2624.5</v>
          </cell>
        </row>
        <row r="84">
          <cell r="E84" t="str">
            <v>EVERGREEN (STEV)</v>
          </cell>
          <cell r="F84">
            <v>15</v>
          </cell>
          <cell r="G84">
            <v>0</v>
          </cell>
          <cell r="I84">
            <v>0</v>
          </cell>
          <cell r="J84">
            <v>0</v>
          </cell>
          <cell r="K84">
            <v>15</v>
          </cell>
          <cell r="L84">
            <v>82</v>
          </cell>
          <cell r="M84">
            <v>0.18292682926829268</v>
          </cell>
          <cell r="N84">
            <v>15</v>
          </cell>
          <cell r="O84">
            <v>15</v>
          </cell>
          <cell r="P84">
            <v>15</v>
          </cell>
          <cell r="Q84">
            <v>16.668299999999999</v>
          </cell>
          <cell r="R84">
            <v>16.668299999999999</v>
          </cell>
        </row>
        <row r="85">
          <cell r="E85" t="str">
            <v>FEDERAL WAY</v>
          </cell>
          <cell r="F85">
            <v>1804</v>
          </cell>
          <cell r="G85">
            <v>0</v>
          </cell>
          <cell r="I85">
            <v>93</v>
          </cell>
          <cell r="J85">
            <v>23</v>
          </cell>
          <cell r="K85">
            <v>1920</v>
          </cell>
          <cell r="L85">
            <v>21939</v>
          </cell>
          <cell r="M85">
            <v>8.7515383563517027E-2</v>
          </cell>
          <cell r="N85">
            <v>1920</v>
          </cell>
          <cell r="O85">
            <v>0</v>
          </cell>
          <cell r="P85">
            <v>1920</v>
          </cell>
          <cell r="Q85">
            <v>2534.5</v>
          </cell>
          <cell r="R85">
            <v>2534.5</v>
          </cell>
        </row>
        <row r="86">
          <cell r="E86" t="str">
            <v>FERNDALE</v>
          </cell>
          <cell r="F86">
            <v>900</v>
          </cell>
          <cell r="G86">
            <v>0</v>
          </cell>
          <cell r="I86">
            <v>34</v>
          </cell>
          <cell r="J86">
            <v>0</v>
          </cell>
          <cell r="K86">
            <v>934</v>
          </cell>
          <cell r="L86">
            <v>5252</v>
          </cell>
          <cell r="M86">
            <v>0.17783701447067785</v>
          </cell>
          <cell r="N86">
            <v>934</v>
          </cell>
          <cell r="O86">
            <v>934</v>
          </cell>
          <cell r="P86">
            <v>934</v>
          </cell>
          <cell r="Q86">
            <v>1055.5</v>
          </cell>
          <cell r="R86">
            <v>1055.5</v>
          </cell>
        </row>
        <row r="87">
          <cell r="E87" t="str">
            <v>FIFE</v>
          </cell>
          <cell r="F87">
            <v>240</v>
          </cell>
          <cell r="G87">
            <v>0</v>
          </cell>
          <cell r="I87">
            <v>9</v>
          </cell>
          <cell r="J87">
            <v>0</v>
          </cell>
          <cell r="K87">
            <v>249</v>
          </cell>
          <cell r="L87">
            <v>2573</v>
          </cell>
          <cell r="M87">
            <v>9.6774193548387094E-2</v>
          </cell>
          <cell r="N87">
            <v>249</v>
          </cell>
          <cell r="O87">
            <v>0</v>
          </cell>
          <cell r="P87">
            <v>249</v>
          </cell>
          <cell r="Q87">
            <v>249</v>
          </cell>
          <cell r="R87">
            <v>249</v>
          </cell>
        </row>
        <row r="88">
          <cell r="E88" t="str">
            <v>FINLEY</v>
          </cell>
          <cell r="F88">
            <v>188</v>
          </cell>
          <cell r="G88">
            <v>0</v>
          </cell>
          <cell r="I88">
            <v>7</v>
          </cell>
          <cell r="J88">
            <v>0</v>
          </cell>
          <cell r="K88">
            <v>195</v>
          </cell>
          <cell r="L88">
            <v>1271</v>
          </cell>
          <cell r="M88">
            <v>0.15342250196695514</v>
          </cell>
          <cell r="N88">
            <v>195</v>
          </cell>
          <cell r="O88">
            <v>195</v>
          </cell>
          <cell r="P88">
            <v>195</v>
          </cell>
          <cell r="Q88">
            <v>195</v>
          </cell>
          <cell r="R88">
            <v>195</v>
          </cell>
        </row>
        <row r="89">
          <cell r="E89" t="str">
            <v>FRANKLIN PIERCE</v>
          </cell>
          <cell r="F89">
            <v>997</v>
          </cell>
          <cell r="G89">
            <v>0</v>
          </cell>
          <cell r="I89">
            <v>64</v>
          </cell>
          <cell r="J89">
            <v>8</v>
          </cell>
          <cell r="K89">
            <v>1069</v>
          </cell>
          <cell r="L89">
            <v>7267</v>
          </cell>
          <cell r="M89">
            <v>0.14710334388330812</v>
          </cell>
          <cell r="N89">
            <v>1069</v>
          </cell>
          <cell r="O89">
            <v>0</v>
          </cell>
          <cell r="P89">
            <v>1069</v>
          </cell>
          <cell r="Q89">
            <v>1258</v>
          </cell>
          <cell r="R89">
            <v>1258</v>
          </cell>
        </row>
        <row r="90">
          <cell r="E90" t="str">
            <v>FREEMAN</v>
          </cell>
          <cell r="F90">
            <v>32</v>
          </cell>
          <cell r="G90">
            <v>0</v>
          </cell>
          <cell r="I90">
            <v>5</v>
          </cell>
          <cell r="J90">
            <v>2</v>
          </cell>
          <cell r="K90">
            <v>39</v>
          </cell>
          <cell r="L90">
            <v>907</v>
          </cell>
          <cell r="M90">
            <v>4.2998897464167588E-2</v>
          </cell>
          <cell r="N90">
            <v>39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 t="str">
            <v>GARFIELD</v>
          </cell>
          <cell r="F91">
            <v>8</v>
          </cell>
          <cell r="G91">
            <v>0</v>
          </cell>
          <cell r="I91">
            <v>1</v>
          </cell>
          <cell r="J91">
            <v>0</v>
          </cell>
          <cell r="K91">
            <v>9</v>
          </cell>
          <cell r="L91">
            <v>170</v>
          </cell>
          <cell r="M91">
            <v>5.2941176470588235E-2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 t="str">
            <v>GLENWOOD</v>
          </cell>
          <cell r="F92">
            <v>31</v>
          </cell>
          <cell r="G92">
            <v>0</v>
          </cell>
          <cell r="I92">
            <v>3</v>
          </cell>
          <cell r="J92">
            <v>0</v>
          </cell>
          <cell r="K92">
            <v>34</v>
          </cell>
          <cell r="L92">
            <v>176</v>
          </cell>
          <cell r="M92">
            <v>0.19318181818181818</v>
          </cell>
          <cell r="N92">
            <v>34</v>
          </cell>
          <cell r="O92">
            <v>34</v>
          </cell>
          <cell r="P92">
            <v>34</v>
          </cell>
          <cell r="Q92">
            <v>38.934399999999997</v>
          </cell>
          <cell r="R92">
            <v>38.934399999999997</v>
          </cell>
        </row>
        <row r="93">
          <cell r="E93" t="str">
            <v>GOLDENDALE</v>
          </cell>
          <cell r="F93">
            <v>396</v>
          </cell>
          <cell r="G93">
            <v>0</v>
          </cell>
          <cell r="I93">
            <v>7</v>
          </cell>
          <cell r="J93">
            <v>0</v>
          </cell>
          <cell r="K93">
            <v>403</v>
          </cell>
          <cell r="L93">
            <v>1491</v>
          </cell>
          <cell r="M93">
            <v>0.2702883970489604</v>
          </cell>
          <cell r="N93">
            <v>403</v>
          </cell>
          <cell r="O93">
            <v>403</v>
          </cell>
          <cell r="P93">
            <v>403</v>
          </cell>
          <cell r="Q93">
            <v>586.03157499999998</v>
          </cell>
          <cell r="R93">
            <v>586.03157499999998</v>
          </cell>
        </row>
        <row r="94">
          <cell r="E94" t="str">
            <v>GRAND COULEE</v>
          </cell>
          <cell r="F94">
            <v>160</v>
          </cell>
          <cell r="G94">
            <v>0</v>
          </cell>
          <cell r="I94">
            <v>8</v>
          </cell>
          <cell r="J94">
            <v>0</v>
          </cell>
          <cell r="K94">
            <v>168</v>
          </cell>
          <cell r="L94">
            <v>1015</v>
          </cell>
          <cell r="M94">
            <v>0.16551724137931034</v>
          </cell>
          <cell r="N94">
            <v>168</v>
          </cell>
          <cell r="O94">
            <v>168</v>
          </cell>
          <cell r="P94">
            <v>168</v>
          </cell>
          <cell r="Q94">
            <v>175.39725000000001</v>
          </cell>
          <cell r="R94">
            <v>175.39725000000001</v>
          </cell>
        </row>
        <row r="95">
          <cell r="E95" t="str">
            <v>GRANDVIEW</v>
          </cell>
          <cell r="F95">
            <v>933</v>
          </cell>
          <cell r="G95">
            <v>0</v>
          </cell>
          <cell r="I95">
            <v>9</v>
          </cell>
          <cell r="J95">
            <v>7</v>
          </cell>
          <cell r="K95">
            <v>949</v>
          </cell>
          <cell r="L95">
            <v>3310</v>
          </cell>
          <cell r="M95">
            <v>0.28670694864048341</v>
          </cell>
          <cell r="N95">
            <v>949</v>
          </cell>
          <cell r="O95">
            <v>949</v>
          </cell>
          <cell r="P95">
            <v>949</v>
          </cell>
          <cell r="Q95">
            <v>1436.8457500000004</v>
          </cell>
          <cell r="R95">
            <v>1436.8457500000004</v>
          </cell>
        </row>
        <row r="96">
          <cell r="E96" t="str">
            <v>GRANGER</v>
          </cell>
          <cell r="F96">
            <v>500</v>
          </cell>
          <cell r="G96">
            <v>0</v>
          </cell>
          <cell r="I96">
            <v>14</v>
          </cell>
          <cell r="J96">
            <v>1</v>
          </cell>
          <cell r="K96">
            <v>515</v>
          </cell>
          <cell r="L96">
            <v>1479</v>
          </cell>
          <cell r="M96">
            <v>0.3482082488167681</v>
          </cell>
          <cell r="N96">
            <v>515</v>
          </cell>
          <cell r="O96">
            <v>515</v>
          </cell>
          <cell r="P96">
            <v>515</v>
          </cell>
          <cell r="Q96">
            <v>921.12387500000011</v>
          </cell>
          <cell r="R96">
            <v>921.12387500000011</v>
          </cell>
        </row>
        <row r="97">
          <cell r="E97" t="str">
            <v>GRANITE FALLS</v>
          </cell>
          <cell r="F97">
            <v>203</v>
          </cell>
          <cell r="G97">
            <v>0</v>
          </cell>
          <cell r="I97">
            <v>13</v>
          </cell>
          <cell r="J97">
            <v>0</v>
          </cell>
          <cell r="K97">
            <v>216</v>
          </cell>
          <cell r="L97">
            <v>1771</v>
          </cell>
          <cell r="M97">
            <v>0.12196499153020893</v>
          </cell>
          <cell r="N97">
            <v>216</v>
          </cell>
          <cell r="O97">
            <v>0</v>
          </cell>
          <cell r="P97">
            <v>216</v>
          </cell>
          <cell r="Q97">
            <v>216</v>
          </cell>
          <cell r="R97">
            <v>216</v>
          </cell>
        </row>
        <row r="98">
          <cell r="E98" t="str">
            <v>GRAPEVIEW</v>
          </cell>
          <cell r="F98">
            <v>26</v>
          </cell>
          <cell r="G98">
            <v>0</v>
          </cell>
          <cell r="I98">
            <v>3</v>
          </cell>
          <cell r="J98">
            <v>0</v>
          </cell>
          <cell r="K98">
            <v>29</v>
          </cell>
          <cell r="L98">
            <v>364</v>
          </cell>
          <cell r="M98">
            <v>7.9670329670329665E-2</v>
          </cell>
          <cell r="N98">
            <v>29</v>
          </cell>
          <cell r="O98">
            <v>0</v>
          </cell>
          <cell r="P98">
            <v>29</v>
          </cell>
          <cell r="Q98">
            <v>29</v>
          </cell>
          <cell r="R98">
            <v>29</v>
          </cell>
        </row>
        <row r="99">
          <cell r="E99" t="str">
            <v>GREAT NORTHERN</v>
          </cell>
          <cell r="F99">
            <v>3</v>
          </cell>
          <cell r="G99">
            <v>0</v>
          </cell>
          <cell r="I99">
            <v>0</v>
          </cell>
          <cell r="J99">
            <v>0</v>
          </cell>
          <cell r="K99">
            <v>3</v>
          </cell>
          <cell r="L99">
            <v>96</v>
          </cell>
          <cell r="M99">
            <v>3.125E-2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 t="str">
            <v>GREEN MOUNTAIN</v>
          </cell>
          <cell r="F100">
            <v>10</v>
          </cell>
          <cell r="G100">
            <v>0</v>
          </cell>
          <cell r="I100">
            <v>1</v>
          </cell>
          <cell r="J100">
            <v>0</v>
          </cell>
          <cell r="K100">
            <v>11</v>
          </cell>
          <cell r="L100">
            <v>203</v>
          </cell>
          <cell r="M100">
            <v>5.4187192118226604E-2</v>
          </cell>
          <cell r="N100">
            <v>11</v>
          </cell>
          <cell r="O100">
            <v>0</v>
          </cell>
          <cell r="P100">
            <v>11</v>
          </cell>
          <cell r="Q100">
            <v>11</v>
          </cell>
          <cell r="R100">
            <v>11</v>
          </cell>
        </row>
        <row r="101">
          <cell r="E101" t="str">
            <v>GRIFFIN</v>
          </cell>
          <cell r="F101">
            <v>65</v>
          </cell>
          <cell r="G101">
            <v>0</v>
          </cell>
          <cell r="I101">
            <v>2</v>
          </cell>
          <cell r="J101">
            <v>0</v>
          </cell>
          <cell r="K101">
            <v>67</v>
          </cell>
          <cell r="L101">
            <v>939</v>
          </cell>
          <cell r="M101">
            <v>7.1352502662406822E-2</v>
          </cell>
          <cell r="N101">
            <v>67</v>
          </cell>
          <cell r="O101">
            <v>0</v>
          </cell>
          <cell r="P101">
            <v>67</v>
          </cell>
          <cell r="Q101">
            <v>67</v>
          </cell>
          <cell r="R101">
            <v>67</v>
          </cell>
        </row>
        <row r="102">
          <cell r="E102" t="str">
            <v>HARRINGTON</v>
          </cell>
          <cell r="F102">
            <v>31</v>
          </cell>
          <cell r="G102">
            <v>0</v>
          </cell>
          <cell r="I102">
            <v>0</v>
          </cell>
          <cell r="J102">
            <v>0</v>
          </cell>
          <cell r="K102">
            <v>31</v>
          </cell>
          <cell r="L102">
            <v>167</v>
          </cell>
          <cell r="M102">
            <v>0.18562874251497005</v>
          </cell>
          <cell r="N102">
            <v>31</v>
          </cell>
          <cell r="O102">
            <v>31</v>
          </cell>
          <cell r="P102">
            <v>31</v>
          </cell>
          <cell r="Q102">
            <v>34.736049999999999</v>
          </cell>
          <cell r="R102">
            <v>34.736049999999999</v>
          </cell>
        </row>
        <row r="103">
          <cell r="E103" t="str">
            <v>HIGHLAND</v>
          </cell>
          <cell r="F103">
            <v>227</v>
          </cell>
          <cell r="G103">
            <v>0</v>
          </cell>
          <cell r="I103">
            <v>5</v>
          </cell>
          <cell r="J103">
            <v>0</v>
          </cell>
          <cell r="K103">
            <v>232</v>
          </cell>
          <cell r="L103">
            <v>1108</v>
          </cell>
          <cell r="M103">
            <v>0.20938628158844766</v>
          </cell>
          <cell r="N103">
            <v>232</v>
          </cell>
          <cell r="O103">
            <v>232</v>
          </cell>
          <cell r="P103">
            <v>232</v>
          </cell>
          <cell r="Q103">
            <v>276.53020000000004</v>
          </cell>
          <cell r="R103">
            <v>276.53020000000004</v>
          </cell>
        </row>
        <row r="104">
          <cell r="E104" t="str">
            <v>HIGHLINE</v>
          </cell>
          <cell r="F104">
            <v>3140</v>
          </cell>
          <cell r="G104">
            <v>0</v>
          </cell>
          <cell r="I104">
            <v>115</v>
          </cell>
          <cell r="J104">
            <v>43</v>
          </cell>
          <cell r="K104">
            <v>3298</v>
          </cell>
          <cell r="L104">
            <v>19811</v>
          </cell>
          <cell r="M104">
            <v>0.16647317147039523</v>
          </cell>
          <cell r="N104">
            <v>3298</v>
          </cell>
          <cell r="O104">
            <v>3298</v>
          </cell>
          <cell r="P104">
            <v>3298</v>
          </cell>
          <cell r="Q104">
            <v>5119.5</v>
          </cell>
          <cell r="R104">
            <v>5119.5</v>
          </cell>
        </row>
        <row r="105">
          <cell r="E105" t="str">
            <v>HOCKINSON</v>
          </cell>
          <cell r="F105">
            <v>19</v>
          </cell>
          <cell r="G105">
            <v>0</v>
          </cell>
          <cell r="I105">
            <v>4</v>
          </cell>
          <cell r="J105">
            <v>0</v>
          </cell>
          <cell r="K105">
            <v>23</v>
          </cell>
          <cell r="L105">
            <v>1859</v>
          </cell>
          <cell r="M105">
            <v>1.237224314147391E-2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 t="str">
            <v>HOOD CANAL</v>
          </cell>
          <cell r="F106">
            <v>191</v>
          </cell>
          <cell r="G106">
            <v>0</v>
          </cell>
          <cell r="I106">
            <v>7</v>
          </cell>
          <cell r="J106">
            <v>1</v>
          </cell>
          <cell r="K106">
            <v>199</v>
          </cell>
          <cell r="L106">
            <v>739</v>
          </cell>
          <cell r="M106">
            <v>0.26928281461434372</v>
          </cell>
          <cell r="N106">
            <v>199</v>
          </cell>
          <cell r="O106">
            <v>199</v>
          </cell>
          <cell r="P106">
            <v>199</v>
          </cell>
          <cell r="Q106">
            <v>288.60317500000002</v>
          </cell>
          <cell r="R106">
            <v>288.60317500000002</v>
          </cell>
        </row>
        <row r="107">
          <cell r="E107" t="str">
            <v>HOQUIAM</v>
          </cell>
          <cell r="F107">
            <v>615</v>
          </cell>
          <cell r="G107">
            <v>0</v>
          </cell>
          <cell r="I107">
            <v>13</v>
          </cell>
          <cell r="J107">
            <v>5</v>
          </cell>
          <cell r="K107">
            <v>633</v>
          </cell>
          <cell r="L107">
            <v>2404</v>
          </cell>
          <cell r="M107">
            <v>0.26331114808652245</v>
          </cell>
          <cell r="N107">
            <v>633</v>
          </cell>
          <cell r="O107">
            <v>633</v>
          </cell>
          <cell r="P107">
            <v>633</v>
          </cell>
          <cell r="Q107">
            <v>902.94929999999999</v>
          </cell>
          <cell r="R107">
            <v>902.94929999999999</v>
          </cell>
        </row>
        <row r="108">
          <cell r="E108" t="str">
            <v>INCHELIUM</v>
          </cell>
          <cell r="F108">
            <v>126</v>
          </cell>
          <cell r="G108">
            <v>0</v>
          </cell>
          <cell r="I108">
            <v>0</v>
          </cell>
          <cell r="J108">
            <v>0</v>
          </cell>
          <cell r="K108">
            <v>126</v>
          </cell>
          <cell r="L108">
            <v>271</v>
          </cell>
          <cell r="M108">
            <v>0.46494464944649444</v>
          </cell>
          <cell r="N108">
            <v>126</v>
          </cell>
          <cell r="O108">
            <v>126</v>
          </cell>
          <cell r="P108">
            <v>126</v>
          </cell>
          <cell r="Q108">
            <v>288.372075</v>
          </cell>
          <cell r="R108">
            <v>288.372075</v>
          </cell>
        </row>
        <row r="109">
          <cell r="E109" t="str">
            <v>INDEX</v>
          </cell>
          <cell r="F109">
            <v>8</v>
          </cell>
          <cell r="G109">
            <v>0</v>
          </cell>
          <cell r="I109">
            <v>1</v>
          </cell>
          <cell r="J109">
            <v>0</v>
          </cell>
          <cell r="K109">
            <v>9</v>
          </cell>
          <cell r="L109">
            <v>69</v>
          </cell>
          <cell r="M109">
            <v>0.13043478260869565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 t="str">
            <v>ISSAQUAH</v>
          </cell>
          <cell r="F110">
            <v>222</v>
          </cell>
          <cell r="G110">
            <v>0</v>
          </cell>
          <cell r="I110">
            <v>21</v>
          </cell>
          <cell r="J110">
            <v>0</v>
          </cell>
          <cell r="K110">
            <v>243</v>
          </cell>
          <cell r="L110">
            <v>10918</v>
          </cell>
          <cell r="M110">
            <v>2.2256823594064848E-2</v>
          </cell>
          <cell r="N110">
            <v>243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 t="str">
            <v>KAHLOTUS</v>
          </cell>
          <cell r="F111">
            <v>23</v>
          </cell>
          <cell r="G111">
            <v>0</v>
          </cell>
          <cell r="I111">
            <v>0</v>
          </cell>
          <cell r="J111">
            <v>0</v>
          </cell>
          <cell r="K111">
            <v>23</v>
          </cell>
          <cell r="L111">
            <v>119</v>
          </cell>
          <cell r="M111">
            <v>0.19327731092436976</v>
          </cell>
          <cell r="N111">
            <v>23</v>
          </cell>
          <cell r="O111">
            <v>23</v>
          </cell>
          <cell r="P111">
            <v>23</v>
          </cell>
          <cell r="Q111">
            <v>26.344850000000001</v>
          </cell>
          <cell r="R111">
            <v>26.344850000000001</v>
          </cell>
        </row>
        <row r="112">
          <cell r="E112" t="str">
            <v>KALAMA</v>
          </cell>
          <cell r="F112">
            <v>55</v>
          </cell>
          <cell r="G112">
            <v>0</v>
          </cell>
          <cell r="I112">
            <v>19</v>
          </cell>
          <cell r="J112">
            <v>0</v>
          </cell>
          <cell r="K112">
            <v>74</v>
          </cell>
          <cell r="L112">
            <v>942</v>
          </cell>
          <cell r="M112">
            <v>7.8556263269639062E-2</v>
          </cell>
          <cell r="N112">
            <v>74</v>
          </cell>
          <cell r="O112">
            <v>0</v>
          </cell>
          <cell r="P112">
            <v>74</v>
          </cell>
          <cell r="Q112">
            <v>74</v>
          </cell>
          <cell r="R112">
            <v>74</v>
          </cell>
        </row>
        <row r="113">
          <cell r="E113" t="str">
            <v>KELLER</v>
          </cell>
          <cell r="F113">
            <v>67</v>
          </cell>
          <cell r="G113">
            <v>0</v>
          </cell>
          <cell r="I113">
            <v>0</v>
          </cell>
          <cell r="J113">
            <v>0</v>
          </cell>
          <cell r="K113">
            <v>67</v>
          </cell>
          <cell r="L113">
            <v>167</v>
          </cell>
          <cell r="M113">
            <v>0.40119760479041916</v>
          </cell>
          <cell r="N113">
            <v>67</v>
          </cell>
          <cell r="O113">
            <v>67</v>
          </cell>
          <cell r="P113">
            <v>67</v>
          </cell>
          <cell r="Q113">
            <v>135.122275</v>
          </cell>
          <cell r="R113">
            <v>135.122275</v>
          </cell>
        </row>
        <row r="114">
          <cell r="E114" t="str">
            <v>KELSO</v>
          </cell>
          <cell r="F114">
            <v>913</v>
          </cell>
          <cell r="G114">
            <v>0</v>
          </cell>
          <cell r="I114">
            <v>43</v>
          </cell>
          <cell r="J114">
            <v>0</v>
          </cell>
          <cell r="K114">
            <v>956</v>
          </cell>
          <cell r="L114">
            <v>5849</v>
          </cell>
          <cell r="M114">
            <v>0.16344674303299708</v>
          </cell>
          <cell r="N114">
            <v>956</v>
          </cell>
          <cell r="O114">
            <v>956</v>
          </cell>
          <cell r="P114">
            <v>956</v>
          </cell>
          <cell r="Q114">
            <v>1088.5</v>
          </cell>
          <cell r="R114">
            <v>1088.5</v>
          </cell>
        </row>
        <row r="115">
          <cell r="E115" t="str">
            <v>KENNEWICK</v>
          </cell>
          <cell r="F115">
            <v>1982</v>
          </cell>
          <cell r="G115">
            <v>0</v>
          </cell>
          <cell r="I115">
            <v>75</v>
          </cell>
          <cell r="J115">
            <v>16</v>
          </cell>
          <cell r="K115">
            <v>2073</v>
          </cell>
          <cell r="L115">
            <v>15037</v>
          </cell>
          <cell r="M115">
            <v>0.13785994546784597</v>
          </cell>
          <cell r="N115">
            <v>2073</v>
          </cell>
          <cell r="O115">
            <v>0</v>
          </cell>
          <cell r="P115">
            <v>2073</v>
          </cell>
          <cell r="Q115">
            <v>2764</v>
          </cell>
          <cell r="R115">
            <v>2764</v>
          </cell>
        </row>
        <row r="116">
          <cell r="E116" t="str">
            <v>KENT</v>
          </cell>
          <cell r="F116">
            <v>2462</v>
          </cell>
          <cell r="G116">
            <v>0</v>
          </cell>
          <cell r="I116">
            <v>121</v>
          </cell>
          <cell r="J116">
            <v>30</v>
          </cell>
          <cell r="K116">
            <v>2613</v>
          </cell>
          <cell r="L116">
            <v>25590</v>
          </cell>
          <cell r="M116">
            <v>0.10211019929660023</v>
          </cell>
          <cell r="N116">
            <v>2613</v>
          </cell>
          <cell r="O116">
            <v>0</v>
          </cell>
          <cell r="P116">
            <v>2613</v>
          </cell>
          <cell r="Q116">
            <v>3749.5</v>
          </cell>
          <cell r="R116">
            <v>3749.5</v>
          </cell>
        </row>
        <row r="117">
          <cell r="E117" t="str">
            <v>KETTLE FALLS</v>
          </cell>
          <cell r="F117">
            <v>228</v>
          </cell>
          <cell r="G117">
            <v>0</v>
          </cell>
          <cell r="I117">
            <v>3</v>
          </cell>
          <cell r="J117">
            <v>0</v>
          </cell>
          <cell r="K117">
            <v>231</v>
          </cell>
          <cell r="L117">
            <v>1231</v>
          </cell>
          <cell r="M117">
            <v>0.1876523151909017</v>
          </cell>
          <cell r="N117">
            <v>231</v>
          </cell>
          <cell r="O117">
            <v>231</v>
          </cell>
          <cell r="P117">
            <v>231</v>
          </cell>
          <cell r="Q117">
            <v>260.40764999999999</v>
          </cell>
          <cell r="R117">
            <v>260.40764999999999</v>
          </cell>
        </row>
        <row r="118">
          <cell r="E118" t="str">
            <v>KIONA-BENTON</v>
          </cell>
          <cell r="F118">
            <v>187</v>
          </cell>
          <cell r="G118">
            <v>0</v>
          </cell>
          <cell r="I118">
            <v>18</v>
          </cell>
          <cell r="J118">
            <v>0</v>
          </cell>
          <cell r="K118">
            <v>205</v>
          </cell>
          <cell r="L118">
            <v>1712</v>
          </cell>
          <cell r="M118">
            <v>0.11974299065420561</v>
          </cell>
          <cell r="N118">
            <v>205</v>
          </cell>
          <cell r="O118">
            <v>0</v>
          </cell>
          <cell r="P118">
            <v>205</v>
          </cell>
          <cell r="Q118">
            <v>205</v>
          </cell>
          <cell r="R118">
            <v>205</v>
          </cell>
        </row>
        <row r="119">
          <cell r="E119" t="str">
            <v>KITTITAS</v>
          </cell>
          <cell r="F119">
            <v>112</v>
          </cell>
          <cell r="G119">
            <v>0</v>
          </cell>
          <cell r="I119">
            <v>3</v>
          </cell>
          <cell r="J119">
            <v>0</v>
          </cell>
          <cell r="K119">
            <v>115</v>
          </cell>
          <cell r="L119">
            <v>601</v>
          </cell>
          <cell r="M119">
            <v>0.1913477537437604</v>
          </cell>
          <cell r="N119">
            <v>115</v>
          </cell>
          <cell r="O119">
            <v>115</v>
          </cell>
          <cell r="P119">
            <v>115</v>
          </cell>
          <cell r="Q119">
            <v>131.02314999999999</v>
          </cell>
          <cell r="R119">
            <v>131.02314999999999</v>
          </cell>
        </row>
        <row r="120">
          <cell r="E120" t="str">
            <v>KLICKITAT</v>
          </cell>
          <cell r="F120">
            <v>25</v>
          </cell>
          <cell r="G120">
            <v>0</v>
          </cell>
          <cell r="I120">
            <v>0</v>
          </cell>
          <cell r="J120">
            <v>0</v>
          </cell>
          <cell r="K120">
            <v>25</v>
          </cell>
          <cell r="L120">
            <v>191</v>
          </cell>
          <cell r="M120">
            <v>0.13089005235602094</v>
          </cell>
          <cell r="N120">
            <v>25</v>
          </cell>
          <cell r="O120">
            <v>0</v>
          </cell>
          <cell r="P120">
            <v>25</v>
          </cell>
          <cell r="Q120">
            <v>25</v>
          </cell>
          <cell r="R120">
            <v>25</v>
          </cell>
        </row>
        <row r="121">
          <cell r="E121" t="str">
            <v>LA CENTER</v>
          </cell>
          <cell r="F121">
            <v>99</v>
          </cell>
          <cell r="G121">
            <v>0</v>
          </cell>
          <cell r="I121">
            <v>4</v>
          </cell>
          <cell r="J121">
            <v>0</v>
          </cell>
          <cell r="K121">
            <v>103</v>
          </cell>
          <cell r="L121">
            <v>1316</v>
          </cell>
          <cell r="M121">
            <v>7.826747720364742E-2</v>
          </cell>
          <cell r="N121">
            <v>103</v>
          </cell>
          <cell r="O121">
            <v>0</v>
          </cell>
          <cell r="P121">
            <v>103</v>
          </cell>
          <cell r="Q121">
            <v>103</v>
          </cell>
          <cell r="R121">
            <v>103</v>
          </cell>
        </row>
        <row r="122">
          <cell r="E122" t="str">
            <v>LA CONNER</v>
          </cell>
          <cell r="F122">
            <v>177</v>
          </cell>
          <cell r="G122">
            <v>0</v>
          </cell>
          <cell r="I122">
            <v>4</v>
          </cell>
          <cell r="J122">
            <v>1</v>
          </cell>
          <cell r="K122">
            <v>182</v>
          </cell>
          <cell r="L122">
            <v>719</v>
          </cell>
          <cell r="M122">
            <v>0.25312934631432543</v>
          </cell>
          <cell r="N122">
            <v>182</v>
          </cell>
          <cell r="O122">
            <v>182</v>
          </cell>
          <cell r="P122">
            <v>182</v>
          </cell>
          <cell r="Q122">
            <v>251.75667499999997</v>
          </cell>
          <cell r="R122">
            <v>251.75667499999997</v>
          </cell>
        </row>
        <row r="123">
          <cell r="E123" t="str">
            <v>LACROSSE</v>
          </cell>
          <cell r="F123">
            <v>58</v>
          </cell>
          <cell r="G123">
            <v>0</v>
          </cell>
          <cell r="I123">
            <v>0</v>
          </cell>
          <cell r="J123">
            <v>0</v>
          </cell>
          <cell r="K123">
            <v>58</v>
          </cell>
          <cell r="L123">
            <v>169</v>
          </cell>
          <cell r="M123">
            <v>0.34319526627218933</v>
          </cell>
          <cell r="N123">
            <v>58</v>
          </cell>
          <cell r="O123">
            <v>58</v>
          </cell>
          <cell r="P123">
            <v>58</v>
          </cell>
          <cell r="Q123">
            <v>102.500125</v>
          </cell>
          <cell r="R123">
            <v>102.500125</v>
          </cell>
        </row>
        <row r="124">
          <cell r="E124" t="str">
            <v>LAKE CHELAN</v>
          </cell>
          <cell r="F124">
            <v>267</v>
          </cell>
          <cell r="G124">
            <v>0</v>
          </cell>
          <cell r="I124">
            <v>0</v>
          </cell>
          <cell r="J124">
            <v>0</v>
          </cell>
          <cell r="K124">
            <v>267</v>
          </cell>
          <cell r="L124">
            <v>1235</v>
          </cell>
          <cell r="M124">
            <v>0.21619433198380567</v>
          </cell>
          <cell r="N124">
            <v>267</v>
          </cell>
          <cell r="O124">
            <v>267</v>
          </cell>
          <cell r="P124">
            <v>267</v>
          </cell>
          <cell r="Q124">
            <v>322.94024999999999</v>
          </cell>
          <cell r="R124">
            <v>322.94024999999999</v>
          </cell>
        </row>
        <row r="125">
          <cell r="E125" t="str">
            <v>LAKE STEVENS</v>
          </cell>
          <cell r="F125">
            <v>565</v>
          </cell>
          <cell r="G125">
            <v>0</v>
          </cell>
          <cell r="I125">
            <v>23</v>
          </cell>
          <cell r="J125">
            <v>0</v>
          </cell>
          <cell r="K125">
            <v>588</v>
          </cell>
          <cell r="L125">
            <v>5241</v>
          </cell>
          <cell r="M125">
            <v>0.11219232970807098</v>
          </cell>
          <cell r="N125">
            <v>588</v>
          </cell>
          <cell r="O125">
            <v>0</v>
          </cell>
          <cell r="P125">
            <v>588</v>
          </cell>
          <cell r="Q125">
            <v>588</v>
          </cell>
          <cell r="R125">
            <v>588</v>
          </cell>
        </row>
        <row r="126">
          <cell r="E126" t="str">
            <v>LAKE WASHINGTON</v>
          </cell>
          <cell r="F126">
            <v>1560</v>
          </cell>
          <cell r="G126">
            <v>0</v>
          </cell>
          <cell r="I126">
            <v>35</v>
          </cell>
          <cell r="J126">
            <v>2</v>
          </cell>
          <cell r="K126">
            <v>1597</v>
          </cell>
          <cell r="L126">
            <v>27743</v>
          </cell>
          <cell r="M126">
            <v>5.7564070215910319E-2</v>
          </cell>
          <cell r="N126">
            <v>1597</v>
          </cell>
          <cell r="O126">
            <v>0</v>
          </cell>
          <cell r="P126">
            <v>1597</v>
          </cell>
          <cell r="Q126">
            <v>2050</v>
          </cell>
          <cell r="R126">
            <v>2050</v>
          </cell>
        </row>
        <row r="127">
          <cell r="E127" t="str">
            <v>LAKEWOOD</v>
          </cell>
          <cell r="F127">
            <v>79</v>
          </cell>
          <cell r="G127">
            <v>0</v>
          </cell>
          <cell r="I127">
            <v>12</v>
          </cell>
          <cell r="J127">
            <v>1</v>
          </cell>
          <cell r="K127">
            <v>92</v>
          </cell>
          <cell r="L127">
            <v>2025</v>
          </cell>
          <cell r="M127">
            <v>4.5432098765432097E-2</v>
          </cell>
          <cell r="N127">
            <v>92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 t="str">
            <v>LAMONT</v>
          </cell>
          <cell r="F128">
            <v>10</v>
          </cell>
          <cell r="G128">
            <v>0</v>
          </cell>
          <cell r="I128">
            <v>0</v>
          </cell>
          <cell r="J128">
            <v>0</v>
          </cell>
          <cell r="K128">
            <v>10</v>
          </cell>
          <cell r="L128">
            <v>59</v>
          </cell>
          <cell r="M128">
            <v>0.16949152542372881</v>
          </cell>
          <cell r="N128">
            <v>10</v>
          </cell>
          <cell r="O128">
            <v>10</v>
          </cell>
          <cell r="P128">
            <v>10</v>
          </cell>
          <cell r="Q128">
            <v>10.60585</v>
          </cell>
          <cell r="R128">
            <v>10.60585</v>
          </cell>
        </row>
        <row r="129">
          <cell r="E129" t="str">
            <v>LIBERTY</v>
          </cell>
          <cell r="F129">
            <v>72</v>
          </cell>
          <cell r="G129">
            <v>0</v>
          </cell>
          <cell r="I129">
            <v>4</v>
          </cell>
          <cell r="J129">
            <v>0</v>
          </cell>
          <cell r="K129">
            <v>76</v>
          </cell>
          <cell r="L129">
            <v>939</v>
          </cell>
          <cell r="M129">
            <v>8.0937167199148036E-2</v>
          </cell>
          <cell r="N129">
            <v>76</v>
          </cell>
          <cell r="O129">
            <v>0</v>
          </cell>
          <cell r="P129">
            <v>76</v>
          </cell>
          <cell r="Q129">
            <v>76</v>
          </cell>
          <cell r="R129">
            <v>76</v>
          </cell>
        </row>
        <row r="130">
          <cell r="E130" t="str">
            <v>LIND</v>
          </cell>
          <cell r="F130">
            <v>47</v>
          </cell>
          <cell r="G130">
            <v>0</v>
          </cell>
          <cell r="I130">
            <v>0</v>
          </cell>
          <cell r="J130">
            <v>0</v>
          </cell>
          <cell r="K130">
            <v>47</v>
          </cell>
          <cell r="L130">
            <v>262</v>
          </cell>
          <cell r="M130">
            <v>0.17938931297709923</v>
          </cell>
          <cell r="N130">
            <v>47</v>
          </cell>
          <cell r="O130">
            <v>47</v>
          </cell>
          <cell r="P130">
            <v>47</v>
          </cell>
          <cell r="Q130">
            <v>51.635300000000001</v>
          </cell>
          <cell r="R130">
            <v>51.635300000000001</v>
          </cell>
        </row>
        <row r="131">
          <cell r="E131" t="str">
            <v>LONGVIEW</v>
          </cell>
          <cell r="F131">
            <v>1597</v>
          </cell>
          <cell r="G131">
            <v>0</v>
          </cell>
          <cell r="I131">
            <v>47</v>
          </cell>
          <cell r="J131">
            <v>0</v>
          </cell>
          <cell r="K131">
            <v>1644</v>
          </cell>
          <cell r="L131">
            <v>8170</v>
          </cell>
          <cell r="M131">
            <v>0.20122399020807832</v>
          </cell>
          <cell r="N131">
            <v>1644</v>
          </cell>
          <cell r="O131">
            <v>1644</v>
          </cell>
          <cell r="P131">
            <v>1644</v>
          </cell>
          <cell r="Q131">
            <v>2120.5</v>
          </cell>
          <cell r="R131">
            <v>2120.5</v>
          </cell>
        </row>
        <row r="132">
          <cell r="E132" t="str">
            <v>LOON LAKE</v>
          </cell>
          <cell r="F132">
            <v>72</v>
          </cell>
          <cell r="G132">
            <v>0</v>
          </cell>
          <cell r="I132">
            <v>1</v>
          </cell>
          <cell r="J132">
            <v>1</v>
          </cell>
          <cell r="K132">
            <v>74</v>
          </cell>
          <cell r="L132">
            <v>255</v>
          </cell>
          <cell r="M132">
            <v>0.29019607843137257</v>
          </cell>
          <cell r="N132">
            <v>74</v>
          </cell>
          <cell r="O132">
            <v>74</v>
          </cell>
          <cell r="P132">
            <v>74</v>
          </cell>
          <cell r="Q132">
            <v>112.91787500000002</v>
          </cell>
          <cell r="R132">
            <v>112.91787500000002</v>
          </cell>
        </row>
        <row r="133">
          <cell r="E133" t="str">
            <v>LOPEZ</v>
          </cell>
          <cell r="F133">
            <v>51</v>
          </cell>
          <cell r="G133">
            <v>0</v>
          </cell>
          <cell r="I133">
            <v>1</v>
          </cell>
          <cell r="J133">
            <v>0</v>
          </cell>
          <cell r="K133">
            <v>52</v>
          </cell>
          <cell r="L133">
            <v>290</v>
          </cell>
          <cell r="M133">
            <v>0.1793103448275862</v>
          </cell>
          <cell r="N133">
            <v>52</v>
          </cell>
          <cell r="O133">
            <v>52</v>
          </cell>
          <cell r="P133">
            <v>52</v>
          </cell>
          <cell r="Q133">
            <v>57.113500000000002</v>
          </cell>
          <cell r="R133">
            <v>57.113500000000002</v>
          </cell>
        </row>
        <row r="134">
          <cell r="E134" t="str">
            <v>LYLE</v>
          </cell>
          <cell r="F134">
            <v>96</v>
          </cell>
          <cell r="G134">
            <v>0</v>
          </cell>
          <cell r="I134">
            <v>7</v>
          </cell>
          <cell r="J134">
            <v>4</v>
          </cell>
          <cell r="K134">
            <v>107</v>
          </cell>
          <cell r="L134">
            <v>597</v>
          </cell>
          <cell r="M134">
            <v>0.17922948073701842</v>
          </cell>
          <cell r="N134">
            <v>107</v>
          </cell>
          <cell r="O134">
            <v>107</v>
          </cell>
          <cell r="P134">
            <v>107</v>
          </cell>
          <cell r="Q134">
            <v>117.49054999999998</v>
          </cell>
          <cell r="R134">
            <v>117.49054999999998</v>
          </cell>
        </row>
        <row r="135">
          <cell r="E135" t="str">
            <v>LYNDEN</v>
          </cell>
          <cell r="F135">
            <v>356</v>
          </cell>
          <cell r="G135">
            <v>0</v>
          </cell>
          <cell r="I135">
            <v>11</v>
          </cell>
          <cell r="J135">
            <v>0</v>
          </cell>
          <cell r="K135">
            <v>367</v>
          </cell>
          <cell r="L135">
            <v>3692</v>
          </cell>
          <cell r="M135">
            <v>9.9404117009750811E-2</v>
          </cell>
          <cell r="N135">
            <v>367</v>
          </cell>
          <cell r="O135">
            <v>0</v>
          </cell>
          <cell r="P135">
            <v>367</v>
          </cell>
          <cell r="Q135">
            <v>367</v>
          </cell>
          <cell r="R135">
            <v>367</v>
          </cell>
        </row>
        <row r="136">
          <cell r="E136" t="str">
            <v>MABTON</v>
          </cell>
          <cell r="F136">
            <v>368</v>
          </cell>
          <cell r="G136">
            <v>0</v>
          </cell>
          <cell r="I136">
            <v>3</v>
          </cell>
          <cell r="J136">
            <v>0</v>
          </cell>
          <cell r="K136">
            <v>371</v>
          </cell>
          <cell r="L136">
            <v>1248</v>
          </cell>
          <cell r="M136">
            <v>0.29727564102564102</v>
          </cell>
          <cell r="N136">
            <v>371</v>
          </cell>
          <cell r="O136">
            <v>371</v>
          </cell>
          <cell r="P136">
            <v>371</v>
          </cell>
          <cell r="Q136">
            <v>574.72159999999997</v>
          </cell>
          <cell r="R136">
            <v>574.72159999999997</v>
          </cell>
        </row>
        <row r="137">
          <cell r="E137" t="str">
            <v>MANSFIELD</v>
          </cell>
          <cell r="F137">
            <v>35</v>
          </cell>
          <cell r="G137">
            <v>0</v>
          </cell>
          <cell r="I137">
            <v>1</v>
          </cell>
          <cell r="J137">
            <v>0</v>
          </cell>
          <cell r="K137">
            <v>36</v>
          </cell>
          <cell r="L137">
            <v>130</v>
          </cell>
          <cell r="M137">
            <v>0.27692307692307694</v>
          </cell>
          <cell r="N137">
            <v>36</v>
          </cell>
          <cell r="O137">
            <v>36</v>
          </cell>
          <cell r="P137">
            <v>36</v>
          </cell>
          <cell r="Q137">
            <v>53.252250000000004</v>
          </cell>
          <cell r="R137">
            <v>53.252250000000004</v>
          </cell>
        </row>
        <row r="138">
          <cell r="E138" t="str">
            <v>MANSON</v>
          </cell>
          <cell r="F138">
            <v>84</v>
          </cell>
          <cell r="G138">
            <v>0</v>
          </cell>
          <cell r="I138">
            <v>6</v>
          </cell>
          <cell r="J138">
            <v>0</v>
          </cell>
          <cell r="K138">
            <v>90</v>
          </cell>
          <cell r="L138">
            <v>577</v>
          </cell>
          <cell r="M138">
            <v>0.15597920277296359</v>
          </cell>
          <cell r="N138">
            <v>90</v>
          </cell>
          <cell r="O138">
            <v>90</v>
          </cell>
          <cell r="P138">
            <v>90</v>
          </cell>
          <cell r="Q138">
            <v>90.077549999999988</v>
          </cell>
          <cell r="R138">
            <v>90.077549999999988</v>
          </cell>
        </row>
        <row r="139">
          <cell r="E139" t="str">
            <v>MARY M KNIGHT</v>
          </cell>
          <cell r="F139">
            <v>18</v>
          </cell>
          <cell r="G139">
            <v>0</v>
          </cell>
          <cell r="I139">
            <v>2</v>
          </cell>
          <cell r="J139">
            <v>0</v>
          </cell>
          <cell r="K139">
            <v>20</v>
          </cell>
          <cell r="L139">
            <v>291</v>
          </cell>
          <cell r="M139">
            <v>6.8728522336769765E-2</v>
          </cell>
          <cell r="N139">
            <v>20</v>
          </cell>
          <cell r="O139">
            <v>0</v>
          </cell>
          <cell r="P139">
            <v>20</v>
          </cell>
          <cell r="Q139">
            <v>20</v>
          </cell>
          <cell r="R139">
            <v>20</v>
          </cell>
        </row>
        <row r="140">
          <cell r="E140" t="str">
            <v>MARY WALKER</v>
          </cell>
          <cell r="F140">
            <v>192</v>
          </cell>
          <cell r="G140">
            <v>0</v>
          </cell>
          <cell r="I140">
            <v>6</v>
          </cell>
          <cell r="J140">
            <v>0</v>
          </cell>
          <cell r="K140">
            <v>198</v>
          </cell>
          <cell r="L140">
            <v>577</v>
          </cell>
          <cell r="M140">
            <v>0.34315424610051992</v>
          </cell>
          <cell r="N140">
            <v>198</v>
          </cell>
          <cell r="O140">
            <v>198</v>
          </cell>
          <cell r="P140">
            <v>198</v>
          </cell>
          <cell r="Q140">
            <v>349.87912500000004</v>
          </cell>
          <cell r="R140">
            <v>349.87912500000004</v>
          </cell>
        </row>
        <row r="141">
          <cell r="E141" t="str">
            <v>MARYSVILLE</v>
          </cell>
          <cell r="F141">
            <v>849</v>
          </cell>
          <cell r="G141">
            <v>0</v>
          </cell>
          <cell r="I141">
            <v>74</v>
          </cell>
          <cell r="J141">
            <v>4</v>
          </cell>
          <cell r="K141">
            <v>927</v>
          </cell>
          <cell r="L141">
            <v>11535</v>
          </cell>
          <cell r="M141">
            <v>8.0364109232769834E-2</v>
          </cell>
          <cell r="N141">
            <v>927</v>
          </cell>
          <cell r="O141">
            <v>0</v>
          </cell>
          <cell r="P141">
            <v>927</v>
          </cell>
          <cell r="Q141">
            <v>1045</v>
          </cell>
          <cell r="R141">
            <v>1045</v>
          </cell>
        </row>
        <row r="142">
          <cell r="E142" t="str">
            <v>MCCLEARY</v>
          </cell>
          <cell r="F142">
            <v>98</v>
          </cell>
          <cell r="G142">
            <v>0</v>
          </cell>
          <cell r="I142">
            <v>1</v>
          </cell>
          <cell r="J142">
            <v>0</v>
          </cell>
          <cell r="K142">
            <v>99</v>
          </cell>
          <cell r="L142">
            <v>402</v>
          </cell>
          <cell r="M142">
            <v>0.2462686567164179</v>
          </cell>
          <cell r="N142">
            <v>99</v>
          </cell>
          <cell r="O142">
            <v>99</v>
          </cell>
          <cell r="P142">
            <v>99</v>
          </cell>
          <cell r="Q142">
            <v>133.86464999999998</v>
          </cell>
          <cell r="R142">
            <v>133.86464999999998</v>
          </cell>
        </row>
        <row r="143">
          <cell r="E143" t="str">
            <v>MEAD</v>
          </cell>
          <cell r="F143">
            <v>557</v>
          </cell>
          <cell r="G143">
            <v>0</v>
          </cell>
          <cell r="I143">
            <v>33</v>
          </cell>
          <cell r="J143">
            <v>0</v>
          </cell>
          <cell r="K143">
            <v>590</v>
          </cell>
          <cell r="L143">
            <v>8381</v>
          </cell>
          <cell r="M143">
            <v>7.0397327287913133E-2</v>
          </cell>
          <cell r="N143">
            <v>590</v>
          </cell>
          <cell r="O143">
            <v>0</v>
          </cell>
          <cell r="P143">
            <v>590</v>
          </cell>
          <cell r="Q143">
            <v>590</v>
          </cell>
          <cell r="R143">
            <v>590</v>
          </cell>
        </row>
        <row r="144">
          <cell r="E144" t="str">
            <v>MEDICAL LAKE</v>
          </cell>
          <cell r="F144">
            <v>279</v>
          </cell>
          <cell r="G144">
            <v>0</v>
          </cell>
          <cell r="I144">
            <v>6</v>
          </cell>
          <cell r="J144">
            <v>0</v>
          </cell>
          <cell r="K144">
            <v>285</v>
          </cell>
          <cell r="L144">
            <v>2246</v>
          </cell>
          <cell r="M144">
            <v>0.12689225289403383</v>
          </cell>
          <cell r="N144">
            <v>285</v>
          </cell>
          <cell r="O144">
            <v>0</v>
          </cell>
          <cell r="P144">
            <v>285</v>
          </cell>
          <cell r="Q144">
            <v>285</v>
          </cell>
          <cell r="R144">
            <v>285</v>
          </cell>
        </row>
        <row r="145">
          <cell r="E145" t="str">
            <v>MERCER ISLAND</v>
          </cell>
          <cell r="F145">
            <v>158</v>
          </cell>
          <cell r="G145">
            <v>0</v>
          </cell>
          <cell r="I145">
            <v>1</v>
          </cell>
          <cell r="J145">
            <v>0</v>
          </cell>
          <cell r="K145">
            <v>159</v>
          </cell>
          <cell r="L145">
            <v>4340</v>
          </cell>
          <cell r="M145">
            <v>3.6635944700460832E-2</v>
          </cell>
          <cell r="N145">
            <v>159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 t="str">
            <v>MERIDIAN</v>
          </cell>
          <cell r="F146">
            <v>270</v>
          </cell>
          <cell r="G146">
            <v>0</v>
          </cell>
          <cell r="I146">
            <v>6</v>
          </cell>
          <cell r="J146">
            <v>0</v>
          </cell>
          <cell r="K146">
            <v>276</v>
          </cell>
          <cell r="L146">
            <v>1867</v>
          </cell>
          <cell r="M146">
            <v>0.14783074450990893</v>
          </cell>
          <cell r="N146">
            <v>276</v>
          </cell>
          <cell r="O146">
            <v>0</v>
          </cell>
          <cell r="P146">
            <v>276</v>
          </cell>
          <cell r="Q146">
            <v>276</v>
          </cell>
          <cell r="R146">
            <v>276</v>
          </cell>
        </row>
        <row r="147">
          <cell r="E147" t="str">
            <v>METHOW VALLEY</v>
          </cell>
          <cell r="F147">
            <v>157</v>
          </cell>
          <cell r="G147">
            <v>0</v>
          </cell>
          <cell r="I147">
            <v>1</v>
          </cell>
          <cell r="J147">
            <v>0</v>
          </cell>
          <cell r="K147">
            <v>158</v>
          </cell>
          <cell r="L147">
            <v>827</v>
          </cell>
          <cell r="M147">
            <v>0.19105199516324062</v>
          </cell>
          <cell r="N147">
            <v>158</v>
          </cell>
          <cell r="O147">
            <v>158</v>
          </cell>
          <cell r="P147">
            <v>158</v>
          </cell>
          <cell r="Q147">
            <v>179.86505</v>
          </cell>
          <cell r="R147">
            <v>179.86505</v>
          </cell>
        </row>
        <row r="148">
          <cell r="E148" t="str">
            <v>MILL A</v>
          </cell>
          <cell r="F148">
            <v>20</v>
          </cell>
          <cell r="G148">
            <v>0</v>
          </cell>
          <cell r="I148">
            <v>0</v>
          </cell>
          <cell r="J148">
            <v>0</v>
          </cell>
          <cell r="K148">
            <v>20</v>
          </cell>
          <cell r="L148">
            <v>135</v>
          </cell>
          <cell r="M148">
            <v>0.14814814814814814</v>
          </cell>
          <cell r="N148">
            <v>20</v>
          </cell>
          <cell r="O148">
            <v>0</v>
          </cell>
          <cell r="P148">
            <v>20</v>
          </cell>
          <cell r="Q148">
            <v>20</v>
          </cell>
          <cell r="R148">
            <v>20</v>
          </cell>
        </row>
        <row r="149">
          <cell r="E149" t="str">
            <v>MONROE</v>
          </cell>
          <cell r="F149">
            <v>473</v>
          </cell>
          <cell r="G149">
            <v>0</v>
          </cell>
          <cell r="I149">
            <v>25</v>
          </cell>
          <cell r="J149">
            <v>0</v>
          </cell>
          <cell r="K149">
            <v>498</v>
          </cell>
          <cell r="L149">
            <v>5221</v>
          </cell>
          <cell r="M149">
            <v>9.5384026048649678E-2</v>
          </cell>
          <cell r="N149">
            <v>498</v>
          </cell>
          <cell r="O149">
            <v>0</v>
          </cell>
          <cell r="P149">
            <v>498</v>
          </cell>
          <cell r="Q149">
            <v>498</v>
          </cell>
          <cell r="R149">
            <v>498</v>
          </cell>
        </row>
        <row r="150">
          <cell r="E150" t="str">
            <v>MONTESANO</v>
          </cell>
          <cell r="F150">
            <v>175</v>
          </cell>
          <cell r="G150">
            <v>0</v>
          </cell>
          <cell r="I150">
            <v>21</v>
          </cell>
          <cell r="J150">
            <v>0</v>
          </cell>
          <cell r="K150">
            <v>196</v>
          </cell>
          <cell r="L150">
            <v>1638</v>
          </cell>
          <cell r="M150">
            <v>0.11965811965811966</v>
          </cell>
          <cell r="N150">
            <v>196</v>
          </cell>
          <cell r="O150">
            <v>0</v>
          </cell>
          <cell r="P150">
            <v>196</v>
          </cell>
          <cell r="Q150">
            <v>196</v>
          </cell>
          <cell r="R150">
            <v>196</v>
          </cell>
        </row>
        <row r="151">
          <cell r="E151" t="str">
            <v>MORTON</v>
          </cell>
          <cell r="F151">
            <v>173</v>
          </cell>
          <cell r="G151">
            <v>0</v>
          </cell>
          <cell r="I151">
            <v>2</v>
          </cell>
          <cell r="J151">
            <v>0</v>
          </cell>
          <cell r="K151">
            <v>175</v>
          </cell>
          <cell r="L151">
            <v>663</v>
          </cell>
          <cell r="M151">
            <v>0.26395173453996984</v>
          </cell>
          <cell r="N151">
            <v>175</v>
          </cell>
          <cell r="O151">
            <v>175</v>
          </cell>
          <cell r="P151">
            <v>175</v>
          </cell>
          <cell r="Q151">
            <v>250.08647499999998</v>
          </cell>
          <cell r="R151">
            <v>250.08647499999998</v>
          </cell>
        </row>
        <row r="152">
          <cell r="E152" t="str">
            <v>MOSES LAKE</v>
          </cell>
          <cell r="F152">
            <v>1468</v>
          </cell>
          <cell r="G152">
            <v>0</v>
          </cell>
          <cell r="I152">
            <v>23</v>
          </cell>
          <cell r="J152">
            <v>2</v>
          </cell>
          <cell r="K152">
            <v>1493</v>
          </cell>
          <cell r="L152">
            <v>7398</v>
          </cell>
          <cell r="M152">
            <v>0.20181130035144634</v>
          </cell>
          <cell r="N152">
            <v>1493</v>
          </cell>
          <cell r="O152">
            <v>1493</v>
          </cell>
          <cell r="P152">
            <v>1493</v>
          </cell>
          <cell r="Q152">
            <v>1894</v>
          </cell>
          <cell r="R152">
            <v>1894</v>
          </cell>
        </row>
        <row r="153">
          <cell r="E153" t="str">
            <v>MOSSYROCK</v>
          </cell>
          <cell r="F153">
            <v>96</v>
          </cell>
          <cell r="G153">
            <v>0</v>
          </cell>
          <cell r="I153">
            <v>2</v>
          </cell>
          <cell r="J153">
            <v>0</v>
          </cell>
          <cell r="K153">
            <v>98</v>
          </cell>
          <cell r="L153">
            <v>616</v>
          </cell>
          <cell r="M153">
            <v>0.15909090909090909</v>
          </cell>
          <cell r="N153">
            <v>98</v>
          </cell>
          <cell r="O153">
            <v>98</v>
          </cell>
          <cell r="P153">
            <v>98</v>
          </cell>
          <cell r="Q153">
            <v>99.520399999999995</v>
          </cell>
          <cell r="R153">
            <v>99.520399999999995</v>
          </cell>
        </row>
        <row r="154">
          <cell r="E154" t="str">
            <v>MOUNT ADAMS</v>
          </cell>
          <cell r="F154">
            <v>532</v>
          </cell>
          <cell r="G154">
            <v>0</v>
          </cell>
          <cell r="I154">
            <v>24</v>
          </cell>
          <cell r="J154">
            <v>0</v>
          </cell>
          <cell r="K154">
            <v>556</v>
          </cell>
          <cell r="L154">
            <v>1238</v>
          </cell>
          <cell r="M154">
            <v>0.44911147011308561</v>
          </cell>
          <cell r="N154">
            <v>556</v>
          </cell>
          <cell r="O154">
            <v>556</v>
          </cell>
          <cell r="P154">
            <v>556</v>
          </cell>
          <cell r="Q154">
            <v>1238.95435</v>
          </cell>
          <cell r="R154">
            <v>1238.95435</v>
          </cell>
        </row>
        <row r="155">
          <cell r="E155" t="str">
            <v>MOUNT BAKER</v>
          </cell>
          <cell r="F155">
            <v>368</v>
          </cell>
          <cell r="G155">
            <v>0</v>
          </cell>
          <cell r="I155">
            <v>7</v>
          </cell>
          <cell r="J155">
            <v>1</v>
          </cell>
          <cell r="K155">
            <v>376</v>
          </cell>
          <cell r="L155">
            <v>2261</v>
          </cell>
          <cell r="M155">
            <v>0.16629809818664307</v>
          </cell>
          <cell r="N155">
            <v>376</v>
          </cell>
          <cell r="O155">
            <v>376</v>
          </cell>
          <cell r="P155">
            <v>376</v>
          </cell>
          <cell r="Q155">
            <v>393.80214999999998</v>
          </cell>
          <cell r="R155">
            <v>393.80214999999998</v>
          </cell>
        </row>
        <row r="156">
          <cell r="E156" t="str">
            <v>MOUNT PLEASANT</v>
          </cell>
          <cell r="F156">
            <v>8</v>
          </cell>
          <cell r="G156">
            <v>0</v>
          </cell>
          <cell r="I156">
            <v>0</v>
          </cell>
          <cell r="J156">
            <v>0</v>
          </cell>
          <cell r="K156">
            <v>8</v>
          </cell>
          <cell r="L156">
            <v>75</v>
          </cell>
          <cell r="M156">
            <v>0.10666666666666667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E157" t="str">
            <v>MOUNT VERNON</v>
          </cell>
          <cell r="F157">
            <v>852</v>
          </cell>
          <cell r="G157">
            <v>0</v>
          </cell>
          <cell r="I157">
            <v>30</v>
          </cell>
          <cell r="J157">
            <v>1</v>
          </cell>
          <cell r="K157">
            <v>883</v>
          </cell>
          <cell r="L157">
            <v>5611</v>
          </cell>
          <cell r="M157">
            <v>0.15736945286045267</v>
          </cell>
          <cell r="N157">
            <v>883</v>
          </cell>
          <cell r="O157">
            <v>883</v>
          </cell>
          <cell r="P157">
            <v>883</v>
          </cell>
          <cell r="Q157">
            <v>979</v>
          </cell>
          <cell r="R157">
            <v>979</v>
          </cell>
        </row>
        <row r="158">
          <cell r="E158" t="str">
            <v>MUKILTEO</v>
          </cell>
          <cell r="F158">
            <v>1325</v>
          </cell>
          <cell r="G158">
            <v>0</v>
          </cell>
          <cell r="I158">
            <v>41</v>
          </cell>
          <cell r="J158">
            <v>11</v>
          </cell>
          <cell r="K158">
            <v>1377</v>
          </cell>
          <cell r="L158">
            <v>12509</v>
          </cell>
          <cell r="M158">
            <v>0.11008074186585658</v>
          </cell>
          <cell r="N158">
            <v>1377</v>
          </cell>
          <cell r="O158">
            <v>0</v>
          </cell>
          <cell r="P158">
            <v>1377</v>
          </cell>
          <cell r="Q158">
            <v>1720</v>
          </cell>
          <cell r="R158">
            <v>1720</v>
          </cell>
        </row>
        <row r="159">
          <cell r="E159" t="str">
            <v>NACHES VALLEY</v>
          </cell>
          <cell r="F159">
            <v>129</v>
          </cell>
          <cell r="G159">
            <v>0</v>
          </cell>
          <cell r="I159">
            <v>4</v>
          </cell>
          <cell r="J159">
            <v>0</v>
          </cell>
          <cell r="K159">
            <v>133</v>
          </cell>
          <cell r="L159">
            <v>1713</v>
          </cell>
          <cell r="M159">
            <v>7.7641564506713362E-2</v>
          </cell>
          <cell r="N159">
            <v>133</v>
          </cell>
          <cell r="O159">
            <v>0</v>
          </cell>
          <cell r="P159">
            <v>133</v>
          </cell>
          <cell r="Q159">
            <v>133</v>
          </cell>
          <cell r="R159">
            <v>133</v>
          </cell>
        </row>
        <row r="160">
          <cell r="E160" t="str">
            <v>NAPAVINE</v>
          </cell>
          <cell r="F160">
            <v>101</v>
          </cell>
          <cell r="G160">
            <v>0</v>
          </cell>
          <cell r="I160">
            <v>4</v>
          </cell>
          <cell r="J160">
            <v>0</v>
          </cell>
          <cell r="K160">
            <v>105</v>
          </cell>
          <cell r="L160">
            <v>701</v>
          </cell>
          <cell r="M160">
            <v>0.14978601997146934</v>
          </cell>
          <cell r="N160">
            <v>105</v>
          </cell>
          <cell r="O160">
            <v>0</v>
          </cell>
          <cell r="P160">
            <v>105</v>
          </cell>
          <cell r="Q160">
            <v>105</v>
          </cell>
          <cell r="R160">
            <v>105</v>
          </cell>
        </row>
        <row r="161">
          <cell r="E161" t="str">
            <v>NASELLE-GRAYS</v>
          </cell>
          <cell r="F161">
            <v>85</v>
          </cell>
          <cell r="G161">
            <v>0</v>
          </cell>
          <cell r="I161">
            <v>0</v>
          </cell>
          <cell r="J161">
            <v>1</v>
          </cell>
          <cell r="K161">
            <v>86</v>
          </cell>
          <cell r="L161">
            <v>562</v>
          </cell>
          <cell r="M161">
            <v>0.15302491103202848</v>
          </cell>
          <cell r="N161">
            <v>86</v>
          </cell>
          <cell r="O161">
            <v>86</v>
          </cell>
          <cell r="P161">
            <v>86</v>
          </cell>
          <cell r="Q161">
            <v>86</v>
          </cell>
          <cell r="R161">
            <v>86</v>
          </cell>
        </row>
        <row r="162">
          <cell r="E162" t="str">
            <v>NESPELEM</v>
          </cell>
          <cell r="F162">
            <v>112</v>
          </cell>
          <cell r="G162">
            <v>0</v>
          </cell>
          <cell r="I162">
            <v>4</v>
          </cell>
          <cell r="J162">
            <v>0</v>
          </cell>
          <cell r="K162">
            <v>116</v>
          </cell>
          <cell r="L162">
            <v>372</v>
          </cell>
          <cell r="M162">
            <v>0.31182795698924731</v>
          </cell>
          <cell r="N162">
            <v>116</v>
          </cell>
          <cell r="O162">
            <v>116</v>
          </cell>
          <cell r="P162">
            <v>116</v>
          </cell>
          <cell r="Q162">
            <v>187.69849999999997</v>
          </cell>
          <cell r="R162">
            <v>187.69849999999997</v>
          </cell>
        </row>
        <row r="163">
          <cell r="E163" t="str">
            <v>NEWPORT</v>
          </cell>
          <cell r="F163">
            <v>325</v>
          </cell>
          <cell r="G163">
            <v>0</v>
          </cell>
          <cell r="I163">
            <v>7</v>
          </cell>
          <cell r="J163">
            <v>0</v>
          </cell>
          <cell r="K163">
            <v>332</v>
          </cell>
          <cell r="L163">
            <v>1572</v>
          </cell>
          <cell r="M163">
            <v>0.21119592875318066</v>
          </cell>
          <cell r="N163">
            <v>332</v>
          </cell>
          <cell r="O163">
            <v>332</v>
          </cell>
          <cell r="P163">
            <v>332</v>
          </cell>
          <cell r="Q163">
            <v>397.31180000000001</v>
          </cell>
          <cell r="R163">
            <v>397.31180000000001</v>
          </cell>
        </row>
        <row r="164">
          <cell r="E164" t="str">
            <v>NINE MILE FALLS</v>
          </cell>
          <cell r="F164">
            <v>207</v>
          </cell>
          <cell r="G164">
            <v>0</v>
          </cell>
          <cell r="I164">
            <v>4</v>
          </cell>
          <cell r="J164">
            <v>0</v>
          </cell>
          <cell r="K164">
            <v>211</v>
          </cell>
          <cell r="L164">
            <v>1614</v>
          </cell>
          <cell r="M164">
            <v>0.13073110285006195</v>
          </cell>
          <cell r="N164">
            <v>211</v>
          </cell>
          <cell r="O164">
            <v>0</v>
          </cell>
          <cell r="P164">
            <v>211</v>
          </cell>
          <cell r="Q164">
            <v>211</v>
          </cell>
          <cell r="R164">
            <v>211</v>
          </cell>
        </row>
        <row r="165">
          <cell r="E165" t="str">
            <v>NOOKSACK VALLEY</v>
          </cell>
          <cell r="F165">
            <v>478</v>
          </cell>
          <cell r="G165">
            <v>0</v>
          </cell>
          <cell r="I165">
            <v>9</v>
          </cell>
          <cell r="J165">
            <v>1</v>
          </cell>
          <cell r="K165">
            <v>488</v>
          </cell>
          <cell r="L165">
            <v>2108</v>
          </cell>
          <cell r="M165">
            <v>0.23149905123339659</v>
          </cell>
          <cell r="N165">
            <v>488</v>
          </cell>
          <cell r="O165">
            <v>488</v>
          </cell>
          <cell r="P165">
            <v>488</v>
          </cell>
          <cell r="Q165">
            <v>624.12110000000007</v>
          </cell>
          <cell r="R165">
            <v>624.12110000000007</v>
          </cell>
        </row>
        <row r="166">
          <cell r="E166" t="str">
            <v>NORTH BEACH</v>
          </cell>
          <cell r="F166">
            <v>168</v>
          </cell>
          <cell r="G166">
            <v>0</v>
          </cell>
          <cell r="I166">
            <v>9</v>
          </cell>
          <cell r="J166">
            <v>0</v>
          </cell>
          <cell r="K166">
            <v>177</v>
          </cell>
          <cell r="L166">
            <v>612</v>
          </cell>
          <cell r="M166">
            <v>0.28921568627450983</v>
          </cell>
          <cell r="N166">
            <v>177</v>
          </cell>
          <cell r="O166">
            <v>177</v>
          </cell>
          <cell r="P166">
            <v>177</v>
          </cell>
          <cell r="Q166">
            <v>269.50290000000007</v>
          </cell>
          <cell r="R166">
            <v>269.50290000000007</v>
          </cell>
        </row>
        <row r="167">
          <cell r="E167" t="str">
            <v>NORTH FRANKLIN</v>
          </cell>
          <cell r="F167">
            <v>448</v>
          </cell>
          <cell r="G167">
            <v>0</v>
          </cell>
          <cell r="I167">
            <v>3</v>
          </cell>
          <cell r="J167">
            <v>0</v>
          </cell>
          <cell r="K167">
            <v>451</v>
          </cell>
          <cell r="L167">
            <v>2260</v>
          </cell>
          <cell r="M167">
            <v>0.1995575221238938</v>
          </cell>
          <cell r="N167">
            <v>451</v>
          </cell>
          <cell r="O167">
            <v>451</v>
          </cell>
          <cell r="P167">
            <v>451</v>
          </cell>
          <cell r="Q167">
            <v>525.16899999999998</v>
          </cell>
          <cell r="R167">
            <v>525.16899999999998</v>
          </cell>
        </row>
        <row r="168">
          <cell r="E168" t="str">
            <v>NORTH KITSAP</v>
          </cell>
          <cell r="F168">
            <v>655</v>
          </cell>
          <cell r="G168">
            <v>0</v>
          </cell>
          <cell r="I168">
            <v>61</v>
          </cell>
          <cell r="J168">
            <v>0</v>
          </cell>
          <cell r="K168">
            <v>716</v>
          </cell>
          <cell r="L168">
            <v>6983</v>
          </cell>
          <cell r="M168">
            <v>0.1025347271946155</v>
          </cell>
          <cell r="N168">
            <v>716</v>
          </cell>
          <cell r="O168">
            <v>0</v>
          </cell>
          <cell r="P168">
            <v>716</v>
          </cell>
          <cell r="Q168">
            <v>728.5</v>
          </cell>
          <cell r="R168">
            <v>728.5</v>
          </cell>
        </row>
        <row r="169">
          <cell r="E169" t="str">
            <v>NORTH MASON</v>
          </cell>
          <cell r="F169">
            <v>372</v>
          </cell>
          <cell r="G169">
            <v>0</v>
          </cell>
          <cell r="I169">
            <v>17</v>
          </cell>
          <cell r="J169">
            <v>2</v>
          </cell>
          <cell r="K169">
            <v>391</v>
          </cell>
          <cell r="L169">
            <v>2278</v>
          </cell>
          <cell r="M169">
            <v>0.17164179104477612</v>
          </cell>
          <cell r="N169">
            <v>391</v>
          </cell>
          <cell r="O169">
            <v>391</v>
          </cell>
          <cell r="P169">
            <v>391</v>
          </cell>
          <cell r="Q169">
            <v>418.06569999999999</v>
          </cell>
          <cell r="R169">
            <v>418.06569999999999</v>
          </cell>
        </row>
        <row r="170">
          <cell r="E170" t="str">
            <v>NORTH RIVER</v>
          </cell>
          <cell r="F170">
            <v>10</v>
          </cell>
          <cell r="G170">
            <v>0</v>
          </cell>
          <cell r="I170">
            <v>1</v>
          </cell>
          <cell r="J170">
            <v>0</v>
          </cell>
          <cell r="K170">
            <v>11</v>
          </cell>
          <cell r="L170">
            <v>73</v>
          </cell>
          <cell r="M170">
            <v>0.15068493150684931</v>
          </cell>
          <cell r="N170">
            <v>11</v>
          </cell>
          <cell r="O170">
            <v>11</v>
          </cell>
          <cell r="P170">
            <v>11</v>
          </cell>
          <cell r="Q170">
            <v>11</v>
          </cell>
          <cell r="R170">
            <v>11</v>
          </cell>
        </row>
        <row r="171">
          <cell r="E171" t="str">
            <v>NORTH THURSTON</v>
          </cell>
          <cell r="F171">
            <v>1724</v>
          </cell>
          <cell r="G171">
            <v>0</v>
          </cell>
          <cell r="I171">
            <v>57</v>
          </cell>
          <cell r="J171">
            <v>2</v>
          </cell>
          <cell r="K171">
            <v>1783</v>
          </cell>
          <cell r="L171">
            <v>15446</v>
          </cell>
          <cell r="M171">
            <v>0.11543441667745695</v>
          </cell>
          <cell r="N171">
            <v>1783</v>
          </cell>
          <cell r="O171">
            <v>0</v>
          </cell>
          <cell r="P171">
            <v>1783</v>
          </cell>
          <cell r="Q171">
            <v>2329</v>
          </cell>
          <cell r="R171">
            <v>2329</v>
          </cell>
        </row>
        <row r="172">
          <cell r="E172" t="str">
            <v>NORTHPORT</v>
          </cell>
          <cell r="F172">
            <v>71</v>
          </cell>
          <cell r="G172">
            <v>0</v>
          </cell>
          <cell r="I172">
            <v>1</v>
          </cell>
          <cell r="J172">
            <v>0</v>
          </cell>
          <cell r="K172">
            <v>72</v>
          </cell>
          <cell r="L172">
            <v>316</v>
          </cell>
          <cell r="M172">
            <v>0.22784810126582278</v>
          </cell>
          <cell r="N172">
            <v>72</v>
          </cell>
          <cell r="O172">
            <v>72</v>
          </cell>
          <cell r="P172">
            <v>72</v>
          </cell>
          <cell r="Q172">
            <v>90.674700000000001</v>
          </cell>
          <cell r="R172">
            <v>90.674700000000001</v>
          </cell>
        </row>
        <row r="173">
          <cell r="E173" t="str">
            <v>NORTHSHORE</v>
          </cell>
          <cell r="F173">
            <v>838</v>
          </cell>
          <cell r="G173">
            <v>0</v>
          </cell>
          <cell r="I173">
            <v>39</v>
          </cell>
          <cell r="J173">
            <v>2</v>
          </cell>
          <cell r="K173">
            <v>879</v>
          </cell>
          <cell r="L173">
            <v>22574</v>
          </cell>
          <cell r="M173">
            <v>3.8938601931425537E-2</v>
          </cell>
          <cell r="N173">
            <v>879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E174" t="str">
            <v>OAK HARBOR</v>
          </cell>
          <cell r="F174">
            <v>737</v>
          </cell>
          <cell r="G174">
            <v>0</v>
          </cell>
          <cell r="I174">
            <v>31</v>
          </cell>
          <cell r="J174">
            <v>0</v>
          </cell>
          <cell r="K174">
            <v>768</v>
          </cell>
          <cell r="L174">
            <v>8321</v>
          </cell>
          <cell r="M174">
            <v>9.229659896647037E-2</v>
          </cell>
          <cell r="N174">
            <v>768</v>
          </cell>
          <cell r="O174">
            <v>0</v>
          </cell>
          <cell r="P174">
            <v>768</v>
          </cell>
          <cell r="Q174">
            <v>806.5</v>
          </cell>
          <cell r="R174">
            <v>806.5</v>
          </cell>
        </row>
        <row r="175">
          <cell r="E175" t="str">
            <v>OAKESDALE</v>
          </cell>
          <cell r="F175">
            <v>19</v>
          </cell>
          <cell r="G175">
            <v>0</v>
          </cell>
          <cell r="I175">
            <v>0</v>
          </cell>
          <cell r="J175">
            <v>0</v>
          </cell>
          <cell r="K175">
            <v>19</v>
          </cell>
          <cell r="L175">
            <v>147</v>
          </cell>
          <cell r="M175">
            <v>0.12925170068027211</v>
          </cell>
          <cell r="N175">
            <v>19</v>
          </cell>
          <cell r="O175">
            <v>0</v>
          </cell>
          <cell r="P175">
            <v>19</v>
          </cell>
          <cell r="Q175">
            <v>19</v>
          </cell>
          <cell r="R175">
            <v>19</v>
          </cell>
        </row>
        <row r="176">
          <cell r="E176" t="str">
            <v>OAKVILLE</v>
          </cell>
          <cell r="F176">
            <v>147</v>
          </cell>
          <cell r="G176">
            <v>0</v>
          </cell>
          <cell r="I176">
            <v>7</v>
          </cell>
          <cell r="J176">
            <v>0</v>
          </cell>
          <cell r="K176">
            <v>154</v>
          </cell>
          <cell r="L176">
            <v>481</v>
          </cell>
          <cell r="M176">
            <v>0.32016632016632018</v>
          </cell>
          <cell r="N176">
            <v>154</v>
          </cell>
          <cell r="O176">
            <v>154</v>
          </cell>
          <cell r="P176">
            <v>154</v>
          </cell>
          <cell r="Q176">
            <v>255.73112500000002</v>
          </cell>
          <cell r="R176">
            <v>255.73112500000002</v>
          </cell>
        </row>
        <row r="177">
          <cell r="E177" t="str">
            <v>OCEAN BEACH</v>
          </cell>
          <cell r="F177">
            <v>239</v>
          </cell>
          <cell r="G177">
            <v>0</v>
          </cell>
          <cell r="I177">
            <v>18</v>
          </cell>
          <cell r="J177">
            <v>1</v>
          </cell>
          <cell r="K177">
            <v>258</v>
          </cell>
          <cell r="L177">
            <v>1227</v>
          </cell>
          <cell r="M177">
            <v>0.21026894865525672</v>
          </cell>
          <cell r="N177">
            <v>258</v>
          </cell>
          <cell r="O177">
            <v>258</v>
          </cell>
          <cell r="P177">
            <v>258</v>
          </cell>
          <cell r="Q177">
            <v>308.12504999999999</v>
          </cell>
          <cell r="R177">
            <v>308.12504999999999</v>
          </cell>
        </row>
        <row r="178">
          <cell r="E178" t="str">
            <v>OCOSTA</v>
          </cell>
          <cell r="F178">
            <v>212</v>
          </cell>
          <cell r="G178">
            <v>0</v>
          </cell>
          <cell r="I178">
            <v>5</v>
          </cell>
          <cell r="J178">
            <v>0</v>
          </cell>
          <cell r="K178">
            <v>217</v>
          </cell>
          <cell r="L178">
            <v>890</v>
          </cell>
          <cell r="M178">
            <v>0.24382022471910111</v>
          </cell>
          <cell r="N178">
            <v>217</v>
          </cell>
          <cell r="O178">
            <v>217</v>
          </cell>
          <cell r="P178">
            <v>217</v>
          </cell>
          <cell r="Q178">
            <v>290.91924999999998</v>
          </cell>
          <cell r="R178">
            <v>290.91924999999998</v>
          </cell>
        </row>
        <row r="179">
          <cell r="E179" t="str">
            <v>ODESSA</v>
          </cell>
          <cell r="F179">
            <v>89</v>
          </cell>
          <cell r="G179">
            <v>0</v>
          </cell>
          <cell r="I179">
            <v>1</v>
          </cell>
          <cell r="J179">
            <v>0</v>
          </cell>
          <cell r="K179">
            <v>90</v>
          </cell>
          <cell r="L179">
            <v>350</v>
          </cell>
          <cell r="M179">
            <v>0.25714285714285712</v>
          </cell>
          <cell r="N179">
            <v>90</v>
          </cell>
          <cell r="O179">
            <v>90</v>
          </cell>
          <cell r="P179">
            <v>90</v>
          </cell>
          <cell r="Q179">
            <v>126.06375</v>
          </cell>
          <cell r="R179">
            <v>126.06375</v>
          </cell>
        </row>
        <row r="180">
          <cell r="E180" t="str">
            <v>OKANOGAN</v>
          </cell>
          <cell r="F180">
            <v>348</v>
          </cell>
          <cell r="G180">
            <v>0</v>
          </cell>
          <cell r="I180">
            <v>5</v>
          </cell>
          <cell r="J180">
            <v>0</v>
          </cell>
          <cell r="K180">
            <v>353</v>
          </cell>
          <cell r="L180">
            <v>1224</v>
          </cell>
          <cell r="M180">
            <v>0.28839869281045749</v>
          </cell>
          <cell r="N180">
            <v>353</v>
          </cell>
          <cell r="O180">
            <v>353</v>
          </cell>
          <cell r="P180">
            <v>353</v>
          </cell>
          <cell r="Q180">
            <v>536.50579999999991</v>
          </cell>
          <cell r="R180">
            <v>536.50579999999991</v>
          </cell>
        </row>
        <row r="181">
          <cell r="E181" t="str">
            <v>OLYMPIA</v>
          </cell>
          <cell r="F181">
            <v>1223</v>
          </cell>
          <cell r="G181">
            <v>0</v>
          </cell>
          <cell r="I181">
            <v>36</v>
          </cell>
          <cell r="J181">
            <v>3</v>
          </cell>
          <cell r="K181">
            <v>1262</v>
          </cell>
          <cell r="L181">
            <v>9706</v>
          </cell>
          <cell r="M181">
            <v>0.13002266639192253</v>
          </cell>
          <cell r="N181">
            <v>1262</v>
          </cell>
          <cell r="O181">
            <v>0</v>
          </cell>
          <cell r="P181">
            <v>1262</v>
          </cell>
          <cell r="Q181">
            <v>1547.5</v>
          </cell>
          <cell r="R181">
            <v>1547.5</v>
          </cell>
        </row>
        <row r="182">
          <cell r="E182" t="str">
            <v>OMAK</v>
          </cell>
          <cell r="F182">
            <v>343</v>
          </cell>
          <cell r="G182">
            <v>0</v>
          </cell>
          <cell r="I182">
            <v>24</v>
          </cell>
          <cell r="J182">
            <v>0</v>
          </cell>
          <cell r="K182">
            <v>367</v>
          </cell>
          <cell r="L182">
            <v>2069</v>
          </cell>
          <cell r="M182">
            <v>0.17738037699371678</v>
          </cell>
          <cell r="N182">
            <v>367</v>
          </cell>
          <cell r="O182">
            <v>367</v>
          </cell>
          <cell r="P182">
            <v>367</v>
          </cell>
          <cell r="Q182">
            <v>400.48735000000005</v>
          </cell>
          <cell r="R182">
            <v>400.48735000000005</v>
          </cell>
        </row>
        <row r="183">
          <cell r="E183" t="str">
            <v>ONALASKA</v>
          </cell>
          <cell r="F183">
            <v>243</v>
          </cell>
          <cell r="G183">
            <v>0</v>
          </cell>
          <cell r="I183">
            <v>9</v>
          </cell>
          <cell r="J183">
            <v>0</v>
          </cell>
          <cell r="K183">
            <v>252</v>
          </cell>
          <cell r="L183">
            <v>1022</v>
          </cell>
          <cell r="M183">
            <v>0.24657534246575341</v>
          </cell>
          <cell r="N183">
            <v>252</v>
          </cell>
          <cell r="O183">
            <v>252</v>
          </cell>
          <cell r="P183">
            <v>252</v>
          </cell>
          <cell r="Q183">
            <v>341.10614999999996</v>
          </cell>
          <cell r="R183">
            <v>341.10614999999996</v>
          </cell>
        </row>
        <row r="184">
          <cell r="E184" t="str">
            <v>ONION CREEK</v>
          </cell>
          <cell r="F184">
            <v>59</v>
          </cell>
          <cell r="G184">
            <v>0</v>
          </cell>
          <cell r="I184">
            <v>0</v>
          </cell>
          <cell r="J184">
            <v>0</v>
          </cell>
          <cell r="K184">
            <v>59</v>
          </cell>
          <cell r="L184">
            <v>162</v>
          </cell>
          <cell r="M184">
            <v>0.36419753086419754</v>
          </cell>
          <cell r="N184">
            <v>59</v>
          </cell>
          <cell r="O184">
            <v>59</v>
          </cell>
          <cell r="P184">
            <v>59</v>
          </cell>
          <cell r="Q184">
            <v>109.31225000000001</v>
          </cell>
          <cell r="R184">
            <v>109.31225000000001</v>
          </cell>
        </row>
        <row r="185">
          <cell r="E185" t="str">
            <v>ORCAS ISLAND</v>
          </cell>
          <cell r="F185">
            <v>85</v>
          </cell>
          <cell r="G185">
            <v>0</v>
          </cell>
          <cell r="I185">
            <v>1</v>
          </cell>
          <cell r="J185">
            <v>0</v>
          </cell>
          <cell r="K185">
            <v>86</v>
          </cell>
          <cell r="L185">
            <v>720</v>
          </cell>
          <cell r="M185">
            <v>0.11944444444444445</v>
          </cell>
          <cell r="N185">
            <v>86</v>
          </cell>
          <cell r="O185">
            <v>0</v>
          </cell>
          <cell r="P185">
            <v>86</v>
          </cell>
          <cell r="Q185">
            <v>86</v>
          </cell>
          <cell r="R185">
            <v>86</v>
          </cell>
        </row>
        <row r="186">
          <cell r="E186" t="str">
            <v>ORCHARD PRAIRIE</v>
          </cell>
          <cell r="F186">
            <v>46</v>
          </cell>
          <cell r="G186">
            <v>0</v>
          </cell>
          <cell r="I186">
            <v>1</v>
          </cell>
          <cell r="J186">
            <v>0</v>
          </cell>
          <cell r="K186">
            <v>47</v>
          </cell>
          <cell r="L186">
            <v>220</v>
          </cell>
          <cell r="M186">
            <v>0.21363636363636362</v>
          </cell>
          <cell r="N186">
            <v>47</v>
          </cell>
          <cell r="O186">
            <v>47</v>
          </cell>
          <cell r="P186">
            <v>47</v>
          </cell>
          <cell r="Q186">
            <v>56.542999999999992</v>
          </cell>
          <cell r="R186">
            <v>56.542999999999992</v>
          </cell>
        </row>
        <row r="187">
          <cell r="E187" t="str">
            <v>ORIENT</v>
          </cell>
          <cell r="F187">
            <v>43</v>
          </cell>
          <cell r="G187">
            <v>0</v>
          </cell>
          <cell r="I187">
            <v>0</v>
          </cell>
          <cell r="J187">
            <v>0</v>
          </cell>
          <cell r="K187">
            <v>43</v>
          </cell>
          <cell r="L187">
            <v>159</v>
          </cell>
          <cell r="M187">
            <v>0.27044025157232704</v>
          </cell>
          <cell r="N187">
            <v>43</v>
          </cell>
          <cell r="O187">
            <v>43</v>
          </cell>
          <cell r="P187">
            <v>43</v>
          </cell>
          <cell r="Q187">
            <v>62.554675000000003</v>
          </cell>
          <cell r="R187">
            <v>62.554675000000003</v>
          </cell>
        </row>
        <row r="188">
          <cell r="E188" t="str">
            <v>ORONDO</v>
          </cell>
          <cell r="F188">
            <v>96</v>
          </cell>
          <cell r="G188">
            <v>0</v>
          </cell>
          <cell r="I188">
            <v>0</v>
          </cell>
          <cell r="J188">
            <v>0</v>
          </cell>
          <cell r="K188">
            <v>96</v>
          </cell>
          <cell r="L188">
            <v>324</v>
          </cell>
          <cell r="M188">
            <v>0.29629629629629628</v>
          </cell>
          <cell r="N188">
            <v>96</v>
          </cell>
          <cell r="O188">
            <v>96</v>
          </cell>
          <cell r="P188">
            <v>96</v>
          </cell>
          <cell r="Q188">
            <v>148.41329999999999</v>
          </cell>
          <cell r="R188">
            <v>148.41329999999999</v>
          </cell>
        </row>
        <row r="189">
          <cell r="E189" t="str">
            <v>OROVILLE</v>
          </cell>
          <cell r="F189">
            <v>181</v>
          </cell>
          <cell r="G189">
            <v>0</v>
          </cell>
          <cell r="I189">
            <v>3</v>
          </cell>
          <cell r="J189">
            <v>0</v>
          </cell>
          <cell r="K189">
            <v>184</v>
          </cell>
          <cell r="L189">
            <v>862</v>
          </cell>
          <cell r="M189">
            <v>0.21345707656612528</v>
          </cell>
          <cell r="N189">
            <v>184</v>
          </cell>
          <cell r="O189">
            <v>184</v>
          </cell>
          <cell r="P189">
            <v>184</v>
          </cell>
          <cell r="Q189">
            <v>221.27529999999999</v>
          </cell>
          <cell r="R189">
            <v>221.27529999999999</v>
          </cell>
        </row>
        <row r="190">
          <cell r="E190" t="str">
            <v>ORTING</v>
          </cell>
          <cell r="F190">
            <v>201</v>
          </cell>
          <cell r="G190">
            <v>0</v>
          </cell>
          <cell r="I190">
            <v>6</v>
          </cell>
          <cell r="J190">
            <v>0</v>
          </cell>
          <cell r="K190">
            <v>207</v>
          </cell>
          <cell r="L190">
            <v>1657</v>
          </cell>
          <cell r="M190">
            <v>0.12492456246228123</v>
          </cell>
          <cell r="N190">
            <v>207</v>
          </cell>
          <cell r="O190">
            <v>0</v>
          </cell>
          <cell r="P190">
            <v>207</v>
          </cell>
          <cell r="Q190">
            <v>207</v>
          </cell>
          <cell r="R190">
            <v>207</v>
          </cell>
        </row>
        <row r="191">
          <cell r="E191" t="str">
            <v>OTHELLO</v>
          </cell>
          <cell r="F191">
            <v>630</v>
          </cell>
          <cell r="G191">
            <v>0</v>
          </cell>
          <cell r="I191">
            <v>2</v>
          </cell>
          <cell r="J191">
            <v>0</v>
          </cell>
          <cell r="K191">
            <v>632</v>
          </cell>
          <cell r="L191">
            <v>3016</v>
          </cell>
          <cell r="M191">
            <v>0.20954907161803712</v>
          </cell>
          <cell r="N191">
            <v>632</v>
          </cell>
          <cell r="O191">
            <v>632</v>
          </cell>
          <cell r="P191">
            <v>632</v>
          </cell>
          <cell r="Q191">
            <v>753.58039999999994</v>
          </cell>
          <cell r="R191">
            <v>753.58039999999994</v>
          </cell>
        </row>
        <row r="192">
          <cell r="E192" t="str">
            <v>PALISADES</v>
          </cell>
          <cell r="F192">
            <v>21</v>
          </cell>
          <cell r="G192">
            <v>0</v>
          </cell>
          <cell r="I192">
            <v>0</v>
          </cell>
          <cell r="J192">
            <v>0</v>
          </cell>
          <cell r="K192">
            <v>21</v>
          </cell>
          <cell r="L192">
            <v>38</v>
          </cell>
          <cell r="M192">
            <v>0.55263157894736847</v>
          </cell>
          <cell r="N192">
            <v>21</v>
          </cell>
          <cell r="O192">
            <v>21</v>
          </cell>
          <cell r="P192">
            <v>21</v>
          </cell>
          <cell r="Q192">
            <v>53.764350000000007</v>
          </cell>
          <cell r="R192">
            <v>53.764350000000007</v>
          </cell>
        </row>
        <row r="193">
          <cell r="E193" t="str">
            <v>PALOUSE</v>
          </cell>
          <cell r="F193">
            <v>29</v>
          </cell>
          <cell r="G193">
            <v>0</v>
          </cell>
          <cell r="I193">
            <v>0</v>
          </cell>
          <cell r="J193">
            <v>0</v>
          </cell>
          <cell r="K193">
            <v>29</v>
          </cell>
          <cell r="L193">
            <v>279</v>
          </cell>
          <cell r="M193">
            <v>0.1039426523297491</v>
          </cell>
          <cell r="N193">
            <v>29</v>
          </cell>
          <cell r="O193">
            <v>0</v>
          </cell>
          <cell r="P193">
            <v>29</v>
          </cell>
          <cell r="Q193">
            <v>29</v>
          </cell>
          <cell r="R193">
            <v>29</v>
          </cell>
        </row>
        <row r="194">
          <cell r="E194" t="str">
            <v>PASCO</v>
          </cell>
          <cell r="F194">
            <v>2317</v>
          </cell>
          <cell r="G194">
            <v>0</v>
          </cell>
          <cell r="I194">
            <v>50</v>
          </cell>
          <cell r="J194">
            <v>7</v>
          </cell>
          <cell r="K194">
            <v>2374</v>
          </cell>
          <cell r="L194">
            <v>9702</v>
          </cell>
          <cell r="M194">
            <v>0.24469181612038754</v>
          </cell>
          <cell r="N194">
            <v>2374</v>
          </cell>
          <cell r="O194">
            <v>2374</v>
          </cell>
          <cell r="P194">
            <v>2374</v>
          </cell>
          <cell r="Q194">
            <v>3271.5</v>
          </cell>
          <cell r="R194">
            <v>3271.5</v>
          </cell>
        </row>
        <row r="195">
          <cell r="E195" t="str">
            <v>PATEROS</v>
          </cell>
          <cell r="F195">
            <v>60</v>
          </cell>
          <cell r="G195">
            <v>0</v>
          </cell>
          <cell r="I195">
            <v>0</v>
          </cell>
          <cell r="J195">
            <v>0</v>
          </cell>
          <cell r="K195">
            <v>60</v>
          </cell>
          <cell r="L195">
            <v>311</v>
          </cell>
          <cell r="M195">
            <v>0.19292604501607716</v>
          </cell>
          <cell r="N195">
            <v>60</v>
          </cell>
          <cell r="O195">
            <v>60</v>
          </cell>
          <cell r="P195">
            <v>60</v>
          </cell>
          <cell r="Q195">
            <v>68.659649999999999</v>
          </cell>
          <cell r="R195">
            <v>68.659649999999999</v>
          </cell>
        </row>
        <row r="196">
          <cell r="E196" t="str">
            <v>PATERSON</v>
          </cell>
          <cell r="F196">
            <v>9</v>
          </cell>
          <cell r="G196">
            <v>0</v>
          </cell>
          <cell r="I196">
            <v>0</v>
          </cell>
          <cell r="J196">
            <v>0</v>
          </cell>
          <cell r="K196">
            <v>9</v>
          </cell>
          <cell r="L196">
            <v>76</v>
          </cell>
          <cell r="M196">
            <v>0.11842105263157894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E197" t="str">
            <v>PE ELL</v>
          </cell>
          <cell r="F197">
            <v>40</v>
          </cell>
          <cell r="G197">
            <v>0</v>
          </cell>
          <cell r="I197">
            <v>3</v>
          </cell>
          <cell r="J197">
            <v>0</v>
          </cell>
          <cell r="K197">
            <v>43</v>
          </cell>
          <cell r="L197">
            <v>379</v>
          </cell>
          <cell r="M197">
            <v>0.11345646437994723</v>
          </cell>
          <cell r="N197">
            <v>43</v>
          </cell>
          <cell r="O197">
            <v>0</v>
          </cell>
          <cell r="P197">
            <v>43</v>
          </cell>
          <cell r="Q197">
            <v>43</v>
          </cell>
          <cell r="R197">
            <v>43</v>
          </cell>
        </row>
        <row r="198">
          <cell r="E198" t="str">
            <v>PENINSULA</v>
          </cell>
          <cell r="F198">
            <v>771</v>
          </cell>
          <cell r="G198">
            <v>0</v>
          </cell>
          <cell r="I198">
            <v>38</v>
          </cell>
          <cell r="J198">
            <v>2</v>
          </cell>
          <cell r="K198">
            <v>811</v>
          </cell>
          <cell r="L198">
            <v>9469</v>
          </cell>
          <cell r="M198">
            <v>8.5647903685711263E-2</v>
          </cell>
          <cell r="N198">
            <v>811</v>
          </cell>
          <cell r="O198">
            <v>0</v>
          </cell>
          <cell r="P198">
            <v>811</v>
          </cell>
          <cell r="Q198">
            <v>871</v>
          </cell>
          <cell r="R198">
            <v>871</v>
          </cell>
        </row>
        <row r="199">
          <cell r="E199" t="str">
            <v>PIONEER</v>
          </cell>
          <cell r="F199">
            <v>172</v>
          </cell>
          <cell r="G199">
            <v>0</v>
          </cell>
          <cell r="I199">
            <v>14</v>
          </cell>
          <cell r="J199">
            <v>2</v>
          </cell>
          <cell r="K199">
            <v>188</v>
          </cell>
          <cell r="L199">
            <v>1239</v>
          </cell>
          <cell r="M199">
            <v>0.15173527037933818</v>
          </cell>
          <cell r="N199">
            <v>188</v>
          </cell>
          <cell r="O199">
            <v>188</v>
          </cell>
          <cell r="P199">
            <v>188</v>
          </cell>
          <cell r="Q199">
            <v>188</v>
          </cell>
          <cell r="R199">
            <v>188</v>
          </cell>
        </row>
        <row r="200">
          <cell r="E200" t="str">
            <v>POMEROY</v>
          </cell>
          <cell r="F200">
            <v>72</v>
          </cell>
          <cell r="G200">
            <v>0</v>
          </cell>
          <cell r="I200">
            <v>3</v>
          </cell>
          <cell r="J200">
            <v>0</v>
          </cell>
          <cell r="K200">
            <v>75</v>
          </cell>
          <cell r="L200">
            <v>481</v>
          </cell>
          <cell r="M200">
            <v>0.15592515592515593</v>
          </cell>
          <cell r="N200">
            <v>75</v>
          </cell>
          <cell r="O200">
            <v>75</v>
          </cell>
          <cell r="P200">
            <v>75</v>
          </cell>
          <cell r="Q200">
            <v>75.045150000000007</v>
          </cell>
          <cell r="R200">
            <v>75.045150000000007</v>
          </cell>
        </row>
        <row r="201">
          <cell r="E201" t="str">
            <v>PORT ANGELES</v>
          </cell>
          <cell r="F201">
            <v>979</v>
          </cell>
          <cell r="G201">
            <v>0</v>
          </cell>
          <cell r="I201">
            <v>63</v>
          </cell>
          <cell r="J201">
            <v>0</v>
          </cell>
          <cell r="K201">
            <v>1042</v>
          </cell>
          <cell r="L201">
            <v>5746</v>
          </cell>
          <cell r="M201">
            <v>0.18134354333449357</v>
          </cell>
          <cell r="N201">
            <v>1042</v>
          </cell>
          <cell r="O201">
            <v>1042</v>
          </cell>
          <cell r="P201">
            <v>1042</v>
          </cell>
          <cell r="Q201">
            <v>1217.5</v>
          </cell>
          <cell r="R201">
            <v>1217.5</v>
          </cell>
        </row>
        <row r="202">
          <cell r="E202" t="str">
            <v>PORT TOWNSEND</v>
          </cell>
          <cell r="F202">
            <v>286</v>
          </cell>
          <cell r="G202">
            <v>0</v>
          </cell>
          <cell r="I202">
            <v>22</v>
          </cell>
          <cell r="J202">
            <v>0</v>
          </cell>
          <cell r="K202">
            <v>308</v>
          </cell>
          <cell r="L202">
            <v>2286</v>
          </cell>
          <cell r="M202">
            <v>0.13473315835520561</v>
          </cell>
          <cell r="N202">
            <v>308</v>
          </cell>
          <cell r="O202">
            <v>0</v>
          </cell>
          <cell r="P202">
            <v>308</v>
          </cell>
          <cell r="Q202">
            <v>308</v>
          </cell>
          <cell r="R202">
            <v>308</v>
          </cell>
        </row>
        <row r="203">
          <cell r="E203" t="str">
            <v>PRESCOTT</v>
          </cell>
          <cell r="F203">
            <v>25</v>
          </cell>
          <cell r="G203">
            <v>0</v>
          </cell>
          <cell r="I203">
            <v>3</v>
          </cell>
          <cell r="J203">
            <v>0</v>
          </cell>
          <cell r="K203">
            <v>28</v>
          </cell>
          <cell r="L203">
            <v>186</v>
          </cell>
          <cell r="M203">
            <v>0.15053763440860216</v>
          </cell>
          <cell r="N203">
            <v>28</v>
          </cell>
          <cell r="O203">
            <v>28</v>
          </cell>
          <cell r="P203">
            <v>28</v>
          </cell>
          <cell r="Q203">
            <v>28</v>
          </cell>
          <cell r="R203">
            <v>28</v>
          </cell>
        </row>
        <row r="204">
          <cell r="E204" t="str">
            <v>PROSSER</v>
          </cell>
          <cell r="F204">
            <v>451</v>
          </cell>
          <cell r="G204">
            <v>0</v>
          </cell>
          <cell r="I204">
            <v>4</v>
          </cell>
          <cell r="J204">
            <v>0</v>
          </cell>
          <cell r="K204">
            <v>455</v>
          </cell>
          <cell r="L204">
            <v>2786</v>
          </cell>
          <cell r="M204">
            <v>0.16331658291457288</v>
          </cell>
          <cell r="N204">
            <v>455</v>
          </cell>
          <cell r="O204">
            <v>455</v>
          </cell>
          <cell r="P204">
            <v>455</v>
          </cell>
          <cell r="Q204">
            <v>470.70590000000004</v>
          </cell>
          <cell r="R204">
            <v>470.70590000000004</v>
          </cell>
        </row>
        <row r="205">
          <cell r="E205" t="str">
            <v>PULLMAN</v>
          </cell>
          <cell r="F205">
            <v>312</v>
          </cell>
          <cell r="G205">
            <v>0</v>
          </cell>
          <cell r="I205">
            <v>11</v>
          </cell>
          <cell r="J205">
            <v>0</v>
          </cell>
          <cell r="K205">
            <v>323</v>
          </cell>
          <cell r="L205">
            <v>2457</v>
          </cell>
          <cell r="M205">
            <v>0.13146113146113145</v>
          </cell>
          <cell r="N205">
            <v>323</v>
          </cell>
          <cell r="O205">
            <v>0</v>
          </cell>
          <cell r="P205">
            <v>323</v>
          </cell>
          <cell r="Q205">
            <v>323</v>
          </cell>
          <cell r="R205">
            <v>323</v>
          </cell>
        </row>
        <row r="206">
          <cell r="E206" t="str">
            <v>PUYALLUP</v>
          </cell>
          <cell r="F206">
            <v>1121</v>
          </cell>
          <cell r="G206">
            <v>0</v>
          </cell>
          <cell r="I206">
            <v>76</v>
          </cell>
          <cell r="J206">
            <v>2</v>
          </cell>
          <cell r="K206">
            <v>1199</v>
          </cell>
          <cell r="L206">
            <v>17971</v>
          </cell>
          <cell r="M206">
            <v>6.6718602192421123E-2</v>
          </cell>
          <cell r="N206">
            <v>1199</v>
          </cell>
          <cell r="O206">
            <v>0</v>
          </cell>
          <cell r="P206">
            <v>1199</v>
          </cell>
          <cell r="Q206">
            <v>1453</v>
          </cell>
          <cell r="R206">
            <v>1453</v>
          </cell>
        </row>
        <row r="207">
          <cell r="E207" t="str">
            <v>QUEETS-CLEARWATER</v>
          </cell>
          <cell r="F207">
            <v>35</v>
          </cell>
          <cell r="G207">
            <v>0</v>
          </cell>
          <cell r="I207">
            <v>1</v>
          </cell>
          <cell r="J207">
            <v>0</v>
          </cell>
          <cell r="K207">
            <v>36</v>
          </cell>
          <cell r="L207">
            <v>104</v>
          </cell>
          <cell r="M207">
            <v>0.34615384615384615</v>
          </cell>
          <cell r="N207">
            <v>36</v>
          </cell>
          <cell r="O207">
            <v>36</v>
          </cell>
          <cell r="P207">
            <v>36</v>
          </cell>
          <cell r="Q207">
            <v>64.076999999999998</v>
          </cell>
          <cell r="R207">
            <v>64.076999999999998</v>
          </cell>
        </row>
        <row r="208">
          <cell r="E208" t="str">
            <v>QUILCENE</v>
          </cell>
          <cell r="F208">
            <v>113</v>
          </cell>
          <cell r="G208">
            <v>0</v>
          </cell>
          <cell r="I208">
            <v>2</v>
          </cell>
          <cell r="J208">
            <v>0</v>
          </cell>
          <cell r="K208">
            <v>115</v>
          </cell>
          <cell r="L208">
            <v>354</v>
          </cell>
          <cell r="M208">
            <v>0.3248587570621469</v>
          </cell>
          <cell r="N208">
            <v>115</v>
          </cell>
          <cell r="O208">
            <v>115</v>
          </cell>
          <cell r="P208">
            <v>115</v>
          </cell>
          <cell r="Q208">
            <v>193.60825</v>
          </cell>
          <cell r="R208">
            <v>193.60825</v>
          </cell>
        </row>
        <row r="209">
          <cell r="E209" t="str">
            <v>QUILLAYUTE VALLEY</v>
          </cell>
          <cell r="F209">
            <v>349</v>
          </cell>
          <cell r="G209">
            <v>0</v>
          </cell>
          <cell r="I209">
            <v>15</v>
          </cell>
          <cell r="J209">
            <v>0</v>
          </cell>
          <cell r="K209">
            <v>364</v>
          </cell>
          <cell r="L209">
            <v>1935</v>
          </cell>
          <cell r="M209">
            <v>0.18811369509043926</v>
          </cell>
          <cell r="N209">
            <v>364</v>
          </cell>
          <cell r="O209">
            <v>364</v>
          </cell>
          <cell r="P209">
            <v>364</v>
          </cell>
          <cell r="Q209">
            <v>410.89524999999998</v>
          </cell>
          <cell r="R209">
            <v>410.89524999999998</v>
          </cell>
        </row>
        <row r="210">
          <cell r="E210" t="str">
            <v>QUINAULT</v>
          </cell>
          <cell r="F210">
            <v>79</v>
          </cell>
          <cell r="G210">
            <v>0</v>
          </cell>
          <cell r="I210">
            <v>8</v>
          </cell>
          <cell r="J210">
            <v>0</v>
          </cell>
          <cell r="K210">
            <v>87</v>
          </cell>
          <cell r="L210">
            <v>361</v>
          </cell>
          <cell r="M210">
            <v>0.24099722991689751</v>
          </cell>
          <cell r="N210">
            <v>87</v>
          </cell>
          <cell r="O210">
            <v>87</v>
          </cell>
          <cell r="P210">
            <v>87</v>
          </cell>
          <cell r="Q210">
            <v>115.45432500000001</v>
          </cell>
          <cell r="R210">
            <v>115.45432500000001</v>
          </cell>
        </row>
        <row r="211">
          <cell r="E211" t="str">
            <v>QUINCY</v>
          </cell>
          <cell r="F211">
            <v>423</v>
          </cell>
          <cell r="G211">
            <v>0</v>
          </cell>
          <cell r="I211">
            <v>5</v>
          </cell>
          <cell r="J211">
            <v>0</v>
          </cell>
          <cell r="K211">
            <v>428</v>
          </cell>
          <cell r="L211">
            <v>2229</v>
          </cell>
          <cell r="M211">
            <v>0.19201435621354868</v>
          </cell>
          <cell r="N211">
            <v>428</v>
          </cell>
          <cell r="O211">
            <v>428</v>
          </cell>
          <cell r="P211">
            <v>428</v>
          </cell>
          <cell r="Q211">
            <v>488.54134999999997</v>
          </cell>
          <cell r="R211">
            <v>488.54134999999997</v>
          </cell>
        </row>
        <row r="212">
          <cell r="E212" t="str">
            <v>RAINIER</v>
          </cell>
          <cell r="F212">
            <v>98</v>
          </cell>
          <cell r="G212">
            <v>0</v>
          </cell>
          <cell r="I212">
            <v>13</v>
          </cell>
          <cell r="J212">
            <v>0</v>
          </cell>
          <cell r="K212">
            <v>111</v>
          </cell>
          <cell r="L212">
            <v>804</v>
          </cell>
          <cell r="M212">
            <v>0.13805970149253732</v>
          </cell>
          <cell r="N212">
            <v>111</v>
          </cell>
          <cell r="O212">
            <v>0</v>
          </cell>
          <cell r="P212">
            <v>111</v>
          </cell>
          <cell r="Q212">
            <v>111</v>
          </cell>
          <cell r="R212">
            <v>111</v>
          </cell>
        </row>
        <row r="213">
          <cell r="E213" t="str">
            <v>RAYMOND</v>
          </cell>
          <cell r="F213">
            <v>274</v>
          </cell>
          <cell r="G213">
            <v>0</v>
          </cell>
          <cell r="I213">
            <v>8</v>
          </cell>
          <cell r="J213">
            <v>0</v>
          </cell>
          <cell r="K213">
            <v>282</v>
          </cell>
          <cell r="L213">
            <v>858</v>
          </cell>
          <cell r="M213">
            <v>0.32867132867132864</v>
          </cell>
          <cell r="N213">
            <v>282</v>
          </cell>
          <cell r="O213">
            <v>282</v>
          </cell>
          <cell r="P213">
            <v>282</v>
          </cell>
          <cell r="Q213">
            <v>479.88524999999993</v>
          </cell>
          <cell r="R213">
            <v>479.88524999999993</v>
          </cell>
        </row>
        <row r="214">
          <cell r="E214" t="str">
            <v>REARDAN-EDWALL</v>
          </cell>
          <cell r="F214">
            <v>125</v>
          </cell>
          <cell r="G214">
            <v>0</v>
          </cell>
          <cell r="I214">
            <v>5</v>
          </cell>
          <cell r="J214">
            <v>0</v>
          </cell>
          <cell r="K214">
            <v>130</v>
          </cell>
          <cell r="L214">
            <v>828</v>
          </cell>
          <cell r="M214">
            <v>0.1570048309178744</v>
          </cell>
          <cell r="N214">
            <v>130</v>
          </cell>
          <cell r="O214">
            <v>130</v>
          </cell>
          <cell r="P214">
            <v>130</v>
          </cell>
          <cell r="Q214">
            <v>130.7482</v>
          </cell>
          <cell r="R214">
            <v>130.7482</v>
          </cell>
        </row>
        <row r="215">
          <cell r="E215" t="str">
            <v>RENTON</v>
          </cell>
          <cell r="F215">
            <v>1190</v>
          </cell>
          <cell r="G215">
            <v>0</v>
          </cell>
          <cell r="I215">
            <v>102</v>
          </cell>
          <cell r="J215">
            <v>14</v>
          </cell>
          <cell r="K215">
            <v>1306</v>
          </cell>
          <cell r="L215">
            <v>14883</v>
          </cell>
          <cell r="M215">
            <v>8.7751125445138745E-2</v>
          </cell>
          <cell r="N215">
            <v>1306</v>
          </cell>
          <cell r="O215">
            <v>0</v>
          </cell>
          <cell r="P215">
            <v>1306</v>
          </cell>
          <cell r="Q215">
            <v>1613.5</v>
          </cell>
          <cell r="R215">
            <v>1613.5</v>
          </cell>
        </row>
        <row r="216">
          <cell r="E216" t="str">
            <v>REPUBLIC</v>
          </cell>
          <cell r="F216">
            <v>71</v>
          </cell>
          <cell r="G216">
            <v>0</v>
          </cell>
          <cell r="I216">
            <v>4</v>
          </cell>
          <cell r="J216">
            <v>0</v>
          </cell>
          <cell r="K216">
            <v>75</v>
          </cell>
          <cell r="L216">
            <v>658</v>
          </cell>
          <cell r="M216">
            <v>0.11398176291793313</v>
          </cell>
          <cell r="N216">
            <v>75</v>
          </cell>
          <cell r="O216">
            <v>0</v>
          </cell>
          <cell r="P216">
            <v>75</v>
          </cell>
          <cell r="Q216">
            <v>75</v>
          </cell>
          <cell r="R216">
            <v>75</v>
          </cell>
        </row>
        <row r="217">
          <cell r="E217" t="str">
            <v>RICHLAND</v>
          </cell>
          <cell r="F217">
            <v>844</v>
          </cell>
          <cell r="G217">
            <v>0</v>
          </cell>
          <cell r="I217">
            <v>18</v>
          </cell>
          <cell r="J217">
            <v>2</v>
          </cell>
          <cell r="K217">
            <v>864</v>
          </cell>
          <cell r="L217">
            <v>9345</v>
          </cell>
          <cell r="M217">
            <v>9.2455858747993586E-2</v>
          </cell>
          <cell r="N217">
            <v>864</v>
          </cell>
          <cell r="O217">
            <v>0</v>
          </cell>
          <cell r="P217">
            <v>864</v>
          </cell>
          <cell r="Q217">
            <v>950.5</v>
          </cell>
          <cell r="R217">
            <v>950.5</v>
          </cell>
        </row>
        <row r="218">
          <cell r="E218" t="str">
            <v>RIDGEFIELD</v>
          </cell>
          <cell r="F218">
            <v>145</v>
          </cell>
          <cell r="G218">
            <v>0</v>
          </cell>
          <cell r="I218">
            <v>3</v>
          </cell>
          <cell r="J218">
            <v>0</v>
          </cell>
          <cell r="K218">
            <v>148</v>
          </cell>
          <cell r="L218">
            <v>2182</v>
          </cell>
          <cell r="M218">
            <v>6.7827681026581113E-2</v>
          </cell>
          <cell r="N218">
            <v>148</v>
          </cell>
          <cell r="O218">
            <v>0</v>
          </cell>
          <cell r="P218">
            <v>148</v>
          </cell>
          <cell r="Q218">
            <v>148</v>
          </cell>
          <cell r="R218">
            <v>148</v>
          </cell>
        </row>
        <row r="219">
          <cell r="E219" t="str">
            <v>RITZVILLE</v>
          </cell>
          <cell r="F219">
            <v>70</v>
          </cell>
          <cell r="G219">
            <v>0</v>
          </cell>
          <cell r="I219">
            <v>0</v>
          </cell>
          <cell r="J219">
            <v>0</v>
          </cell>
          <cell r="K219">
            <v>70</v>
          </cell>
          <cell r="L219">
            <v>602</v>
          </cell>
          <cell r="M219">
            <v>0.11627906976744186</v>
          </cell>
          <cell r="N219">
            <v>70</v>
          </cell>
          <cell r="O219">
            <v>0</v>
          </cell>
          <cell r="P219">
            <v>70</v>
          </cell>
          <cell r="Q219">
            <v>70</v>
          </cell>
          <cell r="R219">
            <v>70</v>
          </cell>
        </row>
        <row r="220">
          <cell r="E220" t="str">
            <v>RIVERSIDE</v>
          </cell>
          <cell r="F220">
            <v>288</v>
          </cell>
          <cell r="G220">
            <v>0</v>
          </cell>
          <cell r="I220">
            <v>30</v>
          </cell>
          <cell r="J220">
            <v>2</v>
          </cell>
          <cell r="K220">
            <v>320</v>
          </cell>
          <cell r="L220">
            <v>2224</v>
          </cell>
          <cell r="M220">
            <v>0.14388489208633093</v>
          </cell>
          <cell r="N220">
            <v>320</v>
          </cell>
          <cell r="O220">
            <v>0</v>
          </cell>
          <cell r="P220">
            <v>320</v>
          </cell>
          <cell r="Q220">
            <v>320</v>
          </cell>
          <cell r="R220">
            <v>320</v>
          </cell>
        </row>
        <row r="221">
          <cell r="E221" t="str">
            <v>RIVERVIEW</v>
          </cell>
          <cell r="F221">
            <v>204</v>
          </cell>
          <cell r="G221">
            <v>0</v>
          </cell>
          <cell r="I221">
            <v>12</v>
          </cell>
          <cell r="J221">
            <v>0</v>
          </cell>
          <cell r="K221">
            <v>216</v>
          </cell>
          <cell r="L221">
            <v>2985</v>
          </cell>
          <cell r="M221">
            <v>7.2361809045226128E-2</v>
          </cell>
          <cell r="N221">
            <v>216</v>
          </cell>
          <cell r="O221">
            <v>0</v>
          </cell>
          <cell r="P221">
            <v>216</v>
          </cell>
          <cell r="Q221">
            <v>216</v>
          </cell>
          <cell r="R221">
            <v>216</v>
          </cell>
        </row>
        <row r="222">
          <cell r="E222" t="str">
            <v>ROCHESTER</v>
          </cell>
          <cell r="F222">
            <v>327</v>
          </cell>
          <cell r="G222">
            <v>0</v>
          </cell>
          <cell r="I222">
            <v>16</v>
          </cell>
          <cell r="J222">
            <v>0</v>
          </cell>
          <cell r="K222">
            <v>343</v>
          </cell>
          <cell r="L222">
            <v>2196</v>
          </cell>
          <cell r="M222">
            <v>0.15619307832422585</v>
          </cell>
          <cell r="N222">
            <v>343</v>
          </cell>
          <cell r="O222">
            <v>343</v>
          </cell>
          <cell r="P222">
            <v>343</v>
          </cell>
          <cell r="Q222">
            <v>343.64739999999995</v>
          </cell>
          <cell r="R222">
            <v>343.64739999999995</v>
          </cell>
        </row>
        <row r="223">
          <cell r="E223" t="str">
            <v>ROOSEVELT</v>
          </cell>
          <cell r="F223">
            <v>6</v>
          </cell>
          <cell r="G223">
            <v>0</v>
          </cell>
          <cell r="I223">
            <v>0</v>
          </cell>
          <cell r="J223">
            <v>0</v>
          </cell>
          <cell r="K223">
            <v>6</v>
          </cell>
          <cell r="L223">
            <v>29</v>
          </cell>
          <cell r="M223">
            <v>0.20689655172413793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E224" t="str">
            <v>ROSALIA</v>
          </cell>
          <cell r="F224">
            <v>83</v>
          </cell>
          <cell r="G224">
            <v>0</v>
          </cell>
          <cell r="I224">
            <v>1</v>
          </cell>
          <cell r="J224">
            <v>0</v>
          </cell>
          <cell r="K224">
            <v>84</v>
          </cell>
          <cell r="L224">
            <v>258</v>
          </cell>
          <cell r="M224">
            <v>0.32558139534883723</v>
          </cell>
          <cell r="N224">
            <v>84</v>
          </cell>
          <cell r="O224">
            <v>84</v>
          </cell>
          <cell r="P224">
            <v>84</v>
          </cell>
          <cell r="Q224">
            <v>141.71025000000003</v>
          </cell>
          <cell r="R224">
            <v>141.71025000000003</v>
          </cell>
        </row>
        <row r="225">
          <cell r="E225" t="str">
            <v>ROYAL</v>
          </cell>
          <cell r="F225">
            <v>293</v>
          </cell>
          <cell r="G225">
            <v>0</v>
          </cell>
          <cell r="I225">
            <v>0</v>
          </cell>
          <cell r="J225">
            <v>0</v>
          </cell>
          <cell r="K225">
            <v>293</v>
          </cell>
          <cell r="L225">
            <v>1219</v>
          </cell>
          <cell r="M225">
            <v>0.24036095159967186</v>
          </cell>
          <cell r="N225">
            <v>293</v>
          </cell>
          <cell r="O225">
            <v>293</v>
          </cell>
          <cell r="P225">
            <v>293</v>
          </cell>
          <cell r="Q225">
            <v>387.919175</v>
          </cell>
          <cell r="R225">
            <v>387.919175</v>
          </cell>
        </row>
        <row r="226">
          <cell r="E226" t="str">
            <v>SAN JUAN ISLAND</v>
          </cell>
          <cell r="F226">
            <v>115</v>
          </cell>
          <cell r="G226">
            <v>0</v>
          </cell>
          <cell r="I226">
            <v>3</v>
          </cell>
          <cell r="J226">
            <v>0</v>
          </cell>
          <cell r="K226">
            <v>118</v>
          </cell>
          <cell r="L226">
            <v>849</v>
          </cell>
          <cell r="M226">
            <v>0.13898704358068315</v>
          </cell>
          <cell r="N226">
            <v>118</v>
          </cell>
          <cell r="O226">
            <v>0</v>
          </cell>
          <cell r="P226">
            <v>118</v>
          </cell>
          <cell r="Q226">
            <v>118</v>
          </cell>
          <cell r="R226">
            <v>118</v>
          </cell>
        </row>
        <row r="227">
          <cell r="E227" t="str">
            <v>SATSOP</v>
          </cell>
          <cell r="F227">
            <v>44</v>
          </cell>
          <cell r="G227">
            <v>0</v>
          </cell>
          <cell r="I227">
            <v>2</v>
          </cell>
          <cell r="J227">
            <v>0</v>
          </cell>
          <cell r="K227">
            <v>46</v>
          </cell>
          <cell r="L227">
            <v>145</v>
          </cell>
          <cell r="M227">
            <v>0.31724137931034485</v>
          </cell>
          <cell r="N227">
            <v>46</v>
          </cell>
          <cell r="O227">
            <v>46</v>
          </cell>
          <cell r="P227">
            <v>46</v>
          </cell>
          <cell r="Q227">
            <v>75.713125000000005</v>
          </cell>
          <cell r="R227">
            <v>75.713125000000005</v>
          </cell>
        </row>
        <row r="228">
          <cell r="E228" t="str">
            <v>SEATTLE</v>
          </cell>
          <cell r="F228">
            <v>12047</v>
          </cell>
          <cell r="G228">
            <v>0</v>
          </cell>
          <cell r="I228">
            <v>532</v>
          </cell>
          <cell r="J228">
            <v>65</v>
          </cell>
          <cell r="K228">
            <v>12644</v>
          </cell>
          <cell r="L228">
            <v>63336</v>
          </cell>
          <cell r="M228">
            <v>0.19963369963369965</v>
          </cell>
          <cell r="N228">
            <v>12644</v>
          </cell>
          <cell r="O228">
            <v>12644</v>
          </cell>
          <cell r="P228">
            <v>12644</v>
          </cell>
          <cell r="Q228">
            <v>26208</v>
          </cell>
          <cell r="R228">
            <v>26208</v>
          </cell>
        </row>
        <row r="229">
          <cell r="E229" t="str">
            <v>SEDRO-WOOLLEY</v>
          </cell>
          <cell r="F229">
            <v>754</v>
          </cell>
          <cell r="G229">
            <v>0</v>
          </cell>
          <cell r="I229">
            <v>43</v>
          </cell>
          <cell r="J229">
            <v>2</v>
          </cell>
          <cell r="K229">
            <v>799</v>
          </cell>
          <cell r="L229">
            <v>4501</v>
          </cell>
          <cell r="M229">
            <v>0.17751610753165964</v>
          </cell>
          <cell r="N229">
            <v>799</v>
          </cell>
          <cell r="O229">
            <v>799</v>
          </cell>
          <cell r="P229">
            <v>799</v>
          </cell>
          <cell r="Q229">
            <v>872.30815000000007</v>
          </cell>
          <cell r="R229">
            <v>872.30815000000007</v>
          </cell>
        </row>
        <row r="230">
          <cell r="E230" t="str">
            <v>SELAH</v>
          </cell>
          <cell r="F230">
            <v>398</v>
          </cell>
          <cell r="G230">
            <v>0</v>
          </cell>
          <cell r="I230">
            <v>19</v>
          </cell>
          <cell r="J230">
            <v>0</v>
          </cell>
          <cell r="K230">
            <v>417</v>
          </cell>
          <cell r="L230">
            <v>3861</v>
          </cell>
          <cell r="M230">
            <v>0.108003108003108</v>
          </cell>
          <cell r="N230">
            <v>417</v>
          </cell>
          <cell r="O230">
            <v>0</v>
          </cell>
          <cell r="P230">
            <v>417</v>
          </cell>
          <cell r="Q230">
            <v>417</v>
          </cell>
          <cell r="R230">
            <v>417</v>
          </cell>
        </row>
        <row r="231">
          <cell r="E231" t="str">
            <v>SELKIRK</v>
          </cell>
          <cell r="F231">
            <v>110</v>
          </cell>
          <cell r="G231">
            <v>0</v>
          </cell>
          <cell r="I231">
            <v>1</v>
          </cell>
          <cell r="J231">
            <v>0</v>
          </cell>
          <cell r="K231">
            <v>111</v>
          </cell>
          <cell r="L231">
            <v>499</v>
          </cell>
          <cell r="M231">
            <v>0.22244488977955912</v>
          </cell>
          <cell r="N231">
            <v>111</v>
          </cell>
          <cell r="O231">
            <v>111</v>
          </cell>
          <cell r="P231">
            <v>111</v>
          </cell>
          <cell r="Q231">
            <v>136.44517500000001</v>
          </cell>
          <cell r="R231">
            <v>136.44517500000001</v>
          </cell>
        </row>
        <row r="232">
          <cell r="E232" t="str">
            <v>SEQUIM</v>
          </cell>
          <cell r="F232">
            <v>433</v>
          </cell>
          <cell r="G232">
            <v>0</v>
          </cell>
          <cell r="I232">
            <v>36</v>
          </cell>
          <cell r="J232">
            <v>0</v>
          </cell>
          <cell r="K232">
            <v>469</v>
          </cell>
          <cell r="L232">
            <v>2782</v>
          </cell>
          <cell r="M232">
            <v>0.16858375269590223</v>
          </cell>
          <cell r="N232">
            <v>469</v>
          </cell>
          <cell r="O232">
            <v>469</v>
          </cell>
          <cell r="P232">
            <v>469</v>
          </cell>
          <cell r="Q232">
            <v>495.67329999999998</v>
          </cell>
          <cell r="R232">
            <v>495.67329999999998</v>
          </cell>
        </row>
        <row r="233">
          <cell r="E233" t="str">
            <v>SHAW ISLAND</v>
          </cell>
          <cell r="F233">
            <v>4</v>
          </cell>
          <cell r="G233">
            <v>0</v>
          </cell>
          <cell r="I233">
            <v>0</v>
          </cell>
          <cell r="J233">
            <v>0</v>
          </cell>
          <cell r="K233">
            <v>4</v>
          </cell>
          <cell r="L233">
            <v>24</v>
          </cell>
          <cell r="M233">
            <v>0.16666666666666666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E234" t="str">
            <v>SHELTON</v>
          </cell>
          <cell r="F234">
            <v>778</v>
          </cell>
          <cell r="G234">
            <v>0</v>
          </cell>
          <cell r="I234">
            <v>51</v>
          </cell>
          <cell r="J234">
            <v>9</v>
          </cell>
          <cell r="K234">
            <v>838</v>
          </cell>
          <cell r="L234">
            <v>4092</v>
          </cell>
          <cell r="M234">
            <v>0.2047898338220919</v>
          </cell>
          <cell r="N234">
            <v>838</v>
          </cell>
          <cell r="O234">
            <v>838</v>
          </cell>
          <cell r="P234">
            <v>838</v>
          </cell>
          <cell r="Q234">
            <v>988.34980000000019</v>
          </cell>
          <cell r="R234">
            <v>988.34980000000019</v>
          </cell>
        </row>
        <row r="235">
          <cell r="E235" t="str">
            <v>SHORELINE</v>
          </cell>
          <cell r="F235">
            <v>987</v>
          </cell>
          <cell r="G235">
            <v>0</v>
          </cell>
          <cell r="I235">
            <v>27</v>
          </cell>
          <cell r="J235">
            <v>1</v>
          </cell>
          <cell r="K235">
            <v>1015</v>
          </cell>
          <cell r="L235">
            <v>12113</v>
          </cell>
          <cell r="M235">
            <v>8.3794270618343922E-2</v>
          </cell>
          <cell r="N235">
            <v>1015</v>
          </cell>
          <cell r="O235">
            <v>0</v>
          </cell>
          <cell r="P235">
            <v>1015</v>
          </cell>
          <cell r="Q235">
            <v>1177</v>
          </cell>
          <cell r="R235">
            <v>1177</v>
          </cell>
        </row>
        <row r="236">
          <cell r="E236" t="str">
            <v>SKAMANIA</v>
          </cell>
          <cell r="F236">
            <v>39</v>
          </cell>
          <cell r="G236">
            <v>0</v>
          </cell>
          <cell r="I236">
            <v>2</v>
          </cell>
          <cell r="J236">
            <v>1</v>
          </cell>
          <cell r="K236">
            <v>42</v>
          </cell>
          <cell r="L236">
            <v>251</v>
          </cell>
          <cell r="M236">
            <v>0.16733067729083664</v>
          </cell>
          <cell r="N236">
            <v>42</v>
          </cell>
          <cell r="O236">
            <v>42</v>
          </cell>
          <cell r="P236">
            <v>42</v>
          </cell>
          <cell r="Q236">
            <v>44.170649999999995</v>
          </cell>
          <cell r="R236">
            <v>44.170649999999995</v>
          </cell>
        </row>
        <row r="237">
          <cell r="E237" t="str">
            <v>SKYKOMISH</v>
          </cell>
          <cell r="F237">
            <v>18</v>
          </cell>
          <cell r="G237">
            <v>0</v>
          </cell>
          <cell r="I237">
            <v>0</v>
          </cell>
          <cell r="J237">
            <v>2</v>
          </cell>
          <cell r="K237">
            <v>20</v>
          </cell>
          <cell r="L237">
            <v>120</v>
          </cell>
          <cell r="M237">
            <v>0.16666666666666666</v>
          </cell>
          <cell r="N237">
            <v>20</v>
          </cell>
          <cell r="O237">
            <v>20</v>
          </cell>
          <cell r="P237">
            <v>20</v>
          </cell>
          <cell r="Q237">
            <v>20.977999999999998</v>
          </cell>
          <cell r="R237">
            <v>20.977999999999998</v>
          </cell>
        </row>
        <row r="238">
          <cell r="E238" t="str">
            <v>SNOHOMISH</v>
          </cell>
          <cell r="F238">
            <v>493</v>
          </cell>
          <cell r="G238">
            <v>0</v>
          </cell>
          <cell r="I238">
            <v>43</v>
          </cell>
          <cell r="J238">
            <v>0</v>
          </cell>
          <cell r="K238">
            <v>536</v>
          </cell>
          <cell r="L238">
            <v>9733</v>
          </cell>
          <cell r="M238">
            <v>5.5070379122572691E-2</v>
          </cell>
          <cell r="N238">
            <v>536</v>
          </cell>
          <cell r="O238">
            <v>0</v>
          </cell>
          <cell r="P238">
            <v>536</v>
          </cell>
          <cell r="Q238">
            <v>536</v>
          </cell>
          <cell r="R238">
            <v>536</v>
          </cell>
        </row>
        <row r="239">
          <cell r="E239" t="str">
            <v>SNOQUALMIE VALLEY</v>
          </cell>
          <cell r="F239">
            <v>272</v>
          </cell>
          <cell r="G239">
            <v>0</v>
          </cell>
          <cell r="I239">
            <v>5</v>
          </cell>
          <cell r="J239">
            <v>0</v>
          </cell>
          <cell r="K239">
            <v>277</v>
          </cell>
          <cell r="L239">
            <v>4773</v>
          </cell>
          <cell r="M239">
            <v>5.8034778965011524E-2</v>
          </cell>
          <cell r="N239">
            <v>277</v>
          </cell>
          <cell r="O239">
            <v>0</v>
          </cell>
          <cell r="P239">
            <v>277</v>
          </cell>
          <cell r="Q239">
            <v>277</v>
          </cell>
          <cell r="R239">
            <v>277</v>
          </cell>
        </row>
        <row r="240">
          <cell r="E240" t="str">
            <v>SOAP LAKE</v>
          </cell>
          <cell r="F240">
            <v>151</v>
          </cell>
          <cell r="G240">
            <v>0</v>
          </cell>
          <cell r="I240">
            <v>1</v>
          </cell>
          <cell r="J240">
            <v>0</v>
          </cell>
          <cell r="K240">
            <v>152</v>
          </cell>
          <cell r="L240">
            <v>522</v>
          </cell>
          <cell r="M240">
            <v>0.29118773946360155</v>
          </cell>
          <cell r="N240">
            <v>152</v>
          </cell>
          <cell r="O240">
            <v>152</v>
          </cell>
          <cell r="P240">
            <v>152</v>
          </cell>
          <cell r="Q240">
            <v>232.44365000000005</v>
          </cell>
          <cell r="R240">
            <v>232.44365000000005</v>
          </cell>
        </row>
        <row r="241">
          <cell r="E241" t="str">
            <v>SOUTH BEND</v>
          </cell>
          <cell r="F241">
            <v>175</v>
          </cell>
          <cell r="G241">
            <v>0</v>
          </cell>
          <cell r="I241">
            <v>14</v>
          </cell>
          <cell r="J241">
            <v>0</v>
          </cell>
          <cell r="K241">
            <v>189</v>
          </cell>
          <cell r="L241">
            <v>554</v>
          </cell>
          <cell r="M241">
            <v>0.34115523465703973</v>
          </cell>
          <cell r="N241">
            <v>189</v>
          </cell>
          <cell r="O241">
            <v>189</v>
          </cell>
          <cell r="P241">
            <v>189</v>
          </cell>
          <cell r="Q241">
            <v>332.33325000000008</v>
          </cell>
          <cell r="R241">
            <v>332.33325000000008</v>
          </cell>
        </row>
        <row r="242">
          <cell r="E242" t="str">
            <v>SOUTH KITSAP</v>
          </cell>
          <cell r="F242">
            <v>1382</v>
          </cell>
          <cell r="G242">
            <v>0</v>
          </cell>
          <cell r="I242">
            <v>101</v>
          </cell>
          <cell r="J242">
            <v>3</v>
          </cell>
          <cell r="K242">
            <v>1486</v>
          </cell>
          <cell r="L242">
            <v>13767</v>
          </cell>
          <cell r="M242">
            <v>0.10793927507808528</v>
          </cell>
          <cell r="N242">
            <v>1486</v>
          </cell>
          <cell r="O242">
            <v>0</v>
          </cell>
          <cell r="P242">
            <v>1486</v>
          </cell>
          <cell r="Q242">
            <v>1883.5</v>
          </cell>
          <cell r="R242">
            <v>1883.5</v>
          </cell>
        </row>
        <row r="243">
          <cell r="E243" t="str">
            <v>SOUTH WHIDBEY</v>
          </cell>
          <cell r="F243">
            <v>315</v>
          </cell>
          <cell r="G243">
            <v>0</v>
          </cell>
          <cell r="I243">
            <v>11</v>
          </cell>
          <cell r="J243">
            <v>0</v>
          </cell>
          <cell r="K243">
            <v>326</v>
          </cell>
          <cell r="L243">
            <v>2425</v>
          </cell>
          <cell r="M243">
            <v>0.13443298969072165</v>
          </cell>
          <cell r="N243">
            <v>326</v>
          </cell>
          <cell r="O243">
            <v>0</v>
          </cell>
          <cell r="P243">
            <v>326</v>
          </cell>
          <cell r="Q243">
            <v>326</v>
          </cell>
          <cell r="R243">
            <v>326</v>
          </cell>
        </row>
        <row r="244">
          <cell r="E244" t="str">
            <v>SOUTHSIDE</v>
          </cell>
          <cell r="F244">
            <v>65</v>
          </cell>
          <cell r="G244">
            <v>0</v>
          </cell>
          <cell r="I244">
            <v>6</v>
          </cell>
          <cell r="J244">
            <v>1</v>
          </cell>
          <cell r="K244">
            <v>72</v>
          </cell>
          <cell r="L244">
            <v>564</v>
          </cell>
          <cell r="M244">
            <v>0.1276595744680851</v>
          </cell>
          <cell r="N244">
            <v>72</v>
          </cell>
          <cell r="O244">
            <v>0</v>
          </cell>
          <cell r="P244">
            <v>72</v>
          </cell>
          <cell r="Q244">
            <v>72</v>
          </cell>
          <cell r="R244">
            <v>72</v>
          </cell>
        </row>
        <row r="245">
          <cell r="E245" t="str">
            <v>SPOKANE</v>
          </cell>
          <cell r="F245">
            <v>7157</v>
          </cell>
          <cell r="G245">
            <v>0</v>
          </cell>
          <cell r="I245">
            <v>212</v>
          </cell>
          <cell r="J245">
            <v>38</v>
          </cell>
          <cell r="K245">
            <v>7407</v>
          </cell>
          <cell r="L245">
            <v>37894</v>
          </cell>
          <cell r="M245">
            <v>0.19546630073362536</v>
          </cell>
          <cell r="N245">
            <v>7407</v>
          </cell>
          <cell r="O245">
            <v>7407</v>
          </cell>
          <cell r="P245">
            <v>7407</v>
          </cell>
          <cell r="Q245">
            <v>13337.5</v>
          </cell>
          <cell r="R245">
            <v>13337.5</v>
          </cell>
        </row>
        <row r="246">
          <cell r="E246" t="str">
            <v>SPRAGUE</v>
          </cell>
          <cell r="F246">
            <v>5</v>
          </cell>
          <cell r="G246">
            <v>0</v>
          </cell>
          <cell r="I246">
            <v>0</v>
          </cell>
          <cell r="J246">
            <v>0</v>
          </cell>
          <cell r="K246">
            <v>5</v>
          </cell>
          <cell r="L246">
            <v>138</v>
          </cell>
          <cell r="M246">
            <v>3.6231884057971016E-2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E247" t="str">
            <v>ST JOHN</v>
          </cell>
          <cell r="F247">
            <v>25</v>
          </cell>
          <cell r="G247">
            <v>0</v>
          </cell>
          <cell r="I247">
            <v>0</v>
          </cell>
          <cell r="J247">
            <v>0</v>
          </cell>
          <cell r="K247">
            <v>25</v>
          </cell>
          <cell r="L247">
            <v>198</v>
          </cell>
          <cell r="M247">
            <v>0.12626262626262627</v>
          </cell>
          <cell r="N247">
            <v>25</v>
          </cell>
          <cell r="O247">
            <v>0</v>
          </cell>
          <cell r="P247">
            <v>25</v>
          </cell>
          <cell r="Q247">
            <v>25</v>
          </cell>
          <cell r="R247">
            <v>25</v>
          </cell>
        </row>
        <row r="248">
          <cell r="E248" t="str">
            <v>STANWOOD</v>
          </cell>
          <cell r="F248">
            <v>422</v>
          </cell>
          <cell r="G248">
            <v>0</v>
          </cell>
          <cell r="I248">
            <v>22</v>
          </cell>
          <cell r="J248">
            <v>1</v>
          </cell>
          <cell r="K248">
            <v>445</v>
          </cell>
          <cell r="L248">
            <v>3735</v>
          </cell>
          <cell r="M248">
            <v>0.11914323962516733</v>
          </cell>
          <cell r="N248">
            <v>445</v>
          </cell>
          <cell r="O248">
            <v>0</v>
          </cell>
          <cell r="P248">
            <v>445</v>
          </cell>
          <cell r="Q248">
            <v>445</v>
          </cell>
          <cell r="R248">
            <v>445</v>
          </cell>
        </row>
        <row r="249">
          <cell r="E249" t="str">
            <v>STAR</v>
          </cell>
          <cell r="F249">
            <v>6</v>
          </cell>
          <cell r="G249">
            <v>0</v>
          </cell>
          <cell r="I249">
            <v>0</v>
          </cell>
          <cell r="J249">
            <v>0</v>
          </cell>
          <cell r="K249">
            <v>6</v>
          </cell>
          <cell r="L249">
            <v>27</v>
          </cell>
          <cell r="M249">
            <v>0.22222222222222221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E250" t="str">
            <v>STARBUCK</v>
          </cell>
          <cell r="F250">
            <v>6</v>
          </cell>
          <cell r="G250">
            <v>0</v>
          </cell>
          <cell r="I250">
            <v>1</v>
          </cell>
          <cell r="J250">
            <v>0</v>
          </cell>
          <cell r="K250">
            <v>7</v>
          </cell>
          <cell r="L250">
            <v>51</v>
          </cell>
          <cell r="M250">
            <v>0.13725490196078433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E251" t="str">
            <v>STEHEKIN</v>
          </cell>
          <cell r="F251">
            <v>2</v>
          </cell>
          <cell r="G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12</v>
          </cell>
          <cell r="M251">
            <v>0.16666666666666666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E252" t="str">
            <v>STEILACOOM</v>
          </cell>
          <cell r="F252">
            <v>265</v>
          </cell>
          <cell r="G252">
            <v>0</v>
          </cell>
          <cell r="I252">
            <v>10</v>
          </cell>
          <cell r="J252">
            <v>0</v>
          </cell>
          <cell r="K252">
            <v>275</v>
          </cell>
          <cell r="L252">
            <v>2179</v>
          </cell>
          <cell r="M252">
            <v>0.12620468104635155</v>
          </cell>
          <cell r="N252">
            <v>275</v>
          </cell>
          <cell r="O252">
            <v>0</v>
          </cell>
          <cell r="P252">
            <v>275</v>
          </cell>
          <cell r="Q252">
            <v>275</v>
          </cell>
          <cell r="R252">
            <v>275</v>
          </cell>
        </row>
        <row r="253">
          <cell r="E253" t="str">
            <v>STEPTOE</v>
          </cell>
          <cell r="F253">
            <v>2</v>
          </cell>
          <cell r="G253">
            <v>0</v>
          </cell>
          <cell r="I253">
            <v>0</v>
          </cell>
          <cell r="J253">
            <v>0</v>
          </cell>
          <cell r="K253">
            <v>2</v>
          </cell>
          <cell r="L253">
            <v>55</v>
          </cell>
          <cell r="M253">
            <v>3.6363636363636362E-2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E254" t="str">
            <v>STEVENSON-CARSON</v>
          </cell>
          <cell r="F254">
            <v>181</v>
          </cell>
          <cell r="G254">
            <v>0</v>
          </cell>
          <cell r="I254">
            <v>14</v>
          </cell>
          <cell r="J254">
            <v>2</v>
          </cell>
          <cell r="K254">
            <v>197</v>
          </cell>
          <cell r="L254">
            <v>1251</v>
          </cell>
          <cell r="M254">
            <v>0.1574740207833733</v>
          </cell>
          <cell r="N254">
            <v>197</v>
          </cell>
          <cell r="O254">
            <v>197</v>
          </cell>
          <cell r="P254">
            <v>197</v>
          </cell>
          <cell r="Q254">
            <v>198.57065000000003</v>
          </cell>
          <cell r="R254">
            <v>198.57065000000003</v>
          </cell>
        </row>
        <row r="255">
          <cell r="E255" t="str">
            <v>SULTAN</v>
          </cell>
          <cell r="F255">
            <v>398</v>
          </cell>
          <cell r="G255">
            <v>0</v>
          </cell>
          <cell r="I255">
            <v>12</v>
          </cell>
          <cell r="J255">
            <v>2</v>
          </cell>
          <cell r="K255">
            <v>412</v>
          </cell>
          <cell r="L255">
            <v>2309</v>
          </cell>
          <cell r="M255">
            <v>0.17843222174101342</v>
          </cell>
          <cell r="N255">
            <v>412</v>
          </cell>
          <cell r="O255">
            <v>412</v>
          </cell>
          <cell r="P255">
            <v>412</v>
          </cell>
          <cell r="Q255">
            <v>451.19334999999995</v>
          </cell>
          <cell r="R255">
            <v>451.19334999999995</v>
          </cell>
        </row>
        <row r="256">
          <cell r="E256" t="str">
            <v>SUMMIT VALLEY</v>
          </cell>
          <cell r="F256">
            <v>36</v>
          </cell>
          <cell r="G256">
            <v>0</v>
          </cell>
          <cell r="I256">
            <v>1</v>
          </cell>
          <cell r="J256">
            <v>0</v>
          </cell>
          <cell r="K256">
            <v>37</v>
          </cell>
          <cell r="L256">
            <v>175</v>
          </cell>
          <cell r="M256">
            <v>0.21142857142857144</v>
          </cell>
          <cell r="N256">
            <v>37</v>
          </cell>
          <cell r="O256">
            <v>37</v>
          </cell>
          <cell r="P256">
            <v>37</v>
          </cell>
          <cell r="Q256">
            <v>44.301250000000003</v>
          </cell>
          <cell r="R256">
            <v>44.301250000000003</v>
          </cell>
        </row>
        <row r="257">
          <cell r="E257" t="str">
            <v>SUMNER</v>
          </cell>
          <cell r="F257">
            <v>695</v>
          </cell>
          <cell r="G257">
            <v>0</v>
          </cell>
          <cell r="I257">
            <v>26</v>
          </cell>
          <cell r="J257">
            <v>2</v>
          </cell>
          <cell r="K257">
            <v>723</v>
          </cell>
          <cell r="L257">
            <v>7146</v>
          </cell>
          <cell r="M257">
            <v>0.10117548278757346</v>
          </cell>
          <cell r="N257">
            <v>723</v>
          </cell>
          <cell r="O257">
            <v>0</v>
          </cell>
          <cell r="P257">
            <v>723</v>
          </cell>
          <cell r="Q257">
            <v>739</v>
          </cell>
          <cell r="R257">
            <v>739</v>
          </cell>
        </row>
        <row r="258">
          <cell r="E258" t="str">
            <v>SUNNYSIDE</v>
          </cell>
          <cell r="F258">
            <v>1600</v>
          </cell>
          <cell r="G258">
            <v>0</v>
          </cell>
          <cell r="I258">
            <v>25</v>
          </cell>
          <cell r="J258">
            <v>5</v>
          </cell>
          <cell r="K258">
            <v>1630</v>
          </cell>
          <cell r="L258">
            <v>5713</v>
          </cell>
          <cell r="M258">
            <v>0.28531419569403116</v>
          </cell>
          <cell r="N258">
            <v>1630</v>
          </cell>
          <cell r="O258">
            <v>1630</v>
          </cell>
          <cell r="P258">
            <v>1630</v>
          </cell>
          <cell r="Q258">
            <v>2460.0777250000001</v>
          </cell>
          <cell r="R258">
            <v>2460.0777250000001</v>
          </cell>
        </row>
        <row r="259">
          <cell r="E259" t="str">
            <v>TACOMA</v>
          </cell>
          <cell r="F259">
            <v>8193</v>
          </cell>
          <cell r="G259">
            <v>0</v>
          </cell>
          <cell r="I259">
            <v>365</v>
          </cell>
          <cell r="J259">
            <v>63</v>
          </cell>
          <cell r="K259">
            <v>8621</v>
          </cell>
          <cell r="L259">
            <v>39382</v>
          </cell>
          <cell r="M259">
            <v>0.21890711492560053</v>
          </cell>
          <cell r="N259">
            <v>8621</v>
          </cell>
          <cell r="O259">
            <v>8621</v>
          </cell>
          <cell r="P259">
            <v>8621</v>
          </cell>
          <cell r="Q259">
            <v>16150.5</v>
          </cell>
          <cell r="R259">
            <v>16150.5</v>
          </cell>
        </row>
        <row r="260">
          <cell r="E260" t="str">
            <v>TAHOLAH</v>
          </cell>
          <cell r="F260">
            <v>89</v>
          </cell>
          <cell r="G260">
            <v>0</v>
          </cell>
          <cell r="I260">
            <v>2</v>
          </cell>
          <cell r="J260">
            <v>0</v>
          </cell>
          <cell r="K260">
            <v>91</v>
          </cell>
          <cell r="L260">
            <v>237</v>
          </cell>
          <cell r="M260">
            <v>0.38396624472573837</v>
          </cell>
          <cell r="N260">
            <v>91</v>
          </cell>
          <cell r="O260">
            <v>91</v>
          </cell>
          <cell r="P260">
            <v>91</v>
          </cell>
          <cell r="Q260">
            <v>175.42502499999995</v>
          </cell>
          <cell r="R260">
            <v>175.42502499999995</v>
          </cell>
        </row>
        <row r="261">
          <cell r="E261" t="str">
            <v>TAHOMA</v>
          </cell>
          <cell r="F261">
            <v>192</v>
          </cell>
          <cell r="G261">
            <v>0</v>
          </cell>
          <cell r="I261">
            <v>19</v>
          </cell>
          <cell r="J261">
            <v>3</v>
          </cell>
          <cell r="K261">
            <v>214</v>
          </cell>
          <cell r="L261">
            <v>4511</v>
          </cell>
          <cell r="M261">
            <v>4.7439592108180002E-2</v>
          </cell>
          <cell r="N261">
            <v>214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E262" t="str">
            <v>TEKOA</v>
          </cell>
          <cell r="F262">
            <v>63</v>
          </cell>
          <cell r="G262">
            <v>0</v>
          </cell>
          <cell r="I262">
            <v>1</v>
          </cell>
          <cell r="J262">
            <v>0</v>
          </cell>
          <cell r="K262">
            <v>64</v>
          </cell>
          <cell r="L262">
            <v>205</v>
          </cell>
          <cell r="M262">
            <v>0.31219512195121951</v>
          </cell>
          <cell r="N262">
            <v>64</v>
          </cell>
          <cell r="O262">
            <v>64</v>
          </cell>
          <cell r="P262">
            <v>64</v>
          </cell>
          <cell r="Q262">
            <v>103.68062500000001</v>
          </cell>
          <cell r="R262">
            <v>103.68062500000001</v>
          </cell>
        </row>
        <row r="263">
          <cell r="E263" t="str">
            <v>TENINO</v>
          </cell>
          <cell r="F263">
            <v>205</v>
          </cell>
          <cell r="G263">
            <v>0</v>
          </cell>
          <cell r="I263">
            <v>17</v>
          </cell>
          <cell r="J263">
            <v>0</v>
          </cell>
          <cell r="K263">
            <v>222</v>
          </cell>
          <cell r="L263">
            <v>1952</v>
          </cell>
          <cell r="M263">
            <v>0.11372950819672131</v>
          </cell>
          <cell r="N263">
            <v>222</v>
          </cell>
          <cell r="O263">
            <v>0</v>
          </cell>
          <cell r="P263">
            <v>222</v>
          </cell>
          <cell r="Q263">
            <v>222</v>
          </cell>
          <cell r="R263">
            <v>222</v>
          </cell>
        </row>
        <row r="264">
          <cell r="E264" t="str">
            <v>THORP</v>
          </cell>
          <cell r="F264">
            <v>31</v>
          </cell>
          <cell r="G264">
            <v>0</v>
          </cell>
          <cell r="I264">
            <v>1</v>
          </cell>
          <cell r="J264">
            <v>0</v>
          </cell>
          <cell r="K264">
            <v>32</v>
          </cell>
          <cell r="L264">
            <v>239</v>
          </cell>
          <cell r="M264">
            <v>0.13389121338912133</v>
          </cell>
          <cell r="N264">
            <v>32</v>
          </cell>
          <cell r="O264">
            <v>0</v>
          </cell>
          <cell r="P264">
            <v>32</v>
          </cell>
          <cell r="Q264">
            <v>32</v>
          </cell>
          <cell r="R264">
            <v>32</v>
          </cell>
        </row>
        <row r="265">
          <cell r="E265" t="str">
            <v>TOLEDO</v>
          </cell>
          <cell r="F265">
            <v>175</v>
          </cell>
          <cell r="G265">
            <v>0</v>
          </cell>
          <cell r="I265">
            <v>30</v>
          </cell>
          <cell r="J265">
            <v>0</v>
          </cell>
          <cell r="K265">
            <v>205</v>
          </cell>
          <cell r="L265">
            <v>921</v>
          </cell>
          <cell r="M265">
            <v>0.22258414766558088</v>
          </cell>
          <cell r="N265">
            <v>205</v>
          </cell>
          <cell r="O265">
            <v>205</v>
          </cell>
          <cell r="P265">
            <v>205</v>
          </cell>
          <cell r="Q265">
            <v>252.15632499999998</v>
          </cell>
          <cell r="R265">
            <v>252.15632499999998</v>
          </cell>
        </row>
        <row r="266">
          <cell r="E266" t="str">
            <v>TONASKET</v>
          </cell>
          <cell r="F266">
            <v>549</v>
          </cell>
          <cell r="G266">
            <v>0</v>
          </cell>
          <cell r="I266">
            <v>7</v>
          </cell>
          <cell r="J266">
            <v>0</v>
          </cell>
          <cell r="K266">
            <v>556</v>
          </cell>
          <cell r="L266">
            <v>1341</v>
          </cell>
          <cell r="M266">
            <v>0.41461595824011932</v>
          </cell>
          <cell r="N266">
            <v>556</v>
          </cell>
          <cell r="O266">
            <v>556</v>
          </cell>
          <cell r="P266">
            <v>556</v>
          </cell>
          <cell r="Q266">
            <v>1156.9998250000001</v>
          </cell>
          <cell r="R266">
            <v>1156.9998250000001</v>
          </cell>
        </row>
        <row r="267">
          <cell r="E267" t="str">
            <v>TOPPENISH</v>
          </cell>
          <cell r="F267">
            <v>1140</v>
          </cell>
          <cell r="G267">
            <v>0</v>
          </cell>
          <cell r="I267">
            <v>43</v>
          </cell>
          <cell r="J267">
            <v>0</v>
          </cell>
          <cell r="K267">
            <v>1183</v>
          </cell>
          <cell r="L267">
            <v>3561</v>
          </cell>
          <cell r="M267">
            <v>0.33221005335579895</v>
          </cell>
          <cell r="N267">
            <v>1183</v>
          </cell>
          <cell r="O267">
            <v>1183</v>
          </cell>
          <cell r="P267">
            <v>1183</v>
          </cell>
          <cell r="Q267">
            <v>2032.6461250000002</v>
          </cell>
          <cell r="R267">
            <v>2032.6461250000002</v>
          </cell>
        </row>
        <row r="268">
          <cell r="E268" t="str">
            <v>TOUCHET</v>
          </cell>
          <cell r="F268">
            <v>70</v>
          </cell>
          <cell r="G268">
            <v>0</v>
          </cell>
          <cell r="I268">
            <v>5</v>
          </cell>
          <cell r="J268">
            <v>0</v>
          </cell>
          <cell r="K268">
            <v>75</v>
          </cell>
          <cell r="L268">
            <v>179</v>
          </cell>
          <cell r="M268">
            <v>0.41899441340782123</v>
          </cell>
          <cell r="N268">
            <v>75</v>
          </cell>
          <cell r="O268">
            <v>75</v>
          </cell>
          <cell r="P268">
            <v>75</v>
          </cell>
          <cell r="Q268">
            <v>157.57417500000003</v>
          </cell>
          <cell r="R268">
            <v>157.57417500000003</v>
          </cell>
        </row>
        <row r="269">
          <cell r="E269" t="str">
            <v>TOUTLE LAKE</v>
          </cell>
          <cell r="F269">
            <v>90</v>
          </cell>
          <cell r="G269">
            <v>0</v>
          </cell>
          <cell r="I269">
            <v>1</v>
          </cell>
          <cell r="J269">
            <v>0</v>
          </cell>
          <cell r="K269">
            <v>91</v>
          </cell>
          <cell r="L269">
            <v>535</v>
          </cell>
          <cell r="M269">
            <v>0.17009345794392525</v>
          </cell>
          <cell r="N269">
            <v>91</v>
          </cell>
          <cell r="O269">
            <v>91</v>
          </cell>
          <cell r="P269">
            <v>91</v>
          </cell>
          <cell r="Q269">
            <v>96.735250000000008</v>
          </cell>
          <cell r="R269">
            <v>96.735250000000008</v>
          </cell>
        </row>
        <row r="270">
          <cell r="E270" t="str">
            <v>TROUT LAKE</v>
          </cell>
          <cell r="F270">
            <v>15</v>
          </cell>
          <cell r="G270">
            <v>0</v>
          </cell>
          <cell r="I270">
            <v>3</v>
          </cell>
          <cell r="J270">
            <v>0</v>
          </cell>
          <cell r="K270">
            <v>18</v>
          </cell>
          <cell r="L270">
            <v>218</v>
          </cell>
          <cell r="M270">
            <v>8.2568807339449546E-2</v>
          </cell>
          <cell r="N270">
            <v>18</v>
          </cell>
          <cell r="O270">
            <v>0</v>
          </cell>
          <cell r="P270">
            <v>18</v>
          </cell>
          <cell r="Q270">
            <v>18</v>
          </cell>
          <cell r="R270">
            <v>18</v>
          </cell>
        </row>
        <row r="271">
          <cell r="E271" t="str">
            <v>TUKWILA</v>
          </cell>
          <cell r="F271">
            <v>334</v>
          </cell>
          <cell r="G271">
            <v>0</v>
          </cell>
          <cell r="I271">
            <v>19</v>
          </cell>
          <cell r="J271">
            <v>7</v>
          </cell>
          <cell r="K271">
            <v>360</v>
          </cell>
          <cell r="L271">
            <v>2024</v>
          </cell>
          <cell r="M271">
            <v>0.17786561264822134</v>
          </cell>
          <cell r="N271">
            <v>360</v>
          </cell>
          <cell r="O271">
            <v>360</v>
          </cell>
          <cell r="P271">
            <v>360</v>
          </cell>
          <cell r="Q271">
            <v>393.49560000000002</v>
          </cell>
          <cell r="R271">
            <v>393.49560000000002</v>
          </cell>
        </row>
        <row r="272">
          <cell r="E272" t="str">
            <v>TUMWATER</v>
          </cell>
          <cell r="F272">
            <v>526</v>
          </cell>
          <cell r="G272">
            <v>0</v>
          </cell>
          <cell r="I272">
            <v>37</v>
          </cell>
          <cell r="J272">
            <v>1</v>
          </cell>
          <cell r="K272">
            <v>564</v>
          </cell>
          <cell r="L272">
            <v>6634</v>
          </cell>
          <cell r="M272">
            <v>8.5016581248115772E-2</v>
          </cell>
          <cell r="N272">
            <v>564</v>
          </cell>
          <cell r="O272">
            <v>0</v>
          </cell>
          <cell r="P272">
            <v>564</v>
          </cell>
          <cell r="Q272">
            <v>564</v>
          </cell>
          <cell r="R272">
            <v>564</v>
          </cell>
        </row>
        <row r="273">
          <cell r="E273" t="str">
            <v>UNION GAP</v>
          </cell>
          <cell r="F273">
            <v>113</v>
          </cell>
          <cell r="G273">
            <v>0</v>
          </cell>
          <cell r="I273">
            <v>7</v>
          </cell>
          <cell r="J273">
            <v>0</v>
          </cell>
          <cell r="K273">
            <v>120</v>
          </cell>
          <cell r="L273">
            <v>603</v>
          </cell>
          <cell r="M273">
            <v>0.19900497512437812</v>
          </cell>
          <cell r="N273">
            <v>120</v>
          </cell>
          <cell r="O273">
            <v>120</v>
          </cell>
          <cell r="P273">
            <v>120</v>
          </cell>
          <cell r="Q273">
            <v>139.53945000000002</v>
          </cell>
          <cell r="R273">
            <v>139.53945000000002</v>
          </cell>
        </row>
        <row r="274">
          <cell r="E274" t="str">
            <v>UNIVERSITY PLACE</v>
          </cell>
          <cell r="F274">
            <v>426</v>
          </cell>
          <cell r="G274">
            <v>0</v>
          </cell>
          <cell r="I274">
            <v>25</v>
          </cell>
          <cell r="J274">
            <v>7</v>
          </cell>
          <cell r="K274">
            <v>458</v>
          </cell>
          <cell r="L274">
            <v>5671</v>
          </cell>
          <cell r="M274">
            <v>8.0761770410862285E-2</v>
          </cell>
          <cell r="N274">
            <v>458</v>
          </cell>
          <cell r="O274">
            <v>0</v>
          </cell>
          <cell r="P274">
            <v>458</v>
          </cell>
          <cell r="Q274">
            <v>458</v>
          </cell>
          <cell r="R274">
            <v>458</v>
          </cell>
        </row>
        <row r="275">
          <cell r="E275" t="str">
            <v>VADER</v>
          </cell>
          <cell r="F275">
            <v>31</v>
          </cell>
          <cell r="G275">
            <v>0</v>
          </cell>
          <cell r="I275">
            <v>3</v>
          </cell>
          <cell r="J275">
            <v>0</v>
          </cell>
          <cell r="K275">
            <v>34</v>
          </cell>
          <cell r="L275">
            <v>238</v>
          </cell>
          <cell r="M275">
            <v>0.14285714285714285</v>
          </cell>
          <cell r="N275">
            <v>34</v>
          </cell>
          <cell r="O275">
            <v>0</v>
          </cell>
          <cell r="P275">
            <v>34</v>
          </cell>
          <cell r="Q275">
            <v>34</v>
          </cell>
          <cell r="R275">
            <v>34</v>
          </cell>
        </row>
        <row r="276">
          <cell r="E276" t="str">
            <v>VALLEY</v>
          </cell>
          <cell r="F276">
            <v>96</v>
          </cell>
          <cell r="G276">
            <v>0</v>
          </cell>
          <cell r="I276">
            <v>5</v>
          </cell>
          <cell r="J276">
            <v>0</v>
          </cell>
          <cell r="K276">
            <v>101</v>
          </cell>
          <cell r="L276">
            <v>444</v>
          </cell>
          <cell r="M276">
            <v>0.22747747747747749</v>
          </cell>
          <cell r="N276">
            <v>101</v>
          </cell>
          <cell r="O276">
            <v>101</v>
          </cell>
          <cell r="P276">
            <v>101</v>
          </cell>
          <cell r="Q276">
            <v>126.9923</v>
          </cell>
          <cell r="R276">
            <v>126.9923</v>
          </cell>
        </row>
        <row r="277">
          <cell r="E277" t="str">
            <v>VANCOUVER</v>
          </cell>
          <cell r="F277">
            <v>4125</v>
          </cell>
          <cell r="G277">
            <v>0</v>
          </cell>
          <cell r="I277">
            <v>96</v>
          </cell>
          <cell r="J277">
            <v>25</v>
          </cell>
          <cell r="K277">
            <v>4246</v>
          </cell>
          <cell r="L277">
            <v>25038</v>
          </cell>
          <cell r="M277">
            <v>0.16958223500279576</v>
          </cell>
          <cell r="N277">
            <v>4246</v>
          </cell>
          <cell r="O277">
            <v>4246</v>
          </cell>
          <cell r="P277">
            <v>4246</v>
          </cell>
          <cell r="Q277">
            <v>7015.5</v>
          </cell>
          <cell r="R277">
            <v>7015.5</v>
          </cell>
        </row>
        <row r="278">
          <cell r="E278" t="str">
            <v>VASHON ISLAND</v>
          </cell>
          <cell r="F278">
            <v>136</v>
          </cell>
          <cell r="G278">
            <v>0</v>
          </cell>
          <cell r="I278">
            <v>5</v>
          </cell>
          <cell r="J278">
            <v>0</v>
          </cell>
          <cell r="K278">
            <v>141</v>
          </cell>
          <cell r="L278">
            <v>2101</v>
          </cell>
          <cell r="M278">
            <v>6.7110899571632562E-2</v>
          </cell>
          <cell r="N278">
            <v>141</v>
          </cell>
          <cell r="O278">
            <v>0</v>
          </cell>
          <cell r="P278">
            <v>141</v>
          </cell>
          <cell r="Q278">
            <v>141</v>
          </cell>
          <cell r="R278">
            <v>141</v>
          </cell>
        </row>
        <row r="279">
          <cell r="E279" t="str">
            <v>WAHKIAKUM</v>
          </cell>
          <cell r="F279">
            <v>73</v>
          </cell>
          <cell r="G279">
            <v>0</v>
          </cell>
          <cell r="I279">
            <v>21</v>
          </cell>
          <cell r="J279">
            <v>0</v>
          </cell>
          <cell r="K279">
            <v>94</v>
          </cell>
          <cell r="L279">
            <v>542</v>
          </cell>
          <cell r="M279">
            <v>0.17343173431734318</v>
          </cell>
          <cell r="N279">
            <v>94</v>
          </cell>
          <cell r="O279">
            <v>94</v>
          </cell>
          <cell r="P279">
            <v>94</v>
          </cell>
          <cell r="Q279">
            <v>101.16730000000001</v>
          </cell>
          <cell r="R279">
            <v>101.16730000000001</v>
          </cell>
        </row>
        <row r="280">
          <cell r="E280" t="str">
            <v>WAHLUKE</v>
          </cell>
          <cell r="F280">
            <v>222</v>
          </cell>
          <cell r="G280">
            <v>0</v>
          </cell>
          <cell r="I280">
            <v>3</v>
          </cell>
          <cell r="J280">
            <v>0</v>
          </cell>
          <cell r="K280">
            <v>225</v>
          </cell>
          <cell r="L280">
            <v>738</v>
          </cell>
          <cell r="M280">
            <v>0.3048780487804878</v>
          </cell>
          <cell r="N280">
            <v>225</v>
          </cell>
          <cell r="O280">
            <v>225</v>
          </cell>
          <cell r="P280">
            <v>225</v>
          </cell>
          <cell r="Q280">
            <v>355.70025000000004</v>
          </cell>
          <cell r="R280">
            <v>355.70025000000004</v>
          </cell>
        </row>
        <row r="281">
          <cell r="E281" t="str">
            <v>WAITSBURG</v>
          </cell>
          <cell r="F281">
            <v>44</v>
          </cell>
          <cell r="G281">
            <v>0</v>
          </cell>
          <cell r="I281">
            <v>9</v>
          </cell>
          <cell r="J281">
            <v>1</v>
          </cell>
          <cell r="K281">
            <v>54</v>
          </cell>
          <cell r="L281">
            <v>337</v>
          </cell>
          <cell r="M281">
            <v>0.16023738872403562</v>
          </cell>
          <cell r="N281">
            <v>54</v>
          </cell>
          <cell r="O281">
            <v>54</v>
          </cell>
          <cell r="P281">
            <v>54</v>
          </cell>
          <cell r="Q281">
            <v>55.121550000000006</v>
          </cell>
          <cell r="R281">
            <v>55.121550000000006</v>
          </cell>
        </row>
        <row r="282">
          <cell r="E282" t="str">
            <v>WALLA WALLA</v>
          </cell>
          <cell r="F282">
            <v>1402</v>
          </cell>
          <cell r="G282">
            <v>0</v>
          </cell>
          <cell r="I282">
            <v>24</v>
          </cell>
          <cell r="J282">
            <v>0</v>
          </cell>
          <cell r="K282">
            <v>1426</v>
          </cell>
          <cell r="L282">
            <v>6555</v>
          </cell>
          <cell r="M282">
            <v>0.21754385964912282</v>
          </cell>
          <cell r="N282">
            <v>1426</v>
          </cell>
          <cell r="O282">
            <v>1426</v>
          </cell>
          <cell r="P282">
            <v>1426</v>
          </cell>
          <cell r="Q282">
            <v>1793.5</v>
          </cell>
          <cell r="R282">
            <v>1793.5</v>
          </cell>
        </row>
        <row r="283">
          <cell r="E283" t="str">
            <v>WAPATO</v>
          </cell>
          <cell r="F283">
            <v>1212</v>
          </cell>
          <cell r="G283">
            <v>0</v>
          </cell>
          <cell r="I283">
            <v>49</v>
          </cell>
          <cell r="J283">
            <v>0</v>
          </cell>
          <cell r="K283">
            <v>1261</v>
          </cell>
          <cell r="L283">
            <v>3665</v>
          </cell>
          <cell r="M283">
            <v>0.3440654843110505</v>
          </cell>
          <cell r="N283">
            <v>1261</v>
          </cell>
          <cell r="O283">
            <v>1261</v>
          </cell>
          <cell r="P283">
            <v>1261</v>
          </cell>
          <cell r="Q283">
            <v>2233.2231250000004</v>
          </cell>
          <cell r="R283">
            <v>2233.2231250000004</v>
          </cell>
        </row>
        <row r="284">
          <cell r="E284" t="str">
            <v>WARDEN</v>
          </cell>
          <cell r="F284">
            <v>177</v>
          </cell>
          <cell r="G284">
            <v>0</v>
          </cell>
          <cell r="I284">
            <v>3</v>
          </cell>
          <cell r="J284">
            <v>0</v>
          </cell>
          <cell r="K284">
            <v>180</v>
          </cell>
          <cell r="L284">
            <v>965</v>
          </cell>
          <cell r="M284">
            <v>0.18652849740932642</v>
          </cell>
          <cell r="N284">
            <v>180</v>
          </cell>
          <cell r="O284">
            <v>180</v>
          </cell>
          <cell r="P284">
            <v>180</v>
          </cell>
          <cell r="Q284">
            <v>202.23975000000002</v>
          </cell>
          <cell r="R284">
            <v>202.23975000000002</v>
          </cell>
        </row>
        <row r="285">
          <cell r="E285" t="str">
            <v>WASHOUGAL</v>
          </cell>
          <cell r="F285">
            <v>384</v>
          </cell>
          <cell r="G285">
            <v>0</v>
          </cell>
          <cell r="I285">
            <v>12</v>
          </cell>
          <cell r="J285">
            <v>13</v>
          </cell>
          <cell r="K285">
            <v>409</v>
          </cell>
          <cell r="L285">
            <v>2950</v>
          </cell>
          <cell r="M285">
            <v>0.13864406779661018</v>
          </cell>
          <cell r="N285">
            <v>409</v>
          </cell>
          <cell r="O285">
            <v>0</v>
          </cell>
          <cell r="P285">
            <v>409</v>
          </cell>
          <cell r="Q285">
            <v>409</v>
          </cell>
          <cell r="R285">
            <v>409</v>
          </cell>
        </row>
        <row r="286">
          <cell r="E286" t="str">
            <v>WASHTUCNA</v>
          </cell>
          <cell r="F286">
            <v>23</v>
          </cell>
          <cell r="G286">
            <v>0</v>
          </cell>
          <cell r="I286">
            <v>0</v>
          </cell>
          <cell r="J286">
            <v>0</v>
          </cell>
          <cell r="K286">
            <v>23</v>
          </cell>
          <cell r="L286">
            <v>133</v>
          </cell>
          <cell r="M286">
            <v>0.17293233082706766</v>
          </cell>
          <cell r="N286">
            <v>23</v>
          </cell>
          <cell r="O286">
            <v>23</v>
          </cell>
          <cell r="P286">
            <v>23</v>
          </cell>
          <cell r="Q286">
            <v>24.708949999999998</v>
          </cell>
          <cell r="R286">
            <v>24.708949999999998</v>
          </cell>
        </row>
        <row r="287">
          <cell r="E287" t="str">
            <v>WATERVILLE</v>
          </cell>
          <cell r="F287">
            <v>43</v>
          </cell>
          <cell r="G287">
            <v>0</v>
          </cell>
          <cell r="I287">
            <v>0</v>
          </cell>
          <cell r="J287">
            <v>0</v>
          </cell>
          <cell r="K287">
            <v>43</v>
          </cell>
          <cell r="L287">
            <v>411</v>
          </cell>
          <cell r="M287">
            <v>0.10462287104622871</v>
          </cell>
          <cell r="N287">
            <v>43</v>
          </cell>
          <cell r="O287">
            <v>0</v>
          </cell>
          <cell r="P287">
            <v>43</v>
          </cell>
          <cell r="Q287">
            <v>43</v>
          </cell>
          <cell r="R287">
            <v>43</v>
          </cell>
        </row>
        <row r="288">
          <cell r="E288" t="str">
            <v>WELLPINIT</v>
          </cell>
          <cell r="F288">
            <v>123</v>
          </cell>
          <cell r="G288">
            <v>0</v>
          </cell>
          <cell r="I288">
            <v>22</v>
          </cell>
          <cell r="J288">
            <v>0</v>
          </cell>
          <cell r="K288">
            <v>145</v>
          </cell>
          <cell r="L288">
            <v>305</v>
          </cell>
          <cell r="M288">
            <v>0.47540983606557374</v>
          </cell>
          <cell r="N288">
            <v>145</v>
          </cell>
          <cell r="O288">
            <v>145</v>
          </cell>
          <cell r="P288">
            <v>145</v>
          </cell>
          <cell r="Q288">
            <v>337.31912499999999</v>
          </cell>
          <cell r="R288">
            <v>337.31912499999999</v>
          </cell>
        </row>
        <row r="289">
          <cell r="E289" t="str">
            <v>WENATCHEE</v>
          </cell>
          <cell r="F289">
            <v>1414</v>
          </cell>
          <cell r="G289">
            <v>0</v>
          </cell>
          <cell r="I289">
            <v>35</v>
          </cell>
          <cell r="J289">
            <v>0</v>
          </cell>
          <cell r="K289">
            <v>1449</v>
          </cell>
          <cell r="L289">
            <v>7009</v>
          </cell>
          <cell r="M289">
            <v>0.20673419888714509</v>
          </cell>
          <cell r="N289">
            <v>1449</v>
          </cell>
          <cell r="O289">
            <v>1449</v>
          </cell>
          <cell r="P289">
            <v>1449</v>
          </cell>
          <cell r="Q289">
            <v>1828</v>
          </cell>
          <cell r="R289">
            <v>1828</v>
          </cell>
        </row>
        <row r="290">
          <cell r="E290" t="str">
            <v>WEST VALLEY (SPK)</v>
          </cell>
          <cell r="F290">
            <v>299</v>
          </cell>
          <cell r="G290">
            <v>0</v>
          </cell>
          <cell r="I290">
            <v>30</v>
          </cell>
          <cell r="J290">
            <v>0</v>
          </cell>
          <cell r="K290">
            <v>329</v>
          </cell>
          <cell r="L290">
            <v>2799</v>
          </cell>
          <cell r="M290">
            <v>0.11754197927831368</v>
          </cell>
          <cell r="N290">
            <v>329</v>
          </cell>
          <cell r="O290">
            <v>0</v>
          </cell>
          <cell r="P290">
            <v>329</v>
          </cell>
          <cell r="Q290">
            <v>329</v>
          </cell>
          <cell r="R290">
            <v>329</v>
          </cell>
        </row>
        <row r="291">
          <cell r="E291" t="str">
            <v>WEST VALLEY (YAK)</v>
          </cell>
          <cell r="F291">
            <v>313</v>
          </cell>
          <cell r="G291">
            <v>0</v>
          </cell>
          <cell r="I291">
            <v>9</v>
          </cell>
          <cell r="J291">
            <v>1</v>
          </cell>
          <cell r="K291">
            <v>323</v>
          </cell>
          <cell r="L291">
            <v>4852</v>
          </cell>
          <cell r="M291">
            <v>6.6570486397361919E-2</v>
          </cell>
          <cell r="N291">
            <v>323</v>
          </cell>
          <cell r="O291">
            <v>0</v>
          </cell>
          <cell r="P291">
            <v>323</v>
          </cell>
          <cell r="Q291">
            <v>323</v>
          </cell>
          <cell r="R291">
            <v>323</v>
          </cell>
        </row>
        <row r="292">
          <cell r="E292" t="str">
            <v>WHITE PASS</v>
          </cell>
          <cell r="F292">
            <v>165</v>
          </cell>
          <cell r="G292">
            <v>0</v>
          </cell>
          <cell r="I292">
            <v>6</v>
          </cell>
          <cell r="J292">
            <v>0</v>
          </cell>
          <cell r="K292">
            <v>171</v>
          </cell>
          <cell r="L292">
            <v>1072</v>
          </cell>
          <cell r="M292">
            <v>0.15951492537313433</v>
          </cell>
          <cell r="N292">
            <v>171</v>
          </cell>
          <cell r="O292">
            <v>171</v>
          </cell>
          <cell r="P292">
            <v>171</v>
          </cell>
          <cell r="Q292">
            <v>173.98680000000002</v>
          </cell>
          <cell r="R292">
            <v>173.98680000000002</v>
          </cell>
        </row>
        <row r="293">
          <cell r="E293" t="str">
            <v>WHITE RIVER</v>
          </cell>
          <cell r="F293">
            <v>337</v>
          </cell>
          <cell r="G293">
            <v>0</v>
          </cell>
          <cell r="I293">
            <v>17</v>
          </cell>
          <cell r="J293">
            <v>1</v>
          </cell>
          <cell r="K293">
            <v>355</v>
          </cell>
          <cell r="L293">
            <v>4395</v>
          </cell>
          <cell r="M293">
            <v>8.0773606370875994E-2</v>
          </cell>
          <cell r="N293">
            <v>355</v>
          </cell>
          <cell r="O293">
            <v>0</v>
          </cell>
          <cell r="P293">
            <v>355</v>
          </cell>
          <cell r="Q293">
            <v>355</v>
          </cell>
          <cell r="R293">
            <v>355</v>
          </cell>
        </row>
        <row r="294">
          <cell r="E294" t="str">
            <v>WHITE SALMON</v>
          </cell>
          <cell r="F294">
            <v>292</v>
          </cell>
          <cell r="G294">
            <v>0</v>
          </cell>
          <cell r="I294">
            <v>14</v>
          </cell>
          <cell r="J294">
            <v>0</v>
          </cell>
          <cell r="K294">
            <v>306</v>
          </cell>
          <cell r="L294">
            <v>1485</v>
          </cell>
          <cell r="M294">
            <v>0.20606060606060606</v>
          </cell>
          <cell r="N294">
            <v>306</v>
          </cell>
          <cell r="O294">
            <v>306</v>
          </cell>
          <cell r="P294">
            <v>306</v>
          </cell>
          <cell r="Q294">
            <v>361.97775000000001</v>
          </cell>
          <cell r="R294">
            <v>361.97775000000001</v>
          </cell>
        </row>
        <row r="295">
          <cell r="E295" t="str">
            <v>WILBUR</v>
          </cell>
          <cell r="F295">
            <v>38</v>
          </cell>
          <cell r="G295">
            <v>0</v>
          </cell>
          <cell r="I295">
            <v>0</v>
          </cell>
          <cell r="J295">
            <v>0</v>
          </cell>
          <cell r="K295">
            <v>38</v>
          </cell>
          <cell r="L295">
            <v>316</v>
          </cell>
          <cell r="M295">
            <v>0.12025316455696203</v>
          </cell>
          <cell r="N295">
            <v>38</v>
          </cell>
          <cell r="O295">
            <v>0</v>
          </cell>
          <cell r="P295">
            <v>38</v>
          </cell>
          <cell r="Q295">
            <v>38</v>
          </cell>
          <cell r="R295">
            <v>38</v>
          </cell>
        </row>
        <row r="296">
          <cell r="E296" t="str">
            <v>WILLAPA VALLEY</v>
          </cell>
          <cell r="F296">
            <v>75</v>
          </cell>
          <cell r="G296">
            <v>0</v>
          </cell>
          <cell r="I296">
            <v>4</v>
          </cell>
          <cell r="J296">
            <v>0</v>
          </cell>
          <cell r="K296">
            <v>79</v>
          </cell>
          <cell r="L296">
            <v>512</v>
          </cell>
          <cell r="M296">
            <v>0.154296875</v>
          </cell>
          <cell r="N296">
            <v>79</v>
          </cell>
          <cell r="O296">
            <v>79</v>
          </cell>
          <cell r="P296">
            <v>79</v>
          </cell>
          <cell r="Q296">
            <v>79</v>
          </cell>
          <cell r="R296">
            <v>79</v>
          </cell>
        </row>
        <row r="297">
          <cell r="E297" t="str">
            <v>WILSON CREEK</v>
          </cell>
          <cell r="F297">
            <v>21</v>
          </cell>
          <cell r="G297">
            <v>0</v>
          </cell>
          <cell r="I297">
            <v>1</v>
          </cell>
          <cell r="J297">
            <v>0</v>
          </cell>
          <cell r="K297">
            <v>22</v>
          </cell>
          <cell r="L297">
            <v>110</v>
          </cell>
          <cell r="M297">
            <v>0.2</v>
          </cell>
          <cell r="N297">
            <v>22</v>
          </cell>
          <cell r="O297">
            <v>22</v>
          </cell>
          <cell r="P297">
            <v>22</v>
          </cell>
          <cell r="Q297">
            <v>25.646500000000003</v>
          </cell>
          <cell r="R297">
            <v>25.646500000000003</v>
          </cell>
        </row>
        <row r="298">
          <cell r="E298" t="str">
            <v>WINLOCK</v>
          </cell>
          <cell r="F298">
            <v>131</v>
          </cell>
          <cell r="G298">
            <v>0</v>
          </cell>
          <cell r="I298">
            <v>23</v>
          </cell>
          <cell r="J298">
            <v>0</v>
          </cell>
          <cell r="K298">
            <v>154</v>
          </cell>
          <cell r="L298">
            <v>827</v>
          </cell>
          <cell r="M298">
            <v>0.18621523579201935</v>
          </cell>
          <cell r="N298">
            <v>154</v>
          </cell>
          <cell r="O298">
            <v>154</v>
          </cell>
          <cell r="P298">
            <v>154</v>
          </cell>
          <cell r="Q298">
            <v>172.86505</v>
          </cell>
          <cell r="R298">
            <v>172.86505</v>
          </cell>
        </row>
        <row r="299">
          <cell r="E299" t="str">
            <v>WISHKAH VALLEY</v>
          </cell>
          <cell r="F299">
            <v>13</v>
          </cell>
          <cell r="G299">
            <v>0</v>
          </cell>
          <cell r="I299">
            <v>1</v>
          </cell>
          <cell r="J299">
            <v>0</v>
          </cell>
          <cell r="K299">
            <v>14</v>
          </cell>
          <cell r="L299">
            <v>203</v>
          </cell>
          <cell r="M299">
            <v>6.8965517241379309E-2</v>
          </cell>
          <cell r="N299">
            <v>14</v>
          </cell>
          <cell r="O299">
            <v>0</v>
          </cell>
          <cell r="P299">
            <v>14</v>
          </cell>
          <cell r="Q299">
            <v>14</v>
          </cell>
          <cell r="R299">
            <v>14</v>
          </cell>
        </row>
        <row r="300">
          <cell r="E300" t="str">
            <v>WISHRAM</v>
          </cell>
          <cell r="F300">
            <v>25</v>
          </cell>
          <cell r="G300">
            <v>0</v>
          </cell>
          <cell r="I300">
            <v>0</v>
          </cell>
          <cell r="J300">
            <v>0</v>
          </cell>
          <cell r="K300">
            <v>25</v>
          </cell>
          <cell r="L300">
            <v>82</v>
          </cell>
          <cell r="M300">
            <v>0.3048780487804878</v>
          </cell>
          <cell r="N300">
            <v>25</v>
          </cell>
          <cell r="O300">
            <v>25</v>
          </cell>
          <cell r="P300">
            <v>25</v>
          </cell>
          <cell r="Q300">
            <v>39.52225</v>
          </cell>
          <cell r="R300">
            <v>39.52225</v>
          </cell>
        </row>
        <row r="301">
          <cell r="E301" t="str">
            <v>WOODLAND</v>
          </cell>
          <cell r="F301">
            <v>176</v>
          </cell>
          <cell r="G301">
            <v>0</v>
          </cell>
          <cell r="I301">
            <v>5</v>
          </cell>
          <cell r="J301">
            <v>0</v>
          </cell>
          <cell r="K301">
            <v>181</v>
          </cell>
          <cell r="L301">
            <v>1539</v>
          </cell>
          <cell r="M301">
            <v>0.11760883690708251</v>
          </cell>
          <cell r="N301">
            <v>181</v>
          </cell>
          <cell r="O301">
            <v>0</v>
          </cell>
          <cell r="P301">
            <v>181</v>
          </cell>
          <cell r="Q301">
            <v>181</v>
          </cell>
          <cell r="R301">
            <v>181</v>
          </cell>
        </row>
        <row r="302">
          <cell r="E302" t="str">
            <v>YAKIMA</v>
          </cell>
          <cell r="F302">
            <v>3916</v>
          </cell>
          <cell r="G302">
            <v>0</v>
          </cell>
          <cell r="I302">
            <v>147</v>
          </cell>
          <cell r="J302">
            <v>3</v>
          </cell>
          <cell r="K302">
            <v>4066</v>
          </cell>
          <cell r="L302">
            <v>14623</v>
          </cell>
          <cell r="M302">
            <v>0.27805511864870408</v>
          </cell>
          <cell r="N302">
            <v>4066</v>
          </cell>
          <cell r="O302">
            <v>4066</v>
          </cell>
          <cell r="P302">
            <v>4066</v>
          </cell>
          <cell r="Q302">
            <v>6655.5</v>
          </cell>
          <cell r="R302">
            <v>6655.5</v>
          </cell>
        </row>
        <row r="303">
          <cell r="E303" t="str">
            <v>YELM</v>
          </cell>
          <cell r="F303">
            <v>555</v>
          </cell>
          <cell r="G303">
            <v>0</v>
          </cell>
          <cell r="I303">
            <v>75</v>
          </cell>
          <cell r="J303">
            <v>5</v>
          </cell>
          <cell r="K303">
            <v>635</v>
          </cell>
          <cell r="L303">
            <v>4084</v>
          </cell>
          <cell r="M303">
            <v>0.15548481880509304</v>
          </cell>
          <cell r="N303">
            <v>635</v>
          </cell>
          <cell r="O303">
            <v>635</v>
          </cell>
          <cell r="P303">
            <v>635</v>
          </cell>
          <cell r="Q303">
            <v>635</v>
          </cell>
          <cell r="R303">
            <v>635</v>
          </cell>
        </row>
        <row r="304">
          <cell r="E304" t="str">
            <v>ZILLAH</v>
          </cell>
          <cell r="F304">
            <v>169</v>
          </cell>
          <cell r="G304">
            <v>0</v>
          </cell>
          <cell r="I304">
            <v>6</v>
          </cell>
          <cell r="J304">
            <v>0</v>
          </cell>
          <cell r="K304">
            <v>175</v>
          </cell>
          <cell r="L304">
            <v>1068</v>
          </cell>
          <cell r="M304">
            <v>0.16385767790262173</v>
          </cell>
          <cell r="N304">
            <v>175</v>
          </cell>
          <cell r="O304">
            <v>175</v>
          </cell>
          <cell r="P304">
            <v>175</v>
          </cell>
          <cell r="Q304">
            <v>181.45420000000001</v>
          </cell>
          <cell r="R304">
            <v>181.45420000000001</v>
          </cell>
        </row>
        <row r="305">
          <cell r="E305" t="str">
            <v>Balance of County</v>
          </cell>
          <cell r="F305">
            <v>7</v>
          </cell>
          <cell r="G305">
            <v>0</v>
          </cell>
          <cell r="I305">
            <v>0</v>
          </cell>
          <cell r="J305">
            <v>0</v>
          </cell>
          <cell r="K305">
            <v>7</v>
          </cell>
          <cell r="L305">
            <v>49</v>
          </cell>
          <cell r="M305">
            <v>0.14285714285714285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E306" t="str">
            <v>Undistributed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E307" t="str">
            <v>PART D SUBPART 2</v>
          </cell>
          <cell r="F307">
            <v>0</v>
          </cell>
          <cell r="H307">
            <v>715</v>
          </cell>
          <cell r="K307">
            <v>715</v>
          </cell>
          <cell r="L307">
            <v>715</v>
          </cell>
          <cell r="M307">
            <v>1</v>
          </cell>
          <cell r="N307">
            <v>715</v>
          </cell>
          <cell r="O307">
            <v>715</v>
          </cell>
          <cell r="P307">
            <v>715</v>
          </cell>
          <cell r="Q307">
            <v>727</v>
          </cell>
          <cell r="R307">
            <v>727</v>
          </cell>
        </row>
      </sheetData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 Survey Results"/>
      <sheetName val="22-23 Allocations"/>
      <sheetName val="22-23 Consortium"/>
      <sheetName val="22-23 New Private School #s"/>
    </sheetNames>
    <sheetDataSet>
      <sheetData sheetId="0">
        <row r="1">
          <cell r="A1" t="str">
            <v>District Number</v>
          </cell>
          <cell r="B1" t="str">
            <v>District</v>
          </cell>
          <cell r="C1" t="str">
            <v xml:space="preserve">Allocation </v>
          </cell>
          <cell r="E1" t="str">
            <v>Private School New Number</v>
          </cell>
        </row>
        <row r="2">
          <cell r="A2" t="str">
            <v>01158</v>
          </cell>
          <cell r="B2" t="str">
            <v>Lind</v>
          </cell>
          <cell r="C2">
            <v>416</v>
          </cell>
          <cell r="D2" t="str">
            <v>Consortium</v>
          </cell>
          <cell r="F2" t="str">
            <v>C</v>
          </cell>
        </row>
        <row r="3">
          <cell r="A3" t="str">
            <v>03050</v>
          </cell>
          <cell r="B3" t="str">
            <v>Paterson</v>
          </cell>
          <cell r="C3">
            <v>1595</v>
          </cell>
          <cell r="D3" t="str">
            <v>Consortium</v>
          </cell>
          <cell r="F3" t="str">
            <v>C</v>
          </cell>
        </row>
        <row r="4">
          <cell r="A4" t="str">
            <v>06098</v>
          </cell>
          <cell r="B4" t="str">
            <v>Hockinson</v>
          </cell>
          <cell r="C4">
            <v>1850</v>
          </cell>
          <cell r="D4" t="str">
            <v>Consortium</v>
          </cell>
          <cell r="F4" t="str">
            <v>C</v>
          </cell>
        </row>
        <row r="5">
          <cell r="A5" t="str">
            <v>09013</v>
          </cell>
          <cell r="B5" t="str">
            <v>Orondo</v>
          </cell>
          <cell r="C5">
            <v>2611</v>
          </cell>
          <cell r="D5" t="str">
            <v>Consortium</v>
          </cell>
          <cell r="F5" t="str">
            <v>C</v>
          </cell>
        </row>
        <row r="6">
          <cell r="A6" t="str">
            <v>12110</v>
          </cell>
          <cell r="B6" t="str">
            <v>Pomeroy</v>
          </cell>
          <cell r="C6">
            <v>3212</v>
          </cell>
          <cell r="D6" t="str">
            <v>Consortium</v>
          </cell>
          <cell r="F6" t="str">
            <v>C</v>
          </cell>
        </row>
        <row r="7">
          <cell r="A7" t="str">
            <v>14097</v>
          </cell>
          <cell r="B7" t="str">
            <v>Quinault</v>
          </cell>
          <cell r="C7">
            <v>3467</v>
          </cell>
          <cell r="D7" t="str">
            <v>Consortium</v>
          </cell>
          <cell r="F7" t="str">
            <v>C</v>
          </cell>
        </row>
        <row r="8">
          <cell r="A8" t="str">
            <v>14172</v>
          </cell>
          <cell r="B8" t="str">
            <v>Ocosta</v>
          </cell>
          <cell r="C8">
            <v>3744</v>
          </cell>
          <cell r="D8" t="str">
            <v>Consortium</v>
          </cell>
          <cell r="F8" t="str">
            <v>C</v>
          </cell>
        </row>
        <row r="9">
          <cell r="A9" t="str">
            <v>14400</v>
          </cell>
          <cell r="B9" t="str">
            <v>Oakville</v>
          </cell>
          <cell r="C9">
            <v>4137</v>
          </cell>
          <cell r="D9" t="str">
            <v>Consortium</v>
          </cell>
          <cell r="F9" t="str">
            <v>C</v>
          </cell>
        </row>
        <row r="10">
          <cell r="A10" t="str">
            <v>17910</v>
          </cell>
          <cell r="B10" t="str">
            <v>Rainier Valley Leadership Academy Charter</v>
          </cell>
          <cell r="C10">
            <v>4368</v>
          </cell>
          <cell r="D10" t="str">
            <v>Consortium</v>
          </cell>
          <cell r="F10" t="str">
            <v>C</v>
          </cell>
        </row>
        <row r="11">
          <cell r="A11" t="str">
            <v>17916</v>
          </cell>
          <cell r="B11" t="str">
            <v>Impact Salish Sea Charter</v>
          </cell>
          <cell r="C11">
            <v>4693</v>
          </cell>
          <cell r="D11" t="str">
            <v>Consortium</v>
          </cell>
          <cell r="F11" t="str">
            <v>C</v>
          </cell>
        </row>
        <row r="12">
          <cell r="A12" t="str">
            <v>19404</v>
          </cell>
          <cell r="B12" t="str">
            <v>Cle Elum-Roslyn</v>
          </cell>
          <cell r="C12">
            <v>5270</v>
          </cell>
          <cell r="D12" t="str">
            <v>Consortium</v>
          </cell>
          <cell r="F12" t="str">
            <v>C</v>
          </cell>
        </row>
        <row r="13">
          <cell r="A13" t="str">
            <v>21206</v>
          </cell>
          <cell r="B13" t="str">
            <v>Mossyrock</v>
          </cell>
          <cell r="C13">
            <v>5363</v>
          </cell>
          <cell r="D13" t="str">
            <v>Consortium</v>
          </cell>
          <cell r="F13" t="str">
            <v>C</v>
          </cell>
        </row>
        <row r="14">
          <cell r="A14" t="str">
            <v>21232</v>
          </cell>
          <cell r="B14" t="str">
            <v>Winlock</v>
          </cell>
          <cell r="C14">
            <v>6449</v>
          </cell>
          <cell r="D14" t="str">
            <v>Consortium</v>
          </cell>
          <cell r="F14" t="str">
            <v>C</v>
          </cell>
        </row>
        <row r="15">
          <cell r="A15" t="str">
            <v>25101</v>
          </cell>
          <cell r="B15" t="str">
            <v>Ocean Beach</v>
          </cell>
          <cell r="C15">
            <v>6611</v>
          </cell>
          <cell r="D15" t="str">
            <v>Consortium</v>
          </cell>
          <cell r="F15" t="str">
            <v>C</v>
          </cell>
        </row>
        <row r="16">
          <cell r="A16" t="str">
            <v>25116</v>
          </cell>
          <cell r="B16" t="str">
            <v>Raymond</v>
          </cell>
          <cell r="C16">
            <v>6795</v>
          </cell>
          <cell r="D16" t="str">
            <v>Consortium</v>
          </cell>
          <cell r="F16" t="str">
            <v>C</v>
          </cell>
        </row>
        <row r="17">
          <cell r="A17" t="str">
            <v>25155</v>
          </cell>
          <cell r="B17" t="str">
            <v>Naselle Grays Riv</v>
          </cell>
          <cell r="C17">
            <v>7003</v>
          </cell>
          <cell r="D17" t="str">
            <v>Consortium</v>
          </cell>
          <cell r="F17" t="str">
            <v>C</v>
          </cell>
        </row>
        <row r="18">
          <cell r="A18" t="str">
            <v>27343</v>
          </cell>
          <cell r="B18" t="str">
            <v>Dieringer</v>
          </cell>
          <cell r="C18">
            <v>7211</v>
          </cell>
          <cell r="D18" t="str">
            <v>Consortium</v>
          </cell>
          <cell r="F18" t="str">
            <v>C</v>
          </cell>
        </row>
        <row r="19">
          <cell r="A19" t="str">
            <v>27902</v>
          </cell>
          <cell r="B19" t="str">
            <v>Impact Commencement Bay Elementary Charter</v>
          </cell>
          <cell r="C19">
            <v>7257</v>
          </cell>
          <cell r="D19" t="str">
            <v>Consortium</v>
          </cell>
          <cell r="F19" t="str">
            <v>C</v>
          </cell>
        </row>
        <row r="20">
          <cell r="A20" t="str">
            <v>28137</v>
          </cell>
          <cell r="B20" t="str">
            <v>Orcas</v>
          </cell>
          <cell r="C20">
            <v>7674</v>
          </cell>
          <cell r="D20" t="str">
            <v>Consortium</v>
          </cell>
          <cell r="F20" t="str">
            <v>C</v>
          </cell>
        </row>
        <row r="21">
          <cell r="A21" t="str">
            <v>28144</v>
          </cell>
          <cell r="B21" t="str">
            <v>Lopez</v>
          </cell>
          <cell r="C21">
            <v>8090</v>
          </cell>
          <cell r="D21" t="str">
            <v>Consortium</v>
          </cell>
          <cell r="F21" t="str">
            <v>C</v>
          </cell>
        </row>
        <row r="22">
          <cell r="A22" t="str">
            <v>28149</v>
          </cell>
          <cell r="B22" t="str">
            <v>San Juan</v>
          </cell>
          <cell r="C22">
            <v>8228</v>
          </cell>
          <cell r="D22" t="str">
            <v>Consortium</v>
          </cell>
          <cell r="F22" t="str">
            <v>C</v>
          </cell>
        </row>
        <row r="23">
          <cell r="A23" t="str">
            <v>29317</v>
          </cell>
          <cell r="B23" t="str">
            <v>Conway</v>
          </cell>
          <cell r="C23">
            <v>8459</v>
          </cell>
          <cell r="D23" t="str">
            <v>Consortium</v>
          </cell>
          <cell r="F23" t="str">
            <v>C</v>
          </cell>
        </row>
        <row r="24">
          <cell r="A24" t="str">
            <v>36300</v>
          </cell>
          <cell r="B24" t="str">
            <v>Touchet</v>
          </cell>
          <cell r="C24">
            <v>9707</v>
          </cell>
          <cell r="D24" t="str">
            <v>Consortium</v>
          </cell>
          <cell r="F24" t="str">
            <v>C</v>
          </cell>
        </row>
        <row r="25">
          <cell r="A25" t="str">
            <v>16046</v>
          </cell>
          <cell r="B25" t="str">
            <v>Brinnon</v>
          </cell>
          <cell r="C25">
            <v>46</v>
          </cell>
          <cell r="D25" t="str">
            <v>Not Participating</v>
          </cell>
          <cell r="F25" t="str">
            <v>N</v>
          </cell>
        </row>
        <row r="26">
          <cell r="A26" t="str">
            <v>32358</v>
          </cell>
          <cell r="B26" t="str">
            <v>Freeman</v>
          </cell>
          <cell r="C26">
            <v>69</v>
          </cell>
          <cell r="D26" t="str">
            <v>Not Participating</v>
          </cell>
          <cell r="F26" t="str">
            <v>N</v>
          </cell>
        </row>
        <row r="27">
          <cell r="A27" t="str">
            <v>06801</v>
          </cell>
          <cell r="B27" t="str">
            <v>ESD 112</v>
          </cell>
          <cell r="C27">
            <v>93</v>
          </cell>
          <cell r="D27" t="str">
            <v>Not Participating</v>
          </cell>
          <cell r="F27" t="str">
            <v>N</v>
          </cell>
        </row>
        <row r="28">
          <cell r="A28" t="str">
            <v>01109</v>
          </cell>
          <cell r="B28" t="str">
            <v>Washtucna</v>
          </cell>
          <cell r="C28">
            <v>93</v>
          </cell>
          <cell r="D28" t="str">
            <v>Not Participating</v>
          </cell>
          <cell r="F28" t="str">
            <v>N</v>
          </cell>
        </row>
        <row r="29">
          <cell r="A29" t="str">
            <v>33036</v>
          </cell>
          <cell r="B29" t="str">
            <v>Chewelah</v>
          </cell>
          <cell r="C29">
            <v>139</v>
          </cell>
          <cell r="D29" t="str">
            <v>Not Participating</v>
          </cell>
          <cell r="F29" t="str">
            <v>N</v>
          </cell>
        </row>
        <row r="30">
          <cell r="A30" t="str">
            <v>32362</v>
          </cell>
          <cell r="B30" t="str">
            <v>Liberty</v>
          </cell>
          <cell r="C30">
            <v>139</v>
          </cell>
          <cell r="D30" t="str">
            <v>Not Participating</v>
          </cell>
          <cell r="F30" t="str">
            <v>N</v>
          </cell>
        </row>
        <row r="31">
          <cell r="A31" t="str">
            <v>17404</v>
          </cell>
          <cell r="B31" t="str">
            <v>Skykomish</v>
          </cell>
          <cell r="C31">
            <v>139</v>
          </cell>
          <cell r="D31" t="str">
            <v>Not Participating</v>
          </cell>
          <cell r="F31" t="str">
            <v>N</v>
          </cell>
        </row>
        <row r="32">
          <cell r="A32" t="str">
            <v>36401</v>
          </cell>
          <cell r="B32" t="str">
            <v>Waitsburg</v>
          </cell>
          <cell r="C32">
            <v>139</v>
          </cell>
          <cell r="D32" t="str">
            <v>Not Participating</v>
          </cell>
          <cell r="F32" t="str">
            <v>N</v>
          </cell>
        </row>
        <row r="33">
          <cell r="A33" t="str">
            <v>18901</v>
          </cell>
          <cell r="B33" t="str">
            <v>Catalyst Bremerton Charter</v>
          </cell>
          <cell r="C33">
            <v>162</v>
          </cell>
          <cell r="D33" t="str">
            <v>Not Participating</v>
          </cell>
          <cell r="F33" t="str">
            <v>N</v>
          </cell>
        </row>
        <row r="34">
          <cell r="A34" t="str">
            <v>34324</v>
          </cell>
          <cell r="B34" t="str">
            <v>Griffin</v>
          </cell>
          <cell r="C34">
            <v>184</v>
          </cell>
          <cell r="D34" t="str">
            <v>Not Participating</v>
          </cell>
          <cell r="F34" t="str">
            <v>N</v>
          </cell>
        </row>
        <row r="35">
          <cell r="A35" t="str">
            <v>07002</v>
          </cell>
          <cell r="B35" t="str">
            <v>Dayton</v>
          </cell>
          <cell r="C35">
            <v>208</v>
          </cell>
          <cell r="D35" t="str">
            <v>Not Participating</v>
          </cell>
          <cell r="F35" t="str">
            <v>N</v>
          </cell>
        </row>
        <row r="36">
          <cell r="A36" t="str">
            <v>14099</v>
          </cell>
          <cell r="B36" t="str">
            <v>Cosmopolis</v>
          </cell>
          <cell r="C36">
            <v>277</v>
          </cell>
          <cell r="D36" t="str">
            <v>Not Participating</v>
          </cell>
          <cell r="F36" t="str">
            <v>N</v>
          </cell>
        </row>
        <row r="37">
          <cell r="A37" t="str">
            <v>21036</v>
          </cell>
          <cell r="B37" t="str">
            <v>Evaline</v>
          </cell>
          <cell r="C37">
            <v>277</v>
          </cell>
          <cell r="D37" t="str">
            <v>Not Participating</v>
          </cell>
          <cell r="F37" t="str">
            <v>N</v>
          </cell>
        </row>
        <row r="38">
          <cell r="A38" t="str">
            <v>13167</v>
          </cell>
          <cell r="B38" t="str">
            <v>Wilson Creek</v>
          </cell>
          <cell r="C38">
            <v>277</v>
          </cell>
          <cell r="D38" t="str">
            <v>Not Participating</v>
          </cell>
          <cell r="F38" t="str">
            <v>N</v>
          </cell>
        </row>
        <row r="39">
          <cell r="A39" t="str">
            <v>32123</v>
          </cell>
          <cell r="B39" t="str">
            <v>Orchard Prairie</v>
          </cell>
          <cell r="C39">
            <v>323</v>
          </cell>
          <cell r="D39" t="str">
            <v>Not Participating</v>
          </cell>
          <cell r="F39" t="str">
            <v>N</v>
          </cell>
        </row>
        <row r="40">
          <cell r="A40" t="str">
            <v>14065</v>
          </cell>
          <cell r="B40" t="str">
            <v>Mc Cleary</v>
          </cell>
          <cell r="C40">
            <v>347</v>
          </cell>
          <cell r="D40" t="str">
            <v>Not Participating</v>
          </cell>
          <cell r="F40" t="str">
            <v>N</v>
          </cell>
        </row>
        <row r="41">
          <cell r="A41" t="str">
            <v>19400</v>
          </cell>
          <cell r="B41" t="str">
            <v>Thorp</v>
          </cell>
          <cell r="C41">
            <v>370</v>
          </cell>
          <cell r="D41" t="str">
            <v>Not Participating</v>
          </cell>
          <cell r="F41" t="str">
            <v>N</v>
          </cell>
        </row>
        <row r="42">
          <cell r="A42" t="str">
            <v>06103</v>
          </cell>
          <cell r="B42" t="str">
            <v>Green Mountain</v>
          </cell>
          <cell r="C42">
            <v>416</v>
          </cell>
          <cell r="D42" t="str">
            <v>Not Participating</v>
          </cell>
          <cell r="F42" t="str">
            <v>N</v>
          </cell>
        </row>
        <row r="43">
          <cell r="A43" t="str">
            <v>33207</v>
          </cell>
          <cell r="B43" t="str">
            <v>Mary Walker</v>
          </cell>
          <cell r="C43">
            <v>416</v>
          </cell>
          <cell r="D43" t="str">
            <v>Not Participating</v>
          </cell>
          <cell r="F43" t="str">
            <v>N</v>
          </cell>
        </row>
        <row r="44">
          <cell r="A44" t="str">
            <v>17917</v>
          </cell>
          <cell r="B44" t="str">
            <v>Why Not You Academy Charter</v>
          </cell>
          <cell r="C44">
            <v>440</v>
          </cell>
          <cell r="D44" t="str">
            <v>Not Participating</v>
          </cell>
          <cell r="F44" t="str">
            <v>N</v>
          </cell>
        </row>
        <row r="45">
          <cell r="A45" t="str">
            <v>38901</v>
          </cell>
          <cell r="B45" t="str">
            <v>Pullman Community Montessori Charter</v>
          </cell>
          <cell r="C45">
            <v>509</v>
          </cell>
          <cell r="D45" t="str">
            <v>Not Participating</v>
          </cell>
          <cell r="F45" t="str">
            <v>N</v>
          </cell>
        </row>
        <row r="46">
          <cell r="A46" t="str">
            <v>33212</v>
          </cell>
          <cell r="B46" t="str">
            <v>Kettle Falls</v>
          </cell>
          <cell r="C46">
            <v>531</v>
          </cell>
          <cell r="D46" t="str">
            <v>Not Participating</v>
          </cell>
          <cell r="F46" t="str">
            <v>N</v>
          </cell>
        </row>
        <row r="47">
          <cell r="A47" t="str">
            <v>31330</v>
          </cell>
          <cell r="B47" t="str">
            <v>Darrington</v>
          </cell>
          <cell r="C47">
            <v>602</v>
          </cell>
          <cell r="D47" t="str">
            <v>Not Participating</v>
          </cell>
          <cell r="F47" t="str">
            <v>N</v>
          </cell>
        </row>
        <row r="48">
          <cell r="A48" t="str">
            <v>15206</v>
          </cell>
          <cell r="B48" t="str">
            <v>South Whidbey</v>
          </cell>
          <cell r="C48">
            <v>624</v>
          </cell>
          <cell r="D48" t="str">
            <v>Not Participating</v>
          </cell>
          <cell r="F48" t="str">
            <v>N</v>
          </cell>
        </row>
        <row r="49">
          <cell r="A49" t="str">
            <v>09207</v>
          </cell>
          <cell r="B49" t="str">
            <v>Mansfield</v>
          </cell>
          <cell r="C49">
            <v>693</v>
          </cell>
          <cell r="D49" t="str">
            <v>Not Participating</v>
          </cell>
          <cell r="F49" t="str">
            <v>N</v>
          </cell>
        </row>
        <row r="50">
          <cell r="A50" t="str">
            <v>19028</v>
          </cell>
          <cell r="B50" t="str">
            <v>Easton</v>
          </cell>
          <cell r="C50">
            <v>925</v>
          </cell>
          <cell r="D50" t="str">
            <v>Not Participating</v>
          </cell>
          <cell r="F50" t="str">
            <v>N</v>
          </cell>
        </row>
        <row r="51">
          <cell r="A51" t="str">
            <v>21234</v>
          </cell>
          <cell r="B51" t="str">
            <v>Boistfort</v>
          </cell>
          <cell r="C51">
            <v>971</v>
          </cell>
          <cell r="D51" t="str">
            <v>Not Participating</v>
          </cell>
          <cell r="F51" t="str">
            <v>N</v>
          </cell>
        </row>
        <row r="52">
          <cell r="A52" t="str">
            <v>23404</v>
          </cell>
          <cell r="B52" t="str">
            <v>Hood Canal</v>
          </cell>
          <cell r="C52">
            <v>971</v>
          </cell>
          <cell r="D52" t="str">
            <v>Not Participating</v>
          </cell>
          <cell r="F52" t="str">
            <v>N</v>
          </cell>
        </row>
        <row r="53">
          <cell r="A53" t="str">
            <v>25160</v>
          </cell>
          <cell r="B53" t="str">
            <v>Willapa Valley</v>
          </cell>
          <cell r="C53">
            <v>1109</v>
          </cell>
          <cell r="D53" t="str">
            <v>Not Participating</v>
          </cell>
          <cell r="F53" t="str">
            <v>N</v>
          </cell>
        </row>
        <row r="54">
          <cell r="A54" t="str">
            <v>20406</v>
          </cell>
          <cell r="B54" t="str">
            <v>Lyle</v>
          </cell>
          <cell r="C54">
            <v>1132</v>
          </cell>
          <cell r="D54" t="str">
            <v>Not Participating</v>
          </cell>
          <cell r="F54" t="str">
            <v>N</v>
          </cell>
        </row>
        <row r="55">
          <cell r="A55" t="str">
            <v>09102</v>
          </cell>
          <cell r="B55" t="str">
            <v>Palisades</v>
          </cell>
          <cell r="C55">
            <v>1133</v>
          </cell>
          <cell r="D55" t="str">
            <v>Not Participating</v>
          </cell>
          <cell r="F55" t="str">
            <v>N</v>
          </cell>
        </row>
        <row r="56">
          <cell r="A56" t="str">
            <v>21237</v>
          </cell>
          <cell r="B56" t="str">
            <v>Toledo</v>
          </cell>
          <cell r="C56">
            <v>1155</v>
          </cell>
          <cell r="D56" t="str">
            <v>Not Participating</v>
          </cell>
          <cell r="F56" t="str">
            <v>N</v>
          </cell>
        </row>
        <row r="57">
          <cell r="A57" t="str">
            <v>22009</v>
          </cell>
          <cell r="B57" t="str">
            <v>Reardan</v>
          </cell>
          <cell r="C57">
            <v>1317</v>
          </cell>
          <cell r="D57" t="str">
            <v>Not Participating</v>
          </cell>
          <cell r="F57" t="str">
            <v>N</v>
          </cell>
        </row>
        <row r="58">
          <cell r="A58" t="str">
            <v>34402</v>
          </cell>
          <cell r="B58" t="str">
            <v>Tenino</v>
          </cell>
          <cell r="C58">
            <v>1341</v>
          </cell>
          <cell r="D58" t="str">
            <v>Not Participating</v>
          </cell>
          <cell r="F58" t="str">
            <v>N</v>
          </cell>
        </row>
        <row r="59">
          <cell r="A59" t="str">
            <v>32325</v>
          </cell>
          <cell r="B59" t="str">
            <v>Nine Mile Falls</v>
          </cell>
          <cell r="C59">
            <v>1571</v>
          </cell>
          <cell r="D59" t="str">
            <v>Not Participating</v>
          </cell>
          <cell r="F59" t="str">
            <v>N</v>
          </cell>
        </row>
        <row r="60">
          <cell r="A60" t="str">
            <v>09209</v>
          </cell>
          <cell r="B60" t="str">
            <v>Waterville</v>
          </cell>
          <cell r="C60">
            <v>1781</v>
          </cell>
          <cell r="D60" t="str">
            <v>Not Participating</v>
          </cell>
          <cell r="F60" t="str">
            <v>N</v>
          </cell>
        </row>
        <row r="61">
          <cell r="A61" t="str">
            <v>20400</v>
          </cell>
          <cell r="B61" t="str">
            <v>Trout Lake</v>
          </cell>
          <cell r="C61">
            <v>1918</v>
          </cell>
          <cell r="D61" t="str">
            <v>Not Participating</v>
          </cell>
          <cell r="F61" t="str">
            <v>N</v>
          </cell>
        </row>
        <row r="62">
          <cell r="A62" t="str">
            <v>27905</v>
          </cell>
          <cell r="B62" t="str">
            <v>Summit Olympus Charter</v>
          </cell>
          <cell r="C62">
            <v>2104</v>
          </cell>
          <cell r="D62" t="str">
            <v>Not Participating</v>
          </cell>
          <cell r="F62" t="str">
            <v>N</v>
          </cell>
        </row>
        <row r="63">
          <cell r="A63" t="str">
            <v>27404</v>
          </cell>
          <cell r="B63" t="str">
            <v>Eatonville</v>
          </cell>
          <cell r="C63">
            <v>2195</v>
          </cell>
          <cell r="D63" t="str">
            <v>Not Participating</v>
          </cell>
          <cell r="F63" t="str">
            <v>N</v>
          </cell>
        </row>
        <row r="64">
          <cell r="A64" t="str">
            <v>35200</v>
          </cell>
          <cell r="B64" t="str">
            <v>Wahkiakum</v>
          </cell>
          <cell r="C64">
            <v>2288</v>
          </cell>
          <cell r="D64" t="str">
            <v>Not Participating</v>
          </cell>
          <cell r="F64" t="str">
            <v>N</v>
          </cell>
        </row>
        <row r="65">
          <cell r="A65" t="str">
            <v>33115</v>
          </cell>
          <cell r="B65" t="str">
            <v>Colville</v>
          </cell>
          <cell r="C65">
            <v>2403</v>
          </cell>
          <cell r="D65" t="str">
            <v>Not Participating</v>
          </cell>
          <cell r="F65" t="str">
            <v>N</v>
          </cell>
        </row>
        <row r="66">
          <cell r="A66" t="str">
            <v>16049</v>
          </cell>
          <cell r="B66" t="str">
            <v>Chimacum</v>
          </cell>
          <cell r="C66">
            <v>2450</v>
          </cell>
          <cell r="D66" t="str">
            <v>Not Participating</v>
          </cell>
          <cell r="F66" t="str">
            <v>N</v>
          </cell>
        </row>
        <row r="67">
          <cell r="A67" t="str">
            <v>21014</v>
          </cell>
          <cell r="B67" t="str">
            <v>Napavine</v>
          </cell>
          <cell r="C67">
            <v>2496</v>
          </cell>
          <cell r="D67" t="str">
            <v>Not Participating</v>
          </cell>
          <cell r="F67" t="str">
            <v>N</v>
          </cell>
        </row>
        <row r="68">
          <cell r="A68" t="str">
            <v>04901</v>
          </cell>
          <cell r="B68" t="str">
            <v>Pinnacle Prep Charter</v>
          </cell>
          <cell r="C68">
            <v>2588</v>
          </cell>
          <cell r="D68" t="str">
            <v>Not Participating</v>
          </cell>
          <cell r="F68" t="str">
            <v>N</v>
          </cell>
        </row>
        <row r="69">
          <cell r="A69" t="str">
            <v>32416</v>
          </cell>
          <cell r="B69" t="str">
            <v>Riverside</v>
          </cell>
          <cell r="C69">
            <v>2588</v>
          </cell>
          <cell r="D69" t="str">
            <v>Not Participating</v>
          </cell>
          <cell r="F69" t="str">
            <v>N</v>
          </cell>
        </row>
        <row r="70">
          <cell r="A70" t="str">
            <v>02250</v>
          </cell>
          <cell r="B70" t="str">
            <v>Clarkston</v>
          </cell>
          <cell r="C70">
            <v>2681</v>
          </cell>
          <cell r="D70" t="str">
            <v>Not Participating</v>
          </cell>
          <cell r="F70" t="str">
            <v>N</v>
          </cell>
        </row>
        <row r="71">
          <cell r="A71" t="str">
            <v>08401</v>
          </cell>
          <cell r="B71" t="str">
            <v>Castle Rock</v>
          </cell>
          <cell r="C71">
            <v>2865</v>
          </cell>
          <cell r="D71" t="str">
            <v>Not Participating</v>
          </cell>
          <cell r="F71" t="str">
            <v>N</v>
          </cell>
        </row>
        <row r="72">
          <cell r="A72" t="str">
            <v>21300</v>
          </cell>
          <cell r="B72" t="str">
            <v>Onalaska</v>
          </cell>
          <cell r="C72">
            <v>2912</v>
          </cell>
          <cell r="D72" t="str">
            <v>Not Participating</v>
          </cell>
          <cell r="F72" t="str">
            <v>N</v>
          </cell>
        </row>
        <row r="73">
          <cell r="A73" t="str">
            <v>32901</v>
          </cell>
          <cell r="B73" t="str">
            <v>Spokane Int'l Charter</v>
          </cell>
          <cell r="C73">
            <v>2982</v>
          </cell>
          <cell r="D73" t="str">
            <v>Not Participating</v>
          </cell>
          <cell r="F73" t="str">
            <v>N</v>
          </cell>
        </row>
        <row r="74">
          <cell r="A74" t="str">
            <v>30303</v>
          </cell>
          <cell r="B74" t="str">
            <v>Stevenson-Carson</v>
          </cell>
          <cell r="C74">
            <v>3027</v>
          </cell>
          <cell r="D74" t="str">
            <v>Not Participating</v>
          </cell>
          <cell r="F74" t="str">
            <v>N</v>
          </cell>
        </row>
        <row r="75">
          <cell r="A75" t="str">
            <v>32326</v>
          </cell>
          <cell r="B75" t="str">
            <v>Medical Lake</v>
          </cell>
          <cell r="C75">
            <v>3144</v>
          </cell>
          <cell r="D75" t="str">
            <v>Not Participating</v>
          </cell>
          <cell r="F75" t="str">
            <v>N</v>
          </cell>
        </row>
        <row r="76">
          <cell r="A76" t="str">
            <v>14066</v>
          </cell>
          <cell r="B76" t="str">
            <v>Montesano</v>
          </cell>
          <cell r="C76">
            <v>3235</v>
          </cell>
          <cell r="D76" t="str">
            <v>Not Participating</v>
          </cell>
          <cell r="F76" t="str">
            <v>N</v>
          </cell>
        </row>
        <row r="77">
          <cell r="A77" t="str">
            <v>32414</v>
          </cell>
          <cell r="B77" t="str">
            <v>Deer Park</v>
          </cell>
          <cell r="C77">
            <v>3467</v>
          </cell>
          <cell r="D77" t="str">
            <v>Not Participating</v>
          </cell>
          <cell r="F77" t="str">
            <v>N</v>
          </cell>
        </row>
        <row r="78">
          <cell r="A78" t="str">
            <v>24350</v>
          </cell>
          <cell r="B78" t="str">
            <v>Methow Valley</v>
          </cell>
          <cell r="C78">
            <v>3513</v>
          </cell>
          <cell r="D78" t="str">
            <v>Not Participating</v>
          </cell>
          <cell r="F78" t="str">
            <v>N</v>
          </cell>
        </row>
        <row r="79">
          <cell r="A79" t="str">
            <v>08402</v>
          </cell>
          <cell r="B79" t="str">
            <v>Kalama</v>
          </cell>
          <cell r="C79">
            <v>4183</v>
          </cell>
          <cell r="D79" t="str">
            <v>Not Participating</v>
          </cell>
          <cell r="F79" t="str">
            <v>N</v>
          </cell>
        </row>
        <row r="80">
          <cell r="A80" t="str">
            <v>24122</v>
          </cell>
          <cell r="B80" t="str">
            <v>Pateros</v>
          </cell>
          <cell r="C80">
            <v>4392</v>
          </cell>
          <cell r="D80" t="str">
            <v>Not Participating</v>
          </cell>
          <cell r="F80" t="str">
            <v>N</v>
          </cell>
        </row>
        <row r="81">
          <cell r="A81" t="str">
            <v>19403</v>
          </cell>
          <cell r="B81" t="str">
            <v>Kittitas</v>
          </cell>
          <cell r="C81">
            <v>4461</v>
          </cell>
          <cell r="D81" t="str">
            <v>Not Participating</v>
          </cell>
          <cell r="F81" t="str">
            <v>N</v>
          </cell>
        </row>
        <row r="82">
          <cell r="A82" t="str">
            <v>23402</v>
          </cell>
          <cell r="B82" t="str">
            <v>Pioneer</v>
          </cell>
          <cell r="C82">
            <v>4669</v>
          </cell>
          <cell r="D82" t="str">
            <v>Not Participating</v>
          </cell>
          <cell r="F82" t="str">
            <v>N</v>
          </cell>
        </row>
        <row r="83">
          <cell r="A83" t="str">
            <v>23311</v>
          </cell>
          <cell r="B83" t="str">
            <v>Mary M Knight</v>
          </cell>
          <cell r="C83">
            <v>4737</v>
          </cell>
          <cell r="D83" t="str">
            <v>Not Participating</v>
          </cell>
          <cell r="F83" t="str">
            <v>N</v>
          </cell>
        </row>
        <row r="84">
          <cell r="A84" t="str">
            <v>15204</v>
          </cell>
          <cell r="B84" t="str">
            <v>Coupeville</v>
          </cell>
          <cell r="C84">
            <v>4969</v>
          </cell>
          <cell r="D84" t="str">
            <v>Not Participating</v>
          </cell>
          <cell r="F84" t="str">
            <v>N</v>
          </cell>
        </row>
        <row r="85">
          <cell r="A85" t="str">
            <v>16050</v>
          </cell>
          <cell r="B85" t="str">
            <v>Port Townsend</v>
          </cell>
          <cell r="C85">
            <v>5062</v>
          </cell>
          <cell r="D85" t="str">
            <v>Not Participating</v>
          </cell>
          <cell r="F85" t="str">
            <v>N</v>
          </cell>
        </row>
        <row r="86">
          <cell r="A86" t="str">
            <v>18303</v>
          </cell>
          <cell r="B86" t="str">
            <v>Bainbridge</v>
          </cell>
          <cell r="C86">
            <v>5478</v>
          </cell>
          <cell r="D86" t="str">
            <v>Not Participating</v>
          </cell>
          <cell r="F86" t="str">
            <v>N</v>
          </cell>
        </row>
        <row r="87">
          <cell r="A87" t="str">
            <v>14064</v>
          </cell>
          <cell r="B87" t="str">
            <v>North Beach</v>
          </cell>
          <cell r="C87">
            <v>5501</v>
          </cell>
          <cell r="D87" t="str">
            <v>Not Participating</v>
          </cell>
          <cell r="F87" t="str">
            <v>N</v>
          </cell>
        </row>
        <row r="88">
          <cell r="A88" t="str">
            <v>33070</v>
          </cell>
          <cell r="B88" t="str">
            <v>Valley</v>
          </cell>
          <cell r="C88">
            <v>5664</v>
          </cell>
          <cell r="D88" t="str">
            <v>Not Participating</v>
          </cell>
          <cell r="F88" t="str">
            <v>N</v>
          </cell>
        </row>
        <row r="89">
          <cell r="A89" t="str">
            <v>06101</v>
          </cell>
          <cell r="B89" t="str">
            <v>Lacenter</v>
          </cell>
          <cell r="C89">
            <v>6217</v>
          </cell>
          <cell r="D89" t="str">
            <v>Not Participating</v>
          </cell>
          <cell r="F89" t="str">
            <v>N</v>
          </cell>
        </row>
        <row r="90">
          <cell r="A90" t="str">
            <v>17902</v>
          </cell>
          <cell r="B90" t="str">
            <v>Summit Sierra Charter</v>
          </cell>
          <cell r="C90">
            <v>6541</v>
          </cell>
          <cell r="D90" t="str">
            <v>Not Participating</v>
          </cell>
          <cell r="F90" t="str">
            <v>N</v>
          </cell>
        </row>
        <row r="91">
          <cell r="A91" t="str">
            <v>29103</v>
          </cell>
          <cell r="B91" t="str">
            <v>Anacortes</v>
          </cell>
          <cell r="C91">
            <v>6657</v>
          </cell>
          <cell r="D91" t="str">
            <v>Not Participating</v>
          </cell>
          <cell r="F91" t="str">
            <v>N</v>
          </cell>
        </row>
        <row r="92">
          <cell r="A92" t="str">
            <v>05323</v>
          </cell>
          <cell r="B92" t="str">
            <v>Sequim</v>
          </cell>
          <cell r="C92">
            <v>6749</v>
          </cell>
          <cell r="D92" t="str">
            <v>Not Participating</v>
          </cell>
          <cell r="F92" t="str">
            <v>N</v>
          </cell>
        </row>
        <row r="93">
          <cell r="A93" t="str">
            <v>04127</v>
          </cell>
          <cell r="B93" t="str">
            <v>Entiat</v>
          </cell>
          <cell r="C93">
            <v>7027</v>
          </cell>
          <cell r="D93" t="str">
            <v>Not Participating</v>
          </cell>
          <cell r="F93" t="str">
            <v>N</v>
          </cell>
        </row>
        <row r="94">
          <cell r="A94" t="str">
            <v>05121</v>
          </cell>
          <cell r="B94" t="str">
            <v>Port Angeles</v>
          </cell>
          <cell r="C94">
            <v>7974</v>
          </cell>
          <cell r="D94" t="str">
            <v>Not Participating</v>
          </cell>
          <cell r="F94" t="str">
            <v>N</v>
          </cell>
        </row>
        <row r="95">
          <cell r="A95" t="str">
            <v>24410</v>
          </cell>
          <cell r="B95" t="str">
            <v>Oroville</v>
          </cell>
          <cell r="C95">
            <v>8737</v>
          </cell>
          <cell r="D95" t="str">
            <v>Not Participating</v>
          </cell>
          <cell r="F95" t="str">
            <v>N</v>
          </cell>
        </row>
        <row r="96">
          <cell r="A96" t="str">
            <v>17905</v>
          </cell>
          <cell r="B96" t="str">
            <v>Summit Atlas Charter</v>
          </cell>
          <cell r="C96">
            <v>9915</v>
          </cell>
          <cell r="D96" t="str">
            <v>Not Participating</v>
          </cell>
          <cell r="F96" t="str">
            <v>N</v>
          </cell>
        </row>
        <row r="97">
          <cell r="A97" t="str">
            <v>17400</v>
          </cell>
          <cell r="B97" t="str">
            <v>Mercer Island</v>
          </cell>
          <cell r="C97">
            <v>16295</v>
          </cell>
          <cell r="D97"/>
          <cell r="E97">
            <v>0</v>
          </cell>
          <cell r="F97" t="str">
            <v>Y</v>
          </cell>
        </row>
        <row r="98">
          <cell r="A98" t="str">
            <v>39205</v>
          </cell>
          <cell r="B98" t="str">
            <v>Zillah</v>
          </cell>
          <cell r="C98">
            <v>21265</v>
          </cell>
          <cell r="D98"/>
          <cell r="E98">
            <v>0</v>
          </cell>
          <cell r="F98" t="str">
            <v>Y</v>
          </cell>
        </row>
        <row r="99">
          <cell r="A99" t="str">
            <v>29101</v>
          </cell>
          <cell r="B99" t="str">
            <v>Sedro Woolley</v>
          </cell>
          <cell r="C99">
            <v>55864</v>
          </cell>
          <cell r="D99"/>
          <cell r="E99">
            <v>0</v>
          </cell>
          <cell r="F99" t="str">
            <v>Y</v>
          </cell>
        </row>
        <row r="100">
          <cell r="A100" t="str">
            <v>18401</v>
          </cell>
          <cell r="B100" t="str">
            <v>Central Kitsap</v>
          </cell>
          <cell r="C100">
            <v>59238</v>
          </cell>
          <cell r="D100"/>
          <cell r="E100">
            <v>0</v>
          </cell>
          <cell r="F100" t="str">
            <v>Y</v>
          </cell>
        </row>
        <row r="101">
          <cell r="A101" t="str">
            <v>13161</v>
          </cell>
          <cell r="B101" t="str">
            <v>Moses Lake</v>
          </cell>
          <cell r="C101">
            <v>159549</v>
          </cell>
          <cell r="D101"/>
          <cell r="E101">
            <v>0</v>
          </cell>
          <cell r="F101" t="str">
            <v>Y</v>
          </cell>
        </row>
        <row r="102">
          <cell r="A102" t="str">
            <v>17408</v>
          </cell>
          <cell r="B102" t="str">
            <v>Auburn</v>
          </cell>
          <cell r="C102">
            <v>565205</v>
          </cell>
          <cell r="D102"/>
          <cell r="E102">
            <v>0</v>
          </cell>
          <cell r="F102" t="str">
            <v>C</v>
          </cell>
        </row>
        <row r="103">
          <cell r="A103" t="str">
            <v>27010</v>
          </cell>
          <cell r="B103" t="str">
            <v>Tacoma</v>
          </cell>
          <cell r="C103">
            <v>439243</v>
          </cell>
          <cell r="D103"/>
          <cell r="E103">
            <v>4</v>
          </cell>
          <cell r="F103" t="str">
            <v>Y</v>
          </cell>
        </row>
        <row r="104">
          <cell r="A104" t="str">
            <v>27400</v>
          </cell>
          <cell r="B104" t="str">
            <v>Clover Park</v>
          </cell>
          <cell r="C104">
            <v>229997</v>
          </cell>
          <cell r="D104"/>
          <cell r="E104">
            <v>8</v>
          </cell>
          <cell r="F104" t="str">
            <v>Y</v>
          </cell>
        </row>
        <row r="105">
          <cell r="A105" t="str">
            <v>03017</v>
          </cell>
          <cell r="B105" t="str">
            <v>Kennewick</v>
          </cell>
          <cell r="C105">
            <v>370223</v>
          </cell>
          <cell r="D105"/>
          <cell r="E105">
            <v>8</v>
          </cell>
          <cell r="F105" t="str">
            <v>Y</v>
          </cell>
        </row>
        <row r="106">
          <cell r="A106" t="str">
            <v>29320</v>
          </cell>
          <cell r="B106" t="str">
            <v>Mt Vernon</v>
          </cell>
          <cell r="C106">
            <v>220799</v>
          </cell>
          <cell r="D106"/>
          <cell r="E106">
            <v>10</v>
          </cell>
          <cell r="F106" t="str">
            <v>C</v>
          </cell>
        </row>
        <row r="107">
          <cell r="A107" t="str">
            <v>17401</v>
          </cell>
          <cell r="B107" t="str">
            <v>Highline</v>
          </cell>
          <cell r="C107">
            <v>813092</v>
          </cell>
          <cell r="D107"/>
          <cell r="E107">
            <v>32</v>
          </cell>
          <cell r="F107" t="str">
            <v>Y</v>
          </cell>
        </row>
        <row r="108">
          <cell r="A108" t="str">
            <v>06119</v>
          </cell>
          <cell r="B108" t="str">
            <v>Battle Ground</v>
          </cell>
          <cell r="C108">
            <v>111773</v>
          </cell>
          <cell r="D108"/>
          <cell r="E108">
            <v>38</v>
          </cell>
          <cell r="F108" t="str">
            <v>Y</v>
          </cell>
        </row>
        <row r="109">
          <cell r="A109" t="str">
            <v>24105</v>
          </cell>
          <cell r="B109" t="str">
            <v>Okanogan</v>
          </cell>
          <cell r="C109">
            <v>10054</v>
          </cell>
          <cell r="D109"/>
          <cell r="F109" t="str">
            <v>Y</v>
          </cell>
        </row>
        <row r="110">
          <cell r="A110" t="str">
            <v>39003</v>
          </cell>
          <cell r="B110" t="str">
            <v>Naches Valley</v>
          </cell>
          <cell r="C110">
            <v>10215</v>
          </cell>
          <cell r="D110"/>
          <cell r="F110" t="str">
            <v>Y</v>
          </cell>
        </row>
        <row r="111">
          <cell r="A111" t="str">
            <v>17402</v>
          </cell>
          <cell r="B111" t="str">
            <v>Vashon Island</v>
          </cell>
          <cell r="C111">
            <v>10216</v>
          </cell>
          <cell r="D111"/>
          <cell r="F111" t="str">
            <v>Y</v>
          </cell>
        </row>
        <row r="112">
          <cell r="A112" t="str">
            <v>27344</v>
          </cell>
          <cell r="B112" t="str">
            <v>Orting</v>
          </cell>
          <cell r="C112">
            <v>10632</v>
          </cell>
          <cell r="D112"/>
          <cell r="F112" t="str">
            <v>Y</v>
          </cell>
        </row>
        <row r="113">
          <cell r="A113" t="str">
            <v>06112</v>
          </cell>
          <cell r="B113" t="str">
            <v>Washougal</v>
          </cell>
          <cell r="C113">
            <v>10748</v>
          </cell>
          <cell r="D113"/>
          <cell r="F113" t="str">
            <v>Y</v>
          </cell>
        </row>
        <row r="114">
          <cell r="A114" t="str">
            <v>20404</v>
          </cell>
          <cell r="B114" t="str">
            <v>Goldendale</v>
          </cell>
          <cell r="C114">
            <v>11001</v>
          </cell>
          <cell r="D114"/>
          <cell r="F114" t="str">
            <v>C</v>
          </cell>
        </row>
        <row r="115">
          <cell r="A115" t="str">
            <v>31332</v>
          </cell>
          <cell r="B115" t="str">
            <v>Granite Falls</v>
          </cell>
          <cell r="C115">
            <v>11326</v>
          </cell>
          <cell r="D115"/>
          <cell r="F115" t="str">
            <v>Y</v>
          </cell>
        </row>
        <row r="116">
          <cell r="A116" t="str">
            <v>25118</v>
          </cell>
          <cell r="B116" t="str">
            <v>South Bend</v>
          </cell>
          <cell r="C116">
            <v>12481</v>
          </cell>
          <cell r="D116"/>
          <cell r="F116" t="str">
            <v>Y</v>
          </cell>
        </row>
        <row r="117">
          <cell r="A117" t="str">
            <v>36402</v>
          </cell>
          <cell r="B117" t="str">
            <v>Prescott</v>
          </cell>
          <cell r="C117">
            <v>12643</v>
          </cell>
          <cell r="D117"/>
          <cell r="F117" t="str">
            <v>C</v>
          </cell>
        </row>
        <row r="118">
          <cell r="A118" t="str">
            <v>13156</v>
          </cell>
          <cell r="B118" t="str">
            <v>Soap Lake</v>
          </cell>
          <cell r="C118">
            <v>12921</v>
          </cell>
          <cell r="D118"/>
          <cell r="F118" t="str">
            <v>Y</v>
          </cell>
        </row>
        <row r="119">
          <cell r="A119" t="str">
            <v>14028</v>
          </cell>
          <cell r="B119" t="str">
            <v>Hoquiam</v>
          </cell>
          <cell r="C119">
            <v>13405</v>
          </cell>
          <cell r="D119"/>
          <cell r="F119" t="str">
            <v>Y</v>
          </cell>
        </row>
        <row r="120">
          <cell r="A120" t="str">
            <v>37503</v>
          </cell>
          <cell r="B120" t="str">
            <v>Blaine</v>
          </cell>
          <cell r="C120">
            <v>13498</v>
          </cell>
          <cell r="D120"/>
          <cell r="F120" t="str">
            <v>Y</v>
          </cell>
        </row>
        <row r="121">
          <cell r="A121" t="str">
            <v>32361</v>
          </cell>
          <cell r="B121" t="str">
            <v>East Valley (Spok</v>
          </cell>
          <cell r="C121">
            <v>13891</v>
          </cell>
          <cell r="D121"/>
          <cell r="F121" t="str">
            <v>Y</v>
          </cell>
        </row>
        <row r="122">
          <cell r="A122" t="str">
            <v>17908</v>
          </cell>
          <cell r="B122" t="str">
            <v>Rainier Prep Charter</v>
          </cell>
          <cell r="C122">
            <v>13983</v>
          </cell>
          <cell r="D122"/>
          <cell r="F122" t="str">
            <v>Y</v>
          </cell>
        </row>
        <row r="123">
          <cell r="A123" t="str">
            <v>32363</v>
          </cell>
          <cell r="B123" t="str">
            <v>West Valley (Spok</v>
          </cell>
          <cell r="C123">
            <v>14585</v>
          </cell>
          <cell r="D123"/>
          <cell r="F123" t="str">
            <v>Y</v>
          </cell>
        </row>
        <row r="124">
          <cell r="A124" t="str">
            <v>27001</v>
          </cell>
          <cell r="B124" t="str">
            <v>Steilacoom Hist.</v>
          </cell>
          <cell r="C124">
            <v>14931</v>
          </cell>
          <cell r="D124"/>
          <cell r="F124" t="str">
            <v>Y</v>
          </cell>
        </row>
        <row r="125">
          <cell r="A125" t="str">
            <v>13301</v>
          </cell>
          <cell r="B125" t="str">
            <v>Grand Coulee Dam</v>
          </cell>
          <cell r="C125">
            <v>15555</v>
          </cell>
          <cell r="D125"/>
          <cell r="F125" t="str">
            <v>Y</v>
          </cell>
        </row>
        <row r="126">
          <cell r="A126" t="str">
            <v>06122</v>
          </cell>
          <cell r="B126" t="str">
            <v>Ridgefield</v>
          </cell>
          <cell r="C126">
            <v>16132</v>
          </cell>
          <cell r="D126"/>
          <cell r="F126" t="str">
            <v>Y</v>
          </cell>
        </row>
        <row r="127">
          <cell r="A127" t="str">
            <v>21302</v>
          </cell>
          <cell r="B127" t="str">
            <v>Chehalis</v>
          </cell>
          <cell r="C127">
            <v>16295</v>
          </cell>
          <cell r="D127"/>
          <cell r="F127" t="str">
            <v>Y</v>
          </cell>
        </row>
        <row r="128">
          <cell r="A128" t="str">
            <v>33049</v>
          </cell>
          <cell r="B128" t="str">
            <v>Wellpinit</v>
          </cell>
          <cell r="C128">
            <v>16618</v>
          </cell>
          <cell r="D128"/>
          <cell r="F128" t="str">
            <v>Y</v>
          </cell>
        </row>
        <row r="129">
          <cell r="A129" t="str">
            <v>27416</v>
          </cell>
          <cell r="B129" t="str">
            <v>White River</v>
          </cell>
          <cell r="C129">
            <v>16804</v>
          </cell>
          <cell r="D129"/>
          <cell r="F129" t="str">
            <v>Y</v>
          </cell>
        </row>
        <row r="130">
          <cell r="A130" t="str">
            <v>38267</v>
          </cell>
          <cell r="B130" t="str">
            <v>Pullman</v>
          </cell>
          <cell r="C130">
            <v>16849</v>
          </cell>
          <cell r="D130"/>
          <cell r="F130" t="str">
            <v>Y</v>
          </cell>
        </row>
        <row r="131">
          <cell r="A131" t="str">
            <v>14068</v>
          </cell>
          <cell r="B131" t="str">
            <v>Elma</v>
          </cell>
          <cell r="C131">
            <v>17451</v>
          </cell>
          <cell r="D131"/>
          <cell r="F131" t="str">
            <v>Y</v>
          </cell>
        </row>
        <row r="132">
          <cell r="A132" t="str">
            <v>37507</v>
          </cell>
          <cell r="B132" t="str">
            <v>Mount Baker</v>
          </cell>
          <cell r="C132">
            <v>17959</v>
          </cell>
          <cell r="D132"/>
          <cell r="F132" t="str">
            <v>Y</v>
          </cell>
        </row>
        <row r="133">
          <cell r="A133" t="str">
            <v>24404</v>
          </cell>
          <cell r="B133" t="str">
            <v>Tonasket</v>
          </cell>
          <cell r="C133">
            <v>17982</v>
          </cell>
          <cell r="D133"/>
          <cell r="F133" t="str">
            <v>Y</v>
          </cell>
        </row>
        <row r="134">
          <cell r="A134" t="str">
            <v>34033</v>
          </cell>
          <cell r="B134" t="str">
            <v>Tumwater</v>
          </cell>
          <cell r="C134">
            <v>18375</v>
          </cell>
          <cell r="D134"/>
          <cell r="F134" t="str">
            <v>Y</v>
          </cell>
        </row>
        <row r="135">
          <cell r="A135" t="str">
            <v>36400</v>
          </cell>
          <cell r="B135" t="str">
            <v>Columbia (Walla)</v>
          </cell>
          <cell r="C135">
            <v>18466</v>
          </cell>
          <cell r="D135"/>
          <cell r="F135" t="str">
            <v>Y</v>
          </cell>
        </row>
        <row r="136">
          <cell r="A136" t="str">
            <v>04228</v>
          </cell>
          <cell r="B136" t="str">
            <v>Cascade</v>
          </cell>
          <cell r="C136">
            <v>18583</v>
          </cell>
          <cell r="D136"/>
          <cell r="F136" t="str">
            <v>Y</v>
          </cell>
        </row>
        <row r="137">
          <cell r="A137" t="str">
            <v>31401</v>
          </cell>
          <cell r="B137" t="str">
            <v>Stanwood</v>
          </cell>
          <cell r="C137">
            <v>18837</v>
          </cell>
          <cell r="D137"/>
          <cell r="F137" t="str">
            <v>Y</v>
          </cell>
        </row>
        <row r="138">
          <cell r="A138" t="str">
            <v>17911</v>
          </cell>
          <cell r="B138" t="str">
            <v>Impact Puget Sound Elementry Charter</v>
          </cell>
          <cell r="C138">
            <v>21311</v>
          </cell>
          <cell r="D138"/>
          <cell r="F138" t="str">
            <v>C</v>
          </cell>
        </row>
        <row r="139">
          <cell r="A139" t="str">
            <v>29311</v>
          </cell>
          <cell r="B139" t="str">
            <v>La Conner</v>
          </cell>
          <cell r="C139">
            <v>22256</v>
          </cell>
          <cell r="D139"/>
          <cell r="F139" t="str">
            <v>Y</v>
          </cell>
        </row>
        <row r="140">
          <cell r="A140" t="str">
            <v>39002</v>
          </cell>
          <cell r="B140" t="str">
            <v>Union Gap</v>
          </cell>
          <cell r="C140">
            <v>22928</v>
          </cell>
          <cell r="D140"/>
          <cell r="F140" t="str">
            <v>Y</v>
          </cell>
        </row>
        <row r="141">
          <cell r="A141" t="str">
            <v>03053</v>
          </cell>
          <cell r="B141" t="str">
            <v>Finley</v>
          </cell>
          <cell r="C141">
            <v>23460</v>
          </cell>
          <cell r="D141"/>
          <cell r="F141" t="str">
            <v>Y</v>
          </cell>
        </row>
        <row r="142">
          <cell r="A142" t="str">
            <v>34002</v>
          </cell>
          <cell r="B142" t="str">
            <v>Yelm</v>
          </cell>
          <cell r="C142">
            <v>25194</v>
          </cell>
          <cell r="D142"/>
          <cell r="F142" t="str">
            <v>Y</v>
          </cell>
        </row>
        <row r="143">
          <cell r="A143" t="str">
            <v>20405</v>
          </cell>
          <cell r="B143" t="str">
            <v>White Salmon</v>
          </cell>
          <cell r="C143">
            <v>26048</v>
          </cell>
          <cell r="D143"/>
          <cell r="F143" t="str">
            <v>Y</v>
          </cell>
        </row>
        <row r="144">
          <cell r="A144" t="str">
            <v>04222</v>
          </cell>
          <cell r="B144" t="str">
            <v>Cashmere</v>
          </cell>
          <cell r="C144">
            <v>26117</v>
          </cell>
          <cell r="D144"/>
          <cell r="F144" t="str">
            <v>Y</v>
          </cell>
        </row>
        <row r="145">
          <cell r="A145" t="str">
            <v>17407</v>
          </cell>
          <cell r="B145" t="str">
            <v>Riverview</v>
          </cell>
          <cell r="C145">
            <v>27204</v>
          </cell>
          <cell r="D145"/>
          <cell r="F145" t="str">
            <v>Y</v>
          </cell>
        </row>
        <row r="146">
          <cell r="A146" t="str">
            <v>06117</v>
          </cell>
          <cell r="B146" t="str">
            <v>Camas</v>
          </cell>
          <cell r="C146">
            <v>27343</v>
          </cell>
          <cell r="D146"/>
          <cell r="F146" t="str">
            <v>Y</v>
          </cell>
        </row>
        <row r="147">
          <cell r="A147" t="str">
            <v>37505</v>
          </cell>
          <cell r="B147" t="str">
            <v>Meridian</v>
          </cell>
          <cell r="C147">
            <v>27620</v>
          </cell>
          <cell r="D147"/>
          <cell r="F147" t="str">
            <v>Y</v>
          </cell>
        </row>
        <row r="148">
          <cell r="A148" t="str">
            <v>27401</v>
          </cell>
          <cell r="B148" t="str">
            <v>Peninsula</v>
          </cell>
          <cell r="C148">
            <v>28753</v>
          </cell>
          <cell r="D148"/>
          <cell r="F148" t="str">
            <v>Y</v>
          </cell>
        </row>
        <row r="149">
          <cell r="A149" t="str">
            <v>08404</v>
          </cell>
          <cell r="B149" t="str">
            <v>Woodland</v>
          </cell>
          <cell r="C149">
            <v>28914</v>
          </cell>
          <cell r="D149"/>
          <cell r="F149" t="str">
            <v>Y</v>
          </cell>
        </row>
        <row r="150">
          <cell r="A150" t="str">
            <v>31306</v>
          </cell>
          <cell r="B150" t="str">
            <v>Lakewood</v>
          </cell>
          <cell r="C150">
            <v>29978</v>
          </cell>
          <cell r="D150"/>
          <cell r="F150" t="str">
            <v>Y</v>
          </cell>
        </row>
        <row r="151">
          <cell r="A151" t="str">
            <v>04019</v>
          </cell>
          <cell r="B151" t="str">
            <v>Manson</v>
          </cell>
          <cell r="C151">
            <v>30093</v>
          </cell>
          <cell r="D151"/>
          <cell r="F151" t="str">
            <v>Y</v>
          </cell>
        </row>
        <row r="152">
          <cell r="A152" t="str">
            <v>31311</v>
          </cell>
          <cell r="B152" t="str">
            <v>Sultan</v>
          </cell>
          <cell r="C152">
            <v>30509</v>
          </cell>
          <cell r="D152"/>
          <cell r="F152" t="str">
            <v>Y</v>
          </cell>
        </row>
        <row r="153">
          <cell r="A153" t="str">
            <v>19401</v>
          </cell>
          <cell r="B153" t="str">
            <v>Ellensburg</v>
          </cell>
          <cell r="C153">
            <v>32334</v>
          </cell>
          <cell r="D153"/>
          <cell r="F153" t="str">
            <v>Y</v>
          </cell>
        </row>
        <row r="154">
          <cell r="A154" t="str">
            <v>15201</v>
          </cell>
          <cell r="B154" t="str">
            <v>Oak Harbor</v>
          </cell>
          <cell r="C154">
            <v>32359</v>
          </cell>
          <cell r="D154"/>
          <cell r="F154" t="str">
            <v>Y</v>
          </cell>
        </row>
        <row r="155">
          <cell r="A155" t="str">
            <v>13146</v>
          </cell>
          <cell r="B155" t="str">
            <v>Warden</v>
          </cell>
          <cell r="C155">
            <v>32912</v>
          </cell>
          <cell r="D155"/>
          <cell r="F155" t="str">
            <v>Y</v>
          </cell>
        </row>
        <row r="156">
          <cell r="A156" t="str">
            <v>34401</v>
          </cell>
          <cell r="B156" t="str">
            <v>Rochester</v>
          </cell>
          <cell r="C156">
            <v>33930</v>
          </cell>
          <cell r="D156"/>
          <cell r="F156" t="str">
            <v>C</v>
          </cell>
        </row>
        <row r="157">
          <cell r="A157" t="str">
            <v>18400</v>
          </cell>
          <cell r="B157" t="str">
            <v>North Kitsap</v>
          </cell>
          <cell r="C157">
            <v>35662</v>
          </cell>
          <cell r="D157"/>
          <cell r="F157" t="str">
            <v>Y</v>
          </cell>
        </row>
        <row r="158">
          <cell r="A158" t="str">
            <v>32360</v>
          </cell>
          <cell r="B158" t="str">
            <v>Cheney</v>
          </cell>
          <cell r="C158">
            <v>35664</v>
          </cell>
          <cell r="D158"/>
          <cell r="F158" t="str">
            <v>Y</v>
          </cell>
        </row>
        <row r="159">
          <cell r="A159" t="str">
            <v>37506</v>
          </cell>
          <cell r="B159" t="str">
            <v>Nooksack Valley</v>
          </cell>
          <cell r="C159">
            <v>35686</v>
          </cell>
          <cell r="D159"/>
          <cell r="F159" t="str">
            <v>Y</v>
          </cell>
        </row>
        <row r="160">
          <cell r="A160" t="str">
            <v>17410</v>
          </cell>
          <cell r="B160" t="str">
            <v>Snoqualmie Valley</v>
          </cell>
          <cell r="C160">
            <v>35987</v>
          </cell>
          <cell r="D160"/>
          <cell r="F160" t="str">
            <v>Y</v>
          </cell>
        </row>
        <row r="161">
          <cell r="A161" t="str">
            <v>05402</v>
          </cell>
          <cell r="B161" t="str">
            <v>Quillayute Valley</v>
          </cell>
          <cell r="C161">
            <v>37928</v>
          </cell>
          <cell r="D161"/>
          <cell r="F161" t="str">
            <v>Y</v>
          </cell>
        </row>
        <row r="162">
          <cell r="A162" t="str">
            <v>24019</v>
          </cell>
          <cell r="B162" t="str">
            <v>Omak</v>
          </cell>
          <cell r="C162">
            <v>38204</v>
          </cell>
          <cell r="D162"/>
          <cell r="F162" t="str">
            <v>Y</v>
          </cell>
        </row>
        <row r="163">
          <cell r="A163" t="str">
            <v>31016</v>
          </cell>
          <cell r="B163" t="str">
            <v>Arlington</v>
          </cell>
          <cell r="C163">
            <v>38760</v>
          </cell>
          <cell r="D163"/>
          <cell r="F163" t="str">
            <v>Y</v>
          </cell>
        </row>
        <row r="164">
          <cell r="A164" t="str">
            <v>17216</v>
          </cell>
          <cell r="B164" t="str">
            <v>Enumclaw</v>
          </cell>
          <cell r="C164">
            <v>39638</v>
          </cell>
          <cell r="D164"/>
          <cell r="F164" t="str">
            <v>Y</v>
          </cell>
        </row>
        <row r="165">
          <cell r="A165" t="str">
            <v>18402</v>
          </cell>
          <cell r="B165" t="str">
            <v>South Kitsap</v>
          </cell>
          <cell r="C165">
            <v>39824</v>
          </cell>
          <cell r="D165"/>
          <cell r="F165" t="str">
            <v>Y</v>
          </cell>
        </row>
        <row r="166">
          <cell r="A166" t="str">
            <v>36250</v>
          </cell>
          <cell r="B166" t="str">
            <v>College Place</v>
          </cell>
          <cell r="C166">
            <v>40610</v>
          </cell>
          <cell r="D166"/>
          <cell r="F166" t="str">
            <v>Y</v>
          </cell>
        </row>
        <row r="167">
          <cell r="A167" t="str">
            <v>27083</v>
          </cell>
          <cell r="B167" t="str">
            <v>University Place</v>
          </cell>
          <cell r="C167">
            <v>41118</v>
          </cell>
          <cell r="D167"/>
          <cell r="F167" t="str">
            <v>Y</v>
          </cell>
        </row>
        <row r="168">
          <cell r="A168" t="str">
            <v>39203</v>
          </cell>
          <cell r="B168" t="str">
            <v>Highland</v>
          </cell>
          <cell r="C168">
            <v>41257</v>
          </cell>
          <cell r="D168"/>
          <cell r="F168" t="str">
            <v>Y</v>
          </cell>
        </row>
        <row r="169">
          <cell r="A169" t="str">
            <v>32354</v>
          </cell>
          <cell r="B169" t="str">
            <v>Mead</v>
          </cell>
          <cell r="C169">
            <v>43567</v>
          </cell>
          <cell r="D169"/>
          <cell r="F169" t="str">
            <v>Y</v>
          </cell>
        </row>
        <row r="170">
          <cell r="A170" t="str">
            <v>34111</v>
          </cell>
          <cell r="B170" t="str">
            <v>Olympia</v>
          </cell>
          <cell r="C170">
            <v>43591</v>
          </cell>
          <cell r="D170"/>
          <cell r="F170" t="str">
            <v>Y</v>
          </cell>
        </row>
        <row r="171">
          <cell r="A171" t="str">
            <v>24111</v>
          </cell>
          <cell r="B171" t="str">
            <v>Brewster</v>
          </cell>
          <cell r="C171">
            <v>45371</v>
          </cell>
          <cell r="D171"/>
          <cell r="F171" t="str">
            <v>Y</v>
          </cell>
        </row>
        <row r="172">
          <cell r="A172" t="str">
            <v>08458</v>
          </cell>
          <cell r="B172" t="str">
            <v>Kelso</v>
          </cell>
          <cell r="C172">
            <v>45532</v>
          </cell>
          <cell r="D172"/>
          <cell r="F172" t="str">
            <v>Y</v>
          </cell>
        </row>
        <row r="173">
          <cell r="A173" t="str">
            <v>23403</v>
          </cell>
          <cell r="B173" t="str">
            <v>North Mason</v>
          </cell>
          <cell r="C173">
            <v>46088</v>
          </cell>
          <cell r="D173"/>
          <cell r="F173" t="str">
            <v>Y</v>
          </cell>
        </row>
        <row r="174">
          <cell r="A174" t="str">
            <v>39120</v>
          </cell>
          <cell r="B174" t="str">
            <v>Mabton</v>
          </cell>
          <cell r="C174">
            <v>46318</v>
          </cell>
          <cell r="D174"/>
          <cell r="F174" t="str">
            <v>Y</v>
          </cell>
        </row>
        <row r="175">
          <cell r="A175" t="str">
            <v>37504</v>
          </cell>
          <cell r="B175" t="str">
            <v>Lynden</v>
          </cell>
          <cell r="C175">
            <v>48005</v>
          </cell>
          <cell r="D175"/>
          <cell r="F175" t="str">
            <v>Y</v>
          </cell>
        </row>
        <row r="176">
          <cell r="A176" t="str">
            <v>03052</v>
          </cell>
          <cell r="B176" t="str">
            <v>Kiona Benton</v>
          </cell>
          <cell r="C176">
            <v>48028</v>
          </cell>
          <cell r="D176"/>
          <cell r="F176" t="str">
            <v>Y</v>
          </cell>
        </row>
        <row r="177">
          <cell r="A177" t="str">
            <v>39090</v>
          </cell>
          <cell r="B177" t="str">
            <v>East Valley (Yak)</v>
          </cell>
          <cell r="C177">
            <v>48791</v>
          </cell>
          <cell r="D177"/>
          <cell r="F177" t="str">
            <v>Y</v>
          </cell>
        </row>
        <row r="178">
          <cell r="A178" t="str">
            <v>09075</v>
          </cell>
          <cell r="B178" t="str">
            <v>Bridgeport</v>
          </cell>
          <cell r="C178">
            <v>49577</v>
          </cell>
          <cell r="D178"/>
          <cell r="F178" t="str">
            <v>Y</v>
          </cell>
        </row>
        <row r="179">
          <cell r="A179" t="str">
            <v>04129</v>
          </cell>
          <cell r="B179" t="str">
            <v>Lake Chelan</v>
          </cell>
          <cell r="C179">
            <v>49855</v>
          </cell>
          <cell r="D179"/>
          <cell r="F179" t="str">
            <v>Y</v>
          </cell>
        </row>
        <row r="180">
          <cell r="A180" t="str">
            <v>37502</v>
          </cell>
          <cell r="B180" t="str">
            <v>Ferndale</v>
          </cell>
          <cell r="C180">
            <v>50063</v>
          </cell>
          <cell r="D180"/>
          <cell r="F180" t="str">
            <v>Y</v>
          </cell>
        </row>
        <row r="181">
          <cell r="A181" t="str">
            <v>17409</v>
          </cell>
          <cell r="B181" t="str">
            <v>Tahoma</v>
          </cell>
          <cell r="C181">
            <v>50455</v>
          </cell>
          <cell r="D181"/>
          <cell r="F181" t="str">
            <v>Y</v>
          </cell>
        </row>
        <row r="182">
          <cell r="A182" t="str">
            <v>13165</v>
          </cell>
          <cell r="B182" t="str">
            <v>Ephrata</v>
          </cell>
          <cell r="C182">
            <v>52397</v>
          </cell>
          <cell r="D182"/>
          <cell r="F182" t="str">
            <v>Y</v>
          </cell>
        </row>
        <row r="183">
          <cell r="A183" t="str">
            <v>39119</v>
          </cell>
          <cell r="B183" t="str">
            <v>Selah</v>
          </cell>
          <cell r="C183">
            <v>53645</v>
          </cell>
          <cell r="D183"/>
          <cell r="F183" t="str">
            <v>Y</v>
          </cell>
        </row>
        <row r="184">
          <cell r="A184" t="str">
            <v>31201</v>
          </cell>
          <cell r="B184" t="str">
            <v>Snohomish</v>
          </cell>
          <cell r="C184">
            <v>55980</v>
          </cell>
          <cell r="D184"/>
          <cell r="F184" t="str">
            <v>Y</v>
          </cell>
        </row>
        <row r="185">
          <cell r="A185" t="str">
            <v>39209</v>
          </cell>
          <cell r="B185" t="str">
            <v>Mount Adams</v>
          </cell>
          <cell r="C185">
            <v>56165</v>
          </cell>
          <cell r="D185"/>
          <cell r="F185" t="str">
            <v>Y</v>
          </cell>
        </row>
        <row r="186">
          <cell r="A186" t="str">
            <v>27320</v>
          </cell>
          <cell r="B186" t="str">
            <v>Sumner</v>
          </cell>
          <cell r="C186">
            <v>59654</v>
          </cell>
          <cell r="D186"/>
          <cell r="F186" t="str">
            <v>Y</v>
          </cell>
        </row>
        <row r="187">
          <cell r="A187" t="str">
            <v>08122</v>
          </cell>
          <cell r="B187" t="str">
            <v>Longview</v>
          </cell>
          <cell r="C187">
            <v>59724</v>
          </cell>
          <cell r="D187"/>
          <cell r="F187" t="str">
            <v>Y</v>
          </cell>
        </row>
        <row r="188">
          <cell r="A188" t="str">
            <v>39208</v>
          </cell>
          <cell r="B188" t="str">
            <v>West Valley (Yak)</v>
          </cell>
          <cell r="C188">
            <v>62173</v>
          </cell>
          <cell r="D188"/>
          <cell r="F188" t="str">
            <v>Y</v>
          </cell>
        </row>
        <row r="189">
          <cell r="A189" t="str">
            <v>14005</v>
          </cell>
          <cell r="B189" t="str">
            <v>Aberdeen</v>
          </cell>
          <cell r="C189">
            <v>62890</v>
          </cell>
          <cell r="D189"/>
          <cell r="F189" t="str">
            <v>Y</v>
          </cell>
        </row>
        <row r="190">
          <cell r="A190" t="str">
            <v>18100</v>
          </cell>
          <cell r="B190" t="str">
            <v>Bremerton</v>
          </cell>
          <cell r="C190">
            <v>65919</v>
          </cell>
          <cell r="D190"/>
          <cell r="F190" t="str">
            <v>Y</v>
          </cell>
        </row>
        <row r="191">
          <cell r="A191" t="str">
            <v>21401</v>
          </cell>
          <cell r="B191" t="str">
            <v>Centralia</v>
          </cell>
          <cell r="C191">
            <v>66936</v>
          </cell>
          <cell r="D191"/>
          <cell r="F191" t="str">
            <v>Y</v>
          </cell>
        </row>
        <row r="192">
          <cell r="A192" t="str">
            <v>32356</v>
          </cell>
          <cell r="B192" t="str">
            <v>Central Valley</v>
          </cell>
          <cell r="C192">
            <v>70056</v>
          </cell>
          <cell r="D192"/>
          <cell r="F192" t="str">
            <v>Y</v>
          </cell>
        </row>
        <row r="193">
          <cell r="A193" t="str">
            <v>27417</v>
          </cell>
          <cell r="B193" t="str">
            <v>Fife</v>
          </cell>
          <cell r="C193">
            <v>75348</v>
          </cell>
          <cell r="D193"/>
          <cell r="F193" t="str">
            <v>Y</v>
          </cell>
        </row>
        <row r="194">
          <cell r="A194" t="str">
            <v>03116</v>
          </cell>
          <cell r="B194" t="str">
            <v>Prosser</v>
          </cell>
          <cell r="C194">
            <v>81566</v>
          </cell>
          <cell r="D194"/>
          <cell r="F194" t="str">
            <v>Y</v>
          </cell>
        </row>
        <row r="195">
          <cell r="A195" t="str">
            <v>31004</v>
          </cell>
          <cell r="B195" t="str">
            <v>Lake Stevens</v>
          </cell>
          <cell r="C195">
            <v>84732</v>
          </cell>
          <cell r="D195"/>
          <cell r="F195" t="str">
            <v>Y</v>
          </cell>
        </row>
        <row r="196">
          <cell r="A196" t="str">
            <v>39204</v>
          </cell>
          <cell r="B196" t="str">
            <v>Granger</v>
          </cell>
          <cell r="C196">
            <v>86165</v>
          </cell>
          <cell r="D196"/>
          <cell r="F196" t="str">
            <v>Y</v>
          </cell>
        </row>
        <row r="197">
          <cell r="A197" t="str">
            <v>31103</v>
          </cell>
          <cell r="B197" t="str">
            <v>Monroe</v>
          </cell>
          <cell r="C197">
            <v>93978</v>
          </cell>
          <cell r="D197"/>
          <cell r="F197" t="str">
            <v>Y</v>
          </cell>
        </row>
        <row r="198">
          <cell r="A198" t="str">
            <v>11051</v>
          </cell>
          <cell r="B198" t="str">
            <v>North Franklin</v>
          </cell>
          <cell r="C198">
            <v>100634</v>
          </cell>
          <cell r="D198"/>
          <cell r="F198" t="str">
            <v>Y</v>
          </cell>
        </row>
        <row r="199">
          <cell r="A199" t="str">
            <v>29100</v>
          </cell>
          <cell r="B199" t="str">
            <v>Burlington Edison</v>
          </cell>
          <cell r="C199">
            <v>103014</v>
          </cell>
          <cell r="D199"/>
          <cell r="F199" t="str">
            <v>Y</v>
          </cell>
        </row>
        <row r="200">
          <cell r="A200" t="str">
            <v>13160</v>
          </cell>
          <cell r="B200" t="str">
            <v>Royal</v>
          </cell>
          <cell r="C200">
            <v>104541</v>
          </cell>
          <cell r="D200"/>
          <cell r="F200" t="str">
            <v>Y</v>
          </cell>
        </row>
        <row r="201">
          <cell r="A201" t="str">
            <v>03400</v>
          </cell>
          <cell r="B201" t="str">
            <v>Richland</v>
          </cell>
          <cell r="C201">
            <v>109070</v>
          </cell>
          <cell r="D201"/>
          <cell r="F201" t="str">
            <v>Y</v>
          </cell>
        </row>
        <row r="202">
          <cell r="A202" t="str">
            <v>36140</v>
          </cell>
          <cell r="B202" t="str">
            <v>Walla Walla</v>
          </cell>
          <cell r="C202">
            <v>109579</v>
          </cell>
          <cell r="D202"/>
          <cell r="F202" t="str">
            <v>Y</v>
          </cell>
        </row>
        <row r="203">
          <cell r="A203" t="str">
            <v>37501</v>
          </cell>
          <cell r="B203" t="str">
            <v>Bellingham</v>
          </cell>
          <cell r="C203">
            <v>112699</v>
          </cell>
          <cell r="D203"/>
          <cell r="F203" t="str">
            <v>Y</v>
          </cell>
        </row>
        <row r="204">
          <cell r="A204" t="str">
            <v>17412</v>
          </cell>
          <cell r="B204" t="str">
            <v>Shoreline</v>
          </cell>
          <cell r="C204">
            <v>121135</v>
          </cell>
          <cell r="D204"/>
          <cell r="F204" t="str">
            <v>Y</v>
          </cell>
        </row>
        <row r="205">
          <cell r="A205" t="str">
            <v>34003</v>
          </cell>
          <cell r="B205" t="str">
            <v>North Thurston</v>
          </cell>
          <cell r="C205">
            <v>128277</v>
          </cell>
          <cell r="D205"/>
          <cell r="F205" t="str">
            <v>Y</v>
          </cell>
        </row>
        <row r="206">
          <cell r="A206" t="str">
            <v>27402</v>
          </cell>
          <cell r="B206" t="str">
            <v>Franklin Pierce</v>
          </cell>
          <cell r="C206">
            <v>128877</v>
          </cell>
          <cell r="D206"/>
          <cell r="F206" t="str">
            <v>Y</v>
          </cell>
        </row>
        <row r="207">
          <cell r="A207" t="str">
            <v>23309</v>
          </cell>
          <cell r="B207" t="str">
            <v>Shelton</v>
          </cell>
          <cell r="C207">
            <v>131375</v>
          </cell>
          <cell r="D207"/>
          <cell r="F207" t="str">
            <v>Y</v>
          </cell>
        </row>
        <row r="208">
          <cell r="A208" t="str">
            <v>09206</v>
          </cell>
          <cell r="B208" t="str">
            <v>Eastmont</v>
          </cell>
          <cell r="C208">
            <v>143763</v>
          </cell>
          <cell r="D208"/>
          <cell r="F208" t="str">
            <v>Y</v>
          </cell>
        </row>
        <row r="209">
          <cell r="A209" t="str">
            <v>39200</v>
          </cell>
          <cell r="B209" t="str">
            <v>Grandview</v>
          </cell>
          <cell r="C209">
            <v>151506</v>
          </cell>
          <cell r="D209"/>
          <cell r="F209" t="str">
            <v>Y</v>
          </cell>
        </row>
        <row r="210">
          <cell r="A210" t="str">
            <v>17406</v>
          </cell>
          <cell r="B210" t="str">
            <v>Tukwila</v>
          </cell>
          <cell r="C210">
            <v>166112</v>
          </cell>
          <cell r="D210"/>
          <cell r="F210" t="str">
            <v>Y</v>
          </cell>
        </row>
        <row r="211">
          <cell r="A211" t="str">
            <v>17411</v>
          </cell>
          <cell r="B211" t="str">
            <v>Issaquah</v>
          </cell>
          <cell r="C211">
            <v>167453</v>
          </cell>
          <cell r="D211"/>
          <cell r="F211" t="str">
            <v>Y</v>
          </cell>
        </row>
        <row r="212">
          <cell r="A212" t="str">
            <v>13144</v>
          </cell>
          <cell r="B212" t="str">
            <v>Quincy</v>
          </cell>
          <cell r="C212">
            <v>167661</v>
          </cell>
          <cell r="D212"/>
          <cell r="F212" t="str">
            <v>Y</v>
          </cell>
        </row>
        <row r="213">
          <cell r="A213" t="str">
            <v>13073</v>
          </cell>
          <cell r="B213" t="str">
            <v>Wahluke</v>
          </cell>
          <cell r="C213">
            <v>168078</v>
          </cell>
          <cell r="D213"/>
          <cell r="F213" t="str">
            <v>Y</v>
          </cell>
        </row>
        <row r="214">
          <cell r="A214" t="str">
            <v>31025</v>
          </cell>
          <cell r="B214" t="str">
            <v>Marysville</v>
          </cell>
          <cell r="C214">
            <v>171776</v>
          </cell>
          <cell r="D214"/>
          <cell r="F214" t="str">
            <v>Y</v>
          </cell>
        </row>
        <row r="215">
          <cell r="A215" t="str">
            <v>27403</v>
          </cell>
          <cell r="B215" t="str">
            <v>Bethel</v>
          </cell>
          <cell r="C215">
            <v>175519</v>
          </cell>
          <cell r="D215"/>
          <cell r="F215" t="str">
            <v>Y</v>
          </cell>
        </row>
        <row r="216">
          <cell r="A216" t="str">
            <v>39207</v>
          </cell>
          <cell r="B216" t="str">
            <v>Wapato</v>
          </cell>
          <cell r="C216">
            <v>200758</v>
          </cell>
          <cell r="D216"/>
          <cell r="F216" t="str">
            <v>Y</v>
          </cell>
        </row>
        <row r="217">
          <cell r="A217" t="str">
            <v>27003</v>
          </cell>
          <cell r="B217" t="str">
            <v>Puyallup</v>
          </cell>
          <cell r="C217">
            <v>203904</v>
          </cell>
          <cell r="D217"/>
          <cell r="F217" t="str">
            <v>Y</v>
          </cell>
        </row>
        <row r="218">
          <cell r="A218" t="str">
            <v>39202</v>
          </cell>
          <cell r="B218" t="str">
            <v>Toppenish</v>
          </cell>
          <cell r="C218">
            <v>205196</v>
          </cell>
          <cell r="D218"/>
          <cell r="F218" t="str">
            <v>Y</v>
          </cell>
        </row>
        <row r="219">
          <cell r="A219" t="str">
            <v>04246</v>
          </cell>
          <cell r="B219" t="str">
            <v>Wenatchee</v>
          </cell>
          <cell r="C219">
            <v>220822</v>
          </cell>
          <cell r="D219"/>
          <cell r="F219" t="str">
            <v>Y</v>
          </cell>
        </row>
        <row r="220">
          <cell r="A220" t="str">
            <v>01147</v>
          </cell>
          <cell r="B220" t="str">
            <v>Othello</v>
          </cell>
          <cell r="C220">
            <v>248164</v>
          </cell>
          <cell r="D220"/>
          <cell r="F220" t="str">
            <v>Y</v>
          </cell>
        </row>
        <row r="221">
          <cell r="A221" t="str">
            <v>32081</v>
          </cell>
          <cell r="B221" t="str">
            <v>Spokane</v>
          </cell>
          <cell r="C221">
            <v>264528</v>
          </cell>
          <cell r="D221"/>
          <cell r="F221" t="str">
            <v>Y</v>
          </cell>
        </row>
        <row r="222">
          <cell r="A222" t="str">
            <v>39201</v>
          </cell>
          <cell r="B222" t="str">
            <v>Sunnyside</v>
          </cell>
          <cell r="C222">
            <v>279622</v>
          </cell>
          <cell r="D222"/>
          <cell r="F222" t="str">
            <v>Y</v>
          </cell>
        </row>
        <row r="223">
          <cell r="A223" t="str">
            <v>17417</v>
          </cell>
          <cell r="B223" t="str">
            <v>Northshore</v>
          </cell>
          <cell r="C223">
            <v>292473</v>
          </cell>
          <cell r="D223"/>
          <cell r="F223" t="str">
            <v>Y</v>
          </cell>
        </row>
        <row r="224">
          <cell r="A224" t="str">
            <v>06037</v>
          </cell>
          <cell r="B224" t="str">
            <v>Vancouver</v>
          </cell>
          <cell r="C224">
            <v>418738</v>
          </cell>
          <cell r="D224"/>
          <cell r="F224" t="str">
            <v>Y</v>
          </cell>
        </row>
        <row r="225">
          <cell r="A225" t="str">
            <v>17405</v>
          </cell>
          <cell r="B225" t="str">
            <v>Bellevue</v>
          </cell>
          <cell r="C225">
            <v>418853</v>
          </cell>
          <cell r="D225"/>
          <cell r="F225" t="str">
            <v>Y</v>
          </cell>
        </row>
        <row r="226">
          <cell r="A226" t="str">
            <v>17403</v>
          </cell>
          <cell r="B226" t="str">
            <v>Renton</v>
          </cell>
          <cell r="C226">
            <v>435239</v>
          </cell>
          <cell r="D226"/>
          <cell r="F226" t="str">
            <v>Y</v>
          </cell>
        </row>
        <row r="227">
          <cell r="A227" t="str">
            <v>31006</v>
          </cell>
          <cell r="B227" t="str">
            <v>Mukilteo</v>
          </cell>
          <cell r="C227">
            <v>455002</v>
          </cell>
          <cell r="D227"/>
          <cell r="F227" t="str">
            <v>Y</v>
          </cell>
        </row>
        <row r="228">
          <cell r="A228" t="str">
            <v>06114</v>
          </cell>
          <cell r="B228" t="str">
            <v>Evergreen (Clark)</v>
          </cell>
          <cell r="C228">
            <v>467253</v>
          </cell>
          <cell r="D228"/>
          <cell r="F228" t="str">
            <v>Y</v>
          </cell>
        </row>
        <row r="229">
          <cell r="A229" t="str">
            <v>31002</v>
          </cell>
          <cell r="B229" t="str">
            <v>Everett</v>
          </cell>
          <cell r="C229">
            <v>468777</v>
          </cell>
          <cell r="D229"/>
          <cell r="F229" t="str">
            <v>Y</v>
          </cell>
        </row>
        <row r="230">
          <cell r="A230" t="str">
            <v>31015</v>
          </cell>
          <cell r="B230" t="str">
            <v>Edmonds</v>
          </cell>
          <cell r="C230">
            <v>473747</v>
          </cell>
          <cell r="D230"/>
          <cell r="F230" t="str">
            <v>Y</v>
          </cell>
        </row>
        <row r="231">
          <cell r="A231" t="str">
            <v>17414</v>
          </cell>
          <cell r="B231" t="str">
            <v>Lake Washington</v>
          </cell>
          <cell r="C231">
            <v>489025</v>
          </cell>
          <cell r="D231"/>
          <cell r="F231" t="str">
            <v>Y</v>
          </cell>
        </row>
        <row r="232">
          <cell r="A232" t="str">
            <v>39007</v>
          </cell>
          <cell r="B232" t="str">
            <v>Yakima</v>
          </cell>
          <cell r="C232">
            <v>646261</v>
          </cell>
          <cell r="D232"/>
          <cell r="F232" t="str">
            <v>Y</v>
          </cell>
        </row>
        <row r="233">
          <cell r="A233" t="str">
            <v>17210</v>
          </cell>
          <cell r="B233" t="str">
            <v>Federal Way</v>
          </cell>
          <cell r="C233">
            <v>719831</v>
          </cell>
          <cell r="D233"/>
          <cell r="F233" t="str">
            <v>Y</v>
          </cell>
        </row>
        <row r="234">
          <cell r="A234" t="str">
            <v>17415</v>
          </cell>
          <cell r="B234" t="str">
            <v>Kent</v>
          </cell>
          <cell r="C234">
            <v>819863</v>
          </cell>
          <cell r="D234"/>
          <cell r="F234" t="str">
            <v>Y</v>
          </cell>
        </row>
        <row r="235">
          <cell r="A235" t="str">
            <v>11001</v>
          </cell>
          <cell r="B235" t="str">
            <v>Pasco</v>
          </cell>
          <cell r="C235">
            <v>880789</v>
          </cell>
          <cell r="D235"/>
          <cell r="F235" t="str">
            <v>Y</v>
          </cell>
        </row>
        <row r="236">
          <cell r="A236" t="str">
            <v>17001</v>
          </cell>
          <cell r="B236" t="str">
            <v>Seattle</v>
          </cell>
          <cell r="C236">
            <v>940327</v>
          </cell>
          <cell r="D236"/>
          <cell r="F236" t="str">
            <v>Y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F1" t="str">
            <v>STATE OF WASHINGTON</v>
          </cell>
          <cell r="J1" t="str">
            <v>RUN NOV 21, 2016 @ 8:24 AM</v>
          </cell>
        </row>
        <row r="2">
          <cell r="F2" t="str">
            <v>SUPERINTENDENT OF PUBLIC INSTRUCTION</v>
          </cell>
          <cell r="J2" t="str">
            <v>FINAL REPORT WORKSHEET</v>
          </cell>
        </row>
        <row r="3">
          <cell r="F3" t="str">
            <v>WORKSHEET REPORT</v>
          </cell>
          <cell r="J3" t="str">
            <v>ALL GRANTS - (% OF TOTAL)</v>
          </cell>
        </row>
        <row r="5">
          <cell r="C5" t="str">
            <v>CO/DIST</v>
          </cell>
          <cell r="D5" t="str">
            <v>SCHOOL DIS</v>
          </cell>
          <cell r="E5" t="str">
            <v>CARRYOVER</v>
          </cell>
          <cell r="F5" t="str">
            <v>CURR ALLOC</v>
          </cell>
          <cell r="G5" t="str">
            <v>TOT AVAIL</v>
          </cell>
          <cell r="H5" t="str">
            <v>GRANT AMT</v>
          </cell>
          <cell r="I5" t="str">
            <v>TOTAL PAID</v>
          </cell>
          <cell r="J5" t="str">
            <v>C/O REMAIN</v>
          </cell>
          <cell r="K5" t="str">
            <v>CURR EXPEND</v>
          </cell>
          <cell r="L5" t="str">
            <v>AVAIL C/O</v>
          </cell>
          <cell r="M5" t="str">
            <v>%C/O</v>
          </cell>
        </row>
        <row r="6">
          <cell r="C6" t="str">
            <v>14005</v>
          </cell>
          <cell r="D6" t="str">
            <v xml:space="preserve">ABERDEEN </v>
          </cell>
          <cell r="E6">
            <v>6938</v>
          </cell>
          <cell r="F6">
            <v>53769</v>
          </cell>
          <cell r="G6">
            <v>60707</v>
          </cell>
          <cell r="H6">
            <v>60707</v>
          </cell>
          <cell r="I6">
            <v>47323.74</v>
          </cell>
          <cell r="J6">
            <v>0</v>
          </cell>
          <cell r="K6">
            <v>40385.74</v>
          </cell>
          <cell r="L6">
            <v>13383</v>
          </cell>
          <cell r="M6">
            <v>24.9</v>
          </cell>
          <cell r="P6" t="str">
            <v>Y</v>
          </cell>
        </row>
        <row r="7">
          <cell r="C7" t="str">
            <v>31016</v>
          </cell>
          <cell r="D7" t="str">
            <v xml:space="preserve">ARLINGTON </v>
          </cell>
          <cell r="E7">
            <v>3572</v>
          </cell>
          <cell r="F7">
            <v>39460</v>
          </cell>
          <cell r="G7">
            <v>43032</v>
          </cell>
          <cell r="H7">
            <v>43032</v>
          </cell>
          <cell r="I7">
            <v>35458.339999999997</v>
          </cell>
          <cell r="J7">
            <v>0</v>
          </cell>
          <cell r="K7">
            <v>31886.34</v>
          </cell>
          <cell r="L7">
            <v>7573</v>
          </cell>
          <cell r="M7">
            <v>19.2</v>
          </cell>
          <cell r="P7" t="str">
            <v>Y</v>
          </cell>
        </row>
        <row r="8">
          <cell r="C8" t="str">
            <v>17408</v>
          </cell>
          <cell r="D8" t="str">
            <v xml:space="preserve">AUBURN </v>
          </cell>
          <cell r="E8">
            <v>55158</v>
          </cell>
          <cell r="F8">
            <v>349643</v>
          </cell>
          <cell r="G8">
            <v>404801</v>
          </cell>
          <cell r="H8">
            <v>404801</v>
          </cell>
          <cell r="I8">
            <v>290397.03000000003</v>
          </cell>
          <cell r="J8">
            <v>0</v>
          </cell>
          <cell r="K8">
            <v>235239.03</v>
          </cell>
          <cell r="L8">
            <v>114403</v>
          </cell>
          <cell r="M8">
            <v>32.700000000000003</v>
          </cell>
          <cell r="P8" t="str">
            <v>N</v>
          </cell>
        </row>
        <row r="9">
          <cell r="C9" t="str">
            <v>06119</v>
          </cell>
          <cell r="D9" t="str">
            <v xml:space="preserve">BATTLE GROUND </v>
          </cell>
          <cell r="E9">
            <v>3250</v>
          </cell>
          <cell r="F9">
            <v>109752</v>
          </cell>
          <cell r="G9">
            <v>113002</v>
          </cell>
          <cell r="H9">
            <v>113002</v>
          </cell>
          <cell r="I9">
            <v>68144.600000000006</v>
          </cell>
          <cell r="J9">
            <v>0</v>
          </cell>
          <cell r="K9">
            <v>64894.6</v>
          </cell>
          <cell r="L9">
            <v>44857</v>
          </cell>
          <cell r="M9">
            <v>40.9</v>
          </cell>
          <cell r="P9" t="str">
            <v>N</v>
          </cell>
        </row>
        <row r="10">
          <cell r="C10" t="str">
            <v>17405</v>
          </cell>
          <cell r="D10" t="str">
            <v xml:space="preserve">BELLEVUE </v>
          </cell>
          <cell r="E10">
            <v>8374</v>
          </cell>
          <cell r="F10">
            <v>322247</v>
          </cell>
          <cell r="G10">
            <v>330621</v>
          </cell>
          <cell r="H10">
            <v>330621</v>
          </cell>
          <cell r="I10">
            <v>299230.93</v>
          </cell>
          <cell r="J10">
            <v>0</v>
          </cell>
          <cell r="K10">
            <v>290856.93</v>
          </cell>
          <cell r="L10">
            <v>31390</v>
          </cell>
          <cell r="M10">
            <v>9.6999999999999993</v>
          </cell>
          <cell r="P10" t="str">
            <v>Y</v>
          </cell>
        </row>
        <row r="11">
          <cell r="C11" t="str">
            <v>37501</v>
          </cell>
          <cell r="D11" t="str">
            <v xml:space="preserve">BELLINGHAM </v>
          </cell>
          <cell r="E11">
            <v>5324</v>
          </cell>
          <cell r="F11">
            <v>106239</v>
          </cell>
          <cell r="G11">
            <v>111563</v>
          </cell>
          <cell r="H11">
            <v>111563</v>
          </cell>
          <cell r="I11">
            <v>91742.22</v>
          </cell>
          <cell r="J11">
            <v>0</v>
          </cell>
          <cell r="K11">
            <v>86418.22</v>
          </cell>
          <cell r="L11">
            <v>19820</v>
          </cell>
          <cell r="M11">
            <v>18.7</v>
          </cell>
          <cell r="P11" t="str">
            <v>Y</v>
          </cell>
        </row>
        <row r="12">
          <cell r="C12" t="str">
            <v>27403</v>
          </cell>
          <cell r="D12" t="str">
            <v xml:space="preserve">BETHEL </v>
          </cell>
          <cell r="E12">
            <v>0</v>
          </cell>
          <cell r="F12">
            <v>40862</v>
          </cell>
          <cell r="G12">
            <v>40862</v>
          </cell>
          <cell r="H12">
            <v>40862</v>
          </cell>
          <cell r="I12">
            <v>40862</v>
          </cell>
          <cell r="J12">
            <v>0</v>
          </cell>
          <cell r="K12">
            <v>40862</v>
          </cell>
          <cell r="L12">
            <v>0</v>
          </cell>
          <cell r="M12">
            <v>0</v>
          </cell>
          <cell r="P12" t="str">
            <v>Y</v>
          </cell>
        </row>
        <row r="13">
          <cell r="C13" t="str">
            <v>37503</v>
          </cell>
          <cell r="D13" t="str">
            <v xml:space="preserve">BLAINE </v>
          </cell>
          <cell r="E13">
            <v>1740</v>
          </cell>
          <cell r="F13">
            <v>12689</v>
          </cell>
          <cell r="G13">
            <v>14429</v>
          </cell>
          <cell r="H13">
            <v>14429</v>
          </cell>
          <cell r="I13">
            <v>7839.12</v>
          </cell>
          <cell r="J13">
            <v>0</v>
          </cell>
          <cell r="K13">
            <v>6099.12</v>
          </cell>
          <cell r="L13">
            <v>6589</v>
          </cell>
          <cell r="M13">
            <v>51.9</v>
          </cell>
          <cell r="P13" t="str">
            <v>N</v>
          </cell>
        </row>
        <row r="14">
          <cell r="C14" t="str">
            <v>18100</v>
          </cell>
          <cell r="D14" t="str">
            <v xml:space="preserve">BREMERTON </v>
          </cell>
          <cell r="E14">
            <v>12524</v>
          </cell>
          <cell r="F14">
            <v>29183</v>
          </cell>
          <cell r="G14">
            <v>41707</v>
          </cell>
          <cell r="H14">
            <v>41707</v>
          </cell>
          <cell r="I14">
            <v>33030.22</v>
          </cell>
          <cell r="J14">
            <v>0</v>
          </cell>
          <cell r="K14">
            <v>20506.22</v>
          </cell>
          <cell r="L14">
            <v>8676</v>
          </cell>
          <cell r="M14">
            <v>29.7</v>
          </cell>
          <cell r="P14" t="str">
            <v>N</v>
          </cell>
        </row>
        <row r="15">
          <cell r="C15" t="str">
            <v>24111</v>
          </cell>
          <cell r="D15" t="str">
            <v xml:space="preserve">BREWSTER </v>
          </cell>
          <cell r="E15">
            <v>37990</v>
          </cell>
          <cell r="F15">
            <v>63489</v>
          </cell>
          <cell r="G15">
            <v>101479</v>
          </cell>
          <cell r="H15">
            <v>101479</v>
          </cell>
          <cell r="I15">
            <v>73805.53</v>
          </cell>
          <cell r="J15">
            <v>0</v>
          </cell>
          <cell r="K15">
            <v>35815.53</v>
          </cell>
          <cell r="L15">
            <v>27673</v>
          </cell>
          <cell r="M15">
            <v>43.6</v>
          </cell>
          <cell r="P15" t="str">
            <v>N</v>
          </cell>
        </row>
        <row r="16">
          <cell r="C16" t="str">
            <v>09075</v>
          </cell>
          <cell r="D16" t="str">
            <v xml:space="preserve">BRIDGEPORT </v>
          </cell>
          <cell r="E16">
            <v>23420</v>
          </cell>
          <cell r="F16">
            <v>50625</v>
          </cell>
          <cell r="G16">
            <v>74045</v>
          </cell>
          <cell r="H16">
            <v>74045</v>
          </cell>
          <cell r="I16">
            <v>74045</v>
          </cell>
          <cell r="J16">
            <v>0</v>
          </cell>
          <cell r="K16">
            <v>50625</v>
          </cell>
          <cell r="L16">
            <v>0</v>
          </cell>
          <cell r="M16">
            <v>0</v>
          </cell>
          <cell r="P16" t="str">
            <v>Y</v>
          </cell>
        </row>
        <row r="17">
          <cell r="C17" t="str">
            <v>29100</v>
          </cell>
          <cell r="D17" t="str">
            <v xml:space="preserve">BURLINGTON-EDISON </v>
          </cell>
          <cell r="E17">
            <v>27144</v>
          </cell>
          <cell r="F17">
            <v>100172</v>
          </cell>
          <cell r="G17">
            <v>127316</v>
          </cell>
          <cell r="H17">
            <v>127316</v>
          </cell>
          <cell r="I17">
            <v>61174.07</v>
          </cell>
          <cell r="J17">
            <v>0</v>
          </cell>
          <cell r="K17">
            <v>34030.07</v>
          </cell>
          <cell r="L17">
            <v>66141</v>
          </cell>
          <cell r="M17">
            <v>66</v>
          </cell>
          <cell r="P17" t="str">
            <v>N</v>
          </cell>
        </row>
        <row r="18">
          <cell r="C18" t="str">
            <v>04228</v>
          </cell>
          <cell r="D18" t="str">
            <v xml:space="preserve">CASCADE </v>
          </cell>
          <cell r="E18">
            <v>26068</v>
          </cell>
          <cell r="F18">
            <v>25401</v>
          </cell>
          <cell r="G18">
            <v>51469</v>
          </cell>
          <cell r="H18">
            <v>51469</v>
          </cell>
          <cell r="I18">
            <v>6677.3</v>
          </cell>
          <cell r="J18">
            <v>19390.7</v>
          </cell>
          <cell r="K18">
            <v>0</v>
          </cell>
          <cell r="L18">
            <v>25401</v>
          </cell>
          <cell r="M18">
            <v>100</v>
          </cell>
          <cell r="P18" t="str">
            <v>N</v>
          </cell>
        </row>
        <row r="19">
          <cell r="C19" t="str">
            <v>04222</v>
          </cell>
          <cell r="D19" t="str">
            <v xml:space="preserve">CASHMERE </v>
          </cell>
          <cell r="E19">
            <v>11992</v>
          </cell>
          <cell r="F19">
            <v>36349</v>
          </cell>
          <cell r="G19">
            <v>48341</v>
          </cell>
          <cell r="H19">
            <v>48341</v>
          </cell>
          <cell r="I19">
            <v>48338.91</v>
          </cell>
          <cell r="J19">
            <v>0</v>
          </cell>
          <cell r="K19">
            <v>36346.910000000003</v>
          </cell>
          <cell r="L19">
            <v>2</v>
          </cell>
          <cell r="M19">
            <v>0</v>
          </cell>
          <cell r="P19" t="str">
            <v>Y</v>
          </cell>
        </row>
        <row r="20">
          <cell r="C20" t="str">
            <v>18401</v>
          </cell>
          <cell r="D20" t="str">
            <v xml:space="preserve">CENTRAL KITSAP </v>
          </cell>
          <cell r="E20">
            <v>123</v>
          </cell>
          <cell r="F20">
            <v>40920</v>
          </cell>
          <cell r="G20">
            <v>41043</v>
          </cell>
          <cell r="H20">
            <v>41043</v>
          </cell>
          <cell r="I20">
            <v>40670.89</v>
          </cell>
          <cell r="J20">
            <v>0</v>
          </cell>
          <cell r="K20">
            <v>40547.89</v>
          </cell>
          <cell r="L20">
            <v>372</v>
          </cell>
          <cell r="M20">
            <v>0.9</v>
          </cell>
          <cell r="P20" t="str">
            <v>Y</v>
          </cell>
        </row>
        <row r="21">
          <cell r="C21" t="str">
            <v>32356</v>
          </cell>
          <cell r="D21" t="str">
            <v xml:space="preserve">CENTRAL VALLEY </v>
          </cell>
          <cell r="E21">
            <v>35907</v>
          </cell>
          <cell r="F21">
            <v>51428</v>
          </cell>
          <cell r="G21">
            <v>87335</v>
          </cell>
          <cell r="H21">
            <v>87335</v>
          </cell>
          <cell r="I21">
            <v>42448.67</v>
          </cell>
          <cell r="J21">
            <v>0</v>
          </cell>
          <cell r="K21">
            <v>6541.67</v>
          </cell>
          <cell r="L21">
            <v>44886</v>
          </cell>
          <cell r="M21">
            <v>87.3</v>
          </cell>
          <cell r="P21" t="str">
            <v>N</v>
          </cell>
        </row>
        <row r="22">
          <cell r="C22" t="str">
            <v>21401</v>
          </cell>
          <cell r="D22" t="str">
            <v xml:space="preserve">CENTRALIA </v>
          </cell>
          <cell r="E22">
            <v>48207</v>
          </cell>
          <cell r="F22">
            <v>47905</v>
          </cell>
          <cell r="G22">
            <v>96112</v>
          </cell>
          <cell r="H22">
            <v>96112</v>
          </cell>
          <cell r="I22">
            <v>74541.81</v>
          </cell>
          <cell r="J22">
            <v>0</v>
          </cell>
          <cell r="K22">
            <v>26334.81</v>
          </cell>
          <cell r="L22">
            <v>21570</v>
          </cell>
          <cell r="M22">
            <v>45</v>
          </cell>
          <cell r="P22" t="str">
            <v>N</v>
          </cell>
        </row>
        <row r="23">
          <cell r="C23" t="str">
            <v>21302</v>
          </cell>
          <cell r="D23" t="str">
            <v xml:space="preserve">CHEHALIS </v>
          </cell>
          <cell r="E23">
            <v>15807</v>
          </cell>
          <cell r="F23">
            <v>14789</v>
          </cell>
          <cell r="G23">
            <v>30596</v>
          </cell>
          <cell r="H23">
            <v>30596</v>
          </cell>
          <cell r="I23">
            <v>12340.82</v>
          </cell>
          <cell r="J23">
            <v>3466.18</v>
          </cell>
          <cell r="K23">
            <v>0</v>
          </cell>
          <cell r="L23">
            <v>14789</v>
          </cell>
          <cell r="M23">
            <v>100</v>
          </cell>
          <cell r="P23" t="str">
            <v>N</v>
          </cell>
        </row>
        <row r="24">
          <cell r="C24" t="str">
            <v>32360</v>
          </cell>
          <cell r="D24" t="str">
            <v xml:space="preserve">CHENEY </v>
          </cell>
          <cell r="E24">
            <v>0</v>
          </cell>
          <cell r="F24">
            <v>16711</v>
          </cell>
          <cell r="G24">
            <v>16711</v>
          </cell>
          <cell r="H24">
            <v>16711</v>
          </cell>
          <cell r="I24">
            <v>15168.84</v>
          </cell>
          <cell r="J24">
            <v>0</v>
          </cell>
          <cell r="K24">
            <v>15168.84</v>
          </cell>
          <cell r="L24">
            <v>1542</v>
          </cell>
          <cell r="M24">
            <v>9.1999999999999993</v>
          </cell>
          <cell r="P24" t="str">
            <v>Y</v>
          </cell>
        </row>
        <row r="25">
          <cell r="C25" t="str">
            <v>27400</v>
          </cell>
          <cell r="D25" t="str">
            <v xml:space="preserve">CLOVER PARK </v>
          </cell>
          <cell r="E25">
            <v>129457</v>
          </cell>
          <cell r="F25">
            <v>208099</v>
          </cell>
          <cell r="G25">
            <v>337556</v>
          </cell>
          <cell r="H25">
            <v>337556</v>
          </cell>
          <cell r="I25">
            <v>129522.35</v>
          </cell>
          <cell r="J25">
            <v>0</v>
          </cell>
          <cell r="K25">
            <v>65.349999999999994</v>
          </cell>
          <cell r="L25">
            <v>208033</v>
          </cell>
          <cell r="M25">
            <v>100</v>
          </cell>
          <cell r="P25" t="str">
            <v>N</v>
          </cell>
        </row>
        <row r="26">
          <cell r="C26" t="str">
            <v>36250</v>
          </cell>
          <cell r="D26" t="str">
            <v xml:space="preserve">COLLEGE PLACE </v>
          </cell>
          <cell r="E26">
            <v>22739</v>
          </cell>
          <cell r="F26">
            <v>30082</v>
          </cell>
          <cell r="G26">
            <v>52821</v>
          </cell>
          <cell r="H26">
            <v>52821</v>
          </cell>
          <cell r="I26">
            <v>29595.41</v>
          </cell>
          <cell r="J26">
            <v>0</v>
          </cell>
          <cell r="K26">
            <v>6856.41</v>
          </cell>
          <cell r="L26">
            <v>23225</v>
          </cell>
          <cell r="M26">
            <v>77.2</v>
          </cell>
          <cell r="P26" t="str">
            <v>N</v>
          </cell>
        </row>
        <row r="27">
          <cell r="C27" t="str">
            <v>36400</v>
          </cell>
          <cell r="D27" t="str">
            <v xml:space="preserve">COLUMBIA (WALLA WALLA) </v>
          </cell>
          <cell r="E27">
            <v>3208</v>
          </cell>
          <cell r="F27">
            <v>14516</v>
          </cell>
          <cell r="G27">
            <v>17724</v>
          </cell>
          <cell r="H27">
            <v>17724</v>
          </cell>
          <cell r="I27">
            <v>9584.84</v>
          </cell>
          <cell r="J27">
            <v>0</v>
          </cell>
          <cell r="K27">
            <v>6376.84</v>
          </cell>
          <cell r="L27">
            <v>8139</v>
          </cell>
          <cell r="M27">
            <v>19.600000000000001</v>
          </cell>
          <cell r="P27" t="str">
            <v>Y</v>
          </cell>
        </row>
        <row r="28">
          <cell r="C28" t="str">
            <v>32361</v>
          </cell>
          <cell r="D28" t="str">
            <v>EAST VALLEY  (SPOKANE)</v>
          </cell>
          <cell r="E28">
            <v>18295</v>
          </cell>
          <cell r="F28">
            <v>17336</v>
          </cell>
          <cell r="G28">
            <v>35631</v>
          </cell>
          <cell r="H28">
            <v>35631</v>
          </cell>
          <cell r="I28">
            <v>11775.51</v>
          </cell>
          <cell r="J28">
            <v>6519.49</v>
          </cell>
          <cell r="K28">
            <v>0</v>
          </cell>
          <cell r="L28">
            <v>17336</v>
          </cell>
          <cell r="M28">
            <v>100</v>
          </cell>
          <cell r="P28" t="str">
            <v>N</v>
          </cell>
        </row>
        <row r="29">
          <cell r="C29" t="str">
            <v>39090</v>
          </cell>
          <cell r="D29" t="str">
            <v>EAST VALLEY  (YAKIMA)</v>
          </cell>
          <cell r="E29">
            <v>39516</v>
          </cell>
          <cell r="F29">
            <v>52464</v>
          </cell>
          <cell r="G29">
            <v>91980</v>
          </cell>
          <cell r="H29">
            <v>91980</v>
          </cell>
          <cell r="I29">
            <v>74966.649999999994</v>
          </cell>
          <cell r="J29">
            <v>0</v>
          </cell>
          <cell r="K29">
            <v>35450.65</v>
          </cell>
          <cell r="L29">
            <v>17013</v>
          </cell>
          <cell r="M29">
            <v>32.4</v>
          </cell>
          <cell r="P29" t="str">
            <v>N</v>
          </cell>
        </row>
        <row r="30">
          <cell r="C30" t="str">
            <v>09206</v>
          </cell>
          <cell r="D30" t="str">
            <v xml:space="preserve">EASTMONT </v>
          </cell>
          <cell r="E30">
            <v>7911</v>
          </cell>
          <cell r="F30">
            <v>162528</v>
          </cell>
          <cell r="G30">
            <v>170439</v>
          </cell>
          <cell r="H30">
            <v>170439</v>
          </cell>
          <cell r="I30">
            <v>170435.39</v>
          </cell>
          <cell r="J30">
            <v>0</v>
          </cell>
          <cell r="K30">
            <v>162524.39000000001</v>
          </cell>
          <cell r="L30">
            <v>3</v>
          </cell>
          <cell r="M30">
            <v>0</v>
          </cell>
          <cell r="P30" t="str">
            <v>Y</v>
          </cell>
        </row>
        <row r="31">
          <cell r="C31" t="str">
            <v>31015</v>
          </cell>
          <cell r="D31" t="str">
            <v xml:space="preserve">EDMONDS </v>
          </cell>
          <cell r="E31">
            <v>50008</v>
          </cell>
          <cell r="F31">
            <v>358710</v>
          </cell>
          <cell r="G31">
            <v>408718</v>
          </cell>
          <cell r="H31">
            <v>408718</v>
          </cell>
          <cell r="I31">
            <v>358450.55</v>
          </cell>
          <cell r="J31">
            <v>0</v>
          </cell>
          <cell r="K31">
            <v>308442.55</v>
          </cell>
          <cell r="L31">
            <v>50267</v>
          </cell>
          <cell r="M31">
            <v>14</v>
          </cell>
          <cell r="P31" t="str">
            <v>Y</v>
          </cell>
        </row>
        <row r="32">
          <cell r="C32" t="str">
            <v>39801</v>
          </cell>
          <cell r="D32" t="str">
            <v>EDUCATIONAL SERVICE DISTRICT 105</v>
          </cell>
          <cell r="E32">
            <v>0</v>
          </cell>
          <cell r="F32">
            <v>27719</v>
          </cell>
          <cell r="G32">
            <v>27719</v>
          </cell>
          <cell r="H32">
            <v>27719</v>
          </cell>
          <cell r="I32">
            <v>15641.5</v>
          </cell>
          <cell r="J32">
            <v>0</v>
          </cell>
          <cell r="K32">
            <v>15641.5</v>
          </cell>
          <cell r="L32">
            <v>12077</v>
          </cell>
          <cell r="M32">
            <v>43.6</v>
          </cell>
          <cell r="P32" t="str">
            <v>N</v>
          </cell>
        </row>
        <row r="33">
          <cell r="C33" t="str">
            <v>19401</v>
          </cell>
          <cell r="D33" t="str">
            <v xml:space="preserve">ELLENSBURG </v>
          </cell>
          <cell r="E33">
            <v>4804</v>
          </cell>
          <cell r="F33">
            <v>34245</v>
          </cell>
          <cell r="G33">
            <v>39049</v>
          </cell>
          <cell r="H33">
            <v>39049</v>
          </cell>
          <cell r="I33">
            <v>36264.550000000003</v>
          </cell>
          <cell r="J33">
            <v>0</v>
          </cell>
          <cell r="K33">
            <v>31460.55</v>
          </cell>
          <cell r="L33">
            <v>2784</v>
          </cell>
          <cell r="M33">
            <v>8.1</v>
          </cell>
          <cell r="P33" t="str">
            <v>Y</v>
          </cell>
        </row>
        <row r="34">
          <cell r="C34" t="str">
            <v>17216</v>
          </cell>
          <cell r="D34" t="str">
            <v xml:space="preserve">ENUMCLAW </v>
          </cell>
          <cell r="E34">
            <v>3</v>
          </cell>
          <cell r="F34">
            <v>30188</v>
          </cell>
          <cell r="G34">
            <v>30191</v>
          </cell>
          <cell r="H34">
            <v>30191</v>
          </cell>
          <cell r="I34">
            <v>24093.07</v>
          </cell>
          <cell r="J34">
            <v>0</v>
          </cell>
          <cell r="K34">
            <v>24090.07</v>
          </cell>
          <cell r="L34">
            <v>6097</v>
          </cell>
          <cell r="M34">
            <v>20.2</v>
          </cell>
          <cell r="P34" t="str">
            <v>Y</v>
          </cell>
        </row>
        <row r="35">
          <cell r="C35" t="str">
            <v>13165</v>
          </cell>
          <cell r="D35" t="str">
            <v xml:space="preserve">EPHRATA </v>
          </cell>
          <cell r="E35">
            <v>10802</v>
          </cell>
          <cell r="F35">
            <v>34565</v>
          </cell>
          <cell r="G35">
            <v>45367</v>
          </cell>
          <cell r="H35">
            <v>45367</v>
          </cell>
          <cell r="I35">
            <v>45367</v>
          </cell>
          <cell r="J35">
            <v>0</v>
          </cell>
          <cell r="K35">
            <v>34565</v>
          </cell>
          <cell r="L35">
            <v>0</v>
          </cell>
          <cell r="M35">
            <v>0</v>
          </cell>
          <cell r="P35" t="str">
            <v>Y</v>
          </cell>
        </row>
        <row r="36">
          <cell r="C36" t="str">
            <v>31002</v>
          </cell>
          <cell r="D36" t="str">
            <v xml:space="preserve">EVERETT </v>
          </cell>
          <cell r="E36">
            <v>49351</v>
          </cell>
          <cell r="F36">
            <v>335874</v>
          </cell>
          <cell r="G36">
            <v>385225</v>
          </cell>
          <cell r="H36">
            <v>385225</v>
          </cell>
          <cell r="I36">
            <v>362868.11</v>
          </cell>
          <cell r="J36">
            <v>0</v>
          </cell>
          <cell r="K36">
            <v>313517.11</v>
          </cell>
          <cell r="L36">
            <v>22356</v>
          </cell>
          <cell r="M36">
            <v>6.7</v>
          </cell>
          <cell r="P36" t="str">
            <v>Y</v>
          </cell>
        </row>
        <row r="37">
          <cell r="C37" t="str">
            <v>06114</v>
          </cell>
          <cell r="D37" t="str">
            <v>EVERGREEN  (CLARK)</v>
          </cell>
          <cell r="E37">
            <v>1872</v>
          </cell>
          <cell r="F37">
            <v>457683</v>
          </cell>
          <cell r="G37">
            <v>459555</v>
          </cell>
          <cell r="H37">
            <v>459555</v>
          </cell>
          <cell r="I37">
            <v>384159.47</v>
          </cell>
          <cell r="J37">
            <v>0</v>
          </cell>
          <cell r="K37">
            <v>382287.47</v>
          </cell>
          <cell r="L37">
            <v>75395</v>
          </cell>
          <cell r="M37">
            <v>16.5</v>
          </cell>
          <cell r="P37" t="str">
            <v>Y</v>
          </cell>
        </row>
        <row r="38">
          <cell r="C38" t="str">
            <v>17210</v>
          </cell>
          <cell r="D38" t="str">
            <v xml:space="preserve">FEDERAL WAY </v>
          </cell>
          <cell r="E38">
            <v>7009</v>
          </cell>
          <cell r="F38">
            <v>530573</v>
          </cell>
          <cell r="G38">
            <v>537582</v>
          </cell>
          <cell r="H38">
            <v>537582</v>
          </cell>
          <cell r="I38">
            <v>506657.79</v>
          </cell>
          <cell r="J38">
            <v>0</v>
          </cell>
          <cell r="K38">
            <v>499648.79</v>
          </cell>
          <cell r="L38">
            <v>30924</v>
          </cell>
          <cell r="M38">
            <v>5.8</v>
          </cell>
          <cell r="P38" t="str">
            <v>Y</v>
          </cell>
        </row>
        <row r="39">
          <cell r="C39" t="str">
            <v>27417</v>
          </cell>
          <cell r="D39" t="str">
            <v xml:space="preserve">FIFE </v>
          </cell>
          <cell r="E39">
            <v>0</v>
          </cell>
          <cell r="F39">
            <v>59769</v>
          </cell>
          <cell r="G39">
            <v>59769</v>
          </cell>
          <cell r="H39">
            <v>59769</v>
          </cell>
          <cell r="I39">
            <v>36999.49</v>
          </cell>
          <cell r="J39">
            <v>0</v>
          </cell>
          <cell r="K39">
            <v>36999.49</v>
          </cell>
          <cell r="L39">
            <v>22769</v>
          </cell>
          <cell r="M39">
            <v>38.1</v>
          </cell>
          <cell r="P39" t="str">
            <v>N</v>
          </cell>
        </row>
        <row r="40">
          <cell r="C40" t="str">
            <v>03053</v>
          </cell>
          <cell r="D40" t="str">
            <v xml:space="preserve">FINLEY </v>
          </cell>
          <cell r="E40">
            <v>0</v>
          </cell>
          <cell r="F40">
            <v>18783</v>
          </cell>
          <cell r="G40">
            <v>18783</v>
          </cell>
          <cell r="H40">
            <v>18783</v>
          </cell>
          <cell r="I40">
            <v>18783</v>
          </cell>
          <cell r="J40">
            <v>0</v>
          </cell>
          <cell r="K40">
            <v>18783</v>
          </cell>
          <cell r="L40">
            <v>0</v>
          </cell>
          <cell r="M40">
            <v>0</v>
          </cell>
          <cell r="P40" t="str">
            <v>Y</v>
          </cell>
        </row>
        <row r="41">
          <cell r="C41" t="str">
            <v>27402</v>
          </cell>
          <cell r="D41" t="str">
            <v xml:space="preserve">FRANKLIN PIERCE </v>
          </cell>
          <cell r="E41">
            <v>45338</v>
          </cell>
          <cell r="F41">
            <v>91252</v>
          </cell>
          <cell r="G41">
            <v>136590</v>
          </cell>
          <cell r="H41">
            <v>136590</v>
          </cell>
          <cell r="I41">
            <v>99358.38</v>
          </cell>
          <cell r="J41">
            <v>0</v>
          </cell>
          <cell r="K41">
            <v>54020.38</v>
          </cell>
          <cell r="L41">
            <v>37231</v>
          </cell>
          <cell r="M41">
            <v>40.799999999999997</v>
          </cell>
          <cell r="P41" t="str">
            <v>N</v>
          </cell>
        </row>
        <row r="42">
          <cell r="C42" t="str">
            <v>39200</v>
          </cell>
          <cell r="D42" t="str">
            <v xml:space="preserve">GRANDVIEW </v>
          </cell>
          <cell r="E42">
            <v>8963</v>
          </cell>
          <cell r="F42">
            <v>181953</v>
          </cell>
          <cell r="G42">
            <v>190916</v>
          </cell>
          <cell r="H42">
            <v>190916</v>
          </cell>
          <cell r="I42">
            <v>190916</v>
          </cell>
          <cell r="J42">
            <v>0</v>
          </cell>
          <cell r="K42">
            <v>181953</v>
          </cell>
          <cell r="L42">
            <v>0</v>
          </cell>
          <cell r="M42">
            <v>0</v>
          </cell>
          <cell r="P42" t="str">
            <v>Y</v>
          </cell>
        </row>
        <row r="43">
          <cell r="C43" t="str">
            <v>39204</v>
          </cell>
          <cell r="D43" t="str">
            <v xml:space="preserve">GRANGER </v>
          </cell>
          <cell r="E43">
            <v>89372</v>
          </cell>
          <cell r="F43">
            <v>84392</v>
          </cell>
          <cell r="G43">
            <v>173764</v>
          </cell>
          <cell r="H43">
            <v>173764</v>
          </cell>
          <cell r="I43">
            <v>66422.080000000002</v>
          </cell>
          <cell r="J43">
            <v>22949.919999999998</v>
          </cell>
          <cell r="K43">
            <v>0</v>
          </cell>
          <cell r="L43">
            <v>84392</v>
          </cell>
          <cell r="M43">
            <v>100</v>
          </cell>
          <cell r="P43" t="str">
            <v>N</v>
          </cell>
        </row>
        <row r="44">
          <cell r="C44" t="str">
            <v>39203</v>
          </cell>
          <cell r="D44" t="str">
            <v xml:space="preserve">HIGHLAND </v>
          </cell>
          <cell r="E44">
            <v>4614</v>
          </cell>
          <cell r="F44">
            <v>44161</v>
          </cell>
          <cell r="G44">
            <v>48775</v>
          </cell>
          <cell r="H44">
            <v>48775</v>
          </cell>
          <cell r="I44">
            <v>48775</v>
          </cell>
          <cell r="J44">
            <v>0</v>
          </cell>
          <cell r="K44">
            <v>44161</v>
          </cell>
          <cell r="L44">
            <v>0</v>
          </cell>
          <cell r="M44">
            <v>0</v>
          </cell>
          <cell r="P44" t="str">
            <v>Y</v>
          </cell>
        </row>
        <row r="45">
          <cell r="C45" t="str">
            <v>17401</v>
          </cell>
          <cell r="D45" t="str">
            <v xml:space="preserve">HIGHLINE </v>
          </cell>
          <cell r="E45">
            <v>1862</v>
          </cell>
          <cell r="F45">
            <v>720515</v>
          </cell>
          <cell r="G45">
            <v>722377</v>
          </cell>
          <cell r="H45">
            <v>722377</v>
          </cell>
          <cell r="I45">
            <v>722020.67</v>
          </cell>
          <cell r="J45">
            <v>0</v>
          </cell>
          <cell r="K45">
            <v>720158.67</v>
          </cell>
          <cell r="L45">
            <v>356</v>
          </cell>
          <cell r="M45">
            <v>0</v>
          </cell>
          <cell r="P45" t="str">
            <v>Y</v>
          </cell>
        </row>
        <row r="46">
          <cell r="C46" t="str">
            <v>17411</v>
          </cell>
          <cell r="D46" t="str">
            <v xml:space="preserve">ISSAQUAH </v>
          </cell>
          <cell r="E46">
            <v>53740</v>
          </cell>
          <cell r="F46">
            <v>141598</v>
          </cell>
          <cell r="G46">
            <v>195338</v>
          </cell>
          <cell r="H46">
            <v>195338</v>
          </cell>
          <cell r="I46">
            <v>183606.58</v>
          </cell>
          <cell r="J46">
            <v>0</v>
          </cell>
          <cell r="K46">
            <v>129866.58</v>
          </cell>
          <cell r="L46">
            <v>11731</v>
          </cell>
          <cell r="M46">
            <v>8.3000000000000007</v>
          </cell>
          <cell r="P46" t="str">
            <v>Y</v>
          </cell>
        </row>
        <row r="47">
          <cell r="C47" t="str">
            <v>08458</v>
          </cell>
          <cell r="D47" t="str">
            <v xml:space="preserve">KELSO </v>
          </cell>
          <cell r="E47">
            <v>11512</v>
          </cell>
          <cell r="F47">
            <v>0</v>
          </cell>
          <cell r="G47">
            <v>11512</v>
          </cell>
          <cell r="H47">
            <v>11512</v>
          </cell>
          <cell r="I47">
            <v>11512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Y</v>
          </cell>
        </row>
        <row r="48">
          <cell r="C48" t="str">
            <v>03017</v>
          </cell>
          <cell r="D48" t="str">
            <v xml:space="preserve">KENNEWICK </v>
          </cell>
          <cell r="E48">
            <v>170790</v>
          </cell>
          <cell r="F48">
            <v>338466</v>
          </cell>
          <cell r="G48">
            <v>509256</v>
          </cell>
          <cell r="H48">
            <v>509256</v>
          </cell>
          <cell r="I48">
            <v>318340.01</v>
          </cell>
          <cell r="J48">
            <v>0</v>
          </cell>
          <cell r="K48">
            <v>147550.01</v>
          </cell>
          <cell r="L48">
            <v>190915</v>
          </cell>
          <cell r="M48">
            <v>56.4</v>
          </cell>
          <cell r="P48" t="str">
            <v>N</v>
          </cell>
        </row>
        <row r="49">
          <cell r="C49" t="str">
            <v>17415</v>
          </cell>
          <cell r="D49" t="str">
            <v xml:space="preserve">KENT </v>
          </cell>
          <cell r="E49">
            <v>187606</v>
          </cell>
          <cell r="F49">
            <v>737711</v>
          </cell>
          <cell r="G49">
            <v>925317</v>
          </cell>
          <cell r="H49">
            <v>925317</v>
          </cell>
          <cell r="I49">
            <v>572327.49</v>
          </cell>
          <cell r="J49">
            <v>0</v>
          </cell>
          <cell r="K49">
            <v>384721.49</v>
          </cell>
          <cell r="L49">
            <v>352989</v>
          </cell>
          <cell r="M49">
            <v>47.8</v>
          </cell>
          <cell r="P49" t="str">
            <v>N</v>
          </cell>
        </row>
        <row r="50">
          <cell r="C50" t="str">
            <v>03052</v>
          </cell>
          <cell r="D50" t="str">
            <v xml:space="preserve">KIONA-BENTON CITY </v>
          </cell>
          <cell r="E50">
            <v>31678</v>
          </cell>
          <cell r="F50">
            <v>40388</v>
          </cell>
          <cell r="G50">
            <v>72066</v>
          </cell>
          <cell r="H50">
            <v>72066</v>
          </cell>
          <cell r="I50">
            <v>66630.13</v>
          </cell>
          <cell r="J50">
            <v>0</v>
          </cell>
          <cell r="K50">
            <v>34952.129999999997</v>
          </cell>
          <cell r="L50">
            <v>5435</v>
          </cell>
          <cell r="M50">
            <v>13.5</v>
          </cell>
          <cell r="P50" t="str">
            <v>Y</v>
          </cell>
        </row>
        <row r="51">
          <cell r="C51" t="str">
            <v>04129</v>
          </cell>
          <cell r="D51" t="str">
            <v xml:space="preserve">LAKE CHELAN </v>
          </cell>
          <cell r="E51">
            <v>39211</v>
          </cell>
          <cell r="F51">
            <v>54828</v>
          </cell>
          <cell r="G51">
            <v>94039</v>
          </cell>
          <cell r="H51">
            <v>94039</v>
          </cell>
          <cell r="I51">
            <v>83593.06</v>
          </cell>
          <cell r="J51">
            <v>0</v>
          </cell>
          <cell r="K51">
            <v>44382.06</v>
          </cell>
          <cell r="L51">
            <v>10445</v>
          </cell>
          <cell r="M51">
            <v>19.100000000000001</v>
          </cell>
          <cell r="P51" t="str">
            <v>Y</v>
          </cell>
        </row>
        <row r="52">
          <cell r="C52" t="str">
            <v>31004</v>
          </cell>
          <cell r="D52" t="str">
            <v xml:space="preserve">LAKE STEVENS </v>
          </cell>
          <cell r="E52">
            <v>14936</v>
          </cell>
          <cell r="F52">
            <v>42661</v>
          </cell>
          <cell r="G52">
            <v>57597</v>
          </cell>
          <cell r="H52">
            <v>57597</v>
          </cell>
          <cell r="I52">
            <v>35709.35</v>
          </cell>
          <cell r="J52">
            <v>0</v>
          </cell>
          <cell r="K52">
            <v>20773.349999999999</v>
          </cell>
          <cell r="L52">
            <v>21887</v>
          </cell>
          <cell r="M52">
            <v>51.3</v>
          </cell>
          <cell r="P52" t="str">
            <v>N</v>
          </cell>
        </row>
        <row r="53">
          <cell r="C53" t="str">
            <v>17414</v>
          </cell>
          <cell r="D53" t="str">
            <v xml:space="preserve">LAKE WASHINGTON </v>
          </cell>
          <cell r="E53">
            <v>61167</v>
          </cell>
          <cell r="F53">
            <v>300319</v>
          </cell>
          <cell r="G53">
            <v>361486</v>
          </cell>
          <cell r="H53">
            <v>361486</v>
          </cell>
          <cell r="I53">
            <v>312716.05</v>
          </cell>
          <cell r="J53">
            <v>0</v>
          </cell>
          <cell r="K53">
            <v>251549.05</v>
          </cell>
          <cell r="L53">
            <v>48769</v>
          </cell>
          <cell r="M53">
            <v>16.2</v>
          </cell>
          <cell r="P53" t="str">
            <v>Y</v>
          </cell>
        </row>
        <row r="54">
          <cell r="C54" t="str">
            <v>31306</v>
          </cell>
          <cell r="D54" t="str">
            <v xml:space="preserve">LAKEWOOD </v>
          </cell>
          <cell r="E54">
            <v>13342</v>
          </cell>
          <cell r="F54">
            <v>15309</v>
          </cell>
          <cell r="G54">
            <v>28651</v>
          </cell>
          <cell r="H54">
            <v>15309</v>
          </cell>
          <cell r="I54">
            <v>11094.3</v>
          </cell>
          <cell r="J54">
            <v>2247.6999999999998</v>
          </cell>
          <cell r="K54">
            <v>0</v>
          </cell>
          <cell r="L54">
            <v>15309</v>
          </cell>
          <cell r="M54">
            <v>100</v>
          </cell>
          <cell r="P54" t="str">
            <v>N</v>
          </cell>
        </row>
        <row r="55">
          <cell r="C55" t="str">
            <v>08122</v>
          </cell>
          <cell r="D55" t="str">
            <v xml:space="preserve">LONGVIEW </v>
          </cell>
          <cell r="E55">
            <v>47507</v>
          </cell>
          <cell r="F55">
            <v>52159</v>
          </cell>
          <cell r="G55">
            <v>99666</v>
          </cell>
          <cell r="H55">
            <v>99666</v>
          </cell>
          <cell r="I55">
            <v>87085.08</v>
          </cell>
          <cell r="J55">
            <v>0</v>
          </cell>
          <cell r="K55">
            <v>39578.080000000002</v>
          </cell>
          <cell r="L55">
            <v>12580</v>
          </cell>
          <cell r="M55">
            <v>24.1</v>
          </cell>
          <cell r="P55" t="str">
            <v>Y</v>
          </cell>
        </row>
        <row r="56">
          <cell r="C56" t="str">
            <v>37504</v>
          </cell>
          <cell r="D56" t="str">
            <v xml:space="preserve">LYNDEN </v>
          </cell>
          <cell r="E56">
            <v>287</v>
          </cell>
          <cell r="F56">
            <v>35952</v>
          </cell>
          <cell r="G56">
            <v>36239</v>
          </cell>
          <cell r="H56">
            <v>36239</v>
          </cell>
          <cell r="I56">
            <v>35700</v>
          </cell>
          <cell r="J56">
            <v>0</v>
          </cell>
          <cell r="K56">
            <v>35413</v>
          </cell>
          <cell r="L56">
            <v>539</v>
          </cell>
          <cell r="M56">
            <v>1.5</v>
          </cell>
          <cell r="P56" t="str">
            <v>Y</v>
          </cell>
        </row>
        <row r="57">
          <cell r="C57" t="str">
            <v>39120</v>
          </cell>
          <cell r="D57" t="str">
            <v xml:space="preserve">MABTON </v>
          </cell>
          <cell r="E57">
            <v>12009</v>
          </cell>
          <cell r="F57">
            <v>52738</v>
          </cell>
          <cell r="G57">
            <v>64747</v>
          </cell>
          <cell r="H57">
            <v>64747</v>
          </cell>
          <cell r="I57">
            <v>52166.7</v>
          </cell>
          <cell r="J57">
            <v>0</v>
          </cell>
          <cell r="K57">
            <v>40157.699999999997</v>
          </cell>
          <cell r="L57">
            <v>12580</v>
          </cell>
          <cell r="M57">
            <v>23.9</v>
          </cell>
          <cell r="P57" t="str">
            <v>Y</v>
          </cell>
        </row>
        <row r="58">
          <cell r="C58" t="str">
            <v>04019</v>
          </cell>
          <cell r="D58" t="str">
            <v xml:space="preserve">MANSON </v>
          </cell>
          <cell r="E58">
            <v>6752</v>
          </cell>
          <cell r="F58">
            <v>35571</v>
          </cell>
          <cell r="G58">
            <v>42323</v>
          </cell>
          <cell r="H58">
            <v>42323</v>
          </cell>
          <cell r="I58">
            <v>37530.089999999997</v>
          </cell>
          <cell r="J58">
            <v>0</v>
          </cell>
          <cell r="K58">
            <v>30778.09</v>
          </cell>
          <cell r="L58">
            <v>4792</v>
          </cell>
          <cell r="M58">
            <v>13.5</v>
          </cell>
          <cell r="P58" t="str">
            <v>Y</v>
          </cell>
        </row>
        <row r="59">
          <cell r="C59" t="str">
            <v>31025</v>
          </cell>
          <cell r="D59" t="str">
            <v xml:space="preserve">MARYSVILLE </v>
          </cell>
          <cell r="E59">
            <v>110494</v>
          </cell>
          <cell r="F59">
            <v>161921</v>
          </cell>
          <cell r="G59">
            <v>272415</v>
          </cell>
          <cell r="H59">
            <v>272415</v>
          </cell>
          <cell r="I59">
            <v>111029.26</v>
          </cell>
          <cell r="J59">
            <v>0</v>
          </cell>
          <cell r="K59">
            <v>535.26</v>
          </cell>
          <cell r="L59">
            <v>161385</v>
          </cell>
          <cell r="M59">
            <v>99.4</v>
          </cell>
          <cell r="P59" t="str">
            <v>N</v>
          </cell>
        </row>
        <row r="60">
          <cell r="C60" t="str">
            <v>32354</v>
          </cell>
          <cell r="D60" t="str">
            <v xml:space="preserve">MEAD </v>
          </cell>
          <cell r="E60">
            <v>10703</v>
          </cell>
          <cell r="F60">
            <v>43392</v>
          </cell>
          <cell r="G60">
            <v>54095</v>
          </cell>
          <cell r="H60">
            <v>54095</v>
          </cell>
          <cell r="I60">
            <v>35436.620000000003</v>
          </cell>
          <cell r="J60">
            <v>0</v>
          </cell>
          <cell r="K60">
            <v>24733.62</v>
          </cell>
          <cell r="L60">
            <v>18658</v>
          </cell>
          <cell r="M60">
            <v>43</v>
          </cell>
          <cell r="P60" t="str">
            <v>N</v>
          </cell>
        </row>
        <row r="61">
          <cell r="C61" t="str">
            <v>17400</v>
          </cell>
          <cell r="D61" t="str">
            <v xml:space="preserve">MERCER ISLAND </v>
          </cell>
          <cell r="E61">
            <v>12729</v>
          </cell>
          <cell r="F61">
            <v>15232</v>
          </cell>
          <cell r="G61">
            <v>27961</v>
          </cell>
          <cell r="H61">
            <v>27961</v>
          </cell>
          <cell r="I61">
            <v>20868.32</v>
          </cell>
          <cell r="J61">
            <v>0</v>
          </cell>
          <cell r="K61">
            <v>8139.32</v>
          </cell>
          <cell r="L61">
            <v>7092</v>
          </cell>
          <cell r="M61">
            <v>46.6</v>
          </cell>
          <cell r="P61" t="str">
            <v>N</v>
          </cell>
        </row>
        <row r="62">
          <cell r="C62" t="str">
            <v>37505</v>
          </cell>
          <cell r="D62" t="str">
            <v xml:space="preserve">MERIDIAN </v>
          </cell>
          <cell r="E62">
            <v>0</v>
          </cell>
          <cell r="F62">
            <v>16726</v>
          </cell>
          <cell r="G62">
            <v>16726</v>
          </cell>
          <cell r="H62">
            <v>16726</v>
          </cell>
          <cell r="I62">
            <v>16726</v>
          </cell>
          <cell r="J62">
            <v>0</v>
          </cell>
          <cell r="K62">
            <v>16726</v>
          </cell>
          <cell r="L62">
            <v>0</v>
          </cell>
          <cell r="M62">
            <v>0</v>
          </cell>
          <cell r="P62" t="str">
            <v>Y</v>
          </cell>
        </row>
        <row r="63">
          <cell r="C63" t="str">
            <v>31103</v>
          </cell>
          <cell r="D63" t="str">
            <v xml:space="preserve">MONROE </v>
          </cell>
          <cell r="E63">
            <v>19458</v>
          </cell>
          <cell r="F63">
            <v>75215</v>
          </cell>
          <cell r="G63">
            <v>94673</v>
          </cell>
          <cell r="H63">
            <v>75215</v>
          </cell>
          <cell r="I63">
            <v>70283.88</v>
          </cell>
          <cell r="J63">
            <v>0</v>
          </cell>
          <cell r="K63">
            <v>50825.88</v>
          </cell>
          <cell r="L63">
            <v>24389</v>
          </cell>
          <cell r="M63">
            <v>32.4</v>
          </cell>
          <cell r="P63" t="str">
            <v>N</v>
          </cell>
        </row>
        <row r="64">
          <cell r="C64" t="str">
            <v>13161</v>
          </cell>
          <cell r="D64" t="str">
            <v xml:space="preserve">MOSES LAKE </v>
          </cell>
          <cell r="E64">
            <v>91141</v>
          </cell>
          <cell r="F64">
            <v>125969</v>
          </cell>
          <cell r="G64">
            <v>217110</v>
          </cell>
          <cell r="H64">
            <v>217110</v>
          </cell>
          <cell r="I64">
            <v>116555.62</v>
          </cell>
          <cell r="J64">
            <v>0</v>
          </cell>
          <cell r="K64">
            <v>25414.62</v>
          </cell>
          <cell r="L64">
            <v>100554</v>
          </cell>
          <cell r="M64">
            <v>79.8</v>
          </cell>
          <cell r="P64" t="str">
            <v>N</v>
          </cell>
        </row>
        <row r="65">
          <cell r="C65" t="str">
            <v>21206</v>
          </cell>
          <cell r="D65" t="str">
            <v xml:space="preserve">MOSSYROCK </v>
          </cell>
          <cell r="E65">
            <v>3766</v>
          </cell>
          <cell r="F65">
            <v>0</v>
          </cell>
          <cell r="G65">
            <v>3766</v>
          </cell>
          <cell r="H65">
            <v>3766</v>
          </cell>
          <cell r="I65">
            <v>1241.3699999999999</v>
          </cell>
          <cell r="J65">
            <v>2524.63</v>
          </cell>
          <cell r="K65">
            <v>0</v>
          </cell>
          <cell r="L65">
            <v>0</v>
          </cell>
          <cell r="M65">
            <v>0</v>
          </cell>
          <cell r="P65" t="str">
            <v>Y</v>
          </cell>
        </row>
        <row r="66">
          <cell r="C66" t="str">
            <v>39209</v>
          </cell>
          <cell r="D66" t="str">
            <v xml:space="preserve">MOUNT ADAMS </v>
          </cell>
          <cell r="E66">
            <v>10768</v>
          </cell>
          <cell r="F66">
            <v>63748</v>
          </cell>
          <cell r="G66">
            <v>74516</v>
          </cell>
          <cell r="H66">
            <v>74516</v>
          </cell>
          <cell r="I66">
            <v>73695.399999999994</v>
          </cell>
          <cell r="J66">
            <v>0</v>
          </cell>
          <cell r="K66">
            <v>62927.4</v>
          </cell>
          <cell r="L66">
            <v>820</v>
          </cell>
          <cell r="M66">
            <v>1.3</v>
          </cell>
          <cell r="P66" t="str">
            <v>Y</v>
          </cell>
        </row>
        <row r="67">
          <cell r="C67" t="str">
            <v>37507</v>
          </cell>
          <cell r="D67" t="str">
            <v xml:space="preserve">MOUNT BAKER </v>
          </cell>
          <cell r="E67">
            <v>14387</v>
          </cell>
          <cell r="F67">
            <v>15095</v>
          </cell>
          <cell r="G67">
            <v>29482</v>
          </cell>
          <cell r="H67">
            <v>29482</v>
          </cell>
          <cell r="I67">
            <v>7632.79</v>
          </cell>
          <cell r="J67">
            <v>6754.21</v>
          </cell>
          <cell r="K67">
            <v>0</v>
          </cell>
          <cell r="L67">
            <v>15095</v>
          </cell>
          <cell r="M67">
            <v>100</v>
          </cell>
          <cell r="P67" t="str">
            <v>N</v>
          </cell>
        </row>
        <row r="68">
          <cell r="C68" t="str">
            <v>29320</v>
          </cell>
          <cell r="D68" t="str">
            <v xml:space="preserve">MOUNT VERNON </v>
          </cell>
          <cell r="E68">
            <v>0</v>
          </cell>
          <cell r="F68">
            <v>229435</v>
          </cell>
          <cell r="G68">
            <v>229435</v>
          </cell>
          <cell r="H68">
            <v>229435</v>
          </cell>
          <cell r="I68">
            <v>120718.42</v>
          </cell>
          <cell r="J68">
            <v>0</v>
          </cell>
          <cell r="K68">
            <v>120718.42</v>
          </cell>
          <cell r="L68">
            <v>108716</v>
          </cell>
          <cell r="M68">
            <v>47.4</v>
          </cell>
          <cell r="P68" t="str">
            <v>N</v>
          </cell>
        </row>
        <row r="69">
          <cell r="C69" t="str">
            <v>29320</v>
          </cell>
          <cell r="D69" t="str">
            <v xml:space="preserve">MOUNT VERNON </v>
          </cell>
          <cell r="E69">
            <v>101810</v>
          </cell>
          <cell r="F69">
            <v>0</v>
          </cell>
          <cell r="G69">
            <v>101810</v>
          </cell>
          <cell r="H69">
            <v>101810</v>
          </cell>
          <cell r="I69">
            <v>101810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Y</v>
          </cell>
        </row>
        <row r="70">
          <cell r="C70" t="str">
            <v>31006</v>
          </cell>
          <cell r="D70" t="str">
            <v xml:space="preserve">MUKILTEO </v>
          </cell>
          <cell r="E70">
            <v>58537</v>
          </cell>
          <cell r="F70">
            <v>399036</v>
          </cell>
          <cell r="G70">
            <v>457573</v>
          </cell>
          <cell r="H70">
            <v>457573</v>
          </cell>
          <cell r="I70">
            <v>410761.09</v>
          </cell>
          <cell r="J70">
            <v>0</v>
          </cell>
          <cell r="K70">
            <v>352224.09</v>
          </cell>
          <cell r="L70">
            <v>46811</v>
          </cell>
          <cell r="M70">
            <v>11.7</v>
          </cell>
          <cell r="P70" t="str">
            <v>Y</v>
          </cell>
        </row>
        <row r="71">
          <cell r="C71" t="str">
            <v>24014</v>
          </cell>
          <cell r="D71" t="str">
            <v xml:space="preserve">NESPELEM </v>
          </cell>
          <cell r="E71">
            <v>12227</v>
          </cell>
          <cell r="F71">
            <v>0</v>
          </cell>
          <cell r="G71">
            <v>12227</v>
          </cell>
          <cell r="H71">
            <v>12227</v>
          </cell>
          <cell r="I71">
            <v>12227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P71" t="str">
            <v>Y</v>
          </cell>
        </row>
        <row r="72">
          <cell r="C72" t="str">
            <v>37506</v>
          </cell>
          <cell r="D72" t="str">
            <v xml:space="preserve">NOOKSACK VALLEY </v>
          </cell>
          <cell r="E72">
            <v>31986</v>
          </cell>
          <cell r="F72">
            <v>29915</v>
          </cell>
          <cell r="G72">
            <v>61901</v>
          </cell>
          <cell r="H72">
            <v>61901</v>
          </cell>
          <cell r="I72">
            <v>59068.85</v>
          </cell>
          <cell r="J72">
            <v>0</v>
          </cell>
          <cell r="K72">
            <v>27082.85</v>
          </cell>
          <cell r="L72">
            <v>2832</v>
          </cell>
          <cell r="M72">
            <v>9.5</v>
          </cell>
          <cell r="P72" t="str">
            <v>Y</v>
          </cell>
        </row>
        <row r="73">
          <cell r="C73" t="str">
            <v>11051</v>
          </cell>
          <cell r="D73" t="str">
            <v xml:space="preserve">NORTH FRANKLIN </v>
          </cell>
          <cell r="E73">
            <v>109273</v>
          </cell>
          <cell r="F73">
            <v>101118</v>
          </cell>
          <cell r="G73">
            <v>210391</v>
          </cell>
          <cell r="H73">
            <v>210391</v>
          </cell>
          <cell r="I73">
            <v>119490.96</v>
          </cell>
          <cell r="J73">
            <v>0</v>
          </cell>
          <cell r="K73">
            <v>10217.959999999999</v>
          </cell>
          <cell r="L73">
            <v>90900</v>
          </cell>
          <cell r="M73">
            <v>89.9</v>
          </cell>
          <cell r="P73" t="str">
            <v>N</v>
          </cell>
        </row>
        <row r="74">
          <cell r="C74" t="str">
            <v>18400</v>
          </cell>
          <cell r="D74" t="str">
            <v xml:space="preserve">NORTH KITSAP </v>
          </cell>
          <cell r="E74">
            <v>11438</v>
          </cell>
          <cell r="F74">
            <v>27430</v>
          </cell>
          <cell r="G74">
            <v>38868</v>
          </cell>
          <cell r="H74">
            <v>38868</v>
          </cell>
          <cell r="I74">
            <v>29430.55</v>
          </cell>
          <cell r="J74">
            <v>0</v>
          </cell>
          <cell r="K74">
            <v>17992.55</v>
          </cell>
          <cell r="L74">
            <v>9437</v>
          </cell>
          <cell r="M74">
            <v>34.4</v>
          </cell>
          <cell r="P74" t="str">
            <v>N</v>
          </cell>
        </row>
        <row r="75">
          <cell r="C75" t="str">
            <v>23403</v>
          </cell>
          <cell r="D75" t="str">
            <v xml:space="preserve">NORTH MASON </v>
          </cell>
          <cell r="E75">
            <v>21064</v>
          </cell>
          <cell r="F75">
            <v>25752</v>
          </cell>
          <cell r="G75">
            <v>46816</v>
          </cell>
          <cell r="H75">
            <v>46816</v>
          </cell>
          <cell r="I75">
            <v>46815.96</v>
          </cell>
          <cell r="J75">
            <v>0</v>
          </cell>
          <cell r="K75">
            <v>25751.96</v>
          </cell>
          <cell r="L75">
            <v>0</v>
          </cell>
          <cell r="M75">
            <v>0</v>
          </cell>
          <cell r="P75" t="str">
            <v>Y</v>
          </cell>
        </row>
        <row r="76">
          <cell r="C76" t="str">
            <v>34003</v>
          </cell>
          <cell r="D76" t="str">
            <v>NORTH THURSTON PUBLIC SCHOOLS</v>
          </cell>
          <cell r="E76">
            <v>30220</v>
          </cell>
          <cell r="F76">
            <v>89164</v>
          </cell>
          <cell r="G76">
            <v>119384</v>
          </cell>
          <cell r="H76">
            <v>119384</v>
          </cell>
          <cell r="I76">
            <v>99322.16</v>
          </cell>
          <cell r="J76">
            <v>0</v>
          </cell>
          <cell r="K76">
            <v>69102.16</v>
          </cell>
          <cell r="L76">
            <v>20061</v>
          </cell>
          <cell r="M76">
            <v>22.5</v>
          </cell>
          <cell r="P76" t="str">
            <v>Y</v>
          </cell>
        </row>
        <row r="77">
          <cell r="C77" t="str">
            <v>17417</v>
          </cell>
          <cell r="D77" t="str">
            <v xml:space="preserve">NORTHSHORE </v>
          </cell>
          <cell r="E77">
            <v>185142</v>
          </cell>
          <cell r="F77">
            <v>181133</v>
          </cell>
          <cell r="G77">
            <v>366275</v>
          </cell>
          <cell r="H77">
            <v>366275</v>
          </cell>
          <cell r="I77">
            <v>196746.95</v>
          </cell>
          <cell r="J77">
            <v>0</v>
          </cell>
          <cell r="K77">
            <v>11604.95</v>
          </cell>
          <cell r="L77">
            <v>169528</v>
          </cell>
          <cell r="M77">
            <v>93.6</v>
          </cell>
          <cell r="P77" t="str">
            <v>N</v>
          </cell>
        </row>
        <row r="78">
          <cell r="C78" t="str">
            <v>15201</v>
          </cell>
          <cell r="D78" t="str">
            <v xml:space="preserve">OAK HARBOR </v>
          </cell>
          <cell r="E78">
            <v>12659</v>
          </cell>
          <cell r="F78">
            <v>27871</v>
          </cell>
          <cell r="G78">
            <v>40530</v>
          </cell>
          <cell r="H78">
            <v>40530</v>
          </cell>
          <cell r="I78">
            <v>23799</v>
          </cell>
          <cell r="J78">
            <v>0</v>
          </cell>
          <cell r="K78">
            <v>11140</v>
          </cell>
          <cell r="L78">
            <v>16731</v>
          </cell>
          <cell r="M78">
            <v>0</v>
          </cell>
          <cell r="P78" t="str">
            <v>Y</v>
          </cell>
        </row>
        <row r="79">
          <cell r="C79" t="str">
            <v>25101</v>
          </cell>
          <cell r="D79" t="str">
            <v xml:space="preserve">OCEAN BEACH </v>
          </cell>
          <cell r="E79">
            <v>13690</v>
          </cell>
          <cell r="F79">
            <v>31806</v>
          </cell>
          <cell r="G79">
            <v>45496</v>
          </cell>
          <cell r="H79">
            <v>31806</v>
          </cell>
          <cell r="I79">
            <v>16501.79</v>
          </cell>
          <cell r="J79">
            <v>0</v>
          </cell>
          <cell r="K79">
            <v>2811.79</v>
          </cell>
          <cell r="L79">
            <v>28994</v>
          </cell>
          <cell r="M79">
            <v>91.2</v>
          </cell>
          <cell r="P79" t="str">
            <v>N</v>
          </cell>
        </row>
        <row r="80">
          <cell r="C80" t="str">
            <v>24105</v>
          </cell>
          <cell r="D80" t="str">
            <v xml:space="preserve">OKANOGAN </v>
          </cell>
          <cell r="E80">
            <v>14453</v>
          </cell>
          <cell r="F80">
            <v>11619</v>
          </cell>
          <cell r="G80">
            <v>26072</v>
          </cell>
          <cell r="H80">
            <v>26072</v>
          </cell>
          <cell r="I80">
            <v>11960.66</v>
          </cell>
          <cell r="J80">
            <v>2492.34</v>
          </cell>
          <cell r="K80">
            <v>0</v>
          </cell>
          <cell r="L80">
            <v>11619</v>
          </cell>
          <cell r="M80">
            <v>100</v>
          </cell>
          <cell r="P80" t="str">
            <v>N</v>
          </cell>
        </row>
        <row r="81">
          <cell r="C81" t="str">
            <v>34111</v>
          </cell>
          <cell r="D81" t="str">
            <v xml:space="preserve">OLYMPIA </v>
          </cell>
          <cell r="E81">
            <v>25734</v>
          </cell>
          <cell r="F81">
            <v>32369</v>
          </cell>
          <cell r="G81">
            <v>58103</v>
          </cell>
          <cell r="H81">
            <v>58103</v>
          </cell>
          <cell r="I81">
            <v>58103</v>
          </cell>
          <cell r="J81">
            <v>0</v>
          </cell>
          <cell r="K81">
            <v>32369</v>
          </cell>
          <cell r="L81">
            <v>0</v>
          </cell>
          <cell r="M81">
            <v>0</v>
          </cell>
          <cell r="P81" t="str">
            <v>Y</v>
          </cell>
        </row>
        <row r="82">
          <cell r="C82" t="str">
            <v>24019</v>
          </cell>
          <cell r="D82" t="str">
            <v xml:space="preserve">OMAK </v>
          </cell>
          <cell r="E82">
            <v>102</v>
          </cell>
          <cell r="F82">
            <v>21046</v>
          </cell>
          <cell r="G82">
            <v>21148</v>
          </cell>
          <cell r="H82">
            <v>21046</v>
          </cell>
          <cell r="I82">
            <v>14988.06</v>
          </cell>
          <cell r="J82">
            <v>0</v>
          </cell>
          <cell r="K82">
            <v>14886.06</v>
          </cell>
          <cell r="L82">
            <v>6159</v>
          </cell>
          <cell r="M82">
            <v>29.3</v>
          </cell>
          <cell r="P82" t="str">
            <v>N</v>
          </cell>
        </row>
        <row r="83">
          <cell r="C83" t="str">
            <v>09013</v>
          </cell>
          <cell r="D83" t="str">
            <v xml:space="preserve">ORONDO </v>
          </cell>
          <cell r="E83">
            <v>11552</v>
          </cell>
          <cell r="F83">
            <v>16390</v>
          </cell>
          <cell r="G83">
            <v>27942</v>
          </cell>
          <cell r="H83">
            <v>27942</v>
          </cell>
          <cell r="I83">
            <v>19999.53</v>
          </cell>
          <cell r="J83">
            <v>0</v>
          </cell>
          <cell r="K83">
            <v>8447.5300000000007</v>
          </cell>
          <cell r="L83">
            <v>7942</v>
          </cell>
          <cell r="M83">
            <v>48.5</v>
          </cell>
          <cell r="P83" t="str">
            <v>N</v>
          </cell>
        </row>
        <row r="84">
          <cell r="C84" t="str">
            <v>24410</v>
          </cell>
          <cell r="D84" t="str">
            <v xml:space="preserve">OROVILLE </v>
          </cell>
          <cell r="E84">
            <v>0</v>
          </cell>
          <cell r="F84">
            <v>12912</v>
          </cell>
          <cell r="G84">
            <v>12912</v>
          </cell>
          <cell r="H84">
            <v>12912</v>
          </cell>
          <cell r="I84">
            <v>12912</v>
          </cell>
          <cell r="J84">
            <v>0</v>
          </cell>
          <cell r="K84">
            <v>12912</v>
          </cell>
          <cell r="L84">
            <v>0</v>
          </cell>
          <cell r="M84">
            <v>0</v>
          </cell>
          <cell r="P84" t="str">
            <v>Y</v>
          </cell>
        </row>
        <row r="85">
          <cell r="C85" t="str">
            <v>01147</v>
          </cell>
          <cell r="D85" t="str">
            <v xml:space="preserve">OTHELLO </v>
          </cell>
          <cell r="E85">
            <v>13837</v>
          </cell>
          <cell r="F85">
            <v>235899</v>
          </cell>
          <cell r="G85">
            <v>249736</v>
          </cell>
          <cell r="H85">
            <v>249736</v>
          </cell>
          <cell r="I85">
            <v>203457.27</v>
          </cell>
          <cell r="J85">
            <v>0</v>
          </cell>
          <cell r="K85">
            <v>189620.27</v>
          </cell>
          <cell r="L85">
            <v>46278</v>
          </cell>
          <cell r="M85">
            <v>19.600000000000001</v>
          </cell>
          <cell r="P85" t="str">
            <v>Y</v>
          </cell>
        </row>
        <row r="86">
          <cell r="C86" t="str">
            <v>11001</v>
          </cell>
          <cell r="D86" t="str">
            <v xml:space="preserve">PASCO </v>
          </cell>
          <cell r="E86">
            <v>887718</v>
          </cell>
          <cell r="F86">
            <v>832037</v>
          </cell>
          <cell r="G86">
            <v>1719755</v>
          </cell>
          <cell r="H86">
            <v>1719755</v>
          </cell>
          <cell r="I86">
            <v>1120632.83</v>
          </cell>
          <cell r="J86">
            <v>0</v>
          </cell>
          <cell r="K86">
            <v>232914.83</v>
          </cell>
          <cell r="L86">
            <v>599122</v>
          </cell>
          <cell r="M86">
            <v>72</v>
          </cell>
          <cell r="P86" t="str">
            <v>N</v>
          </cell>
        </row>
        <row r="87">
          <cell r="C87" t="str">
            <v>27401</v>
          </cell>
          <cell r="D87" t="str">
            <v xml:space="preserve">PENINSULA </v>
          </cell>
          <cell r="E87">
            <v>0</v>
          </cell>
          <cell r="F87">
            <v>11816</v>
          </cell>
          <cell r="G87">
            <v>11816</v>
          </cell>
          <cell r="H87">
            <v>11816</v>
          </cell>
          <cell r="I87">
            <v>5293.42</v>
          </cell>
          <cell r="J87">
            <v>0</v>
          </cell>
          <cell r="K87">
            <v>5293.42</v>
          </cell>
          <cell r="L87">
            <v>6522</v>
          </cell>
          <cell r="M87">
            <v>55.2</v>
          </cell>
          <cell r="P87" t="str">
            <v>N</v>
          </cell>
        </row>
        <row r="88">
          <cell r="C88" t="str">
            <v>36402</v>
          </cell>
          <cell r="D88" t="str">
            <v xml:space="preserve">PRESCOTT </v>
          </cell>
          <cell r="E88">
            <v>13634</v>
          </cell>
          <cell r="F88">
            <v>19014</v>
          </cell>
          <cell r="G88">
            <v>32648</v>
          </cell>
          <cell r="H88">
            <v>32648</v>
          </cell>
          <cell r="I88">
            <v>9368.93</v>
          </cell>
          <cell r="J88">
            <v>4265.07</v>
          </cell>
          <cell r="K88">
            <v>0</v>
          </cell>
          <cell r="L88">
            <v>19014</v>
          </cell>
          <cell r="M88">
            <v>100</v>
          </cell>
          <cell r="P88" t="str">
            <v>N</v>
          </cell>
        </row>
        <row r="89">
          <cell r="C89" t="str">
            <v>03116</v>
          </cell>
          <cell r="D89" t="str">
            <v xml:space="preserve">PROSSER </v>
          </cell>
          <cell r="E89">
            <v>44937</v>
          </cell>
          <cell r="F89">
            <v>90170</v>
          </cell>
          <cell r="G89">
            <v>135107</v>
          </cell>
          <cell r="H89">
            <v>135107</v>
          </cell>
          <cell r="I89">
            <v>128806.68</v>
          </cell>
          <cell r="J89">
            <v>0</v>
          </cell>
          <cell r="K89">
            <v>83869.679999999993</v>
          </cell>
          <cell r="L89">
            <v>6300</v>
          </cell>
          <cell r="M89">
            <v>7</v>
          </cell>
          <cell r="P89" t="str">
            <v>Y</v>
          </cell>
        </row>
        <row r="90">
          <cell r="C90" t="str">
            <v>38267</v>
          </cell>
          <cell r="D90" t="str">
            <v xml:space="preserve">PULLMAN </v>
          </cell>
          <cell r="E90">
            <v>3139</v>
          </cell>
          <cell r="F90">
            <v>20446</v>
          </cell>
          <cell r="G90">
            <v>23585</v>
          </cell>
          <cell r="H90">
            <v>23585</v>
          </cell>
          <cell r="I90">
            <v>13135.67</v>
          </cell>
          <cell r="J90">
            <v>0</v>
          </cell>
          <cell r="K90">
            <v>9996.67</v>
          </cell>
          <cell r="L90">
            <v>10449</v>
          </cell>
          <cell r="M90">
            <v>51.1</v>
          </cell>
          <cell r="P90" t="str">
            <v>N</v>
          </cell>
        </row>
        <row r="91">
          <cell r="C91" t="str">
            <v>27003</v>
          </cell>
          <cell r="D91" t="str">
            <v xml:space="preserve">PUYALLUP </v>
          </cell>
          <cell r="E91">
            <v>397</v>
          </cell>
          <cell r="F91">
            <v>134809</v>
          </cell>
          <cell r="G91">
            <v>135206</v>
          </cell>
          <cell r="H91">
            <v>135206</v>
          </cell>
          <cell r="I91">
            <v>131084.1</v>
          </cell>
          <cell r="J91">
            <v>0</v>
          </cell>
          <cell r="K91">
            <v>130687.1</v>
          </cell>
          <cell r="L91">
            <v>4121</v>
          </cell>
          <cell r="M91">
            <v>3.1</v>
          </cell>
          <cell r="P91" t="str">
            <v>Y</v>
          </cell>
        </row>
        <row r="92">
          <cell r="C92" t="str">
            <v>05402</v>
          </cell>
          <cell r="D92" t="str">
            <v xml:space="preserve">QUILLAYUTE VALLEY </v>
          </cell>
          <cell r="E92">
            <v>0</v>
          </cell>
          <cell r="F92">
            <v>14549</v>
          </cell>
          <cell r="G92">
            <v>14549</v>
          </cell>
          <cell r="H92">
            <v>14549</v>
          </cell>
          <cell r="I92">
            <v>12089.49</v>
          </cell>
          <cell r="J92">
            <v>0</v>
          </cell>
          <cell r="K92">
            <v>12089.49</v>
          </cell>
          <cell r="L92">
            <v>2459</v>
          </cell>
          <cell r="M92">
            <v>16.899999999999999</v>
          </cell>
          <cell r="P92" t="str">
            <v>Y</v>
          </cell>
        </row>
        <row r="93">
          <cell r="C93" t="str">
            <v>13144</v>
          </cell>
          <cell r="D93" t="str">
            <v xml:space="preserve">QUINCY </v>
          </cell>
          <cell r="E93">
            <v>156249</v>
          </cell>
          <cell r="F93">
            <v>160884</v>
          </cell>
          <cell r="G93">
            <v>317133</v>
          </cell>
          <cell r="H93">
            <v>317133</v>
          </cell>
          <cell r="I93">
            <v>233474.55</v>
          </cell>
          <cell r="J93">
            <v>0</v>
          </cell>
          <cell r="K93">
            <v>77225.55</v>
          </cell>
          <cell r="L93">
            <v>83658</v>
          </cell>
          <cell r="M93">
            <v>52</v>
          </cell>
          <cell r="P93" t="str">
            <v>N</v>
          </cell>
        </row>
        <row r="94">
          <cell r="C94" t="str">
            <v>17403</v>
          </cell>
          <cell r="D94" t="str">
            <v xml:space="preserve">RENTON </v>
          </cell>
          <cell r="E94">
            <v>47811</v>
          </cell>
          <cell r="F94">
            <v>371703</v>
          </cell>
          <cell r="G94">
            <v>419514</v>
          </cell>
          <cell r="H94">
            <v>419514</v>
          </cell>
          <cell r="I94">
            <v>298945.7</v>
          </cell>
          <cell r="J94">
            <v>0</v>
          </cell>
          <cell r="K94">
            <v>251134.7</v>
          </cell>
          <cell r="L94">
            <v>120568</v>
          </cell>
          <cell r="M94">
            <v>32.4</v>
          </cell>
          <cell r="P94" t="str">
            <v>N</v>
          </cell>
        </row>
        <row r="95">
          <cell r="C95" t="str">
            <v>03400</v>
          </cell>
          <cell r="D95" t="str">
            <v xml:space="preserve">RICHLAND </v>
          </cell>
          <cell r="E95">
            <v>53437</v>
          </cell>
          <cell r="F95">
            <v>65577</v>
          </cell>
          <cell r="G95">
            <v>119014</v>
          </cell>
          <cell r="H95">
            <v>119014</v>
          </cell>
          <cell r="I95">
            <v>99883.35</v>
          </cell>
          <cell r="J95">
            <v>0</v>
          </cell>
          <cell r="K95">
            <v>46446.35</v>
          </cell>
          <cell r="L95">
            <v>19130</v>
          </cell>
          <cell r="M95">
            <v>29.2</v>
          </cell>
          <cell r="P95" t="str">
            <v>N</v>
          </cell>
        </row>
        <row r="96">
          <cell r="C96" t="str">
            <v>06122</v>
          </cell>
          <cell r="D96" t="str">
            <v xml:space="preserve">RIDGEFIELD </v>
          </cell>
          <cell r="E96">
            <v>0</v>
          </cell>
          <cell r="F96">
            <v>10810</v>
          </cell>
          <cell r="G96">
            <v>10810</v>
          </cell>
          <cell r="H96">
            <v>10810</v>
          </cell>
          <cell r="I96">
            <v>10810</v>
          </cell>
          <cell r="J96">
            <v>0</v>
          </cell>
          <cell r="K96">
            <v>10810</v>
          </cell>
          <cell r="L96">
            <v>0</v>
          </cell>
          <cell r="M96">
            <v>0</v>
          </cell>
          <cell r="P96" t="str">
            <v>Y</v>
          </cell>
        </row>
        <row r="97">
          <cell r="C97" t="str">
            <v>17407</v>
          </cell>
          <cell r="D97" t="str">
            <v xml:space="preserve">RIVERVIEW </v>
          </cell>
          <cell r="E97">
            <v>13494</v>
          </cell>
          <cell r="F97">
            <v>14668</v>
          </cell>
          <cell r="G97">
            <v>28162</v>
          </cell>
          <cell r="H97">
            <v>28162</v>
          </cell>
          <cell r="I97">
            <v>26309.61</v>
          </cell>
          <cell r="J97">
            <v>0</v>
          </cell>
          <cell r="K97">
            <v>12815.61</v>
          </cell>
          <cell r="L97">
            <v>1852</v>
          </cell>
          <cell r="M97">
            <v>12.6</v>
          </cell>
          <cell r="P97" t="str">
            <v>Y</v>
          </cell>
        </row>
        <row r="98">
          <cell r="C98" t="str">
            <v>34401</v>
          </cell>
          <cell r="D98" t="str">
            <v xml:space="preserve">ROCHESTER </v>
          </cell>
          <cell r="E98">
            <v>18156</v>
          </cell>
          <cell r="F98">
            <v>18662</v>
          </cell>
          <cell r="G98">
            <v>36818</v>
          </cell>
          <cell r="H98">
            <v>36818</v>
          </cell>
          <cell r="I98">
            <v>32050.27</v>
          </cell>
          <cell r="J98">
            <v>0</v>
          </cell>
          <cell r="K98">
            <v>13894.27</v>
          </cell>
          <cell r="L98">
            <v>4767</v>
          </cell>
          <cell r="M98">
            <v>25.5</v>
          </cell>
          <cell r="P98" t="str">
            <v>Y</v>
          </cell>
        </row>
        <row r="99">
          <cell r="C99" t="str">
            <v>13160</v>
          </cell>
          <cell r="D99" t="str">
            <v xml:space="preserve">ROYAL </v>
          </cell>
          <cell r="E99">
            <v>109033</v>
          </cell>
          <cell r="F99">
            <v>105799</v>
          </cell>
          <cell r="G99">
            <v>214832</v>
          </cell>
          <cell r="H99">
            <v>214832</v>
          </cell>
          <cell r="I99">
            <v>121462.24</v>
          </cell>
          <cell r="J99">
            <v>0</v>
          </cell>
          <cell r="K99">
            <v>12429.24</v>
          </cell>
          <cell r="L99">
            <v>93369</v>
          </cell>
          <cell r="M99">
            <v>88.3</v>
          </cell>
          <cell r="P99" t="str">
            <v>N</v>
          </cell>
        </row>
        <row r="100">
          <cell r="C100" t="str">
            <v>28149</v>
          </cell>
          <cell r="D100" t="str">
            <v xml:space="preserve">SAN JUAN ISLAND </v>
          </cell>
          <cell r="E100">
            <v>2673</v>
          </cell>
          <cell r="F100">
            <v>12906</v>
          </cell>
          <cell r="G100">
            <v>15579</v>
          </cell>
          <cell r="H100">
            <v>15579</v>
          </cell>
          <cell r="I100">
            <v>10283.18</v>
          </cell>
          <cell r="J100">
            <v>0</v>
          </cell>
          <cell r="K100">
            <v>7610.18</v>
          </cell>
          <cell r="L100">
            <v>5295</v>
          </cell>
          <cell r="M100">
            <v>41</v>
          </cell>
          <cell r="P100" t="str">
            <v>N</v>
          </cell>
        </row>
        <row r="101">
          <cell r="C101" t="str">
            <v>17001</v>
          </cell>
          <cell r="D101" t="str">
            <v>SEATTLE PUBLIC SCHOOLS</v>
          </cell>
          <cell r="E101">
            <v>378756</v>
          </cell>
          <cell r="F101">
            <v>858766</v>
          </cell>
          <cell r="G101">
            <v>1237522</v>
          </cell>
          <cell r="H101">
            <v>1237522</v>
          </cell>
          <cell r="I101">
            <v>1027674.46</v>
          </cell>
          <cell r="J101">
            <v>0</v>
          </cell>
          <cell r="K101">
            <v>648918.46</v>
          </cell>
          <cell r="L101">
            <v>209847</v>
          </cell>
          <cell r="M101">
            <v>22.7</v>
          </cell>
          <cell r="P101" t="str">
            <v>Y</v>
          </cell>
        </row>
        <row r="102">
          <cell r="C102" t="str">
            <v>29101</v>
          </cell>
          <cell r="D102" t="str">
            <v xml:space="preserve">SEDRO-WOOLLEY </v>
          </cell>
          <cell r="E102">
            <v>0</v>
          </cell>
          <cell r="F102">
            <v>45139</v>
          </cell>
          <cell r="G102">
            <v>45139</v>
          </cell>
          <cell r="H102">
            <v>45139</v>
          </cell>
          <cell r="I102">
            <v>45139</v>
          </cell>
          <cell r="J102">
            <v>0</v>
          </cell>
          <cell r="K102">
            <v>45139</v>
          </cell>
          <cell r="L102">
            <v>0</v>
          </cell>
          <cell r="M102">
            <v>0</v>
          </cell>
          <cell r="P102" t="str">
            <v>Y</v>
          </cell>
        </row>
        <row r="103">
          <cell r="C103" t="str">
            <v>39119</v>
          </cell>
          <cell r="D103" t="str">
            <v xml:space="preserve">SELAH </v>
          </cell>
          <cell r="E103">
            <v>17335</v>
          </cell>
          <cell r="F103">
            <v>31775</v>
          </cell>
          <cell r="G103">
            <v>49110</v>
          </cell>
          <cell r="H103">
            <v>49110</v>
          </cell>
          <cell r="I103">
            <v>44563.86</v>
          </cell>
          <cell r="J103">
            <v>0</v>
          </cell>
          <cell r="K103">
            <v>27228.86</v>
          </cell>
          <cell r="L103">
            <v>4546</v>
          </cell>
          <cell r="M103">
            <v>14.3</v>
          </cell>
          <cell r="P103" t="str">
            <v>Y</v>
          </cell>
        </row>
        <row r="104">
          <cell r="C104" t="str">
            <v>23309</v>
          </cell>
          <cell r="D104" t="str">
            <v xml:space="preserve">SHELTON </v>
          </cell>
          <cell r="E104">
            <v>49853</v>
          </cell>
          <cell r="F104">
            <v>62711</v>
          </cell>
          <cell r="G104">
            <v>112564</v>
          </cell>
          <cell r="H104">
            <v>112564</v>
          </cell>
          <cell r="I104">
            <v>60696.74</v>
          </cell>
          <cell r="J104">
            <v>0</v>
          </cell>
          <cell r="K104">
            <v>10843.74</v>
          </cell>
          <cell r="L104">
            <v>51867</v>
          </cell>
          <cell r="M104">
            <v>82.7</v>
          </cell>
          <cell r="P104" t="str">
            <v>N</v>
          </cell>
        </row>
        <row r="105">
          <cell r="C105" t="str">
            <v>17412</v>
          </cell>
          <cell r="D105" t="str">
            <v xml:space="preserve">SHORELINE </v>
          </cell>
          <cell r="E105">
            <v>12486</v>
          </cell>
          <cell r="F105">
            <v>98587</v>
          </cell>
          <cell r="G105">
            <v>111073</v>
          </cell>
          <cell r="H105">
            <v>111073</v>
          </cell>
          <cell r="I105">
            <v>109381.22</v>
          </cell>
          <cell r="J105">
            <v>0</v>
          </cell>
          <cell r="K105">
            <v>96895.22</v>
          </cell>
          <cell r="L105">
            <v>1691</v>
          </cell>
          <cell r="M105">
            <v>1.7</v>
          </cell>
          <cell r="P105" t="str">
            <v>Y</v>
          </cell>
        </row>
        <row r="106">
          <cell r="C106" t="str">
            <v>31201</v>
          </cell>
          <cell r="D106" t="str">
            <v xml:space="preserve">SNOHOMISH </v>
          </cell>
          <cell r="E106">
            <v>15167</v>
          </cell>
          <cell r="F106">
            <v>44064</v>
          </cell>
          <cell r="G106">
            <v>59231</v>
          </cell>
          <cell r="H106">
            <v>59231</v>
          </cell>
          <cell r="I106">
            <v>57092.7</v>
          </cell>
          <cell r="J106">
            <v>0</v>
          </cell>
          <cell r="K106">
            <v>41925.699999999997</v>
          </cell>
          <cell r="L106">
            <v>2138</v>
          </cell>
          <cell r="M106">
            <v>4.9000000000000004</v>
          </cell>
          <cell r="P106" t="str">
            <v>Y</v>
          </cell>
        </row>
        <row r="107">
          <cell r="C107" t="str">
            <v>17410</v>
          </cell>
          <cell r="D107" t="str">
            <v xml:space="preserve">SNOQUALMIE VALLEY </v>
          </cell>
          <cell r="E107">
            <v>6977</v>
          </cell>
          <cell r="F107">
            <v>24212</v>
          </cell>
          <cell r="G107">
            <v>31189</v>
          </cell>
          <cell r="H107">
            <v>31189</v>
          </cell>
          <cell r="I107">
            <v>19855.29</v>
          </cell>
          <cell r="J107">
            <v>0</v>
          </cell>
          <cell r="K107">
            <v>12878.29</v>
          </cell>
          <cell r="L107">
            <v>11333</v>
          </cell>
          <cell r="M107">
            <v>46.8</v>
          </cell>
          <cell r="P107" t="str">
            <v>N</v>
          </cell>
        </row>
        <row r="108">
          <cell r="C108" t="str">
            <v>25118</v>
          </cell>
          <cell r="D108" t="str">
            <v xml:space="preserve">SOUTH BEND </v>
          </cell>
          <cell r="E108">
            <v>65</v>
          </cell>
          <cell r="F108">
            <v>13618</v>
          </cell>
          <cell r="G108">
            <v>13683</v>
          </cell>
          <cell r="H108">
            <v>13618</v>
          </cell>
          <cell r="I108">
            <v>13618</v>
          </cell>
          <cell r="J108">
            <v>0</v>
          </cell>
          <cell r="K108">
            <v>13553</v>
          </cell>
          <cell r="L108">
            <v>65</v>
          </cell>
          <cell r="M108">
            <v>0.5</v>
          </cell>
          <cell r="P108" t="str">
            <v>Y</v>
          </cell>
        </row>
        <row r="109">
          <cell r="C109" t="str">
            <v>18402</v>
          </cell>
          <cell r="D109" t="str">
            <v xml:space="preserve">SOUTH KITSAP </v>
          </cell>
          <cell r="E109">
            <v>5404</v>
          </cell>
          <cell r="F109">
            <v>17838</v>
          </cell>
          <cell r="G109">
            <v>23242</v>
          </cell>
          <cell r="H109">
            <v>23242</v>
          </cell>
          <cell r="I109">
            <v>15385.25</v>
          </cell>
          <cell r="J109">
            <v>0</v>
          </cell>
          <cell r="K109">
            <v>9981.25</v>
          </cell>
          <cell r="L109">
            <v>7856</v>
          </cell>
          <cell r="M109">
            <v>44</v>
          </cell>
          <cell r="P109" t="str">
            <v>N</v>
          </cell>
        </row>
        <row r="110">
          <cell r="C110" t="str">
            <v>32081</v>
          </cell>
          <cell r="D110" t="str">
            <v xml:space="preserve">SPOKANE </v>
          </cell>
          <cell r="E110">
            <v>83854</v>
          </cell>
          <cell r="F110">
            <v>227318</v>
          </cell>
          <cell r="G110">
            <v>311172</v>
          </cell>
          <cell r="H110">
            <v>311172</v>
          </cell>
          <cell r="I110">
            <v>171817.45</v>
          </cell>
          <cell r="J110">
            <v>0</v>
          </cell>
          <cell r="K110">
            <v>87963.45</v>
          </cell>
          <cell r="L110">
            <v>139354</v>
          </cell>
          <cell r="M110">
            <v>61.3</v>
          </cell>
          <cell r="P110" t="str">
            <v>N</v>
          </cell>
        </row>
        <row r="111">
          <cell r="C111" t="str">
            <v>31401</v>
          </cell>
          <cell r="D111" t="str">
            <v xml:space="preserve">STANWOOD-CAMANO </v>
          </cell>
          <cell r="E111">
            <v>4603</v>
          </cell>
          <cell r="F111">
            <v>15736</v>
          </cell>
          <cell r="G111">
            <v>20339</v>
          </cell>
          <cell r="H111">
            <v>20339</v>
          </cell>
          <cell r="I111">
            <v>20339</v>
          </cell>
          <cell r="J111">
            <v>0</v>
          </cell>
          <cell r="K111">
            <v>15736</v>
          </cell>
          <cell r="L111">
            <v>0</v>
          </cell>
          <cell r="M111">
            <v>0</v>
          </cell>
          <cell r="P111" t="str">
            <v>Y</v>
          </cell>
        </row>
        <row r="112">
          <cell r="C112" t="str">
            <v>27001</v>
          </cell>
          <cell r="D112" t="str">
            <v xml:space="preserve">STEILACOOM HIST. </v>
          </cell>
          <cell r="E112">
            <v>10633</v>
          </cell>
          <cell r="F112">
            <v>12945</v>
          </cell>
          <cell r="G112">
            <v>23578</v>
          </cell>
          <cell r="H112">
            <v>23578</v>
          </cell>
          <cell r="I112">
            <v>20450.97</v>
          </cell>
          <cell r="J112">
            <v>0</v>
          </cell>
          <cell r="K112">
            <v>9817.9699999999993</v>
          </cell>
          <cell r="L112">
            <v>3127</v>
          </cell>
          <cell r="M112">
            <v>24.2</v>
          </cell>
          <cell r="P112" t="str">
            <v>Y</v>
          </cell>
        </row>
        <row r="113">
          <cell r="C113" t="str">
            <v>31311</v>
          </cell>
          <cell r="D113" t="str">
            <v xml:space="preserve">SULTAN </v>
          </cell>
          <cell r="E113">
            <v>14759</v>
          </cell>
          <cell r="F113">
            <v>20249</v>
          </cell>
          <cell r="G113">
            <v>35008</v>
          </cell>
          <cell r="H113">
            <v>35008</v>
          </cell>
          <cell r="I113">
            <v>10333.81</v>
          </cell>
          <cell r="J113">
            <v>4425.1899999999996</v>
          </cell>
          <cell r="K113">
            <v>0</v>
          </cell>
          <cell r="L113">
            <v>20249</v>
          </cell>
          <cell r="M113">
            <v>100</v>
          </cell>
          <cell r="P113" t="str">
            <v>N</v>
          </cell>
        </row>
        <row r="114">
          <cell r="C114" t="str">
            <v>27320</v>
          </cell>
          <cell r="D114" t="str">
            <v xml:space="preserve">SUMNER </v>
          </cell>
          <cell r="E114">
            <v>1997</v>
          </cell>
          <cell r="F114">
            <v>42599</v>
          </cell>
          <cell r="G114">
            <v>44596</v>
          </cell>
          <cell r="H114">
            <v>44596</v>
          </cell>
          <cell r="I114">
            <v>31806.7</v>
          </cell>
          <cell r="J114">
            <v>0</v>
          </cell>
          <cell r="K114">
            <v>29809.7</v>
          </cell>
          <cell r="L114">
            <v>12789</v>
          </cell>
          <cell r="M114">
            <v>30</v>
          </cell>
          <cell r="P114" t="str">
            <v>N</v>
          </cell>
        </row>
        <row r="115">
          <cell r="C115" t="str">
            <v>39201</v>
          </cell>
          <cell r="D115" t="str">
            <v xml:space="preserve">SUNNYSIDE </v>
          </cell>
          <cell r="E115">
            <v>321661</v>
          </cell>
          <cell r="F115">
            <v>288577</v>
          </cell>
          <cell r="G115">
            <v>610238</v>
          </cell>
          <cell r="H115">
            <v>610238</v>
          </cell>
          <cell r="I115">
            <v>114278.44</v>
          </cell>
          <cell r="J115">
            <v>207382.56</v>
          </cell>
          <cell r="K115">
            <v>0</v>
          </cell>
          <cell r="L115">
            <v>288577</v>
          </cell>
          <cell r="M115">
            <v>100</v>
          </cell>
          <cell r="P115" t="str">
            <v>N</v>
          </cell>
        </row>
        <row r="116">
          <cell r="C116" t="str">
            <v>27010</v>
          </cell>
          <cell r="D116" t="str">
            <v xml:space="preserve">TACOMA </v>
          </cell>
          <cell r="E116">
            <v>401961</v>
          </cell>
          <cell r="F116">
            <v>397425</v>
          </cell>
          <cell r="G116">
            <v>799386</v>
          </cell>
          <cell r="H116">
            <v>799386</v>
          </cell>
          <cell r="I116">
            <v>415284.25</v>
          </cell>
          <cell r="J116">
            <v>0</v>
          </cell>
          <cell r="K116">
            <v>13323.25</v>
          </cell>
          <cell r="L116">
            <v>384101</v>
          </cell>
          <cell r="M116">
            <v>96.6</v>
          </cell>
          <cell r="P116" t="str">
            <v>N</v>
          </cell>
        </row>
        <row r="117">
          <cell r="C117" t="str">
            <v>17409</v>
          </cell>
          <cell r="D117" t="str">
            <v xml:space="preserve">TAHOMA </v>
          </cell>
          <cell r="E117">
            <v>290</v>
          </cell>
          <cell r="F117">
            <v>21671</v>
          </cell>
          <cell r="G117">
            <v>21961</v>
          </cell>
          <cell r="H117">
            <v>21961</v>
          </cell>
          <cell r="I117">
            <v>21385.78</v>
          </cell>
          <cell r="J117">
            <v>0</v>
          </cell>
          <cell r="K117">
            <v>21095.78</v>
          </cell>
          <cell r="L117">
            <v>575</v>
          </cell>
          <cell r="M117">
            <v>2.7</v>
          </cell>
          <cell r="P117" t="str">
            <v>Y</v>
          </cell>
        </row>
        <row r="118">
          <cell r="C118" t="str">
            <v>24404</v>
          </cell>
          <cell r="D118" t="str">
            <v xml:space="preserve">TONASKET </v>
          </cell>
          <cell r="E118">
            <v>7261</v>
          </cell>
          <cell r="F118">
            <v>27349</v>
          </cell>
          <cell r="G118">
            <v>34610</v>
          </cell>
          <cell r="H118">
            <v>34610</v>
          </cell>
          <cell r="I118">
            <v>31091.46</v>
          </cell>
          <cell r="J118">
            <v>0</v>
          </cell>
          <cell r="K118">
            <v>23830.46</v>
          </cell>
          <cell r="L118">
            <v>3518</v>
          </cell>
          <cell r="M118">
            <v>12.9</v>
          </cell>
          <cell r="P118" t="str">
            <v>Y</v>
          </cell>
        </row>
        <row r="119">
          <cell r="C119" t="str">
            <v>39202</v>
          </cell>
          <cell r="D119" t="str">
            <v xml:space="preserve">TOPPENISH </v>
          </cell>
          <cell r="E119">
            <v>57103</v>
          </cell>
          <cell r="F119">
            <v>201267</v>
          </cell>
          <cell r="G119">
            <v>258370</v>
          </cell>
          <cell r="H119">
            <v>258370</v>
          </cell>
          <cell r="I119">
            <v>178070.2</v>
          </cell>
          <cell r="J119">
            <v>0</v>
          </cell>
          <cell r="K119">
            <v>120967.2</v>
          </cell>
          <cell r="L119">
            <v>80299</v>
          </cell>
          <cell r="M119">
            <v>39.9</v>
          </cell>
          <cell r="P119" t="str">
            <v>N</v>
          </cell>
        </row>
        <row r="120">
          <cell r="C120" t="str">
            <v>17406</v>
          </cell>
          <cell r="D120" t="str">
            <v xml:space="preserve">TUKWILA </v>
          </cell>
          <cell r="E120">
            <v>81024</v>
          </cell>
          <cell r="F120">
            <v>170468</v>
          </cell>
          <cell r="G120">
            <v>251492</v>
          </cell>
          <cell r="H120">
            <v>251492</v>
          </cell>
          <cell r="I120">
            <v>164364.07999999999</v>
          </cell>
          <cell r="J120">
            <v>0</v>
          </cell>
          <cell r="K120">
            <v>83340.08</v>
          </cell>
          <cell r="L120">
            <v>87127</v>
          </cell>
          <cell r="M120">
            <v>51.1</v>
          </cell>
          <cell r="P120" t="str">
            <v>N</v>
          </cell>
        </row>
        <row r="121">
          <cell r="C121" t="str">
            <v>34033</v>
          </cell>
          <cell r="D121" t="str">
            <v xml:space="preserve">TUMWATER </v>
          </cell>
          <cell r="E121">
            <v>0</v>
          </cell>
          <cell r="F121">
            <v>13634</v>
          </cell>
          <cell r="G121">
            <v>13634</v>
          </cell>
          <cell r="H121">
            <v>13634</v>
          </cell>
          <cell r="I121">
            <v>9171.1299999999992</v>
          </cell>
          <cell r="J121">
            <v>0</v>
          </cell>
          <cell r="K121">
            <v>9171.1299999999992</v>
          </cell>
          <cell r="L121">
            <v>4462</v>
          </cell>
          <cell r="M121">
            <v>32.700000000000003</v>
          </cell>
          <cell r="P121" t="str">
            <v>N</v>
          </cell>
        </row>
        <row r="122">
          <cell r="C122" t="str">
            <v>39002</v>
          </cell>
          <cell r="D122" t="str">
            <v xml:space="preserve">UNION GAP </v>
          </cell>
          <cell r="E122">
            <v>26265</v>
          </cell>
          <cell r="F122">
            <v>25082</v>
          </cell>
          <cell r="G122">
            <v>51347</v>
          </cell>
          <cell r="H122">
            <v>25082</v>
          </cell>
          <cell r="I122">
            <v>3975.43</v>
          </cell>
          <cell r="J122">
            <v>22289.57</v>
          </cell>
          <cell r="K122">
            <v>0</v>
          </cell>
          <cell r="L122">
            <v>25082</v>
          </cell>
          <cell r="M122">
            <v>100</v>
          </cell>
          <cell r="P122" t="str">
            <v>N</v>
          </cell>
        </row>
        <row r="123">
          <cell r="C123" t="str">
            <v>27083</v>
          </cell>
          <cell r="D123" t="str">
            <v xml:space="preserve">UNIVERSITY PLACE </v>
          </cell>
          <cell r="E123">
            <v>4335</v>
          </cell>
          <cell r="F123">
            <v>29503</v>
          </cell>
          <cell r="G123">
            <v>33838</v>
          </cell>
          <cell r="H123">
            <v>33838</v>
          </cell>
          <cell r="I123">
            <v>33336.639999999999</v>
          </cell>
          <cell r="J123">
            <v>0</v>
          </cell>
          <cell r="K123">
            <v>29001.64</v>
          </cell>
          <cell r="L123">
            <v>501</v>
          </cell>
          <cell r="M123">
            <v>1.7</v>
          </cell>
          <cell r="P123" t="str">
            <v>Y</v>
          </cell>
        </row>
        <row r="124">
          <cell r="C124" t="str">
            <v>06037</v>
          </cell>
          <cell r="D124" t="str">
            <v xml:space="preserve">VANCOUVER </v>
          </cell>
          <cell r="E124">
            <v>219746</v>
          </cell>
          <cell r="F124">
            <v>415112</v>
          </cell>
          <cell r="G124">
            <v>634858</v>
          </cell>
          <cell r="H124">
            <v>634858</v>
          </cell>
          <cell r="I124">
            <v>289995.99</v>
          </cell>
          <cell r="J124">
            <v>0</v>
          </cell>
          <cell r="K124">
            <v>70249.990000000005</v>
          </cell>
          <cell r="L124">
            <v>344862</v>
          </cell>
          <cell r="M124">
            <v>83.1</v>
          </cell>
          <cell r="P124" t="str">
            <v>N</v>
          </cell>
        </row>
        <row r="125">
          <cell r="C125" t="str">
            <v>13073</v>
          </cell>
          <cell r="D125" t="str">
            <v xml:space="preserve">WAHLUKE </v>
          </cell>
          <cell r="E125">
            <v>136745</v>
          </cell>
          <cell r="F125">
            <v>186058</v>
          </cell>
          <cell r="G125">
            <v>322803</v>
          </cell>
          <cell r="H125">
            <v>322803</v>
          </cell>
          <cell r="I125">
            <v>71234.490000000005</v>
          </cell>
          <cell r="J125">
            <v>65510.51</v>
          </cell>
          <cell r="K125">
            <v>0</v>
          </cell>
          <cell r="L125">
            <v>186058</v>
          </cell>
          <cell r="M125">
            <v>100</v>
          </cell>
          <cell r="P125" t="str">
            <v>N</v>
          </cell>
        </row>
        <row r="126">
          <cell r="C126" t="str">
            <v>36140</v>
          </cell>
          <cell r="D126" t="str">
            <v>WALLA WALLA PUBLIC SCHOOLS</v>
          </cell>
          <cell r="E126">
            <v>54200</v>
          </cell>
          <cell r="F126">
            <v>107627</v>
          </cell>
          <cell r="G126">
            <v>161827</v>
          </cell>
          <cell r="H126">
            <v>161827</v>
          </cell>
          <cell r="I126">
            <v>109715.36</v>
          </cell>
          <cell r="J126">
            <v>0</v>
          </cell>
          <cell r="K126">
            <v>55515.360000000001</v>
          </cell>
          <cell r="L126">
            <v>52111</v>
          </cell>
          <cell r="M126">
            <v>48.4</v>
          </cell>
          <cell r="P126" t="str">
            <v>N</v>
          </cell>
        </row>
        <row r="127">
          <cell r="C127" t="str">
            <v>39207</v>
          </cell>
          <cell r="D127" t="str">
            <v xml:space="preserve">WAPATO </v>
          </cell>
          <cell r="E127">
            <v>222235</v>
          </cell>
          <cell r="F127">
            <v>208959</v>
          </cell>
          <cell r="G127">
            <v>431194</v>
          </cell>
          <cell r="H127">
            <v>431194</v>
          </cell>
          <cell r="I127">
            <v>201684.93</v>
          </cell>
          <cell r="J127">
            <v>20550.07</v>
          </cell>
          <cell r="K127">
            <v>0</v>
          </cell>
          <cell r="L127">
            <v>208959</v>
          </cell>
          <cell r="M127">
            <v>100</v>
          </cell>
          <cell r="P127" t="str">
            <v>N</v>
          </cell>
        </row>
        <row r="128">
          <cell r="C128" t="str">
            <v>13146</v>
          </cell>
          <cell r="D128" t="str">
            <v xml:space="preserve">WARDEN </v>
          </cell>
          <cell r="E128">
            <v>18109</v>
          </cell>
          <cell r="F128">
            <v>43103</v>
          </cell>
          <cell r="G128">
            <v>61212</v>
          </cell>
          <cell r="H128">
            <v>61212</v>
          </cell>
          <cell r="I128">
            <v>37348.870000000003</v>
          </cell>
          <cell r="J128">
            <v>0</v>
          </cell>
          <cell r="K128">
            <v>19239.87</v>
          </cell>
          <cell r="L128">
            <v>23863</v>
          </cell>
          <cell r="M128">
            <v>55.4</v>
          </cell>
          <cell r="P128" t="str">
            <v>N</v>
          </cell>
        </row>
        <row r="129">
          <cell r="C129" t="str">
            <v>33049</v>
          </cell>
          <cell r="D129" t="str">
            <v xml:space="preserve">WELLPINIT </v>
          </cell>
          <cell r="E129">
            <v>16290</v>
          </cell>
          <cell r="F129">
            <v>28405</v>
          </cell>
          <cell r="G129">
            <v>44695</v>
          </cell>
          <cell r="H129">
            <v>44695</v>
          </cell>
          <cell r="I129">
            <v>26455.19</v>
          </cell>
          <cell r="J129">
            <v>0</v>
          </cell>
          <cell r="K129">
            <v>10165.19</v>
          </cell>
          <cell r="L129">
            <v>18239</v>
          </cell>
          <cell r="M129">
            <v>64.2</v>
          </cell>
          <cell r="P129" t="str">
            <v>N</v>
          </cell>
        </row>
        <row r="130">
          <cell r="C130" t="str">
            <v>04246</v>
          </cell>
          <cell r="D130" t="str">
            <v xml:space="preserve">WENATCHEE </v>
          </cell>
          <cell r="E130">
            <v>0</v>
          </cell>
          <cell r="F130">
            <v>265093</v>
          </cell>
          <cell r="G130">
            <v>265093</v>
          </cell>
          <cell r="H130">
            <v>265093</v>
          </cell>
          <cell r="I130">
            <v>265018.56</v>
          </cell>
          <cell r="J130">
            <v>0</v>
          </cell>
          <cell r="K130">
            <v>265018.56</v>
          </cell>
          <cell r="L130">
            <v>74</v>
          </cell>
          <cell r="M130">
            <v>0</v>
          </cell>
          <cell r="P130" t="str">
            <v>Y</v>
          </cell>
        </row>
        <row r="131">
          <cell r="C131" t="str">
            <v>32363</v>
          </cell>
          <cell r="D131" t="str">
            <v>WEST VALLEY  (SPOKANE)</v>
          </cell>
          <cell r="E131">
            <v>0</v>
          </cell>
          <cell r="F131">
            <v>17226</v>
          </cell>
          <cell r="G131">
            <v>17226</v>
          </cell>
          <cell r="H131">
            <v>17226</v>
          </cell>
          <cell r="I131">
            <v>9787.3700000000008</v>
          </cell>
          <cell r="J131">
            <v>0</v>
          </cell>
          <cell r="K131">
            <v>9787.3700000000008</v>
          </cell>
          <cell r="L131">
            <v>7438</v>
          </cell>
          <cell r="M131">
            <v>43.2</v>
          </cell>
          <cell r="P131" t="str">
            <v>N</v>
          </cell>
        </row>
        <row r="132">
          <cell r="C132" t="str">
            <v>39208</v>
          </cell>
          <cell r="D132" t="str">
            <v>WEST VALLEY  (YAKIMA)</v>
          </cell>
          <cell r="E132">
            <v>14288</v>
          </cell>
          <cell r="F132">
            <v>62270</v>
          </cell>
          <cell r="G132">
            <v>76558</v>
          </cell>
          <cell r="H132">
            <v>76558</v>
          </cell>
          <cell r="I132">
            <v>67191.45</v>
          </cell>
          <cell r="J132">
            <v>0</v>
          </cell>
          <cell r="K132">
            <v>52903.45</v>
          </cell>
          <cell r="L132">
            <v>9366</v>
          </cell>
          <cell r="M132">
            <v>15</v>
          </cell>
          <cell r="P132" t="str">
            <v>Y</v>
          </cell>
        </row>
        <row r="133">
          <cell r="C133" t="str">
            <v>20405</v>
          </cell>
          <cell r="D133" t="str">
            <v xml:space="preserve">WHITE SALMON VALLEY </v>
          </cell>
          <cell r="E133">
            <v>7340</v>
          </cell>
          <cell r="F133">
            <v>26916</v>
          </cell>
          <cell r="G133">
            <v>34256</v>
          </cell>
          <cell r="H133">
            <v>34256</v>
          </cell>
          <cell r="I133">
            <v>14950.68</v>
          </cell>
          <cell r="J133">
            <v>0</v>
          </cell>
          <cell r="K133">
            <v>7610.68</v>
          </cell>
          <cell r="L133">
            <v>19305</v>
          </cell>
          <cell r="M133">
            <v>71.7</v>
          </cell>
          <cell r="P133" t="str">
            <v>N</v>
          </cell>
        </row>
        <row r="134">
          <cell r="C134" t="str">
            <v>21232</v>
          </cell>
          <cell r="D134" t="str">
            <v xml:space="preserve">WINLOCK </v>
          </cell>
          <cell r="E134">
            <v>8098</v>
          </cell>
          <cell r="F134">
            <v>11756</v>
          </cell>
          <cell r="G134">
            <v>19854</v>
          </cell>
          <cell r="H134">
            <v>19854</v>
          </cell>
          <cell r="I134">
            <v>12402.34</v>
          </cell>
          <cell r="J134">
            <v>0</v>
          </cell>
          <cell r="K134">
            <v>4304.34</v>
          </cell>
          <cell r="L134">
            <v>7451</v>
          </cell>
          <cell r="M134">
            <v>63.4</v>
          </cell>
          <cell r="P134" t="str">
            <v>N</v>
          </cell>
        </row>
        <row r="135">
          <cell r="C135" t="str">
            <v>08404</v>
          </cell>
          <cell r="D135" t="str">
            <v xml:space="preserve">WOODLAND </v>
          </cell>
          <cell r="E135">
            <v>2082</v>
          </cell>
          <cell r="F135">
            <v>23051</v>
          </cell>
          <cell r="G135">
            <v>25133</v>
          </cell>
          <cell r="H135">
            <v>25133</v>
          </cell>
          <cell r="I135">
            <v>25133</v>
          </cell>
          <cell r="J135">
            <v>0</v>
          </cell>
          <cell r="K135">
            <v>23051</v>
          </cell>
          <cell r="L135">
            <v>0</v>
          </cell>
          <cell r="M135">
            <v>0</v>
          </cell>
          <cell r="P135" t="str">
            <v>Y</v>
          </cell>
        </row>
        <row r="136">
          <cell r="C136" t="str">
            <v>39007</v>
          </cell>
          <cell r="D136" t="str">
            <v xml:space="preserve">YAKIMA </v>
          </cell>
          <cell r="E136">
            <v>626241</v>
          </cell>
          <cell r="F136">
            <v>730433</v>
          </cell>
          <cell r="G136">
            <v>1356674</v>
          </cell>
          <cell r="H136">
            <v>1356674</v>
          </cell>
          <cell r="I136">
            <v>839369.56</v>
          </cell>
          <cell r="J136">
            <v>0</v>
          </cell>
          <cell r="K136">
            <v>213128.56</v>
          </cell>
          <cell r="L136">
            <v>517304</v>
          </cell>
          <cell r="M136">
            <v>70.8</v>
          </cell>
          <cell r="P136" t="str">
            <v>N</v>
          </cell>
        </row>
        <row r="137">
          <cell r="C137" t="str">
            <v>39205</v>
          </cell>
          <cell r="D137" t="str">
            <v xml:space="preserve">ZILLAH </v>
          </cell>
          <cell r="E137">
            <v>16244</v>
          </cell>
          <cell r="F137">
            <v>24989</v>
          </cell>
          <cell r="G137">
            <v>41233</v>
          </cell>
          <cell r="H137">
            <v>24989</v>
          </cell>
          <cell r="I137">
            <v>24989</v>
          </cell>
          <cell r="J137">
            <v>0</v>
          </cell>
          <cell r="K137">
            <v>8745</v>
          </cell>
          <cell r="L137">
            <v>16244</v>
          </cell>
          <cell r="M137">
            <v>65</v>
          </cell>
          <cell r="P137" t="str">
            <v>N</v>
          </cell>
        </row>
        <row r="138">
          <cell r="E138">
            <v>6590454</v>
          </cell>
          <cell r="F138">
            <v>15570314</v>
          </cell>
          <cell r="G138">
            <v>22160768</v>
          </cell>
          <cell r="H138">
            <v>22071602</v>
          </cell>
          <cell r="I138">
            <v>15433245.460000001</v>
          </cell>
          <cell r="J138">
            <v>388693.98</v>
          </cell>
          <cell r="K138">
            <v>9231485.4399999995</v>
          </cell>
          <cell r="L138">
            <v>6338777</v>
          </cell>
          <cell r="M138">
            <v>40.710656188436531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.Lunghofer" refreshedDate="40694.443568171293" createdVersion="3" refreshedVersion="3" minRefreshableVersion="3" recordCount="266" xr:uid="{00000000-000A-0000-FFFF-FFFF08000000}">
  <cacheSource type="worksheet">
    <worksheetSource ref="A1:N267" sheet="2011_05_20"/>
  </cacheSource>
  <cacheFields count="14">
    <cacheField name="District" numFmtId="0">
      <sharedItems count="81">
        <s v="Aberdeen School District"/>
        <s v="Arlington School District"/>
        <s v="Auburn School District"/>
        <s v="Bainbridge Island School District"/>
        <s v="Battle Ground School District"/>
        <s v="Bellevue School District"/>
        <s v="Bellingham School District"/>
        <s v="Bethel School District"/>
        <s v="Bremerton School District"/>
        <s v="Camas School District"/>
        <s v="Central Kitsap School District"/>
        <s v="Central Valley School District"/>
        <s v="Chehalis School District"/>
        <s v="Chimacum School District"/>
        <s v="Clarkston School District"/>
        <s v="Clover Park School District"/>
        <s v="Colton School District"/>
        <s v="Colville School District"/>
        <s v="East Valley School District (Yakima)"/>
        <s v="Edmonds School District"/>
        <s v="Ellensburg School District"/>
        <s v="Ephrata School District"/>
        <s v="Everett School District"/>
        <s v="Evergreen School District (Clark)"/>
        <s v="Federal Way School District"/>
        <s v="Ferndale School District"/>
        <s v="Fife School District"/>
        <s v="Franklin Pierce School District"/>
        <s v="Goldendale School District"/>
        <s v="Highline School District"/>
        <s v="Issaquah School District"/>
        <s v="Kelso School District"/>
        <s v="Kennewick School District"/>
        <s v="Kent School District"/>
        <s v="Lake Chelan School District"/>
        <s v="Lake Stevens School District"/>
        <s v="Lake Washington School District"/>
        <s v="Longview School District"/>
        <s v="Lynden School District"/>
        <s v="Marysville School District"/>
        <s v="Mead School District"/>
        <s v="Mercer Island School District"/>
        <s v="Methow Valley School District"/>
        <s v="Monroe School District"/>
        <s v="Mount Adams School District"/>
        <s v="Mount Vernon School District"/>
        <s v="Mukilteo School District"/>
        <s v="North Kitsap School District"/>
        <s v="North Thurston Public Schools"/>
        <s v="Northshore School District"/>
        <s v="Oak Harbor School District"/>
        <s v="Odessa School District"/>
        <s v="Olympia School District"/>
        <s v="Orcas Island School District"/>
        <s v="Orchard Prairie School District"/>
        <s v="Pasco School District"/>
        <s v="Peninsula School District"/>
        <s v="Port Angeles School District"/>
        <s v="Port Townsend School District"/>
        <s v="Prescott School District"/>
        <s v="Puyallup School District"/>
        <s v="Quincy School District"/>
        <s v="Renton School District"/>
        <s v="Richland School District"/>
        <s v="San Juan Island School District"/>
        <s v="Seattle Public Schools"/>
        <s v="Selah School District"/>
        <s v="Shoreline School District"/>
        <s v="Snohomish School District"/>
        <s v="South Kitsap School District"/>
        <s v="South Whidbey School District"/>
        <s v="Spokane School District"/>
        <s v="Sunnyside School District"/>
        <s v="Tacoma School District"/>
        <s v="Tumwater School District"/>
        <s v="Vancouver School District"/>
        <s v="Walla Walla Public Schools"/>
        <s v="Wenatchee School District"/>
        <s v="Wilson Creek School District"/>
        <s v="Yakima School District"/>
        <s v="Yelm School District"/>
      </sharedItems>
    </cacheField>
    <cacheField name="District Code" numFmtId="0">
      <sharedItems count="81">
        <s v="14005"/>
        <s v="31016"/>
        <s v="17408"/>
        <s v="18303"/>
        <s v="06119"/>
        <s v="17405"/>
        <s v="37501"/>
        <s v="27403"/>
        <s v="18100"/>
        <s v="06117"/>
        <s v="18401"/>
        <s v="32356"/>
        <s v="21302"/>
        <s v="16049"/>
        <s v="02250"/>
        <s v="27400"/>
        <s v="38306"/>
        <s v="33115"/>
        <s v="39090"/>
        <s v="31015"/>
        <s v="19401"/>
        <s v="13165"/>
        <s v="31002"/>
        <s v="06114"/>
        <s v="17210"/>
        <s v="37502"/>
        <s v="27417"/>
        <s v="27402"/>
        <s v="20404"/>
        <s v="17401"/>
        <s v="17411"/>
        <s v="08458"/>
        <s v="03017"/>
        <s v="17415"/>
        <s v="04129"/>
        <s v="31004"/>
        <s v="17414"/>
        <s v="08122"/>
        <s v="37504"/>
        <s v="31025"/>
        <s v="32354"/>
        <s v="17400"/>
        <s v="24350"/>
        <s v="31103"/>
        <s v="39209"/>
        <s v="29320"/>
        <s v="31006"/>
        <s v="18400"/>
        <s v="34003"/>
        <s v="17417"/>
        <s v="15201"/>
        <s v="22105"/>
        <s v="34111"/>
        <s v="28137"/>
        <s v="32123"/>
        <s v="11001"/>
        <s v="27401"/>
        <s v="05121"/>
        <s v="16050"/>
        <s v="36402"/>
        <s v="27003"/>
        <s v="13144"/>
        <s v="17403"/>
        <s v="03400"/>
        <s v="28149"/>
        <s v="17001"/>
        <s v="39119"/>
        <s v="17412"/>
        <s v="31201"/>
        <s v="18402"/>
        <s v="15206"/>
        <s v="32081"/>
        <s v="39201"/>
        <s v="27010"/>
        <s v="34033"/>
        <s v="06037"/>
        <s v="36140"/>
        <s v="04246"/>
        <s v="13167"/>
        <s v="39007"/>
        <s v="34002"/>
      </sharedItems>
    </cacheField>
    <cacheField name="School" numFmtId="0">
      <sharedItems/>
    </cacheField>
    <cacheField name="School Code" numFmtId="0">
      <sharedItems containsMixedTypes="1" containsNumber="1" containsInteger="1" minValue="1411" maxValue="8998"/>
    </cacheField>
    <cacheField name="Total W/O Preschool" numFmtId="0">
      <sharedItems containsSemiMixedTypes="0" containsString="0" containsNumber="1" containsInteger="1" minValue="0" maxValue="1089"/>
    </cacheField>
    <cacheField name="Title I Part A" numFmtId="0">
      <sharedItems containsBlank="1"/>
    </cacheField>
    <cacheField name="Title I Part B Subpart 3" numFmtId="0">
      <sharedItems containsBlank="1"/>
    </cacheField>
    <cacheField name="Title I Part C" numFmtId="0">
      <sharedItems containsBlank="1"/>
    </cacheField>
    <cacheField name="Title II Part A" numFmtId="0">
      <sharedItems containsBlank="1"/>
    </cacheField>
    <cacheField name="Title II Part B" numFmtId="0">
      <sharedItems containsBlank="1"/>
    </cacheField>
    <cacheField name="Title II Part D" numFmtId="0">
      <sharedItems containsBlank="1"/>
    </cacheField>
    <cacheField name="Title III" numFmtId="0">
      <sharedItems containsBlank="1" count="2">
        <s v="X"/>
        <m/>
      </sharedItems>
    </cacheField>
    <cacheField name="Title IV Part B" numFmtId="0">
      <sharedItems containsBlank="1"/>
    </cacheField>
    <cacheField name="Carl D. Perkins Vocation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6">
  <r>
    <x v="0"/>
    <x v="0"/>
    <s v="St. Mary School"/>
    <n v="8022"/>
    <n v="135"/>
    <s v="X"/>
    <s v="X"/>
    <s v="X"/>
    <s v="X"/>
    <s v="X"/>
    <s v="X"/>
    <x v="0"/>
    <s v="X"/>
    <m/>
  </r>
  <r>
    <x v="1"/>
    <x v="1"/>
    <s v="Highland Christian Schools"/>
    <n v="8931"/>
    <n v="101"/>
    <s v="X"/>
    <m/>
    <m/>
    <s v="X"/>
    <m/>
    <s v="X"/>
    <x v="0"/>
    <m/>
    <s v="X"/>
  </r>
  <r>
    <x v="2"/>
    <x v="2"/>
    <s v="Auburn Gateway School"/>
    <s v="800C"/>
    <n v="46"/>
    <m/>
    <s v="X"/>
    <m/>
    <m/>
    <m/>
    <s v="X"/>
    <x v="1"/>
    <m/>
    <m/>
  </r>
  <r>
    <x v="2"/>
    <x v="2"/>
    <s v="Holy Family School"/>
    <n v="8098"/>
    <n v="195"/>
    <s v="X"/>
    <m/>
    <m/>
    <s v="X"/>
    <m/>
    <s v="X"/>
    <x v="1"/>
    <m/>
    <m/>
  </r>
  <r>
    <x v="2"/>
    <x v="2"/>
    <s v="Rainier Christian Schools-Kent View Elementary"/>
    <n v="8622"/>
    <n v="209"/>
    <s v="X"/>
    <s v="X"/>
    <m/>
    <s v="X"/>
    <s v="X"/>
    <s v="X"/>
    <x v="1"/>
    <m/>
    <m/>
  </r>
  <r>
    <x v="3"/>
    <x v="3"/>
    <s v="St. Cecilia School"/>
    <n v="8624"/>
    <n v="73"/>
    <m/>
    <m/>
    <m/>
    <s v="X"/>
    <m/>
    <s v="X"/>
    <x v="1"/>
    <m/>
    <m/>
  </r>
  <r>
    <x v="4"/>
    <x v="4"/>
    <s v="Firm Foundation Christian School"/>
    <n v="8480"/>
    <n v="326"/>
    <s v="X"/>
    <m/>
    <s v="X"/>
    <s v="X"/>
    <m/>
    <s v="X"/>
    <x v="0"/>
    <s v="X"/>
    <s v="X"/>
  </r>
  <r>
    <x v="4"/>
    <x v="4"/>
    <s v="Gardner School"/>
    <n v="8071"/>
    <n v="79"/>
    <s v="X"/>
    <m/>
    <m/>
    <s v="X"/>
    <m/>
    <s v="X"/>
    <x v="1"/>
    <m/>
    <m/>
  </r>
  <r>
    <x v="5"/>
    <x v="5"/>
    <s v="Bellevue Christian School"/>
    <n v="8091"/>
    <n v="487"/>
    <s v="X"/>
    <m/>
    <m/>
    <s v="X"/>
    <s v="X"/>
    <s v="X"/>
    <x v="0"/>
    <s v="X"/>
    <m/>
  </r>
  <r>
    <x v="5"/>
    <x v="5"/>
    <s v="BK Play Academy for Gifted Children"/>
    <s v="800A"/>
    <n v="6"/>
    <m/>
    <m/>
    <m/>
    <s v="X"/>
    <s v="X"/>
    <s v="X"/>
    <x v="1"/>
    <s v="X"/>
    <s v="X"/>
  </r>
  <r>
    <x v="5"/>
    <x v="5"/>
    <s v="Eastside Christian School"/>
    <n v="8741"/>
    <n v="243"/>
    <m/>
    <m/>
    <m/>
    <s v="X"/>
    <m/>
    <m/>
    <x v="1"/>
    <m/>
    <m/>
  </r>
  <r>
    <x v="5"/>
    <x v="5"/>
    <s v="Forest Ridge School of Sacred Heart"/>
    <n v="8035"/>
    <n v="394"/>
    <m/>
    <m/>
    <m/>
    <s v="X"/>
    <m/>
    <s v="X"/>
    <x v="1"/>
    <s v="X"/>
    <m/>
  </r>
  <r>
    <x v="5"/>
    <x v="5"/>
    <s v="Jewish Day School"/>
    <n v="8563"/>
    <n v="188"/>
    <s v="X"/>
    <m/>
    <m/>
    <s v="X"/>
    <s v="X"/>
    <s v="X"/>
    <x v="0"/>
    <s v="X"/>
    <m/>
  </r>
  <r>
    <x v="5"/>
    <x v="5"/>
    <s v="Sacred Heart School"/>
    <n v="8093"/>
    <n v="364"/>
    <m/>
    <m/>
    <m/>
    <s v="X"/>
    <s v="X"/>
    <s v="X"/>
    <x v="1"/>
    <s v="X"/>
    <m/>
  </r>
  <r>
    <x v="5"/>
    <x v="5"/>
    <s v="St. Louise School"/>
    <n v="8094"/>
    <n v="444"/>
    <s v="X"/>
    <m/>
    <m/>
    <s v="X"/>
    <s v="X"/>
    <s v="X"/>
    <x v="0"/>
    <m/>
    <m/>
  </r>
  <r>
    <x v="5"/>
    <x v="5"/>
    <s v="St. Madeleine Sophie School"/>
    <n v="1434"/>
    <n v="179"/>
    <s v="X"/>
    <s v="X"/>
    <m/>
    <s v="X"/>
    <s v="X"/>
    <s v="X"/>
    <x v="0"/>
    <s v="X"/>
    <m/>
  </r>
  <r>
    <x v="5"/>
    <x v="5"/>
    <s v="Three Cedars Waldorf School"/>
    <n v="8460"/>
    <n v="135"/>
    <s v="X"/>
    <m/>
    <s v="X"/>
    <s v="X"/>
    <m/>
    <m/>
    <x v="0"/>
    <m/>
    <m/>
  </r>
  <r>
    <x v="5"/>
    <x v="5"/>
    <s v="Three Points Elementary"/>
    <n v="8560"/>
    <n v="240"/>
    <s v="X"/>
    <m/>
    <m/>
    <s v="X"/>
    <s v="X"/>
    <s v="X"/>
    <x v="0"/>
    <s v="X"/>
    <m/>
  </r>
  <r>
    <x v="6"/>
    <x v="6"/>
    <s v="Assumption Catholic School"/>
    <n v="8215"/>
    <n v="245"/>
    <s v="X"/>
    <s v="X"/>
    <s v="X"/>
    <s v="X"/>
    <s v="X"/>
    <s v="X"/>
    <x v="0"/>
    <s v="X"/>
    <s v="X"/>
  </r>
  <r>
    <x v="6"/>
    <x v="6"/>
    <s v="Bellingham Christian School"/>
    <n v="8216"/>
    <n v="175"/>
    <m/>
    <m/>
    <m/>
    <s v="X"/>
    <s v="X"/>
    <s v="X"/>
    <x v="1"/>
    <m/>
    <m/>
  </r>
  <r>
    <x v="6"/>
    <x v="6"/>
    <s v="Cedar Tree Montessori"/>
    <n v="8390"/>
    <n v="49"/>
    <m/>
    <m/>
    <m/>
    <s v="X"/>
    <s v="X"/>
    <s v="X"/>
    <x v="1"/>
    <m/>
    <m/>
  </r>
  <r>
    <x v="6"/>
    <x v="6"/>
    <s v="Explorations Academy/Global Community Institute"/>
    <n v="8074"/>
    <n v="27"/>
    <m/>
    <m/>
    <m/>
    <s v="X"/>
    <s v="X"/>
    <s v="X"/>
    <x v="1"/>
    <m/>
    <m/>
  </r>
  <r>
    <x v="6"/>
    <x v="6"/>
    <s v="Lynden Christian School - Evergreen Campus"/>
    <n v="8936"/>
    <n v="105"/>
    <s v="X"/>
    <s v="X"/>
    <m/>
    <s v="X"/>
    <s v="X"/>
    <s v="X"/>
    <x v="1"/>
    <m/>
    <m/>
  </r>
  <r>
    <x v="6"/>
    <x v="6"/>
    <s v="St. Paul's Academy"/>
    <n v="8223"/>
    <n v="241"/>
    <m/>
    <m/>
    <m/>
    <s v="X"/>
    <s v="X"/>
    <s v="X"/>
    <x v="1"/>
    <m/>
    <m/>
  </r>
  <r>
    <x v="6"/>
    <x v="6"/>
    <s v="Whatcom Hills Waldorf"/>
    <n v="8869"/>
    <n v="159"/>
    <s v="X"/>
    <m/>
    <m/>
    <s v="X"/>
    <s v="X"/>
    <m/>
    <x v="1"/>
    <m/>
    <m/>
  </r>
  <r>
    <x v="7"/>
    <x v="7"/>
    <s v="Cascade Christian Schools--Frederickson Elementary"/>
    <n v="8829"/>
    <n v="168"/>
    <s v="X"/>
    <m/>
    <m/>
    <s v="X"/>
    <s v="X"/>
    <s v="X"/>
    <x v="0"/>
    <s v="X"/>
    <s v="X"/>
  </r>
  <r>
    <x v="7"/>
    <x v="7"/>
    <s v="South Sound Christian Schools-New Hope Campus"/>
    <n v="8717"/>
    <n v="134"/>
    <m/>
    <m/>
    <m/>
    <s v="X"/>
    <s v="X"/>
    <s v="X"/>
    <x v="1"/>
    <m/>
    <m/>
  </r>
  <r>
    <x v="7"/>
    <x v="7"/>
    <s v="St. Mary's Academy"/>
    <n v="1414"/>
    <n v="25"/>
    <s v="X"/>
    <m/>
    <m/>
    <m/>
    <m/>
    <m/>
    <x v="1"/>
    <m/>
    <m/>
  </r>
  <r>
    <x v="8"/>
    <x v="8"/>
    <s v="Alta Vista School"/>
    <n v="8219"/>
    <n v="19"/>
    <s v="X"/>
    <m/>
    <m/>
    <s v="X"/>
    <m/>
    <m/>
    <x v="1"/>
    <m/>
    <m/>
  </r>
  <r>
    <x v="8"/>
    <x v="8"/>
    <s v="Our Lady Star of the Sea School"/>
    <n v="8115"/>
    <n v="201"/>
    <s v="X"/>
    <s v="X"/>
    <s v="X"/>
    <s v="X"/>
    <s v="X"/>
    <s v="X"/>
    <x v="0"/>
    <s v="X"/>
    <s v="X"/>
  </r>
  <r>
    <x v="8"/>
    <x v="8"/>
    <s v="Sylvan Way Christian School"/>
    <n v="8681"/>
    <n v="99"/>
    <m/>
    <s v="X"/>
    <m/>
    <s v="X"/>
    <m/>
    <s v="X"/>
    <x v="1"/>
    <m/>
    <m/>
  </r>
  <r>
    <x v="9"/>
    <x v="9"/>
    <s v="Bright Futures Christian School"/>
    <n v="1497"/>
    <n v="45"/>
    <s v="X"/>
    <s v="X"/>
    <s v="X"/>
    <s v="X"/>
    <s v="X"/>
    <s v="X"/>
    <x v="0"/>
    <s v="X"/>
    <s v="X"/>
  </r>
  <r>
    <x v="9"/>
    <x v="9"/>
    <s v="Pacific Crest Academy"/>
    <n v="8394"/>
    <n v="88"/>
    <m/>
    <m/>
    <m/>
    <s v="X"/>
    <s v="X"/>
    <s v="X"/>
    <x v="1"/>
    <m/>
    <m/>
  </r>
  <r>
    <x v="10"/>
    <x v="10"/>
    <s v="Christ the King Lutheran School"/>
    <s v="800E"/>
    <n v="42"/>
    <s v="X"/>
    <m/>
    <m/>
    <s v="X"/>
    <s v="X"/>
    <s v="X"/>
    <x v="1"/>
    <m/>
    <m/>
  </r>
  <r>
    <x v="10"/>
    <x v="10"/>
    <s v="Crosspoint Academy"/>
    <n v="8367"/>
    <n v="242"/>
    <s v="X"/>
    <m/>
    <m/>
    <s v="X"/>
    <s v="X"/>
    <s v="X"/>
    <x v="1"/>
    <m/>
    <s v="X"/>
  </r>
  <r>
    <x v="10"/>
    <x v="10"/>
    <s v="Peace Lutheran School"/>
    <n v="8613"/>
    <n v="129"/>
    <m/>
    <m/>
    <m/>
    <s v="X"/>
    <m/>
    <m/>
    <x v="1"/>
    <m/>
    <m/>
  </r>
  <r>
    <x v="11"/>
    <x v="11"/>
    <s v="Prism School"/>
    <n v="8635"/>
    <n v="19"/>
    <m/>
    <m/>
    <m/>
    <s v="X"/>
    <m/>
    <s v="X"/>
    <x v="1"/>
    <m/>
    <m/>
  </r>
  <r>
    <x v="11"/>
    <x v="11"/>
    <s v="St. John Vianney School"/>
    <n v="8205"/>
    <n v="192"/>
    <s v="X"/>
    <s v="X"/>
    <s v="X"/>
    <s v="X"/>
    <s v="X"/>
    <s v="X"/>
    <x v="0"/>
    <s v="X"/>
    <s v="X"/>
  </r>
  <r>
    <x v="11"/>
    <x v="11"/>
    <s v="St. Marys Catholic School"/>
    <n v="8201"/>
    <n v="220"/>
    <s v="X"/>
    <s v="X"/>
    <s v="X"/>
    <s v="X"/>
    <s v="X"/>
    <s v="X"/>
    <x v="0"/>
    <s v="X"/>
    <s v="X"/>
  </r>
  <r>
    <x v="11"/>
    <x v="11"/>
    <s v="Valley Christian School"/>
    <n v="8360"/>
    <n v="174"/>
    <m/>
    <m/>
    <m/>
    <s v="X"/>
    <s v="X"/>
    <s v="X"/>
    <x v="1"/>
    <m/>
    <m/>
  </r>
  <r>
    <x v="12"/>
    <x v="12"/>
    <s v="St. Joseph School"/>
    <n v="8120"/>
    <n v="97"/>
    <s v="X"/>
    <m/>
    <m/>
    <s v="X"/>
    <s v="X"/>
    <m/>
    <x v="1"/>
    <m/>
    <m/>
  </r>
  <r>
    <x v="13"/>
    <x v="13"/>
    <s v="Sunfield Farm School"/>
    <s v="801C"/>
    <n v="80"/>
    <s v="X"/>
    <m/>
    <m/>
    <s v="X"/>
    <s v="X"/>
    <m/>
    <x v="1"/>
    <s v="X"/>
    <m/>
  </r>
  <r>
    <x v="14"/>
    <x v="14"/>
    <s v="Holy Family School"/>
    <n v="8000"/>
    <n v="96"/>
    <s v="X"/>
    <s v="X"/>
    <s v="X"/>
    <s v="X"/>
    <s v="X"/>
    <s v="X"/>
    <x v="0"/>
    <s v="X"/>
    <s v="X"/>
  </r>
  <r>
    <x v="15"/>
    <x v="15"/>
    <s v="Lakewood Lutheran School"/>
    <n v="8149"/>
    <n v="14"/>
    <m/>
    <m/>
    <m/>
    <s v="X"/>
    <m/>
    <s v="X"/>
    <x v="1"/>
    <m/>
    <m/>
  </r>
  <r>
    <x v="15"/>
    <x v="15"/>
    <s v="St. Frances Cabrini School"/>
    <n v="8148"/>
    <n v="214"/>
    <s v="X"/>
    <m/>
    <m/>
    <s v="X"/>
    <s v="X"/>
    <s v="X"/>
    <x v="0"/>
    <s v="X"/>
    <m/>
  </r>
  <r>
    <x v="15"/>
    <x v="15"/>
    <s v="St. Mary's Christian School"/>
    <n v="8260"/>
    <n v="39"/>
    <s v="X"/>
    <s v="X"/>
    <s v="X"/>
    <s v="X"/>
    <s v="X"/>
    <s v="X"/>
    <x v="0"/>
    <s v="X"/>
    <s v="X"/>
  </r>
  <r>
    <x v="16"/>
    <x v="16"/>
    <s v="Guardian Angel St. Boniface School"/>
    <n v="8226"/>
    <n v="22"/>
    <s v="X"/>
    <s v="X"/>
    <s v="X"/>
    <s v="X"/>
    <s v="X"/>
    <s v="X"/>
    <x v="0"/>
    <s v="X"/>
    <s v="X"/>
  </r>
  <r>
    <x v="17"/>
    <x v="17"/>
    <s v="Colville Valley Junior Academy"/>
    <n v="1477"/>
    <n v="11"/>
    <s v="X"/>
    <m/>
    <m/>
    <s v="X"/>
    <m/>
    <m/>
    <x v="1"/>
    <m/>
    <m/>
  </r>
  <r>
    <x v="18"/>
    <x v="18"/>
    <s v="Riverside Christian School"/>
    <n v="8316"/>
    <n v="440"/>
    <m/>
    <m/>
    <m/>
    <s v="X"/>
    <m/>
    <m/>
    <x v="1"/>
    <m/>
    <m/>
  </r>
  <r>
    <x v="19"/>
    <x v="19"/>
    <s v="Holy Rosary, Edmonds"/>
    <n v="8162"/>
    <n v="252"/>
    <s v="X"/>
    <s v="X"/>
    <m/>
    <s v="X"/>
    <s v="X"/>
    <s v="X"/>
    <x v="0"/>
    <s v="X"/>
    <m/>
  </r>
  <r>
    <x v="19"/>
    <x v="19"/>
    <s v="St. Pius X School"/>
    <n v="8168"/>
    <n v="111"/>
    <s v="X"/>
    <s v="X"/>
    <m/>
    <s v="X"/>
    <s v="X"/>
    <s v="X"/>
    <x v="0"/>
    <s v="X"/>
    <m/>
  </r>
  <r>
    <x v="19"/>
    <x v="19"/>
    <s v="St. Thomas More School"/>
    <n v="8169"/>
    <n v="245"/>
    <s v="X"/>
    <m/>
    <m/>
    <s v="X"/>
    <s v="X"/>
    <s v="X"/>
    <x v="0"/>
    <m/>
    <m/>
  </r>
  <r>
    <x v="20"/>
    <x v="20"/>
    <s v="Ellensburg Christian School"/>
    <n v="8941"/>
    <n v="100"/>
    <m/>
    <m/>
    <m/>
    <s v="X"/>
    <m/>
    <s v="X"/>
    <x v="1"/>
    <m/>
    <m/>
  </r>
  <r>
    <x v="21"/>
    <x v="21"/>
    <s v="New Life Christian School"/>
    <n v="8605"/>
    <n v="99"/>
    <s v="X"/>
    <s v="X"/>
    <m/>
    <s v="X"/>
    <s v="X"/>
    <s v="X"/>
    <x v="1"/>
    <m/>
    <m/>
  </r>
  <r>
    <x v="21"/>
    <x v="21"/>
    <s v="St. Rose of Lima School"/>
    <n v="8021"/>
    <n v="72"/>
    <s v="X"/>
    <m/>
    <m/>
    <s v="X"/>
    <m/>
    <m/>
    <x v="1"/>
    <m/>
    <m/>
  </r>
  <r>
    <x v="22"/>
    <x v="22"/>
    <s v="Archbishop Thomas J. Murphy High School"/>
    <n v="8883"/>
    <n v="532"/>
    <m/>
    <m/>
    <m/>
    <s v="X"/>
    <m/>
    <m/>
    <x v="1"/>
    <m/>
    <m/>
  </r>
  <r>
    <x v="22"/>
    <x v="22"/>
    <s v="Everett Christian School"/>
    <n v="8156"/>
    <n v="82"/>
    <s v="X"/>
    <m/>
    <m/>
    <s v="X"/>
    <s v="X"/>
    <s v="X"/>
    <x v="1"/>
    <m/>
    <m/>
  </r>
  <r>
    <x v="22"/>
    <x v="22"/>
    <s v="Immaculate Conception/Our Lady of Perpetual Help"/>
    <n v="8157"/>
    <n v="280"/>
    <s v="X"/>
    <m/>
    <m/>
    <s v="X"/>
    <m/>
    <s v="X"/>
    <x v="0"/>
    <m/>
    <m/>
  </r>
  <r>
    <x v="22"/>
    <x v="22"/>
    <s v="Light of Faith Christian Academy"/>
    <s v="800X"/>
    <n v="0"/>
    <s v="X"/>
    <s v="X"/>
    <s v="X"/>
    <s v="X"/>
    <s v="X"/>
    <s v="X"/>
    <x v="0"/>
    <s v="X"/>
    <s v="X"/>
  </r>
  <r>
    <x v="22"/>
    <x v="22"/>
    <s v="St. Mary Magdalen School"/>
    <n v="8159"/>
    <n v="350"/>
    <s v="X"/>
    <m/>
    <m/>
    <s v="X"/>
    <m/>
    <s v="X"/>
    <x v="0"/>
    <s v="X"/>
    <m/>
  </r>
  <r>
    <x v="23"/>
    <x v="23"/>
    <s v="Seton Catholic College Preparatory High School"/>
    <s v="800N"/>
    <n v="83"/>
    <m/>
    <m/>
    <m/>
    <s v="X"/>
    <m/>
    <m/>
    <x v="1"/>
    <m/>
    <m/>
  </r>
  <r>
    <x v="24"/>
    <x v="24"/>
    <s v="Christian Faith School"/>
    <n v="8772"/>
    <n v="249"/>
    <s v="X"/>
    <m/>
    <m/>
    <s v="X"/>
    <s v="X"/>
    <s v="X"/>
    <x v="0"/>
    <s v="X"/>
    <m/>
  </r>
  <r>
    <x v="24"/>
    <x v="24"/>
    <s v="Evergreen Lutheran High School"/>
    <n v="8456"/>
    <n v="99"/>
    <m/>
    <m/>
    <m/>
    <m/>
    <s v="X"/>
    <s v="X"/>
    <x v="0"/>
    <m/>
    <s v="X"/>
  </r>
  <r>
    <x v="24"/>
    <x v="24"/>
    <s v="Holy Trinity Lutheran School"/>
    <n v="8535"/>
    <n v="134"/>
    <s v="X"/>
    <m/>
    <m/>
    <s v="X"/>
    <s v="X"/>
    <s v="X"/>
    <x v="1"/>
    <m/>
    <m/>
  </r>
  <r>
    <x v="24"/>
    <x v="24"/>
    <s v="Overcomer Academy"/>
    <n v="1474"/>
    <n v="27"/>
    <m/>
    <s v="X"/>
    <m/>
    <s v="X"/>
    <s v="X"/>
    <s v="X"/>
    <x v="1"/>
    <s v="X"/>
    <m/>
  </r>
  <r>
    <x v="24"/>
    <x v="24"/>
    <s v="Spring Valley Montessori"/>
    <n v="8078"/>
    <n v="80"/>
    <m/>
    <m/>
    <s v="X"/>
    <s v="X"/>
    <s v="X"/>
    <s v="X"/>
    <x v="0"/>
    <s v="X"/>
    <s v="X"/>
  </r>
  <r>
    <x v="24"/>
    <x v="24"/>
    <s v="St. Vincent De Paul School"/>
    <n v="8077"/>
    <n v="277"/>
    <s v="X"/>
    <m/>
    <m/>
    <s v="X"/>
    <s v="X"/>
    <s v="X"/>
    <x v="0"/>
    <m/>
    <m/>
  </r>
  <r>
    <x v="25"/>
    <x v="25"/>
    <s v="Bridgeway Christian Academy"/>
    <s v="800D"/>
    <n v="20"/>
    <s v="X"/>
    <m/>
    <m/>
    <s v="X"/>
    <m/>
    <s v="X"/>
    <x v="1"/>
    <m/>
    <m/>
  </r>
  <r>
    <x v="25"/>
    <x v="25"/>
    <s v="Pioneer Meadows Montessori School"/>
    <n v="1447"/>
    <n v="33"/>
    <s v="X"/>
    <m/>
    <m/>
    <s v="X"/>
    <s v="X"/>
    <s v="X"/>
    <x v="1"/>
    <s v="X"/>
    <m/>
  </r>
  <r>
    <x v="25"/>
    <x v="25"/>
    <s v="Whatcom Day Academy"/>
    <n v="8917"/>
    <n v="61"/>
    <m/>
    <m/>
    <m/>
    <s v="X"/>
    <m/>
    <s v="X"/>
    <x v="1"/>
    <m/>
    <m/>
  </r>
  <r>
    <x v="26"/>
    <x v="26"/>
    <s v="All Saints School"/>
    <n v="8469"/>
    <n v="144"/>
    <s v="X"/>
    <s v="X"/>
    <s v="X"/>
    <s v="X"/>
    <s v="X"/>
    <s v="X"/>
    <x v="0"/>
    <m/>
    <m/>
  </r>
  <r>
    <x v="27"/>
    <x v="27"/>
    <s v="Parkland Lutheran School"/>
    <n v="8150"/>
    <n v="84"/>
    <s v="X"/>
    <s v="X"/>
    <m/>
    <s v="X"/>
    <s v="X"/>
    <m/>
    <x v="0"/>
    <m/>
    <m/>
  </r>
  <r>
    <x v="28"/>
    <x v="28"/>
    <s v="Goldendale Christian School"/>
    <n v="1425"/>
    <n v="18"/>
    <s v="X"/>
    <m/>
    <m/>
    <s v="X"/>
    <m/>
    <m/>
    <x v="1"/>
    <m/>
    <m/>
  </r>
  <r>
    <x v="29"/>
    <x v="29"/>
    <s v="Glendale Lutheran School"/>
    <n v="8396"/>
    <n v="38"/>
    <s v="X"/>
    <s v="X"/>
    <m/>
    <s v="X"/>
    <s v="X"/>
    <s v="X"/>
    <x v="0"/>
    <s v="X"/>
    <m/>
  </r>
  <r>
    <x v="29"/>
    <x v="29"/>
    <s v="John F Kennedy Catholic High School"/>
    <n v="8082"/>
    <n v="919"/>
    <s v="X"/>
    <m/>
    <m/>
    <s v="X"/>
    <s v="X"/>
    <s v="X"/>
    <x v="1"/>
    <s v="X"/>
    <m/>
  </r>
  <r>
    <x v="29"/>
    <x v="29"/>
    <s v="Praise Christian Academy"/>
    <n v="1448"/>
    <n v="10"/>
    <m/>
    <m/>
    <m/>
    <s v="X"/>
    <s v="X"/>
    <s v="X"/>
    <x v="1"/>
    <s v="X"/>
    <s v="X"/>
  </r>
  <r>
    <x v="29"/>
    <x v="29"/>
    <s v="Seattle Christian School"/>
    <n v="8084"/>
    <n v="567"/>
    <m/>
    <m/>
    <m/>
    <s v="X"/>
    <m/>
    <m/>
    <x v="1"/>
    <m/>
    <m/>
  </r>
  <r>
    <x v="29"/>
    <x v="29"/>
    <s v="Shorewood Christian School"/>
    <n v="8523"/>
    <n v="199"/>
    <m/>
    <m/>
    <m/>
    <s v="X"/>
    <m/>
    <m/>
    <x v="1"/>
    <m/>
    <s v="X"/>
  </r>
  <r>
    <x v="29"/>
    <x v="29"/>
    <s v="St. Bernadette School"/>
    <n v="8086"/>
    <n v="209"/>
    <s v="X"/>
    <m/>
    <m/>
    <s v="X"/>
    <m/>
    <s v="X"/>
    <x v="0"/>
    <m/>
    <m/>
  </r>
  <r>
    <x v="29"/>
    <x v="29"/>
    <s v="St. Francis of Assisi"/>
    <n v="8087"/>
    <n v="475"/>
    <s v="X"/>
    <m/>
    <m/>
    <s v="X"/>
    <s v="X"/>
    <s v="X"/>
    <x v="0"/>
    <s v="X"/>
    <s v="X"/>
  </r>
  <r>
    <x v="29"/>
    <x v="29"/>
    <s v="St. Philomena School"/>
    <n v="8646"/>
    <n v="224"/>
    <s v="X"/>
    <m/>
    <m/>
    <s v="X"/>
    <s v="X"/>
    <s v="X"/>
    <x v="1"/>
    <m/>
    <m/>
  </r>
  <r>
    <x v="30"/>
    <x v="30"/>
    <s v="Eastside Montessori Education Foundation"/>
    <n v="8479"/>
    <n v="48"/>
    <m/>
    <m/>
    <m/>
    <s v="X"/>
    <m/>
    <m/>
    <x v="1"/>
    <m/>
    <m/>
  </r>
  <r>
    <x v="30"/>
    <x v="30"/>
    <s v="Sammamish Christian School and Noahs Ark"/>
    <n v="8815"/>
    <n v="33"/>
    <s v="X"/>
    <m/>
    <m/>
    <s v="X"/>
    <s v="X"/>
    <m/>
    <x v="0"/>
    <m/>
    <m/>
  </r>
  <r>
    <x v="30"/>
    <x v="30"/>
    <s v="St. Joseph Catholic School of Issaquah"/>
    <n v="8282"/>
    <n v="307"/>
    <m/>
    <m/>
    <m/>
    <s v="X"/>
    <m/>
    <s v="X"/>
    <x v="1"/>
    <m/>
    <m/>
  </r>
  <r>
    <x v="31"/>
    <x v="31"/>
    <s v="Family House Academy"/>
    <n v="8347"/>
    <n v="33"/>
    <m/>
    <m/>
    <m/>
    <s v="X"/>
    <s v="X"/>
    <s v="X"/>
    <x v="1"/>
    <s v="X"/>
    <m/>
  </r>
  <r>
    <x v="31"/>
    <x v="31"/>
    <s v="Kelso Longview Adventist School"/>
    <n v="8090"/>
    <n v="41"/>
    <s v="X"/>
    <m/>
    <m/>
    <s v="X"/>
    <s v="X"/>
    <s v="X"/>
    <x v="1"/>
    <s v="X"/>
    <m/>
  </r>
  <r>
    <x v="31"/>
    <x v="31"/>
    <s v="Three Rivers Christian School-Cornerstone Jr/Sr High "/>
    <n v="8257"/>
    <n v="113"/>
    <m/>
    <m/>
    <m/>
    <s v="X"/>
    <s v="X"/>
    <s v="X"/>
    <x v="1"/>
    <m/>
    <s v="X"/>
  </r>
  <r>
    <x v="32"/>
    <x v="32"/>
    <s v="Bethlehem Lutheran School"/>
    <n v="8001"/>
    <n v="141"/>
    <m/>
    <m/>
    <m/>
    <s v="X"/>
    <s v="X"/>
    <s v="X"/>
    <x v="1"/>
    <s v="X"/>
    <m/>
  </r>
  <r>
    <x v="32"/>
    <x v="32"/>
    <s v="St. Josephs School"/>
    <n v="8002"/>
    <n v="275"/>
    <m/>
    <m/>
    <m/>
    <s v="X"/>
    <m/>
    <s v="X"/>
    <x v="1"/>
    <m/>
    <m/>
  </r>
  <r>
    <x v="33"/>
    <x v="33"/>
    <s v="Rainier Christian Middle School"/>
    <n v="8242"/>
    <n v="118"/>
    <s v="X"/>
    <m/>
    <m/>
    <s v="X"/>
    <m/>
    <m/>
    <x v="1"/>
    <m/>
    <m/>
  </r>
  <r>
    <x v="33"/>
    <x v="33"/>
    <s v="Rainier Christian Schools-Maple Valley Elementary"/>
    <n v="8099"/>
    <n v="135"/>
    <s v="X"/>
    <m/>
    <m/>
    <s v="X"/>
    <m/>
    <s v="X"/>
    <x v="0"/>
    <m/>
    <m/>
  </r>
  <r>
    <x v="34"/>
    <x v="34"/>
    <s v="Chelan Valley Independent School"/>
    <n v="8942"/>
    <n v="28"/>
    <s v="X"/>
    <m/>
    <m/>
    <s v="X"/>
    <m/>
    <m/>
    <x v="1"/>
    <m/>
    <m/>
  </r>
  <r>
    <x v="35"/>
    <x v="35"/>
    <s v="Zion Lutheran School"/>
    <n v="8173"/>
    <n v="140"/>
    <m/>
    <m/>
    <m/>
    <s v="X"/>
    <m/>
    <s v="X"/>
    <x v="1"/>
    <m/>
    <m/>
  </r>
  <r>
    <x v="36"/>
    <x v="36"/>
    <s v="Eastside Catholic School"/>
    <n v="8572"/>
    <n v="805"/>
    <m/>
    <m/>
    <m/>
    <s v="X"/>
    <m/>
    <m/>
    <x v="1"/>
    <m/>
    <m/>
  </r>
  <r>
    <x v="36"/>
    <x v="36"/>
    <s v="Faith Lutheran School of Redmond"/>
    <n v="8713"/>
    <n v="24"/>
    <s v="X"/>
    <m/>
    <m/>
    <s v="X"/>
    <m/>
    <m/>
    <x v="1"/>
    <m/>
    <m/>
  </r>
  <r>
    <x v="36"/>
    <x v="36"/>
    <s v="Holy Family Parish School"/>
    <n v="8106"/>
    <n v="250"/>
    <m/>
    <m/>
    <m/>
    <s v="X"/>
    <s v="X"/>
    <m/>
    <x v="1"/>
    <m/>
    <m/>
  </r>
  <r>
    <x v="36"/>
    <x v="36"/>
    <s v="Medina Academy"/>
    <n v="8612"/>
    <n v="83"/>
    <s v="X"/>
    <s v="X"/>
    <s v="X"/>
    <s v="X"/>
    <s v="X"/>
    <s v="X"/>
    <x v="0"/>
    <s v="X"/>
    <s v="X"/>
  </r>
  <r>
    <x v="36"/>
    <x v="36"/>
    <s v="The Bear Creek School"/>
    <n v="8887"/>
    <n v="689"/>
    <m/>
    <m/>
    <m/>
    <s v="X"/>
    <m/>
    <s v="X"/>
    <x v="1"/>
    <m/>
    <m/>
  </r>
  <r>
    <x v="37"/>
    <x v="37"/>
    <s v="St. Rose School"/>
    <n v="8015"/>
    <n v="176"/>
    <s v="X"/>
    <m/>
    <m/>
    <s v="X"/>
    <m/>
    <s v="X"/>
    <x v="1"/>
    <m/>
    <m/>
  </r>
  <r>
    <x v="37"/>
    <x v="37"/>
    <s v="Three Rivers Christian School-Longview Elementary"/>
    <n v="8016"/>
    <n v="139"/>
    <m/>
    <m/>
    <m/>
    <s v="X"/>
    <s v="X"/>
    <s v="X"/>
    <x v="1"/>
    <m/>
    <m/>
  </r>
  <r>
    <x v="38"/>
    <x v="38"/>
    <s v="Cornerstone Christian School"/>
    <n v="8587"/>
    <n v="112"/>
    <s v="X"/>
    <m/>
    <m/>
    <s v="X"/>
    <s v="X"/>
    <m/>
    <x v="1"/>
    <s v="X"/>
    <m/>
  </r>
  <r>
    <x v="38"/>
    <x v="38"/>
    <s v="Ebenezer Christian School"/>
    <n v="8221"/>
    <n v="94"/>
    <m/>
    <m/>
    <m/>
    <s v="X"/>
    <s v="X"/>
    <s v="X"/>
    <x v="1"/>
    <m/>
    <m/>
  </r>
  <r>
    <x v="38"/>
    <x v="38"/>
    <s v="Lynden Christian Schools"/>
    <n v="8222"/>
    <n v="934"/>
    <s v="X"/>
    <m/>
    <m/>
    <s v="X"/>
    <s v="X"/>
    <s v="X"/>
    <x v="0"/>
    <m/>
    <m/>
  </r>
  <r>
    <x v="39"/>
    <x v="39"/>
    <s v="Grace Academy"/>
    <n v="8429"/>
    <n v="290"/>
    <m/>
    <m/>
    <m/>
    <s v="X"/>
    <s v="X"/>
    <s v="X"/>
    <x v="1"/>
    <s v="X"/>
    <s v="X"/>
  </r>
  <r>
    <x v="40"/>
    <x v="40"/>
    <s v="Northwest Christian School"/>
    <n v="8270"/>
    <n v="330"/>
    <m/>
    <m/>
    <m/>
    <s v="X"/>
    <m/>
    <s v="X"/>
    <x v="0"/>
    <m/>
    <s v="X"/>
  </r>
  <r>
    <x v="40"/>
    <x v="40"/>
    <s v="Slavic Christian Academy--Spokane"/>
    <n v="1494"/>
    <n v="109"/>
    <s v="X"/>
    <s v="X"/>
    <m/>
    <s v="X"/>
    <s v="X"/>
    <s v="X"/>
    <x v="0"/>
    <s v="X"/>
    <m/>
  </r>
  <r>
    <x v="40"/>
    <x v="40"/>
    <s v="St. Thomas More School"/>
    <n v="8200"/>
    <n v="252"/>
    <s v="X"/>
    <s v="X"/>
    <s v="X"/>
    <s v="X"/>
    <s v="X"/>
    <s v="X"/>
    <x v="0"/>
    <s v="X"/>
    <s v="X"/>
  </r>
  <r>
    <x v="41"/>
    <x v="41"/>
    <s v="Child School - New Heights School at Children's Institute"/>
    <n v="8958"/>
    <n v="45"/>
    <m/>
    <m/>
    <m/>
    <s v="X"/>
    <m/>
    <s v="X"/>
    <x v="1"/>
    <m/>
    <m/>
  </r>
  <r>
    <x v="41"/>
    <x v="41"/>
    <s v="French-Am School of Puget Sound"/>
    <n v="8279"/>
    <n v="298"/>
    <m/>
    <m/>
    <m/>
    <s v="X"/>
    <s v="X"/>
    <s v="X"/>
    <x v="0"/>
    <m/>
    <m/>
  </r>
  <r>
    <x v="41"/>
    <x v="41"/>
    <s v="Northwest Yeshiva High School"/>
    <n v="8569"/>
    <n v="80"/>
    <m/>
    <m/>
    <m/>
    <s v="X"/>
    <m/>
    <m/>
    <x v="0"/>
    <m/>
    <m/>
  </r>
  <r>
    <x v="41"/>
    <x v="41"/>
    <s v="St. Monica School"/>
    <n v="8081"/>
    <n v="219"/>
    <s v="X"/>
    <m/>
    <m/>
    <s v="X"/>
    <m/>
    <m/>
    <x v="0"/>
    <m/>
    <s v="X"/>
  </r>
  <r>
    <x v="42"/>
    <x v="42"/>
    <s v="Methow Valley Community School"/>
    <n v="8362"/>
    <n v="47"/>
    <s v="X"/>
    <m/>
    <m/>
    <m/>
    <s v="X"/>
    <m/>
    <x v="1"/>
    <s v="X"/>
    <m/>
  </r>
  <r>
    <x v="43"/>
    <x v="43"/>
    <s v="Cornerstone Academy"/>
    <n v="1464"/>
    <n v="33"/>
    <s v="X"/>
    <s v="X"/>
    <s v="X"/>
    <s v="X"/>
    <s v="X"/>
    <s v="X"/>
    <x v="0"/>
    <s v="X"/>
    <s v="X"/>
  </r>
  <r>
    <x v="43"/>
    <x v="43"/>
    <s v="Monroe Christian School"/>
    <n v="8171"/>
    <n v="138"/>
    <s v="X"/>
    <m/>
    <m/>
    <s v="X"/>
    <s v="X"/>
    <s v="X"/>
    <x v="1"/>
    <m/>
    <m/>
  </r>
  <r>
    <x v="44"/>
    <x v="44"/>
    <s v="Harrah Community Christian School"/>
    <n v="8694"/>
    <n v="43"/>
    <s v="X"/>
    <m/>
    <m/>
    <s v="X"/>
    <s v="X"/>
    <s v="X"/>
    <x v="1"/>
    <m/>
    <m/>
  </r>
  <r>
    <x v="45"/>
    <x v="45"/>
    <s v="Immaculate Conception Regional School"/>
    <n v="8153"/>
    <n v="216"/>
    <s v="X"/>
    <s v="X"/>
    <s v="X"/>
    <s v="X"/>
    <s v="X"/>
    <s v="X"/>
    <x v="0"/>
    <s v="X"/>
    <m/>
  </r>
  <r>
    <x v="45"/>
    <x v="45"/>
    <s v="Mount Vernon Christian School"/>
    <n v="8154"/>
    <n v="293"/>
    <s v="X"/>
    <m/>
    <m/>
    <s v="X"/>
    <s v="X"/>
    <s v="X"/>
    <x v="1"/>
    <m/>
    <s v="X"/>
  </r>
  <r>
    <x v="46"/>
    <x v="46"/>
    <s v="Greater Trinity Christian Learning Academy"/>
    <n v="8409"/>
    <n v="15"/>
    <s v="X"/>
    <s v="X"/>
    <m/>
    <s v="X"/>
    <s v="X"/>
    <s v="X"/>
    <x v="0"/>
    <s v="X"/>
    <m/>
  </r>
  <r>
    <x v="46"/>
    <x v="46"/>
    <s v="Mukilteo Academy"/>
    <n v="1411"/>
    <n v="17"/>
    <s v="X"/>
    <m/>
    <m/>
    <s v="X"/>
    <s v="X"/>
    <m/>
    <x v="1"/>
    <m/>
    <m/>
  </r>
  <r>
    <x v="46"/>
    <x v="46"/>
    <s v="Northshore Christian Academy"/>
    <n v="8111"/>
    <n v="742"/>
    <m/>
    <m/>
    <m/>
    <s v="X"/>
    <s v="X"/>
    <s v="X"/>
    <x v="1"/>
    <m/>
    <m/>
  </r>
  <r>
    <x v="47"/>
    <x v="47"/>
    <s v="Christ the King Academy"/>
    <n v="8341"/>
    <n v="136"/>
    <s v="X"/>
    <m/>
    <m/>
    <s v="X"/>
    <m/>
    <s v="X"/>
    <x v="1"/>
    <s v="X"/>
    <m/>
  </r>
  <r>
    <x v="47"/>
    <x v="47"/>
    <s v="Silverwood School"/>
    <n v="8816"/>
    <n v="61"/>
    <s v="X"/>
    <s v="X"/>
    <s v="X"/>
    <s v="X"/>
    <m/>
    <m/>
    <x v="0"/>
    <m/>
    <s v="X"/>
  </r>
  <r>
    <x v="48"/>
    <x v="48"/>
    <s v="Community Christian Academy"/>
    <n v="8311"/>
    <n v="220"/>
    <s v="X"/>
    <m/>
    <m/>
    <s v="X"/>
    <s v="X"/>
    <s v="X"/>
    <x v="1"/>
    <m/>
    <s v="X"/>
  </r>
  <r>
    <x v="48"/>
    <x v="48"/>
    <s v="Faith Lutheran School"/>
    <n v="8482"/>
    <n v="85"/>
    <s v="X"/>
    <s v="X"/>
    <m/>
    <s v="X"/>
    <s v="X"/>
    <s v="X"/>
    <x v="1"/>
    <s v="X"/>
    <m/>
  </r>
  <r>
    <x v="48"/>
    <x v="48"/>
    <s v="Holy Family School"/>
    <n v="8340"/>
    <n v="69"/>
    <s v="X"/>
    <m/>
    <m/>
    <s v="X"/>
    <s v="X"/>
    <s v="X"/>
    <x v="1"/>
    <m/>
    <m/>
  </r>
  <r>
    <x v="48"/>
    <x v="48"/>
    <s v="Northwest Christian High School"/>
    <n v="8174"/>
    <n v="196"/>
    <m/>
    <m/>
    <m/>
    <s v="X"/>
    <s v="X"/>
    <s v="X"/>
    <x v="1"/>
    <m/>
    <s v="X"/>
  </r>
  <r>
    <x v="49"/>
    <x v="49"/>
    <s v="Bellevue Christian Mack Elementary"/>
    <n v="8875"/>
    <n v="184"/>
    <s v="X"/>
    <m/>
    <m/>
    <s v="X"/>
    <s v="X"/>
    <s v="X"/>
    <x v="0"/>
    <s v="X"/>
    <m/>
  </r>
  <r>
    <x v="49"/>
    <x v="49"/>
    <s v="Heritage Christian Academy"/>
    <n v="8561"/>
    <n v="143"/>
    <m/>
    <m/>
    <m/>
    <s v="X"/>
    <m/>
    <s v="X"/>
    <x v="1"/>
    <m/>
    <m/>
  </r>
  <r>
    <x v="49"/>
    <x v="49"/>
    <s v="St. Brendan School"/>
    <n v="8113"/>
    <n v="235"/>
    <s v="X"/>
    <s v="X"/>
    <m/>
    <m/>
    <s v="X"/>
    <s v="X"/>
    <x v="1"/>
    <s v="X"/>
    <m/>
  </r>
  <r>
    <x v="49"/>
    <x v="49"/>
    <s v="The Clearwater School"/>
    <n v="8372"/>
    <n v="51"/>
    <s v="X"/>
    <s v="X"/>
    <s v="X"/>
    <s v="X"/>
    <s v="X"/>
    <s v="X"/>
    <x v="0"/>
    <s v="X"/>
    <s v="X"/>
  </r>
  <r>
    <x v="50"/>
    <x v="50"/>
    <s v="Oak Harbor Christian School"/>
    <n v="8026"/>
    <n v="150"/>
    <s v="X"/>
    <m/>
    <m/>
    <s v="X"/>
    <m/>
    <m/>
    <x v="1"/>
    <m/>
    <m/>
  </r>
  <r>
    <x v="51"/>
    <x v="51"/>
    <s v="Rock Creek Hutterite"/>
    <n v="8395"/>
    <n v="15"/>
    <m/>
    <m/>
    <m/>
    <s v="X"/>
    <m/>
    <m/>
    <x v="1"/>
    <m/>
    <m/>
  </r>
  <r>
    <x v="51"/>
    <x v="51"/>
    <s v="Stahlville School"/>
    <n v="8595"/>
    <n v="1"/>
    <s v="X"/>
    <m/>
    <m/>
    <s v="X"/>
    <m/>
    <s v="X"/>
    <x v="1"/>
    <m/>
    <m/>
  </r>
  <r>
    <x v="52"/>
    <x v="52"/>
    <s v="Nova School"/>
    <n v="8948"/>
    <n v="107"/>
    <m/>
    <m/>
    <m/>
    <s v="X"/>
    <m/>
    <m/>
    <x v="1"/>
    <m/>
    <m/>
  </r>
  <r>
    <x v="52"/>
    <x v="52"/>
    <s v="Olympia Community School"/>
    <n v="8317"/>
    <n v="21"/>
    <m/>
    <m/>
    <m/>
    <s v="X"/>
    <m/>
    <m/>
    <x v="1"/>
    <m/>
    <m/>
  </r>
  <r>
    <x v="52"/>
    <x v="52"/>
    <s v="St. Michael School"/>
    <n v="8210"/>
    <n v="265"/>
    <s v="X"/>
    <m/>
    <m/>
    <s v="X"/>
    <s v="X"/>
    <s v="X"/>
    <x v="1"/>
    <s v="X"/>
    <m/>
  </r>
  <r>
    <x v="53"/>
    <x v="53"/>
    <s v="Orcas Christian School"/>
    <n v="8557"/>
    <n v="81"/>
    <s v="X"/>
    <m/>
    <m/>
    <m/>
    <m/>
    <m/>
    <x v="1"/>
    <m/>
    <m/>
  </r>
  <r>
    <x v="54"/>
    <x v="54"/>
    <s v="Spokane Christian Academy"/>
    <n v="8687"/>
    <n v="52"/>
    <m/>
    <m/>
    <m/>
    <s v="X"/>
    <m/>
    <s v="X"/>
    <x v="1"/>
    <m/>
    <m/>
  </r>
  <r>
    <x v="55"/>
    <x v="55"/>
    <s v="St. Patrick School"/>
    <n v="8018"/>
    <n v="192"/>
    <s v="X"/>
    <m/>
    <m/>
    <s v="X"/>
    <s v="X"/>
    <m/>
    <x v="1"/>
    <m/>
    <m/>
  </r>
  <r>
    <x v="55"/>
    <x v="55"/>
    <s v="Tri-Cities Prep"/>
    <n v="8309"/>
    <n v="155"/>
    <s v="X"/>
    <m/>
    <m/>
    <s v="X"/>
    <m/>
    <s v="X"/>
    <x v="1"/>
    <s v="X"/>
    <m/>
  </r>
  <r>
    <x v="56"/>
    <x v="56"/>
    <s v="Gig Harbor Academy"/>
    <n v="8389"/>
    <n v="71"/>
    <s v="X"/>
    <s v="X"/>
    <m/>
    <s v="X"/>
    <s v="X"/>
    <s v="X"/>
    <x v="1"/>
    <s v="X"/>
    <m/>
  </r>
  <r>
    <x v="56"/>
    <x v="56"/>
    <s v="Harbor Christian Schools"/>
    <n v="1423"/>
    <n v="30"/>
    <m/>
    <m/>
    <m/>
    <s v="X"/>
    <s v="X"/>
    <s v="X"/>
    <x v="1"/>
    <s v="X"/>
    <m/>
  </r>
  <r>
    <x v="56"/>
    <x v="56"/>
    <s v="Harbor Montessori School"/>
    <n v="8667"/>
    <n v="83"/>
    <m/>
    <m/>
    <m/>
    <s v="X"/>
    <s v="X"/>
    <s v="X"/>
    <x v="1"/>
    <m/>
    <m/>
  </r>
  <r>
    <x v="56"/>
    <x v="56"/>
    <s v="Lighthouse Christian School"/>
    <n v="8998"/>
    <n v="308"/>
    <m/>
    <m/>
    <m/>
    <s v="X"/>
    <s v="X"/>
    <s v="X"/>
    <x v="1"/>
    <m/>
    <m/>
  </r>
  <r>
    <x v="56"/>
    <x v="56"/>
    <s v="St. Nicholas School"/>
    <n v="8161"/>
    <n v="128"/>
    <m/>
    <m/>
    <m/>
    <s v="X"/>
    <m/>
    <m/>
    <x v="1"/>
    <m/>
    <m/>
  </r>
  <r>
    <x v="57"/>
    <x v="57"/>
    <s v="Olympic Christian School"/>
    <n v="8302"/>
    <n v="92"/>
    <s v="X"/>
    <m/>
    <m/>
    <s v="X"/>
    <s v="X"/>
    <s v="X"/>
    <x v="1"/>
    <m/>
    <m/>
  </r>
  <r>
    <x v="57"/>
    <x v="57"/>
    <s v="Queen of Angels School"/>
    <n v="8006"/>
    <n v="107"/>
    <s v="X"/>
    <m/>
    <m/>
    <s v="X"/>
    <m/>
    <s v="X"/>
    <x v="1"/>
    <m/>
    <m/>
  </r>
  <r>
    <x v="58"/>
    <x v="58"/>
    <s v="Jefferson Community School"/>
    <n v="1427"/>
    <n v="31"/>
    <s v="X"/>
    <m/>
    <m/>
    <s v="X"/>
    <s v="X"/>
    <s v="X"/>
    <x v="1"/>
    <s v="X"/>
    <s v="X"/>
  </r>
  <r>
    <x v="58"/>
    <x v="58"/>
    <s v="Swan School"/>
    <n v="8177"/>
    <n v="44"/>
    <s v="X"/>
    <s v="X"/>
    <m/>
    <s v="X"/>
    <s v="X"/>
    <s v="X"/>
    <x v="1"/>
    <s v="X"/>
    <m/>
  </r>
  <r>
    <x v="59"/>
    <x v="59"/>
    <s v="Vista Hermosa Elementary School"/>
    <n v="8649"/>
    <n v="88"/>
    <s v="X"/>
    <s v="X"/>
    <s v="X"/>
    <s v="X"/>
    <s v="X"/>
    <s v="X"/>
    <x v="0"/>
    <s v="X"/>
    <s v="X"/>
  </r>
  <r>
    <x v="60"/>
    <x v="60"/>
    <s v="All Saints School"/>
    <n v="8128"/>
    <n v="268"/>
    <s v="X"/>
    <s v="X"/>
    <s v="X"/>
    <s v="X"/>
    <s v="X"/>
    <s v="X"/>
    <x v="0"/>
    <m/>
    <m/>
  </r>
  <r>
    <x v="60"/>
    <x v="60"/>
    <s v="Cascade Christian Junior High and High School"/>
    <n v="8237"/>
    <n v="514"/>
    <s v="X"/>
    <m/>
    <m/>
    <s v="X"/>
    <s v="X"/>
    <s v="X"/>
    <x v="0"/>
    <s v="X"/>
    <s v="X"/>
  </r>
  <r>
    <x v="60"/>
    <x v="60"/>
    <s v="Cascade Christian School-Puyallup Elementary"/>
    <n v="8757"/>
    <n v="355"/>
    <s v="X"/>
    <m/>
    <m/>
    <s v="X"/>
    <s v="X"/>
    <s v="X"/>
    <x v="0"/>
    <s v="X"/>
    <s v="X"/>
  </r>
  <r>
    <x v="60"/>
    <x v="60"/>
    <s v="Mt. Rainier Lutheran High School"/>
    <n v="8956"/>
    <n v="118"/>
    <s v="X"/>
    <m/>
    <m/>
    <s v="X"/>
    <s v="X"/>
    <s v="X"/>
    <x v="0"/>
    <s v="X"/>
    <s v="X"/>
  </r>
  <r>
    <x v="60"/>
    <x v="60"/>
    <s v="Slavic Christian Academy--Edgewood"/>
    <n v="1493"/>
    <n v="142"/>
    <s v="X"/>
    <s v="X"/>
    <s v="X"/>
    <s v="X"/>
    <s v="X"/>
    <s v="X"/>
    <x v="0"/>
    <s v="X"/>
    <s v="X"/>
  </r>
  <r>
    <x v="61"/>
    <x v="61"/>
    <s v="Quincy Valley School"/>
    <n v="1472"/>
    <n v="32"/>
    <m/>
    <m/>
    <m/>
    <s v="X"/>
    <m/>
    <s v="X"/>
    <x v="0"/>
    <m/>
    <m/>
  </r>
  <r>
    <x v="62"/>
    <x v="62"/>
    <s v="Rainier Christian Schools-Highlands Elementary"/>
    <n v="8253"/>
    <n v="95"/>
    <s v="X"/>
    <m/>
    <m/>
    <s v="X"/>
    <s v="X"/>
    <s v="X"/>
    <x v="1"/>
    <m/>
    <m/>
  </r>
  <r>
    <x v="62"/>
    <x v="62"/>
    <s v="St. Anthony School"/>
    <n v="8089"/>
    <n v="511"/>
    <s v="X"/>
    <m/>
    <m/>
    <s v="X"/>
    <s v="X"/>
    <s v="X"/>
    <x v="0"/>
    <m/>
    <m/>
  </r>
  <r>
    <x v="63"/>
    <x v="63"/>
    <s v="Childrens Garden Montessori"/>
    <n v="8225"/>
    <n v="25"/>
    <s v="X"/>
    <s v="X"/>
    <m/>
    <s v="X"/>
    <s v="X"/>
    <s v="X"/>
    <x v="0"/>
    <s v="X"/>
    <m/>
  </r>
  <r>
    <x v="63"/>
    <x v="63"/>
    <s v="Christ the King School"/>
    <n v="8003"/>
    <n v="441"/>
    <s v="X"/>
    <m/>
    <m/>
    <s v="X"/>
    <s v="X"/>
    <s v="X"/>
    <x v="1"/>
    <m/>
    <m/>
  </r>
  <r>
    <x v="63"/>
    <x v="63"/>
    <s v="Liberty Christian School"/>
    <n v="8564"/>
    <n v="414"/>
    <m/>
    <m/>
    <m/>
    <s v="X"/>
    <m/>
    <m/>
    <x v="1"/>
    <m/>
    <m/>
  </r>
  <r>
    <x v="64"/>
    <x v="64"/>
    <s v="Stillpoint School"/>
    <n v="1475"/>
    <n v="20"/>
    <m/>
    <m/>
    <m/>
    <s v="X"/>
    <m/>
    <m/>
    <x v="1"/>
    <m/>
    <m/>
  </r>
  <r>
    <x v="65"/>
    <x v="65"/>
    <s v="Amazing Grace Christian School"/>
    <n v="8343"/>
    <n v="186"/>
    <s v="X"/>
    <m/>
    <m/>
    <s v="X"/>
    <s v="X"/>
    <s v="X"/>
    <x v="1"/>
    <s v="X"/>
    <m/>
  </r>
  <r>
    <x v="65"/>
    <x v="65"/>
    <s v="Assumption St. Bridget"/>
    <n v="8028"/>
    <n v="535"/>
    <m/>
    <m/>
    <m/>
    <s v="X"/>
    <s v="X"/>
    <s v="X"/>
    <x v="1"/>
    <m/>
    <m/>
  </r>
  <r>
    <x v="65"/>
    <x v="65"/>
    <s v="Bertschi School"/>
    <n v="8432"/>
    <n v="223"/>
    <s v="X"/>
    <m/>
    <m/>
    <s v="X"/>
    <m/>
    <s v="X"/>
    <x v="1"/>
    <m/>
    <m/>
  </r>
  <r>
    <x v="65"/>
    <x v="65"/>
    <s v="Billings Middle School"/>
    <n v="8530"/>
    <n v="94"/>
    <m/>
    <m/>
    <m/>
    <s v="X"/>
    <m/>
    <s v="X"/>
    <x v="1"/>
    <m/>
    <m/>
  </r>
  <r>
    <x v="65"/>
    <x v="65"/>
    <s v="Bishop Blanchet High School"/>
    <n v="8029"/>
    <n v="995"/>
    <s v="X"/>
    <m/>
    <m/>
    <s v="X"/>
    <s v="X"/>
    <s v="X"/>
    <x v="1"/>
    <m/>
    <s v="X"/>
  </r>
  <r>
    <x v="65"/>
    <x v="65"/>
    <s v="Bright Water School"/>
    <n v="1422"/>
    <n v="166"/>
    <m/>
    <m/>
    <m/>
    <s v="X"/>
    <m/>
    <m/>
    <x v="1"/>
    <m/>
    <m/>
  </r>
  <r>
    <x v="65"/>
    <x v="65"/>
    <s v="Christ the King School"/>
    <n v="8031"/>
    <n v="159"/>
    <s v="X"/>
    <s v="X"/>
    <s v="X"/>
    <s v="X"/>
    <s v="X"/>
    <s v="X"/>
    <x v="0"/>
    <s v="X"/>
    <s v="X"/>
  </r>
  <r>
    <x v="65"/>
    <x v="65"/>
    <s v="Concordia Lutheran School"/>
    <n v="8032"/>
    <n v="46"/>
    <s v="X"/>
    <m/>
    <m/>
    <s v="X"/>
    <s v="X"/>
    <s v="X"/>
    <x v="1"/>
    <s v="X"/>
    <m/>
  </r>
  <r>
    <x v="65"/>
    <x v="65"/>
    <s v="First Place"/>
    <n v="8597"/>
    <n v="53"/>
    <s v="X"/>
    <s v="X"/>
    <m/>
    <s v="X"/>
    <s v="X"/>
    <s v="X"/>
    <x v="1"/>
    <s v="X"/>
    <m/>
  </r>
  <r>
    <x v="65"/>
    <x v="65"/>
    <s v="Giddens School"/>
    <n v="8978"/>
    <n v="102"/>
    <s v="X"/>
    <m/>
    <m/>
    <s v="X"/>
    <m/>
    <s v="X"/>
    <x v="1"/>
    <m/>
    <m/>
  </r>
  <r>
    <x v="65"/>
    <x v="65"/>
    <s v="Hamlin Robinson School"/>
    <n v="8743"/>
    <n v="118"/>
    <m/>
    <m/>
    <m/>
    <s v="X"/>
    <m/>
    <m/>
    <x v="1"/>
    <m/>
    <m/>
  </r>
  <r>
    <x v="65"/>
    <x v="65"/>
    <s v="Holy Family School"/>
    <n v="8041"/>
    <n v="138"/>
    <s v="X"/>
    <s v="X"/>
    <s v="X"/>
    <s v="X"/>
    <s v="X"/>
    <s v="X"/>
    <x v="0"/>
    <s v="X"/>
    <m/>
  </r>
  <r>
    <x v="65"/>
    <x v="65"/>
    <s v="Holy Names Academy"/>
    <n v="8042"/>
    <n v="681"/>
    <m/>
    <m/>
    <m/>
    <s v="X"/>
    <s v="X"/>
    <s v="X"/>
    <x v="1"/>
    <m/>
    <m/>
  </r>
  <r>
    <x v="65"/>
    <x v="65"/>
    <s v="Holy Rosary Elementary"/>
    <n v="8043"/>
    <n v="486"/>
    <m/>
    <m/>
    <m/>
    <s v="X"/>
    <s v="X"/>
    <s v="X"/>
    <x v="1"/>
    <m/>
    <m/>
  </r>
  <r>
    <x v="65"/>
    <x v="65"/>
    <s v="Hope Lutheran School"/>
    <n v="8045"/>
    <n v="141"/>
    <s v="X"/>
    <m/>
    <m/>
    <m/>
    <m/>
    <m/>
    <x v="1"/>
    <m/>
    <m/>
  </r>
  <r>
    <x v="65"/>
    <x v="65"/>
    <s v="Islamic School of Seattle"/>
    <n v="8655"/>
    <n v="25"/>
    <s v="X"/>
    <s v="X"/>
    <m/>
    <s v="X"/>
    <m/>
    <s v="X"/>
    <x v="1"/>
    <m/>
    <m/>
  </r>
  <r>
    <x v="65"/>
    <x v="65"/>
    <s v="Koinonia - Maxine Mimms Private Academy"/>
    <n v="8326"/>
    <n v="12"/>
    <s v="X"/>
    <s v="X"/>
    <s v="X"/>
    <s v="X"/>
    <s v="X"/>
    <s v="X"/>
    <x v="1"/>
    <s v="X"/>
    <m/>
  </r>
  <r>
    <x v="65"/>
    <x v="65"/>
    <s v="Meridian School"/>
    <n v="8404"/>
    <n v="184"/>
    <m/>
    <m/>
    <m/>
    <s v="X"/>
    <s v="X"/>
    <s v="X"/>
    <x v="1"/>
    <s v="X"/>
    <m/>
  </r>
  <r>
    <x v="65"/>
    <x v="65"/>
    <s v="MMSC Day School"/>
    <s v="800S"/>
    <n v="57"/>
    <s v="X"/>
    <s v="X"/>
    <m/>
    <s v="X"/>
    <s v="X"/>
    <s v="X"/>
    <x v="1"/>
    <m/>
    <m/>
  </r>
  <r>
    <x v="65"/>
    <x v="65"/>
    <s v="Morningside Academy"/>
    <n v="8674"/>
    <n v="80"/>
    <s v="X"/>
    <m/>
    <m/>
    <s v="X"/>
    <m/>
    <s v="X"/>
    <x v="1"/>
    <s v="X"/>
    <m/>
  </r>
  <r>
    <x v="65"/>
    <x v="65"/>
    <s v="O'Dea High School"/>
    <n v="8050"/>
    <n v="443"/>
    <m/>
    <m/>
    <m/>
    <s v="X"/>
    <m/>
    <s v="X"/>
    <x v="1"/>
    <m/>
    <m/>
  </r>
  <r>
    <x v="65"/>
    <x v="65"/>
    <s v="Our Lady of Fatima School"/>
    <n v="8051"/>
    <n v="307"/>
    <m/>
    <m/>
    <m/>
    <s v="X"/>
    <s v="X"/>
    <s v="X"/>
    <x v="1"/>
    <m/>
    <m/>
  </r>
  <r>
    <x v="65"/>
    <x v="65"/>
    <s v="Our Lady of Guadalupe School"/>
    <n v="8052"/>
    <n v="226"/>
    <s v="X"/>
    <s v="X"/>
    <s v="X"/>
    <s v="X"/>
    <s v="X"/>
    <s v="X"/>
    <x v="1"/>
    <m/>
    <m/>
  </r>
  <r>
    <x v="65"/>
    <x v="65"/>
    <s v="Our Lady Of The Lake"/>
    <n v="8054"/>
    <n v="197"/>
    <m/>
    <m/>
    <m/>
    <s v="X"/>
    <s v="X"/>
    <s v="X"/>
    <x v="1"/>
    <m/>
    <m/>
  </r>
  <r>
    <x v="65"/>
    <x v="65"/>
    <s v="Pacific Crest Schools"/>
    <n v="8929"/>
    <n v="147"/>
    <m/>
    <m/>
    <m/>
    <s v="X"/>
    <m/>
    <s v="X"/>
    <x v="1"/>
    <m/>
    <m/>
  </r>
  <r>
    <x v="65"/>
    <x v="65"/>
    <s v="Seattle Hebrew Academy"/>
    <n v="8057"/>
    <n v="154"/>
    <s v="X"/>
    <m/>
    <m/>
    <s v="X"/>
    <s v="X"/>
    <s v="X"/>
    <x v="1"/>
    <m/>
    <m/>
  </r>
  <r>
    <x v="65"/>
    <x v="65"/>
    <s v="Seattle Jewish Community School"/>
    <n v="8017"/>
    <n v="85"/>
    <s v="X"/>
    <m/>
    <m/>
    <s v="X"/>
    <s v="X"/>
    <s v="X"/>
    <x v="0"/>
    <m/>
    <m/>
  </r>
  <r>
    <x v="65"/>
    <x v="65"/>
    <s v="Seattle Lutheran High School"/>
    <n v="8455"/>
    <n v="156"/>
    <m/>
    <m/>
    <m/>
    <s v="X"/>
    <m/>
    <s v="X"/>
    <x v="1"/>
    <m/>
    <m/>
  </r>
  <r>
    <x v="65"/>
    <x v="65"/>
    <s v="Seattle Prep/Matteo Ricci College"/>
    <n v="8059"/>
    <n v="699"/>
    <s v="X"/>
    <s v="X"/>
    <s v="X"/>
    <s v="X"/>
    <s v="X"/>
    <s v="X"/>
    <x v="0"/>
    <s v="X"/>
    <s v="X"/>
  </r>
  <r>
    <x v="65"/>
    <x v="65"/>
    <s v="Seattle Urban Academy"/>
    <n v="8940"/>
    <n v="25"/>
    <s v="X"/>
    <m/>
    <m/>
    <s v="X"/>
    <s v="X"/>
    <s v="X"/>
    <x v="0"/>
    <s v="X"/>
    <s v="X"/>
  </r>
  <r>
    <x v="65"/>
    <x v="65"/>
    <s v="Spruce Street School"/>
    <n v="8704"/>
    <n v="104"/>
    <m/>
    <m/>
    <m/>
    <s v="X"/>
    <m/>
    <s v="X"/>
    <x v="1"/>
    <s v="X"/>
    <m/>
  </r>
  <r>
    <x v="65"/>
    <x v="65"/>
    <s v="St. Alphonsus School"/>
    <n v="8061"/>
    <n v="170"/>
    <s v="X"/>
    <s v="X"/>
    <m/>
    <s v="X"/>
    <s v="X"/>
    <s v="X"/>
    <x v="0"/>
    <s v="X"/>
    <m/>
  </r>
  <r>
    <x v="65"/>
    <x v="65"/>
    <s v="St. Anne School"/>
    <n v="8062"/>
    <n v="237"/>
    <m/>
    <m/>
    <m/>
    <s v="X"/>
    <s v="X"/>
    <s v="X"/>
    <x v="0"/>
    <s v="X"/>
    <m/>
  </r>
  <r>
    <x v="65"/>
    <x v="65"/>
    <s v="St. Benedict School"/>
    <n v="8063"/>
    <n v="178"/>
    <m/>
    <m/>
    <m/>
    <s v="X"/>
    <s v="X"/>
    <s v="X"/>
    <x v="1"/>
    <s v="X"/>
    <m/>
  </r>
  <r>
    <x v="65"/>
    <x v="65"/>
    <s v="St. Catherine School"/>
    <n v="8064"/>
    <n v="226"/>
    <m/>
    <m/>
    <m/>
    <s v="X"/>
    <s v="X"/>
    <s v="X"/>
    <x v="1"/>
    <s v="X"/>
    <m/>
  </r>
  <r>
    <x v="65"/>
    <x v="65"/>
    <s v="St. Edwards School"/>
    <n v="8065"/>
    <n v="146"/>
    <s v="X"/>
    <m/>
    <m/>
    <s v="X"/>
    <m/>
    <s v="X"/>
    <x v="0"/>
    <m/>
    <m/>
  </r>
  <r>
    <x v="65"/>
    <x v="65"/>
    <s v="St. George School"/>
    <n v="8067"/>
    <n v="214"/>
    <s v="X"/>
    <s v="X"/>
    <m/>
    <s v="X"/>
    <s v="X"/>
    <s v="X"/>
    <x v="0"/>
    <s v="X"/>
    <m/>
  </r>
  <r>
    <x v="65"/>
    <x v="65"/>
    <s v="St. John School"/>
    <n v="8069"/>
    <n v="467"/>
    <s v="X"/>
    <s v="X"/>
    <m/>
    <s v="X"/>
    <s v="X"/>
    <s v="X"/>
    <x v="0"/>
    <m/>
    <m/>
  </r>
  <r>
    <x v="65"/>
    <x v="65"/>
    <s v="St. Joseph School"/>
    <n v="8070"/>
    <n v="616"/>
    <s v="X"/>
    <s v="X"/>
    <s v="X"/>
    <s v="X"/>
    <s v="X"/>
    <s v="X"/>
    <x v="0"/>
    <s v="X"/>
    <m/>
  </r>
  <r>
    <x v="65"/>
    <x v="65"/>
    <s v="St. Matthew School"/>
    <n v="8073"/>
    <n v="210"/>
    <s v="X"/>
    <s v="X"/>
    <m/>
    <s v="X"/>
    <s v="X"/>
    <s v="X"/>
    <x v="0"/>
    <s v="X"/>
    <m/>
  </r>
  <r>
    <x v="65"/>
    <x v="65"/>
    <s v="St. Paul School"/>
    <n v="8075"/>
    <n v="140"/>
    <s v="X"/>
    <m/>
    <m/>
    <s v="X"/>
    <s v="X"/>
    <s v="X"/>
    <x v="1"/>
    <s v="X"/>
    <m/>
  </r>
  <r>
    <x v="65"/>
    <x v="65"/>
    <s v="St. Therese School"/>
    <n v="8076"/>
    <n v="133"/>
    <s v="X"/>
    <s v="X"/>
    <m/>
    <s v="X"/>
    <s v="X"/>
    <s v="X"/>
    <x v="1"/>
    <s v="X"/>
    <s v="X"/>
  </r>
  <r>
    <x v="65"/>
    <x v="65"/>
    <s v="Torah Day School of Seattle"/>
    <n v="1459"/>
    <n v="80"/>
    <s v="X"/>
    <s v="X"/>
    <s v="X"/>
    <s v="X"/>
    <s v="X"/>
    <s v="X"/>
    <x v="0"/>
    <s v="X"/>
    <s v="X"/>
  </r>
  <r>
    <x v="65"/>
    <x v="65"/>
    <s v="University Child Development School"/>
    <n v="8838"/>
    <n v="249"/>
    <s v="X"/>
    <m/>
    <m/>
    <s v="X"/>
    <s v="X"/>
    <s v="X"/>
    <x v="1"/>
    <m/>
    <m/>
  </r>
  <r>
    <x v="65"/>
    <x v="65"/>
    <s v="Villa Academy"/>
    <n v="8056"/>
    <n v="328"/>
    <m/>
    <m/>
    <m/>
    <s v="X"/>
    <m/>
    <s v="X"/>
    <x v="1"/>
    <m/>
    <m/>
  </r>
  <r>
    <x v="65"/>
    <x v="65"/>
    <s v="Zion Preparatory Academy"/>
    <n v="8751"/>
    <n v="41"/>
    <s v="X"/>
    <s v="X"/>
    <s v="X"/>
    <s v="X"/>
    <s v="X"/>
    <s v="X"/>
    <x v="0"/>
    <s v="X"/>
    <m/>
  </r>
  <r>
    <x v="66"/>
    <x v="66"/>
    <s v="Selah Covenant Christian School"/>
    <n v="8313"/>
    <n v="15"/>
    <s v="X"/>
    <s v="X"/>
    <s v="X"/>
    <s v="X"/>
    <s v="X"/>
    <s v="X"/>
    <x v="1"/>
    <m/>
    <m/>
  </r>
  <r>
    <x v="67"/>
    <x v="67"/>
    <s v="Evergreen School"/>
    <n v="8034"/>
    <n v="373"/>
    <m/>
    <m/>
    <m/>
    <s v="X"/>
    <m/>
    <s v="X"/>
    <x v="1"/>
    <m/>
    <m/>
  </r>
  <r>
    <x v="67"/>
    <x v="67"/>
    <s v="Kings Schools"/>
    <n v="8102"/>
    <n v="1089"/>
    <s v="X"/>
    <m/>
    <m/>
    <s v="X"/>
    <s v="X"/>
    <s v="X"/>
    <x v="1"/>
    <m/>
    <s v="X"/>
  </r>
  <r>
    <x v="67"/>
    <x v="67"/>
    <s v="Shoreline Christian School"/>
    <n v="8105"/>
    <n v="189"/>
    <s v="X"/>
    <s v="X"/>
    <m/>
    <s v="X"/>
    <s v="X"/>
    <s v="X"/>
    <x v="0"/>
    <s v="X"/>
    <s v="X"/>
  </r>
  <r>
    <x v="67"/>
    <x v="67"/>
    <s v="St. Luke School"/>
    <n v="8103"/>
    <n v="317"/>
    <s v="X"/>
    <s v="X"/>
    <m/>
    <s v="X"/>
    <s v="X"/>
    <s v="X"/>
    <x v="0"/>
    <s v="X"/>
    <m/>
  </r>
  <r>
    <x v="67"/>
    <x v="67"/>
    <s v="St. Mark School"/>
    <n v="8104"/>
    <n v="173"/>
    <s v="X"/>
    <m/>
    <m/>
    <s v="X"/>
    <s v="X"/>
    <s v="X"/>
    <x v="0"/>
    <s v="X"/>
    <m/>
  </r>
  <r>
    <x v="68"/>
    <x v="68"/>
    <s v="St. Michael Catholic School"/>
    <n v="1473"/>
    <n v="36"/>
    <s v="X"/>
    <s v="X"/>
    <s v="X"/>
    <s v="X"/>
    <s v="X"/>
    <s v="X"/>
    <x v="0"/>
    <s v="X"/>
    <m/>
  </r>
  <r>
    <x v="69"/>
    <x v="69"/>
    <s v="Bethany Lutheran Elementary"/>
    <n v="8373"/>
    <n v="64"/>
    <s v="X"/>
    <m/>
    <m/>
    <s v="X"/>
    <m/>
    <s v="X"/>
    <x v="0"/>
    <m/>
    <m/>
  </r>
  <r>
    <x v="69"/>
    <x v="69"/>
    <s v="South Kitsap Christian School"/>
    <n v="8374"/>
    <n v="40"/>
    <m/>
    <m/>
    <m/>
    <m/>
    <s v="X"/>
    <s v="X"/>
    <x v="1"/>
    <s v="X"/>
    <m/>
  </r>
  <r>
    <x v="70"/>
    <x v="70"/>
    <s v="Whidbey Island Waldorf School"/>
    <n v="8974"/>
    <n v="118"/>
    <s v="X"/>
    <s v="X"/>
    <m/>
    <s v="X"/>
    <s v="X"/>
    <m/>
    <x v="1"/>
    <s v="X"/>
    <s v="X"/>
  </r>
  <r>
    <x v="71"/>
    <x v="71"/>
    <s v="All Saints Catholic School"/>
    <n v="8196"/>
    <n v="419"/>
    <s v="X"/>
    <s v="X"/>
    <s v="X"/>
    <s v="X"/>
    <s v="X"/>
    <s v="X"/>
    <x v="0"/>
    <s v="X"/>
    <s v="X"/>
  </r>
  <r>
    <x v="71"/>
    <x v="71"/>
    <s v="Assumption School"/>
    <n v="8175"/>
    <n v="136"/>
    <s v="X"/>
    <s v="X"/>
    <s v="X"/>
    <s v="X"/>
    <s v="X"/>
    <s v="X"/>
    <x v="0"/>
    <s v="X"/>
    <s v="X"/>
  </r>
  <r>
    <x v="71"/>
    <x v="71"/>
    <s v="Cataldo School"/>
    <n v="8191"/>
    <n v="271"/>
    <s v="X"/>
    <s v="X"/>
    <s v="X"/>
    <s v="X"/>
    <s v="X"/>
    <s v="X"/>
    <x v="0"/>
    <s v="X"/>
    <s v="X"/>
  </r>
  <r>
    <x v="71"/>
    <x v="71"/>
    <s v="Cornerstone Christian Academy"/>
    <n v="8868"/>
    <n v="41"/>
    <m/>
    <m/>
    <m/>
    <s v="X"/>
    <s v="X"/>
    <s v="X"/>
    <x v="1"/>
    <m/>
    <m/>
  </r>
  <r>
    <x v="71"/>
    <x v="71"/>
    <s v="Discovery School"/>
    <n v="8740"/>
    <n v="52"/>
    <m/>
    <m/>
    <m/>
    <s v="X"/>
    <s v="X"/>
    <s v="X"/>
    <x v="0"/>
    <m/>
    <s v="X"/>
  </r>
  <r>
    <x v="71"/>
    <x v="71"/>
    <s v="First Presbyterian Christian School"/>
    <s v="800B"/>
    <n v="73"/>
    <m/>
    <m/>
    <m/>
    <s v="X"/>
    <s v="X"/>
    <s v="X"/>
    <x v="1"/>
    <m/>
    <m/>
  </r>
  <r>
    <x v="71"/>
    <x v="71"/>
    <s v="Gonzaga Preparatory School"/>
    <n v="8176"/>
    <n v="919"/>
    <m/>
    <m/>
    <s v="X"/>
    <s v="X"/>
    <s v="X"/>
    <s v="X"/>
    <x v="0"/>
    <s v="X"/>
    <m/>
  </r>
  <r>
    <x v="71"/>
    <x v="71"/>
    <s v="Northwest Christian Schools"/>
    <n v="8182"/>
    <n v="264"/>
    <m/>
    <m/>
    <m/>
    <s v="X"/>
    <s v="X"/>
    <s v="X"/>
    <x v="1"/>
    <s v="X"/>
    <s v="X"/>
  </r>
  <r>
    <x v="71"/>
    <x v="71"/>
    <s v="Southside Christian School"/>
    <n v="8502"/>
    <n v="134"/>
    <m/>
    <m/>
    <m/>
    <s v="X"/>
    <s v="X"/>
    <s v="X"/>
    <x v="1"/>
    <s v="X"/>
    <s v="X"/>
  </r>
  <r>
    <x v="71"/>
    <x v="71"/>
    <s v="St. Aloysius Catholic School"/>
    <n v="8188"/>
    <n v="283"/>
    <s v="X"/>
    <s v="X"/>
    <s v="X"/>
    <s v="X"/>
    <s v="X"/>
    <s v="X"/>
    <x v="0"/>
    <s v="X"/>
    <s v="X"/>
  </r>
  <r>
    <x v="71"/>
    <x v="71"/>
    <s v="St. Charles School"/>
    <n v="8192"/>
    <n v="211"/>
    <s v="X"/>
    <s v="X"/>
    <s v="X"/>
    <s v="X"/>
    <s v="X"/>
    <s v="X"/>
    <x v="0"/>
    <s v="X"/>
    <m/>
  </r>
  <r>
    <x v="71"/>
    <x v="71"/>
    <s v="St. Patrick Catholic School"/>
    <n v="8195"/>
    <n v="98"/>
    <s v="X"/>
    <s v="X"/>
    <s v="X"/>
    <s v="X"/>
    <s v="X"/>
    <s v="X"/>
    <x v="0"/>
    <s v="X"/>
    <s v="X"/>
  </r>
  <r>
    <x v="71"/>
    <x v="71"/>
    <s v="Trinity Catholic School"/>
    <n v="8190"/>
    <n v="126"/>
    <s v="X"/>
    <s v="X"/>
    <s v="X"/>
    <s v="X"/>
    <s v="X"/>
    <s v="X"/>
    <x v="0"/>
    <s v="X"/>
    <s v="X"/>
  </r>
  <r>
    <x v="71"/>
    <x v="71"/>
    <s v="Westgate Christian School"/>
    <n v="8996"/>
    <n v="58"/>
    <m/>
    <m/>
    <m/>
    <s v="X"/>
    <s v="X"/>
    <s v="X"/>
    <x v="1"/>
    <m/>
    <m/>
  </r>
  <r>
    <x v="72"/>
    <x v="72"/>
    <s v="Sunnyside Christian School"/>
    <n v="8235"/>
    <n v="215"/>
    <s v="X"/>
    <m/>
    <m/>
    <s v="X"/>
    <m/>
    <m/>
    <x v="1"/>
    <m/>
    <m/>
  </r>
  <r>
    <x v="72"/>
    <x v="72"/>
    <s v="Sunnyside Christian School (2nd Location)"/>
    <n v="8823"/>
    <n v="78"/>
    <s v="X"/>
    <m/>
    <m/>
    <s v="X"/>
    <m/>
    <m/>
    <x v="1"/>
    <m/>
    <m/>
  </r>
  <r>
    <x v="73"/>
    <x v="73"/>
    <s v="Bellarmine Preparatory School"/>
    <n v="8132"/>
    <n v="1019"/>
    <m/>
    <m/>
    <m/>
    <s v="X"/>
    <m/>
    <s v="X"/>
    <x v="1"/>
    <m/>
    <m/>
  </r>
  <r>
    <x v="73"/>
    <x v="73"/>
    <s v="Cascade Christian Schools-Tacoma Elementary"/>
    <n v="8566"/>
    <n v="86"/>
    <s v="X"/>
    <m/>
    <m/>
    <s v="X"/>
    <s v="X"/>
    <s v="X"/>
    <x v="0"/>
    <s v="X"/>
    <s v="X"/>
  </r>
  <r>
    <x v="73"/>
    <x v="73"/>
    <s v="Concordia Lutheran School"/>
    <n v="8134"/>
    <n v="237"/>
    <s v="X"/>
    <s v="X"/>
    <m/>
    <s v="X"/>
    <m/>
    <s v="X"/>
    <x v="0"/>
    <m/>
    <m/>
  </r>
  <r>
    <x v="73"/>
    <x v="73"/>
    <s v="Faith Lutheran School"/>
    <n v="8135"/>
    <n v="64"/>
    <m/>
    <m/>
    <m/>
    <s v="X"/>
    <s v="X"/>
    <s v="X"/>
    <x v="1"/>
    <m/>
    <m/>
  </r>
  <r>
    <x v="73"/>
    <x v="73"/>
    <s v="First Presbyterian Church School"/>
    <n v="8598"/>
    <n v="92"/>
    <s v="X"/>
    <s v="X"/>
    <s v="X"/>
    <s v="X"/>
    <s v="X"/>
    <s v="X"/>
    <x v="0"/>
    <s v="X"/>
    <s v="X"/>
  </r>
  <r>
    <x v="73"/>
    <x v="73"/>
    <s v="Holy Rosary School"/>
    <n v="8137"/>
    <n v="100"/>
    <s v="X"/>
    <m/>
    <m/>
    <s v="X"/>
    <s v="X"/>
    <s v="X"/>
    <x v="1"/>
    <m/>
    <m/>
  </r>
  <r>
    <x v="73"/>
    <x v="73"/>
    <s v="Life Christian School"/>
    <n v="8353"/>
    <n v="650"/>
    <s v="X"/>
    <m/>
    <m/>
    <s v="X"/>
    <s v="X"/>
    <s v="X"/>
    <x v="1"/>
    <s v="X"/>
    <m/>
  </r>
  <r>
    <x v="73"/>
    <x v="73"/>
    <s v="Slavic Christian Academy--Tacoma"/>
    <n v="1495"/>
    <n v="79"/>
    <s v="X"/>
    <m/>
    <m/>
    <m/>
    <m/>
    <m/>
    <x v="1"/>
    <m/>
    <m/>
  </r>
  <r>
    <x v="73"/>
    <x v="73"/>
    <s v="South Sound Christian Schools-Tacoma Baptist Campus"/>
    <n v="8144"/>
    <n v="329"/>
    <m/>
    <m/>
    <m/>
    <s v="X"/>
    <s v="X"/>
    <s v="X"/>
    <x v="1"/>
    <m/>
    <m/>
  </r>
  <r>
    <x v="73"/>
    <x v="73"/>
    <s v="St. Charles Borromeo School"/>
    <n v="8141"/>
    <n v="490"/>
    <s v="X"/>
    <s v="X"/>
    <s v="X"/>
    <s v="X"/>
    <s v="X"/>
    <s v="X"/>
    <x v="0"/>
    <s v="X"/>
    <s v="X"/>
  </r>
  <r>
    <x v="73"/>
    <x v="73"/>
    <s v="St. Patrick School"/>
    <n v="8143"/>
    <n v="389"/>
    <s v="X"/>
    <s v="X"/>
    <s v="X"/>
    <s v="X"/>
    <s v="X"/>
    <s v="X"/>
    <x v="0"/>
    <s v="X"/>
    <s v="X"/>
  </r>
  <r>
    <x v="73"/>
    <x v="73"/>
    <s v="Tacoma Waldorf School"/>
    <n v="1456"/>
    <n v="37"/>
    <m/>
    <m/>
    <m/>
    <s v="X"/>
    <m/>
    <m/>
    <x v="1"/>
    <m/>
    <m/>
  </r>
  <r>
    <x v="73"/>
    <x v="73"/>
    <s v="Visitation School"/>
    <n v="8146"/>
    <n v="146"/>
    <s v="X"/>
    <s v="X"/>
    <m/>
    <s v="X"/>
    <s v="X"/>
    <s v="X"/>
    <x v="1"/>
    <s v="X"/>
    <m/>
  </r>
  <r>
    <x v="74"/>
    <x v="74"/>
    <s v="Olympia Waldorf School"/>
    <n v="8855"/>
    <n v="135"/>
    <m/>
    <m/>
    <m/>
    <s v="X"/>
    <s v="X"/>
    <s v="X"/>
    <x v="1"/>
    <m/>
    <m/>
  </r>
  <r>
    <x v="75"/>
    <x v="75"/>
    <s v="Hosanna Christian School"/>
    <n v="8449"/>
    <n v="126"/>
    <m/>
    <m/>
    <m/>
    <s v="X"/>
    <m/>
    <m/>
    <x v="1"/>
    <m/>
    <m/>
  </r>
  <r>
    <x v="75"/>
    <x v="75"/>
    <s v="King's Way Christian School"/>
    <n v="8483"/>
    <n v="667"/>
    <m/>
    <m/>
    <m/>
    <s v="X"/>
    <s v="X"/>
    <s v="X"/>
    <x v="1"/>
    <m/>
    <m/>
  </r>
  <r>
    <x v="75"/>
    <x v="75"/>
    <s v="Our Lady of Lourdes School"/>
    <n v="8009"/>
    <n v="309"/>
    <m/>
    <m/>
    <m/>
    <s v="X"/>
    <m/>
    <m/>
    <x v="1"/>
    <m/>
    <m/>
  </r>
  <r>
    <x v="75"/>
    <x v="75"/>
    <s v="St. Joseph School"/>
    <n v="8010"/>
    <n v="387"/>
    <m/>
    <m/>
    <m/>
    <s v="X"/>
    <m/>
    <m/>
    <x v="1"/>
    <m/>
    <m/>
  </r>
  <r>
    <x v="75"/>
    <x v="75"/>
    <s v="Vancouver Christian High School"/>
    <n v="8284"/>
    <n v="99"/>
    <m/>
    <m/>
    <m/>
    <s v="X"/>
    <m/>
    <m/>
    <x v="1"/>
    <m/>
    <m/>
  </r>
  <r>
    <x v="76"/>
    <x v="76"/>
    <s v="Assumption Grade School"/>
    <n v="8212"/>
    <n v="220"/>
    <s v="X"/>
    <s v="X"/>
    <s v="X"/>
    <s v="X"/>
    <s v="X"/>
    <s v="X"/>
    <x v="0"/>
    <s v="X"/>
    <s v="X"/>
  </r>
  <r>
    <x v="76"/>
    <x v="76"/>
    <s v="DeSales Catholic School"/>
    <n v="8211"/>
    <n v="107"/>
    <s v="X"/>
    <s v="X"/>
    <s v="X"/>
    <s v="X"/>
    <s v="X"/>
    <s v="X"/>
    <x v="0"/>
    <s v="X"/>
    <s v="X"/>
  </r>
  <r>
    <x v="77"/>
    <x v="77"/>
    <s v="St. Josephs School"/>
    <n v="8004"/>
    <n v="123"/>
    <s v="X"/>
    <m/>
    <m/>
    <s v="X"/>
    <s v="X"/>
    <m/>
    <x v="0"/>
    <m/>
    <m/>
  </r>
  <r>
    <x v="77"/>
    <x v="77"/>
    <s v="St. Pauls Lutheran School"/>
    <n v="8915"/>
    <n v="58"/>
    <s v="X"/>
    <m/>
    <m/>
    <m/>
    <m/>
    <m/>
    <x v="0"/>
    <m/>
    <m/>
  </r>
  <r>
    <x v="78"/>
    <x v="78"/>
    <s v="Marlin Hutterite School"/>
    <n v="8494"/>
    <n v="1"/>
    <s v="X"/>
    <s v="X"/>
    <m/>
    <s v="X"/>
    <s v="X"/>
    <s v="X"/>
    <x v="0"/>
    <s v="X"/>
    <s v="X"/>
  </r>
  <r>
    <x v="79"/>
    <x v="79"/>
    <s v="Grace Lutheran School"/>
    <n v="8228"/>
    <n v="30"/>
    <s v="X"/>
    <m/>
    <m/>
    <s v="X"/>
    <m/>
    <s v="X"/>
    <x v="1"/>
    <m/>
    <m/>
  </r>
  <r>
    <x v="79"/>
    <x v="79"/>
    <s v="La Salle High School"/>
    <n v="8310"/>
    <n v="183"/>
    <s v="X"/>
    <m/>
    <m/>
    <s v="X"/>
    <s v="X"/>
    <s v="X"/>
    <x v="1"/>
    <s v="X"/>
    <s v="X"/>
  </r>
  <r>
    <x v="79"/>
    <x v="79"/>
    <s v="Montessori School of Yakima"/>
    <n v="1468"/>
    <n v="37"/>
    <m/>
    <m/>
    <m/>
    <s v="X"/>
    <m/>
    <m/>
    <x v="1"/>
    <m/>
    <m/>
  </r>
  <r>
    <x v="79"/>
    <x v="79"/>
    <s v="St. John of Kronstadt Orthodox Christian School"/>
    <n v="8643"/>
    <n v="17"/>
    <s v="X"/>
    <m/>
    <m/>
    <s v="X"/>
    <m/>
    <s v="X"/>
    <x v="1"/>
    <m/>
    <m/>
  </r>
  <r>
    <x v="79"/>
    <x v="79"/>
    <s v="St. Joseph Marquette Middle School"/>
    <n v="8230"/>
    <n v="305"/>
    <s v="X"/>
    <m/>
    <m/>
    <s v="X"/>
    <s v="X"/>
    <s v="X"/>
    <x v="1"/>
    <m/>
    <m/>
  </r>
  <r>
    <x v="79"/>
    <x v="79"/>
    <s v="St. Paul Cathedral School"/>
    <n v="8231"/>
    <n v="188"/>
    <s v="X"/>
    <s v="X"/>
    <s v="X"/>
    <s v="X"/>
    <s v="X"/>
    <s v="X"/>
    <x v="0"/>
    <s v="X"/>
    <s v="X"/>
  </r>
  <r>
    <x v="79"/>
    <x v="79"/>
    <s v="Westpark Christian Academy"/>
    <n v="1486"/>
    <n v="66"/>
    <s v="X"/>
    <m/>
    <m/>
    <s v="X"/>
    <s v="X"/>
    <s v="X"/>
    <x v="1"/>
    <m/>
    <s v="X"/>
  </r>
  <r>
    <x v="80"/>
    <x v="80"/>
    <s v="Eagle View Christian School"/>
    <s v="800V"/>
    <n v="114"/>
    <s v="X"/>
    <m/>
    <m/>
    <m/>
    <m/>
    <m/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E00-000000000000}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colGrandTotals="0" itemPrintTitles="1" createdVersion="3" indent="0" outline="1" outlineData="1" multipleFieldFilters="0">
  <location ref="P1:Q47" firstHeaderRow="1" firstDataRow="2" firstDataCol="1"/>
  <pivotFields count="14">
    <pivotField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axis="axisRow" showAll="0">
      <items count="82">
        <item x="14"/>
        <item x="32"/>
        <item x="63"/>
        <item x="34"/>
        <item x="77"/>
        <item x="57"/>
        <item x="75"/>
        <item x="23"/>
        <item x="9"/>
        <item x="4"/>
        <item x="37"/>
        <item x="31"/>
        <item x="55"/>
        <item x="61"/>
        <item x="21"/>
        <item x="78"/>
        <item x="0"/>
        <item x="50"/>
        <item x="70"/>
        <item x="13"/>
        <item x="58"/>
        <item x="65"/>
        <item x="24"/>
        <item x="41"/>
        <item x="29"/>
        <item x="62"/>
        <item x="5"/>
        <item x="2"/>
        <item x="30"/>
        <item x="67"/>
        <item x="36"/>
        <item x="33"/>
        <item x="49"/>
        <item x="8"/>
        <item x="3"/>
        <item x="47"/>
        <item x="10"/>
        <item x="69"/>
        <item x="20"/>
        <item x="28"/>
        <item x="12"/>
        <item x="51"/>
        <item x="42"/>
        <item x="60"/>
        <item x="73"/>
        <item x="15"/>
        <item x="56"/>
        <item x="27"/>
        <item x="7"/>
        <item x="26"/>
        <item x="53"/>
        <item x="64"/>
        <item x="45"/>
        <item x="22"/>
        <item x="35"/>
        <item x="46"/>
        <item x="19"/>
        <item x="1"/>
        <item x="39"/>
        <item x="43"/>
        <item x="68"/>
        <item x="71"/>
        <item x="54"/>
        <item x="40"/>
        <item x="11"/>
        <item x="17"/>
        <item x="80"/>
        <item x="48"/>
        <item x="74"/>
        <item x="52"/>
        <item x="76"/>
        <item x="59"/>
        <item x="6"/>
        <item x="25"/>
        <item x="38"/>
        <item x="16"/>
        <item x="79"/>
        <item x="18"/>
        <item x="66"/>
        <item x="72"/>
        <item x="4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h="1" x="1"/>
        <item t="default"/>
      </items>
    </pivotField>
    <pivotField showAll="0"/>
    <pivotField showAll="0"/>
  </pivotFields>
  <rowFields count="1">
    <field x="1"/>
  </rowFields>
  <rowItems count="45">
    <i>
      <x/>
    </i>
    <i>
      <x v="2"/>
    </i>
    <i>
      <x v="4"/>
    </i>
    <i>
      <x v="8"/>
    </i>
    <i>
      <x v="9"/>
    </i>
    <i>
      <x v="13"/>
    </i>
    <i>
      <x v="15"/>
    </i>
    <i>
      <x v="16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5"/>
    </i>
    <i>
      <x v="37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5"/>
    </i>
    <i>
      <x v="56"/>
    </i>
    <i>
      <x v="57"/>
    </i>
    <i>
      <x v="59"/>
    </i>
    <i>
      <x v="60"/>
    </i>
    <i>
      <x v="61"/>
    </i>
    <i>
      <x v="63"/>
    </i>
    <i>
      <x v="64"/>
    </i>
    <i>
      <x v="70"/>
    </i>
    <i>
      <x v="71"/>
    </i>
    <i>
      <x v="72"/>
    </i>
    <i>
      <x v="74"/>
    </i>
    <i>
      <x v="75"/>
    </i>
    <i>
      <x v="76"/>
    </i>
    <i t="grand">
      <x/>
    </i>
  </rowItems>
  <colFields count="1">
    <field x="11"/>
  </colFields>
  <colItems count="1">
    <i>
      <x/>
    </i>
  </colItems>
  <dataFields count="1">
    <dataField name="Sum of Total W/O Preschool" fld="4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7"/>
    <pageSetUpPr fitToPage="1"/>
  </sheetPr>
  <dimension ref="A1:O321"/>
  <sheetViews>
    <sheetView topLeftCell="B1" zoomScale="115" zoomScaleNormal="115" workbookViewId="0">
      <selection activeCell="E12" sqref="E12"/>
    </sheetView>
  </sheetViews>
  <sheetFormatPr defaultRowHeight="12.75"/>
  <cols>
    <col min="1" max="1" width="0" hidden="1" customWidth="1"/>
    <col min="3" max="3" width="25.5703125" style="55" customWidth="1"/>
    <col min="4" max="4" width="16.5703125" bestFit="1" customWidth="1"/>
    <col min="5" max="6" width="14.5703125" bestFit="1" customWidth="1"/>
    <col min="7" max="7" width="11.42578125" style="2" customWidth="1"/>
    <col min="8" max="8" width="24.5703125" customWidth="1"/>
    <col min="9" max="9" width="8.85546875" bestFit="1" customWidth="1"/>
  </cols>
  <sheetData>
    <row r="1" spans="1:15" ht="15">
      <c r="A1" s="109" t="s">
        <v>771</v>
      </c>
      <c r="B1" s="109"/>
      <c r="C1" s="814"/>
      <c r="D1" s="109"/>
      <c r="E1" s="109"/>
      <c r="F1" s="109"/>
      <c r="H1" s="55"/>
      <c r="I1" s="55"/>
      <c r="J1" s="55"/>
      <c r="K1" s="55"/>
      <c r="L1" s="55"/>
      <c r="M1" s="55"/>
      <c r="N1" s="55"/>
      <c r="O1" s="55"/>
    </row>
    <row r="2" spans="1:15" ht="23.25">
      <c r="B2" s="103" t="s">
        <v>1736</v>
      </c>
    </row>
    <row r="3" spans="1:15">
      <c r="B3" s="104"/>
    </row>
    <row r="4" spans="1:15" ht="7.5" customHeight="1"/>
    <row r="5" spans="1:15" s="55" customFormat="1">
      <c r="D5" s="883"/>
      <c r="E5" s="883"/>
      <c r="F5" s="883"/>
      <c r="G5" s="883"/>
    </row>
    <row r="6" spans="1:15">
      <c r="D6" s="623">
        <f>SUM(D8:D321)</f>
        <v>15898651</v>
      </c>
      <c r="E6" s="623">
        <v>15898653</v>
      </c>
      <c r="F6" s="623"/>
      <c r="G6" s="20"/>
      <c r="I6" s="590"/>
    </row>
    <row r="7" spans="1:15">
      <c r="B7" s="101" t="s">
        <v>709</v>
      </c>
      <c r="C7" s="815" t="s">
        <v>578</v>
      </c>
      <c r="D7" s="830" t="s">
        <v>1733</v>
      </c>
      <c r="E7" s="830" t="s">
        <v>1732</v>
      </c>
      <c r="F7" s="830" t="s">
        <v>1734</v>
      </c>
      <c r="G7" s="830" t="s">
        <v>1735</v>
      </c>
      <c r="H7" s="590"/>
      <c r="I7" s="590"/>
    </row>
    <row r="8" spans="1:15">
      <c r="B8" s="784" t="s">
        <v>132</v>
      </c>
      <c r="C8" s="787" t="s">
        <v>1429</v>
      </c>
      <c r="D8" s="2">
        <v>56627</v>
      </c>
      <c r="E8" s="2">
        <v>58934</v>
      </c>
      <c r="F8" s="2">
        <f t="shared" ref="F8:F71" si="0">D8-E8</f>
        <v>-2307</v>
      </c>
      <c r="G8" s="829">
        <f t="shared" ref="G8:G71" si="1">IFERROR(F8/D8,"")</f>
        <v>-4.0740282903915091E-2</v>
      </c>
      <c r="H8" s="659" t="str">
        <f t="shared" ref="H8:H71" si="2">C8&amp;" $"&amp;D8&amp;""</f>
        <v>Aberdeen $56627</v>
      </c>
      <c r="I8" s="302"/>
    </row>
    <row r="9" spans="1:15">
      <c r="B9" s="784" t="s">
        <v>262</v>
      </c>
      <c r="C9" s="787" t="s">
        <v>1485</v>
      </c>
      <c r="D9" s="2">
        <v>0</v>
      </c>
      <c r="E9" s="2">
        <v>0</v>
      </c>
      <c r="F9" s="2">
        <f t="shared" si="0"/>
        <v>0</v>
      </c>
      <c r="G9" s="829" t="str">
        <f t="shared" si="1"/>
        <v/>
      </c>
      <c r="H9" s="659" t="str">
        <f t="shared" si="2"/>
        <v>Adna $0</v>
      </c>
      <c r="I9" s="302"/>
    </row>
    <row r="10" spans="1:15">
      <c r="B10" s="784" t="s">
        <v>283</v>
      </c>
      <c r="C10" s="787" t="s">
        <v>1495</v>
      </c>
      <c r="D10" s="2">
        <v>0</v>
      </c>
      <c r="E10" s="2">
        <v>0</v>
      </c>
      <c r="F10" s="2">
        <f t="shared" si="0"/>
        <v>0</v>
      </c>
      <c r="G10" s="829" t="str">
        <f t="shared" si="1"/>
        <v/>
      </c>
      <c r="H10" s="659" t="str">
        <f t="shared" si="2"/>
        <v>Almira $0</v>
      </c>
      <c r="I10" s="302"/>
    </row>
    <row r="11" spans="1:15">
      <c r="B11" s="784" t="s">
        <v>380</v>
      </c>
      <c r="C11" s="787" t="s">
        <v>1541</v>
      </c>
      <c r="D11" s="2">
        <v>0</v>
      </c>
      <c r="E11" s="2">
        <v>0</v>
      </c>
      <c r="F11" s="2">
        <f t="shared" si="0"/>
        <v>0</v>
      </c>
      <c r="G11" s="829" t="str">
        <f t="shared" si="1"/>
        <v/>
      </c>
      <c r="H11" s="659" t="str">
        <f t="shared" si="2"/>
        <v>Anacortes $0</v>
      </c>
      <c r="I11" s="302"/>
    </row>
    <row r="12" spans="1:15">
      <c r="B12" s="784" t="s">
        <v>403</v>
      </c>
      <c r="C12" s="787" t="s">
        <v>1552</v>
      </c>
      <c r="D12" s="2">
        <v>34949</v>
      </c>
      <c r="E12" s="2">
        <v>35021</v>
      </c>
      <c r="F12" s="2">
        <f t="shared" si="0"/>
        <v>-72</v>
      </c>
      <c r="G12" s="829">
        <f t="shared" si="1"/>
        <v>-2.0601447823972072E-3</v>
      </c>
      <c r="H12" s="659" t="str">
        <f t="shared" si="2"/>
        <v>Arlington $34949</v>
      </c>
      <c r="I12" s="302"/>
    </row>
    <row r="13" spans="1:15">
      <c r="B13" s="784" t="s">
        <v>12</v>
      </c>
      <c r="C13" s="787" t="s">
        <v>1374</v>
      </c>
      <c r="D13" s="2">
        <v>0</v>
      </c>
      <c r="E13" s="2">
        <v>0</v>
      </c>
      <c r="F13" s="2">
        <f t="shared" si="0"/>
        <v>0</v>
      </c>
      <c r="G13" s="829" t="str">
        <f t="shared" si="1"/>
        <v/>
      </c>
      <c r="H13" s="659" t="str">
        <f t="shared" si="2"/>
        <v>Asotin-Anatone $0</v>
      </c>
      <c r="I13" s="302"/>
    </row>
    <row r="14" spans="1:15">
      <c r="B14" s="784" t="s">
        <v>195</v>
      </c>
      <c r="C14" s="787" t="s">
        <v>1362</v>
      </c>
      <c r="D14" s="2">
        <v>422097</v>
      </c>
      <c r="E14" s="2">
        <v>419421</v>
      </c>
      <c r="F14" s="2">
        <f t="shared" si="0"/>
        <v>2676</v>
      </c>
      <c r="G14" s="829">
        <f t="shared" si="1"/>
        <v>6.3397749806324141E-3</v>
      </c>
      <c r="H14" s="659" t="str">
        <f t="shared" si="2"/>
        <v>Auburn $422097</v>
      </c>
      <c r="I14" s="302"/>
    </row>
    <row r="15" spans="1:15">
      <c r="B15" s="784" t="s">
        <v>213</v>
      </c>
      <c r="C15" s="787" t="s">
        <v>1463</v>
      </c>
      <c r="D15" s="2">
        <v>0</v>
      </c>
      <c r="E15" s="2">
        <v>0</v>
      </c>
      <c r="F15" s="2">
        <f t="shared" si="0"/>
        <v>0</v>
      </c>
      <c r="G15" s="829" t="str">
        <f t="shared" si="1"/>
        <v/>
      </c>
      <c r="H15" s="659" t="str">
        <f t="shared" si="2"/>
        <v>Bainbridge $0</v>
      </c>
      <c r="I15" s="302"/>
    </row>
    <row r="16" spans="1:15">
      <c r="B16" s="784" t="s">
        <v>666</v>
      </c>
      <c r="C16" s="787" t="s">
        <v>1535</v>
      </c>
      <c r="D16" s="2">
        <v>0</v>
      </c>
      <c r="E16" s="2">
        <v>0</v>
      </c>
      <c r="F16" s="2">
        <f t="shared" si="0"/>
        <v>0</v>
      </c>
      <c r="G16" s="829" t="str">
        <f t="shared" si="1"/>
        <v/>
      </c>
      <c r="H16" s="659" t="str">
        <f t="shared" si="2"/>
        <v>Bates Tech College $0</v>
      </c>
      <c r="I16" s="302"/>
    </row>
    <row r="17" spans="2:9">
      <c r="B17" s="784" t="s">
        <v>62</v>
      </c>
      <c r="C17" s="787" t="s">
        <v>1396</v>
      </c>
      <c r="D17" s="2">
        <v>103113</v>
      </c>
      <c r="E17" s="2">
        <v>97882</v>
      </c>
      <c r="F17" s="2">
        <f t="shared" si="0"/>
        <v>5231</v>
      </c>
      <c r="G17" s="829">
        <f t="shared" si="1"/>
        <v>5.0730751699591708E-2</v>
      </c>
      <c r="H17" s="833" t="str">
        <f t="shared" si="2"/>
        <v>Battle Ground $103113</v>
      </c>
      <c r="I17" s="834" t="s">
        <v>1737</v>
      </c>
    </row>
    <row r="18" spans="2:9">
      <c r="B18" s="784" t="s">
        <v>189</v>
      </c>
      <c r="C18" s="787" t="s">
        <v>1455</v>
      </c>
      <c r="D18" s="2">
        <v>398651</v>
      </c>
      <c r="E18" s="2">
        <v>431004</v>
      </c>
      <c r="F18" s="2">
        <f t="shared" si="0"/>
        <v>-32353</v>
      </c>
      <c r="G18" s="829">
        <f t="shared" si="1"/>
        <v>-8.1156199282078817E-2</v>
      </c>
      <c r="H18" s="659" t="str">
        <f t="shared" si="2"/>
        <v>Bellevue $398651</v>
      </c>
      <c r="I18" s="302"/>
    </row>
    <row r="19" spans="2:9">
      <c r="B19" s="784" t="s">
        <v>504</v>
      </c>
      <c r="C19" s="787" t="s">
        <v>628</v>
      </c>
      <c r="D19" s="2">
        <v>104158</v>
      </c>
      <c r="E19" s="2">
        <v>103799</v>
      </c>
      <c r="F19" s="2">
        <f t="shared" si="0"/>
        <v>359</v>
      </c>
      <c r="G19" s="829">
        <f t="shared" si="1"/>
        <v>3.4466867643387928E-3</v>
      </c>
      <c r="H19" s="659" t="str">
        <f t="shared" si="2"/>
        <v>Bellingham $104158</v>
      </c>
      <c r="I19" s="302"/>
    </row>
    <row r="20" spans="2:9">
      <c r="B20" s="784" t="s">
        <v>2</v>
      </c>
      <c r="C20" s="787" t="s">
        <v>1370</v>
      </c>
      <c r="D20" s="2">
        <v>0</v>
      </c>
      <c r="E20" s="2">
        <v>0</v>
      </c>
      <c r="F20" s="2">
        <f t="shared" si="0"/>
        <v>0</v>
      </c>
      <c r="G20" s="829" t="str">
        <f t="shared" si="1"/>
        <v/>
      </c>
      <c r="H20" s="833" t="str">
        <f t="shared" si="2"/>
        <v>Benge $0</v>
      </c>
      <c r="I20" s="302"/>
    </row>
    <row r="21" spans="2:9">
      <c r="B21" s="784" t="s">
        <v>363</v>
      </c>
      <c r="C21" s="787" t="s">
        <v>1531</v>
      </c>
      <c r="D21" s="2">
        <v>121021</v>
      </c>
      <c r="E21" s="2">
        <v>119856</v>
      </c>
      <c r="F21" s="2">
        <f t="shared" si="0"/>
        <v>1165</v>
      </c>
      <c r="G21" s="829">
        <f t="shared" si="1"/>
        <v>9.6264284710917934E-3</v>
      </c>
      <c r="H21" s="659" t="str">
        <f t="shared" si="2"/>
        <v>Bethel $121021</v>
      </c>
      <c r="I21" s="302"/>
    </row>
    <row r="22" spans="2:9">
      <c r="B22" s="784" t="s">
        <v>234</v>
      </c>
      <c r="C22" s="787" t="s">
        <v>1473</v>
      </c>
      <c r="D22" s="2">
        <v>0</v>
      </c>
      <c r="E22" s="2">
        <v>0</v>
      </c>
      <c r="F22" s="2">
        <f t="shared" si="0"/>
        <v>0</v>
      </c>
      <c r="G22" s="829" t="str">
        <f t="shared" si="1"/>
        <v/>
      </c>
      <c r="H22" s="659" t="str">
        <f t="shared" si="2"/>
        <v>Bickleton $0</v>
      </c>
      <c r="I22" s="302"/>
    </row>
    <row r="23" spans="2:9">
      <c r="B23" s="784" t="s">
        <v>508</v>
      </c>
      <c r="C23" s="787" t="s">
        <v>1603</v>
      </c>
      <c r="D23" s="2">
        <v>12262</v>
      </c>
      <c r="E23" s="2">
        <v>12676</v>
      </c>
      <c r="F23" s="2">
        <f t="shared" si="0"/>
        <v>-414</v>
      </c>
      <c r="G23" s="829">
        <f t="shared" si="1"/>
        <v>-3.3762844560430598E-2</v>
      </c>
      <c r="H23" s="659" t="str">
        <f t="shared" si="2"/>
        <v>Blaine $12262</v>
      </c>
      <c r="I23" s="302"/>
    </row>
    <row r="24" spans="2:9">
      <c r="B24" s="784" t="s">
        <v>266</v>
      </c>
      <c r="C24" s="787" t="s">
        <v>1487</v>
      </c>
      <c r="D24" s="2">
        <v>0</v>
      </c>
      <c r="E24" s="2">
        <v>0</v>
      </c>
      <c r="F24" s="2">
        <f t="shared" si="0"/>
        <v>0</v>
      </c>
      <c r="G24" s="829" t="str">
        <f t="shared" si="1"/>
        <v/>
      </c>
      <c r="H24" s="659" t="str">
        <f t="shared" si="2"/>
        <v>Boistfort $0</v>
      </c>
      <c r="I24" s="302"/>
    </row>
    <row r="25" spans="2:9">
      <c r="B25" s="784" t="s">
        <v>211</v>
      </c>
      <c r="C25" s="787" t="s">
        <v>1462</v>
      </c>
      <c r="D25" s="2">
        <v>47408</v>
      </c>
      <c r="E25" s="2">
        <v>47128</v>
      </c>
      <c r="F25" s="2">
        <f t="shared" si="0"/>
        <v>280</v>
      </c>
      <c r="G25" s="829">
        <f t="shared" si="1"/>
        <v>5.9061761727978402E-3</v>
      </c>
      <c r="H25" s="659" t="str">
        <f t="shared" si="2"/>
        <v>Bremerton $47408</v>
      </c>
      <c r="I25" s="302"/>
    </row>
    <row r="26" spans="2:9">
      <c r="B26" s="784" t="s">
        <v>315</v>
      </c>
      <c r="C26" s="787" t="s">
        <v>1510</v>
      </c>
      <c r="D26" s="2">
        <v>52822</v>
      </c>
      <c r="E26" s="2">
        <v>53913</v>
      </c>
      <c r="F26" s="2">
        <f t="shared" si="0"/>
        <v>-1091</v>
      </c>
      <c r="G26" s="829">
        <f t="shared" si="1"/>
        <v>-2.0654272840861763E-2</v>
      </c>
      <c r="H26" s="659" t="str">
        <f t="shared" si="2"/>
        <v>Brewster $52822</v>
      </c>
      <c r="I26" s="302"/>
    </row>
    <row r="27" spans="2:9">
      <c r="B27" s="784" t="s">
        <v>84</v>
      </c>
      <c r="C27" s="787" t="s">
        <v>1406</v>
      </c>
      <c r="D27" s="2">
        <v>52327</v>
      </c>
      <c r="E27" s="2">
        <v>46978</v>
      </c>
      <c r="F27" s="2">
        <f t="shared" si="0"/>
        <v>5349</v>
      </c>
      <c r="G27" s="829">
        <f t="shared" si="1"/>
        <v>0.1022225619660978</v>
      </c>
      <c r="H27" s="659" t="str">
        <f t="shared" si="2"/>
        <v>Bridgeport $52327</v>
      </c>
      <c r="I27" s="302"/>
    </row>
    <row r="28" spans="2:9">
      <c r="B28" s="784" t="s">
        <v>165</v>
      </c>
      <c r="C28" s="787" t="s">
        <v>1444</v>
      </c>
      <c r="D28" s="2">
        <v>0</v>
      </c>
      <c r="E28" s="2">
        <v>0</v>
      </c>
      <c r="F28" s="2">
        <f t="shared" si="0"/>
        <v>0</v>
      </c>
      <c r="G28" s="829" t="str">
        <f t="shared" si="1"/>
        <v/>
      </c>
      <c r="H28" s="659" t="str">
        <f t="shared" si="2"/>
        <v>Brinnon $0</v>
      </c>
      <c r="I28" s="302"/>
    </row>
    <row r="29" spans="2:9">
      <c r="B29" s="784" t="s">
        <v>378</v>
      </c>
      <c r="C29" s="787" t="s">
        <v>629</v>
      </c>
      <c r="D29" s="2">
        <v>93257</v>
      </c>
      <c r="E29" s="2">
        <v>86872</v>
      </c>
      <c r="F29" s="2">
        <f t="shared" si="0"/>
        <v>6385</v>
      </c>
      <c r="G29" s="829">
        <f t="shared" si="1"/>
        <v>6.8466710273759612E-2</v>
      </c>
      <c r="H29" s="659" t="str">
        <f t="shared" si="2"/>
        <v>Burlington Edison $93257</v>
      </c>
      <c r="I29" s="302"/>
    </row>
    <row r="30" spans="2:9">
      <c r="B30" s="784" t="s">
        <v>60</v>
      </c>
      <c r="C30" s="787" t="s">
        <v>1395</v>
      </c>
      <c r="D30" s="2">
        <v>25430</v>
      </c>
      <c r="E30" s="2">
        <v>28708</v>
      </c>
      <c r="F30" s="2">
        <f t="shared" si="0"/>
        <v>-3278</v>
      </c>
      <c r="G30" s="829">
        <f t="shared" si="1"/>
        <v>-0.12890287062524577</v>
      </c>
      <c r="H30" s="833" t="str">
        <f t="shared" si="2"/>
        <v>Camas $25430</v>
      </c>
      <c r="I30" s="834" t="s">
        <v>1737</v>
      </c>
    </row>
    <row r="31" spans="2:9">
      <c r="B31" s="784" t="s">
        <v>45</v>
      </c>
      <c r="C31" s="787" t="s">
        <v>1388</v>
      </c>
      <c r="D31" s="2">
        <v>0</v>
      </c>
      <c r="E31" s="2">
        <v>0</v>
      </c>
      <c r="F31" s="2">
        <f t="shared" si="0"/>
        <v>0</v>
      </c>
      <c r="G31" s="829" t="str">
        <f t="shared" si="1"/>
        <v/>
      </c>
      <c r="H31" s="659" t="str">
        <f t="shared" si="2"/>
        <v>Cape Flattery $0</v>
      </c>
      <c r="I31" s="302"/>
    </row>
    <row r="32" spans="2:9">
      <c r="B32" s="784" t="s">
        <v>347</v>
      </c>
      <c r="C32" s="787" t="s">
        <v>1525</v>
      </c>
      <c r="D32" s="2">
        <v>0</v>
      </c>
      <c r="E32" s="2">
        <v>0</v>
      </c>
      <c r="F32" s="2">
        <f t="shared" si="0"/>
        <v>0</v>
      </c>
      <c r="G32" s="829" t="str">
        <f t="shared" si="1"/>
        <v/>
      </c>
      <c r="H32" s="659" t="str">
        <f t="shared" si="2"/>
        <v>Carbonado $0</v>
      </c>
      <c r="I32" s="302"/>
    </row>
    <row r="33" spans="2:9">
      <c r="B33" s="784" t="s">
        <v>35</v>
      </c>
      <c r="C33" s="787" t="s">
        <v>1383</v>
      </c>
      <c r="D33" s="2">
        <v>21944</v>
      </c>
      <c r="E33" s="2">
        <v>21029</v>
      </c>
      <c r="F33" s="2">
        <f t="shared" si="0"/>
        <v>915</v>
      </c>
      <c r="G33" s="829">
        <f t="shared" si="1"/>
        <v>4.1697047028800581E-2</v>
      </c>
      <c r="H33" s="833" t="str">
        <f t="shared" si="2"/>
        <v>Cascade $21944</v>
      </c>
      <c r="I33" s="302"/>
    </row>
    <row r="34" spans="2:9">
      <c r="B34" s="784" t="s">
        <v>33</v>
      </c>
      <c r="C34" s="787" t="s">
        <v>878</v>
      </c>
      <c r="D34" s="2">
        <v>27553</v>
      </c>
      <c r="E34" s="2">
        <v>31343</v>
      </c>
      <c r="F34" s="2">
        <f t="shared" si="0"/>
        <v>-3790</v>
      </c>
      <c r="G34" s="829">
        <f t="shared" si="1"/>
        <v>-0.13755307951947157</v>
      </c>
      <c r="H34" s="833" t="str">
        <f t="shared" si="2"/>
        <v>Cashmere $27553</v>
      </c>
      <c r="I34" s="302"/>
    </row>
    <row r="35" spans="2:9">
      <c r="B35" s="784" t="s">
        <v>74</v>
      </c>
      <c r="C35" s="787" t="s">
        <v>1401</v>
      </c>
      <c r="D35" s="2">
        <v>0</v>
      </c>
      <c r="E35" s="2">
        <v>0</v>
      </c>
      <c r="F35" s="2">
        <f t="shared" si="0"/>
        <v>0</v>
      </c>
      <c r="G35" s="829" t="str">
        <f t="shared" si="1"/>
        <v/>
      </c>
      <c r="H35" s="659" t="str">
        <f t="shared" si="2"/>
        <v>Castle Rock $0</v>
      </c>
      <c r="I35" s="302"/>
    </row>
    <row r="36" spans="2:9">
      <c r="B36" s="784" t="s">
        <v>236</v>
      </c>
      <c r="C36" s="787" t="s">
        <v>1474</v>
      </c>
      <c r="D36" s="2">
        <v>0</v>
      </c>
      <c r="E36" s="2">
        <v>0</v>
      </c>
      <c r="F36" s="2">
        <f t="shared" si="0"/>
        <v>0</v>
      </c>
      <c r="G36" s="829" t="str">
        <f t="shared" si="1"/>
        <v/>
      </c>
      <c r="H36" s="659" t="str">
        <f t="shared" si="2"/>
        <v>Centerville $0</v>
      </c>
      <c r="I36" s="302"/>
    </row>
    <row r="37" spans="2:9">
      <c r="B37" s="784" t="s">
        <v>216</v>
      </c>
      <c r="C37" s="787" t="s">
        <v>1464</v>
      </c>
      <c r="D37" s="2">
        <v>41905</v>
      </c>
      <c r="E37" s="2">
        <v>34973</v>
      </c>
      <c r="F37" s="2">
        <f t="shared" si="0"/>
        <v>6932</v>
      </c>
      <c r="G37" s="829">
        <f t="shared" si="1"/>
        <v>0.16542178737620808</v>
      </c>
      <c r="H37" s="659" t="str">
        <f t="shared" si="2"/>
        <v>Central Kitsap $41905</v>
      </c>
      <c r="I37" s="302"/>
    </row>
    <row r="38" spans="2:9">
      <c r="B38" s="784" t="s">
        <v>434</v>
      </c>
      <c r="C38" s="787" t="s">
        <v>1568</v>
      </c>
      <c r="D38" s="2">
        <v>58253</v>
      </c>
      <c r="E38" s="2">
        <v>53365</v>
      </c>
      <c r="F38" s="2">
        <f t="shared" si="0"/>
        <v>4888</v>
      </c>
      <c r="G38" s="829">
        <f t="shared" si="1"/>
        <v>8.3909841553224729E-2</v>
      </c>
      <c r="H38" s="659" t="str">
        <f t="shared" si="2"/>
        <v>Central Valley $58253</v>
      </c>
      <c r="I38" s="302"/>
    </row>
    <row r="39" spans="2:9">
      <c r="B39" s="784" t="s">
        <v>278</v>
      </c>
      <c r="C39" s="787" t="s">
        <v>622</v>
      </c>
      <c r="D39" s="2">
        <v>52043</v>
      </c>
      <c r="E39" s="2">
        <v>55279</v>
      </c>
      <c r="F39" s="2">
        <f t="shared" si="0"/>
        <v>-3236</v>
      </c>
      <c r="G39" s="829">
        <f t="shared" si="1"/>
        <v>-6.2179351689948696E-2</v>
      </c>
      <c r="H39" s="659" t="str">
        <f t="shared" si="2"/>
        <v>Centralia $52043</v>
      </c>
      <c r="I39" s="302"/>
    </row>
    <row r="40" spans="2:9">
      <c r="B40" s="784" t="s">
        <v>274</v>
      </c>
      <c r="C40" s="787" t="s">
        <v>1491</v>
      </c>
      <c r="D40" s="2">
        <v>19271</v>
      </c>
      <c r="E40" s="2">
        <v>14591</v>
      </c>
      <c r="F40" s="2">
        <f t="shared" si="0"/>
        <v>4680</v>
      </c>
      <c r="G40" s="829">
        <f t="shared" si="1"/>
        <v>0.24285195371283275</v>
      </c>
      <c r="H40" s="659" t="str">
        <f t="shared" si="2"/>
        <v>Chehalis $19271</v>
      </c>
      <c r="I40" s="302"/>
    </row>
    <row r="41" spans="2:9">
      <c r="B41" s="36" t="s">
        <v>438</v>
      </c>
      <c r="C41" s="23" t="s">
        <v>1570</v>
      </c>
      <c r="D41" s="2">
        <v>23093</v>
      </c>
      <c r="E41" s="2">
        <v>24956</v>
      </c>
      <c r="F41" s="2">
        <f t="shared" si="0"/>
        <v>-1863</v>
      </c>
      <c r="G41" s="829">
        <f t="shared" si="1"/>
        <v>-8.0673797254579308E-2</v>
      </c>
      <c r="H41" s="659" t="str">
        <f t="shared" si="2"/>
        <v>Cheney $23093</v>
      </c>
    </row>
    <row r="42" spans="2:9">
      <c r="B42" s="784" t="s">
        <v>450</v>
      </c>
      <c r="C42" s="787" t="s">
        <v>1577</v>
      </c>
      <c r="D42" s="2">
        <v>0</v>
      </c>
      <c r="E42" s="2">
        <v>0</v>
      </c>
      <c r="F42" s="2">
        <f t="shared" si="0"/>
        <v>0</v>
      </c>
      <c r="G42" s="829" t="str">
        <f t="shared" si="1"/>
        <v/>
      </c>
      <c r="H42" s="659" t="str">
        <f t="shared" si="2"/>
        <v>Chewelah $0</v>
      </c>
      <c r="I42" s="302"/>
    </row>
    <row r="43" spans="2:9">
      <c r="B43" s="784" t="s">
        <v>169</v>
      </c>
      <c r="C43" s="787" t="s">
        <v>1446</v>
      </c>
      <c r="D43" s="2">
        <v>0</v>
      </c>
      <c r="E43" s="2">
        <v>0</v>
      </c>
      <c r="F43" s="2">
        <f t="shared" si="0"/>
        <v>0</v>
      </c>
      <c r="G43" s="829" t="str">
        <f t="shared" si="1"/>
        <v/>
      </c>
      <c r="H43" s="659" t="str">
        <f t="shared" si="2"/>
        <v>Chimacum $0</v>
      </c>
      <c r="I43" s="302"/>
    </row>
    <row r="44" spans="2:9">
      <c r="B44" s="784" t="s">
        <v>10</v>
      </c>
      <c r="C44" s="787" t="s">
        <v>1373</v>
      </c>
      <c r="D44" s="2">
        <v>0</v>
      </c>
      <c r="E44" s="2">
        <v>0</v>
      </c>
      <c r="F44" s="2">
        <f t="shared" si="0"/>
        <v>0</v>
      </c>
      <c r="G44" s="829" t="str">
        <f t="shared" si="1"/>
        <v/>
      </c>
      <c r="H44" s="833" t="str">
        <f t="shared" si="2"/>
        <v>Clarkston $0</v>
      </c>
      <c r="I44" s="302"/>
    </row>
    <row r="45" spans="2:9">
      <c r="B45" s="784" t="s">
        <v>230</v>
      </c>
      <c r="C45" s="787" t="s">
        <v>1471</v>
      </c>
      <c r="D45" s="2">
        <v>0</v>
      </c>
      <c r="E45" s="2">
        <v>0</v>
      </c>
      <c r="F45" s="2">
        <f t="shared" si="0"/>
        <v>0</v>
      </c>
      <c r="G45" s="829" t="str">
        <f t="shared" si="1"/>
        <v/>
      </c>
      <c r="H45" s="659" t="str">
        <f t="shared" si="2"/>
        <v>Cle Elum-Roslyn $0</v>
      </c>
      <c r="I45" s="302"/>
    </row>
    <row r="46" spans="2:9">
      <c r="B46" s="784" t="s">
        <v>357</v>
      </c>
      <c r="C46" s="787" t="s">
        <v>1530</v>
      </c>
      <c r="D46" s="2">
        <v>204121</v>
      </c>
      <c r="E46" s="2">
        <v>210978</v>
      </c>
      <c r="F46" s="2">
        <f t="shared" si="0"/>
        <v>-6857</v>
      </c>
      <c r="G46" s="829">
        <f t="shared" si="1"/>
        <v>-3.3592819945032604E-2</v>
      </c>
      <c r="H46" s="659" t="str">
        <f t="shared" si="2"/>
        <v>Clover Park $204121</v>
      </c>
      <c r="I46" s="302"/>
    </row>
    <row r="47" spans="2:9">
      <c r="B47" s="784" t="s">
        <v>668</v>
      </c>
      <c r="C47" s="787" t="s">
        <v>1536</v>
      </c>
      <c r="D47" s="2">
        <v>0</v>
      </c>
      <c r="E47" s="2">
        <v>0</v>
      </c>
      <c r="F47" s="2">
        <f t="shared" si="0"/>
        <v>0</v>
      </c>
      <c r="G47" s="829" t="str">
        <f t="shared" si="1"/>
        <v/>
      </c>
      <c r="H47" s="659" t="str">
        <f t="shared" si="2"/>
        <v>Clover Park Tech Coll $0</v>
      </c>
      <c r="I47" s="302"/>
    </row>
    <row r="48" spans="2:9">
      <c r="B48" s="784" t="s">
        <v>525</v>
      </c>
      <c r="C48" s="787" t="s">
        <v>1611</v>
      </c>
      <c r="D48" s="2">
        <v>0</v>
      </c>
      <c r="E48" s="2">
        <v>0</v>
      </c>
      <c r="F48" s="2">
        <f t="shared" si="0"/>
        <v>0</v>
      </c>
      <c r="G48" s="829" t="str">
        <f t="shared" si="1"/>
        <v/>
      </c>
      <c r="H48" s="659" t="str">
        <f t="shared" si="2"/>
        <v>Colfax $0</v>
      </c>
      <c r="I48" s="302"/>
    </row>
    <row r="49" spans="2:9">
      <c r="B49" s="784" t="s">
        <v>494</v>
      </c>
      <c r="C49" s="787" t="s">
        <v>1597</v>
      </c>
      <c r="D49" s="2">
        <v>33197</v>
      </c>
      <c r="E49" s="2">
        <v>30623</v>
      </c>
      <c r="F49" s="2">
        <f t="shared" si="0"/>
        <v>2574</v>
      </c>
      <c r="G49" s="829">
        <f t="shared" si="1"/>
        <v>7.7537126848811644E-2</v>
      </c>
      <c r="H49" s="659" t="str">
        <f t="shared" si="2"/>
        <v>College Place $33197</v>
      </c>
      <c r="I49" s="302"/>
    </row>
    <row r="50" spans="2:9">
      <c r="B50" s="784" t="s">
        <v>533</v>
      </c>
      <c r="C50" s="787" t="s">
        <v>1615</v>
      </c>
      <c r="D50" s="2">
        <v>0</v>
      </c>
      <c r="E50" s="2">
        <v>0</v>
      </c>
      <c r="F50" s="2">
        <f t="shared" si="0"/>
        <v>0</v>
      </c>
      <c r="G50" s="829" t="str">
        <f t="shared" si="1"/>
        <v/>
      </c>
      <c r="H50" s="659" t="str">
        <f t="shared" si="2"/>
        <v>Colton $0</v>
      </c>
      <c r="I50" s="302"/>
    </row>
    <row r="51" spans="2:9">
      <c r="B51" t="s">
        <v>464</v>
      </c>
      <c r="C51" s="55" t="s">
        <v>1584</v>
      </c>
      <c r="D51" s="2">
        <v>0</v>
      </c>
      <c r="E51" s="2">
        <v>0</v>
      </c>
      <c r="F51" s="2">
        <f t="shared" si="0"/>
        <v>0</v>
      </c>
      <c r="G51" s="829" t="str">
        <f t="shared" si="1"/>
        <v/>
      </c>
      <c r="H51" s="659" t="str">
        <f t="shared" si="2"/>
        <v>Columbia (Stev) $0</v>
      </c>
    </row>
    <row r="52" spans="2:9">
      <c r="B52" t="s">
        <v>498</v>
      </c>
      <c r="C52" s="55" t="s">
        <v>1599</v>
      </c>
      <c r="D52" s="2">
        <v>15909</v>
      </c>
      <c r="E52" s="2">
        <v>14466</v>
      </c>
      <c r="F52" s="2">
        <f t="shared" si="0"/>
        <v>1443</v>
      </c>
      <c r="G52" s="829">
        <f t="shared" si="1"/>
        <v>9.0703375447859697E-2</v>
      </c>
      <c r="H52" s="659" t="str">
        <f t="shared" si="2"/>
        <v>Columbia (Walla) $15909</v>
      </c>
    </row>
    <row r="53" spans="2:9">
      <c r="B53" s="784" t="s">
        <v>456</v>
      </c>
      <c r="C53" s="787" t="s">
        <v>1580</v>
      </c>
      <c r="D53" s="2">
        <v>0</v>
      </c>
      <c r="E53" s="2">
        <v>0</v>
      </c>
      <c r="F53" s="2">
        <f t="shared" si="0"/>
        <v>0</v>
      </c>
      <c r="G53" s="829" t="str">
        <f t="shared" si="1"/>
        <v/>
      </c>
      <c r="H53" s="659" t="str">
        <f t="shared" si="2"/>
        <v>Colville $0</v>
      </c>
      <c r="I53" s="302"/>
    </row>
    <row r="54" spans="2:9">
      <c r="B54" s="784" t="s">
        <v>376</v>
      </c>
      <c r="C54" s="787" t="s">
        <v>1540</v>
      </c>
      <c r="D54" s="2">
        <v>0</v>
      </c>
      <c r="E54" s="2">
        <v>0</v>
      </c>
      <c r="F54" s="2">
        <f t="shared" si="0"/>
        <v>0</v>
      </c>
      <c r="G54" s="829" t="str">
        <f t="shared" si="1"/>
        <v/>
      </c>
      <c r="H54" s="659" t="str">
        <f t="shared" si="2"/>
        <v>Concrete $0</v>
      </c>
      <c r="I54" s="302"/>
    </row>
    <row r="55" spans="2:9">
      <c r="B55" s="784" t="s">
        <v>384</v>
      </c>
      <c r="C55" s="787" t="s">
        <v>1543</v>
      </c>
      <c r="D55" s="2">
        <v>0</v>
      </c>
      <c r="E55" s="2">
        <v>0</v>
      </c>
      <c r="F55" s="2">
        <f t="shared" si="0"/>
        <v>0</v>
      </c>
      <c r="G55" s="829" t="str">
        <f t="shared" si="1"/>
        <v/>
      </c>
      <c r="H55" s="659" t="str">
        <f t="shared" si="2"/>
        <v>Conway $0</v>
      </c>
      <c r="I55" s="302"/>
    </row>
    <row r="56" spans="2:9">
      <c r="B56" s="784" t="s">
        <v>147</v>
      </c>
      <c r="C56" s="787" t="s">
        <v>1435</v>
      </c>
      <c r="D56" s="2">
        <v>0</v>
      </c>
      <c r="E56" s="2">
        <v>0</v>
      </c>
      <c r="F56" s="2">
        <f t="shared" si="0"/>
        <v>0</v>
      </c>
      <c r="G56" s="829" t="str">
        <f t="shared" si="1"/>
        <v/>
      </c>
      <c r="H56" s="659" t="str">
        <f t="shared" si="2"/>
        <v>Cosmopolis $0</v>
      </c>
      <c r="I56" s="302"/>
    </row>
    <row r="57" spans="2:9">
      <c r="B57" s="784" t="s">
        <v>120</v>
      </c>
      <c r="C57" s="787" t="s">
        <v>1423</v>
      </c>
      <c r="D57" s="2">
        <v>0</v>
      </c>
      <c r="E57" s="2">
        <v>0</v>
      </c>
      <c r="F57" s="2">
        <f t="shared" si="0"/>
        <v>0</v>
      </c>
      <c r="G57" s="829" t="str">
        <f t="shared" si="1"/>
        <v/>
      </c>
      <c r="H57" s="659" t="str">
        <f t="shared" si="2"/>
        <v>Coulee/Hartline $0</v>
      </c>
      <c r="I57" s="302"/>
    </row>
    <row r="58" spans="2:9">
      <c r="B58" s="784" t="s">
        <v>159</v>
      </c>
      <c r="C58" s="787" t="s">
        <v>1441</v>
      </c>
      <c r="D58" s="2">
        <v>0</v>
      </c>
      <c r="E58" s="2">
        <v>0</v>
      </c>
      <c r="F58" s="2">
        <f t="shared" si="0"/>
        <v>0</v>
      </c>
      <c r="G58" s="829" t="str">
        <f t="shared" si="1"/>
        <v/>
      </c>
      <c r="H58" s="659" t="str">
        <f t="shared" si="2"/>
        <v>Coupeville $0</v>
      </c>
      <c r="I58" s="302"/>
    </row>
    <row r="59" spans="2:9">
      <c r="B59" s="784" t="s">
        <v>41</v>
      </c>
      <c r="C59" s="787" t="s">
        <v>1386</v>
      </c>
      <c r="D59" s="2">
        <v>0</v>
      </c>
      <c r="E59" s="2">
        <v>0</v>
      </c>
      <c r="F59" s="2">
        <f t="shared" si="0"/>
        <v>0</v>
      </c>
      <c r="G59" s="829" t="str">
        <f t="shared" si="1"/>
        <v/>
      </c>
      <c r="H59" s="833" t="str">
        <f t="shared" si="2"/>
        <v>Crescent $0</v>
      </c>
      <c r="I59" s="834" t="s">
        <v>1737</v>
      </c>
    </row>
    <row r="60" spans="2:9">
      <c r="B60" s="784" t="s">
        <v>285</v>
      </c>
      <c r="C60" s="787" t="s">
        <v>1496</v>
      </c>
      <c r="D60" s="2">
        <v>0</v>
      </c>
      <c r="E60" s="2">
        <v>0</v>
      </c>
      <c r="F60" s="2">
        <f t="shared" si="0"/>
        <v>0</v>
      </c>
      <c r="G60" s="829" t="str">
        <f t="shared" si="1"/>
        <v/>
      </c>
      <c r="H60" s="659" t="str">
        <f t="shared" si="2"/>
        <v>Creston $0</v>
      </c>
      <c r="I60" s="302"/>
    </row>
    <row r="61" spans="2:9">
      <c r="B61" s="784" t="s">
        <v>96</v>
      </c>
      <c r="C61" s="787" t="s">
        <v>1412</v>
      </c>
      <c r="D61" s="2">
        <v>0</v>
      </c>
      <c r="E61" s="2">
        <v>0</v>
      </c>
      <c r="F61" s="2">
        <f t="shared" si="0"/>
        <v>0</v>
      </c>
      <c r="G61" s="829" t="str">
        <f t="shared" si="1"/>
        <v/>
      </c>
      <c r="H61" s="659" t="str">
        <f t="shared" si="2"/>
        <v>Curlew $0</v>
      </c>
      <c r="I61" s="302"/>
    </row>
    <row r="62" spans="2:9">
      <c r="B62" s="784" t="s">
        <v>338</v>
      </c>
      <c r="C62" s="787" t="s">
        <v>1520</v>
      </c>
      <c r="D62" s="2">
        <v>0</v>
      </c>
      <c r="E62" s="2">
        <v>0</v>
      </c>
      <c r="F62" s="2">
        <f t="shared" si="0"/>
        <v>0</v>
      </c>
      <c r="G62" s="829" t="str">
        <f t="shared" si="1"/>
        <v/>
      </c>
      <c r="H62" s="659" t="str">
        <f t="shared" si="2"/>
        <v>Cusick $0</v>
      </c>
      <c r="I62" s="302"/>
    </row>
    <row r="63" spans="2:9">
      <c r="B63" s="784" t="s">
        <v>220</v>
      </c>
      <c r="C63" s="787" t="s">
        <v>1466</v>
      </c>
      <c r="D63" s="2">
        <v>0</v>
      </c>
      <c r="E63" s="2">
        <v>0</v>
      </c>
      <c r="F63" s="2">
        <f t="shared" si="0"/>
        <v>0</v>
      </c>
      <c r="G63" s="829" t="str">
        <f t="shared" si="1"/>
        <v/>
      </c>
      <c r="H63" s="659" t="str">
        <f t="shared" si="2"/>
        <v>Damman $0</v>
      </c>
      <c r="I63" s="302"/>
    </row>
    <row r="64" spans="2:9">
      <c r="B64" s="784" t="s">
        <v>417</v>
      </c>
      <c r="C64" s="787" t="s">
        <v>1559</v>
      </c>
      <c r="D64" s="2">
        <v>0</v>
      </c>
      <c r="E64" s="2">
        <v>0</v>
      </c>
      <c r="F64" s="2">
        <f t="shared" si="0"/>
        <v>0</v>
      </c>
      <c r="G64" s="829" t="str">
        <f t="shared" si="1"/>
        <v/>
      </c>
      <c r="H64" s="659" t="str">
        <f t="shared" si="2"/>
        <v>Darrington $0</v>
      </c>
      <c r="I64" s="302"/>
    </row>
    <row r="65" spans="2:9">
      <c r="B65" s="784" t="s">
        <v>293</v>
      </c>
      <c r="C65" s="787" t="s">
        <v>1500</v>
      </c>
      <c r="D65" s="2">
        <v>0</v>
      </c>
      <c r="E65" s="2">
        <v>0</v>
      </c>
      <c r="F65" s="2">
        <f t="shared" si="0"/>
        <v>0</v>
      </c>
      <c r="G65" s="829" t="str">
        <f t="shared" si="1"/>
        <v/>
      </c>
      <c r="H65" s="659" t="str">
        <f t="shared" si="2"/>
        <v>Davenport $0</v>
      </c>
      <c r="I65" s="302"/>
    </row>
    <row r="66" spans="2:9">
      <c r="B66" s="784" t="s">
        <v>66</v>
      </c>
      <c r="C66" s="787" t="s">
        <v>758</v>
      </c>
      <c r="D66" s="2">
        <v>0</v>
      </c>
      <c r="E66" s="2">
        <v>0</v>
      </c>
      <c r="F66" s="2">
        <f t="shared" si="0"/>
        <v>0</v>
      </c>
      <c r="G66" s="829" t="str">
        <f t="shared" si="1"/>
        <v/>
      </c>
      <c r="H66" s="659" t="str">
        <f t="shared" si="2"/>
        <v>Dayton $0</v>
      </c>
      <c r="I66" s="302"/>
    </row>
    <row r="67" spans="2:9">
      <c r="B67" s="784" t="s">
        <v>444</v>
      </c>
      <c r="C67" s="787" t="s">
        <v>1574</v>
      </c>
      <c r="D67" s="2">
        <v>0</v>
      </c>
      <c r="E67" s="2">
        <v>0</v>
      </c>
      <c r="F67" s="2">
        <f t="shared" si="0"/>
        <v>0</v>
      </c>
      <c r="G67" s="829" t="str">
        <f t="shared" si="1"/>
        <v/>
      </c>
      <c r="H67" s="659" t="str">
        <f t="shared" si="2"/>
        <v>Deer Park $0</v>
      </c>
      <c r="I67" s="302"/>
    </row>
    <row r="68" spans="2:9">
      <c r="B68" s="784" t="s">
        <v>353</v>
      </c>
      <c r="C68" s="787" t="s">
        <v>1528</v>
      </c>
      <c r="D68" s="2">
        <v>0</v>
      </c>
      <c r="E68" s="2">
        <v>10812</v>
      </c>
      <c r="F68" s="2">
        <f t="shared" si="0"/>
        <v>-10812</v>
      </c>
      <c r="G68" s="829" t="str">
        <f t="shared" si="1"/>
        <v/>
      </c>
      <c r="H68" s="659" t="str">
        <f t="shared" si="2"/>
        <v>Dieringer $0</v>
      </c>
      <c r="I68" s="302"/>
    </row>
    <row r="69" spans="2:9">
      <c r="B69" s="784" t="s">
        <v>490</v>
      </c>
      <c r="C69" s="787" t="s">
        <v>1596</v>
      </c>
      <c r="D69" s="2">
        <v>0</v>
      </c>
      <c r="E69" s="2">
        <v>0</v>
      </c>
      <c r="F69" s="2">
        <f t="shared" si="0"/>
        <v>0</v>
      </c>
      <c r="G69" s="829" t="str">
        <f t="shared" si="1"/>
        <v/>
      </c>
      <c r="H69" s="659" t="str">
        <f t="shared" si="2"/>
        <v>Dixie $0</v>
      </c>
      <c r="I69" s="302"/>
    </row>
    <row r="70" spans="2:9">
      <c r="B70" s="784" t="s">
        <v>440</v>
      </c>
      <c r="C70" s="787" t="s">
        <v>1571</v>
      </c>
      <c r="D70" s="2">
        <v>13431</v>
      </c>
      <c r="E70" s="2">
        <v>13944</v>
      </c>
      <c r="F70" s="2">
        <f t="shared" si="0"/>
        <v>-513</v>
      </c>
      <c r="G70" s="829">
        <f t="shared" si="1"/>
        <v>-3.819522001340183E-2</v>
      </c>
      <c r="H70" s="659" t="str">
        <f t="shared" si="2"/>
        <v>East Valley (Spok $13431</v>
      </c>
      <c r="I70" s="302"/>
    </row>
    <row r="71" spans="2:9">
      <c r="B71" s="784" t="s">
        <v>549</v>
      </c>
      <c r="C71" s="787" t="s">
        <v>1623</v>
      </c>
      <c r="D71" s="2">
        <v>42239</v>
      </c>
      <c r="E71" s="2">
        <v>45289</v>
      </c>
      <c r="F71" s="2">
        <f t="shared" si="0"/>
        <v>-3050</v>
      </c>
      <c r="G71" s="829">
        <f t="shared" si="1"/>
        <v>-7.2208148867160676E-2</v>
      </c>
      <c r="H71" s="659" t="str">
        <f t="shared" si="2"/>
        <v>East Valley (Yak) $42239</v>
      </c>
      <c r="I71" s="302"/>
    </row>
    <row r="72" spans="2:9">
      <c r="B72" s="784" t="s">
        <v>88</v>
      </c>
      <c r="C72" s="787" t="s">
        <v>1408</v>
      </c>
      <c r="D72" s="2">
        <v>133302</v>
      </c>
      <c r="E72" s="2">
        <v>122565</v>
      </c>
      <c r="F72" s="2">
        <f t="shared" ref="F72:F135" si="3">D72-E72</f>
        <v>10737</v>
      </c>
      <c r="G72" s="829">
        <f t="shared" ref="G72:G135" si="4">IFERROR(F72/D72,"")</f>
        <v>8.054642841067651E-2</v>
      </c>
      <c r="H72" s="659" t="str">
        <f t="shared" ref="H72:H135" si="5">C72&amp;" $"&amp;D72&amp;""</f>
        <v>Eastmont $133302</v>
      </c>
      <c r="I72" s="302"/>
    </row>
    <row r="73" spans="2:9">
      <c r="B73" s="784" t="s">
        <v>222</v>
      </c>
      <c r="C73" s="787" t="s">
        <v>1467</v>
      </c>
      <c r="D73" s="2">
        <v>0</v>
      </c>
      <c r="E73" s="2">
        <v>0</v>
      </c>
      <c r="F73" s="2">
        <f t="shared" si="3"/>
        <v>0</v>
      </c>
      <c r="G73" s="829" t="str">
        <f t="shared" si="4"/>
        <v/>
      </c>
      <c r="H73" s="659" t="str">
        <f t="shared" si="5"/>
        <v>Easton $0</v>
      </c>
      <c r="I73" s="302"/>
    </row>
    <row r="74" spans="2:9">
      <c r="B74" s="784" t="s">
        <v>365</v>
      </c>
      <c r="C74" s="787" t="s">
        <v>1532</v>
      </c>
      <c r="D74" s="2">
        <v>0</v>
      </c>
      <c r="E74" s="2">
        <v>0</v>
      </c>
      <c r="F74" s="2">
        <f t="shared" si="3"/>
        <v>0</v>
      </c>
      <c r="G74" s="829" t="str">
        <f t="shared" si="4"/>
        <v/>
      </c>
      <c r="H74" s="659" t="str">
        <f t="shared" si="5"/>
        <v>Eatonville $0</v>
      </c>
      <c r="I74" s="302"/>
    </row>
    <row r="75" spans="2:9">
      <c r="B75" s="784" t="s">
        <v>401</v>
      </c>
      <c r="C75" s="787" t="s">
        <v>1551</v>
      </c>
      <c r="D75" s="2">
        <v>364833</v>
      </c>
      <c r="E75" s="2">
        <v>362176</v>
      </c>
      <c r="F75" s="2">
        <f t="shared" si="3"/>
        <v>2657</v>
      </c>
      <c r="G75" s="829">
        <f t="shared" si="4"/>
        <v>7.2827841779663574E-3</v>
      </c>
      <c r="H75" s="659" t="str">
        <f t="shared" si="5"/>
        <v>Edmonds $364833</v>
      </c>
      <c r="I75" s="302"/>
    </row>
    <row r="76" spans="2:9">
      <c r="B76" s="784" t="s">
        <v>226</v>
      </c>
      <c r="C76" s="787" t="s">
        <v>1469</v>
      </c>
      <c r="D76" s="2">
        <v>31623</v>
      </c>
      <c r="E76" s="2">
        <v>31692</v>
      </c>
      <c r="F76" s="2">
        <f t="shared" si="3"/>
        <v>-69</v>
      </c>
      <c r="G76" s="829">
        <f t="shared" si="4"/>
        <v>-2.1819561711412579E-3</v>
      </c>
      <c r="H76" s="659" t="str">
        <f t="shared" si="5"/>
        <v>Ellensburg $31623</v>
      </c>
      <c r="I76" s="302"/>
    </row>
    <row r="77" spans="2:9">
      <c r="B77" s="784" t="s">
        <v>141</v>
      </c>
      <c r="C77" s="787" t="s">
        <v>1433</v>
      </c>
      <c r="D77" s="2">
        <v>15556</v>
      </c>
      <c r="E77" s="2">
        <v>15883</v>
      </c>
      <c r="F77" s="2">
        <f t="shared" si="3"/>
        <v>-327</v>
      </c>
      <c r="G77" s="829">
        <f t="shared" si="4"/>
        <v>-2.1020827976343533E-2</v>
      </c>
      <c r="H77" s="659" t="str">
        <f t="shared" si="5"/>
        <v>Elma $15556</v>
      </c>
      <c r="I77" s="302"/>
    </row>
    <row r="78" spans="2:9">
      <c r="B78" s="784" t="s">
        <v>535</v>
      </c>
      <c r="C78" s="787" t="s">
        <v>1616</v>
      </c>
      <c r="D78" s="2">
        <v>0</v>
      </c>
      <c r="E78" s="2">
        <v>0</v>
      </c>
      <c r="F78" s="2">
        <f t="shared" si="3"/>
        <v>0</v>
      </c>
      <c r="G78" s="829" t="str">
        <f t="shared" si="4"/>
        <v/>
      </c>
      <c r="H78" s="659" t="str">
        <f t="shared" si="5"/>
        <v>Endicott $0</v>
      </c>
      <c r="I78" s="302"/>
    </row>
    <row r="79" spans="2:9">
      <c r="B79" s="784" t="s">
        <v>29</v>
      </c>
      <c r="C79" s="787" t="s">
        <v>1382</v>
      </c>
      <c r="D79" s="2">
        <v>0</v>
      </c>
      <c r="E79" s="2">
        <v>0</v>
      </c>
      <c r="F79" s="2">
        <f t="shared" si="3"/>
        <v>0</v>
      </c>
      <c r="G79" s="829" t="str">
        <f t="shared" si="4"/>
        <v/>
      </c>
      <c r="H79" s="659" t="str">
        <f t="shared" si="5"/>
        <v>Entiat $0</v>
      </c>
      <c r="I79" s="302"/>
    </row>
    <row r="80" spans="2:9">
      <c r="B80" s="23" t="s">
        <v>177</v>
      </c>
      <c r="C80" s="788" t="s">
        <v>1450</v>
      </c>
      <c r="D80" s="2">
        <v>32223</v>
      </c>
      <c r="E80" s="2">
        <v>29603</v>
      </c>
      <c r="F80" s="2">
        <f t="shared" si="3"/>
        <v>2620</v>
      </c>
      <c r="G80" s="829">
        <f t="shared" si="4"/>
        <v>8.1308382211463859E-2</v>
      </c>
      <c r="H80" s="659" t="str">
        <f t="shared" si="5"/>
        <v>Enumclaw $32223</v>
      </c>
    </row>
    <row r="81" spans="2:9">
      <c r="B81" s="784" t="s">
        <v>127</v>
      </c>
      <c r="C81" s="787" t="s">
        <v>623</v>
      </c>
      <c r="D81" s="2">
        <v>35853</v>
      </c>
      <c r="E81" s="2">
        <v>34649</v>
      </c>
      <c r="F81" s="2">
        <f t="shared" si="3"/>
        <v>1204</v>
      </c>
      <c r="G81" s="829">
        <f t="shared" si="4"/>
        <v>3.3581569185284356E-2</v>
      </c>
      <c r="H81" s="659" t="str">
        <f t="shared" si="5"/>
        <v>Ephrata $35853</v>
      </c>
      <c r="I81" s="302"/>
    </row>
    <row r="82" spans="2:9">
      <c r="B82" s="784" t="s">
        <v>651</v>
      </c>
      <c r="C82" s="787" t="s">
        <v>652</v>
      </c>
      <c r="D82" s="2">
        <v>0</v>
      </c>
      <c r="E82" s="2">
        <v>0</v>
      </c>
      <c r="F82" s="2">
        <f t="shared" si="3"/>
        <v>0</v>
      </c>
      <c r="G82" s="829" t="str">
        <f t="shared" si="4"/>
        <v/>
      </c>
      <c r="H82" s="659" t="str">
        <f t="shared" si="5"/>
        <v>ESD 112 $0</v>
      </c>
      <c r="I82" s="834" t="s">
        <v>1738</v>
      </c>
    </row>
    <row r="83" spans="2:9">
      <c r="B83" s="784" t="s">
        <v>678</v>
      </c>
      <c r="C83" s="787" t="s">
        <v>679</v>
      </c>
      <c r="D83" s="2">
        <v>0</v>
      </c>
      <c r="E83" s="2">
        <v>0</v>
      </c>
      <c r="F83" s="2">
        <f t="shared" si="3"/>
        <v>0</v>
      </c>
      <c r="G83" s="829" t="str">
        <f t="shared" si="4"/>
        <v/>
      </c>
      <c r="H83" s="659" t="str">
        <f t="shared" si="5"/>
        <v>ESD 113 $0</v>
      </c>
      <c r="I83" s="302"/>
    </row>
    <row r="84" spans="2:9">
      <c r="B84" s="784" t="s">
        <v>256</v>
      </c>
      <c r="C84" s="787" t="s">
        <v>1483</v>
      </c>
      <c r="D84" s="2">
        <v>0</v>
      </c>
      <c r="E84" s="2">
        <v>0</v>
      </c>
      <c r="F84" s="2">
        <f t="shared" si="3"/>
        <v>0</v>
      </c>
      <c r="G84" s="829" t="str">
        <f t="shared" si="4"/>
        <v/>
      </c>
      <c r="H84" s="659" t="str">
        <f t="shared" si="5"/>
        <v>Evaline $0</v>
      </c>
      <c r="I84" s="302"/>
    </row>
    <row r="85" spans="2:9">
      <c r="B85" s="784" t="s">
        <v>395</v>
      </c>
      <c r="C85" s="787" t="s">
        <v>635</v>
      </c>
      <c r="D85" s="2">
        <v>373151</v>
      </c>
      <c r="E85" s="2">
        <v>392501</v>
      </c>
      <c r="F85" s="2">
        <f t="shared" si="3"/>
        <v>-19350</v>
      </c>
      <c r="G85" s="829">
        <f t="shared" si="4"/>
        <v>-5.1855683088079627E-2</v>
      </c>
      <c r="H85" s="659" t="str">
        <f t="shared" si="5"/>
        <v>Everett $373151</v>
      </c>
      <c r="I85" s="302"/>
    </row>
    <row r="86" spans="2:9">
      <c r="B86" s="784" t="s">
        <v>58</v>
      </c>
      <c r="C86" s="787" t="s">
        <v>1394</v>
      </c>
      <c r="D86" s="2">
        <v>434696</v>
      </c>
      <c r="E86" s="2">
        <v>442063</v>
      </c>
      <c r="F86" s="2">
        <f t="shared" si="3"/>
        <v>-7367</v>
      </c>
      <c r="G86" s="829">
        <f t="shared" si="4"/>
        <v>-1.6947475937206691E-2</v>
      </c>
      <c r="H86" s="833" t="str">
        <f t="shared" si="5"/>
        <v>Evergreen (Clark) $434696</v>
      </c>
      <c r="I86" s="834" t="s">
        <v>1737</v>
      </c>
    </row>
    <row r="87" spans="2:9">
      <c r="B87" s="784" t="s">
        <v>462</v>
      </c>
      <c r="C87" s="787" t="s">
        <v>1583</v>
      </c>
      <c r="D87" s="2">
        <v>0</v>
      </c>
      <c r="E87" s="2">
        <v>0</v>
      </c>
      <c r="F87" s="2">
        <f t="shared" si="3"/>
        <v>0</v>
      </c>
      <c r="G87" s="829" t="str">
        <f t="shared" si="4"/>
        <v/>
      </c>
      <c r="H87" s="659" t="str">
        <f t="shared" si="5"/>
        <v>Evergreen (Stev) $0</v>
      </c>
      <c r="I87" s="302"/>
    </row>
    <row r="88" spans="2:9">
      <c r="B88" t="s">
        <v>1689</v>
      </c>
      <c r="C88" s="55" t="s">
        <v>1688</v>
      </c>
      <c r="D88" s="2">
        <v>0</v>
      </c>
      <c r="E88" s="2">
        <v>0</v>
      </c>
      <c r="F88" s="2">
        <f t="shared" si="3"/>
        <v>0</v>
      </c>
      <c r="G88" s="829" t="str">
        <f t="shared" si="4"/>
        <v/>
      </c>
      <c r="H88" s="659" t="str">
        <f t="shared" si="5"/>
        <v>Excel $0</v>
      </c>
    </row>
    <row r="89" spans="2:9">
      <c r="B89" s="784" t="s">
        <v>175</v>
      </c>
      <c r="C89" s="787" t="s">
        <v>1449</v>
      </c>
      <c r="D89" s="2">
        <v>638711</v>
      </c>
      <c r="E89" s="2">
        <v>619835</v>
      </c>
      <c r="F89" s="2">
        <f t="shared" si="3"/>
        <v>18876</v>
      </c>
      <c r="G89" s="829">
        <f t="shared" si="4"/>
        <v>2.9553272137163758E-2</v>
      </c>
      <c r="H89" s="659" t="str">
        <f t="shared" si="5"/>
        <v>Federal Way $638711</v>
      </c>
      <c r="I89" s="302"/>
    </row>
    <row r="90" spans="2:9">
      <c r="B90" s="36" t="s">
        <v>506</v>
      </c>
      <c r="C90" s="23" t="s">
        <v>1602</v>
      </c>
      <c r="D90" s="2">
        <v>42240</v>
      </c>
      <c r="E90" s="2">
        <v>39869</v>
      </c>
      <c r="F90" s="2">
        <f t="shared" si="3"/>
        <v>2371</v>
      </c>
      <c r="G90" s="829">
        <f t="shared" si="4"/>
        <v>5.6131628787878786E-2</v>
      </c>
      <c r="H90" s="659" t="str">
        <f t="shared" si="5"/>
        <v>Ferndale $42240</v>
      </c>
    </row>
    <row r="91" spans="2:9">
      <c r="B91" s="784" t="s">
        <v>369</v>
      </c>
      <c r="C91" s="787" t="s">
        <v>1534</v>
      </c>
      <c r="D91" s="2">
        <v>60643</v>
      </c>
      <c r="E91" s="2">
        <v>57765</v>
      </c>
      <c r="F91" s="2">
        <f t="shared" si="3"/>
        <v>2878</v>
      </c>
      <c r="G91" s="829">
        <f t="shared" si="4"/>
        <v>4.7458074303711885E-2</v>
      </c>
      <c r="H91" s="659" t="str">
        <f t="shared" si="5"/>
        <v>Fife $60643</v>
      </c>
      <c r="I91" s="302"/>
    </row>
    <row r="92" spans="2:9">
      <c r="B92" s="784" t="s">
        <v>19</v>
      </c>
      <c r="C92" s="787" t="s">
        <v>1377</v>
      </c>
      <c r="D92" s="2">
        <v>20987</v>
      </c>
      <c r="E92" s="2">
        <v>18095</v>
      </c>
      <c r="F92" s="2">
        <f t="shared" si="3"/>
        <v>2892</v>
      </c>
      <c r="G92" s="829">
        <f t="shared" si="4"/>
        <v>0.1377995902225187</v>
      </c>
      <c r="H92" s="659" t="str">
        <f t="shared" si="5"/>
        <v>Finley $20987</v>
      </c>
      <c r="I92" s="302"/>
    </row>
    <row r="93" spans="2:9">
      <c r="B93" s="784" t="s">
        <v>361</v>
      </c>
      <c r="C93" s="787" t="s">
        <v>630</v>
      </c>
      <c r="D93" s="2">
        <v>104405</v>
      </c>
      <c r="E93" s="2">
        <v>107179</v>
      </c>
      <c r="F93" s="2">
        <f t="shared" si="3"/>
        <v>-2774</v>
      </c>
      <c r="G93" s="829">
        <f t="shared" si="4"/>
        <v>-2.6569608735213832E-2</v>
      </c>
      <c r="H93" s="659" t="str">
        <f t="shared" si="5"/>
        <v>Franklin Pierce $104405</v>
      </c>
      <c r="I93" s="302"/>
    </row>
    <row r="94" spans="2:9">
      <c r="B94" s="36" t="s">
        <v>436</v>
      </c>
      <c r="C94" s="23" t="s">
        <v>1569</v>
      </c>
      <c r="D94" s="2">
        <v>0</v>
      </c>
      <c r="E94" s="2">
        <v>0</v>
      </c>
      <c r="F94" s="2">
        <f t="shared" si="3"/>
        <v>0</v>
      </c>
      <c r="G94" s="829" t="str">
        <f t="shared" si="4"/>
        <v/>
      </c>
      <c r="H94" s="659" t="str">
        <f t="shared" si="5"/>
        <v>Freeman $0</v>
      </c>
    </row>
    <row r="95" spans="2:9">
      <c r="B95" s="784" t="s">
        <v>529</v>
      </c>
      <c r="C95" s="787" t="s">
        <v>1613</v>
      </c>
      <c r="D95" s="2">
        <v>0</v>
      </c>
      <c r="E95" s="2">
        <v>0</v>
      </c>
      <c r="F95" s="2">
        <f t="shared" si="3"/>
        <v>0</v>
      </c>
      <c r="G95" s="829" t="str">
        <f t="shared" si="4"/>
        <v/>
      </c>
      <c r="H95" s="659" t="str">
        <f t="shared" si="5"/>
        <v>Garfield $0</v>
      </c>
      <c r="I95" s="302"/>
    </row>
    <row r="96" spans="2:9">
      <c r="B96" s="784" t="s">
        <v>240</v>
      </c>
      <c r="C96" s="787" t="s">
        <v>1476</v>
      </c>
      <c r="D96" s="2">
        <v>0</v>
      </c>
      <c r="E96" s="2">
        <v>0</v>
      </c>
      <c r="F96" s="2">
        <f t="shared" si="3"/>
        <v>0</v>
      </c>
      <c r="G96" s="829" t="str">
        <f t="shared" si="4"/>
        <v/>
      </c>
      <c r="H96" s="659" t="str">
        <f t="shared" si="5"/>
        <v>Glenwood $0</v>
      </c>
      <c r="I96" s="302"/>
    </row>
    <row r="97" spans="2:9">
      <c r="B97" s="784" t="s">
        <v>246</v>
      </c>
      <c r="C97" s="787" t="s">
        <v>1479</v>
      </c>
      <c r="D97" s="2">
        <v>0</v>
      </c>
      <c r="E97" s="2">
        <v>0</v>
      </c>
      <c r="F97" s="2">
        <f t="shared" si="3"/>
        <v>0</v>
      </c>
      <c r="G97" s="829" t="str">
        <f t="shared" si="4"/>
        <v/>
      </c>
      <c r="H97" s="659" t="str">
        <f t="shared" si="5"/>
        <v>Goldendale $0</v>
      </c>
      <c r="I97" s="302"/>
    </row>
    <row r="98" spans="2:9">
      <c r="B98" s="784" t="s">
        <v>131</v>
      </c>
      <c r="C98" s="787" t="s">
        <v>1428</v>
      </c>
      <c r="D98" s="2">
        <v>11025</v>
      </c>
      <c r="E98" s="2">
        <v>15485</v>
      </c>
      <c r="F98" s="2">
        <f t="shared" si="3"/>
        <v>-4460</v>
      </c>
      <c r="G98" s="829">
        <f t="shared" si="4"/>
        <v>-0.40453514739229024</v>
      </c>
      <c r="H98" s="659" t="str">
        <f t="shared" si="5"/>
        <v>Grand Coulee Dam $11025</v>
      </c>
      <c r="I98" s="302"/>
    </row>
    <row r="99" spans="2:9">
      <c r="B99" s="784" t="s">
        <v>555</v>
      </c>
      <c r="C99" s="787" t="s">
        <v>1625</v>
      </c>
      <c r="D99" s="2">
        <v>147530</v>
      </c>
      <c r="E99" s="2">
        <v>132085</v>
      </c>
      <c r="F99" s="2">
        <f t="shared" si="3"/>
        <v>15445</v>
      </c>
      <c r="G99" s="829">
        <f t="shared" si="4"/>
        <v>0.1046905714092049</v>
      </c>
      <c r="H99" s="659" t="str">
        <f t="shared" si="5"/>
        <v>Grandview $147530</v>
      </c>
      <c r="I99" s="302"/>
    </row>
    <row r="100" spans="2:9">
      <c r="B100" s="784" t="s">
        <v>563</v>
      </c>
      <c r="C100" s="787" t="s">
        <v>1628</v>
      </c>
      <c r="D100" s="2">
        <v>74145</v>
      </c>
      <c r="E100" s="2">
        <v>75165</v>
      </c>
      <c r="F100" s="2">
        <f t="shared" si="3"/>
        <v>-1020</v>
      </c>
      <c r="G100" s="829">
        <f t="shared" si="4"/>
        <v>-1.3756827837345741E-2</v>
      </c>
      <c r="H100" s="659" t="str">
        <f t="shared" si="5"/>
        <v>Granger $74145</v>
      </c>
      <c r="I100" s="302"/>
    </row>
    <row r="101" spans="2:9">
      <c r="B101" s="784" t="s">
        <v>419</v>
      </c>
      <c r="C101" s="787" t="s">
        <v>1560</v>
      </c>
      <c r="D101" s="2">
        <v>0</v>
      </c>
      <c r="E101" s="2">
        <v>0</v>
      </c>
      <c r="F101" s="2">
        <f t="shared" si="3"/>
        <v>0</v>
      </c>
      <c r="G101" s="829" t="str">
        <f t="shared" si="4"/>
        <v/>
      </c>
      <c r="H101" s="659" t="str">
        <f t="shared" si="5"/>
        <v>Granite Falls $0</v>
      </c>
      <c r="I101" s="302"/>
    </row>
    <row r="102" spans="2:9">
      <c r="B102" s="36" t="s">
        <v>297</v>
      </c>
      <c r="C102" s="23" t="s">
        <v>1502</v>
      </c>
      <c r="D102" s="2">
        <v>0</v>
      </c>
      <c r="E102" s="2">
        <v>0</v>
      </c>
      <c r="F102" s="2">
        <f t="shared" si="3"/>
        <v>0</v>
      </c>
      <c r="G102" s="829" t="str">
        <f t="shared" si="4"/>
        <v/>
      </c>
      <c r="H102" s="659" t="str">
        <f t="shared" si="5"/>
        <v>Grapeview $0</v>
      </c>
    </row>
    <row r="103" spans="2:9">
      <c r="B103" s="784" t="s">
        <v>426</v>
      </c>
      <c r="C103" s="787" t="s">
        <v>1564</v>
      </c>
      <c r="D103" s="2">
        <v>0</v>
      </c>
      <c r="E103" s="2">
        <v>0</v>
      </c>
      <c r="F103" s="2">
        <f t="shared" si="3"/>
        <v>0</v>
      </c>
      <c r="G103" s="829" t="str">
        <f t="shared" si="4"/>
        <v/>
      </c>
      <c r="H103" s="659" t="str">
        <f t="shared" si="5"/>
        <v>Great Northern $0</v>
      </c>
      <c r="I103" s="302"/>
    </row>
    <row r="104" spans="2:9">
      <c r="B104" s="784" t="s">
        <v>1701</v>
      </c>
      <c r="C104" s="787" t="s">
        <v>1697</v>
      </c>
      <c r="D104" s="2">
        <v>0</v>
      </c>
      <c r="E104" s="2">
        <v>0</v>
      </c>
      <c r="F104" s="2">
        <f t="shared" si="3"/>
        <v>0</v>
      </c>
      <c r="G104" s="829" t="str">
        <f t="shared" si="4"/>
        <v/>
      </c>
      <c r="H104" s="659" t="str">
        <f t="shared" si="5"/>
        <v>Green Dot Tacoma $0</v>
      </c>
      <c r="I104" s="302"/>
    </row>
    <row r="105" spans="2:9">
      <c r="B105" s="784" t="s">
        <v>54</v>
      </c>
      <c r="C105" s="787" t="s">
        <v>1393</v>
      </c>
      <c r="D105" s="2">
        <v>0</v>
      </c>
      <c r="E105" s="2">
        <v>0</v>
      </c>
      <c r="F105" s="2">
        <f t="shared" si="3"/>
        <v>0</v>
      </c>
      <c r="G105" s="829" t="str">
        <f t="shared" si="4"/>
        <v/>
      </c>
      <c r="H105" s="833" t="str">
        <f t="shared" si="5"/>
        <v>Green Mountain $0</v>
      </c>
      <c r="I105" s="834" t="s">
        <v>1738</v>
      </c>
    </row>
    <row r="106" spans="2:9">
      <c r="B106" s="785" t="s">
        <v>482</v>
      </c>
      <c r="C106" s="787" t="s">
        <v>1592</v>
      </c>
      <c r="D106" s="2">
        <v>0</v>
      </c>
      <c r="E106" s="2">
        <v>0</v>
      </c>
      <c r="F106" s="2">
        <f t="shared" si="3"/>
        <v>0</v>
      </c>
      <c r="G106" s="829" t="str">
        <f t="shared" si="4"/>
        <v/>
      </c>
      <c r="H106" s="659" t="str">
        <f t="shared" si="5"/>
        <v>Griffin $0</v>
      </c>
      <c r="I106" s="302"/>
    </row>
    <row r="107" spans="2:9">
      <c r="B107" s="784" t="s">
        <v>291</v>
      </c>
      <c r="C107" s="787" t="s">
        <v>1499</v>
      </c>
      <c r="D107" s="2">
        <v>0</v>
      </c>
      <c r="E107" s="2">
        <v>0</v>
      </c>
      <c r="F107" s="2">
        <f t="shared" si="3"/>
        <v>0</v>
      </c>
      <c r="G107" s="829" t="str">
        <f t="shared" si="4"/>
        <v/>
      </c>
      <c r="H107" s="659" t="str">
        <f t="shared" si="5"/>
        <v>Harrington $0</v>
      </c>
      <c r="I107" s="302"/>
    </row>
    <row r="108" spans="2:9">
      <c r="B108" s="784" t="s">
        <v>561</v>
      </c>
      <c r="C108" s="787" t="s">
        <v>1627</v>
      </c>
      <c r="D108" s="2">
        <v>46062</v>
      </c>
      <c r="E108" s="2">
        <v>43299</v>
      </c>
      <c r="F108" s="2">
        <f t="shared" si="3"/>
        <v>2763</v>
      </c>
      <c r="G108" s="829">
        <f t="shared" si="4"/>
        <v>5.9984368894099256E-2</v>
      </c>
      <c r="H108" s="659" t="str">
        <f t="shared" si="5"/>
        <v>Highland $46062</v>
      </c>
      <c r="I108" s="302"/>
    </row>
    <row r="109" spans="2:9">
      <c r="B109" s="784" t="s">
        <v>181</v>
      </c>
      <c r="C109" s="787" t="s">
        <v>1452</v>
      </c>
      <c r="D109" s="2">
        <v>683286</v>
      </c>
      <c r="E109" s="2">
        <v>647027</v>
      </c>
      <c r="F109" s="2">
        <f t="shared" si="3"/>
        <v>36259</v>
      </c>
      <c r="G109" s="829">
        <f t="shared" si="4"/>
        <v>5.3065626984893588E-2</v>
      </c>
      <c r="H109" s="659" t="str">
        <f t="shared" si="5"/>
        <v>Highline $683286</v>
      </c>
      <c r="I109" s="302"/>
    </row>
    <row r="110" spans="2:9">
      <c r="B110" s="784" t="s">
        <v>51</v>
      </c>
      <c r="C110" s="787" t="s">
        <v>1391</v>
      </c>
      <c r="D110" s="2">
        <v>0</v>
      </c>
      <c r="E110" s="2">
        <v>0</v>
      </c>
      <c r="F110" s="2">
        <f t="shared" si="3"/>
        <v>0</v>
      </c>
      <c r="G110" s="829" t="str">
        <f t="shared" si="4"/>
        <v/>
      </c>
      <c r="H110" s="659" t="str">
        <f t="shared" si="5"/>
        <v>Hockinson $0</v>
      </c>
      <c r="I110" s="302"/>
    </row>
    <row r="111" spans="2:9">
      <c r="B111" s="784" t="s">
        <v>307</v>
      </c>
      <c r="C111" s="787" t="s">
        <v>1507</v>
      </c>
      <c r="D111" s="2">
        <v>0</v>
      </c>
      <c r="E111" s="2">
        <v>0</v>
      </c>
      <c r="F111" s="2">
        <f t="shared" si="3"/>
        <v>0</v>
      </c>
      <c r="G111" s="829" t="str">
        <f t="shared" si="4"/>
        <v/>
      </c>
      <c r="H111" s="659" t="str">
        <f t="shared" si="5"/>
        <v>Hood Canal $0</v>
      </c>
      <c r="I111" s="302"/>
    </row>
    <row r="112" spans="2:9">
      <c r="B112" s="784" t="s">
        <v>134</v>
      </c>
      <c r="C112" s="787" t="s">
        <v>748</v>
      </c>
      <c r="D112" s="2">
        <v>0</v>
      </c>
      <c r="E112" s="2">
        <v>0</v>
      </c>
      <c r="F112" s="2">
        <f t="shared" si="3"/>
        <v>0</v>
      </c>
      <c r="G112" s="829" t="str">
        <f t="shared" si="4"/>
        <v/>
      </c>
      <c r="H112" s="659" t="str">
        <f t="shared" si="5"/>
        <v>Hoquiam $0</v>
      </c>
      <c r="I112" s="302"/>
    </row>
    <row r="113" spans="2:9">
      <c r="B113" s="784" t="s">
        <v>1715</v>
      </c>
      <c r="C113" s="787" t="s">
        <v>1718</v>
      </c>
      <c r="D113" s="2">
        <v>0</v>
      </c>
      <c r="E113" s="2">
        <v>12005</v>
      </c>
      <c r="F113" s="2">
        <f t="shared" si="3"/>
        <v>-12005</v>
      </c>
      <c r="G113" s="829" t="str">
        <f t="shared" si="4"/>
        <v/>
      </c>
      <c r="H113" s="659" t="str">
        <f t="shared" si="5"/>
        <v>Impact $0</v>
      </c>
      <c r="I113" s="302"/>
    </row>
    <row r="114" spans="2:9">
      <c r="B114" s="784" t="s">
        <v>100</v>
      </c>
      <c r="C114" s="787" t="s">
        <v>1414</v>
      </c>
      <c r="D114" s="2">
        <v>11272</v>
      </c>
      <c r="E114" s="2">
        <v>15834</v>
      </c>
      <c r="F114" s="2">
        <f t="shared" si="3"/>
        <v>-4562</v>
      </c>
      <c r="G114" s="829">
        <f t="shared" si="4"/>
        <v>-0.40471965933286019</v>
      </c>
      <c r="H114" s="659" t="str">
        <f t="shared" si="5"/>
        <v>Inchelium $11272</v>
      </c>
      <c r="I114" s="302"/>
    </row>
    <row r="115" spans="2:9">
      <c r="B115" s="784" t="s">
        <v>407</v>
      </c>
      <c r="C115" s="787" t="s">
        <v>1554</v>
      </c>
      <c r="D115" s="2">
        <v>0</v>
      </c>
      <c r="E115" s="2">
        <v>0</v>
      </c>
      <c r="F115" s="2">
        <f t="shared" si="3"/>
        <v>0</v>
      </c>
      <c r="G115" s="829" t="str">
        <f t="shared" si="4"/>
        <v/>
      </c>
      <c r="H115" s="659" t="str">
        <f t="shared" si="5"/>
        <v>Index $0</v>
      </c>
      <c r="I115" s="302"/>
    </row>
    <row r="116" spans="2:9">
      <c r="B116" s="784" t="s">
        <v>201</v>
      </c>
      <c r="C116" s="787" t="s">
        <v>1458</v>
      </c>
      <c r="D116" s="2">
        <v>160732</v>
      </c>
      <c r="E116" s="2">
        <v>191094</v>
      </c>
      <c r="F116" s="2">
        <f t="shared" si="3"/>
        <v>-30362</v>
      </c>
      <c r="G116" s="829">
        <f t="shared" si="4"/>
        <v>-0.18889829032177788</v>
      </c>
      <c r="H116" s="659" t="str">
        <f t="shared" si="5"/>
        <v>Issaquah $160732</v>
      </c>
      <c r="I116" s="302"/>
    </row>
    <row r="117" spans="2:9">
      <c r="B117" s="784" t="s">
        <v>110</v>
      </c>
      <c r="C117" s="787" t="s">
        <v>1419</v>
      </c>
      <c r="D117" s="2">
        <v>0</v>
      </c>
      <c r="E117" s="2">
        <v>0</v>
      </c>
      <c r="F117" s="2">
        <f t="shared" si="3"/>
        <v>0</v>
      </c>
      <c r="G117" s="829" t="str">
        <f t="shared" si="4"/>
        <v/>
      </c>
      <c r="H117" s="659" t="str">
        <f t="shared" si="5"/>
        <v>Kahlotus $0</v>
      </c>
      <c r="I117" s="302"/>
    </row>
    <row r="118" spans="2:9">
      <c r="B118" s="784" t="s">
        <v>76</v>
      </c>
      <c r="C118" s="787" t="s">
        <v>1402</v>
      </c>
      <c r="D118" s="2">
        <v>0</v>
      </c>
      <c r="E118" s="2">
        <v>0</v>
      </c>
      <c r="F118" s="2">
        <f t="shared" si="3"/>
        <v>0</v>
      </c>
      <c r="G118" s="829" t="str">
        <f t="shared" si="4"/>
        <v/>
      </c>
      <c r="H118" s="659" t="str">
        <f t="shared" si="5"/>
        <v>Kalama $0</v>
      </c>
      <c r="I118" s="302"/>
    </row>
    <row r="119" spans="2:9">
      <c r="B119" s="784" t="s">
        <v>94</v>
      </c>
      <c r="C119" s="787" t="s">
        <v>1411</v>
      </c>
      <c r="D119" s="2">
        <v>0</v>
      </c>
      <c r="E119" s="2">
        <v>0</v>
      </c>
      <c r="F119" s="2">
        <f t="shared" si="3"/>
        <v>0</v>
      </c>
      <c r="G119" s="829" t="str">
        <f t="shared" si="4"/>
        <v/>
      </c>
      <c r="H119" s="659" t="str">
        <f t="shared" si="5"/>
        <v>Keller $0</v>
      </c>
      <c r="I119" s="302"/>
    </row>
    <row r="120" spans="2:9">
      <c r="B120" s="787" t="s">
        <v>80</v>
      </c>
      <c r="C120" s="787" t="s">
        <v>1404</v>
      </c>
      <c r="D120" s="2">
        <v>37037</v>
      </c>
      <c r="E120" s="2">
        <v>36787</v>
      </c>
      <c r="F120" s="2">
        <f t="shared" si="3"/>
        <v>250</v>
      </c>
      <c r="G120" s="829">
        <f t="shared" si="4"/>
        <v>6.7500067500067496E-3</v>
      </c>
      <c r="H120" s="659" t="str">
        <f t="shared" si="5"/>
        <v>Kelso $37037</v>
      </c>
      <c r="I120" s="302"/>
    </row>
    <row r="121" spans="2:9">
      <c r="B121" s="784" t="s">
        <v>14</v>
      </c>
      <c r="C121" s="787" t="s">
        <v>636</v>
      </c>
      <c r="D121" s="2">
        <v>337387</v>
      </c>
      <c r="E121" s="2">
        <v>322407</v>
      </c>
      <c r="F121" s="2">
        <f t="shared" si="3"/>
        <v>14980</v>
      </c>
      <c r="G121" s="829">
        <f t="shared" si="4"/>
        <v>4.440005098003183E-2</v>
      </c>
      <c r="H121" s="659" t="str">
        <f t="shared" si="5"/>
        <v>Kennewick $337387</v>
      </c>
      <c r="I121" s="302"/>
    </row>
    <row r="122" spans="2:9">
      <c r="B122" s="784" t="s">
        <v>207</v>
      </c>
      <c r="C122" s="787" t="s">
        <v>1460</v>
      </c>
      <c r="D122" s="2">
        <v>707903</v>
      </c>
      <c r="E122" s="2">
        <v>710410</v>
      </c>
      <c r="F122" s="2">
        <f t="shared" si="3"/>
        <v>-2507</v>
      </c>
      <c r="G122" s="829">
        <f t="shared" si="4"/>
        <v>-3.541445650039624E-3</v>
      </c>
      <c r="H122" s="659" t="str">
        <f t="shared" si="5"/>
        <v>Kent $707903</v>
      </c>
      <c r="I122" s="302"/>
    </row>
    <row r="123" spans="2:9">
      <c r="B123" s="784" t="s">
        <v>470</v>
      </c>
      <c r="C123" s="787" t="s">
        <v>1587</v>
      </c>
      <c r="D123" s="2">
        <v>0</v>
      </c>
      <c r="E123" s="2">
        <v>0</v>
      </c>
      <c r="F123" s="2">
        <f t="shared" si="3"/>
        <v>0</v>
      </c>
      <c r="G123" s="829" t="str">
        <f t="shared" si="4"/>
        <v/>
      </c>
      <c r="H123" s="659" t="str">
        <f t="shared" si="5"/>
        <v>Kettle Falls $0</v>
      </c>
      <c r="I123" s="302"/>
    </row>
    <row r="124" spans="2:9">
      <c r="B124" s="784" t="s">
        <v>18</v>
      </c>
      <c r="C124" s="787" t="s">
        <v>1376</v>
      </c>
      <c r="D124" s="2">
        <v>44328</v>
      </c>
      <c r="E124" s="2">
        <v>44293</v>
      </c>
      <c r="F124" s="2">
        <f t="shared" si="3"/>
        <v>35</v>
      </c>
      <c r="G124" s="829">
        <f t="shared" si="4"/>
        <v>7.8956866991517773E-4</v>
      </c>
      <c r="H124" s="833" t="str">
        <f t="shared" si="5"/>
        <v>Kiona Benton $44328</v>
      </c>
      <c r="I124" s="302"/>
    </row>
    <row r="125" spans="2:9">
      <c r="B125" s="784" t="s">
        <v>228</v>
      </c>
      <c r="C125" s="787" t="s">
        <v>1470</v>
      </c>
      <c r="D125" s="2">
        <v>0</v>
      </c>
      <c r="E125" s="2">
        <v>0</v>
      </c>
      <c r="F125" s="2">
        <f t="shared" si="3"/>
        <v>0</v>
      </c>
      <c r="G125" s="829" t="str">
        <f t="shared" si="4"/>
        <v/>
      </c>
      <c r="H125" s="659" t="str">
        <f t="shared" si="5"/>
        <v>Kittitas $0</v>
      </c>
      <c r="I125" s="302"/>
    </row>
    <row r="126" spans="2:9">
      <c r="B126" s="784" t="s">
        <v>242</v>
      </c>
      <c r="C126" s="787" t="s">
        <v>1477</v>
      </c>
      <c r="D126" s="2">
        <v>0</v>
      </c>
      <c r="E126" s="2">
        <v>0</v>
      </c>
      <c r="F126" s="2">
        <f t="shared" si="3"/>
        <v>0</v>
      </c>
      <c r="G126" s="829" t="str">
        <f t="shared" si="4"/>
        <v/>
      </c>
      <c r="H126" s="659" t="str">
        <f t="shared" si="5"/>
        <v>Klickitat $0</v>
      </c>
      <c r="I126" s="302"/>
    </row>
    <row r="127" spans="2:9">
      <c r="B127" s="784" t="s">
        <v>382</v>
      </c>
      <c r="C127" s="787" t="s">
        <v>1542</v>
      </c>
      <c r="D127" s="2">
        <v>13997</v>
      </c>
      <c r="E127" s="2">
        <v>18716</v>
      </c>
      <c r="F127" s="2">
        <f t="shared" si="3"/>
        <v>-4719</v>
      </c>
      <c r="G127" s="829">
        <f t="shared" si="4"/>
        <v>-0.33714367364435238</v>
      </c>
      <c r="H127" s="659" t="str">
        <f t="shared" si="5"/>
        <v>La Conner $13997</v>
      </c>
      <c r="I127" s="302"/>
    </row>
    <row r="128" spans="2:9">
      <c r="B128" s="784" t="s">
        <v>53</v>
      </c>
      <c r="C128" s="787" t="s">
        <v>1392</v>
      </c>
      <c r="D128" s="2">
        <v>0</v>
      </c>
      <c r="E128" s="2">
        <v>0</v>
      </c>
      <c r="F128" s="2">
        <f t="shared" si="3"/>
        <v>0</v>
      </c>
      <c r="G128" s="829" t="str">
        <f t="shared" si="4"/>
        <v/>
      </c>
      <c r="H128" s="659" t="str">
        <f t="shared" si="5"/>
        <v>Lacenter $0</v>
      </c>
      <c r="I128" s="302"/>
    </row>
    <row r="129" spans="2:9">
      <c r="B129" s="784" t="s">
        <v>518</v>
      </c>
      <c r="C129" s="787" t="s">
        <v>1607</v>
      </c>
      <c r="D129" s="2">
        <v>0</v>
      </c>
      <c r="E129" s="2">
        <v>0</v>
      </c>
      <c r="F129" s="2">
        <f t="shared" si="3"/>
        <v>0</v>
      </c>
      <c r="G129" s="829" t="str">
        <f t="shared" si="4"/>
        <v/>
      </c>
      <c r="H129" s="659" t="str">
        <f t="shared" si="5"/>
        <v>Lacrosse Joint $0</v>
      </c>
      <c r="I129" s="302"/>
    </row>
    <row r="130" spans="2:9">
      <c r="B130" s="784" t="s">
        <v>31</v>
      </c>
      <c r="C130" s="787" t="s">
        <v>624</v>
      </c>
      <c r="D130" s="2">
        <v>48591</v>
      </c>
      <c r="E130" s="2">
        <v>49711</v>
      </c>
      <c r="F130" s="2">
        <f t="shared" si="3"/>
        <v>-1120</v>
      </c>
      <c r="G130" s="829">
        <f t="shared" si="4"/>
        <v>-2.3049535922290136E-2</v>
      </c>
      <c r="H130" s="659" t="str">
        <f t="shared" si="5"/>
        <v>Lake Chelan $48591</v>
      </c>
      <c r="I130" s="302"/>
    </row>
    <row r="131" spans="2:9">
      <c r="B131" s="784" t="s">
        <v>397</v>
      </c>
      <c r="C131" s="787" t="s">
        <v>1549</v>
      </c>
      <c r="D131" s="2">
        <v>50982</v>
      </c>
      <c r="E131" s="2">
        <v>56225</v>
      </c>
      <c r="F131" s="2">
        <f t="shared" si="3"/>
        <v>-5243</v>
      </c>
      <c r="G131" s="829">
        <f t="shared" si="4"/>
        <v>-0.10284021811619787</v>
      </c>
      <c r="H131" s="659" t="str">
        <f t="shared" si="5"/>
        <v>Lake Stevens $50982</v>
      </c>
      <c r="I131" s="302"/>
    </row>
    <row r="132" spans="2:9">
      <c r="B132" s="784" t="s">
        <v>659</v>
      </c>
      <c r="C132" s="787" t="s">
        <v>1461</v>
      </c>
      <c r="D132" s="2">
        <v>0</v>
      </c>
      <c r="E132" s="2">
        <v>0</v>
      </c>
      <c r="F132" s="2">
        <f t="shared" si="3"/>
        <v>0</v>
      </c>
      <c r="G132" s="829" t="str">
        <f t="shared" si="4"/>
        <v/>
      </c>
      <c r="H132" s="659" t="str">
        <f t="shared" si="5"/>
        <v>Lake Wash Tech Coll $0</v>
      </c>
      <c r="I132" s="302"/>
    </row>
    <row r="133" spans="2:9">
      <c r="B133" s="784" t="s">
        <v>205</v>
      </c>
      <c r="C133" s="787" t="s">
        <v>1459</v>
      </c>
      <c r="D133" s="2">
        <v>383557</v>
      </c>
      <c r="E133" s="2">
        <v>453250</v>
      </c>
      <c r="F133" s="2">
        <f t="shared" si="3"/>
        <v>-69693</v>
      </c>
      <c r="G133" s="829">
        <f t="shared" si="4"/>
        <v>-0.18170180703259228</v>
      </c>
      <c r="H133" s="659" t="str">
        <f t="shared" si="5"/>
        <v>Lake Washington $383557</v>
      </c>
      <c r="I133" s="302"/>
    </row>
    <row r="134" spans="2:9">
      <c r="B134" s="784" t="s">
        <v>413</v>
      </c>
      <c r="C134" s="787" t="s">
        <v>1557</v>
      </c>
      <c r="D134" s="2">
        <v>19925</v>
      </c>
      <c r="E134" s="2">
        <v>18070</v>
      </c>
      <c r="F134" s="2">
        <f t="shared" si="3"/>
        <v>1855</v>
      </c>
      <c r="G134" s="829">
        <f t="shared" si="4"/>
        <v>9.3099121706399002E-2</v>
      </c>
      <c r="H134" s="659" t="str">
        <f t="shared" si="5"/>
        <v>Lakewood $19925</v>
      </c>
      <c r="I134" s="302"/>
    </row>
    <row r="135" spans="2:9">
      <c r="B135" s="784" t="s">
        <v>519</v>
      </c>
      <c r="C135" s="787" t="s">
        <v>1608</v>
      </c>
      <c r="D135" s="2">
        <v>0</v>
      </c>
      <c r="E135" s="2">
        <v>0</v>
      </c>
      <c r="F135" s="2">
        <f t="shared" si="3"/>
        <v>0</v>
      </c>
      <c r="G135" s="829" t="str">
        <f t="shared" si="4"/>
        <v/>
      </c>
      <c r="H135" s="659" t="str">
        <f t="shared" si="5"/>
        <v>Lamont $0</v>
      </c>
      <c r="I135" s="302"/>
    </row>
    <row r="136" spans="2:9">
      <c r="B136" s="784" t="s">
        <v>441</v>
      </c>
      <c r="C136" s="787" t="s">
        <v>1572</v>
      </c>
      <c r="D136" s="2">
        <v>0</v>
      </c>
      <c r="E136" s="2">
        <v>0</v>
      </c>
      <c r="F136" s="2">
        <f t="shared" ref="F136:F199" si="6">D136-E136</f>
        <v>0</v>
      </c>
      <c r="G136" s="829" t="str">
        <f t="shared" ref="G136:G199" si="7">IFERROR(F136/D136,"")</f>
        <v/>
      </c>
      <c r="H136" s="659" t="str">
        <f t="shared" ref="H136:H199" si="8">C136&amp;" $"&amp;D136&amp;""</f>
        <v>Liberty $0</v>
      </c>
      <c r="I136" s="302"/>
    </row>
    <row r="137" spans="2:9">
      <c r="B137" s="784" t="s">
        <v>6</v>
      </c>
      <c r="C137" s="787" t="s">
        <v>1371</v>
      </c>
      <c r="D137" s="2">
        <v>0</v>
      </c>
      <c r="E137" s="2">
        <v>0</v>
      </c>
      <c r="F137" s="2">
        <f t="shared" si="6"/>
        <v>0</v>
      </c>
      <c r="G137" s="829" t="str">
        <f t="shared" si="7"/>
        <v/>
      </c>
      <c r="H137" s="659" t="str">
        <f t="shared" si="8"/>
        <v>Lind $0</v>
      </c>
      <c r="I137" s="302"/>
    </row>
    <row r="138" spans="2:9">
      <c r="B138" s="784" t="s">
        <v>70</v>
      </c>
      <c r="C138" s="787" t="s">
        <v>1399</v>
      </c>
      <c r="D138" s="2">
        <v>44434</v>
      </c>
      <c r="E138" s="2">
        <v>44467</v>
      </c>
      <c r="F138" s="2">
        <f t="shared" si="6"/>
        <v>-33</v>
      </c>
      <c r="G138" s="829">
        <f t="shared" si="7"/>
        <v>-7.4267452851420085E-4</v>
      </c>
      <c r="H138" s="659" t="str">
        <f t="shared" si="8"/>
        <v>Longview $44434</v>
      </c>
      <c r="I138" s="302"/>
    </row>
    <row r="139" spans="2:9">
      <c r="B139" s="784" t="s">
        <v>458</v>
      </c>
      <c r="C139" s="787" t="s">
        <v>1581</v>
      </c>
      <c r="D139" s="2">
        <v>0</v>
      </c>
      <c r="E139" s="2">
        <v>0</v>
      </c>
      <c r="F139" s="2">
        <f t="shared" si="6"/>
        <v>0</v>
      </c>
      <c r="G139" s="829" t="str">
        <f t="shared" si="7"/>
        <v/>
      </c>
      <c r="H139" s="659" t="str">
        <f t="shared" si="8"/>
        <v>Loon Lake $0</v>
      </c>
      <c r="I139" s="302"/>
    </row>
    <row r="140" spans="2:9">
      <c r="B140" s="784" t="s">
        <v>373</v>
      </c>
      <c r="C140" s="787" t="s">
        <v>1539</v>
      </c>
      <c r="D140" s="2">
        <v>0</v>
      </c>
      <c r="E140" s="2">
        <v>0</v>
      </c>
      <c r="F140" s="2">
        <f t="shared" si="6"/>
        <v>0</v>
      </c>
      <c r="G140" s="829" t="str">
        <f t="shared" si="7"/>
        <v/>
      </c>
      <c r="H140" s="659" t="str">
        <f t="shared" si="8"/>
        <v>Lopez $0</v>
      </c>
      <c r="I140" s="302"/>
    </row>
    <row r="141" spans="2:9">
      <c r="B141" s="784" t="s">
        <v>250</v>
      </c>
      <c r="C141" s="787" t="s">
        <v>1481</v>
      </c>
      <c r="D141" s="2">
        <v>0</v>
      </c>
      <c r="E141" s="2">
        <v>0</v>
      </c>
      <c r="F141" s="2">
        <f t="shared" si="6"/>
        <v>0</v>
      </c>
      <c r="G141" s="829" t="str">
        <f t="shared" si="7"/>
        <v/>
      </c>
      <c r="H141" s="659" t="str">
        <f t="shared" si="8"/>
        <v>Lyle $0</v>
      </c>
      <c r="I141" s="302"/>
    </row>
    <row r="142" spans="2:9">
      <c r="B142" s="784" t="s">
        <v>510</v>
      </c>
      <c r="C142" s="787" t="s">
        <v>1604</v>
      </c>
      <c r="D142" s="2">
        <v>44912</v>
      </c>
      <c r="E142" s="2">
        <v>43448</v>
      </c>
      <c r="F142" s="2">
        <f t="shared" si="6"/>
        <v>1464</v>
      </c>
      <c r="G142" s="829">
        <f t="shared" si="7"/>
        <v>3.2597078731742071E-2</v>
      </c>
      <c r="H142" s="659" t="str">
        <f t="shared" si="8"/>
        <v>Lynden $44912</v>
      </c>
      <c r="I142" s="302"/>
    </row>
    <row r="143" spans="2:9">
      <c r="B143" s="36" t="s">
        <v>553</v>
      </c>
      <c r="C143" s="23" t="s">
        <v>639</v>
      </c>
      <c r="D143" s="2">
        <v>45991</v>
      </c>
      <c r="E143" s="2">
        <v>41260</v>
      </c>
      <c r="F143" s="2">
        <f t="shared" si="6"/>
        <v>4731</v>
      </c>
      <c r="G143" s="829">
        <f t="shared" si="7"/>
        <v>0.10286795242547454</v>
      </c>
      <c r="H143" s="659" t="str">
        <f t="shared" si="8"/>
        <v>Mabton $45991</v>
      </c>
    </row>
    <row r="144" spans="2:9">
      <c r="B144" s="784" t="s">
        <v>90</v>
      </c>
      <c r="C144" s="787" t="s">
        <v>1409</v>
      </c>
      <c r="D144" s="2">
        <v>0</v>
      </c>
      <c r="E144" s="2">
        <v>0</v>
      </c>
      <c r="F144" s="2">
        <f t="shared" si="6"/>
        <v>0</v>
      </c>
      <c r="G144" s="829" t="str">
        <f t="shared" si="7"/>
        <v/>
      </c>
      <c r="H144" s="659" t="str">
        <f t="shared" si="8"/>
        <v>Mansfield $0</v>
      </c>
      <c r="I144" s="302"/>
    </row>
    <row r="145" spans="2:9">
      <c r="B145" s="784" t="s">
        <v>25</v>
      </c>
      <c r="C145" s="787" t="s">
        <v>1380</v>
      </c>
      <c r="D145" s="2">
        <v>28631</v>
      </c>
      <c r="E145" s="2">
        <v>26198</v>
      </c>
      <c r="F145" s="2">
        <f t="shared" si="6"/>
        <v>2433</v>
      </c>
      <c r="G145" s="829">
        <f t="shared" si="7"/>
        <v>8.4977821242708945E-2</v>
      </c>
      <c r="H145" s="659" t="str">
        <f t="shared" si="8"/>
        <v>Manson $28631</v>
      </c>
      <c r="I145" s="302"/>
    </row>
    <row r="146" spans="2:9">
      <c r="B146" s="784" t="s">
        <v>301</v>
      </c>
      <c r="C146" s="787" t="s">
        <v>1504</v>
      </c>
      <c r="D146" s="2">
        <v>0</v>
      </c>
      <c r="E146" s="2">
        <v>0</v>
      </c>
      <c r="F146" s="2">
        <f t="shared" si="6"/>
        <v>0</v>
      </c>
      <c r="G146" s="829" t="str">
        <f t="shared" si="7"/>
        <v/>
      </c>
      <c r="H146" s="659" t="str">
        <f t="shared" si="8"/>
        <v>Mary M Knight $0</v>
      </c>
      <c r="I146" s="302"/>
    </row>
    <row r="147" spans="2:9">
      <c r="B147" s="784" t="s">
        <v>466</v>
      </c>
      <c r="C147" s="787" t="s">
        <v>1585</v>
      </c>
      <c r="D147" s="2">
        <v>0</v>
      </c>
      <c r="E147" s="2">
        <v>0</v>
      </c>
      <c r="F147" s="2">
        <f t="shared" si="6"/>
        <v>0</v>
      </c>
      <c r="G147" s="829" t="str">
        <f t="shared" si="7"/>
        <v/>
      </c>
      <c r="H147" s="659" t="str">
        <f t="shared" si="8"/>
        <v>Mary Walker $0</v>
      </c>
      <c r="I147" s="302"/>
    </row>
    <row r="148" spans="2:9">
      <c r="B148" s="36" t="s">
        <v>405</v>
      </c>
      <c r="C148" s="23" t="s">
        <v>1553</v>
      </c>
      <c r="D148" s="2">
        <v>176957</v>
      </c>
      <c r="E148" s="2">
        <v>191093</v>
      </c>
      <c r="F148" s="2">
        <f t="shared" si="6"/>
        <v>-14136</v>
      </c>
      <c r="G148" s="829">
        <f t="shared" si="7"/>
        <v>-7.9883813581830609E-2</v>
      </c>
      <c r="H148" s="659" t="str">
        <f t="shared" si="8"/>
        <v>Marysville $176957</v>
      </c>
    </row>
    <row r="149" spans="2:9">
      <c r="B149" s="784" t="s">
        <v>138</v>
      </c>
      <c r="C149" s="787" t="s">
        <v>1431</v>
      </c>
      <c r="D149" s="2">
        <v>0</v>
      </c>
      <c r="E149" s="2">
        <v>0</v>
      </c>
      <c r="F149" s="2">
        <f t="shared" si="6"/>
        <v>0</v>
      </c>
      <c r="G149" s="829" t="str">
        <f t="shared" si="7"/>
        <v/>
      </c>
      <c r="H149" s="659" t="str">
        <f t="shared" si="8"/>
        <v>Mc Cleary $0</v>
      </c>
      <c r="I149" s="302"/>
    </row>
    <row r="150" spans="2:9">
      <c r="B150" s="784" t="s">
        <v>432</v>
      </c>
      <c r="C150" s="787" t="s">
        <v>1567</v>
      </c>
      <c r="D150" s="2">
        <v>45619</v>
      </c>
      <c r="E150" s="2">
        <v>37707</v>
      </c>
      <c r="F150" s="2">
        <f t="shared" si="6"/>
        <v>7912</v>
      </c>
      <c r="G150" s="829">
        <f t="shared" si="7"/>
        <v>0.17343650671869176</v>
      </c>
      <c r="H150" s="659" t="str">
        <f t="shared" si="8"/>
        <v>Mead $45619</v>
      </c>
      <c r="I150" s="302"/>
    </row>
    <row r="151" spans="2:9">
      <c r="B151" s="784" t="s">
        <v>430</v>
      </c>
      <c r="C151" s="787" t="s">
        <v>1566</v>
      </c>
      <c r="D151" s="2">
        <v>0</v>
      </c>
      <c r="E151" s="2">
        <v>0</v>
      </c>
      <c r="F151" s="2">
        <f t="shared" si="6"/>
        <v>0</v>
      </c>
      <c r="G151" s="829" t="str">
        <f t="shared" si="7"/>
        <v/>
      </c>
      <c r="H151" s="659" t="str">
        <f t="shared" si="8"/>
        <v>Medical Lake $0</v>
      </c>
      <c r="I151" s="302"/>
    </row>
    <row r="152" spans="2:9">
      <c r="B152" s="784" t="s">
        <v>179</v>
      </c>
      <c r="C152" s="787" t="s">
        <v>1451</v>
      </c>
      <c r="D152" s="2">
        <v>20917</v>
      </c>
      <c r="E152" s="2">
        <v>24856</v>
      </c>
      <c r="F152" s="2">
        <f t="shared" si="6"/>
        <v>-3939</v>
      </c>
      <c r="G152" s="829">
        <f t="shared" si="7"/>
        <v>-0.18831572405220634</v>
      </c>
      <c r="H152" s="659" t="str">
        <f t="shared" si="8"/>
        <v>Mercer Island $20917</v>
      </c>
      <c r="I152" s="302"/>
    </row>
    <row r="153" spans="2:9">
      <c r="B153" s="784" t="s">
        <v>512</v>
      </c>
      <c r="C153" s="787" t="s">
        <v>1605</v>
      </c>
      <c r="D153" s="2">
        <v>22138</v>
      </c>
      <c r="E153" s="2">
        <v>22570</v>
      </c>
      <c r="F153" s="2">
        <f t="shared" si="6"/>
        <v>-432</v>
      </c>
      <c r="G153" s="829">
        <f t="shared" si="7"/>
        <v>-1.9513957900442677E-2</v>
      </c>
      <c r="H153" s="659" t="str">
        <f t="shared" si="8"/>
        <v>Meridian $22138</v>
      </c>
      <c r="I153" s="302"/>
    </row>
    <row r="154" spans="2:9">
      <c r="B154" s="784" t="s">
        <v>319</v>
      </c>
      <c r="C154" s="787" t="s">
        <v>1512</v>
      </c>
      <c r="D154" s="2">
        <v>0</v>
      </c>
      <c r="E154" s="2">
        <v>0</v>
      </c>
      <c r="F154" s="2">
        <f t="shared" si="6"/>
        <v>0</v>
      </c>
      <c r="G154" s="829" t="str">
        <f t="shared" si="7"/>
        <v/>
      </c>
      <c r="H154" s="659" t="str">
        <f t="shared" si="8"/>
        <v>Methow Valley $0</v>
      </c>
      <c r="I154" s="302"/>
    </row>
    <row r="155" spans="2:9">
      <c r="B155" s="784" t="s">
        <v>391</v>
      </c>
      <c r="C155" s="787" t="s">
        <v>1547</v>
      </c>
      <c r="D155" s="2">
        <v>0</v>
      </c>
      <c r="E155" s="2">
        <v>0</v>
      </c>
      <c r="F155" s="2">
        <f t="shared" si="6"/>
        <v>0</v>
      </c>
      <c r="G155" s="829" t="str">
        <f t="shared" si="7"/>
        <v/>
      </c>
      <c r="H155" s="659" t="str">
        <f t="shared" si="8"/>
        <v>Mill A $0</v>
      </c>
      <c r="I155" s="302"/>
    </row>
    <row r="156" spans="2:9">
      <c r="B156" s="784" t="s">
        <v>409</v>
      </c>
      <c r="C156" s="787" t="s">
        <v>1555</v>
      </c>
      <c r="D156" s="2">
        <v>78835</v>
      </c>
      <c r="E156" s="2">
        <v>83367</v>
      </c>
      <c r="F156" s="2">
        <f t="shared" si="6"/>
        <v>-4532</v>
      </c>
      <c r="G156" s="829">
        <f t="shared" si="7"/>
        <v>-5.7487156719731085E-2</v>
      </c>
      <c r="H156" s="659" t="str">
        <f t="shared" si="8"/>
        <v>Monroe $78835</v>
      </c>
      <c r="I156" s="302"/>
    </row>
    <row r="157" spans="2:9">
      <c r="B157" s="784" t="s">
        <v>139</v>
      </c>
      <c r="C157" s="787" t="s">
        <v>1432</v>
      </c>
      <c r="D157" s="2">
        <v>0</v>
      </c>
      <c r="E157" s="2">
        <v>0</v>
      </c>
      <c r="F157" s="2">
        <f t="shared" si="6"/>
        <v>0</v>
      </c>
      <c r="G157" s="829" t="str">
        <f t="shared" si="7"/>
        <v/>
      </c>
      <c r="H157" s="659" t="str">
        <f t="shared" si="8"/>
        <v>Montesano $0</v>
      </c>
      <c r="I157" s="302"/>
    </row>
    <row r="158" spans="2:9">
      <c r="B158" s="785" t="s">
        <v>260</v>
      </c>
      <c r="C158" s="787" t="s">
        <v>1484</v>
      </c>
      <c r="D158" s="2">
        <v>0</v>
      </c>
      <c r="E158" s="2">
        <v>0</v>
      </c>
      <c r="F158" s="2">
        <f t="shared" si="6"/>
        <v>0</v>
      </c>
      <c r="G158" s="829" t="str">
        <f t="shared" si="7"/>
        <v/>
      </c>
      <c r="H158" s="659" t="str">
        <f t="shared" si="8"/>
        <v>Morton $0</v>
      </c>
      <c r="I158" s="302"/>
    </row>
    <row r="159" spans="2:9">
      <c r="B159" s="784" t="s">
        <v>125</v>
      </c>
      <c r="C159" s="787" t="s">
        <v>1426</v>
      </c>
      <c r="D159" s="2">
        <v>170640</v>
      </c>
      <c r="E159" s="2">
        <v>171283</v>
      </c>
      <c r="F159" s="2">
        <f t="shared" si="6"/>
        <v>-643</v>
      </c>
      <c r="G159" s="829">
        <f t="shared" si="7"/>
        <v>-3.7681669010782935E-3</v>
      </c>
      <c r="H159" s="659" t="str">
        <f t="shared" si="8"/>
        <v>Moses Lake $170640</v>
      </c>
      <c r="I159" s="302"/>
    </row>
    <row r="160" spans="2:9">
      <c r="B160" s="784" t="s">
        <v>258</v>
      </c>
      <c r="C160" s="787" t="s">
        <v>1356</v>
      </c>
      <c r="D160" s="2">
        <v>0</v>
      </c>
      <c r="E160" s="2">
        <v>0</v>
      </c>
      <c r="F160" s="2">
        <f t="shared" si="6"/>
        <v>0</v>
      </c>
      <c r="G160" s="829" t="str">
        <f t="shared" si="7"/>
        <v/>
      </c>
      <c r="H160" s="659" t="str">
        <f t="shared" si="8"/>
        <v>Mossyrock $0</v>
      </c>
      <c r="I160" s="302"/>
    </row>
    <row r="161" spans="2:9">
      <c r="B161" s="784" t="s">
        <v>571</v>
      </c>
      <c r="C161" s="787" t="s">
        <v>1632</v>
      </c>
      <c r="D161" s="2">
        <v>55405</v>
      </c>
      <c r="E161" s="2">
        <v>69721</v>
      </c>
      <c r="F161" s="2">
        <f t="shared" si="6"/>
        <v>-14316</v>
      </c>
      <c r="G161" s="829">
        <f t="shared" si="7"/>
        <v>-0.25838823210901546</v>
      </c>
      <c r="H161" s="659" t="str">
        <f t="shared" si="8"/>
        <v>Mount Adams $55405</v>
      </c>
      <c r="I161" s="302"/>
    </row>
    <row r="162" spans="2:9">
      <c r="B162" s="784" t="s">
        <v>516</v>
      </c>
      <c r="C162" s="787" t="s">
        <v>1606</v>
      </c>
      <c r="D162" s="2">
        <v>19535</v>
      </c>
      <c r="E162" s="2">
        <v>19313</v>
      </c>
      <c r="F162" s="2">
        <f t="shared" si="6"/>
        <v>222</v>
      </c>
      <c r="G162" s="829">
        <f t="shared" si="7"/>
        <v>1.1364218070130536E-2</v>
      </c>
      <c r="H162" s="659" t="str">
        <f t="shared" si="8"/>
        <v>Mount Baker $19535</v>
      </c>
      <c r="I162" s="302"/>
    </row>
    <row r="163" spans="2:9">
      <c r="B163" s="784" t="s">
        <v>389</v>
      </c>
      <c r="C163" s="787" t="s">
        <v>1546</v>
      </c>
      <c r="D163" s="2">
        <v>0</v>
      </c>
      <c r="E163" s="2">
        <v>0</v>
      </c>
      <c r="F163" s="2">
        <f t="shared" si="6"/>
        <v>0</v>
      </c>
      <c r="G163" s="829" t="str">
        <f t="shared" si="7"/>
        <v/>
      </c>
      <c r="H163" s="659" t="str">
        <f t="shared" si="8"/>
        <v>Mount Pleasant $0</v>
      </c>
      <c r="I163" s="302"/>
    </row>
    <row r="164" spans="2:9">
      <c r="B164" t="s">
        <v>386</v>
      </c>
      <c r="C164" s="55" t="s">
        <v>1544</v>
      </c>
      <c r="D164" s="2">
        <v>203271</v>
      </c>
      <c r="E164" s="2">
        <v>198675</v>
      </c>
      <c r="F164" s="2">
        <f t="shared" si="6"/>
        <v>4596</v>
      </c>
      <c r="G164" s="829">
        <f t="shared" si="7"/>
        <v>2.261021001520138E-2</v>
      </c>
      <c r="H164" s="659" t="str">
        <f t="shared" si="8"/>
        <v>Mt Vernon $203271</v>
      </c>
    </row>
    <row r="165" spans="2:9">
      <c r="B165" s="784" t="s">
        <v>399</v>
      </c>
      <c r="C165" s="787" t="s">
        <v>1550</v>
      </c>
      <c r="D165" s="2">
        <v>397995</v>
      </c>
      <c r="E165" s="2">
        <v>413207</v>
      </c>
      <c r="F165" s="2">
        <f t="shared" si="6"/>
        <v>-15212</v>
      </c>
      <c r="G165" s="829">
        <f t="shared" si="7"/>
        <v>-3.8221585698312792E-2</v>
      </c>
      <c r="H165" s="659" t="str">
        <f t="shared" si="8"/>
        <v>Mukilteo $397995</v>
      </c>
      <c r="I165" s="302"/>
    </row>
    <row r="166" spans="2:9">
      <c r="B166" s="784" t="s">
        <v>545</v>
      </c>
      <c r="C166" s="787" t="s">
        <v>1621</v>
      </c>
      <c r="D166" s="2">
        <v>10245</v>
      </c>
      <c r="E166" s="2">
        <v>0</v>
      </c>
      <c r="F166" s="2">
        <f t="shared" si="6"/>
        <v>10245</v>
      </c>
      <c r="G166" s="829">
        <f t="shared" si="7"/>
        <v>1</v>
      </c>
      <c r="H166" s="659" t="str">
        <f t="shared" si="8"/>
        <v>Naches Valley $10245</v>
      </c>
      <c r="I166" s="302"/>
    </row>
    <row r="167" spans="2:9">
      <c r="B167" s="784" t="s">
        <v>252</v>
      </c>
      <c r="C167" s="787" t="s">
        <v>1482</v>
      </c>
      <c r="D167" s="2">
        <v>0</v>
      </c>
      <c r="E167" s="2">
        <v>0</v>
      </c>
      <c r="F167" s="2">
        <f t="shared" si="6"/>
        <v>0</v>
      </c>
      <c r="G167" s="829" t="str">
        <f t="shared" si="7"/>
        <v/>
      </c>
      <c r="H167" s="659" t="str">
        <f t="shared" si="8"/>
        <v>Napavine $0</v>
      </c>
      <c r="I167" s="302"/>
    </row>
    <row r="168" spans="2:9">
      <c r="B168" s="784" t="s">
        <v>331</v>
      </c>
      <c r="C168" s="787" t="s">
        <v>1516</v>
      </c>
      <c r="D168" s="2">
        <v>0</v>
      </c>
      <c r="E168" s="2">
        <v>0</v>
      </c>
      <c r="F168" s="2">
        <f t="shared" si="6"/>
        <v>0</v>
      </c>
      <c r="G168" s="829" t="str">
        <f t="shared" si="7"/>
        <v/>
      </c>
      <c r="H168" s="659" t="str">
        <f t="shared" si="8"/>
        <v>Naselle Grays Riv $0</v>
      </c>
      <c r="I168" s="302"/>
    </row>
    <row r="169" spans="2:9">
      <c r="B169" s="784" t="s">
        <v>309</v>
      </c>
      <c r="C169" s="787" t="s">
        <v>1309</v>
      </c>
      <c r="D169" s="2">
        <v>12387</v>
      </c>
      <c r="E169" s="2">
        <v>17399</v>
      </c>
      <c r="F169" s="2">
        <f t="shared" si="6"/>
        <v>-5012</v>
      </c>
      <c r="G169" s="829">
        <f t="shared" si="7"/>
        <v>-0.40461774440946152</v>
      </c>
      <c r="H169" s="659" t="str">
        <f t="shared" si="8"/>
        <v>Nespelem $12387</v>
      </c>
      <c r="I169" s="302"/>
    </row>
    <row r="170" spans="2:9">
      <c r="B170" s="784" t="s">
        <v>336</v>
      </c>
      <c r="C170" s="787" t="s">
        <v>1519</v>
      </c>
      <c r="D170" s="2">
        <v>0</v>
      </c>
      <c r="E170" s="2">
        <v>0</v>
      </c>
      <c r="F170" s="2">
        <f t="shared" si="6"/>
        <v>0</v>
      </c>
      <c r="G170" s="829" t="str">
        <f t="shared" si="7"/>
        <v/>
      </c>
      <c r="H170" s="659" t="str">
        <f t="shared" si="8"/>
        <v>Newport $0</v>
      </c>
      <c r="I170" s="302"/>
    </row>
    <row r="171" spans="2:9">
      <c r="B171" s="784" t="s">
        <v>428</v>
      </c>
      <c r="C171" s="787" t="s">
        <v>1565</v>
      </c>
      <c r="D171" s="2">
        <v>0</v>
      </c>
      <c r="E171" s="2">
        <v>0</v>
      </c>
      <c r="F171" s="2">
        <f t="shared" si="6"/>
        <v>0</v>
      </c>
      <c r="G171" s="829" t="str">
        <f t="shared" si="7"/>
        <v/>
      </c>
      <c r="H171" s="659" t="str">
        <f t="shared" si="8"/>
        <v>Nine Mile Falls $0</v>
      </c>
      <c r="I171" s="302"/>
    </row>
    <row r="172" spans="2:9">
      <c r="B172" s="784" t="s">
        <v>514</v>
      </c>
      <c r="C172" s="787" t="s">
        <v>685</v>
      </c>
      <c r="D172" s="2">
        <v>32738</v>
      </c>
      <c r="E172" s="2">
        <v>33308</v>
      </c>
      <c r="F172" s="2">
        <f t="shared" si="6"/>
        <v>-570</v>
      </c>
      <c r="G172" s="829">
        <f t="shared" si="7"/>
        <v>-1.7410959740973793E-2</v>
      </c>
      <c r="H172" s="659" t="str">
        <f t="shared" si="8"/>
        <v>Nooksack Valley $32738</v>
      </c>
      <c r="I172" s="302"/>
    </row>
    <row r="173" spans="2:9">
      <c r="B173" s="784" t="s">
        <v>136</v>
      </c>
      <c r="C173" s="787" t="s">
        <v>1430</v>
      </c>
      <c r="D173" s="2">
        <v>0</v>
      </c>
      <c r="E173" s="2">
        <v>0</v>
      </c>
      <c r="F173" s="2">
        <f t="shared" si="6"/>
        <v>0</v>
      </c>
      <c r="G173" s="829" t="str">
        <f t="shared" si="7"/>
        <v/>
      </c>
      <c r="H173" s="659" t="str">
        <f t="shared" si="8"/>
        <v>North Beach $0</v>
      </c>
      <c r="I173" s="302"/>
    </row>
    <row r="174" spans="2:9">
      <c r="B174" s="784" t="s">
        <v>106</v>
      </c>
      <c r="C174" s="787" t="s">
        <v>1417</v>
      </c>
      <c r="D174" s="2">
        <v>94495</v>
      </c>
      <c r="E174" s="2">
        <v>88586</v>
      </c>
      <c r="F174" s="2">
        <f t="shared" si="6"/>
        <v>5909</v>
      </c>
      <c r="G174" s="829">
        <f t="shared" si="7"/>
        <v>6.2532409122175781E-2</v>
      </c>
      <c r="H174" s="659" t="str">
        <f t="shared" si="8"/>
        <v>North Franklin $94495</v>
      </c>
      <c r="I174" s="302"/>
    </row>
    <row r="175" spans="2:9">
      <c r="B175" s="784" t="s">
        <v>214</v>
      </c>
      <c r="C175" s="787" t="s">
        <v>625</v>
      </c>
      <c r="D175" s="2">
        <v>27730</v>
      </c>
      <c r="E175" s="2">
        <v>29678</v>
      </c>
      <c r="F175" s="2">
        <f t="shared" si="6"/>
        <v>-1948</v>
      </c>
      <c r="G175" s="829">
        <f t="shared" si="7"/>
        <v>-7.0248827984132706E-2</v>
      </c>
      <c r="H175" s="659" t="str">
        <f t="shared" si="8"/>
        <v>North Kitsap $27730</v>
      </c>
      <c r="I175" s="302"/>
    </row>
    <row r="176" spans="2:9">
      <c r="B176" s="784" t="s">
        <v>305</v>
      </c>
      <c r="C176" s="787" t="s">
        <v>1506</v>
      </c>
      <c r="D176" s="2">
        <v>33641</v>
      </c>
      <c r="E176" s="2">
        <v>28411</v>
      </c>
      <c r="F176" s="2">
        <f t="shared" si="6"/>
        <v>5230</v>
      </c>
      <c r="G176" s="829">
        <f t="shared" si="7"/>
        <v>0.15546505751909873</v>
      </c>
      <c r="H176" s="659" t="str">
        <f t="shared" si="8"/>
        <v>North Mason $33641</v>
      </c>
      <c r="I176" s="302"/>
    </row>
    <row r="177" spans="2:9">
      <c r="B177" s="784" t="s">
        <v>334</v>
      </c>
      <c r="C177" s="787" t="s">
        <v>1518</v>
      </c>
      <c r="D177" s="2">
        <v>0</v>
      </c>
      <c r="E177" s="2">
        <v>0</v>
      </c>
      <c r="F177" s="2">
        <f t="shared" si="6"/>
        <v>0</v>
      </c>
      <c r="G177" s="829" t="str">
        <f t="shared" si="7"/>
        <v/>
      </c>
      <c r="H177" s="659" t="str">
        <f t="shared" si="8"/>
        <v>North River $0</v>
      </c>
      <c r="I177" s="302"/>
    </row>
    <row r="178" spans="2:9">
      <c r="B178" s="784" t="s">
        <v>474</v>
      </c>
      <c r="C178" s="787" t="s">
        <v>631</v>
      </c>
      <c r="D178" s="2">
        <v>100759</v>
      </c>
      <c r="E178" s="2">
        <v>98653</v>
      </c>
      <c r="F178" s="2">
        <f t="shared" si="6"/>
        <v>2106</v>
      </c>
      <c r="G178" s="829">
        <f t="shared" si="7"/>
        <v>2.0901358687561409E-2</v>
      </c>
      <c r="H178" s="659" t="str">
        <f t="shared" si="8"/>
        <v>North Thurston $100759</v>
      </c>
      <c r="I178" s="302"/>
    </row>
    <row r="179" spans="2:9">
      <c r="B179" s="784" t="s">
        <v>468</v>
      </c>
      <c r="C179" s="787" t="s">
        <v>1586</v>
      </c>
      <c r="D179" s="2">
        <v>0</v>
      </c>
      <c r="E179" s="2">
        <v>0</v>
      </c>
      <c r="F179" s="2">
        <f t="shared" si="6"/>
        <v>0</v>
      </c>
      <c r="G179" s="829" t="str">
        <f t="shared" si="7"/>
        <v/>
      </c>
      <c r="H179" s="659" t="str">
        <f t="shared" si="8"/>
        <v>Northport $0</v>
      </c>
      <c r="I179" s="302"/>
    </row>
    <row r="180" spans="2:9">
      <c r="B180" s="786" t="s">
        <v>209</v>
      </c>
      <c r="C180" s="787" t="s">
        <v>637</v>
      </c>
      <c r="D180" s="2">
        <v>237405</v>
      </c>
      <c r="E180" s="2">
        <v>262703</v>
      </c>
      <c r="F180" s="2">
        <f t="shared" si="6"/>
        <v>-25298</v>
      </c>
      <c r="G180" s="829">
        <f t="shared" si="7"/>
        <v>-0.10656051894441987</v>
      </c>
      <c r="H180" s="659" t="str">
        <f t="shared" si="8"/>
        <v>Northshore $237405</v>
      </c>
      <c r="I180" s="302"/>
    </row>
    <row r="181" spans="2:9">
      <c r="B181" s="784" t="s">
        <v>157</v>
      </c>
      <c r="C181" s="787" t="s">
        <v>1440</v>
      </c>
      <c r="D181" s="2">
        <v>35409</v>
      </c>
      <c r="E181" s="2">
        <v>29703</v>
      </c>
      <c r="F181" s="2">
        <f t="shared" si="6"/>
        <v>5706</v>
      </c>
      <c r="G181" s="829">
        <f t="shared" si="7"/>
        <v>0.16114547149029906</v>
      </c>
      <c r="H181" s="659" t="str">
        <f t="shared" si="8"/>
        <v>Oak Harbor $35409</v>
      </c>
      <c r="I181" s="302"/>
    </row>
    <row r="182" spans="2:9">
      <c r="B182" s="784" t="s">
        <v>541</v>
      </c>
      <c r="C182" s="787" t="s">
        <v>1619</v>
      </c>
      <c r="D182" s="2">
        <v>0</v>
      </c>
      <c r="E182" s="2">
        <v>0</v>
      </c>
      <c r="F182" s="2">
        <f t="shared" si="6"/>
        <v>0</v>
      </c>
      <c r="G182" s="829" t="str">
        <f t="shared" si="7"/>
        <v/>
      </c>
      <c r="H182" s="659" t="str">
        <f t="shared" si="8"/>
        <v>Oakesdale $0</v>
      </c>
      <c r="I182" s="302"/>
    </row>
    <row r="183" spans="2:9">
      <c r="B183" s="784" t="s">
        <v>155</v>
      </c>
      <c r="C183" s="787" t="s">
        <v>1439</v>
      </c>
      <c r="D183" s="2">
        <v>0</v>
      </c>
      <c r="E183" s="2">
        <v>0</v>
      </c>
      <c r="F183" s="2">
        <f t="shared" si="6"/>
        <v>0</v>
      </c>
      <c r="G183" s="829" t="str">
        <f t="shared" si="7"/>
        <v/>
      </c>
      <c r="H183" s="659" t="str">
        <f t="shared" si="8"/>
        <v>Oakville $0</v>
      </c>
      <c r="I183" s="302"/>
    </row>
    <row r="184" spans="2:9">
      <c r="B184" s="784" t="s">
        <v>325</v>
      </c>
      <c r="C184" s="787" t="s">
        <v>712</v>
      </c>
      <c r="D184" s="2">
        <v>0</v>
      </c>
      <c r="E184" s="2">
        <v>0</v>
      </c>
      <c r="F184" s="2">
        <f t="shared" si="6"/>
        <v>0</v>
      </c>
      <c r="G184" s="829" t="str">
        <f t="shared" si="7"/>
        <v/>
      </c>
      <c r="H184" s="659" t="str">
        <f t="shared" si="8"/>
        <v>Ocean Beach $0</v>
      </c>
      <c r="I184" s="302"/>
    </row>
    <row r="185" spans="2:9">
      <c r="B185" t="s">
        <v>153</v>
      </c>
      <c r="C185" s="55" t="s">
        <v>1438</v>
      </c>
      <c r="D185" s="2">
        <v>0</v>
      </c>
      <c r="E185" s="2">
        <v>0</v>
      </c>
      <c r="F185" s="2">
        <f t="shared" si="6"/>
        <v>0</v>
      </c>
      <c r="G185" s="829" t="str">
        <f t="shared" si="7"/>
        <v/>
      </c>
      <c r="H185" s="659" t="str">
        <f t="shared" si="8"/>
        <v>Ocosta $0</v>
      </c>
    </row>
    <row r="186" spans="2:9">
      <c r="B186" s="784" t="s">
        <v>287</v>
      </c>
      <c r="C186" s="787" t="s">
        <v>1497</v>
      </c>
      <c r="D186" s="2">
        <v>0</v>
      </c>
      <c r="E186" s="2">
        <v>0</v>
      </c>
      <c r="F186" s="2">
        <f t="shared" si="6"/>
        <v>0</v>
      </c>
      <c r="G186" s="829" t="str">
        <f t="shared" si="7"/>
        <v/>
      </c>
      <c r="H186" s="659" t="str">
        <f t="shared" si="8"/>
        <v>Odessa $0</v>
      </c>
      <c r="I186" s="302"/>
    </row>
    <row r="187" spans="2:9">
      <c r="B187" s="784" t="s">
        <v>313</v>
      </c>
      <c r="C187" s="787" t="s">
        <v>1509</v>
      </c>
      <c r="D187" s="2">
        <v>14988</v>
      </c>
      <c r="E187" s="2">
        <v>15932</v>
      </c>
      <c r="F187" s="2">
        <f t="shared" si="6"/>
        <v>-944</v>
      </c>
      <c r="G187" s="829">
        <f t="shared" si="7"/>
        <v>-6.2983720309580993E-2</v>
      </c>
      <c r="H187" s="659" t="str">
        <f t="shared" si="8"/>
        <v>Okanogan $14988</v>
      </c>
      <c r="I187" s="302"/>
    </row>
    <row r="188" spans="2:9">
      <c r="B188" s="784" t="s">
        <v>478</v>
      </c>
      <c r="C188" s="787" t="s">
        <v>1590</v>
      </c>
      <c r="D188" s="2">
        <v>38523</v>
      </c>
      <c r="E188" s="2">
        <v>37109</v>
      </c>
      <c r="F188" s="2">
        <f t="shared" si="6"/>
        <v>1414</v>
      </c>
      <c r="G188" s="829">
        <f t="shared" si="7"/>
        <v>3.6705344858915454E-2</v>
      </c>
      <c r="H188" s="659" t="str">
        <f t="shared" si="8"/>
        <v>Olympia $38523</v>
      </c>
      <c r="I188" s="302"/>
    </row>
    <row r="189" spans="2:9">
      <c r="B189" s="784" t="s">
        <v>311</v>
      </c>
      <c r="C189" s="787" t="s">
        <v>1508</v>
      </c>
      <c r="D189" s="2">
        <v>26207</v>
      </c>
      <c r="E189" s="2">
        <v>24359</v>
      </c>
      <c r="F189" s="2">
        <f t="shared" si="6"/>
        <v>1848</v>
      </c>
      <c r="G189" s="829">
        <f t="shared" si="7"/>
        <v>7.0515511122982405E-2</v>
      </c>
      <c r="H189" s="659" t="str">
        <f t="shared" si="8"/>
        <v>Omak $26207</v>
      </c>
      <c r="I189" s="302"/>
    </row>
    <row r="190" spans="2:9">
      <c r="B190" s="784" t="s">
        <v>270</v>
      </c>
      <c r="C190" s="787" t="s">
        <v>1489</v>
      </c>
      <c r="D190" s="2">
        <v>0</v>
      </c>
      <c r="E190" s="2">
        <v>0</v>
      </c>
      <c r="F190" s="2">
        <f t="shared" si="6"/>
        <v>0</v>
      </c>
      <c r="G190" s="829" t="str">
        <f t="shared" si="7"/>
        <v/>
      </c>
      <c r="H190" s="659" t="str">
        <f t="shared" si="8"/>
        <v>Onalaska $0</v>
      </c>
      <c r="I190" s="302"/>
    </row>
    <row r="191" spans="2:9">
      <c r="B191" s="784" t="s">
        <v>448</v>
      </c>
      <c r="C191" s="787" t="s">
        <v>1576</v>
      </c>
      <c r="D191" s="2">
        <v>0</v>
      </c>
      <c r="E191" s="2">
        <v>0</v>
      </c>
      <c r="F191" s="2">
        <f t="shared" si="6"/>
        <v>0</v>
      </c>
      <c r="G191" s="829" t="str">
        <f t="shared" si="7"/>
        <v/>
      </c>
      <c r="H191" s="659" t="str">
        <f t="shared" si="8"/>
        <v>Onion Creek $0</v>
      </c>
      <c r="I191" s="302"/>
    </row>
    <row r="192" spans="2:9">
      <c r="B192" s="784" t="s">
        <v>372</v>
      </c>
      <c r="C192" s="787" t="s">
        <v>1538</v>
      </c>
      <c r="D192" s="2">
        <v>0</v>
      </c>
      <c r="E192" s="2">
        <v>0</v>
      </c>
      <c r="F192" s="2">
        <f t="shared" si="6"/>
        <v>0</v>
      </c>
      <c r="G192" s="829" t="str">
        <f t="shared" si="7"/>
        <v/>
      </c>
      <c r="H192" s="659" t="str">
        <f t="shared" si="8"/>
        <v>Orcas $0</v>
      </c>
      <c r="I192" s="302"/>
    </row>
    <row r="193" spans="2:9">
      <c r="B193" s="784" t="s">
        <v>424</v>
      </c>
      <c r="C193" s="787" t="s">
        <v>1563</v>
      </c>
      <c r="D193" s="2">
        <v>0</v>
      </c>
      <c r="E193" s="2">
        <v>0</v>
      </c>
      <c r="F193" s="2">
        <f t="shared" si="6"/>
        <v>0</v>
      </c>
      <c r="G193" s="829" t="str">
        <f t="shared" si="7"/>
        <v/>
      </c>
      <c r="H193" s="659" t="str">
        <f t="shared" si="8"/>
        <v>Orchard Prairie $0</v>
      </c>
      <c r="I193" s="302"/>
    </row>
    <row r="194" spans="2:9">
      <c r="B194" s="784" t="s">
        <v>98</v>
      </c>
      <c r="C194" s="787" t="s">
        <v>1413</v>
      </c>
      <c r="D194" s="2">
        <v>0</v>
      </c>
      <c r="E194" s="2">
        <v>0</v>
      </c>
      <c r="F194" s="2">
        <f t="shared" si="6"/>
        <v>0</v>
      </c>
      <c r="G194" s="829" t="str">
        <f t="shared" si="7"/>
        <v/>
      </c>
      <c r="H194" s="659" t="str">
        <f t="shared" si="8"/>
        <v>Orient $0</v>
      </c>
      <c r="I194" s="302"/>
    </row>
    <row r="195" spans="2:9">
      <c r="B195" s="784" t="s">
        <v>82</v>
      </c>
      <c r="C195" s="787" t="s">
        <v>1405</v>
      </c>
      <c r="D195" s="2">
        <v>0</v>
      </c>
      <c r="E195" s="2">
        <v>11981</v>
      </c>
      <c r="F195" s="2">
        <f t="shared" si="6"/>
        <v>-11981</v>
      </c>
      <c r="G195" s="829" t="str">
        <f t="shared" si="7"/>
        <v/>
      </c>
      <c r="H195" s="659" t="str">
        <f t="shared" si="8"/>
        <v>Orondo $0</v>
      </c>
      <c r="I195" s="302"/>
    </row>
    <row r="196" spans="2:9">
      <c r="B196" s="784" t="s">
        <v>323</v>
      </c>
      <c r="C196" s="787" t="s">
        <v>1513</v>
      </c>
      <c r="D196" s="2">
        <v>0</v>
      </c>
      <c r="E196" s="2">
        <v>0</v>
      </c>
      <c r="F196" s="2">
        <f t="shared" si="6"/>
        <v>0</v>
      </c>
      <c r="G196" s="829" t="str">
        <f t="shared" si="7"/>
        <v/>
      </c>
      <c r="H196" s="659" t="str">
        <f t="shared" si="8"/>
        <v>Oroville $0</v>
      </c>
      <c r="I196" s="302"/>
    </row>
    <row r="197" spans="2:9">
      <c r="B197" s="784" t="s">
        <v>355</v>
      </c>
      <c r="C197" s="787" t="s">
        <v>1529</v>
      </c>
      <c r="D197" s="2">
        <v>0</v>
      </c>
      <c r="E197" s="2">
        <v>0</v>
      </c>
      <c r="F197" s="2">
        <f t="shared" si="6"/>
        <v>0</v>
      </c>
      <c r="G197" s="829" t="str">
        <f t="shared" si="7"/>
        <v/>
      </c>
      <c r="H197" s="659" t="str">
        <f t="shared" si="8"/>
        <v>Orting $0</v>
      </c>
      <c r="I197" s="302"/>
    </row>
    <row r="198" spans="2:9">
      <c r="B198" s="784" t="s">
        <v>4</v>
      </c>
      <c r="C198" s="787" t="s">
        <v>632</v>
      </c>
      <c r="D198" s="2">
        <v>159722</v>
      </c>
      <c r="E198" s="2">
        <v>224351</v>
      </c>
      <c r="F198" s="2">
        <f t="shared" si="6"/>
        <v>-64629</v>
      </c>
      <c r="G198" s="829">
        <f t="shared" si="7"/>
        <v>-0.40463430209989859</v>
      </c>
      <c r="H198" s="659" t="str">
        <f t="shared" si="8"/>
        <v>Othello $159722</v>
      </c>
      <c r="I198" s="302"/>
    </row>
    <row r="199" spans="2:9">
      <c r="B199" s="784" t="s">
        <v>86</v>
      </c>
      <c r="C199" s="787" t="s">
        <v>1407</v>
      </c>
      <c r="D199" s="2">
        <v>0</v>
      </c>
      <c r="E199" s="2">
        <v>0</v>
      </c>
      <c r="F199" s="2">
        <f t="shared" si="6"/>
        <v>0</v>
      </c>
      <c r="G199" s="829" t="str">
        <f t="shared" si="7"/>
        <v/>
      </c>
      <c r="H199" s="659" t="str">
        <f t="shared" si="8"/>
        <v>Palisades $0</v>
      </c>
      <c r="I199" s="302"/>
    </row>
    <row r="200" spans="2:9">
      <c r="B200" s="784" t="s">
        <v>527</v>
      </c>
      <c r="C200" s="787" t="s">
        <v>1612</v>
      </c>
      <c r="D200" s="2">
        <v>0</v>
      </c>
      <c r="E200" s="2">
        <v>0</v>
      </c>
      <c r="F200" s="2">
        <f t="shared" ref="F200:F263" si="9">D200-E200</f>
        <v>0</v>
      </c>
      <c r="G200" s="829" t="str">
        <f t="shared" ref="G200:G263" si="10">IFERROR(F200/D200,"")</f>
        <v/>
      </c>
      <c r="H200" s="659" t="str">
        <f t="shared" ref="H200:H225" si="11">C200&amp;" $"&amp;D200&amp;""</f>
        <v>Palouse $0</v>
      </c>
      <c r="I200" s="302"/>
    </row>
    <row r="201" spans="2:9">
      <c r="B201" s="784" t="s">
        <v>104</v>
      </c>
      <c r="C201" s="787" t="s">
        <v>1416</v>
      </c>
      <c r="D201" s="2">
        <v>793672</v>
      </c>
      <c r="E201" s="2">
        <v>740262</v>
      </c>
      <c r="F201" s="2">
        <f t="shared" si="9"/>
        <v>53410</v>
      </c>
      <c r="G201" s="829">
        <f t="shared" si="10"/>
        <v>6.729480188289369E-2</v>
      </c>
      <c r="H201" s="659" t="str">
        <f t="shared" si="11"/>
        <v>Pasco $793672</v>
      </c>
      <c r="I201" s="302"/>
    </row>
    <row r="202" spans="2:9">
      <c r="B202" s="784" t="s">
        <v>317</v>
      </c>
      <c r="C202" s="787" t="s">
        <v>1511</v>
      </c>
      <c r="D202" s="2">
        <v>0</v>
      </c>
      <c r="E202" s="2">
        <v>0</v>
      </c>
      <c r="F202" s="2">
        <f t="shared" si="9"/>
        <v>0</v>
      </c>
      <c r="G202" s="829" t="str">
        <f t="shared" si="10"/>
        <v/>
      </c>
      <c r="H202" s="659" t="str">
        <f t="shared" si="11"/>
        <v>Pateros $0</v>
      </c>
      <c r="I202" s="302"/>
    </row>
    <row r="203" spans="2:9">
      <c r="B203" s="784" t="s">
        <v>16</v>
      </c>
      <c r="C203" s="787" t="s">
        <v>1375</v>
      </c>
      <c r="D203" s="2">
        <v>0</v>
      </c>
      <c r="E203" s="2">
        <v>0</v>
      </c>
      <c r="F203" s="2">
        <f t="shared" si="9"/>
        <v>0</v>
      </c>
      <c r="G203" s="829" t="str">
        <f t="shared" si="10"/>
        <v/>
      </c>
      <c r="H203" s="659" t="str">
        <f t="shared" si="11"/>
        <v>Paterson $0</v>
      </c>
      <c r="I203" s="302"/>
    </row>
    <row r="204" spans="2:9">
      <c r="B204" s="784" t="s">
        <v>272</v>
      </c>
      <c r="C204" s="787" t="s">
        <v>1490</v>
      </c>
      <c r="D204" s="2">
        <v>0</v>
      </c>
      <c r="E204" s="2">
        <v>0</v>
      </c>
      <c r="F204" s="2">
        <f t="shared" si="9"/>
        <v>0</v>
      </c>
      <c r="G204" s="829" t="str">
        <f t="shared" si="10"/>
        <v/>
      </c>
      <c r="H204" s="659" t="str">
        <f t="shared" si="11"/>
        <v>Pe Ell $0</v>
      </c>
      <c r="I204" s="302"/>
    </row>
    <row r="205" spans="2:9">
      <c r="B205" s="784" t="s">
        <v>359</v>
      </c>
      <c r="C205" s="787" t="s">
        <v>626</v>
      </c>
      <c r="D205" s="2">
        <v>22456</v>
      </c>
      <c r="E205" s="2">
        <v>20829</v>
      </c>
      <c r="F205" s="2">
        <f t="shared" si="9"/>
        <v>1627</v>
      </c>
      <c r="G205" s="829">
        <f t="shared" si="10"/>
        <v>7.2452796579978621E-2</v>
      </c>
      <c r="H205" s="659" t="str">
        <f t="shared" si="11"/>
        <v>Peninsula $22456</v>
      </c>
      <c r="I205" s="302"/>
    </row>
    <row r="206" spans="2:9">
      <c r="B206" s="784" t="s">
        <v>303</v>
      </c>
      <c r="C206" s="787" t="s">
        <v>1505</v>
      </c>
      <c r="D206" s="2">
        <v>0</v>
      </c>
      <c r="E206" s="2">
        <v>0</v>
      </c>
      <c r="F206" s="2">
        <f t="shared" si="9"/>
        <v>0</v>
      </c>
      <c r="G206" s="829" t="str">
        <f t="shared" si="10"/>
        <v/>
      </c>
      <c r="H206" s="659" t="str">
        <f t="shared" si="11"/>
        <v>Pioneer $0</v>
      </c>
      <c r="I206" s="302"/>
    </row>
    <row r="207" spans="2:9">
      <c r="B207" s="784" t="s">
        <v>112</v>
      </c>
      <c r="C207" s="787" t="s">
        <v>1420</v>
      </c>
      <c r="D207" s="2">
        <v>0</v>
      </c>
      <c r="E207" s="2">
        <v>0</v>
      </c>
      <c r="F207" s="2">
        <f t="shared" si="9"/>
        <v>0</v>
      </c>
      <c r="G207" s="829" t="str">
        <f t="shared" si="10"/>
        <v/>
      </c>
      <c r="H207" s="659" t="str">
        <f t="shared" si="11"/>
        <v>Pomeroy $0</v>
      </c>
      <c r="I207" s="302"/>
    </row>
    <row r="208" spans="2:9">
      <c r="B208" s="784" t="s">
        <v>39</v>
      </c>
      <c r="C208" s="787" t="s">
        <v>1385</v>
      </c>
      <c r="D208" s="2">
        <v>0</v>
      </c>
      <c r="E208" s="2">
        <v>0</v>
      </c>
      <c r="F208" s="2">
        <f t="shared" si="9"/>
        <v>0</v>
      </c>
      <c r="G208" s="829" t="str">
        <f t="shared" si="10"/>
        <v/>
      </c>
      <c r="H208" s="659" t="str">
        <f t="shared" si="11"/>
        <v>Port Angeles $0</v>
      </c>
      <c r="I208" s="302"/>
    </row>
    <row r="209" spans="2:9">
      <c r="B209" s="784" t="s">
        <v>171</v>
      </c>
      <c r="C209" s="787" t="s">
        <v>1447</v>
      </c>
      <c r="D209" s="2">
        <v>0</v>
      </c>
      <c r="E209" s="2">
        <v>0</v>
      </c>
      <c r="F209" s="2">
        <f t="shared" si="9"/>
        <v>0</v>
      </c>
      <c r="G209" s="829" t="str">
        <f t="shared" si="10"/>
        <v/>
      </c>
      <c r="H209" s="659" t="str">
        <f t="shared" si="11"/>
        <v>Port Townsend $0</v>
      </c>
      <c r="I209" s="302"/>
    </row>
    <row r="210" spans="2:9">
      <c r="B210" s="784" t="s">
        <v>502</v>
      </c>
      <c r="C210" s="787" t="s">
        <v>1601</v>
      </c>
      <c r="D210" s="2">
        <v>12618</v>
      </c>
      <c r="E210" s="2">
        <v>12776</v>
      </c>
      <c r="F210" s="2">
        <f t="shared" si="9"/>
        <v>-158</v>
      </c>
      <c r="G210" s="829">
        <f t="shared" si="10"/>
        <v>-1.252179426216516E-2</v>
      </c>
      <c r="H210" s="659" t="str">
        <f t="shared" si="11"/>
        <v>Prescott $12618</v>
      </c>
      <c r="I210" s="302"/>
    </row>
    <row r="211" spans="2:9">
      <c r="B211" s="784" t="s">
        <v>1690</v>
      </c>
      <c r="C211" s="787" t="s">
        <v>1695</v>
      </c>
      <c r="D211" s="2">
        <v>0</v>
      </c>
      <c r="E211" s="2">
        <v>0</v>
      </c>
      <c r="F211" s="2">
        <f t="shared" si="9"/>
        <v>0</v>
      </c>
      <c r="G211" s="829" t="str">
        <f t="shared" si="10"/>
        <v/>
      </c>
      <c r="H211" s="659" t="str">
        <f t="shared" si="11"/>
        <v>Pride Prep $0</v>
      </c>
      <c r="I211" s="302"/>
    </row>
    <row r="212" spans="2:9">
      <c r="B212" s="785" t="s">
        <v>21</v>
      </c>
      <c r="C212" s="787" t="s">
        <v>1378</v>
      </c>
      <c r="D212" s="2">
        <v>70960</v>
      </c>
      <c r="E212" s="2">
        <v>66540</v>
      </c>
      <c r="F212" s="2">
        <f t="shared" si="9"/>
        <v>4420</v>
      </c>
      <c r="G212" s="829">
        <f t="shared" si="10"/>
        <v>6.2288613303269451E-2</v>
      </c>
      <c r="H212" s="659" t="str">
        <f t="shared" si="11"/>
        <v>Prosser $70960</v>
      </c>
      <c r="I212" s="302"/>
    </row>
    <row r="213" spans="2:9">
      <c r="B213" s="784" t="s">
        <v>523</v>
      </c>
      <c r="C213" s="787" t="s">
        <v>1610</v>
      </c>
      <c r="D213" s="2">
        <v>22738</v>
      </c>
      <c r="E213" s="2">
        <v>26348</v>
      </c>
      <c r="F213" s="2">
        <f t="shared" si="9"/>
        <v>-3610</v>
      </c>
      <c r="G213" s="829">
        <f t="shared" si="10"/>
        <v>-0.15876506289031578</v>
      </c>
      <c r="H213" s="659" t="str">
        <f t="shared" si="11"/>
        <v>Pullman $22738</v>
      </c>
      <c r="I213" s="302"/>
    </row>
    <row r="214" spans="2:9">
      <c r="B214" s="784" t="s">
        <v>343</v>
      </c>
      <c r="C214" s="787" t="s">
        <v>1523</v>
      </c>
      <c r="D214" s="2">
        <v>166623</v>
      </c>
      <c r="E214" s="2">
        <v>160495</v>
      </c>
      <c r="F214" s="2">
        <f t="shared" si="9"/>
        <v>6128</v>
      </c>
      <c r="G214" s="829">
        <f t="shared" si="10"/>
        <v>3.677763574056403E-2</v>
      </c>
      <c r="H214" s="659" t="str">
        <f t="shared" si="11"/>
        <v>Puyallup $166623</v>
      </c>
      <c r="I214" s="302"/>
    </row>
    <row r="215" spans="2:9">
      <c r="B215" s="784" t="s">
        <v>163</v>
      </c>
      <c r="C215" s="787" t="s">
        <v>1443</v>
      </c>
      <c r="D215" s="2">
        <v>0</v>
      </c>
      <c r="E215" s="2">
        <v>0</v>
      </c>
      <c r="F215" s="2">
        <f t="shared" si="9"/>
        <v>0</v>
      </c>
      <c r="G215" s="829" t="str">
        <f t="shared" si="10"/>
        <v/>
      </c>
      <c r="H215" s="659" t="str">
        <f t="shared" si="11"/>
        <v>Queets-Clearwater $0</v>
      </c>
      <c r="I215" s="302"/>
    </row>
    <row r="216" spans="2:9">
      <c r="B216" s="784" t="s">
        <v>167</v>
      </c>
      <c r="C216" s="787" t="s">
        <v>1445</v>
      </c>
      <c r="D216" s="2">
        <v>0</v>
      </c>
      <c r="E216" s="2">
        <v>0</v>
      </c>
      <c r="F216" s="2">
        <f t="shared" si="9"/>
        <v>0</v>
      </c>
      <c r="G216" s="829" t="str">
        <f t="shared" si="10"/>
        <v/>
      </c>
      <c r="H216" s="659" t="str">
        <f t="shared" si="11"/>
        <v>Quilcene $0</v>
      </c>
      <c r="I216" s="302"/>
    </row>
    <row r="217" spans="2:9">
      <c r="B217" s="784" t="s">
        <v>47</v>
      </c>
      <c r="C217" s="787" t="s">
        <v>1389</v>
      </c>
      <c r="D217" s="2">
        <v>22102</v>
      </c>
      <c r="E217" s="2">
        <v>13795</v>
      </c>
      <c r="F217" s="2">
        <f t="shared" si="9"/>
        <v>8307</v>
      </c>
      <c r="G217" s="829">
        <f t="shared" si="10"/>
        <v>0.37584833951678581</v>
      </c>
      <c r="H217" s="659" t="str">
        <f t="shared" si="11"/>
        <v>Quillayute Valley $22102</v>
      </c>
      <c r="I217" s="302"/>
    </row>
    <row r="218" spans="2:9">
      <c r="B218" s="784" t="s">
        <v>145</v>
      </c>
      <c r="C218" s="787" t="s">
        <v>607</v>
      </c>
      <c r="D218" s="2">
        <v>0</v>
      </c>
      <c r="E218" s="2">
        <v>0</v>
      </c>
      <c r="F218" s="2">
        <f t="shared" si="9"/>
        <v>0</v>
      </c>
      <c r="G218" s="829" t="str">
        <f t="shared" si="10"/>
        <v/>
      </c>
      <c r="H218" s="659" t="str">
        <f t="shared" si="11"/>
        <v>Quinault $0</v>
      </c>
      <c r="I218" s="302"/>
    </row>
    <row r="219" spans="2:9">
      <c r="B219" s="784" t="s">
        <v>116</v>
      </c>
      <c r="C219" s="787" t="s">
        <v>1421</v>
      </c>
      <c r="D219" s="2">
        <v>160218</v>
      </c>
      <c r="E219" s="2">
        <v>160744</v>
      </c>
      <c r="F219" s="2">
        <f t="shared" si="9"/>
        <v>-526</v>
      </c>
      <c r="G219" s="829">
        <f t="shared" si="10"/>
        <v>-3.2830268758816112E-3</v>
      </c>
      <c r="H219" s="659" t="str">
        <f t="shared" si="11"/>
        <v>Quincy $160218</v>
      </c>
      <c r="I219" s="302"/>
    </row>
    <row r="220" spans="2:9">
      <c r="B220" s="784" t="s">
        <v>480</v>
      </c>
      <c r="C220" s="787" t="s">
        <v>1591</v>
      </c>
      <c r="D220" s="2">
        <v>0</v>
      </c>
      <c r="E220" s="2">
        <v>0</v>
      </c>
      <c r="F220" s="2">
        <f t="shared" si="9"/>
        <v>0</v>
      </c>
      <c r="G220" s="829" t="str">
        <f t="shared" si="10"/>
        <v/>
      </c>
      <c r="H220" s="659" t="str">
        <f t="shared" si="11"/>
        <v>Rainier $0</v>
      </c>
      <c r="I220" s="302"/>
    </row>
    <row r="221" spans="2:9">
      <c r="B221" s="784" t="s">
        <v>1686</v>
      </c>
      <c r="C221" s="787" t="s">
        <v>1687</v>
      </c>
      <c r="D221" s="2">
        <v>10796</v>
      </c>
      <c r="E221" s="2">
        <v>0</v>
      </c>
      <c r="F221" s="2">
        <f t="shared" si="9"/>
        <v>10796</v>
      </c>
      <c r="G221" s="829">
        <f t="shared" si="10"/>
        <v>1</v>
      </c>
      <c r="H221" s="659" t="str">
        <f t="shared" si="11"/>
        <v>Rainier Prep $10796</v>
      </c>
      <c r="I221" s="302"/>
    </row>
    <row r="222" spans="2:9">
      <c r="B222" s="784" t="s">
        <v>327</v>
      </c>
      <c r="C222" s="787" t="s">
        <v>1514</v>
      </c>
      <c r="D222" s="2">
        <v>0</v>
      </c>
      <c r="E222" s="2">
        <v>0</v>
      </c>
      <c r="F222" s="2">
        <f t="shared" si="9"/>
        <v>0</v>
      </c>
      <c r="G222" s="829" t="str">
        <f t="shared" si="10"/>
        <v/>
      </c>
      <c r="H222" s="659" t="str">
        <f t="shared" si="11"/>
        <v>Raymond $0</v>
      </c>
      <c r="I222" s="302"/>
    </row>
    <row r="223" spans="2:9">
      <c r="B223" s="784" t="s">
        <v>282</v>
      </c>
      <c r="C223" s="787" t="s">
        <v>1494</v>
      </c>
      <c r="D223" s="2">
        <v>0</v>
      </c>
      <c r="E223" s="2">
        <v>0</v>
      </c>
      <c r="F223" s="2">
        <f t="shared" si="9"/>
        <v>0</v>
      </c>
      <c r="G223" s="829" t="str">
        <f t="shared" si="10"/>
        <v/>
      </c>
      <c r="H223" s="659" t="str">
        <f t="shared" si="11"/>
        <v>Reardan $0</v>
      </c>
      <c r="I223" s="302"/>
    </row>
    <row r="224" spans="2:9">
      <c r="B224" t="s">
        <v>185</v>
      </c>
      <c r="C224" s="55" t="s">
        <v>638</v>
      </c>
      <c r="D224" s="2">
        <v>364869</v>
      </c>
      <c r="E224" s="2">
        <v>392676</v>
      </c>
      <c r="F224" s="2">
        <f t="shared" si="9"/>
        <v>-27807</v>
      </c>
      <c r="G224" s="829">
        <f t="shared" si="10"/>
        <v>-7.6210914054085171E-2</v>
      </c>
      <c r="H224" s="659" t="str">
        <f t="shared" si="11"/>
        <v>Renton $364869</v>
      </c>
    </row>
    <row r="225" spans="2:9">
      <c r="B225" s="784" t="s">
        <v>102</v>
      </c>
      <c r="C225" s="787" t="s">
        <v>1415</v>
      </c>
      <c r="D225" s="2">
        <v>0</v>
      </c>
      <c r="E225" s="2">
        <v>0</v>
      </c>
      <c r="F225" s="2">
        <f t="shared" si="9"/>
        <v>0</v>
      </c>
      <c r="G225" s="829" t="str">
        <f t="shared" si="10"/>
        <v/>
      </c>
      <c r="H225" s="659" t="str">
        <f t="shared" si="11"/>
        <v>Republic $0</v>
      </c>
      <c r="I225" s="302"/>
    </row>
    <row r="226" spans="2:9">
      <c r="B226" s="784" t="s">
        <v>23</v>
      </c>
      <c r="C226" s="787" t="s">
        <v>1379</v>
      </c>
      <c r="D226" s="2">
        <v>89170</v>
      </c>
      <c r="E226" s="2">
        <v>81776</v>
      </c>
      <c r="F226" s="2">
        <f t="shared" si="9"/>
        <v>7394</v>
      </c>
      <c r="G226" s="829">
        <f t="shared" si="10"/>
        <v>8.2920264663003257E-2</v>
      </c>
      <c r="H226" s="659"/>
      <c r="I226" s="302"/>
    </row>
    <row r="227" spans="2:9">
      <c r="B227" s="784" t="s">
        <v>64</v>
      </c>
      <c r="C227" s="787" t="s">
        <v>1397</v>
      </c>
      <c r="D227" s="2">
        <v>11663</v>
      </c>
      <c r="E227" s="2">
        <v>11186</v>
      </c>
      <c r="F227" s="2">
        <f t="shared" si="9"/>
        <v>477</v>
      </c>
      <c r="G227" s="829">
        <f t="shared" si="10"/>
        <v>4.0898568121409587E-2</v>
      </c>
      <c r="H227" s="833" t="str">
        <f t="shared" ref="H227:H258" si="12">C227&amp;" $"&amp;D227&amp;""</f>
        <v>Ridgefield $11663</v>
      </c>
      <c r="I227" s="834" t="s">
        <v>1737</v>
      </c>
    </row>
    <row r="228" spans="2:9">
      <c r="B228" s="784" t="s">
        <v>8</v>
      </c>
      <c r="C228" s="787" t="s">
        <v>1372</v>
      </c>
      <c r="D228" s="2">
        <v>0</v>
      </c>
      <c r="E228" s="2">
        <v>0</v>
      </c>
      <c r="F228" s="2">
        <f t="shared" si="9"/>
        <v>0</v>
      </c>
      <c r="G228" s="829" t="str">
        <f t="shared" si="10"/>
        <v/>
      </c>
      <c r="H228" s="659" t="str">
        <f t="shared" si="12"/>
        <v>Ritzville $0</v>
      </c>
      <c r="I228" s="302"/>
    </row>
    <row r="229" spans="2:9">
      <c r="B229" s="784" t="s">
        <v>446</v>
      </c>
      <c r="C229" s="787" t="s">
        <v>1575</v>
      </c>
      <c r="D229" s="2">
        <v>0</v>
      </c>
      <c r="E229" s="2">
        <v>0</v>
      </c>
      <c r="F229" s="2">
        <f t="shared" si="9"/>
        <v>0</v>
      </c>
      <c r="G229" s="829" t="str">
        <f t="shared" si="10"/>
        <v/>
      </c>
      <c r="H229" s="659" t="str">
        <f t="shared" si="12"/>
        <v>Riverside $0</v>
      </c>
      <c r="I229" s="302"/>
    </row>
    <row r="230" spans="2:9">
      <c r="B230" s="784" t="s">
        <v>193</v>
      </c>
      <c r="C230" s="787" t="s">
        <v>1457</v>
      </c>
      <c r="D230" s="2">
        <v>22014</v>
      </c>
      <c r="E230" s="2">
        <v>22868</v>
      </c>
      <c r="F230" s="2">
        <f t="shared" si="9"/>
        <v>-854</v>
      </c>
      <c r="G230" s="829">
        <f t="shared" si="10"/>
        <v>-3.8793495048605429E-2</v>
      </c>
      <c r="H230" s="659" t="str">
        <f t="shared" si="12"/>
        <v>Riverview $22014</v>
      </c>
      <c r="I230" s="302"/>
    </row>
    <row r="231" spans="2:9">
      <c r="B231" s="784" t="s">
        <v>484</v>
      </c>
      <c r="C231" s="787" t="s">
        <v>1593</v>
      </c>
      <c r="D231" s="2">
        <v>25924</v>
      </c>
      <c r="E231" s="2">
        <v>29901</v>
      </c>
      <c r="F231" s="2">
        <f t="shared" si="9"/>
        <v>-3977</v>
      </c>
      <c r="G231" s="829">
        <f t="shared" si="10"/>
        <v>-0.15340996759759296</v>
      </c>
      <c r="H231" s="659" t="str">
        <f t="shared" si="12"/>
        <v>Rochester $25924</v>
      </c>
      <c r="I231" s="302"/>
    </row>
    <row r="232" spans="2:9">
      <c r="B232" s="784" t="s">
        <v>244</v>
      </c>
      <c r="C232" s="787" t="s">
        <v>1478</v>
      </c>
      <c r="D232" s="2">
        <v>0</v>
      </c>
      <c r="E232" s="2">
        <v>0</v>
      </c>
      <c r="F232" s="2">
        <f t="shared" si="9"/>
        <v>0</v>
      </c>
      <c r="G232" s="829" t="str">
        <f t="shared" si="10"/>
        <v/>
      </c>
      <c r="H232" s="659" t="str">
        <f t="shared" si="12"/>
        <v>Roosevelt $0</v>
      </c>
      <c r="I232" s="302"/>
    </row>
    <row r="233" spans="2:9">
      <c r="B233" s="784" t="s">
        <v>537</v>
      </c>
      <c r="C233" s="787" t="s">
        <v>1617</v>
      </c>
      <c r="D233" s="2">
        <v>0</v>
      </c>
      <c r="E233" s="2">
        <v>0</v>
      </c>
      <c r="F233" s="2">
        <f t="shared" si="9"/>
        <v>0</v>
      </c>
      <c r="G233" s="829" t="str">
        <f t="shared" si="10"/>
        <v/>
      </c>
      <c r="H233" s="659" t="str">
        <f t="shared" si="12"/>
        <v>Rosalia $0</v>
      </c>
      <c r="I233" s="302"/>
    </row>
    <row r="234" spans="2:9">
      <c r="B234" s="784" t="s">
        <v>123</v>
      </c>
      <c r="C234" s="787" t="s">
        <v>1425</v>
      </c>
      <c r="D234" s="2">
        <v>97379</v>
      </c>
      <c r="E234" s="2">
        <v>93683</v>
      </c>
      <c r="F234" s="2">
        <f t="shared" si="9"/>
        <v>3696</v>
      </c>
      <c r="G234" s="829">
        <f t="shared" si="10"/>
        <v>3.7954795181712693E-2</v>
      </c>
      <c r="H234" s="659" t="str">
        <f t="shared" si="12"/>
        <v>Royal $97379</v>
      </c>
      <c r="I234" s="302"/>
    </row>
    <row r="235" spans="2:9">
      <c r="B235" s="784" t="s">
        <v>375</v>
      </c>
      <c r="C235" s="787" t="s">
        <v>1269</v>
      </c>
      <c r="D235" s="2">
        <v>0</v>
      </c>
      <c r="E235" s="2">
        <v>0</v>
      </c>
      <c r="F235" s="2">
        <f t="shared" si="9"/>
        <v>0</v>
      </c>
      <c r="G235" s="829" t="str">
        <f t="shared" si="10"/>
        <v/>
      </c>
      <c r="H235" s="659" t="str">
        <f t="shared" si="12"/>
        <v>San Juan $0</v>
      </c>
      <c r="I235" s="302"/>
    </row>
    <row r="236" spans="2:9">
      <c r="B236" s="784" t="s">
        <v>149</v>
      </c>
      <c r="C236" s="787" t="s">
        <v>1436</v>
      </c>
      <c r="D236" s="2">
        <v>0</v>
      </c>
      <c r="E236" s="2">
        <v>0</v>
      </c>
      <c r="F236" s="2">
        <f t="shared" si="9"/>
        <v>0</v>
      </c>
      <c r="G236" s="829" t="str">
        <f t="shared" si="10"/>
        <v/>
      </c>
      <c r="H236" s="659" t="str">
        <f t="shared" si="12"/>
        <v>Satsop $0</v>
      </c>
      <c r="I236" s="302"/>
    </row>
    <row r="237" spans="2:9">
      <c r="B237" s="784" t="s">
        <v>1682</v>
      </c>
      <c r="C237" s="787" t="s">
        <v>1683</v>
      </c>
      <c r="D237" s="2">
        <v>0</v>
      </c>
      <c r="E237" s="2">
        <v>0</v>
      </c>
      <c r="F237" s="2">
        <f t="shared" si="9"/>
        <v>0</v>
      </c>
      <c r="G237" s="829" t="str">
        <f t="shared" si="10"/>
        <v/>
      </c>
      <c r="H237" s="659" t="str">
        <f t="shared" si="12"/>
        <v>School of the Blind $0</v>
      </c>
      <c r="I237" s="302"/>
    </row>
    <row r="238" spans="2:9">
      <c r="B238" s="784" t="s">
        <v>1684</v>
      </c>
      <c r="C238" s="787" t="s">
        <v>1685</v>
      </c>
      <c r="D238" s="2">
        <v>0</v>
      </c>
      <c r="E238" s="2">
        <v>0</v>
      </c>
      <c r="F238" s="2">
        <f t="shared" si="9"/>
        <v>0</v>
      </c>
      <c r="G238" s="829" t="str">
        <f t="shared" si="10"/>
        <v/>
      </c>
      <c r="H238" s="659" t="str">
        <f t="shared" si="12"/>
        <v>School of the Deaf $0</v>
      </c>
      <c r="I238" s="302"/>
    </row>
    <row r="239" spans="2:9">
      <c r="B239" s="784" t="s">
        <v>173</v>
      </c>
      <c r="C239" s="787" t="s">
        <v>1448</v>
      </c>
      <c r="D239" s="2">
        <v>821347</v>
      </c>
      <c r="E239" s="2">
        <v>812544</v>
      </c>
      <c r="F239" s="2">
        <f t="shared" si="9"/>
        <v>8803</v>
      </c>
      <c r="G239" s="829">
        <f t="shared" si="10"/>
        <v>1.0717759972338122E-2</v>
      </c>
      <c r="H239" s="659" t="str">
        <f t="shared" si="12"/>
        <v>Seattle $821347</v>
      </c>
      <c r="I239" s="302"/>
    </row>
    <row r="240" spans="2:9">
      <c r="B240" s="784" t="s">
        <v>379</v>
      </c>
      <c r="C240" s="787" t="s">
        <v>686</v>
      </c>
      <c r="D240" s="2">
        <v>45868</v>
      </c>
      <c r="E240" s="2">
        <v>44269</v>
      </c>
      <c r="F240" s="2">
        <f t="shared" si="9"/>
        <v>1599</v>
      </c>
      <c r="G240" s="829">
        <f t="shared" si="10"/>
        <v>3.4860905206244006E-2</v>
      </c>
      <c r="H240" s="659" t="str">
        <f t="shared" si="12"/>
        <v>Sedro Woolley $45868</v>
      </c>
      <c r="I240" s="302"/>
    </row>
    <row r="241" spans="2:9">
      <c r="B241" s="784" t="s">
        <v>551</v>
      </c>
      <c r="C241" s="787" t="s">
        <v>1624</v>
      </c>
      <c r="D241" s="2">
        <v>41071</v>
      </c>
      <c r="E241" s="2">
        <v>41733</v>
      </c>
      <c r="F241" s="2">
        <f t="shared" si="9"/>
        <v>-662</v>
      </c>
      <c r="G241" s="829">
        <f t="shared" si="10"/>
        <v>-1.6118429061868472E-2</v>
      </c>
      <c r="H241" s="659" t="str">
        <f t="shared" si="12"/>
        <v>Selah $41071</v>
      </c>
      <c r="I241" s="302"/>
    </row>
    <row r="242" spans="2:9">
      <c r="B242" s="784" t="s">
        <v>340</v>
      </c>
      <c r="C242" s="787" t="s">
        <v>1521</v>
      </c>
      <c r="D242" s="2">
        <v>0</v>
      </c>
      <c r="E242" s="2">
        <v>0</v>
      </c>
      <c r="F242" s="2">
        <f t="shared" si="9"/>
        <v>0</v>
      </c>
      <c r="G242" s="829" t="str">
        <f t="shared" si="10"/>
        <v/>
      </c>
      <c r="H242" s="659" t="str">
        <f t="shared" si="12"/>
        <v>Selkirk $0</v>
      </c>
      <c r="I242" s="302"/>
    </row>
    <row r="243" spans="2:9">
      <c r="B243" s="784" t="s">
        <v>43</v>
      </c>
      <c r="C243" s="787" t="s">
        <v>1387</v>
      </c>
      <c r="D243" s="2">
        <v>0</v>
      </c>
      <c r="E243" s="2">
        <v>0</v>
      </c>
      <c r="F243" s="2">
        <f t="shared" si="9"/>
        <v>0</v>
      </c>
      <c r="G243" s="829" t="str">
        <f t="shared" si="10"/>
        <v/>
      </c>
      <c r="H243" s="659" t="str">
        <f t="shared" si="12"/>
        <v>Sequim $0</v>
      </c>
      <c r="I243" s="302"/>
    </row>
    <row r="244" spans="2:9">
      <c r="B244" s="784" t="s">
        <v>371</v>
      </c>
      <c r="C244" s="787" t="s">
        <v>1537</v>
      </c>
      <c r="D244" s="2">
        <v>0</v>
      </c>
      <c r="E244" s="2">
        <v>0</v>
      </c>
      <c r="F244" s="2">
        <f t="shared" si="9"/>
        <v>0</v>
      </c>
      <c r="G244" s="829" t="str">
        <f t="shared" si="10"/>
        <v/>
      </c>
      <c r="H244" s="659" t="str">
        <f t="shared" si="12"/>
        <v>Shaw $0</v>
      </c>
      <c r="I244" s="302"/>
    </row>
    <row r="245" spans="2:9">
      <c r="B245" s="784" t="s">
        <v>299</v>
      </c>
      <c r="C245" s="787" t="s">
        <v>1503</v>
      </c>
      <c r="D245" s="2">
        <v>102918</v>
      </c>
      <c r="E245" s="2">
        <v>100989</v>
      </c>
      <c r="F245" s="2">
        <f t="shared" si="9"/>
        <v>1929</v>
      </c>
      <c r="G245" s="829">
        <f t="shared" si="10"/>
        <v>1.8743077012767447E-2</v>
      </c>
      <c r="H245" s="659" t="str">
        <f t="shared" si="12"/>
        <v>Shelton $102918</v>
      </c>
      <c r="I245" s="302"/>
    </row>
    <row r="246" spans="2:9">
      <c r="B246" t="s">
        <v>203</v>
      </c>
      <c r="C246" s="55" t="s">
        <v>640</v>
      </c>
      <c r="D246" s="2">
        <v>99202</v>
      </c>
      <c r="E246" s="2">
        <v>103923</v>
      </c>
      <c r="F246" s="2">
        <f t="shared" si="9"/>
        <v>-4721</v>
      </c>
      <c r="G246" s="829">
        <f t="shared" si="10"/>
        <v>-4.7589766335356144E-2</v>
      </c>
      <c r="H246" s="659" t="str">
        <f t="shared" si="12"/>
        <v>Shoreline $99202</v>
      </c>
    </row>
    <row r="247" spans="2:9">
      <c r="B247" s="784" t="s">
        <v>387</v>
      </c>
      <c r="C247" s="787" t="s">
        <v>1545</v>
      </c>
      <c r="D247" s="2">
        <v>0</v>
      </c>
      <c r="E247" s="2">
        <v>0</v>
      </c>
      <c r="F247" s="2">
        <f t="shared" si="9"/>
        <v>0</v>
      </c>
      <c r="G247" s="829" t="str">
        <f t="shared" si="10"/>
        <v/>
      </c>
      <c r="H247" s="659" t="str">
        <f t="shared" si="12"/>
        <v>Skamania $0</v>
      </c>
      <c r="I247" s="302"/>
    </row>
    <row r="248" spans="2:9">
      <c r="B248" s="784" t="s">
        <v>187</v>
      </c>
      <c r="C248" s="787" t="s">
        <v>1454</v>
      </c>
      <c r="D248" s="2">
        <v>0</v>
      </c>
      <c r="E248" s="2">
        <v>0</v>
      </c>
      <c r="F248" s="2">
        <f t="shared" si="9"/>
        <v>0</v>
      </c>
      <c r="G248" s="829" t="str">
        <f t="shared" si="10"/>
        <v/>
      </c>
      <c r="H248" s="659" t="str">
        <f t="shared" si="12"/>
        <v>Skykomish $0</v>
      </c>
      <c r="I248" s="302"/>
    </row>
    <row r="249" spans="2:9">
      <c r="B249" s="784" t="s">
        <v>411</v>
      </c>
      <c r="C249" s="787" t="s">
        <v>1556</v>
      </c>
      <c r="D249" s="2">
        <v>50274</v>
      </c>
      <c r="E249" s="2">
        <v>52795</v>
      </c>
      <c r="F249" s="2">
        <f t="shared" si="9"/>
        <v>-2521</v>
      </c>
      <c r="G249" s="829">
        <f t="shared" si="10"/>
        <v>-5.014520428054263E-2</v>
      </c>
      <c r="H249" s="659" t="str">
        <f t="shared" si="12"/>
        <v>Snohomish $50274</v>
      </c>
      <c r="I249" s="302"/>
    </row>
    <row r="250" spans="2:9">
      <c r="B250" s="784" t="s">
        <v>199</v>
      </c>
      <c r="C250" s="787" t="s">
        <v>1272</v>
      </c>
      <c r="D250" s="2">
        <v>25341</v>
      </c>
      <c r="E250" s="2">
        <v>27789</v>
      </c>
      <c r="F250" s="2">
        <f t="shared" si="9"/>
        <v>-2448</v>
      </c>
      <c r="G250" s="829">
        <f t="shared" si="10"/>
        <v>-9.660234402746537E-2</v>
      </c>
      <c r="H250" s="659" t="str">
        <f t="shared" si="12"/>
        <v>Snoqualmie Valley $25341</v>
      </c>
      <c r="I250" s="302"/>
    </row>
    <row r="251" spans="2:9">
      <c r="B251" s="784" t="s">
        <v>121</v>
      </c>
      <c r="C251" s="787" t="s">
        <v>1424</v>
      </c>
      <c r="D251" s="2">
        <v>13784</v>
      </c>
      <c r="E251" s="2">
        <v>13323</v>
      </c>
      <c r="F251" s="2">
        <f t="shared" si="9"/>
        <v>461</v>
      </c>
      <c r="G251" s="829">
        <f t="shared" si="10"/>
        <v>3.3444573418456178E-2</v>
      </c>
      <c r="H251" s="659" t="str">
        <f t="shared" si="12"/>
        <v>Soap Lake $13784</v>
      </c>
      <c r="I251" s="302"/>
    </row>
    <row r="252" spans="2:9">
      <c r="B252" s="784" t="s">
        <v>1692</v>
      </c>
      <c r="C252" s="787" t="s">
        <v>1698</v>
      </c>
      <c r="D252" s="2">
        <v>0</v>
      </c>
      <c r="E252" s="2">
        <v>0</v>
      </c>
      <c r="F252" s="2">
        <f t="shared" si="9"/>
        <v>0</v>
      </c>
      <c r="G252" s="829" t="str">
        <f t="shared" si="10"/>
        <v/>
      </c>
      <c r="H252" s="659" t="str">
        <f t="shared" si="12"/>
        <v>SOAR $0</v>
      </c>
      <c r="I252" s="302"/>
    </row>
    <row r="253" spans="2:9">
      <c r="B253" s="784" t="s">
        <v>329</v>
      </c>
      <c r="C253" s="787" t="s">
        <v>1515</v>
      </c>
      <c r="D253" s="2">
        <v>13502</v>
      </c>
      <c r="E253" s="2">
        <v>13622</v>
      </c>
      <c r="F253" s="2">
        <f t="shared" si="9"/>
        <v>-120</v>
      </c>
      <c r="G253" s="829">
        <f t="shared" si="10"/>
        <v>-8.8875722115242181E-3</v>
      </c>
      <c r="H253" s="659" t="str">
        <f t="shared" si="12"/>
        <v>South Bend $13502</v>
      </c>
      <c r="I253" s="302"/>
    </row>
    <row r="254" spans="2:9">
      <c r="B254" s="784" t="s">
        <v>218</v>
      </c>
      <c r="C254" s="787" t="s">
        <v>1465</v>
      </c>
      <c r="D254" s="2">
        <v>34065</v>
      </c>
      <c r="E254" s="2">
        <v>37260</v>
      </c>
      <c r="F254" s="2">
        <f t="shared" si="9"/>
        <v>-3195</v>
      </c>
      <c r="G254" s="829">
        <f t="shared" si="10"/>
        <v>-9.3791281373844126E-2</v>
      </c>
      <c r="H254" s="659" t="str">
        <f t="shared" si="12"/>
        <v>South Kitsap $34065</v>
      </c>
      <c r="I254" s="302"/>
    </row>
    <row r="255" spans="2:9">
      <c r="B255" s="784" t="s">
        <v>161</v>
      </c>
      <c r="C255" s="787" t="s">
        <v>1442</v>
      </c>
      <c r="D255" s="2">
        <v>0</v>
      </c>
      <c r="E255" s="2">
        <v>0</v>
      </c>
      <c r="F255" s="2">
        <f t="shared" si="9"/>
        <v>0</v>
      </c>
      <c r="G255" s="829" t="str">
        <f t="shared" si="10"/>
        <v/>
      </c>
      <c r="H255" s="659" t="str">
        <f t="shared" si="12"/>
        <v>South Whidbey $0</v>
      </c>
      <c r="I255" s="302"/>
    </row>
    <row r="256" spans="2:9">
      <c r="B256" s="784" t="s">
        <v>295</v>
      </c>
      <c r="C256" s="787" t="s">
        <v>1501</v>
      </c>
      <c r="D256" s="2">
        <v>0</v>
      </c>
      <c r="E256" s="2">
        <v>0</v>
      </c>
      <c r="F256" s="2">
        <f t="shared" si="9"/>
        <v>0</v>
      </c>
      <c r="G256" s="829" t="str">
        <f t="shared" si="10"/>
        <v/>
      </c>
      <c r="H256" s="659" t="str">
        <f t="shared" si="12"/>
        <v>Southside $0</v>
      </c>
      <c r="I256" s="302"/>
    </row>
    <row r="257" spans="2:9">
      <c r="B257" s="784" t="s">
        <v>422</v>
      </c>
      <c r="C257" s="787" t="s">
        <v>1562</v>
      </c>
      <c r="D257" s="2">
        <v>268338</v>
      </c>
      <c r="E257" s="2">
        <v>252736</v>
      </c>
      <c r="F257" s="2">
        <f t="shared" si="9"/>
        <v>15602</v>
      </c>
      <c r="G257" s="829">
        <f t="shared" si="10"/>
        <v>5.814308819473947E-2</v>
      </c>
      <c r="H257" s="659" t="str">
        <f t="shared" si="12"/>
        <v>Spokane $268338</v>
      </c>
      <c r="I257" s="302"/>
    </row>
    <row r="258" spans="2:9">
      <c r="B258" s="784" t="s">
        <v>1691</v>
      </c>
      <c r="C258" s="787" t="s">
        <v>1696</v>
      </c>
      <c r="D258" s="2">
        <v>0</v>
      </c>
      <c r="E258" s="2">
        <v>0</v>
      </c>
      <c r="F258" s="2">
        <f t="shared" si="9"/>
        <v>0</v>
      </c>
      <c r="G258" s="829" t="str">
        <f t="shared" si="10"/>
        <v/>
      </c>
      <c r="H258" s="659" t="str">
        <f t="shared" si="12"/>
        <v>Spokane International Academy $0</v>
      </c>
      <c r="I258" s="302"/>
    </row>
    <row r="259" spans="2:9">
      <c r="B259" s="784" t="s">
        <v>280</v>
      </c>
      <c r="C259" s="787" t="s">
        <v>1493</v>
      </c>
      <c r="D259" s="2">
        <v>0</v>
      </c>
      <c r="E259" s="2">
        <v>0</v>
      </c>
      <c r="F259" s="2">
        <f t="shared" si="9"/>
        <v>0</v>
      </c>
      <c r="G259" s="829" t="str">
        <f t="shared" si="10"/>
        <v/>
      </c>
      <c r="H259" s="659" t="str">
        <f t="shared" ref="H259:H282" si="13">C259&amp;" $"&amp;D259&amp;""</f>
        <v>Sprague $0</v>
      </c>
      <c r="I259" s="302"/>
    </row>
    <row r="260" spans="2:9">
      <c r="B260" s="784" t="s">
        <v>539</v>
      </c>
      <c r="C260" s="787" t="s">
        <v>1618</v>
      </c>
      <c r="D260" s="2">
        <v>0</v>
      </c>
      <c r="E260" s="2">
        <v>0</v>
      </c>
      <c r="F260" s="2">
        <f t="shared" si="9"/>
        <v>0</v>
      </c>
      <c r="G260" s="829" t="str">
        <f t="shared" si="10"/>
        <v/>
      </c>
      <c r="H260" s="659" t="str">
        <f t="shared" si="13"/>
        <v>St John $0</v>
      </c>
      <c r="I260" s="302"/>
    </row>
    <row r="261" spans="2:9">
      <c r="B261" s="784" t="s">
        <v>421</v>
      </c>
      <c r="C261" s="787" t="s">
        <v>1561</v>
      </c>
      <c r="D261" s="2">
        <v>17819</v>
      </c>
      <c r="E261" s="2">
        <v>17498</v>
      </c>
      <c r="F261" s="2">
        <f t="shared" si="9"/>
        <v>321</v>
      </c>
      <c r="G261" s="829">
        <f t="shared" si="10"/>
        <v>1.8014478926988046E-2</v>
      </c>
      <c r="H261" s="659" t="str">
        <f t="shared" si="13"/>
        <v>Stanwood $17819</v>
      </c>
      <c r="I261" s="302"/>
    </row>
    <row r="262" spans="2:9">
      <c r="B262" s="784" t="s">
        <v>108</v>
      </c>
      <c r="C262" s="787" t="s">
        <v>1418</v>
      </c>
      <c r="D262" s="2">
        <v>0</v>
      </c>
      <c r="E262" s="2">
        <v>0</v>
      </c>
      <c r="F262" s="2">
        <f t="shared" si="9"/>
        <v>0</v>
      </c>
      <c r="G262" s="829" t="str">
        <f t="shared" si="10"/>
        <v/>
      </c>
      <c r="H262" s="659" t="str">
        <f t="shared" si="13"/>
        <v>Star $0</v>
      </c>
      <c r="I262" s="302"/>
    </row>
    <row r="263" spans="2:9">
      <c r="B263" s="784" t="s">
        <v>68</v>
      </c>
      <c r="C263" s="787" t="s">
        <v>1398</v>
      </c>
      <c r="D263" s="2">
        <v>0</v>
      </c>
      <c r="E263" s="2">
        <v>0</v>
      </c>
      <c r="F263" s="2">
        <f t="shared" si="9"/>
        <v>0</v>
      </c>
      <c r="G263" s="829" t="str">
        <f t="shared" si="10"/>
        <v/>
      </c>
      <c r="H263" s="659" t="str">
        <f t="shared" si="13"/>
        <v>Starbuck $0</v>
      </c>
      <c r="I263" s="302"/>
    </row>
    <row r="264" spans="2:9">
      <c r="B264" s="784" t="s">
        <v>27</v>
      </c>
      <c r="C264" s="787" t="s">
        <v>1381</v>
      </c>
      <c r="D264" s="2">
        <v>0</v>
      </c>
      <c r="E264" s="2">
        <v>0</v>
      </c>
      <c r="F264" s="2">
        <f t="shared" ref="F264:F320" si="14">D264-E264</f>
        <v>0</v>
      </c>
      <c r="G264" s="829" t="str">
        <f t="shared" ref="G264:G320" si="15">IFERROR(F264/D264,"")</f>
        <v/>
      </c>
      <c r="H264" s="659" t="str">
        <f t="shared" si="13"/>
        <v>Stehekin $0</v>
      </c>
      <c r="I264" s="302"/>
    </row>
    <row r="265" spans="2:9">
      <c r="B265" s="784" t="s">
        <v>342</v>
      </c>
      <c r="C265" s="787" t="s">
        <v>1522</v>
      </c>
      <c r="D265" s="2">
        <v>11768</v>
      </c>
      <c r="E265" s="2">
        <v>11484</v>
      </c>
      <c r="F265" s="2">
        <f t="shared" si="14"/>
        <v>284</v>
      </c>
      <c r="G265" s="829">
        <f t="shared" si="15"/>
        <v>2.4133242692046229E-2</v>
      </c>
      <c r="H265" s="659" t="str">
        <f t="shared" si="13"/>
        <v>Steilacoom Hist. $11768</v>
      </c>
      <c r="I265" s="2"/>
    </row>
    <row r="266" spans="2:9">
      <c r="B266" s="784" t="s">
        <v>531</v>
      </c>
      <c r="C266" s="787" t="s">
        <v>1614</v>
      </c>
      <c r="D266" s="2">
        <v>0</v>
      </c>
      <c r="E266" s="2">
        <v>0</v>
      </c>
      <c r="F266" s="2">
        <f t="shared" si="14"/>
        <v>0</v>
      </c>
      <c r="G266" s="829" t="str">
        <f t="shared" si="15"/>
        <v/>
      </c>
      <c r="H266" s="659" t="str">
        <f t="shared" si="13"/>
        <v>Steptoe $0</v>
      </c>
      <c r="I266" s="302"/>
    </row>
    <row r="267" spans="2:9">
      <c r="B267" s="784" t="s">
        <v>393</v>
      </c>
      <c r="C267" s="787" t="s">
        <v>1548</v>
      </c>
      <c r="D267" s="2">
        <v>0</v>
      </c>
      <c r="E267" s="2">
        <v>0</v>
      </c>
      <c r="F267" s="2">
        <f t="shared" si="14"/>
        <v>0</v>
      </c>
      <c r="G267" s="829" t="str">
        <f t="shared" si="15"/>
        <v/>
      </c>
      <c r="H267" s="659" t="str">
        <f t="shared" si="13"/>
        <v>Stevenson-Carson $0</v>
      </c>
      <c r="I267" s="302"/>
    </row>
    <row r="268" spans="2:9">
      <c r="B268" s="784" t="s">
        <v>415</v>
      </c>
      <c r="C268" s="787" t="s">
        <v>1558</v>
      </c>
      <c r="D268" s="2">
        <v>22402</v>
      </c>
      <c r="E268" s="2">
        <v>22470</v>
      </c>
      <c r="F268" s="2">
        <f t="shared" si="14"/>
        <v>-68</v>
      </c>
      <c r="G268" s="829">
        <f t="shared" si="15"/>
        <v>-3.0354432639942861E-3</v>
      </c>
      <c r="H268" s="659" t="str">
        <f t="shared" si="13"/>
        <v>Sultan $22402</v>
      </c>
      <c r="I268" s="302"/>
    </row>
    <row r="269" spans="2:9">
      <c r="B269" s="784" t="s">
        <v>1694</v>
      </c>
      <c r="C269" s="787" t="s">
        <v>1700</v>
      </c>
      <c r="D269" s="2">
        <v>0</v>
      </c>
      <c r="E269" s="2">
        <v>0</v>
      </c>
      <c r="F269" s="2">
        <f t="shared" si="14"/>
        <v>0</v>
      </c>
      <c r="G269" s="829" t="str">
        <f t="shared" si="15"/>
        <v/>
      </c>
      <c r="H269" s="659" t="str">
        <f t="shared" si="13"/>
        <v>Summit Olympus $0</v>
      </c>
      <c r="I269" s="302"/>
    </row>
    <row r="270" spans="2:9">
      <c r="B270" s="784" t="s">
        <v>1693</v>
      </c>
      <c r="C270" s="787" t="s">
        <v>1699</v>
      </c>
      <c r="D270" s="2">
        <v>0</v>
      </c>
      <c r="E270" s="2">
        <v>0</v>
      </c>
      <c r="F270" s="2">
        <f t="shared" si="14"/>
        <v>0</v>
      </c>
      <c r="G270" s="829" t="str">
        <f t="shared" si="15"/>
        <v/>
      </c>
      <c r="H270" s="659" t="str">
        <f t="shared" si="13"/>
        <v>Summit Sierra $0</v>
      </c>
      <c r="I270" s="302"/>
    </row>
    <row r="271" spans="2:9">
      <c r="B271" s="784" t="s">
        <v>460</v>
      </c>
      <c r="C271" s="787" t="s">
        <v>1582</v>
      </c>
      <c r="D271" s="2">
        <v>0</v>
      </c>
      <c r="E271" s="2">
        <v>0</v>
      </c>
      <c r="F271" s="2">
        <f t="shared" si="14"/>
        <v>0</v>
      </c>
      <c r="G271" s="829" t="str">
        <f t="shared" si="15"/>
        <v/>
      </c>
      <c r="H271" s="659" t="str">
        <f t="shared" si="13"/>
        <v>Summit Valley $0</v>
      </c>
      <c r="I271" s="302"/>
    </row>
    <row r="272" spans="2:9">
      <c r="B272" s="784" t="s">
        <v>351</v>
      </c>
      <c r="C272" s="787" t="s">
        <v>1527</v>
      </c>
      <c r="D272" s="2">
        <v>47760</v>
      </c>
      <c r="E272" s="2">
        <v>45661</v>
      </c>
      <c r="F272" s="2">
        <f t="shared" si="14"/>
        <v>2099</v>
      </c>
      <c r="G272" s="829">
        <f t="shared" si="15"/>
        <v>4.3948911222780572E-2</v>
      </c>
      <c r="H272" s="659" t="str">
        <f t="shared" si="13"/>
        <v>Sumner $47760</v>
      </c>
      <c r="I272" s="302"/>
    </row>
    <row r="273" spans="2:9">
      <c r="B273" s="784" t="s">
        <v>557</v>
      </c>
      <c r="C273" s="787" t="s">
        <v>1626</v>
      </c>
      <c r="D273" s="2">
        <v>269365</v>
      </c>
      <c r="E273" s="2">
        <v>245329</v>
      </c>
      <c r="F273" s="2">
        <f t="shared" si="14"/>
        <v>24036</v>
      </c>
      <c r="G273" s="829">
        <f t="shared" si="15"/>
        <v>8.9232082861544743E-2</v>
      </c>
      <c r="H273" s="659" t="str">
        <f t="shared" si="13"/>
        <v>Sunnyside $269365</v>
      </c>
      <c r="I273" s="302"/>
    </row>
    <row r="274" spans="2:9">
      <c r="B274" s="784" t="s">
        <v>1660</v>
      </c>
      <c r="C274" s="787" t="s">
        <v>1661</v>
      </c>
      <c r="D274" s="2">
        <v>0</v>
      </c>
      <c r="E274" s="2">
        <v>0</v>
      </c>
      <c r="F274" s="2">
        <f t="shared" si="14"/>
        <v>0</v>
      </c>
      <c r="G274" s="829" t="str">
        <f t="shared" si="15"/>
        <v/>
      </c>
      <c r="H274" s="659" t="str">
        <f t="shared" si="13"/>
        <v>Suquamish Tribal $0</v>
      </c>
      <c r="I274" s="302"/>
    </row>
    <row r="275" spans="2:9">
      <c r="B275" s="784" t="s">
        <v>345</v>
      </c>
      <c r="C275" s="787" t="s">
        <v>1524</v>
      </c>
      <c r="D275" s="2">
        <v>397128</v>
      </c>
      <c r="E275" s="2">
        <v>390587</v>
      </c>
      <c r="F275" s="2">
        <f t="shared" si="14"/>
        <v>6541</v>
      </c>
      <c r="G275" s="829">
        <f t="shared" si="15"/>
        <v>1.6470760057210772E-2</v>
      </c>
      <c r="H275" s="659" t="str">
        <f t="shared" si="13"/>
        <v>Tacoma $397128</v>
      </c>
      <c r="I275" s="302"/>
    </row>
    <row r="276" spans="2:9">
      <c r="B276" s="784" t="s">
        <v>143</v>
      </c>
      <c r="C276" s="787" t="s">
        <v>1434</v>
      </c>
      <c r="D276" s="2">
        <v>0</v>
      </c>
      <c r="E276" s="2">
        <v>0</v>
      </c>
      <c r="F276" s="2">
        <f t="shared" si="14"/>
        <v>0</v>
      </c>
      <c r="G276" s="829" t="str">
        <f t="shared" si="15"/>
        <v/>
      </c>
      <c r="H276" s="659" t="str">
        <f t="shared" si="13"/>
        <v>Taholah $0</v>
      </c>
      <c r="I276" s="302"/>
    </row>
    <row r="277" spans="2:9">
      <c r="B277" s="784" t="s">
        <v>197</v>
      </c>
      <c r="C277" s="787" t="s">
        <v>627</v>
      </c>
      <c r="D277" s="2">
        <v>30986</v>
      </c>
      <c r="E277" s="2">
        <v>33630</v>
      </c>
      <c r="F277" s="2">
        <f t="shared" si="14"/>
        <v>-2644</v>
      </c>
      <c r="G277" s="829">
        <f t="shared" si="15"/>
        <v>-8.5328858194023111E-2</v>
      </c>
      <c r="H277" s="659" t="str">
        <f t="shared" si="13"/>
        <v>Tahoma $30986</v>
      </c>
      <c r="I277" s="302"/>
    </row>
    <row r="278" spans="2:9">
      <c r="B278" s="784" t="s">
        <v>521</v>
      </c>
      <c r="C278" s="787" t="s">
        <v>1609</v>
      </c>
      <c r="D278" s="2">
        <v>0</v>
      </c>
      <c r="E278" s="2">
        <v>0</v>
      </c>
      <c r="F278" s="2">
        <f t="shared" si="14"/>
        <v>0</v>
      </c>
      <c r="G278" s="829" t="str">
        <f t="shared" si="15"/>
        <v/>
      </c>
      <c r="H278" s="659" t="str">
        <f t="shared" si="13"/>
        <v>Tekoa $0</v>
      </c>
      <c r="I278" s="302"/>
    </row>
    <row r="279" spans="2:9">
      <c r="B279" s="784" t="s">
        <v>486</v>
      </c>
      <c r="C279" s="787" t="s">
        <v>1594</v>
      </c>
      <c r="D279" s="2">
        <v>0</v>
      </c>
      <c r="E279" s="2">
        <v>0</v>
      </c>
      <c r="F279" s="2">
        <f t="shared" si="14"/>
        <v>0</v>
      </c>
      <c r="G279" s="829" t="str">
        <f t="shared" si="15"/>
        <v/>
      </c>
      <c r="H279" s="659" t="str">
        <f t="shared" si="13"/>
        <v>Tenino $0</v>
      </c>
      <c r="I279" s="302"/>
    </row>
    <row r="280" spans="2:9">
      <c r="B280" s="784" t="s">
        <v>224</v>
      </c>
      <c r="C280" s="787" t="s">
        <v>1468</v>
      </c>
      <c r="D280" s="2">
        <v>0</v>
      </c>
      <c r="E280" s="2">
        <v>0</v>
      </c>
      <c r="F280" s="2">
        <f t="shared" si="14"/>
        <v>0</v>
      </c>
      <c r="G280" s="829" t="str">
        <f t="shared" si="15"/>
        <v/>
      </c>
      <c r="H280" s="659" t="str">
        <f t="shared" si="13"/>
        <v>Thorp $0</v>
      </c>
      <c r="I280" s="302"/>
    </row>
    <row r="281" spans="2:9">
      <c r="B281" s="784" t="s">
        <v>268</v>
      </c>
      <c r="C281" s="787" t="s">
        <v>1488</v>
      </c>
      <c r="D281" s="2">
        <v>0</v>
      </c>
      <c r="E281" s="2">
        <v>0</v>
      </c>
      <c r="F281" s="2">
        <f t="shared" si="14"/>
        <v>0</v>
      </c>
      <c r="G281" s="829" t="str">
        <f t="shared" si="15"/>
        <v/>
      </c>
      <c r="H281" s="659" t="str">
        <f t="shared" si="13"/>
        <v>Toledo $0</v>
      </c>
      <c r="I281" s="302"/>
    </row>
    <row r="282" spans="2:9">
      <c r="B282" s="784" t="s">
        <v>321</v>
      </c>
      <c r="C282" s="787" t="s">
        <v>612</v>
      </c>
      <c r="D282" s="2">
        <v>19411</v>
      </c>
      <c r="E282" s="2">
        <v>19437</v>
      </c>
      <c r="F282" s="2">
        <f t="shared" si="14"/>
        <v>-26</v>
      </c>
      <c r="G282" s="829">
        <f t="shared" si="15"/>
        <v>-1.3394467054762764E-3</v>
      </c>
      <c r="H282" s="659" t="str">
        <f t="shared" si="13"/>
        <v>Tonasket $19411</v>
      </c>
      <c r="I282" s="302"/>
    </row>
    <row r="283" spans="2:9">
      <c r="B283" s="784" t="s">
        <v>559</v>
      </c>
      <c r="C283" s="787" t="s">
        <v>633</v>
      </c>
      <c r="D283" s="2">
        <v>205501</v>
      </c>
      <c r="E283" s="2">
        <v>192013</v>
      </c>
      <c r="F283" s="2">
        <f t="shared" si="14"/>
        <v>13488</v>
      </c>
      <c r="G283" s="829">
        <f t="shared" si="15"/>
        <v>6.5634717105999482E-2</v>
      </c>
      <c r="H283" s="659"/>
      <c r="I283" s="302"/>
    </row>
    <row r="284" spans="2:9">
      <c r="B284" s="64" t="s">
        <v>496</v>
      </c>
      <c r="C284" s="55" t="s">
        <v>1598</v>
      </c>
      <c r="D284" s="2">
        <v>0</v>
      </c>
      <c r="E284" s="2">
        <v>0</v>
      </c>
      <c r="F284" s="2">
        <f t="shared" si="14"/>
        <v>0</v>
      </c>
      <c r="G284" s="829" t="str">
        <f t="shared" si="15"/>
        <v/>
      </c>
      <c r="H284" s="659" t="str">
        <f t="shared" ref="H284:H320" si="16">C284&amp;" $"&amp;D284&amp;""</f>
        <v>Touchet $0</v>
      </c>
    </row>
    <row r="285" spans="2:9">
      <c r="B285" s="784" t="s">
        <v>72</v>
      </c>
      <c r="C285" s="787" t="s">
        <v>1400</v>
      </c>
      <c r="D285" s="2">
        <v>0</v>
      </c>
      <c r="E285" s="2">
        <v>0</v>
      </c>
      <c r="F285" s="2">
        <f t="shared" si="14"/>
        <v>0</v>
      </c>
      <c r="G285" s="829" t="str">
        <f t="shared" si="15"/>
        <v/>
      </c>
      <c r="H285" s="659" t="str">
        <f t="shared" si="16"/>
        <v>Toutle Lake $0</v>
      </c>
      <c r="I285" s="302"/>
    </row>
    <row r="286" spans="2:9">
      <c r="B286" s="784" t="s">
        <v>238</v>
      </c>
      <c r="C286" s="787" t="s">
        <v>1475</v>
      </c>
      <c r="D286" s="2">
        <v>0</v>
      </c>
      <c r="E286" s="2">
        <v>0</v>
      </c>
      <c r="F286" s="2">
        <f t="shared" si="14"/>
        <v>0</v>
      </c>
      <c r="G286" s="829" t="str">
        <f t="shared" si="15"/>
        <v/>
      </c>
      <c r="H286" s="659" t="str">
        <f t="shared" si="16"/>
        <v>Trout Lake $0</v>
      </c>
      <c r="I286" s="302"/>
    </row>
    <row r="287" spans="2:9">
      <c r="B287" s="784" t="s">
        <v>191</v>
      </c>
      <c r="C287" s="787" t="s">
        <v>1456</v>
      </c>
      <c r="D287" s="2">
        <v>125729</v>
      </c>
      <c r="E287" s="2">
        <v>114263</v>
      </c>
      <c r="F287" s="2">
        <f t="shared" si="14"/>
        <v>11466</v>
      </c>
      <c r="G287" s="829">
        <f t="shared" si="15"/>
        <v>9.1196144087680647E-2</v>
      </c>
      <c r="H287" s="659" t="str">
        <f t="shared" si="16"/>
        <v>Tukwila $125729</v>
      </c>
      <c r="I287" s="302"/>
    </row>
    <row r="288" spans="2:9">
      <c r="B288" t="s">
        <v>476</v>
      </c>
      <c r="C288" s="55" t="s">
        <v>1589</v>
      </c>
      <c r="D288" s="2">
        <v>15518</v>
      </c>
      <c r="E288" s="2">
        <v>16454</v>
      </c>
      <c r="F288" s="2">
        <f t="shared" si="14"/>
        <v>-936</v>
      </c>
      <c r="G288" s="829">
        <f t="shared" si="15"/>
        <v>-6.0317051166387421E-2</v>
      </c>
      <c r="H288" s="659" t="str">
        <f t="shared" si="16"/>
        <v>Tumwater $15518</v>
      </c>
    </row>
    <row r="289" spans="2:9">
      <c r="B289" s="784" t="s">
        <v>543</v>
      </c>
      <c r="C289" s="787" t="s">
        <v>1620</v>
      </c>
      <c r="D289" s="2">
        <v>23943</v>
      </c>
      <c r="E289" s="2">
        <v>29629</v>
      </c>
      <c r="F289" s="2">
        <f t="shared" si="14"/>
        <v>-5686</v>
      </c>
      <c r="G289" s="829">
        <f t="shared" si="15"/>
        <v>-0.23748068328947919</v>
      </c>
      <c r="H289" s="659" t="str">
        <f t="shared" si="16"/>
        <v>Union Gap $23943</v>
      </c>
      <c r="I289" s="302"/>
    </row>
    <row r="290" spans="2:9">
      <c r="B290" s="784" t="s">
        <v>349</v>
      </c>
      <c r="C290" s="787" t="s">
        <v>1526</v>
      </c>
      <c r="D290" s="2">
        <v>40559</v>
      </c>
      <c r="E290" s="2">
        <v>39670</v>
      </c>
      <c r="F290" s="2">
        <f t="shared" si="14"/>
        <v>889</v>
      </c>
      <c r="G290" s="829">
        <f t="shared" si="15"/>
        <v>2.1918686358144923E-2</v>
      </c>
      <c r="H290" s="659" t="str">
        <f t="shared" si="16"/>
        <v>University Place $40559</v>
      </c>
      <c r="I290" s="302"/>
    </row>
    <row r="291" spans="2:9">
      <c r="B291" s="784" t="s">
        <v>454</v>
      </c>
      <c r="C291" s="787" t="s">
        <v>1579</v>
      </c>
      <c r="D291" s="2">
        <v>0</v>
      </c>
      <c r="E291" s="2">
        <v>0</v>
      </c>
      <c r="F291" s="2">
        <f t="shared" si="14"/>
        <v>0</v>
      </c>
      <c r="G291" s="829" t="str">
        <f t="shared" si="15"/>
        <v/>
      </c>
      <c r="H291" s="659" t="str">
        <f t="shared" si="16"/>
        <v>Valley $0</v>
      </c>
      <c r="I291" s="302"/>
    </row>
    <row r="292" spans="2:9">
      <c r="B292" s="784" t="s">
        <v>49</v>
      </c>
      <c r="C292" s="787" t="s">
        <v>1390</v>
      </c>
      <c r="D292" s="2">
        <v>388209</v>
      </c>
      <c r="E292" s="2">
        <v>375997</v>
      </c>
      <c r="F292" s="2">
        <f t="shared" si="14"/>
        <v>12212</v>
      </c>
      <c r="G292" s="829">
        <f t="shared" si="15"/>
        <v>3.1457282031070892E-2</v>
      </c>
      <c r="H292" s="659" t="str">
        <f t="shared" si="16"/>
        <v>Vancouver $388209</v>
      </c>
      <c r="I292" s="302"/>
    </row>
    <row r="293" spans="2:9">
      <c r="B293" s="784" t="s">
        <v>183</v>
      </c>
      <c r="C293" s="787" t="s">
        <v>1453</v>
      </c>
      <c r="D293" s="2">
        <v>0</v>
      </c>
      <c r="E293" s="2">
        <v>0</v>
      </c>
      <c r="F293" s="2">
        <f t="shared" si="14"/>
        <v>0</v>
      </c>
      <c r="G293" s="829" t="str">
        <f t="shared" si="15"/>
        <v/>
      </c>
      <c r="H293" s="659" t="str">
        <f t="shared" si="16"/>
        <v>Vashon Island $0</v>
      </c>
      <c r="I293" s="302"/>
    </row>
    <row r="294" spans="2:9">
      <c r="B294" s="784" t="s">
        <v>488</v>
      </c>
      <c r="C294" s="787" t="s">
        <v>1595</v>
      </c>
      <c r="D294" s="2">
        <v>0</v>
      </c>
      <c r="E294" s="2">
        <v>0</v>
      </c>
      <c r="F294" s="2">
        <f t="shared" si="14"/>
        <v>0</v>
      </c>
      <c r="G294" s="829" t="str">
        <f t="shared" si="15"/>
        <v/>
      </c>
      <c r="H294" s="659" t="str">
        <f t="shared" si="16"/>
        <v>Wahkiakum $0</v>
      </c>
      <c r="I294" s="302"/>
    </row>
    <row r="295" spans="2:9">
      <c r="B295" s="784" t="s">
        <v>114</v>
      </c>
      <c r="C295" s="787" t="s">
        <v>634</v>
      </c>
      <c r="D295" s="2">
        <v>159015</v>
      </c>
      <c r="E295" s="2">
        <v>156145</v>
      </c>
      <c r="F295" s="2">
        <f t="shared" si="14"/>
        <v>2870</v>
      </c>
      <c r="G295" s="829">
        <f t="shared" si="15"/>
        <v>1.8048611766185579E-2</v>
      </c>
      <c r="H295" s="659" t="str">
        <f t="shared" si="16"/>
        <v>Wahluke $159015</v>
      </c>
      <c r="I295" s="302"/>
    </row>
    <row r="296" spans="2:9">
      <c r="B296" s="784" t="s">
        <v>500</v>
      </c>
      <c r="C296" s="787" t="s">
        <v>1600</v>
      </c>
      <c r="D296" s="2">
        <v>0</v>
      </c>
      <c r="E296" s="2">
        <v>0</v>
      </c>
      <c r="F296" s="2">
        <f t="shared" si="14"/>
        <v>0</v>
      </c>
      <c r="G296" s="829" t="str">
        <f t="shared" si="15"/>
        <v/>
      </c>
      <c r="H296" s="659" t="str">
        <f t="shared" si="16"/>
        <v>Waitsburg $0</v>
      </c>
      <c r="I296" s="302"/>
    </row>
    <row r="297" spans="2:9">
      <c r="B297" s="784" t="s">
        <v>492</v>
      </c>
      <c r="C297" s="787" t="s">
        <v>641</v>
      </c>
      <c r="D297" s="2">
        <v>95645</v>
      </c>
      <c r="E297" s="2">
        <v>97559</v>
      </c>
      <c r="F297" s="2">
        <f t="shared" si="14"/>
        <v>-1914</v>
      </c>
      <c r="G297" s="829">
        <f t="shared" si="15"/>
        <v>-2.0011500862564691E-2</v>
      </c>
      <c r="H297" s="659" t="str">
        <f t="shared" si="16"/>
        <v>Walla Walla $95645</v>
      </c>
      <c r="I297" s="302"/>
    </row>
    <row r="298" spans="2:9">
      <c r="B298" s="784" t="s">
        <v>567</v>
      </c>
      <c r="C298" s="787" t="s">
        <v>1630</v>
      </c>
      <c r="D298" s="2">
        <v>215287</v>
      </c>
      <c r="E298" s="2">
        <v>227010</v>
      </c>
      <c r="F298" s="2">
        <f t="shared" si="14"/>
        <v>-11723</v>
      </c>
      <c r="G298" s="829">
        <f t="shared" si="15"/>
        <v>-5.4452893114772374E-2</v>
      </c>
      <c r="H298" s="659" t="str">
        <f t="shared" si="16"/>
        <v>Wapato $215287</v>
      </c>
      <c r="I298" s="302"/>
    </row>
    <row r="299" spans="2:9">
      <c r="B299" s="784" t="s">
        <v>118</v>
      </c>
      <c r="C299" s="787" t="s">
        <v>1422</v>
      </c>
      <c r="D299" s="2">
        <v>34312</v>
      </c>
      <c r="E299" s="2">
        <v>33530</v>
      </c>
      <c r="F299" s="2">
        <f t="shared" si="14"/>
        <v>782</v>
      </c>
      <c r="G299" s="829">
        <f t="shared" si="15"/>
        <v>2.2790860340405689E-2</v>
      </c>
      <c r="H299" s="659" t="str">
        <f t="shared" si="16"/>
        <v>Warden $34312</v>
      </c>
      <c r="I299" s="302"/>
    </row>
    <row r="300" spans="2:9">
      <c r="B300" s="784" t="s">
        <v>56</v>
      </c>
      <c r="C300" s="787" t="s">
        <v>854</v>
      </c>
      <c r="D300" s="2">
        <v>0</v>
      </c>
      <c r="E300" s="2">
        <v>0</v>
      </c>
      <c r="F300" s="2">
        <f t="shared" si="14"/>
        <v>0</v>
      </c>
      <c r="G300" s="829" t="str">
        <f t="shared" si="15"/>
        <v/>
      </c>
      <c r="H300" s="835" t="str">
        <f t="shared" si="16"/>
        <v>Washougal $0</v>
      </c>
      <c r="I300" s="302"/>
    </row>
    <row r="301" spans="2:9">
      <c r="B301" s="784" t="s">
        <v>0</v>
      </c>
      <c r="C301" s="787" t="s">
        <v>1369</v>
      </c>
      <c r="D301" s="2">
        <v>0</v>
      </c>
      <c r="E301" s="2">
        <v>0</v>
      </c>
      <c r="F301" s="2">
        <f t="shared" si="14"/>
        <v>0</v>
      </c>
      <c r="G301" s="829" t="str">
        <f t="shared" si="15"/>
        <v/>
      </c>
      <c r="H301" s="833" t="str">
        <f t="shared" si="16"/>
        <v>Washtucna $0</v>
      </c>
      <c r="I301" s="302"/>
    </row>
    <row r="302" spans="2:9">
      <c r="B302" s="784" t="s">
        <v>92</v>
      </c>
      <c r="C302" s="787" t="s">
        <v>1410</v>
      </c>
      <c r="D302" s="2">
        <v>0</v>
      </c>
      <c r="E302" s="2">
        <v>0</v>
      </c>
      <c r="F302" s="2">
        <f t="shared" si="14"/>
        <v>0</v>
      </c>
      <c r="G302" s="829" t="str">
        <f t="shared" si="15"/>
        <v/>
      </c>
      <c r="H302" s="659" t="str">
        <f t="shared" si="16"/>
        <v>Waterville $0</v>
      </c>
      <c r="I302" s="302"/>
    </row>
    <row r="303" spans="2:9">
      <c r="B303" s="784" t="s">
        <v>452</v>
      </c>
      <c r="C303" s="787" t="s">
        <v>1578</v>
      </c>
      <c r="D303" s="2">
        <v>10582</v>
      </c>
      <c r="E303" s="2">
        <v>14864</v>
      </c>
      <c r="F303" s="2">
        <f t="shared" si="14"/>
        <v>-4282</v>
      </c>
      <c r="G303" s="829">
        <f t="shared" si="15"/>
        <v>-0.40464940464940463</v>
      </c>
      <c r="H303" s="659" t="str">
        <f t="shared" si="16"/>
        <v>Wellpinit $10582</v>
      </c>
      <c r="I303" s="302"/>
    </row>
    <row r="304" spans="2:9">
      <c r="B304" s="784" t="s">
        <v>37</v>
      </c>
      <c r="C304" s="787" t="s">
        <v>1384</v>
      </c>
      <c r="D304" s="2">
        <v>236026</v>
      </c>
      <c r="E304" s="2">
        <v>224500</v>
      </c>
      <c r="F304" s="2">
        <f t="shared" si="14"/>
        <v>11526</v>
      </c>
      <c r="G304" s="829">
        <f t="shared" si="15"/>
        <v>4.883360307762704E-2</v>
      </c>
      <c r="H304" s="833" t="str">
        <f t="shared" si="16"/>
        <v>Wenatchee $236026</v>
      </c>
      <c r="I304" s="302"/>
    </row>
    <row r="305" spans="2:9">
      <c r="B305" s="784" t="s">
        <v>443</v>
      </c>
      <c r="C305" s="787" t="s">
        <v>1573</v>
      </c>
      <c r="D305" s="2">
        <v>13750</v>
      </c>
      <c r="E305" s="2">
        <v>12304</v>
      </c>
      <c r="F305" s="2">
        <f t="shared" si="14"/>
        <v>1446</v>
      </c>
      <c r="G305" s="829">
        <f t="shared" si="15"/>
        <v>0.10516363636363636</v>
      </c>
      <c r="H305" s="659" t="str">
        <f t="shared" si="16"/>
        <v>West Valley (Spok $13750</v>
      </c>
      <c r="I305" s="302"/>
    </row>
    <row r="306" spans="2:9">
      <c r="B306" s="36" t="s">
        <v>569</v>
      </c>
      <c r="C306" s="23" t="s">
        <v>1631</v>
      </c>
      <c r="D306" s="2">
        <v>48221</v>
      </c>
      <c r="E306" s="2">
        <v>45759</v>
      </c>
      <c r="F306" s="2">
        <f t="shared" si="14"/>
        <v>2462</v>
      </c>
      <c r="G306" s="829">
        <f t="shared" si="15"/>
        <v>5.1056593600298628E-2</v>
      </c>
      <c r="H306" s="659" t="str">
        <f t="shared" si="16"/>
        <v>West Valley (Yak) $48221</v>
      </c>
    </row>
    <row r="307" spans="2:9">
      <c r="B307" s="784" t="s">
        <v>276</v>
      </c>
      <c r="C307" s="787" t="s">
        <v>1492</v>
      </c>
      <c r="D307" s="2">
        <v>0</v>
      </c>
      <c r="E307" s="2">
        <v>0</v>
      </c>
      <c r="F307" s="2">
        <f t="shared" si="14"/>
        <v>0</v>
      </c>
      <c r="G307" s="829" t="str">
        <f t="shared" si="15"/>
        <v/>
      </c>
      <c r="H307" s="659" t="str">
        <f t="shared" si="16"/>
        <v>White Pass $0</v>
      </c>
      <c r="I307" s="302"/>
    </row>
    <row r="308" spans="2:9">
      <c r="B308" s="784" t="s">
        <v>367</v>
      </c>
      <c r="C308" s="787" t="s">
        <v>1533</v>
      </c>
      <c r="D308" s="2">
        <v>16882</v>
      </c>
      <c r="E308" s="2">
        <v>18344</v>
      </c>
      <c r="F308" s="2">
        <f t="shared" si="14"/>
        <v>-1462</v>
      </c>
      <c r="G308" s="829">
        <f t="shared" si="15"/>
        <v>-8.660111361213127E-2</v>
      </c>
      <c r="H308" s="659" t="str">
        <f t="shared" si="16"/>
        <v>White River $16882</v>
      </c>
      <c r="I308" s="302"/>
    </row>
    <row r="309" spans="2:9">
      <c r="B309" s="785" t="s">
        <v>248</v>
      </c>
      <c r="C309" s="787" t="s">
        <v>1480</v>
      </c>
      <c r="D309" s="2">
        <v>24437</v>
      </c>
      <c r="E309" s="2">
        <v>21947</v>
      </c>
      <c r="F309" s="2">
        <f t="shared" si="14"/>
        <v>2490</v>
      </c>
      <c r="G309" s="829">
        <f t="shared" si="15"/>
        <v>0.10189466792159431</v>
      </c>
      <c r="H309" s="659" t="str">
        <f t="shared" si="16"/>
        <v>White Salmon $24437</v>
      </c>
      <c r="I309" s="302"/>
    </row>
    <row r="310" spans="2:9">
      <c r="B310" s="784" t="s">
        <v>289</v>
      </c>
      <c r="C310" s="787" t="s">
        <v>1498</v>
      </c>
      <c r="D310" s="2">
        <v>0</v>
      </c>
      <c r="E310" s="2">
        <v>0</v>
      </c>
      <c r="F310" s="2">
        <f t="shared" si="14"/>
        <v>0</v>
      </c>
      <c r="G310" s="829" t="str">
        <f t="shared" si="15"/>
        <v/>
      </c>
      <c r="H310" s="659" t="str">
        <f t="shared" si="16"/>
        <v>Wilbur $0</v>
      </c>
      <c r="I310" s="302"/>
    </row>
    <row r="311" spans="2:9">
      <c r="B311" s="784" t="s">
        <v>332</v>
      </c>
      <c r="C311" s="787" t="s">
        <v>1517</v>
      </c>
      <c r="D311" s="2">
        <v>0</v>
      </c>
      <c r="E311" s="2">
        <v>0</v>
      </c>
      <c r="F311" s="2">
        <f t="shared" si="14"/>
        <v>0</v>
      </c>
      <c r="G311" s="829" t="str">
        <f t="shared" si="15"/>
        <v/>
      </c>
      <c r="H311" s="659" t="str">
        <f t="shared" si="16"/>
        <v>Willapa Valley $0</v>
      </c>
      <c r="I311" s="302"/>
    </row>
    <row r="312" spans="2:9">
      <c r="B312" s="36" t="s">
        <v>1717</v>
      </c>
      <c r="C312" s="23" t="s">
        <v>1719</v>
      </c>
      <c r="D312" s="2">
        <v>0</v>
      </c>
      <c r="E312" s="2">
        <v>0</v>
      </c>
      <c r="F312" s="2">
        <f t="shared" si="14"/>
        <v>0</v>
      </c>
      <c r="G312" s="829" t="str">
        <f t="shared" si="15"/>
        <v/>
      </c>
      <c r="H312" s="659" t="str">
        <f t="shared" si="16"/>
        <v>Willow $0</v>
      </c>
    </row>
    <row r="313" spans="2:9">
      <c r="B313" s="784" t="s">
        <v>129</v>
      </c>
      <c r="C313" s="787" t="s">
        <v>1427</v>
      </c>
      <c r="D313" s="2">
        <v>0</v>
      </c>
      <c r="E313" s="2">
        <v>0</v>
      </c>
      <c r="F313" s="2">
        <f t="shared" si="14"/>
        <v>0</v>
      </c>
      <c r="G313" s="829" t="str">
        <f t="shared" si="15"/>
        <v/>
      </c>
      <c r="H313" s="659" t="str">
        <f t="shared" si="16"/>
        <v>Wilson Creek $0</v>
      </c>
      <c r="I313" s="302"/>
    </row>
    <row r="314" spans="2:9">
      <c r="B314" s="784" t="s">
        <v>264</v>
      </c>
      <c r="C314" s="787" t="s">
        <v>1486</v>
      </c>
      <c r="D314" s="2">
        <v>11112</v>
      </c>
      <c r="E314" s="2">
        <v>10986</v>
      </c>
      <c r="F314" s="2">
        <f t="shared" si="14"/>
        <v>126</v>
      </c>
      <c r="G314" s="829">
        <f t="shared" si="15"/>
        <v>1.1339092872570195E-2</v>
      </c>
      <c r="H314" s="659" t="str">
        <f t="shared" si="16"/>
        <v>Winlock $11112</v>
      </c>
      <c r="I314" s="302"/>
    </row>
    <row r="315" spans="2:9">
      <c r="B315" s="784" t="s">
        <v>151</v>
      </c>
      <c r="C315" s="787" t="s">
        <v>1437</v>
      </c>
      <c r="D315" s="2">
        <v>0</v>
      </c>
      <c r="E315" s="2">
        <v>0</v>
      </c>
      <c r="F315" s="2">
        <f t="shared" si="14"/>
        <v>0</v>
      </c>
      <c r="G315" s="829" t="str">
        <f t="shared" si="15"/>
        <v/>
      </c>
      <c r="H315" s="659" t="str">
        <f t="shared" si="16"/>
        <v>Wishkah Valley $0</v>
      </c>
      <c r="I315" s="302"/>
    </row>
    <row r="316" spans="2:9">
      <c r="B316" s="784" t="s">
        <v>232</v>
      </c>
      <c r="C316" s="787" t="s">
        <v>1472</v>
      </c>
      <c r="D316" s="2">
        <v>0</v>
      </c>
      <c r="E316" s="2">
        <v>0</v>
      </c>
      <c r="F316" s="2">
        <f t="shared" si="14"/>
        <v>0</v>
      </c>
      <c r="G316" s="829" t="str">
        <f t="shared" si="15"/>
        <v/>
      </c>
      <c r="H316" s="659" t="str">
        <f t="shared" si="16"/>
        <v>Wishram $0</v>
      </c>
      <c r="I316" s="302"/>
    </row>
    <row r="317" spans="2:9">
      <c r="B317" s="784" t="s">
        <v>78</v>
      </c>
      <c r="C317" s="787" t="s">
        <v>1403</v>
      </c>
      <c r="D317" s="2">
        <v>25163</v>
      </c>
      <c r="E317" s="2">
        <v>26894</v>
      </c>
      <c r="F317" s="2">
        <f t="shared" si="14"/>
        <v>-1731</v>
      </c>
      <c r="G317" s="829">
        <f t="shared" si="15"/>
        <v>-6.8791479553312398E-2</v>
      </c>
      <c r="H317" s="659" t="str">
        <f t="shared" si="16"/>
        <v>Woodland $25163</v>
      </c>
      <c r="I317" s="302"/>
    </row>
    <row r="318" spans="2:9">
      <c r="B318" s="784" t="s">
        <v>547</v>
      </c>
      <c r="C318" s="787" t="s">
        <v>1622</v>
      </c>
      <c r="D318" s="2">
        <v>622235</v>
      </c>
      <c r="E318" s="2">
        <v>570793</v>
      </c>
      <c r="F318" s="2">
        <f t="shared" si="14"/>
        <v>51442</v>
      </c>
      <c r="G318" s="829">
        <f t="shared" si="15"/>
        <v>8.267294510916294E-2</v>
      </c>
      <c r="H318" s="659" t="str">
        <f t="shared" si="16"/>
        <v>Yakima $622235</v>
      </c>
      <c r="I318" s="302"/>
    </row>
    <row r="319" spans="2:9">
      <c r="B319" s="784" t="s">
        <v>472</v>
      </c>
      <c r="C319" s="787" t="s">
        <v>1588</v>
      </c>
      <c r="D319" s="2">
        <v>18970</v>
      </c>
      <c r="E319" s="2">
        <v>19736</v>
      </c>
      <c r="F319" s="2">
        <f t="shared" si="14"/>
        <v>-766</v>
      </c>
      <c r="G319" s="829">
        <f t="shared" si="15"/>
        <v>-4.0379546652609385E-2</v>
      </c>
      <c r="H319" s="659" t="str">
        <f t="shared" si="16"/>
        <v>Yelm $18970</v>
      </c>
      <c r="I319" s="302"/>
    </row>
    <row r="320" spans="2:9">
      <c r="B320" s="784" t="s">
        <v>565</v>
      </c>
      <c r="C320" s="787" t="s">
        <v>1629</v>
      </c>
      <c r="D320" s="2">
        <v>19412</v>
      </c>
      <c r="E320" s="2">
        <v>20382</v>
      </c>
      <c r="F320" s="2">
        <f t="shared" si="14"/>
        <v>-970</v>
      </c>
      <c r="G320" s="829">
        <f t="shared" si="15"/>
        <v>-4.9969091283742016E-2</v>
      </c>
      <c r="H320" s="659" t="str">
        <f t="shared" si="16"/>
        <v>Zillah $19412</v>
      </c>
      <c r="I320" s="302"/>
    </row>
    <row r="321" spans="4:6">
      <c r="D321" s="2"/>
      <c r="E321" s="2"/>
      <c r="F321" s="2"/>
    </row>
  </sheetData>
  <sortState xmlns:xlrd2="http://schemas.microsoft.com/office/spreadsheetml/2017/richdata2" ref="B8:I320">
    <sortCondition ref="C8:C320"/>
  </sortState>
  <mergeCells count="2">
    <mergeCell ref="D5:E5"/>
    <mergeCell ref="F5:G5"/>
  </mergeCells>
  <conditionalFormatting sqref="C8:C311">
    <cfRule type="expression" dxfId="104" priority="1">
      <formula>AND($O8&lt;10000,$O8&gt;0,$K8="Y")</formula>
    </cfRule>
  </conditionalFormatting>
  <pageMargins left="0.5" right="0.5" top="0.5" bottom="0.5" header="0.5" footer="0.5"/>
  <pageSetup scale="72" fitToHeight="1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AK322"/>
  <sheetViews>
    <sheetView topLeftCell="E5" workbookViewId="0">
      <selection activeCell="O11" sqref="O11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220502</v>
      </c>
      <c r="O3" s="87">
        <v>15772396</v>
      </c>
      <c r="Q3" s="67"/>
      <c r="R3" s="67"/>
      <c r="S3" s="67"/>
      <c r="T3" s="67"/>
      <c r="U3" s="67"/>
      <c r="V3" s="151"/>
      <c r="W3" s="87">
        <v>15772396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1721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15772396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Q6" s="67"/>
      <c r="R6" s="67"/>
      <c r="S6" s="67"/>
      <c r="T6" s="67"/>
      <c r="U6" s="399" t="s">
        <v>865</v>
      </c>
      <c r="W6" s="399" t="s">
        <v>865</v>
      </c>
      <c r="AA6" s="27"/>
      <c r="AB6" s="26"/>
    </row>
    <row r="7" spans="1:37">
      <c r="A7" s="46"/>
      <c r="B7" s="47"/>
      <c r="C7" s="47" t="s">
        <v>620</v>
      </c>
      <c r="D7" s="67">
        <v>92845.258571428596</v>
      </c>
      <c r="E7" s="88">
        <v>169.8783141183869</v>
      </c>
      <c r="F7" s="72">
        <v>0</v>
      </c>
      <c r="G7" s="72">
        <v>0</v>
      </c>
      <c r="H7" s="161">
        <v>15772396</v>
      </c>
      <c r="I7" s="73">
        <v>0</v>
      </c>
      <c r="J7" s="73">
        <v>15772396</v>
      </c>
      <c r="K7" s="72" t="s">
        <v>1725</v>
      </c>
      <c r="L7" s="88">
        <v>220502</v>
      </c>
      <c r="M7" s="67">
        <v>91547.265714285735</v>
      </c>
      <c r="N7" s="88">
        <v>220502</v>
      </c>
      <c r="O7" s="88">
        <v>15772396</v>
      </c>
      <c r="P7" s="677"/>
      <c r="Q7" s="88">
        <v>0</v>
      </c>
      <c r="R7" s="88">
        <v>0</v>
      </c>
      <c r="S7" s="88"/>
      <c r="T7" s="88">
        <v>0</v>
      </c>
      <c r="U7" s="88">
        <v>15772396</v>
      </c>
      <c r="W7" s="88">
        <v>15772396</v>
      </c>
      <c r="X7" s="91">
        <v>15343280</v>
      </c>
      <c r="Y7" s="163">
        <v>429116</v>
      </c>
      <c r="Z7" s="166">
        <v>-9.02630022938577E-3</v>
      </c>
      <c r="AA7" s="27">
        <v>25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92845.258571428596</v>
      </c>
      <c r="E8" s="529">
        <v>15772396</v>
      </c>
      <c r="F8" s="529">
        <v>0</v>
      </c>
      <c r="G8" s="529">
        <v>0</v>
      </c>
      <c r="H8" s="529">
        <v>15772396</v>
      </c>
      <c r="I8" s="529">
        <v>0</v>
      </c>
      <c r="J8" s="529">
        <v>15772396</v>
      </c>
      <c r="K8" s="529">
        <v>0</v>
      </c>
      <c r="L8" s="529">
        <v>220502</v>
      </c>
      <c r="M8" s="529">
        <v>91547.265714285735</v>
      </c>
      <c r="N8" s="529">
        <v>220502</v>
      </c>
      <c r="O8" s="529">
        <v>15772396</v>
      </c>
      <c r="P8" s="529"/>
      <c r="Q8" s="529">
        <v>0</v>
      </c>
      <c r="R8" s="529">
        <v>0</v>
      </c>
      <c r="S8" s="529"/>
      <c r="T8" s="529"/>
      <c r="U8" s="529">
        <v>15772396</v>
      </c>
      <c r="V8" s="531"/>
      <c r="W8" s="529">
        <v>15772396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644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 t="s">
        <v>1730</v>
      </c>
      <c r="S9" s="798" t="s">
        <v>801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A9" s="34" t="s">
        <v>644</v>
      </c>
      <c r="AC9" s="809" t="s">
        <v>132</v>
      </c>
      <c r="AD9" s="55" t="s">
        <v>1429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s="809" t="s">
        <v>195</v>
      </c>
      <c r="AD10" s="55" t="s">
        <v>1362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1835.0866666666668</v>
      </c>
      <c r="E11" s="67">
        <v>222210</v>
      </c>
      <c r="F11" s="146">
        <v>0</v>
      </c>
      <c r="G11" s="146">
        <v>0</v>
      </c>
      <c r="H11" s="91">
        <v>222210</v>
      </c>
      <c r="I11" s="67">
        <v>0</v>
      </c>
      <c r="J11" s="739">
        <v>222210</v>
      </c>
      <c r="K11" s="132" t="s">
        <v>621</v>
      </c>
      <c r="L11" s="740">
        <v>0</v>
      </c>
      <c r="M11" s="741">
        <v>1835.0866666666668</v>
      </c>
      <c r="N11" s="67">
        <v>3015</v>
      </c>
      <c r="O11" s="67">
        <v>225225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225225</v>
      </c>
      <c r="V11" s="71">
        <v>122.73262298238411</v>
      </c>
      <c r="W11" s="449">
        <v>225225</v>
      </c>
      <c r="X11" s="67">
        <v>230826</v>
      </c>
      <c r="Y11" s="163">
        <v>-5601</v>
      </c>
      <c r="Z11" s="166">
        <v>-2.4265030802422604E-2</v>
      </c>
      <c r="AA11" s="34" t="s">
        <v>621</v>
      </c>
      <c r="AC11" s="809" t="s">
        <v>315</v>
      </c>
      <c r="AD11" t="s">
        <v>1510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28.57</v>
      </c>
      <c r="E12" s="67">
        <v>3460</v>
      </c>
      <c r="F12" s="146">
        <v>0</v>
      </c>
      <c r="G12" s="146">
        <v>0</v>
      </c>
      <c r="H12" s="91">
        <v>3460</v>
      </c>
      <c r="I12" s="67">
        <v>0</v>
      </c>
      <c r="J12" s="739">
        <v>3460</v>
      </c>
      <c r="K12" s="132" t="s">
        <v>644</v>
      </c>
      <c r="L12" s="740">
        <v>3460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644</v>
      </c>
      <c r="AC12" s="809" t="s">
        <v>230</v>
      </c>
      <c r="AD12" t="s">
        <v>1471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644</v>
      </c>
      <c r="AC13" s="809" t="s">
        <v>353</v>
      </c>
      <c r="AD13" s="55" t="s">
        <v>1528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25.29</v>
      </c>
      <c r="E14" s="67">
        <v>3062</v>
      </c>
      <c r="F14" s="146">
        <v>0</v>
      </c>
      <c r="G14" s="146">
        <v>0</v>
      </c>
      <c r="H14" s="91">
        <v>3062</v>
      </c>
      <c r="I14" s="67">
        <v>0</v>
      </c>
      <c r="J14" s="739">
        <v>3062</v>
      </c>
      <c r="K14" s="132" t="s">
        <v>644</v>
      </c>
      <c r="L14" s="740">
        <v>3062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s="809" t="s">
        <v>222</v>
      </c>
      <c r="AD14" s="55" t="s">
        <v>1467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644</v>
      </c>
      <c r="AC15" s="809" t="s">
        <v>246</v>
      </c>
      <c r="AD15" t="s">
        <v>1479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2867.42</v>
      </c>
      <c r="E16" s="67">
        <v>347215</v>
      </c>
      <c r="F16" s="146">
        <v>0</v>
      </c>
      <c r="G16" s="146">
        <v>0</v>
      </c>
      <c r="H16" s="91">
        <v>347215</v>
      </c>
      <c r="I16" s="67">
        <v>0</v>
      </c>
      <c r="J16" s="739">
        <v>347215</v>
      </c>
      <c r="K16" s="132" t="s">
        <v>621</v>
      </c>
      <c r="L16" s="740">
        <v>0</v>
      </c>
      <c r="M16" s="741">
        <v>2867.42</v>
      </c>
      <c r="N16" s="67">
        <v>4710</v>
      </c>
      <c r="O16" s="67">
        <v>351925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351925</v>
      </c>
      <c r="V16" s="71">
        <v>122.73228198171178</v>
      </c>
      <c r="W16" s="449">
        <v>351925</v>
      </c>
      <c r="X16" s="67">
        <v>341574</v>
      </c>
      <c r="Y16" s="163">
        <v>10351</v>
      </c>
      <c r="Z16" s="166">
        <v>3.0303828745747628E-2</v>
      </c>
      <c r="AA16" s="34" t="s">
        <v>621</v>
      </c>
      <c r="AC16" s="809" t="s">
        <v>134</v>
      </c>
      <c r="AD16" s="55" t="s">
        <v>748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33.28</v>
      </c>
      <c r="E17" s="67">
        <v>4030</v>
      </c>
      <c r="F17" s="146">
        <v>0</v>
      </c>
      <c r="G17" s="146">
        <v>0</v>
      </c>
      <c r="H17" s="91">
        <v>4030</v>
      </c>
      <c r="I17" s="67">
        <v>0</v>
      </c>
      <c r="J17" s="739">
        <v>4030</v>
      </c>
      <c r="K17" s="132" t="s">
        <v>644</v>
      </c>
      <c r="L17" s="740">
        <v>4030</v>
      </c>
      <c r="M17" s="741">
        <v>0</v>
      </c>
      <c r="N17" s="67">
        <v>0</v>
      </c>
      <c r="O17" s="67">
        <v>0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644</v>
      </c>
      <c r="AC17" s="809" t="s">
        <v>228</v>
      </c>
      <c r="AD17" s="55" t="s">
        <v>1470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340.14</v>
      </c>
      <c r="E18" s="67">
        <v>41187</v>
      </c>
      <c r="F18" s="146">
        <v>0</v>
      </c>
      <c r="G18" s="146">
        <v>0</v>
      </c>
      <c r="H18" s="91">
        <v>41187</v>
      </c>
      <c r="I18" s="67">
        <v>0</v>
      </c>
      <c r="J18" s="739">
        <v>41187</v>
      </c>
      <c r="K18" s="132" t="s">
        <v>621</v>
      </c>
      <c r="L18" s="740">
        <v>0</v>
      </c>
      <c r="M18" s="741">
        <v>340.14</v>
      </c>
      <c r="N18" s="67">
        <v>559</v>
      </c>
      <c r="O18" s="67">
        <v>41746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41746</v>
      </c>
      <c r="V18" s="71">
        <v>122.7318163109308</v>
      </c>
      <c r="W18" s="449">
        <v>41746</v>
      </c>
      <c r="X18" s="67">
        <v>38831</v>
      </c>
      <c r="Y18" s="163">
        <v>2915</v>
      </c>
      <c r="Z18" s="166">
        <v>7.5068888259380392E-2</v>
      </c>
      <c r="AA18" s="34" t="s">
        <v>621</v>
      </c>
      <c r="AC18" s="809" t="s">
        <v>373</v>
      </c>
      <c r="AD18" t="s">
        <v>1539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158.4688888888889</v>
      </c>
      <c r="E19" s="67">
        <v>19189</v>
      </c>
      <c r="F19" s="146">
        <v>0</v>
      </c>
      <c r="G19" s="146">
        <v>0</v>
      </c>
      <c r="H19" s="91">
        <v>19189</v>
      </c>
      <c r="I19" s="67">
        <v>0</v>
      </c>
      <c r="J19" s="739">
        <v>19189</v>
      </c>
      <c r="K19" s="132" t="s">
        <v>621</v>
      </c>
      <c r="L19" s="740">
        <v>0</v>
      </c>
      <c r="M19" s="741">
        <v>158.4688888888889</v>
      </c>
      <c r="N19" s="67">
        <v>260</v>
      </c>
      <c r="O19" s="67">
        <v>19449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19449</v>
      </c>
      <c r="V19" s="71">
        <v>122.73071475648918</v>
      </c>
      <c r="W19" s="449">
        <v>19449</v>
      </c>
      <c r="X19" s="67">
        <v>19802</v>
      </c>
      <c r="Y19" s="163">
        <v>-353</v>
      </c>
      <c r="Z19" s="166">
        <v>-1.7826482173517826E-2</v>
      </c>
      <c r="AA19" s="34" t="s">
        <v>621</v>
      </c>
      <c r="AC19" s="809" t="s">
        <v>258</v>
      </c>
      <c r="AD19" t="s">
        <v>1356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607.22222222222217</v>
      </c>
      <c r="E20" s="67">
        <v>73528</v>
      </c>
      <c r="F20" s="146">
        <v>0</v>
      </c>
      <c r="G20" s="146">
        <v>0</v>
      </c>
      <c r="H20" s="91">
        <v>73528</v>
      </c>
      <c r="I20" s="67">
        <v>0</v>
      </c>
      <c r="J20" s="739">
        <v>73528</v>
      </c>
      <c r="K20" s="132" t="s">
        <v>621</v>
      </c>
      <c r="L20" s="740">
        <v>0</v>
      </c>
      <c r="M20" s="741">
        <v>607.22222222222217</v>
      </c>
      <c r="N20" s="67">
        <v>997</v>
      </c>
      <c r="O20" s="67">
        <v>74525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74525</v>
      </c>
      <c r="V20" s="71">
        <v>122.73101555352243</v>
      </c>
      <c r="W20" s="449">
        <v>74525</v>
      </c>
      <c r="X20" s="67">
        <v>77910</v>
      </c>
      <c r="Y20" s="163">
        <v>-3385</v>
      </c>
      <c r="Z20" s="166">
        <v>-4.3447567706327815E-2</v>
      </c>
      <c r="AA20" s="34" t="s">
        <v>621</v>
      </c>
      <c r="AC20" s="809" t="s">
        <v>331</v>
      </c>
      <c r="AD20" t="s">
        <v>1516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694.72</v>
      </c>
      <c r="E21" s="67">
        <v>84123</v>
      </c>
      <c r="F21" s="146">
        <v>0</v>
      </c>
      <c r="G21" s="146">
        <v>0</v>
      </c>
      <c r="H21" s="91">
        <v>84123</v>
      </c>
      <c r="I21" s="67">
        <v>0</v>
      </c>
      <c r="J21" s="739">
        <v>84123</v>
      </c>
      <c r="K21" s="132" t="s">
        <v>621</v>
      </c>
      <c r="L21" s="740">
        <v>0</v>
      </c>
      <c r="M21" s="741">
        <v>694.72</v>
      </c>
      <c r="N21" s="67">
        <v>1141</v>
      </c>
      <c r="O21" s="67">
        <v>85264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85264</v>
      </c>
      <c r="V21" s="71">
        <v>122.73146015660986</v>
      </c>
      <c r="W21" s="449">
        <v>85264</v>
      </c>
      <c r="X21" s="67">
        <v>75115</v>
      </c>
      <c r="Y21" s="163">
        <v>10149</v>
      </c>
      <c r="Z21" s="166">
        <v>0.13511282699860214</v>
      </c>
      <c r="AA21" s="34" t="s">
        <v>621</v>
      </c>
      <c r="AC21" s="809" t="s">
        <v>155</v>
      </c>
      <c r="AD21" s="55" t="s">
        <v>1439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251.14</v>
      </c>
      <c r="E22" s="67">
        <v>30410</v>
      </c>
      <c r="F22" s="146">
        <v>0</v>
      </c>
      <c r="G22" s="146">
        <v>0</v>
      </c>
      <c r="H22" s="91">
        <v>30410</v>
      </c>
      <c r="I22" s="67">
        <v>0</v>
      </c>
      <c r="J22" s="739">
        <v>30410</v>
      </c>
      <c r="K22" s="132" t="s">
        <v>621</v>
      </c>
      <c r="L22" s="740">
        <v>0</v>
      </c>
      <c r="M22" s="741">
        <v>251.14</v>
      </c>
      <c r="N22" s="67">
        <v>413</v>
      </c>
      <c r="O22" s="67">
        <v>30823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30823</v>
      </c>
      <c r="V22" s="71">
        <v>122.73234052719599</v>
      </c>
      <c r="W22" s="449">
        <v>30823</v>
      </c>
      <c r="X22" s="67">
        <v>34368</v>
      </c>
      <c r="Y22" s="163">
        <v>-3545</v>
      </c>
      <c r="Z22" s="166">
        <v>-0.10314827746741155</v>
      </c>
      <c r="AA22" s="34" t="s">
        <v>621</v>
      </c>
      <c r="AC22" s="809" t="s">
        <v>325</v>
      </c>
      <c r="AD22" t="s">
        <v>712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644</v>
      </c>
      <c r="AC23" s="809" t="s">
        <v>153</v>
      </c>
      <c r="AD23" t="s">
        <v>1438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40.43</v>
      </c>
      <c r="E24" s="67">
        <v>4896</v>
      </c>
      <c r="F24" s="146">
        <v>0</v>
      </c>
      <c r="G24" s="146">
        <v>0</v>
      </c>
      <c r="H24" s="91">
        <v>4896</v>
      </c>
      <c r="I24" s="67">
        <v>0</v>
      </c>
      <c r="J24" s="739">
        <v>4896</v>
      </c>
      <c r="K24" s="132" t="s">
        <v>644</v>
      </c>
      <c r="L24" s="740">
        <v>4896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s="67" t="s">
        <v>270</v>
      </c>
      <c r="AD24" t="s">
        <v>1489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411.28</v>
      </c>
      <c r="E25" s="67">
        <v>49802</v>
      </c>
      <c r="F25" s="146">
        <v>0</v>
      </c>
      <c r="G25" s="146">
        <v>0</v>
      </c>
      <c r="H25" s="91">
        <v>49802</v>
      </c>
      <c r="I25" s="67">
        <v>0</v>
      </c>
      <c r="J25" s="739">
        <v>49802</v>
      </c>
      <c r="K25" s="132" t="s">
        <v>621</v>
      </c>
      <c r="L25" s="740">
        <v>0</v>
      </c>
      <c r="M25" s="741">
        <v>411.28</v>
      </c>
      <c r="N25" s="67">
        <v>676</v>
      </c>
      <c r="O25" s="67">
        <v>50478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50478</v>
      </c>
      <c r="V25" s="71">
        <v>122.73390390974519</v>
      </c>
      <c r="W25" s="449">
        <v>50478</v>
      </c>
      <c r="X25" s="67">
        <v>51946</v>
      </c>
      <c r="Y25" s="163">
        <v>-1468</v>
      </c>
      <c r="Z25" s="166">
        <v>-2.8260116274592847E-2</v>
      </c>
      <c r="AA25" s="34" t="s">
        <v>621</v>
      </c>
      <c r="AC25" s="67" t="s">
        <v>372</v>
      </c>
      <c r="AD25" t="s">
        <v>1538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244.57</v>
      </c>
      <c r="E26" s="67">
        <v>29615</v>
      </c>
      <c r="F26" s="146">
        <v>0</v>
      </c>
      <c r="G26" s="146">
        <v>0</v>
      </c>
      <c r="H26" s="91">
        <v>29615</v>
      </c>
      <c r="I26" s="67">
        <v>0</v>
      </c>
      <c r="J26" s="739">
        <v>29615</v>
      </c>
      <c r="K26" s="132" t="s">
        <v>621</v>
      </c>
      <c r="L26" s="740">
        <v>0</v>
      </c>
      <c r="M26" s="741">
        <v>244.57</v>
      </c>
      <c r="N26" s="67">
        <v>402</v>
      </c>
      <c r="O26" s="67">
        <v>30017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30017</v>
      </c>
      <c r="V26" s="71">
        <v>122.73377765057039</v>
      </c>
      <c r="W26" s="449">
        <v>30017</v>
      </c>
      <c r="X26" s="67">
        <v>31465</v>
      </c>
      <c r="Y26" s="163">
        <v>-1448</v>
      </c>
      <c r="Z26" s="166">
        <v>-4.6019386620054031E-2</v>
      </c>
      <c r="AA26" s="34" t="s">
        <v>621</v>
      </c>
      <c r="AC26" s="67" t="s">
        <v>355</v>
      </c>
      <c r="AD26" t="s">
        <v>1529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184.86</v>
      </c>
      <c r="E27" s="67">
        <v>22385</v>
      </c>
      <c r="F27" s="146">
        <v>0</v>
      </c>
      <c r="G27" s="146">
        <v>0</v>
      </c>
      <c r="H27" s="91">
        <v>22385</v>
      </c>
      <c r="I27" s="67">
        <v>0</v>
      </c>
      <c r="J27" s="739">
        <v>22385</v>
      </c>
      <c r="K27" s="132" t="s">
        <v>621</v>
      </c>
      <c r="L27" s="740">
        <v>0</v>
      </c>
      <c r="M27" s="741">
        <v>184.86</v>
      </c>
      <c r="N27" s="67">
        <v>304</v>
      </c>
      <c r="O27" s="67">
        <v>22689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22689</v>
      </c>
      <c r="V27" s="71">
        <v>122.7361246348588</v>
      </c>
      <c r="W27" s="449">
        <v>22689</v>
      </c>
      <c r="X27" s="67">
        <v>22598</v>
      </c>
      <c r="Y27" s="163">
        <v>91</v>
      </c>
      <c r="Z27" s="166">
        <v>4.0269050358438798E-3</v>
      </c>
      <c r="AA27" s="34" t="s">
        <v>621</v>
      </c>
      <c r="AC27" s="67" t="s">
        <v>317</v>
      </c>
      <c r="AD27" t="s">
        <v>1511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1922.43</v>
      </c>
      <c r="E28" s="67">
        <v>232786</v>
      </c>
      <c r="F28" s="146">
        <v>0</v>
      </c>
      <c r="G28" s="146">
        <v>0</v>
      </c>
      <c r="H28" s="91">
        <v>232786</v>
      </c>
      <c r="I28" s="67">
        <v>0</v>
      </c>
      <c r="J28" s="739">
        <v>232786</v>
      </c>
      <c r="K28" s="132" t="s">
        <v>621</v>
      </c>
      <c r="L28" s="740">
        <v>0</v>
      </c>
      <c r="M28" s="741">
        <v>1922.43</v>
      </c>
      <c r="N28" s="67">
        <v>3158</v>
      </c>
      <c r="O28" s="67">
        <v>235944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235944</v>
      </c>
      <c r="V28" s="71">
        <v>122.73216710101278</v>
      </c>
      <c r="W28" s="449">
        <v>235944</v>
      </c>
      <c r="X28" s="67">
        <v>241530</v>
      </c>
      <c r="Y28" s="163">
        <v>-5586</v>
      </c>
      <c r="Z28" s="166">
        <v>-2.3127561793566016E-2</v>
      </c>
      <c r="AA28" s="34" t="s">
        <v>621</v>
      </c>
      <c r="AC28" s="67" t="s">
        <v>145</v>
      </c>
      <c r="AD28" t="s">
        <v>607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48.86</v>
      </c>
      <c r="E29" s="67">
        <v>5916</v>
      </c>
      <c r="F29" s="146">
        <v>0</v>
      </c>
      <c r="G29" s="146">
        <v>0</v>
      </c>
      <c r="H29" s="91">
        <v>5916</v>
      </c>
      <c r="I29" s="67">
        <v>0</v>
      </c>
      <c r="J29" s="739">
        <v>5916</v>
      </c>
      <c r="K29" s="132" t="s">
        <v>644</v>
      </c>
      <c r="L29" s="740">
        <v>5916</v>
      </c>
      <c r="M29" s="741">
        <v>0</v>
      </c>
      <c r="N29" s="67">
        <v>0</v>
      </c>
      <c r="O29" s="67">
        <v>0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0</v>
      </c>
      <c r="V29" s="71">
        <v>0</v>
      </c>
      <c r="W29" s="449">
        <v>0</v>
      </c>
      <c r="X29" s="67">
        <v>0</v>
      </c>
      <c r="Y29" s="163">
        <v>0</v>
      </c>
      <c r="Z29" s="166">
        <v>0</v>
      </c>
      <c r="AA29" s="34" t="s">
        <v>644</v>
      </c>
      <c r="AC29" s="787" t="s">
        <v>327</v>
      </c>
      <c r="AD29" t="s">
        <v>1514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s="67" t="s">
        <v>484</v>
      </c>
      <c r="AD30" t="s">
        <v>1593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56.86</v>
      </c>
      <c r="E31" s="67">
        <v>6885</v>
      </c>
      <c r="F31" s="146">
        <v>0</v>
      </c>
      <c r="G31" s="146">
        <v>0</v>
      </c>
      <c r="H31" s="91">
        <v>6885</v>
      </c>
      <c r="I31" s="67">
        <v>0</v>
      </c>
      <c r="J31" s="739">
        <v>6885</v>
      </c>
      <c r="K31" s="132" t="s">
        <v>644</v>
      </c>
      <c r="L31" s="740">
        <v>6885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s="67" t="s">
        <v>375</v>
      </c>
      <c r="AD31" t="s">
        <v>1269</v>
      </c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s="67" t="s">
        <v>183</v>
      </c>
      <c r="AD32" t="s">
        <v>1453</v>
      </c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163.70999999999998</v>
      </c>
      <c r="E33" s="67">
        <v>19824</v>
      </c>
      <c r="F33" s="146">
        <v>0</v>
      </c>
      <c r="G33" s="146">
        <v>0</v>
      </c>
      <c r="H33" s="91">
        <v>19824</v>
      </c>
      <c r="I33" s="67">
        <v>0</v>
      </c>
      <c r="J33" s="739">
        <v>19824</v>
      </c>
      <c r="K33" s="132" t="s">
        <v>621</v>
      </c>
      <c r="L33" s="740">
        <v>0</v>
      </c>
      <c r="M33" s="741">
        <v>163.70999999999998</v>
      </c>
      <c r="N33" s="67">
        <v>269</v>
      </c>
      <c r="O33" s="67">
        <v>20093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20093</v>
      </c>
      <c r="V33" s="71">
        <v>122.73532465945881</v>
      </c>
      <c r="W33" s="449">
        <v>20093</v>
      </c>
      <c r="X33" s="67">
        <v>16836</v>
      </c>
      <c r="Y33" s="163">
        <v>3257</v>
      </c>
      <c r="Z33" s="166">
        <v>0.1934545022570682</v>
      </c>
      <c r="AA33" s="34" t="s">
        <v>621</v>
      </c>
      <c r="AC33" s="67" t="s">
        <v>452</v>
      </c>
      <c r="AD33" t="s">
        <v>1578</v>
      </c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3247.1933333333336</v>
      </c>
      <c r="E34" s="67">
        <v>393201</v>
      </c>
      <c r="F34" s="146">
        <v>0</v>
      </c>
      <c r="G34" s="146">
        <v>0</v>
      </c>
      <c r="H34" s="91">
        <v>393201</v>
      </c>
      <c r="I34" s="67">
        <v>0</v>
      </c>
      <c r="J34" s="739">
        <v>393201</v>
      </c>
      <c r="K34" s="132" t="s">
        <v>621</v>
      </c>
      <c r="L34" s="740">
        <v>0</v>
      </c>
      <c r="M34" s="741">
        <v>3247.1933333333336</v>
      </c>
      <c r="N34" s="67">
        <v>5334</v>
      </c>
      <c r="O34" s="67">
        <v>398535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398535</v>
      </c>
      <c r="V34" s="71">
        <v>122.73214406697886</v>
      </c>
      <c r="W34" s="449">
        <v>398535</v>
      </c>
      <c r="X34" s="67">
        <v>386229</v>
      </c>
      <c r="Y34" s="163">
        <v>12306</v>
      </c>
      <c r="Z34" s="166">
        <v>3.1861926473672357E-2</v>
      </c>
      <c r="AA34" s="34" t="s">
        <v>621</v>
      </c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52.15</v>
      </c>
      <c r="E35" s="67">
        <v>6315</v>
      </c>
      <c r="F35" s="146">
        <v>0</v>
      </c>
      <c r="G35" s="146">
        <v>0</v>
      </c>
      <c r="H35" s="91">
        <v>6315</v>
      </c>
      <c r="I35" s="67">
        <v>0</v>
      </c>
      <c r="J35" s="739">
        <v>6315</v>
      </c>
      <c r="K35" s="132" t="s">
        <v>644</v>
      </c>
      <c r="L35" s="740">
        <v>6315</v>
      </c>
      <c r="M35" s="741">
        <v>0</v>
      </c>
      <c r="N35" s="67">
        <v>0</v>
      </c>
      <c r="O35" s="67">
        <v>0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0</v>
      </c>
      <c r="V35" s="71">
        <v>0</v>
      </c>
      <c r="W35" s="449">
        <v>0</v>
      </c>
      <c r="X35" s="67">
        <v>0</v>
      </c>
      <c r="Y35" s="163">
        <v>0</v>
      </c>
      <c r="Z35" s="166">
        <v>0</v>
      </c>
      <c r="AA35" s="34" t="s">
        <v>644</v>
      </c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30.71</v>
      </c>
      <c r="E36" s="67">
        <v>3719</v>
      </c>
      <c r="F36" s="146">
        <v>0</v>
      </c>
      <c r="G36" s="146">
        <v>0</v>
      </c>
      <c r="H36" s="91">
        <v>3719</v>
      </c>
      <c r="I36" s="67">
        <v>0</v>
      </c>
      <c r="J36" s="739">
        <v>3719</v>
      </c>
      <c r="K36" s="132" t="s">
        <v>644</v>
      </c>
      <c r="L36" s="740">
        <v>3719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90.710000000000008</v>
      </c>
      <c r="E38" s="67">
        <v>10984</v>
      </c>
      <c r="F38" s="146">
        <v>0</v>
      </c>
      <c r="G38" s="146">
        <v>0</v>
      </c>
      <c r="H38" s="91">
        <v>10984</v>
      </c>
      <c r="I38" s="67">
        <v>0</v>
      </c>
      <c r="J38" s="739">
        <v>10984</v>
      </c>
      <c r="K38" s="132" t="s">
        <v>644</v>
      </c>
      <c r="L38" s="740">
        <v>10984</v>
      </c>
      <c r="M38" s="741">
        <v>0</v>
      </c>
      <c r="N38" s="67">
        <v>0</v>
      </c>
      <c r="O38" s="67">
        <v>0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644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3537.9322222222222</v>
      </c>
      <c r="E39" s="67">
        <v>428407</v>
      </c>
      <c r="F39" s="146">
        <v>0</v>
      </c>
      <c r="G39" s="146">
        <v>0</v>
      </c>
      <c r="H39" s="91">
        <v>428407</v>
      </c>
      <c r="I39" s="67">
        <v>0</v>
      </c>
      <c r="J39" s="739">
        <v>428407</v>
      </c>
      <c r="K39" s="132" t="s">
        <v>621</v>
      </c>
      <c r="L39" s="740">
        <v>0</v>
      </c>
      <c r="M39" s="741">
        <v>3537.9322222222222</v>
      </c>
      <c r="N39" s="67">
        <v>5812</v>
      </c>
      <c r="O39" s="67">
        <v>434219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434219</v>
      </c>
      <c r="V39" s="71">
        <v>122.7324246837214</v>
      </c>
      <c r="W39" s="449">
        <v>434219</v>
      </c>
      <c r="X39" s="67">
        <v>439811</v>
      </c>
      <c r="Y39" s="163">
        <v>-5592</v>
      </c>
      <c r="Z39" s="166">
        <v>-1.2714552387275443E-2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205.26888888888888</v>
      </c>
      <c r="E40" s="67">
        <v>24856</v>
      </c>
      <c r="F40" s="146">
        <v>0</v>
      </c>
      <c r="G40" s="146">
        <v>0</v>
      </c>
      <c r="H40" s="91">
        <v>24856</v>
      </c>
      <c r="I40" s="67">
        <v>0</v>
      </c>
      <c r="J40" s="739">
        <v>24856</v>
      </c>
      <c r="K40" s="132" t="s">
        <v>621</v>
      </c>
      <c r="L40" s="740">
        <v>0</v>
      </c>
      <c r="M40" s="741">
        <v>205.26888888888888</v>
      </c>
      <c r="N40" s="67">
        <v>337</v>
      </c>
      <c r="O40" s="67">
        <v>25193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25193</v>
      </c>
      <c r="V40" s="71">
        <v>122.73170150804907</v>
      </c>
      <c r="W40" s="449">
        <v>25193</v>
      </c>
      <c r="X40" s="67">
        <v>26058</v>
      </c>
      <c r="Y40" s="163">
        <v>-865</v>
      </c>
      <c r="Z40" s="166">
        <v>-3.3195179983114588E-2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879.73444444444442</v>
      </c>
      <c r="E41" s="67">
        <v>106527</v>
      </c>
      <c r="F41" s="146">
        <v>0</v>
      </c>
      <c r="G41" s="146">
        <v>0</v>
      </c>
      <c r="H41" s="91">
        <v>106527</v>
      </c>
      <c r="I41" s="67">
        <v>0</v>
      </c>
      <c r="J41" s="739">
        <v>106527</v>
      </c>
      <c r="K41" s="132" t="s">
        <v>621</v>
      </c>
      <c r="L41" s="740">
        <v>0</v>
      </c>
      <c r="M41" s="741">
        <v>879.73444444444442</v>
      </c>
      <c r="N41" s="67">
        <v>1445</v>
      </c>
      <c r="O41" s="67">
        <v>107972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107972</v>
      </c>
      <c r="V41" s="71">
        <v>122.73249124420123</v>
      </c>
      <c r="W41" s="449">
        <v>107972</v>
      </c>
      <c r="X41" s="67">
        <v>101574</v>
      </c>
      <c r="Y41" s="163">
        <v>6398</v>
      </c>
      <c r="Z41" s="166">
        <v>6.2988560064583463E-2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88</v>
      </c>
      <c r="E42" s="67">
        <v>10656</v>
      </c>
      <c r="F42" s="146">
        <v>0</v>
      </c>
      <c r="G42" s="146">
        <v>0</v>
      </c>
      <c r="H42" s="91">
        <v>10656</v>
      </c>
      <c r="I42" s="67">
        <v>0</v>
      </c>
      <c r="J42" s="739">
        <v>10656</v>
      </c>
      <c r="K42" s="132" t="s">
        <v>621</v>
      </c>
      <c r="L42" s="740">
        <v>0</v>
      </c>
      <c r="M42" s="741">
        <v>88</v>
      </c>
      <c r="N42" s="67">
        <v>145</v>
      </c>
      <c r="O42" s="67">
        <v>10801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10801</v>
      </c>
      <c r="V42" s="71">
        <v>122.73863636363636</v>
      </c>
      <c r="W42" s="449">
        <v>10801</v>
      </c>
      <c r="X42" s="67">
        <v>10767</v>
      </c>
      <c r="Y42" s="163">
        <v>34</v>
      </c>
      <c r="Z42" s="166">
        <v>3.1577969722299619E-3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644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2.86</v>
      </c>
      <c r="E44" s="67">
        <v>346</v>
      </c>
      <c r="F44" s="146">
        <v>0</v>
      </c>
      <c r="G44" s="146">
        <v>0</v>
      </c>
      <c r="H44" s="91">
        <v>346</v>
      </c>
      <c r="I44" s="67">
        <v>0</v>
      </c>
      <c r="J44" s="739">
        <v>346</v>
      </c>
      <c r="K44" s="132" t="s">
        <v>644</v>
      </c>
      <c r="L44" s="740">
        <v>346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398.38666666666671</v>
      </c>
      <c r="E46" s="67">
        <v>48240</v>
      </c>
      <c r="F46" s="146">
        <v>0</v>
      </c>
      <c r="G46" s="146">
        <v>0</v>
      </c>
      <c r="H46" s="91">
        <v>48240</v>
      </c>
      <c r="I46" s="67">
        <v>0</v>
      </c>
      <c r="J46" s="739">
        <v>48240</v>
      </c>
      <c r="K46" s="132" t="s">
        <v>621</v>
      </c>
      <c r="L46" s="740">
        <v>0</v>
      </c>
      <c r="M46" s="741">
        <v>398.38666666666671</v>
      </c>
      <c r="N46" s="67">
        <v>654</v>
      </c>
      <c r="O46" s="67">
        <v>48894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48894</v>
      </c>
      <c r="V46" s="71">
        <v>122.73001104454632</v>
      </c>
      <c r="W46" s="449">
        <v>48894</v>
      </c>
      <c r="X46" s="67">
        <v>54710</v>
      </c>
      <c r="Y46" s="163">
        <v>-5816</v>
      </c>
      <c r="Z46" s="166">
        <v>-0.10630597696947541</v>
      </c>
      <c r="AA46" s="34" t="s">
        <v>621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644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32.57</v>
      </c>
      <c r="E48" s="67">
        <v>3944</v>
      </c>
      <c r="F48" s="146">
        <v>0</v>
      </c>
      <c r="G48" s="146">
        <v>0</v>
      </c>
      <c r="H48" s="91">
        <v>3944</v>
      </c>
      <c r="I48" s="67">
        <v>0</v>
      </c>
      <c r="J48" s="739">
        <v>3944</v>
      </c>
      <c r="K48" s="132" t="s">
        <v>644</v>
      </c>
      <c r="L48" s="740">
        <v>3944</v>
      </c>
      <c r="M48" s="741">
        <v>0</v>
      </c>
      <c r="N48" s="67">
        <v>0</v>
      </c>
      <c r="O48" s="67">
        <v>0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644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22</v>
      </c>
      <c r="E49" s="67">
        <v>2664</v>
      </c>
      <c r="F49" s="146">
        <v>0</v>
      </c>
      <c r="G49" s="146">
        <v>0</v>
      </c>
      <c r="H49" s="91">
        <v>2664</v>
      </c>
      <c r="I49" s="67">
        <v>0</v>
      </c>
      <c r="J49" s="739">
        <v>2664</v>
      </c>
      <c r="K49" s="132" t="s">
        <v>644</v>
      </c>
      <c r="L49" s="740">
        <v>2664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190.42000000000002</v>
      </c>
      <c r="E50" s="67">
        <v>23058</v>
      </c>
      <c r="F50" s="146">
        <v>0</v>
      </c>
      <c r="G50" s="146">
        <v>0</v>
      </c>
      <c r="H50" s="91">
        <v>23058</v>
      </c>
      <c r="I50" s="67">
        <v>0</v>
      </c>
      <c r="J50" s="739">
        <v>23058</v>
      </c>
      <c r="K50" s="132" t="s">
        <v>621</v>
      </c>
      <c r="L50" s="740">
        <v>0</v>
      </c>
      <c r="M50" s="741">
        <v>190.42000000000002</v>
      </c>
      <c r="N50" s="67">
        <v>313</v>
      </c>
      <c r="O50" s="67">
        <v>23371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23371</v>
      </c>
      <c r="V50" s="71">
        <v>122.73395651717256</v>
      </c>
      <c r="W50" s="449">
        <v>23371</v>
      </c>
      <c r="X50" s="67">
        <v>22243</v>
      </c>
      <c r="Y50" s="163">
        <v>1128</v>
      </c>
      <c r="Z50" s="166">
        <v>5.0712583734208512E-2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313.20777777777778</v>
      </c>
      <c r="E51" s="67">
        <v>37926</v>
      </c>
      <c r="F51" s="146">
        <v>0</v>
      </c>
      <c r="G51" s="146">
        <v>0</v>
      </c>
      <c r="H51" s="91">
        <v>37926</v>
      </c>
      <c r="I51" s="67">
        <v>0</v>
      </c>
      <c r="J51" s="739">
        <v>37926</v>
      </c>
      <c r="K51" s="132" t="s">
        <v>621</v>
      </c>
      <c r="L51" s="740">
        <v>0</v>
      </c>
      <c r="M51" s="741">
        <v>313.20777777777778</v>
      </c>
      <c r="N51" s="67">
        <v>515</v>
      </c>
      <c r="O51" s="67">
        <v>38441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38441</v>
      </c>
      <c r="V51" s="71">
        <v>122.73322288718529</v>
      </c>
      <c r="W51" s="449">
        <v>38441</v>
      </c>
      <c r="X51" s="67">
        <v>37271</v>
      </c>
      <c r="Y51" s="163">
        <v>1170</v>
      </c>
      <c r="Z51" s="166">
        <v>3.1391698639693058E-2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83.28</v>
      </c>
      <c r="E52" s="67">
        <v>10084</v>
      </c>
      <c r="F52" s="146">
        <v>0</v>
      </c>
      <c r="G52" s="146">
        <v>0</v>
      </c>
      <c r="H52" s="91">
        <v>10084</v>
      </c>
      <c r="I52" s="67">
        <v>0</v>
      </c>
      <c r="J52" s="739">
        <v>10084</v>
      </c>
      <c r="K52" s="132" t="s">
        <v>621</v>
      </c>
      <c r="L52" s="740">
        <v>0</v>
      </c>
      <c r="M52" s="741">
        <v>83.28</v>
      </c>
      <c r="N52" s="67">
        <v>137</v>
      </c>
      <c r="O52" s="67">
        <v>10221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10221</v>
      </c>
      <c r="V52" s="71">
        <v>122.73054755043228</v>
      </c>
      <c r="W52" s="449">
        <v>10221</v>
      </c>
      <c r="X52" s="67">
        <v>11693</v>
      </c>
      <c r="Y52" s="163">
        <v>-1472</v>
      </c>
      <c r="Z52" s="166">
        <v>-0.12588728298982296</v>
      </c>
      <c r="AA52" s="34" t="s">
        <v>621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451.85</v>
      </c>
      <c r="E53" s="67">
        <v>54714</v>
      </c>
      <c r="F53" s="146">
        <v>0</v>
      </c>
      <c r="G53" s="146">
        <v>0</v>
      </c>
      <c r="H53" s="91">
        <v>54714</v>
      </c>
      <c r="I53" s="67">
        <v>0</v>
      </c>
      <c r="J53" s="739">
        <v>54714</v>
      </c>
      <c r="K53" s="132" t="s">
        <v>621</v>
      </c>
      <c r="L53" s="740">
        <v>0</v>
      </c>
      <c r="M53" s="741">
        <v>451.85</v>
      </c>
      <c r="N53" s="67">
        <v>742</v>
      </c>
      <c r="O53" s="67">
        <v>55456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55456</v>
      </c>
      <c r="V53" s="71">
        <v>122.73099479915901</v>
      </c>
      <c r="W53" s="449">
        <v>55456</v>
      </c>
      <c r="X53" s="67">
        <v>52423</v>
      </c>
      <c r="Y53" s="163">
        <v>3033</v>
      </c>
      <c r="Z53" s="166">
        <v>5.7856284455296336E-2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13</v>
      </c>
      <c r="E54" s="67">
        <v>1574</v>
      </c>
      <c r="F54" s="146">
        <v>0</v>
      </c>
      <c r="G54" s="146">
        <v>0</v>
      </c>
      <c r="H54" s="91">
        <v>1574</v>
      </c>
      <c r="I54" s="67">
        <v>0</v>
      </c>
      <c r="J54" s="739">
        <v>1574</v>
      </c>
      <c r="K54" s="132" t="s">
        <v>644</v>
      </c>
      <c r="L54" s="740">
        <v>1574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1131.1099999999999</v>
      </c>
      <c r="E55" s="67">
        <v>136966</v>
      </c>
      <c r="F55" s="146">
        <v>0</v>
      </c>
      <c r="G55" s="146">
        <v>0</v>
      </c>
      <c r="H55" s="91">
        <v>136966</v>
      </c>
      <c r="I55" s="67">
        <v>0</v>
      </c>
      <c r="J55" s="739">
        <v>136966</v>
      </c>
      <c r="K55" s="132" t="s">
        <v>621</v>
      </c>
      <c r="L55" s="740">
        <v>0</v>
      </c>
      <c r="M55" s="741">
        <v>1131.1099999999999</v>
      </c>
      <c r="N55" s="67">
        <v>1858</v>
      </c>
      <c r="O55" s="67">
        <v>138824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138824</v>
      </c>
      <c r="V55" s="71">
        <v>122.73253706536059</v>
      </c>
      <c r="W55" s="449">
        <v>138824</v>
      </c>
      <c r="X55" s="67">
        <v>139463</v>
      </c>
      <c r="Y55" s="163">
        <v>-639</v>
      </c>
      <c r="Z55" s="166">
        <v>-4.58186042176061E-3</v>
      </c>
      <c r="AA55" s="34" t="s">
        <v>621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7.29</v>
      </c>
      <c r="E56" s="67">
        <v>883</v>
      </c>
      <c r="F56" s="146">
        <v>0</v>
      </c>
      <c r="G56" s="146">
        <v>0</v>
      </c>
      <c r="H56" s="91">
        <v>883</v>
      </c>
      <c r="I56" s="67">
        <v>0</v>
      </c>
      <c r="J56" s="739">
        <v>883</v>
      </c>
      <c r="K56" s="132" t="s">
        <v>644</v>
      </c>
      <c r="L56" s="740">
        <v>883</v>
      </c>
      <c r="M56" s="741">
        <v>0</v>
      </c>
      <c r="N56" s="67">
        <v>0</v>
      </c>
      <c r="O56" s="67">
        <v>0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644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17.57</v>
      </c>
      <c r="E57" s="67">
        <v>2128</v>
      </c>
      <c r="F57" s="146">
        <v>0</v>
      </c>
      <c r="G57" s="146">
        <v>0</v>
      </c>
      <c r="H57" s="91">
        <v>2128</v>
      </c>
      <c r="I57" s="67">
        <v>0</v>
      </c>
      <c r="J57" s="739">
        <v>2128</v>
      </c>
      <c r="K57" s="132" t="s">
        <v>644</v>
      </c>
      <c r="L57" s="740">
        <v>2128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644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90.777777777777771</v>
      </c>
      <c r="E61" s="67">
        <v>10992</v>
      </c>
      <c r="F61" s="146">
        <v>0</v>
      </c>
      <c r="G61" s="146">
        <v>0</v>
      </c>
      <c r="H61" s="91">
        <v>10992</v>
      </c>
      <c r="I61" s="67">
        <v>0</v>
      </c>
      <c r="J61" s="739">
        <v>10992</v>
      </c>
      <c r="K61" s="132" t="s">
        <v>621</v>
      </c>
      <c r="L61" s="740">
        <v>0</v>
      </c>
      <c r="M61" s="741">
        <v>90.777777777777771</v>
      </c>
      <c r="N61" s="67">
        <v>149</v>
      </c>
      <c r="O61" s="67">
        <v>11141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11141</v>
      </c>
      <c r="V61" s="71">
        <v>122.72827417380662</v>
      </c>
      <c r="W61" s="449">
        <v>11141</v>
      </c>
      <c r="X61" s="67">
        <v>4943</v>
      </c>
      <c r="Y61" s="163">
        <v>6198</v>
      </c>
      <c r="Z61" s="166">
        <v>1.2538943961157192</v>
      </c>
      <c r="AA61" s="34" t="s">
        <v>621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6422.43</v>
      </c>
      <c r="E63" s="67">
        <v>777689</v>
      </c>
      <c r="F63" s="146">
        <v>0</v>
      </c>
      <c r="G63" s="146">
        <v>0</v>
      </c>
      <c r="H63" s="91">
        <v>777689</v>
      </c>
      <c r="I63" s="67">
        <v>0</v>
      </c>
      <c r="J63" s="739">
        <v>777689</v>
      </c>
      <c r="K63" s="132" t="s">
        <v>621</v>
      </c>
      <c r="L63" s="740">
        <v>0</v>
      </c>
      <c r="M63" s="741">
        <v>6422.43</v>
      </c>
      <c r="N63" s="67">
        <v>10550</v>
      </c>
      <c r="O63" s="67">
        <v>788239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788239</v>
      </c>
      <c r="V63" s="71">
        <v>122.73220572275602</v>
      </c>
      <c r="W63" s="449">
        <v>788239</v>
      </c>
      <c r="X63" s="67">
        <v>795087</v>
      </c>
      <c r="Y63" s="163">
        <v>-6848</v>
      </c>
      <c r="Z63" s="166">
        <v>-8.6128939348775677E-3</v>
      </c>
      <c r="AA63" s="34" t="s">
        <v>621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748.43</v>
      </c>
      <c r="E64" s="67">
        <v>90627</v>
      </c>
      <c r="F64" s="146">
        <v>0</v>
      </c>
      <c r="G64" s="146">
        <v>0</v>
      </c>
      <c r="H64" s="91">
        <v>90627</v>
      </c>
      <c r="I64" s="67">
        <v>0</v>
      </c>
      <c r="J64" s="739">
        <v>90627</v>
      </c>
      <c r="K64" s="132" t="s">
        <v>621</v>
      </c>
      <c r="L64" s="740">
        <v>0</v>
      </c>
      <c r="M64" s="741">
        <v>748.43</v>
      </c>
      <c r="N64" s="67">
        <v>1229</v>
      </c>
      <c r="O64" s="67">
        <v>91856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91856</v>
      </c>
      <c r="V64" s="71">
        <v>122.73158478414815</v>
      </c>
      <c r="W64" s="449">
        <v>91856</v>
      </c>
      <c r="X64" s="67">
        <v>90947</v>
      </c>
      <c r="Y64" s="163">
        <v>909</v>
      </c>
      <c r="Z64" s="166">
        <v>9.9948321549913691E-3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6.29</v>
      </c>
      <c r="E67" s="67">
        <v>762</v>
      </c>
      <c r="F67" s="146">
        <v>0</v>
      </c>
      <c r="G67" s="146">
        <v>0</v>
      </c>
      <c r="H67" s="91">
        <v>762</v>
      </c>
      <c r="I67" s="67">
        <v>0</v>
      </c>
      <c r="J67" s="739">
        <v>762</v>
      </c>
      <c r="K67" s="132" t="s">
        <v>644</v>
      </c>
      <c r="L67" s="740">
        <v>762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1370.86</v>
      </c>
      <c r="E68" s="67">
        <v>165997</v>
      </c>
      <c r="F68" s="146">
        <v>0</v>
      </c>
      <c r="G68" s="146">
        <v>0</v>
      </c>
      <c r="H68" s="91">
        <v>165997</v>
      </c>
      <c r="I68" s="67">
        <v>0</v>
      </c>
      <c r="J68" s="739">
        <v>165997</v>
      </c>
      <c r="K68" s="132" t="s">
        <v>621</v>
      </c>
      <c r="L68" s="740">
        <v>0</v>
      </c>
      <c r="M68" s="741">
        <v>1370.86</v>
      </c>
      <c r="N68" s="67">
        <v>2252</v>
      </c>
      <c r="O68" s="67">
        <v>168249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168249</v>
      </c>
      <c r="V68" s="71">
        <v>122.73244532629154</v>
      </c>
      <c r="W68" s="449">
        <v>168249</v>
      </c>
      <c r="X68" s="67">
        <v>172131</v>
      </c>
      <c r="Y68" s="163">
        <v>-3882</v>
      </c>
      <c r="Z68" s="166">
        <v>-2.2552590759363507E-2</v>
      </c>
      <c r="AA68" s="34" t="s">
        <v>621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1303.1400000000001</v>
      </c>
      <c r="E69" s="67">
        <v>157797</v>
      </c>
      <c r="F69" s="146">
        <v>0</v>
      </c>
      <c r="G69" s="146">
        <v>0</v>
      </c>
      <c r="H69" s="91">
        <v>157797</v>
      </c>
      <c r="I69" s="67">
        <v>0</v>
      </c>
      <c r="J69" s="739">
        <v>157797</v>
      </c>
      <c r="K69" s="132" t="s">
        <v>621</v>
      </c>
      <c r="L69" s="740">
        <v>0</v>
      </c>
      <c r="M69" s="741">
        <v>1303.1400000000001</v>
      </c>
      <c r="N69" s="67">
        <v>2141</v>
      </c>
      <c r="O69" s="67">
        <v>159938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159938</v>
      </c>
      <c r="V69" s="71">
        <v>122.73278389121658</v>
      </c>
      <c r="W69" s="449">
        <v>159938</v>
      </c>
      <c r="X69" s="67">
        <v>151866</v>
      </c>
      <c r="Y69" s="163">
        <v>8072</v>
      </c>
      <c r="Z69" s="166">
        <v>5.3152120948731119E-2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309.72000000000003</v>
      </c>
      <c r="E70" s="67">
        <v>37504</v>
      </c>
      <c r="F70" s="146">
        <v>0</v>
      </c>
      <c r="G70" s="146">
        <v>0</v>
      </c>
      <c r="H70" s="91">
        <v>37504</v>
      </c>
      <c r="I70" s="67">
        <v>0</v>
      </c>
      <c r="J70" s="739">
        <v>37504</v>
      </c>
      <c r="K70" s="132" t="s">
        <v>621</v>
      </c>
      <c r="L70" s="740">
        <v>0</v>
      </c>
      <c r="M70" s="741">
        <v>309.72000000000003</v>
      </c>
      <c r="N70" s="67">
        <v>509</v>
      </c>
      <c r="O70" s="67">
        <v>38013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38013</v>
      </c>
      <c r="V70" s="71">
        <v>122.73343665246027</v>
      </c>
      <c r="W70" s="449">
        <v>38013</v>
      </c>
      <c r="X70" s="67">
        <v>38755</v>
      </c>
      <c r="Y70" s="163">
        <v>-742</v>
      </c>
      <c r="Z70" s="166">
        <v>-1.9145916655915366E-2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644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98.71</v>
      </c>
      <c r="E72" s="67">
        <v>11953</v>
      </c>
      <c r="F72" s="146">
        <v>0</v>
      </c>
      <c r="G72" s="146">
        <v>0</v>
      </c>
      <c r="H72" s="91">
        <v>11953</v>
      </c>
      <c r="I72" s="67">
        <v>0</v>
      </c>
      <c r="J72" s="739">
        <v>11953</v>
      </c>
      <c r="K72" s="132" t="s">
        <v>621</v>
      </c>
      <c r="L72" s="740">
        <v>0</v>
      </c>
      <c r="M72" s="741">
        <v>98.71</v>
      </c>
      <c r="N72" s="67">
        <v>162</v>
      </c>
      <c r="O72" s="67">
        <v>12115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12115</v>
      </c>
      <c r="V72" s="71">
        <v>122.73325904163713</v>
      </c>
      <c r="W72" s="449">
        <v>12115</v>
      </c>
      <c r="X72" s="67">
        <v>12188</v>
      </c>
      <c r="Y72" s="163">
        <v>-73</v>
      </c>
      <c r="Z72" s="166">
        <v>-5.9894978667541848E-3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800.28</v>
      </c>
      <c r="E73" s="67">
        <v>96906</v>
      </c>
      <c r="F73" s="146">
        <v>0</v>
      </c>
      <c r="G73" s="146">
        <v>0</v>
      </c>
      <c r="H73" s="91">
        <v>96906</v>
      </c>
      <c r="I73" s="67">
        <v>0</v>
      </c>
      <c r="J73" s="739">
        <v>96906</v>
      </c>
      <c r="K73" s="132" t="s">
        <v>621</v>
      </c>
      <c r="L73" s="740">
        <v>0</v>
      </c>
      <c r="M73" s="741">
        <v>800.28</v>
      </c>
      <c r="N73" s="67">
        <v>1315</v>
      </c>
      <c r="O73" s="67">
        <v>98221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98221</v>
      </c>
      <c r="V73" s="71">
        <v>122.73329334732844</v>
      </c>
      <c r="W73" s="449">
        <v>98221</v>
      </c>
      <c r="X73" s="67">
        <v>97759</v>
      </c>
      <c r="Y73" s="163">
        <v>462</v>
      </c>
      <c r="Z73" s="166">
        <v>4.7259075890710833E-3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1392.8166666666668</v>
      </c>
      <c r="E74" s="67">
        <v>168656</v>
      </c>
      <c r="F74" s="146">
        <v>0</v>
      </c>
      <c r="G74" s="146">
        <v>0</v>
      </c>
      <c r="H74" s="91">
        <v>168656</v>
      </c>
      <c r="I74" s="67">
        <v>0</v>
      </c>
      <c r="J74" s="739">
        <v>168656</v>
      </c>
      <c r="K74" s="132" t="s">
        <v>621</v>
      </c>
      <c r="L74" s="740">
        <v>0</v>
      </c>
      <c r="M74" s="741">
        <v>1392.8166666666668</v>
      </c>
      <c r="N74" s="67">
        <v>2288</v>
      </c>
      <c r="O74" s="67">
        <v>170944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170944</v>
      </c>
      <c r="V74" s="71">
        <v>122.73259222917588</v>
      </c>
      <c r="W74" s="449">
        <v>170944</v>
      </c>
      <c r="X74" s="67">
        <v>158014</v>
      </c>
      <c r="Y74" s="163">
        <v>12930</v>
      </c>
      <c r="Z74" s="166">
        <v>8.182819243864467E-2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285.85000000000002</v>
      </c>
      <c r="E75" s="67">
        <v>34613</v>
      </c>
      <c r="F75" s="146">
        <v>0</v>
      </c>
      <c r="G75" s="146">
        <v>0</v>
      </c>
      <c r="H75" s="91">
        <v>34613</v>
      </c>
      <c r="I75" s="67">
        <v>0</v>
      </c>
      <c r="J75" s="739">
        <v>34613</v>
      </c>
      <c r="K75" s="132" t="s">
        <v>621</v>
      </c>
      <c r="L75" s="740">
        <v>0</v>
      </c>
      <c r="M75" s="741">
        <v>285.85000000000002</v>
      </c>
      <c r="N75" s="67">
        <v>470</v>
      </c>
      <c r="O75" s="67">
        <v>35083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35083</v>
      </c>
      <c r="V75" s="71">
        <v>122.73220220395311</v>
      </c>
      <c r="W75" s="449">
        <v>35083</v>
      </c>
      <c r="X75" s="67">
        <v>36468</v>
      </c>
      <c r="Y75" s="163">
        <v>-1385</v>
      </c>
      <c r="Z75" s="166">
        <v>-3.7978501700120654E-2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7</v>
      </c>
      <c r="E76" s="67">
        <v>848</v>
      </c>
      <c r="F76" s="146">
        <v>0</v>
      </c>
      <c r="G76" s="146">
        <v>0</v>
      </c>
      <c r="H76" s="91">
        <v>848</v>
      </c>
      <c r="I76" s="67">
        <v>0</v>
      </c>
      <c r="J76" s="739">
        <v>848</v>
      </c>
      <c r="K76" s="132" t="s">
        <v>644</v>
      </c>
      <c r="L76" s="740">
        <v>848</v>
      </c>
      <c r="M76" s="741">
        <v>0</v>
      </c>
      <c r="N76" s="67">
        <v>0</v>
      </c>
      <c r="O76" s="67">
        <v>0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644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90.333333333333329</v>
      </c>
      <c r="E77" s="67">
        <v>10938</v>
      </c>
      <c r="F77" s="146">
        <v>0</v>
      </c>
      <c r="G77" s="146">
        <v>0</v>
      </c>
      <c r="H77" s="91">
        <v>10938</v>
      </c>
      <c r="I77" s="67">
        <v>0</v>
      </c>
      <c r="J77" s="739">
        <v>10938</v>
      </c>
      <c r="K77" s="132" t="s">
        <v>621</v>
      </c>
      <c r="L77" s="740">
        <v>0</v>
      </c>
      <c r="M77" s="741">
        <v>90.333333333333329</v>
      </c>
      <c r="N77" s="67">
        <v>148</v>
      </c>
      <c r="O77" s="67">
        <v>11086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11086</v>
      </c>
      <c r="V77" s="71">
        <v>122.72324723247233</v>
      </c>
      <c r="W77" s="449">
        <v>11086</v>
      </c>
      <c r="X77" s="67">
        <v>13346</v>
      </c>
      <c r="Y77" s="163">
        <v>-2260</v>
      </c>
      <c r="Z77" s="166">
        <v>-0.16933912782856286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456.92777777777781</v>
      </c>
      <c r="E78" s="67">
        <v>55329</v>
      </c>
      <c r="F78" s="146">
        <v>0</v>
      </c>
      <c r="G78" s="146">
        <v>0</v>
      </c>
      <c r="H78" s="91">
        <v>55329</v>
      </c>
      <c r="I78" s="67">
        <v>0</v>
      </c>
      <c r="J78" s="739">
        <v>55329</v>
      </c>
      <c r="K78" s="132" t="s">
        <v>1306</v>
      </c>
      <c r="L78" s="740">
        <v>0</v>
      </c>
      <c r="M78" s="741">
        <v>456.92777777777781</v>
      </c>
      <c r="N78" s="67">
        <v>751</v>
      </c>
      <c r="O78" s="67">
        <v>56080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56080</v>
      </c>
      <c r="V78" s="71">
        <v>122.73274405145476</v>
      </c>
      <c r="W78" s="449">
        <v>56080</v>
      </c>
      <c r="X78" s="67">
        <v>56116</v>
      </c>
      <c r="Y78" s="163">
        <v>-36</v>
      </c>
      <c r="Z78" s="166">
        <v>-6.415282628840259E-4</v>
      </c>
      <c r="AA78" s="34" t="s">
        <v>1306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68.14</v>
      </c>
      <c r="E79" s="67">
        <v>8251</v>
      </c>
      <c r="F79" s="146">
        <v>0</v>
      </c>
      <c r="G79" s="146">
        <v>0</v>
      </c>
      <c r="H79" s="91">
        <v>8251</v>
      </c>
      <c r="I79" s="67">
        <v>0</v>
      </c>
      <c r="J79" s="739">
        <v>8251</v>
      </c>
      <c r="K79" s="132" t="s">
        <v>1306</v>
      </c>
      <c r="L79" s="740">
        <v>0</v>
      </c>
      <c r="M79" s="741">
        <v>68.14</v>
      </c>
      <c r="N79" s="67">
        <v>112</v>
      </c>
      <c r="O79" s="67">
        <v>8363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8363</v>
      </c>
      <c r="V79" s="71">
        <v>122.73260933372468</v>
      </c>
      <c r="W79" s="449">
        <v>8363</v>
      </c>
      <c r="X79" s="67">
        <v>0</v>
      </c>
      <c r="Y79" s="163">
        <v>8363</v>
      </c>
      <c r="Z79" s="166">
        <v>0</v>
      </c>
      <c r="AA79" s="34" t="s">
        <v>1306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10</v>
      </c>
      <c r="E80" s="67">
        <v>1211</v>
      </c>
      <c r="F80" s="146">
        <v>0</v>
      </c>
      <c r="G80" s="146">
        <v>0</v>
      </c>
      <c r="H80" s="91">
        <v>1211</v>
      </c>
      <c r="I80" s="67">
        <v>0</v>
      </c>
      <c r="J80" s="739">
        <v>1211</v>
      </c>
      <c r="K80" s="132" t="s">
        <v>644</v>
      </c>
      <c r="L80" s="740">
        <v>1211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20.85</v>
      </c>
      <c r="E82" s="67">
        <v>2525</v>
      </c>
      <c r="F82" s="146">
        <v>0</v>
      </c>
      <c r="G82" s="146">
        <v>0</v>
      </c>
      <c r="H82" s="91">
        <v>2525</v>
      </c>
      <c r="I82" s="67">
        <v>0</v>
      </c>
      <c r="J82" s="739">
        <v>2525</v>
      </c>
      <c r="K82" s="132" t="s">
        <v>644</v>
      </c>
      <c r="L82" s="740">
        <v>2525</v>
      </c>
      <c r="M82" s="741">
        <v>0</v>
      </c>
      <c r="N82" s="67">
        <v>0</v>
      </c>
      <c r="O82" s="67">
        <v>0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644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129.61333333333334</v>
      </c>
      <c r="E83" s="67">
        <v>15695</v>
      </c>
      <c r="F83" s="146">
        <v>0</v>
      </c>
      <c r="G83" s="146">
        <v>0</v>
      </c>
      <c r="H83" s="91">
        <v>15695</v>
      </c>
      <c r="I83" s="67">
        <v>0</v>
      </c>
      <c r="J83" s="739">
        <v>15695</v>
      </c>
      <c r="K83" s="132" t="s">
        <v>621</v>
      </c>
      <c r="L83" s="740">
        <v>0</v>
      </c>
      <c r="M83" s="741">
        <v>129.61333333333334</v>
      </c>
      <c r="N83" s="67">
        <v>213</v>
      </c>
      <c r="O83" s="67">
        <v>15908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15908</v>
      </c>
      <c r="V83" s="71">
        <v>122.73428659602921</v>
      </c>
      <c r="W83" s="449">
        <v>15908</v>
      </c>
      <c r="X83" s="67">
        <v>13423</v>
      </c>
      <c r="Y83" s="163">
        <v>2485</v>
      </c>
      <c r="Z83" s="166">
        <v>0.18513000074498995</v>
      </c>
      <c r="AA83" s="34" t="s">
        <v>621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32</v>
      </c>
      <c r="E85" s="67">
        <v>3875</v>
      </c>
      <c r="F85" s="146">
        <v>0</v>
      </c>
      <c r="G85" s="146">
        <v>0</v>
      </c>
      <c r="H85" s="91">
        <v>3875</v>
      </c>
      <c r="I85" s="67">
        <v>0</v>
      </c>
      <c r="J85" s="739">
        <v>3875</v>
      </c>
      <c r="K85" s="132" t="s">
        <v>1306</v>
      </c>
      <c r="L85" s="740">
        <v>0</v>
      </c>
      <c r="M85" s="741">
        <v>32</v>
      </c>
      <c r="N85" s="67">
        <v>53</v>
      </c>
      <c r="O85" s="67">
        <v>3928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3928</v>
      </c>
      <c r="V85" s="71">
        <v>122.75</v>
      </c>
      <c r="W85" s="449">
        <v>3928</v>
      </c>
      <c r="X85" s="67">
        <v>5824</v>
      </c>
      <c r="Y85" s="163">
        <v>-1896</v>
      </c>
      <c r="Z85" s="166">
        <v>-0.32554945054945056</v>
      </c>
      <c r="AA85" s="34" t="s">
        <v>1306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2</v>
      </c>
      <c r="E86" s="67">
        <v>242</v>
      </c>
      <c r="F86" s="146">
        <v>0</v>
      </c>
      <c r="G86" s="146">
        <v>0</v>
      </c>
      <c r="H86" s="91">
        <v>242</v>
      </c>
      <c r="I86" s="67">
        <v>0</v>
      </c>
      <c r="J86" s="739">
        <v>242</v>
      </c>
      <c r="K86" s="132" t="s">
        <v>644</v>
      </c>
      <c r="L86" s="740">
        <v>242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644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644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49.14</v>
      </c>
      <c r="E89" s="67">
        <v>5950</v>
      </c>
      <c r="F89" s="146">
        <v>0</v>
      </c>
      <c r="G89" s="146">
        <v>0</v>
      </c>
      <c r="H89" s="91">
        <v>5950</v>
      </c>
      <c r="I89" s="67">
        <v>0</v>
      </c>
      <c r="J89" s="739">
        <v>5950</v>
      </c>
      <c r="K89" s="132" t="s">
        <v>1306</v>
      </c>
      <c r="L89" s="740">
        <v>0</v>
      </c>
      <c r="M89" s="741">
        <v>49.14</v>
      </c>
      <c r="N89" s="67">
        <v>81</v>
      </c>
      <c r="O89" s="67">
        <v>6031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6031</v>
      </c>
      <c r="V89" s="71">
        <v>122.73097273097272</v>
      </c>
      <c r="W89" s="449">
        <v>6031</v>
      </c>
      <c r="X89" s="67">
        <v>7043</v>
      </c>
      <c r="Y89" s="163">
        <v>-1012</v>
      </c>
      <c r="Z89" s="166">
        <v>-0.14368876899048702</v>
      </c>
      <c r="AA89" s="34" t="s">
        <v>1306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45.78</v>
      </c>
      <c r="E90" s="67">
        <v>5543</v>
      </c>
      <c r="F90" s="146">
        <v>0</v>
      </c>
      <c r="G90" s="146">
        <v>0</v>
      </c>
      <c r="H90" s="91">
        <v>5543</v>
      </c>
      <c r="I90" s="67">
        <v>0</v>
      </c>
      <c r="J90" s="739">
        <v>5543</v>
      </c>
      <c r="K90" s="132" t="s">
        <v>1306</v>
      </c>
      <c r="L90" s="740">
        <v>0</v>
      </c>
      <c r="M90" s="741">
        <v>45.78</v>
      </c>
      <c r="N90" s="67">
        <v>75</v>
      </c>
      <c r="O90" s="67">
        <v>5618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5618</v>
      </c>
      <c r="V90" s="71">
        <v>122.71734381826124</v>
      </c>
      <c r="W90" s="449">
        <v>5618</v>
      </c>
      <c r="X90" s="67">
        <v>0</v>
      </c>
      <c r="Y90" s="163">
        <v>5618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276.06777777777779</v>
      </c>
      <c r="E91" s="67">
        <v>33429</v>
      </c>
      <c r="F91" s="146">
        <v>0</v>
      </c>
      <c r="G91" s="146">
        <v>0</v>
      </c>
      <c r="H91" s="91">
        <v>33429</v>
      </c>
      <c r="I91" s="67">
        <v>0</v>
      </c>
      <c r="J91" s="739">
        <v>33429</v>
      </c>
      <c r="K91" s="132" t="s">
        <v>621</v>
      </c>
      <c r="L91" s="740">
        <v>0</v>
      </c>
      <c r="M91" s="741">
        <v>276.06777777777779</v>
      </c>
      <c r="N91" s="67">
        <v>454</v>
      </c>
      <c r="O91" s="67">
        <v>33883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33883</v>
      </c>
      <c r="V91" s="71">
        <v>122.73435267506771</v>
      </c>
      <c r="W91" s="449">
        <v>33883</v>
      </c>
      <c r="X91" s="67">
        <v>29997</v>
      </c>
      <c r="Y91" s="163">
        <v>3886</v>
      </c>
      <c r="Z91" s="166">
        <v>0.12954628796212955</v>
      </c>
      <c r="AA91" s="34" t="s">
        <v>621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24.43</v>
      </c>
      <c r="E92" s="67">
        <v>2958</v>
      </c>
      <c r="F92" s="146">
        <v>0</v>
      </c>
      <c r="G92" s="146">
        <v>0</v>
      </c>
      <c r="H92" s="91">
        <v>2958</v>
      </c>
      <c r="I92" s="67">
        <v>0</v>
      </c>
      <c r="J92" s="739">
        <v>2958</v>
      </c>
      <c r="K92" s="132" t="s">
        <v>644</v>
      </c>
      <c r="L92" s="740">
        <v>2958</v>
      </c>
      <c r="M92" s="741">
        <v>0</v>
      </c>
      <c r="N92" s="67">
        <v>0</v>
      </c>
      <c r="O92" s="67">
        <v>0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644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8.2799999999999994</v>
      </c>
      <c r="E93" s="67">
        <v>1003</v>
      </c>
      <c r="F93" s="146">
        <v>0</v>
      </c>
      <c r="G93" s="146">
        <v>0</v>
      </c>
      <c r="H93" s="91">
        <v>1003</v>
      </c>
      <c r="I93" s="67">
        <v>0</v>
      </c>
      <c r="J93" s="739">
        <v>1003</v>
      </c>
      <c r="K93" s="132" t="s">
        <v>644</v>
      </c>
      <c r="L93" s="740">
        <v>1003</v>
      </c>
      <c r="M93" s="741">
        <v>0</v>
      </c>
      <c r="N93" s="67">
        <v>0</v>
      </c>
      <c r="O93" s="67">
        <v>0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644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8.43</v>
      </c>
      <c r="E97" s="67">
        <v>1021</v>
      </c>
      <c r="F97" s="146">
        <v>0</v>
      </c>
      <c r="G97" s="146">
        <v>0</v>
      </c>
      <c r="H97" s="91">
        <v>1021</v>
      </c>
      <c r="I97" s="67">
        <v>0</v>
      </c>
      <c r="J97" s="739">
        <v>1021</v>
      </c>
      <c r="K97" s="132" t="s">
        <v>644</v>
      </c>
      <c r="L97" s="740">
        <v>1021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36.57</v>
      </c>
      <c r="E98" s="67">
        <v>4428</v>
      </c>
      <c r="F98" s="146">
        <v>0</v>
      </c>
      <c r="G98" s="146">
        <v>0</v>
      </c>
      <c r="H98" s="91">
        <v>4428</v>
      </c>
      <c r="I98" s="67">
        <v>0</v>
      </c>
      <c r="J98" s="739">
        <v>4428</v>
      </c>
      <c r="K98" s="132" t="s">
        <v>644</v>
      </c>
      <c r="L98" s="740">
        <v>4428</v>
      </c>
      <c r="M98" s="741">
        <v>0</v>
      </c>
      <c r="N98" s="67">
        <v>0</v>
      </c>
      <c r="O98" s="67">
        <v>0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0</v>
      </c>
      <c r="V98" s="71">
        <v>0</v>
      </c>
      <c r="W98" s="449">
        <v>0</v>
      </c>
      <c r="X98" s="67">
        <v>0</v>
      </c>
      <c r="Y98" s="163">
        <v>0</v>
      </c>
      <c r="Z98" s="166">
        <v>0</v>
      </c>
      <c r="AA98" s="34" t="s">
        <v>644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6674.666666666667</v>
      </c>
      <c r="E99" s="67">
        <v>808233</v>
      </c>
      <c r="F99" s="146">
        <v>0</v>
      </c>
      <c r="G99" s="146">
        <v>0</v>
      </c>
      <c r="H99" s="91">
        <v>808233</v>
      </c>
      <c r="I99" s="67">
        <v>0</v>
      </c>
      <c r="J99" s="739">
        <v>808233</v>
      </c>
      <c r="K99" s="132" t="s">
        <v>621</v>
      </c>
      <c r="L99" s="740">
        <v>0</v>
      </c>
      <c r="M99" s="741">
        <v>6674.666666666667</v>
      </c>
      <c r="N99" s="67">
        <v>10965</v>
      </c>
      <c r="O99" s="67">
        <v>819198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819198</v>
      </c>
      <c r="V99" s="71">
        <v>122.73242109468637</v>
      </c>
      <c r="W99" s="449">
        <v>819198</v>
      </c>
      <c r="X99" s="67">
        <v>837981</v>
      </c>
      <c r="Y99" s="163">
        <v>-18783</v>
      </c>
      <c r="Z99" s="166">
        <v>-2.241458935226455E-2</v>
      </c>
      <c r="AA99" s="34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4868.9566666666669</v>
      </c>
      <c r="E100" s="67">
        <v>589580</v>
      </c>
      <c r="F100" s="146">
        <v>0</v>
      </c>
      <c r="G100" s="146">
        <v>0</v>
      </c>
      <c r="H100" s="91">
        <v>589580</v>
      </c>
      <c r="I100" s="67">
        <v>0</v>
      </c>
      <c r="J100" s="739">
        <v>589580</v>
      </c>
      <c r="K100" s="132" t="s">
        <v>621</v>
      </c>
      <c r="L100" s="740">
        <v>0</v>
      </c>
      <c r="M100" s="741">
        <v>4868.9566666666669</v>
      </c>
      <c r="N100" s="67">
        <v>7998</v>
      </c>
      <c r="O100" s="67">
        <v>597578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597578</v>
      </c>
      <c r="V100" s="71">
        <v>122.7322485926143</v>
      </c>
      <c r="W100" s="449">
        <v>597578</v>
      </c>
      <c r="X100" s="67">
        <v>554637</v>
      </c>
      <c r="Y100" s="163">
        <v>42941</v>
      </c>
      <c r="Z100" s="166">
        <v>7.74218092193633E-2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238.85000000000002</v>
      </c>
      <c r="E101" s="67">
        <v>28922</v>
      </c>
      <c r="F101" s="146">
        <v>0</v>
      </c>
      <c r="G101" s="146">
        <v>0</v>
      </c>
      <c r="H101" s="91">
        <v>28922</v>
      </c>
      <c r="I101" s="67">
        <v>0</v>
      </c>
      <c r="J101" s="739">
        <v>28922</v>
      </c>
      <c r="K101" s="132" t="s">
        <v>621</v>
      </c>
      <c r="L101" s="740">
        <v>0</v>
      </c>
      <c r="M101" s="741">
        <v>238.85000000000002</v>
      </c>
      <c r="N101" s="67">
        <v>392</v>
      </c>
      <c r="O101" s="67">
        <v>29314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29314</v>
      </c>
      <c r="V101" s="71">
        <v>122.72974670295163</v>
      </c>
      <c r="W101" s="449">
        <v>29314</v>
      </c>
      <c r="X101" s="67">
        <v>29934</v>
      </c>
      <c r="Y101" s="163">
        <v>-620</v>
      </c>
      <c r="Z101" s="166">
        <v>-2.0712233580543863E-2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172.85000000000002</v>
      </c>
      <c r="E102" s="67">
        <v>20930</v>
      </c>
      <c r="F102" s="146">
        <v>0</v>
      </c>
      <c r="G102" s="146">
        <v>0</v>
      </c>
      <c r="H102" s="91">
        <v>20930</v>
      </c>
      <c r="I102" s="67">
        <v>0</v>
      </c>
      <c r="J102" s="739">
        <v>20930</v>
      </c>
      <c r="K102" s="132" t="s">
        <v>621</v>
      </c>
      <c r="L102" s="740">
        <v>0</v>
      </c>
      <c r="M102" s="741">
        <v>172.85000000000002</v>
      </c>
      <c r="N102" s="67">
        <v>284</v>
      </c>
      <c r="O102" s="67">
        <v>21214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21214</v>
      </c>
      <c r="V102" s="71">
        <v>122.73069135088225</v>
      </c>
      <c r="W102" s="449">
        <v>21214</v>
      </c>
      <c r="X102" s="67">
        <v>18597</v>
      </c>
      <c r="Y102" s="163">
        <v>2617</v>
      </c>
      <c r="Z102" s="166">
        <v>0.14072162176695166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5602.4444444444443</v>
      </c>
      <c r="E103" s="67">
        <v>678398</v>
      </c>
      <c r="F103" s="146">
        <v>0</v>
      </c>
      <c r="G103" s="146">
        <v>0</v>
      </c>
      <c r="H103" s="91">
        <v>678398</v>
      </c>
      <c r="I103" s="67">
        <v>0</v>
      </c>
      <c r="J103" s="739">
        <v>678398</v>
      </c>
      <c r="K103" s="132" t="s">
        <v>621</v>
      </c>
      <c r="L103" s="740">
        <v>0</v>
      </c>
      <c r="M103" s="741">
        <v>5602.4444444444443</v>
      </c>
      <c r="N103" s="67">
        <v>9203</v>
      </c>
      <c r="O103" s="67">
        <v>687601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687601</v>
      </c>
      <c r="V103" s="71">
        <v>122.7323192257348</v>
      </c>
      <c r="W103" s="449">
        <v>687601</v>
      </c>
      <c r="X103" s="67">
        <v>679889</v>
      </c>
      <c r="Y103" s="163">
        <v>7712</v>
      </c>
      <c r="Z103" s="166">
        <v>1.134302805310867E-2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78.849999999999994</v>
      </c>
      <c r="E104" s="67">
        <v>9548</v>
      </c>
      <c r="F104" s="146">
        <v>0</v>
      </c>
      <c r="G104" s="146">
        <v>0</v>
      </c>
      <c r="H104" s="91">
        <v>9548</v>
      </c>
      <c r="I104" s="67">
        <v>0</v>
      </c>
      <c r="J104" s="739">
        <v>9548</v>
      </c>
      <c r="K104" s="132" t="s">
        <v>1306</v>
      </c>
      <c r="L104" s="740">
        <v>0</v>
      </c>
      <c r="M104" s="741">
        <v>78.849999999999994</v>
      </c>
      <c r="N104" s="67">
        <v>130</v>
      </c>
      <c r="O104" s="67">
        <v>9678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9678</v>
      </c>
      <c r="V104" s="71">
        <v>122.73937856689919</v>
      </c>
      <c r="W104" s="449">
        <v>9678</v>
      </c>
      <c r="X104" s="67">
        <v>0</v>
      </c>
      <c r="Y104" s="163">
        <v>9678</v>
      </c>
      <c r="Z104" s="166">
        <v>0</v>
      </c>
      <c r="AA104" s="34" t="s">
        <v>1306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2897.8022222222221</v>
      </c>
      <c r="E105" s="67">
        <v>350894</v>
      </c>
      <c r="F105" s="146">
        <v>0</v>
      </c>
      <c r="G105" s="146">
        <v>0</v>
      </c>
      <c r="H105" s="91">
        <v>350894</v>
      </c>
      <c r="I105" s="67">
        <v>0</v>
      </c>
      <c r="J105" s="739">
        <v>350894</v>
      </c>
      <c r="K105" s="132" t="s">
        <v>621</v>
      </c>
      <c r="L105" s="740">
        <v>0</v>
      </c>
      <c r="M105" s="741">
        <v>2897.8022222222221</v>
      </c>
      <c r="N105" s="67">
        <v>4760</v>
      </c>
      <c r="O105" s="67">
        <v>355654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355654</v>
      </c>
      <c r="V105" s="71">
        <v>122.73232357702504</v>
      </c>
      <c r="W105" s="449">
        <v>355654</v>
      </c>
      <c r="X105" s="67">
        <v>350163</v>
      </c>
      <c r="Y105" s="163">
        <v>5491</v>
      </c>
      <c r="Z105" s="166">
        <v>1.5681268437841806E-2</v>
      </c>
      <c r="AA105" s="34" t="s">
        <v>621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3075.4877777777779</v>
      </c>
      <c r="E107" s="67">
        <v>372410</v>
      </c>
      <c r="F107" s="146">
        <v>0</v>
      </c>
      <c r="G107" s="146">
        <v>0</v>
      </c>
      <c r="H107" s="91">
        <v>372410</v>
      </c>
      <c r="I107" s="67">
        <v>0</v>
      </c>
      <c r="J107" s="739">
        <v>372410</v>
      </c>
      <c r="K107" s="132" t="s">
        <v>621</v>
      </c>
      <c r="L107" s="740">
        <v>0</v>
      </c>
      <c r="M107" s="741">
        <v>3075.4877777777779</v>
      </c>
      <c r="N107" s="67">
        <v>5052</v>
      </c>
      <c r="O107" s="67">
        <v>377462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377462</v>
      </c>
      <c r="V107" s="71">
        <v>122.73240125595252</v>
      </c>
      <c r="W107" s="449">
        <v>377462</v>
      </c>
      <c r="X107" s="67">
        <v>357052</v>
      </c>
      <c r="Y107" s="163">
        <v>20410</v>
      </c>
      <c r="Z107" s="166">
        <v>5.7162542150723146E-2</v>
      </c>
      <c r="AA107" s="34" t="s">
        <v>621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1104.598888888889</v>
      </c>
      <c r="E108" s="67">
        <v>133755</v>
      </c>
      <c r="F108" s="146">
        <v>0</v>
      </c>
      <c r="G108" s="146">
        <v>0</v>
      </c>
      <c r="H108" s="91">
        <v>133755</v>
      </c>
      <c r="I108" s="67">
        <v>0</v>
      </c>
      <c r="J108" s="739">
        <v>133755</v>
      </c>
      <c r="K108" s="132" t="s">
        <v>621</v>
      </c>
      <c r="L108" s="740">
        <v>0</v>
      </c>
      <c r="M108" s="741">
        <v>1104.598888888889</v>
      </c>
      <c r="N108" s="67">
        <v>1815</v>
      </c>
      <c r="O108" s="67">
        <v>135570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135570</v>
      </c>
      <c r="V108" s="71">
        <v>122.73233421080955</v>
      </c>
      <c r="W108" s="449">
        <v>135570</v>
      </c>
      <c r="X108" s="67">
        <v>144947</v>
      </c>
      <c r="Y108" s="163">
        <v>-9377</v>
      </c>
      <c r="Z108" s="166">
        <v>-6.4692611782237647E-2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154.88888888888889</v>
      </c>
      <c r="E109" s="67">
        <v>18755</v>
      </c>
      <c r="F109" s="146">
        <v>0</v>
      </c>
      <c r="G109" s="146">
        <v>0</v>
      </c>
      <c r="H109" s="91">
        <v>18755</v>
      </c>
      <c r="I109" s="67">
        <v>0</v>
      </c>
      <c r="J109" s="739">
        <v>18755</v>
      </c>
      <c r="K109" s="132" t="s">
        <v>621</v>
      </c>
      <c r="L109" s="740">
        <v>0</v>
      </c>
      <c r="M109" s="741">
        <v>154.88888888888889</v>
      </c>
      <c r="N109" s="67">
        <v>254</v>
      </c>
      <c r="O109" s="67">
        <v>19009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19009</v>
      </c>
      <c r="V109" s="71">
        <v>122.72668579626973</v>
      </c>
      <c r="W109" s="449">
        <v>19009</v>
      </c>
      <c r="X109" s="67">
        <v>18057</v>
      </c>
      <c r="Y109" s="163">
        <v>952</v>
      </c>
      <c r="Z109" s="166">
        <v>5.2721936091266547E-2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3122.1544444444444</v>
      </c>
      <c r="E110" s="67">
        <v>378060</v>
      </c>
      <c r="F110" s="146">
        <v>0</v>
      </c>
      <c r="G110" s="146">
        <v>0</v>
      </c>
      <c r="H110" s="91">
        <v>378060</v>
      </c>
      <c r="I110" s="67">
        <v>0</v>
      </c>
      <c r="J110" s="739">
        <v>378060</v>
      </c>
      <c r="K110" s="132" t="s">
        <v>1306</v>
      </c>
      <c r="L110" s="740">
        <v>0</v>
      </c>
      <c r="M110" s="741">
        <v>3122.1544444444444</v>
      </c>
      <c r="N110" s="67">
        <v>5129</v>
      </c>
      <c r="O110" s="67">
        <v>383189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383189</v>
      </c>
      <c r="V110" s="71">
        <v>122.73223724785485</v>
      </c>
      <c r="W110" s="449">
        <v>383189</v>
      </c>
      <c r="X110" s="67">
        <v>361948</v>
      </c>
      <c r="Y110" s="163">
        <v>21241</v>
      </c>
      <c r="Z110" s="166">
        <v>5.8685225502005813E-2</v>
      </c>
      <c r="AA110" s="34" t="s">
        <v>1306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197.97111111111113</v>
      </c>
      <c r="E111" s="67">
        <v>23972</v>
      </c>
      <c r="F111" s="146">
        <v>0</v>
      </c>
      <c r="G111" s="146">
        <v>0</v>
      </c>
      <c r="H111" s="91">
        <v>23972</v>
      </c>
      <c r="I111" s="67">
        <v>0</v>
      </c>
      <c r="J111" s="739">
        <v>23972</v>
      </c>
      <c r="K111" s="132" t="s">
        <v>621</v>
      </c>
      <c r="L111" s="740">
        <v>0</v>
      </c>
      <c r="M111" s="741">
        <v>197.97111111111113</v>
      </c>
      <c r="N111" s="67">
        <v>325</v>
      </c>
      <c r="O111" s="67">
        <v>24297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24297</v>
      </c>
      <c r="V111" s="71">
        <v>122.73002795020597</v>
      </c>
      <c r="W111" s="449">
        <v>24297</v>
      </c>
      <c r="X111" s="67">
        <v>20111</v>
      </c>
      <c r="Y111" s="163">
        <v>4186</v>
      </c>
      <c r="Z111" s="166">
        <v>0.20814479638009051</v>
      </c>
      <c r="AA111" s="34" t="s">
        <v>621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179.54111111111112</v>
      </c>
      <c r="E112" s="67">
        <v>21741</v>
      </c>
      <c r="F112" s="146">
        <v>0</v>
      </c>
      <c r="G112" s="146">
        <v>0</v>
      </c>
      <c r="H112" s="91">
        <v>21741</v>
      </c>
      <c r="I112" s="67">
        <v>0</v>
      </c>
      <c r="J112" s="739">
        <v>21741</v>
      </c>
      <c r="K112" s="132" t="s">
        <v>621</v>
      </c>
      <c r="L112" s="740">
        <v>0</v>
      </c>
      <c r="M112" s="741">
        <v>179.54111111111112</v>
      </c>
      <c r="N112" s="67">
        <v>295</v>
      </c>
      <c r="O112" s="67">
        <v>22036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22036</v>
      </c>
      <c r="V112" s="71">
        <v>122.73512101839876</v>
      </c>
      <c r="W112" s="449">
        <v>22036</v>
      </c>
      <c r="X112" s="67">
        <v>22706</v>
      </c>
      <c r="Y112" s="163">
        <v>-670</v>
      </c>
      <c r="Z112" s="166">
        <v>-2.9507619131507092E-2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1276.6377777777777</v>
      </c>
      <c r="E113" s="67">
        <v>154588</v>
      </c>
      <c r="F113" s="146">
        <v>0</v>
      </c>
      <c r="G113" s="146">
        <v>0</v>
      </c>
      <c r="H113" s="91">
        <v>154588</v>
      </c>
      <c r="I113" s="67">
        <v>0</v>
      </c>
      <c r="J113" s="739">
        <v>154588</v>
      </c>
      <c r="K113" s="132" t="s">
        <v>621</v>
      </c>
      <c r="L113" s="740">
        <v>0</v>
      </c>
      <c r="M113" s="741">
        <v>1276.6377777777777</v>
      </c>
      <c r="N113" s="67">
        <v>2097</v>
      </c>
      <c r="O113" s="67">
        <v>156685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156685</v>
      </c>
      <c r="V113" s="71">
        <v>122.73254225073849</v>
      </c>
      <c r="W113" s="449">
        <v>156685</v>
      </c>
      <c r="X113" s="67">
        <v>156639</v>
      </c>
      <c r="Y113" s="163">
        <v>46</v>
      </c>
      <c r="Z113" s="166">
        <v>2.9366888195149357E-4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762.20777777777778</v>
      </c>
      <c r="E114" s="67">
        <v>92295</v>
      </c>
      <c r="F114" s="146">
        <v>0</v>
      </c>
      <c r="G114" s="146">
        <v>0</v>
      </c>
      <c r="H114" s="91">
        <v>92295</v>
      </c>
      <c r="I114" s="67">
        <v>0</v>
      </c>
      <c r="J114" s="739">
        <v>92295</v>
      </c>
      <c r="K114" s="132" t="s">
        <v>621</v>
      </c>
      <c r="L114" s="740">
        <v>0</v>
      </c>
      <c r="M114" s="741">
        <v>762.20777777777778</v>
      </c>
      <c r="N114" s="67">
        <v>1252</v>
      </c>
      <c r="O114" s="67">
        <v>93547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93547</v>
      </c>
      <c r="V114" s="71">
        <v>122.73162610953268</v>
      </c>
      <c r="W114" s="449">
        <v>93547</v>
      </c>
      <c r="X114" s="67">
        <v>86374</v>
      </c>
      <c r="Y114" s="163">
        <v>7173</v>
      </c>
      <c r="Z114" s="166">
        <v>8.304582397480724E-2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2924.0822222222223</v>
      </c>
      <c r="E115" s="67">
        <v>354076</v>
      </c>
      <c r="F115" s="146">
        <v>0</v>
      </c>
      <c r="G115" s="146">
        <v>0</v>
      </c>
      <c r="H115" s="91">
        <v>354076</v>
      </c>
      <c r="I115" s="67">
        <v>0</v>
      </c>
      <c r="J115" s="739">
        <v>354076</v>
      </c>
      <c r="K115" s="132" t="s">
        <v>621</v>
      </c>
      <c r="L115" s="740">
        <v>0</v>
      </c>
      <c r="M115" s="741">
        <v>2924.0822222222223</v>
      </c>
      <c r="N115" s="67">
        <v>4803</v>
      </c>
      <c r="O115" s="67">
        <v>358879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358879</v>
      </c>
      <c r="V115" s="71">
        <v>122.73218491348092</v>
      </c>
      <c r="W115" s="449">
        <v>358879</v>
      </c>
      <c r="X115" s="67">
        <v>353670</v>
      </c>
      <c r="Y115" s="163">
        <v>5209</v>
      </c>
      <c r="Z115" s="166">
        <v>1.472841914779314E-2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5797.1255555555554</v>
      </c>
      <c r="E116" s="67">
        <v>701972</v>
      </c>
      <c r="F116" s="146">
        <v>0</v>
      </c>
      <c r="G116" s="146">
        <v>0</v>
      </c>
      <c r="H116" s="91">
        <v>701972</v>
      </c>
      <c r="I116" s="67">
        <v>0</v>
      </c>
      <c r="J116" s="739">
        <v>701972</v>
      </c>
      <c r="K116" s="132" t="s">
        <v>621</v>
      </c>
      <c r="L116" s="740">
        <v>0</v>
      </c>
      <c r="M116" s="741">
        <v>5797.1255555555554</v>
      </c>
      <c r="N116" s="67">
        <v>9523</v>
      </c>
      <c r="O116" s="67">
        <v>711495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711495</v>
      </c>
      <c r="V116" s="71">
        <v>122.73237713786507</v>
      </c>
      <c r="W116" s="449">
        <v>711495</v>
      </c>
      <c r="X116" s="67">
        <v>676043</v>
      </c>
      <c r="Y116" s="163">
        <v>35452</v>
      </c>
      <c r="Z116" s="166">
        <v>5.2440451273069906E-2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1804.1544444444444</v>
      </c>
      <c r="E117" s="67">
        <v>218464</v>
      </c>
      <c r="F117" s="146">
        <v>0</v>
      </c>
      <c r="G117" s="146">
        <v>0</v>
      </c>
      <c r="H117" s="91">
        <v>218464</v>
      </c>
      <c r="I117" s="67">
        <v>0</v>
      </c>
      <c r="J117" s="739">
        <v>218464</v>
      </c>
      <c r="K117" s="132" t="s">
        <v>621</v>
      </c>
      <c r="L117" s="740">
        <v>0</v>
      </c>
      <c r="M117" s="741">
        <v>1804.1544444444444</v>
      </c>
      <c r="N117" s="67">
        <v>2964</v>
      </c>
      <c r="O117" s="67">
        <v>221428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221428</v>
      </c>
      <c r="V117" s="71">
        <v>122.73228640809884</v>
      </c>
      <c r="W117" s="449">
        <v>221428</v>
      </c>
      <c r="X117" s="67">
        <v>206978</v>
      </c>
      <c r="Y117" s="163">
        <v>14450</v>
      </c>
      <c r="Z117" s="166">
        <v>6.9814183149899983E-2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644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326.45888888888891</v>
      </c>
      <c r="E119" s="67">
        <v>39531</v>
      </c>
      <c r="F119" s="146">
        <v>0</v>
      </c>
      <c r="G119" s="146">
        <v>0</v>
      </c>
      <c r="H119" s="91">
        <v>39531</v>
      </c>
      <c r="I119" s="67">
        <v>0</v>
      </c>
      <c r="J119" s="739">
        <v>39531</v>
      </c>
      <c r="K119" s="132" t="s">
        <v>621</v>
      </c>
      <c r="L119" s="740">
        <v>0</v>
      </c>
      <c r="M119" s="741">
        <v>326.45888888888891</v>
      </c>
      <c r="N119" s="67">
        <v>536</v>
      </c>
      <c r="O119" s="67">
        <v>40067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40067</v>
      </c>
      <c r="V119" s="71">
        <v>122.73214595678203</v>
      </c>
      <c r="W119" s="449">
        <v>40067</v>
      </c>
      <c r="X119" s="67">
        <v>34322</v>
      </c>
      <c r="Y119" s="163">
        <v>5745</v>
      </c>
      <c r="Z119" s="166">
        <v>0.16738535050404987</v>
      </c>
      <c r="AA119" s="34" t="s">
        <v>621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50.86</v>
      </c>
      <c r="E120" s="67">
        <v>6159</v>
      </c>
      <c r="F120" s="146">
        <v>0</v>
      </c>
      <c r="G120" s="146">
        <v>0</v>
      </c>
      <c r="H120" s="91">
        <v>6159</v>
      </c>
      <c r="I120" s="67">
        <v>0</v>
      </c>
      <c r="J120" s="739">
        <v>6159</v>
      </c>
      <c r="K120" s="132" t="s">
        <v>644</v>
      </c>
      <c r="L120" s="740">
        <v>6159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239.58444444444444</v>
      </c>
      <c r="E121" s="67">
        <v>29011</v>
      </c>
      <c r="F121" s="146">
        <v>0</v>
      </c>
      <c r="G121" s="146">
        <v>0</v>
      </c>
      <c r="H121" s="91">
        <v>29011</v>
      </c>
      <c r="I121" s="67">
        <v>0</v>
      </c>
      <c r="J121" s="739">
        <v>29011</v>
      </c>
      <c r="K121" s="132" t="s">
        <v>621</v>
      </c>
      <c r="L121" s="740">
        <v>0</v>
      </c>
      <c r="M121" s="741">
        <v>239.58444444444444</v>
      </c>
      <c r="N121" s="67">
        <v>394</v>
      </c>
      <c r="O121" s="67">
        <v>29405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29405</v>
      </c>
      <c r="V121" s="71">
        <v>122.73334384536187</v>
      </c>
      <c r="W121" s="449">
        <v>29405</v>
      </c>
      <c r="X121" s="67">
        <v>28297</v>
      </c>
      <c r="Y121" s="163">
        <v>1108</v>
      </c>
      <c r="Z121" s="166">
        <v>3.9156094285613313E-2</v>
      </c>
      <c r="AA121" s="34" t="s">
        <v>621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326.72000000000003</v>
      </c>
      <c r="E122" s="67">
        <v>39562</v>
      </c>
      <c r="F122" s="146">
        <v>0</v>
      </c>
      <c r="G122" s="146">
        <v>0</v>
      </c>
      <c r="H122" s="91">
        <v>39562</v>
      </c>
      <c r="I122" s="67">
        <v>0</v>
      </c>
      <c r="J122" s="739">
        <v>39562</v>
      </c>
      <c r="K122" s="132" t="s">
        <v>621</v>
      </c>
      <c r="L122" s="740">
        <v>0</v>
      </c>
      <c r="M122" s="741">
        <v>326.72000000000003</v>
      </c>
      <c r="N122" s="67">
        <v>537</v>
      </c>
      <c r="O122" s="67">
        <v>40099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40099</v>
      </c>
      <c r="V122" s="71">
        <v>122.73200293829578</v>
      </c>
      <c r="W122" s="449">
        <v>40099</v>
      </c>
      <c r="X122" s="67">
        <v>40546</v>
      </c>
      <c r="Y122" s="163">
        <v>-447</v>
      </c>
      <c r="Z122" s="166">
        <v>-1.1024515365264144E-2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236.22222222222223</v>
      </c>
      <c r="E123" s="67">
        <v>28604</v>
      </c>
      <c r="F123" s="146">
        <v>0</v>
      </c>
      <c r="G123" s="146">
        <v>0</v>
      </c>
      <c r="H123" s="91">
        <v>28604</v>
      </c>
      <c r="I123" s="67">
        <v>0</v>
      </c>
      <c r="J123" s="739">
        <v>28604</v>
      </c>
      <c r="K123" s="132" t="s">
        <v>621</v>
      </c>
      <c r="L123" s="740">
        <v>0</v>
      </c>
      <c r="M123" s="741">
        <v>236.22222222222223</v>
      </c>
      <c r="N123" s="67">
        <v>388</v>
      </c>
      <c r="O123" s="67">
        <v>28992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28992</v>
      </c>
      <c r="V123" s="71">
        <v>122.73189087488241</v>
      </c>
      <c r="W123" s="449">
        <v>28992</v>
      </c>
      <c r="X123" s="67">
        <v>21748</v>
      </c>
      <c r="Y123" s="163">
        <v>7244</v>
      </c>
      <c r="Z123" s="166">
        <v>0.33308810005517747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644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11.86</v>
      </c>
      <c r="E125" s="67">
        <v>1436</v>
      </c>
      <c r="F125" s="146">
        <v>0</v>
      </c>
      <c r="G125" s="146">
        <v>0</v>
      </c>
      <c r="H125" s="91">
        <v>1436</v>
      </c>
      <c r="I125" s="67">
        <v>0</v>
      </c>
      <c r="J125" s="739">
        <v>1436</v>
      </c>
      <c r="K125" s="132" t="s">
        <v>1306</v>
      </c>
      <c r="L125" s="740">
        <v>0</v>
      </c>
      <c r="M125" s="741">
        <v>11.86</v>
      </c>
      <c r="N125" s="67">
        <v>19</v>
      </c>
      <c r="O125" s="67">
        <v>1455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1455</v>
      </c>
      <c r="V125" s="71">
        <v>122.68128161888703</v>
      </c>
      <c r="W125" s="449">
        <v>1455</v>
      </c>
      <c r="X125" s="67">
        <v>1452</v>
      </c>
      <c r="Y125" s="163">
        <v>3</v>
      </c>
      <c r="Z125" s="166">
        <v>2.0661157024793389E-3</v>
      </c>
      <c r="AA125" s="34" t="s">
        <v>1306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644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250.94666666666663</v>
      </c>
      <c r="E127" s="67">
        <v>30387</v>
      </c>
      <c r="F127" s="146">
        <v>0</v>
      </c>
      <c r="G127" s="146">
        <v>0</v>
      </c>
      <c r="H127" s="91">
        <v>30387</v>
      </c>
      <c r="I127" s="67">
        <v>0</v>
      </c>
      <c r="J127" s="739">
        <v>30387</v>
      </c>
      <c r="K127" s="132" t="s">
        <v>621</v>
      </c>
      <c r="L127" s="740">
        <v>0</v>
      </c>
      <c r="M127" s="741">
        <v>250.94666666666663</v>
      </c>
      <c r="N127" s="67">
        <v>412</v>
      </c>
      <c r="O127" s="67">
        <v>30799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30799</v>
      </c>
      <c r="V127" s="71">
        <v>122.73125763774509</v>
      </c>
      <c r="W127" s="449">
        <v>30799</v>
      </c>
      <c r="X127" s="67">
        <v>29982</v>
      </c>
      <c r="Y127" s="163">
        <v>817</v>
      </c>
      <c r="Z127" s="166">
        <v>2.7249683143219267E-2</v>
      </c>
      <c r="AA127" s="34" t="s">
        <v>621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6297</v>
      </c>
      <c r="F128" s="146">
        <v>0</v>
      </c>
      <c r="G128" s="146">
        <v>0</v>
      </c>
      <c r="H128" s="91">
        <v>6297</v>
      </c>
      <c r="I128" s="67">
        <v>0</v>
      </c>
      <c r="J128" s="739">
        <v>6297</v>
      </c>
      <c r="K128" s="132" t="s">
        <v>1306</v>
      </c>
      <c r="L128" s="740">
        <v>0</v>
      </c>
      <c r="M128" s="741">
        <v>52</v>
      </c>
      <c r="N128" s="67">
        <v>85</v>
      </c>
      <c r="O128" s="67">
        <v>6382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6382</v>
      </c>
      <c r="V128" s="71">
        <v>122.73076923076923</v>
      </c>
      <c r="W128" s="449">
        <v>6382</v>
      </c>
      <c r="X128" s="67">
        <v>6426</v>
      </c>
      <c r="Y128" s="163">
        <v>-44</v>
      </c>
      <c r="Z128" s="166">
        <v>-6.8471833177715527E-3</v>
      </c>
      <c r="AA128" s="34" t="s">
        <v>1306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17.86</v>
      </c>
      <c r="E129" s="67">
        <v>2163</v>
      </c>
      <c r="F129" s="146">
        <v>0</v>
      </c>
      <c r="G129" s="146">
        <v>0</v>
      </c>
      <c r="H129" s="91">
        <v>2163</v>
      </c>
      <c r="I129" s="67">
        <v>0</v>
      </c>
      <c r="J129" s="739">
        <v>2163</v>
      </c>
      <c r="K129" s="132" t="s">
        <v>1306</v>
      </c>
      <c r="L129" s="740">
        <v>0</v>
      </c>
      <c r="M129" s="741">
        <v>17.86</v>
      </c>
      <c r="N129" s="67">
        <v>29</v>
      </c>
      <c r="O129" s="67">
        <v>2192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2192</v>
      </c>
      <c r="V129" s="71">
        <v>122.7323628219485</v>
      </c>
      <c r="W129" s="449">
        <v>2192</v>
      </c>
      <c r="X129" s="67">
        <v>2920</v>
      </c>
      <c r="Y129" s="163">
        <v>-728</v>
      </c>
      <c r="Z129" s="166">
        <v>-0.24931506849315069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644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644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644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644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644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15.29</v>
      </c>
      <c r="E136" s="67">
        <v>1851</v>
      </c>
      <c r="F136" s="146">
        <v>0</v>
      </c>
      <c r="G136" s="146">
        <v>0</v>
      </c>
      <c r="H136" s="91">
        <v>1851</v>
      </c>
      <c r="I136" s="67">
        <v>0</v>
      </c>
      <c r="J136" s="739">
        <v>1851</v>
      </c>
      <c r="K136" s="132" t="s">
        <v>644</v>
      </c>
      <c r="L136" s="740">
        <v>1851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32.57</v>
      </c>
      <c r="E137" s="67">
        <v>3944</v>
      </c>
      <c r="F137" s="146">
        <v>0</v>
      </c>
      <c r="G137" s="146">
        <v>0</v>
      </c>
      <c r="H137" s="91">
        <v>3944</v>
      </c>
      <c r="I137" s="67">
        <v>0</v>
      </c>
      <c r="J137" s="739">
        <v>3944</v>
      </c>
      <c r="K137" s="132" t="s">
        <v>1306</v>
      </c>
      <c r="L137" s="740">
        <v>0</v>
      </c>
      <c r="M137" s="741">
        <v>32.57</v>
      </c>
      <c r="N137" s="67">
        <v>54</v>
      </c>
      <c r="O137" s="67">
        <v>3998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3998</v>
      </c>
      <c r="V137" s="71">
        <v>122.75099785078292</v>
      </c>
      <c r="W137" s="449">
        <v>3998</v>
      </c>
      <c r="X137" s="67">
        <v>3521</v>
      </c>
      <c r="Y137" s="163">
        <v>477</v>
      </c>
      <c r="Z137" s="166">
        <v>0.13547287702357286</v>
      </c>
      <c r="AA137" s="34" t="s">
        <v>1306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200.16444444444448</v>
      </c>
      <c r="E138" s="67">
        <v>24238</v>
      </c>
      <c r="F138" s="146">
        <v>0</v>
      </c>
      <c r="G138" s="146">
        <v>0</v>
      </c>
      <c r="H138" s="91">
        <v>24238</v>
      </c>
      <c r="I138" s="67">
        <v>0</v>
      </c>
      <c r="J138" s="739">
        <v>24238</v>
      </c>
      <c r="K138" s="132" t="s">
        <v>621</v>
      </c>
      <c r="L138" s="740">
        <v>0</v>
      </c>
      <c r="M138" s="741">
        <v>200.16444444444448</v>
      </c>
      <c r="N138" s="67">
        <v>329</v>
      </c>
      <c r="O138" s="67">
        <v>24567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24567</v>
      </c>
      <c r="V138" s="71">
        <v>122.73408530763592</v>
      </c>
      <c r="W138" s="449">
        <v>24567</v>
      </c>
      <c r="X138" s="67">
        <v>23787</v>
      </c>
      <c r="Y138" s="163">
        <v>780</v>
      </c>
      <c r="Z138" s="166">
        <v>3.279102030520873E-2</v>
      </c>
      <c r="AA138" s="34" t="s">
        <v>621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12.29</v>
      </c>
      <c r="E139" s="67">
        <v>1488</v>
      </c>
      <c r="F139" s="146">
        <v>0</v>
      </c>
      <c r="G139" s="146">
        <v>0</v>
      </c>
      <c r="H139" s="91">
        <v>1488</v>
      </c>
      <c r="I139" s="67">
        <v>0</v>
      </c>
      <c r="J139" s="739">
        <v>1488</v>
      </c>
      <c r="K139" s="132" t="s">
        <v>644</v>
      </c>
      <c r="L139" s="740">
        <v>1488</v>
      </c>
      <c r="M139" s="741">
        <v>0</v>
      </c>
      <c r="N139" s="67">
        <v>0</v>
      </c>
      <c r="O139" s="67">
        <v>0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644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2906</v>
      </c>
      <c r="F140" s="146">
        <v>0</v>
      </c>
      <c r="G140" s="146">
        <v>0</v>
      </c>
      <c r="H140" s="91">
        <v>2906</v>
      </c>
      <c r="I140" s="67">
        <v>0</v>
      </c>
      <c r="J140" s="739">
        <v>2906</v>
      </c>
      <c r="K140" s="132" t="s">
        <v>644</v>
      </c>
      <c r="L140" s="740">
        <v>2906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5.43</v>
      </c>
      <c r="E141" s="67">
        <v>658</v>
      </c>
      <c r="F141" s="146">
        <v>0</v>
      </c>
      <c r="G141" s="146">
        <v>0</v>
      </c>
      <c r="H141" s="91">
        <v>658</v>
      </c>
      <c r="I141" s="67">
        <v>0</v>
      </c>
      <c r="J141" s="739">
        <v>658</v>
      </c>
      <c r="K141" s="132" t="s">
        <v>644</v>
      </c>
      <c r="L141" s="740">
        <v>658</v>
      </c>
      <c r="M141" s="741">
        <v>0</v>
      </c>
      <c r="N141" s="67">
        <v>0</v>
      </c>
      <c r="O141" s="67">
        <v>0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644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60.86</v>
      </c>
      <c r="E142" s="67">
        <v>7370</v>
      </c>
      <c r="F142" s="146">
        <v>0</v>
      </c>
      <c r="G142" s="146">
        <v>0</v>
      </c>
      <c r="H142" s="91">
        <v>7370</v>
      </c>
      <c r="I142" s="67">
        <v>0</v>
      </c>
      <c r="J142" s="739">
        <v>7370</v>
      </c>
      <c r="K142" s="132" t="s">
        <v>1306</v>
      </c>
      <c r="L142" s="740">
        <v>0</v>
      </c>
      <c r="M142" s="741">
        <v>60.86</v>
      </c>
      <c r="N142" s="67">
        <v>100</v>
      </c>
      <c r="O142" s="67">
        <v>7470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7470</v>
      </c>
      <c r="V142" s="71">
        <v>122.74071639829116</v>
      </c>
      <c r="W142" s="449">
        <v>7470</v>
      </c>
      <c r="X142" s="67">
        <v>7383</v>
      </c>
      <c r="Y142" s="163">
        <v>87</v>
      </c>
      <c r="Z142" s="166">
        <v>1.1783827712312069E-2</v>
      </c>
      <c r="AA142" s="34" t="s">
        <v>1306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644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94.86</v>
      </c>
      <c r="E145" s="67">
        <v>11487</v>
      </c>
      <c r="F145" s="146">
        <v>0</v>
      </c>
      <c r="G145" s="146">
        <v>0</v>
      </c>
      <c r="H145" s="91">
        <v>11487</v>
      </c>
      <c r="I145" s="67">
        <v>0</v>
      </c>
      <c r="J145" s="739">
        <v>11487</v>
      </c>
      <c r="K145" s="132" t="s">
        <v>621</v>
      </c>
      <c r="L145" s="740">
        <v>0</v>
      </c>
      <c r="M145" s="741">
        <v>94.86</v>
      </c>
      <c r="N145" s="67">
        <v>156</v>
      </c>
      <c r="O145" s="67">
        <v>11643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11643</v>
      </c>
      <c r="V145" s="71">
        <v>122.73877292852625</v>
      </c>
      <c r="W145" s="449">
        <v>11643</v>
      </c>
      <c r="X145" s="67">
        <v>12002</v>
      </c>
      <c r="Y145" s="163">
        <v>-359</v>
      </c>
      <c r="Z145" s="166">
        <v>-2.9911681386435594E-2</v>
      </c>
      <c r="AA145" s="34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0.71</v>
      </c>
      <c r="E146" s="67">
        <v>86</v>
      </c>
      <c r="F146" s="146">
        <v>0</v>
      </c>
      <c r="G146" s="146">
        <v>0</v>
      </c>
      <c r="H146" s="91">
        <v>86</v>
      </c>
      <c r="I146" s="67">
        <v>0</v>
      </c>
      <c r="J146" s="739">
        <v>86</v>
      </c>
      <c r="K146" s="132" t="s">
        <v>644</v>
      </c>
      <c r="L146" s="740">
        <v>86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9.86</v>
      </c>
      <c r="E147" s="67">
        <v>1194</v>
      </c>
      <c r="F147" s="146">
        <v>0</v>
      </c>
      <c r="G147" s="146">
        <v>0</v>
      </c>
      <c r="H147" s="91">
        <v>1194</v>
      </c>
      <c r="I147" s="67">
        <v>0</v>
      </c>
      <c r="J147" s="739">
        <v>1194</v>
      </c>
      <c r="K147" s="132" t="s">
        <v>644</v>
      </c>
      <c r="L147" s="740">
        <v>1194</v>
      </c>
      <c r="M147" s="741">
        <v>0</v>
      </c>
      <c r="N147" s="67">
        <v>0</v>
      </c>
      <c r="O147" s="67">
        <v>0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644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31.58</v>
      </c>
      <c r="E148" s="67">
        <v>3824</v>
      </c>
      <c r="F148" s="146">
        <v>0</v>
      </c>
      <c r="G148" s="146">
        <v>0</v>
      </c>
      <c r="H148" s="91">
        <v>3824</v>
      </c>
      <c r="I148" s="67">
        <v>0</v>
      </c>
      <c r="J148" s="739">
        <v>3824</v>
      </c>
      <c r="K148" s="132" t="s">
        <v>1306</v>
      </c>
      <c r="L148" s="740">
        <v>0</v>
      </c>
      <c r="M148" s="741">
        <v>31.58</v>
      </c>
      <c r="N148" s="67">
        <v>52</v>
      </c>
      <c r="O148" s="67">
        <v>3876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3876</v>
      </c>
      <c r="V148" s="71">
        <v>122.73590880303991</v>
      </c>
      <c r="W148" s="449">
        <v>3876</v>
      </c>
      <c r="X148" s="67">
        <v>4170</v>
      </c>
      <c r="Y148" s="163">
        <v>-294</v>
      </c>
      <c r="Z148" s="166">
        <v>-7.0503597122302156E-2</v>
      </c>
      <c r="AA148" s="34" t="s">
        <v>1306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159.13999999999999</v>
      </c>
      <c r="E150" s="67">
        <v>19270</v>
      </c>
      <c r="F150" s="146">
        <v>0</v>
      </c>
      <c r="G150" s="146">
        <v>0</v>
      </c>
      <c r="H150" s="91">
        <v>19270</v>
      </c>
      <c r="I150" s="67">
        <v>0</v>
      </c>
      <c r="J150" s="739">
        <v>19270</v>
      </c>
      <c r="K150" s="132" t="s">
        <v>621</v>
      </c>
      <c r="L150" s="740">
        <v>0</v>
      </c>
      <c r="M150" s="741">
        <v>159.13999999999999</v>
      </c>
      <c r="N150" s="67">
        <v>261</v>
      </c>
      <c r="O150" s="67">
        <v>19531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19531</v>
      </c>
      <c r="V150" s="71">
        <v>122.72841523187132</v>
      </c>
      <c r="W150" s="449">
        <v>19531</v>
      </c>
      <c r="X150" s="67">
        <v>17948</v>
      </c>
      <c r="Y150" s="163">
        <v>1583</v>
      </c>
      <c r="Z150" s="166">
        <v>8.81992422554045E-2</v>
      </c>
      <c r="AA150" s="34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402.14</v>
      </c>
      <c r="E152" s="67">
        <v>48695</v>
      </c>
      <c r="F152" s="146">
        <v>0</v>
      </c>
      <c r="G152" s="146">
        <v>0</v>
      </c>
      <c r="H152" s="91">
        <v>48695</v>
      </c>
      <c r="I152" s="67">
        <v>0</v>
      </c>
      <c r="J152" s="739">
        <v>48695</v>
      </c>
      <c r="K152" s="132" t="s">
        <v>621</v>
      </c>
      <c r="L152" s="740">
        <v>0</v>
      </c>
      <c r="M152" s="741">
        <v>402.14</v>
      </c>
      <c r="N152" s="67">
        <v>661</v>
      </c>
      <c r="O152" s="67">
        <v>49356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49356</v>
      </c>
      <c r="V152" s="71">
        <v>122.73337643606705</v>
      </c>
      <c r="W152" s="449">
        <v>49356</v>
      </c>
      <c r="X152" s="67">
        <v>51528</v>
      </c>
      <c r="Y152" s="163">
        <v>-2172</v>
      </c>
      <c r="Z152" s="166">
        <v>-4.2151839776432234E-2</v>
      </c>
      <c r="AA152" s="34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11.014444444444445</v>
      </c>
      <c r="E154" s="67">
        <v>1334</v>
      </c>
      <c r="F154" s="146">
        <v>0</v>
      </c>
      <c r="G154" s="146">
        <v>0</v>
      </c>
      <c r="H154" s="91">
        <v>1334</v>
      </c>
      <c r="I154" s="67">
        <v>0</v>
      </c>
      <c r="J154" s="739">
        <v>1334</v>
      </c>
      <c r="K154" s="132" t="s">
        <v>644</v>
      </c>
      <c r="L154" s="740">
        <v>1334</v>
      </c>
      <c r="M154" s="741">
        <v>0</v>
      </c>
      <c r="N154" s="67">
        <v>0</v>
      </c>
      <c r="O154" s="67">
        <v>0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644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644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0</v>
      </c>
      <c r="E161" s="67">
        <v>0</v>
      </c>
      <c r="F161" s="146">
        <v>0</v>
      </c>
      <c r="G161" s="146">
        <v>0</v>
      </c>
      <c r="H161" s="91">
        <v>0</v>
      </c>
      <c r="I161" s="67">
        <v>0</v>
      </c>
      <c r="J161" s="739">
        <v>0</v>
      </c>
      <c r="K161" s="132" t="s">
        <v>644</v>
      </c>
      <c r="L161" s="740">
        <v>0</v>
      </c>
      <c r="M161" s="741">
        <v>0</v>
      </c>
      <c r="N161" s="67">
        <v>0</v>
      </c>
      <c r="O161" s="67">
        <v>0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644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644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735.65222222222224</v>
      </c>
      <c r="E163" s="67">
        <v>89080</v>
      </c>
      <c r="F163" s="146">
        <v>0</v>
      </c>
      <c r="G163" s="146">
        <v>0</v>
      </c>
      <c r="H163" s="91">
        <v>89080</v>
      </c>
      <c r="I163" s="67">
        <v>0</v>
      </c>
      <c r="J163" s="739">
        <v>89080</v>
      </c>
      <c r="K163" s="132" t="s">
        <v>621</v>
      </c>
      <c r="L163" s="740">
        <v>0</v>
      </c>
      <c r="M163" s="741">
        <v>735.65222222222224</v>
      </c>
      <c r="N163" s="67">
        <v>1208</v>
      </c>
      <c r="O163" s="67">
        <v>90288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90288</v>
      </c>
      <c r="V163" s="71">
        <v>122.73190683399613</v>
      </c>
      <c r="W163" s="449">
        <v>90288</v>
      </c>
      <c r="X163" s="67">
        <v>79331</v>
      </c>
      <c r="Y163" s="163">
        <v>10957</v>
      </c>
      <c r="Z163" s="166">
        <v>0.13811750765778824</v>
      </c>
      <c r="AA163" s="34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644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16.72</v>
      </c>
      <c r="E165" s="67">
        <v>2025</v>
      </c>
      <c r="F165" s="146">
        <v>0</v>
      </c>
      <c r="G165" s="146">
        <v>0</v>
      </c>
      <c r="H165" s="91">
        <v>2025</v>
      </c>
      <c r="I165" s="67">
        <v>0</v>
      </c>
      <c r="J165" s="739">
        <v>2025</v>
      </c>
      <c r="K165" s="132" t="s">
        <v>644</v>
      </c>
      <c r="L165" s="740">
        <v>2025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255.57999999999998</v>
      </c>
      <c r="E166" s="67">
        <v>30948</v>
      </c>
      <c r="F166" s="146">
        <v>0</v>
      </c>
      <c r="G166" s="146">
        <v>0</v>
      </c>
      <c r="H166" s="91">
        <v>30948</v>
      </c>
      <c r="I166" s="67">
        <v>0</v>
      </c>
      <c r="J166" s="739">
        <v>30948</v>
      </c>
      <c r="K166" s="132" t="s">
        <v>621</v>
      </c>
      <c r="L166" s="740">
        <v>0</v>
      </c>
      <c r="M166" s="741">
        <v>255.57999999999998</v>
      </c>
      <c r="N166" s="67">
        <v>420</v>
      </c>
      <c r="O166" s="67">
        <v>31368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31368</v>
      </c>
      <c r="V166" s="71">
        <v>122.73260818530402</v>
      </c>
      <c r="W166" s="449">
        <v>31368</v>
      </c>
      <c r="X166" s="67">
        <v>26598</v>
      </c>
      <c r="Y166" s="163">
        <v>4770</v>
      </c>
      <c r="Z166" s="166">
        <v>0.17933679224001806</v>
      </c>
      <c r="AA166" s="34" t="s">
        <v>621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739">
        <v>0</v>
      </c>
      <c r="K167" s="132" t="s">
        <v>644</v>
      </c>
      <c r="L167" s="740">
        <v>0</v>
      </c>
      <c r="M167" s="741">
        <v>0</v>
      </c>
      <c r="N167" s="67">
        <v>0</v>
      </c>
      <c r="O167" s="67">
        <v>0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644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120.77777777777777</v>
      </c>
      <c r="E168" s="67">
        <v>14625</v>
      </c>
      <c r="F168" s="146">
        <v>0</v>
      </c>
      <c r="G168" s="146">
        <v>0</v>
      </c>
      <c r="H168" s="91">
        <v>14625</v>
      </c>
      <c r="I168" s="67">
        <v>0</v>
      </c>
      <c r="J168" s="739">
        <v>14625</v>
      </c>
      <c r="K168" s="132" t="s">
        <v>621</v>
      </c>
      <c r="L168" s="740">
        <v>0</v>
      </c>
      <c r="M168" s="741">
        <v>120.77777777777777</v>
      </c>
      <c r="N168" s="67">
        <v>198</v>
      </c>
      <c r="O168" s="67">
        <v>14823</v>
      </c>
      <c r="Q168" s="674">
        <v>0</v>
      </c>
      <c r="R168" s="674" t="s">
        <v>1730</v>
      </c>
      <c r="S168" s="798" t="s">
        <v>801</v>
      </c>
      <c r="T168" s="798">
        <v>0</v>
      </c>
      <c r="U168" s="88">
        <v>14823</v>
      </c>
      <c r="V168" s="71">
        <v>122.72953081876726</v>
      </c>
      <c r="W168" s="449">
        <v>14823</v>
      </c>
      <c r="X168" s="67">
        <v>13624</v>
      </c>
      <c r="Y168" s="163">
        <v>1199</v>
      </c>
      <c r="Z168" s="166">
        <v>8.8006459189665293E-2</v>
      </c>
      <c r="AA168" s="34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185.80222222222224</v>
      </c>
      <c r="E169" s="67">
        <v>22499</v>
      </c>
      <c r="F169" s="146">
        <v>0</v>
      </c>
      <c r="G169" s="146">
        <v>0</v>
      </c>
      <c r="H169" s="91">
        <v>22499</v>
      </c>
      <c r="I169" s="67">
        <v>0</v>
      </c>
      <c r="J169" s="739">
        <v>22499</v>
      </c>
      <c r="K169" s="132" t="s">
        <v>621</v>
      </c>
      <c r="L169" s="740">
        <v>0</v>
      </c>
      <c r="M169" s="741">
        <v>185.80222222222224</v>
      </c>
      <c r="N169" s="67">
        <v>305</v>
      </c>
      <c r="O169" s="67">
        <v>22804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22804</v>
      </c>
      <c r="V169" s="71">
        <v>122.73265479422562</v>
      </c>
      <c r="W169" s="449">
        <v>22804</v>
      </c>
      <c r="X169" s="67">
        <v>21053</v>
      </c>
      <c r="Y169" s="163">
        <v>1751</v>
      </c>
      <c r="Z169" s="166">
        <v>8.3171044506721137E-2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131.70999999999998</v>
      </c>
      <c r="E170" s="67">
        <v>15949</v>
      </c>
      <c r="F170" s="146">
        <v>0</v>
      </c>
      <c r="G170" s="146">
        <v>0</v>
      </c>
      <c r="H170" s="91">
        <v>15949</v>
      </c>
      <c r="I170" s="67">
        <v>0</v>
      </c>
      <c r="J170" s="739">
        <v>15949</v>
      </c>
      <c r="K170" s="132" t="s">
        <v>621</v>
      </c>
      <c r="L170" s="740">
        <v>0</v>
      </c>
      <c r="M170" s="741">
        <v>131.70999999999998</v>
      </c>
      <c r="N170" s="67">
        <v>216</v>
      </c>
      <c r="O170" s="67">
        <v>16165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16165</v>
      </c>
      <c r="V170" s="71">
        <v>122.73175916786882</v>
      </c>
      <c r="W170" s="449">
        <v>16165</v>
      </c>
      <c r="X170" s="67">
        <v>17717</v>
      </c>
      <c r="Y170" s="163">
        <v>-1552</v>
      </c>
      <c r="Z170" s="166">
        <v>-8.759948072472766E-2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447.23666666666668</v>
      </c>
      <c r="E171" s="67">
        <v>54156</v>
      </c>
      <c r="F171" s="146">
        <v>0</v>
      </c>
      <c r="G171" s="146">
        <v>0</v>
      </c>
      <c r="H171" s="91">
        <v>54156</v>
      </c>
      <c r="I171" s="67">
        <v>0</v>
      </c>
      <c r="J171" s="739">
        <v>54156</v>
      </c>
      <c r="K171" s="132" t="s">
        <v>1306</v>
      </c>
      <c r="L171" s="740">
        <v>0</v>
      </c>
      <c r="M171" s="741">
        <v>447.23666666666668</v>
      </c>
      <c r="N171" s="67">
        <v>735</v>
      </c>
      <c r="O171" s="67">
        <v>54891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54891</v>
      </c>
      <c r="V171" s="71">
        <v>122.73367568252453</v>
      </c>
      <c r="W171" s="449">
        <v>54891</v>
      </c>
      <c r="X171" s="67">
        <v>51992</v>
      </c>
      <c r="Y171" s="163">
        <v>2899</v>
      </c>
      <c r="Z171" s="166">
        <v>5.5758578242806583E-2</v>
      </c>
      <c r="AA171" s="34" t="s">
        <v>1306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46.14</v>
      </c>
      <c r="E172" s="67">
        <v>5587</v>
      </c>
      <c r="F172" s="146">
        <v>0</v>
      </c>
      <c r="G172" s="146">
        <v>0</v>
      </c>
      <c r="H172" s="91">
        <v>5587</v>
      </c>
      <c r="I172" s="67">
        <v>0</v>
      </c>
      <c r="J172" s="739">
        <v>5587</v>
      </c>
      <c r="K172" s="132" t="s">
        <v>1306</v>
      </c>
      <c r="L172" s="740">
        <v>0</v>
      </c>
      <c r="M172" s="741">
        <v>46.14</v>
      </c>
      <c r="N172" s="67">
        <v>76</v>
      </c>
      <c r="O172" s="67">
        <v>5663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5663</v>
      </c>
      <c r="V172" s="71">
        <v>122.73515387949718</v>
      </c>
      <c r="W172" s="449">
        <v>5663</v>
      </c>
      <c r="X172" s="67">
        <v>0</v>
      </c>
      <c r="Y172" s="163">
        <v>5663</v>
      </c>
      <c r="Z172" s="166">
        <v>0</v>
      </c>
      <c r="AA172" s="34" t="s">
        <v>1306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9.86</v>
      </c>
      <c r="E173" s="67">
        <v>1194</v>
      </c>
      <c r="F173" s="146">
        <v>0</v>
      </c>
      <c r="G173" s="146">
        <v>0</v>
      </c>
      <c r="H173" s="91">
        <v>1194</v>
      </c>
      <c r="I173" s="67">
        <v>0</v>
      </c>
      <c r="J173" s="739">
        <v>1194</v>
      </c>
      <c r="K173" s="132" t="s">
        <v>644</v>
      </c>
      <c r="L173" s="740">
        <v>1194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164.28</v>
      </c>
      <c r="E174" s="67">
        <v>19893</v>
      </c>
      <c r="F174" s="146">
        <v>0</v>
      </c>
      <c r="G174" s="146">
        <v>0</v>
      </c>
      <c r="H174" s="91">
        <v>19893</v>
      </c>
      <c r="I174" s="67">
        <v>0</v>
      </c>
      <c r="J174" s="739">
        <v>19893</v>
      </c>
      <c r="K174" s="132" t="s">
        <v>621</v>
      </c>
      <c r="L174" s="740">
        <v>0</v>
      </c>
      <c r="M174" s="741">
        <v>164.28</v>
      </c>
      <c r="N174" s="67">
        <v>270</v>
      </c>
      <c r="O174" s="67">
        <v>20163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20163</v>
      </c>
      <c r="V174" s="71">
        <v>122.73557341124909</v>
      </c>
      <c r="W174" s="449">
        <v>20163</v>
      </c>
      <c r="X174" s="67">
        <v>20574</v>
      </c>
      <c r="Y174" s="163">
        <v>-411</v>
      </c>
      <c r="Z174" s="166">
        <v>-1.9976669582968797E-2</v>
      </c>
      <c r="AA174" s="34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93.72</v>
      </c>
      <c r="E175" s="67">
        <v>11349</v>
      </c>
      <c r="F175" s="146">
        <v>0</v>
      </c>
      <c r="G175" s="146">
        <v>0</v>
      </c>
      <c r="H175" s="91">
        <v>11349</v>
      </c>
      <c r="I175" s="67">
        <v>0</v>
      </c>
      <c r="J175" s="739">
        <v>11349</v>
      </c>
      <c r="K175" s="132" t="s">
        <v>621</v>
      </c>
      <c r="L175" s="740">
        <v>0</v>
      </c>
      <c r="M175" s="741">
        <v>93.72</v>
      </c>
      <c r="N175" s="67">
        <v>154</v>
      </c>
      <c r="O175" s="67">
        <v>11503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11503</v>
      </c>
      <c r="V175" s="71">
        <v>122.73794280836535</v>
      </c>
      <c r="W175" s="449">
        <v>11503</v>
      </c>
      <c r="X175" s="67">
        <v>10565</v>
      </c>
      <c r="Y175" s="163">
        <v>938</v>
      </c>
      <c r="Z175" s="166">
        <v>8.8783719829626129E-2</v>
      </c>
      <c r="AA175" s="34" t="s">
        <v>621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51.917777777777779</v>
      </c>
      <c r="E176" s="67">
        <v>6287</v>
      </c>
      <c r="F176" s="146">
        <v>0</v>
      </c>
      <c r="G176" s="146">
        <v>0</v>
      </c>
      <c r="H176" s="91">
        <v>6287</v>
      </c>
      <c r="I176" s="67">
        <v>0</v>
      </c>
      <c r="J176" s="739">
        <v>6287</v>
      </c>
      <c r="K176" s="132" t="s">
        <v>1306</v>
      </c>
      <c r="L176" s="740">
        <v>0</v>
      </c>
      <c r="M176" s="741">
        <v>51.917777777777779</v>
      </c>
      <c r="N176" s="67">
        <v>85</v>
      </c>
      <c r="O176" s="67">
        <v>6372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6372</v>
      </c>
      <c r="V176" s="71">
        <v>122.73252578864016</v>
      </c>
      <c r="W176" s="449">
        <v>6372</v>
      </c>
      <c r="X176" s="67">
        <v>8543</v>
      </c>
      <c r="Y176" s="163">
        <v>-2171</v>
      </c>
      <c r="Z176" s="166">
        <v>-0.25412618518084984</v>
      </c>
      <c r="AA176" s="34" t="s">
        <v>1306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77.569999999999993</v>
      </c>
      <c r="E177" s="67">
        <v>9393</v>
      </c>
      <c r="F177" s="146">
        <v>0</v>
      </c>
      <c r="G177" s="146">
        <v>0</v>
      </c>
      <c r="H177" s="91">
        <v>9393</v>
      </c>
      <c r="I177" s="67">
        <v>0</v>
      </c>
      <c r="J177" s="739">
        <v>9393</v>
      </c>
      <c r="K177" s="132" t="s">
        <v>1306</v>
      </c>
      <c r="L177" s="740">
        <v>0</v>
      </c>
      <c r="M177" s="741">
        <v>77.569999999999993</v>
      </c>
      <c r="N177" s="67">
        <v>127</v>
      </c>
      <c r="O177" s="67">
        <v>9520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9520</v>
      </c>
      <c r="V177" s="71">
        <v>122.72785870826351</v>
      </c>
      <c r="W177" s="449">
        <v>9520</v>
      </c>
      <c r="X177" s="67">
        <v>9947</v>
      </c>
      <c r="Y177" s="163">
        <v>-427</v>
      </c>
      <c r="Z177" s="166">
        <v>-4.2927515833919773E-2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107.19333333333334</v>
      </c>
      <c r="E178" s="67">
        <v>12980</v>
      </c>
      <c r="F178" s="146">
        <v>0</v>
      </c>
      <c r="G178" s="146">
        <v>0</v>
      </c>
      <c r="H178" s="91">
        <v>12980</v>
      </c>
      <c r="I178" s="67">
        <v>0</v>
      </c>
      <c r="J178" s="739">
        <v>12980</v>
      </c>
      <c r="K178" s="132" t="s">
        <v>621</v>
      </c>
      <c r="L178" s="740">
        <v>0</v>
      </c>
      <c r="M178" s="741">
        <v>107.19333333333334</v>
      </c>
      <c r="N178" s="67">
        <v>176</v>
      </c>
      <c r="O178" s="67">
        <v>13156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13156</v>
      </c>
      <c r="V178" s="71">
        <v>122.73151315380309</v>
      </c>
      <c r="W178" s="449">
        <v>13156</v>
      </c>
      <c r="X178" s="67">
        <v>12589</v>
      </c>
      <c r="Y178" s="163">
        <v>567</v>
      </c>
      <c r="Z178" s="166">
        <v>4.5039320041305904E-2</v>
      </c>
      <c r="AA178" s="34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26.29</v>
      </c>
      <c r="E179" s="67">
        <v>3183</v>
      </c>
      <c r="F179" s="146">
        <v>0</v>
      </c>
      <c r="G179" s="146">
        <v>0</v>
      </c>
      <c r="H179" s="91">
        <v>3183</v>
      </c>
      <c r="I179" s="67">
        <v>0</v>
      </c>
      <c r="J179" s="739">
        <v>3183</v>
      </c>
      <c r="K179" s="132" t="s">
        <v>1306</v>
      </c>
      <c r="L179" s="740">
        <v>0</v>
      </c>
      <c r="M179" s="741">
        <v>26.29</v>
      </c>
      <c r="N179" s="67">
        <v>43</v>
      </c>
      <c r="O179" s="67">
        <v>3226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3226</v>
      </c>
      <c r="V179" s="71">
        <v>122.70825408900723</v>
      </c>
      <c r="W179" s="449">
        <v>3226</v>
      </c>
      <c r="X179" s="67">
        <v>1313</v>
      </c>
      <c r="Y179" s="163">
        <v>1913</v>
      </c>
      <c r="Z179" s="166">
        <v>1.4569687738004569</v>
      </c>
      <c r="AA179" s="34" t="s">
        <v>1306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9</v>
      </c>
      <c r="E180" s="67">
        <v>1090</v>
      </c>
      <c r="F180" s="146">
        <v>0</v>
      </c>
      <c r="G180" s="146">
        <v>0</v>
      </c>
      <c r="H180" s="91">
        <v>1090</v>
      </c>
      <c r="I180" s="67">
        <v>0</v>
      </c>
      <c r="J180" s="739">
        <v>1090</v>
      </c>
      <c r="K180" s="132" t="s">
        <v>644</v>
      </c>
      <c r="L180" s="740">
        <v>1090</v>
      </c>
      <c r="M180" s="741">
        <v>0</v>
      </c>
      <c r="N180" s="67">
        <v>0</v>
      </c>
      <c r="O180" s="67">
        <v>0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644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132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644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644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87.028888888888886</v>
      </c>
      <c r="E185" s="67">
        <v>10538</v>
      </c>
      <c r="F185" s="146">
        <v>0</v>
      </c>
      <c r="G185" s="146">
        <v>0</v>
      </c>
      <c r="H185" s="91">
        <v>10538</v>
      </c>
      <c r="I185" s="67">
        <v>0</v>
      </c>
      <c r="J185" s="739">
        <v>10538</v>
      </c>
      <c r="K185" s="132" t="s">
        <v>621</v>
      </c>
      <c r="L185" s="740">
        <v>0</v>
      </c>
      <c r="M185" s="741">
        <v>87.028888888888886</v>
      </c>
      <c r="N185" s="67">
        <v>143</v>
      </c>
      <c r="O185" s="67">
        <v>10681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10681</v>
      </c>
      <c r="V185" s="71">
        <v>122.72936189770958</v>
      </c>
      <c r="W185" s="449">
        <v>10681</v>
      </c>
      <c r="X185" s="67">
        <v>0</v>
      </c>
      <c r="Y185" s="163">
        <v>10681</v>
      </c>
      <c r="Z185" s="166">
        <v>0</v>
      </c>
      <c r="AA185" s="34" t="s">
        <v>621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1306.362222222222</v>
      </c>
      <c r="E186" s="67">
        <v>158187</v>
      </c>
      <c r="F186" s="146">
        <v>0</v>
      </c>
      <c r="G186" s="146">
        <v>0</v>
      </c>
      <c r="H186" s="91">
        <v>158187</v>
      </c>
      <c r="I186" s="67">
        <v>0</v>
      </c>
      <c r="J186" s="739">
        <v>158187</v>
      </c>
      <c r="K186" s="132" t="s">
        <v>621</v>
      </c>
      <c r="L186" s="740">
        <v>0</v>
      </c>
      <c r="M186" s="741">
        <v>1306.362222222222</v>
      </c>
      <c r="N186" s="67">
        <v>2146</v>
      </c>
      <c r="O186" s="67">
        <v>160333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160333</v>
      </c>
      <c r="V186" s="71">
        <v>122.7324223501054</v>
      </c>
      <c r="W186" s="449">
        <v>160333</v>
      </c>
      <c r="X186" s="67">
        <v>141934</v>
      </c>
      <c r="Y186" s="163">
        <v>18399</v>
      </c>
      <c r="Z186" s="166">
        <v>0.12963067341158566</v>
      </c>
      <c r="AA186" s="34" t="s">
        <v>621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3329.652222222222</v>
      </c>
      <c r="E187" s="67">
        <v>403186</v>
      </c>
      <c r="F187" s="146">
        <v>0</v>
      </c>
      <c r="G187" s="146">
        <v>0</v>
      </c>
      <c r="H187" s="91">
        <v>403186</v>
      </c>
      <c r="I187" s="67">
        <v>0</v>
      </c>
      <c r="J187" s="739">
        <v>403186</v>
      </c>
      <c r="K187" s="132" t="s">
        <v>621</v>
      </c>
      <c r="L187" s="740">
        <v>0</v>
      </c>
      <c r="M187" s="741">
        <v>3329.652222222222</v>
      </c>
      <c r="N187" s="67">
        <v>5470</v>
      </c>
      <c r="O187" s="67">
        <v>408656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408656</v>
      </c>
      <c r="V187" s="71">
        <v>122.73233741128119</v>
      </c>
      <c r="W187" s="449">
        <v>408656</v>
      </c>
      <c r="X187" s="67">
        <v>365887</v>
      </c>
      <c r="Y187" s="163">
        <v>42769</v>
      </c>
      <c r="Z187" s="166">
        <v>0.1168912806412909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286.27999999999997</v>
      </c>
      <c r="E189" s="67">
        <v>34666</v>
      </c>
      <c r="F189" s="146">
        <v>0</v>
      </c>
      <c r="G189" s="146">
        <v>0</v>
      </c>
      <c r="H189" s="91">
        <v>34666</v>
      </c>
      <c r="I189" s="67">
        <v>0</v>
      </c>
      <c r="J189" s="739">
        <v>34666</v>
      </c>
      <c r="K189" s="132" t="s">
        <v>621</v>
      </c>
      <c r="L189" s="740">
        <v>0</v>
      </c>
      <c r="M189" s="741">
        <v>286.27999999999997</v>
      </c>
      <c r="N189" s="67">
        <v>470</v>
      </c>
      <c r="O189" s="67">
        <v>35136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35136</v>
      </c>
      <c r="V189" s="71">
        <v>122.73298868240884</v>
      </c>
      <c r="W189" s="449">
        <v>35136</v>
      </c>
      <c r="X189" s="67">
        <v>36561</v>
      </c>
      <c r="Y189" s="163">
        <v>-1425</v>
      </c>
      <c r="Z189" s="166">
        <v>-3.8975957988020019E-2</v>
      </c>
      <c r="AA189" s="34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359</v>
      </c>
      <c r="E190" s="67">
        <v>43471</v>
      </c>
      <c r="F190" s="146">
        <v>0</v>
      </c>
      <c r="G190" s="146">
        <v>0</v>
      </c>
      <c r="H190" s="91">
        <v>43471</v>
      </c>
      <c r="I190" s="67">
        <v>0</v>
      </c>
      <c r="J190" s="739">
        <v>43471</v>
      </c>
      <c r="K190" s="132" t="s">
        <v>621</v>
      </c>
      <c r="L190" s="740">
        <v>0</v>
      </c>
      <c r="M190" s="741">
        <v>359</v>
      </c>
      <c r="N190" s="67">
        <v>590</v>
      </c>
      <c r="O190" s="67">
        <v>44061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44061</v>
      </c>
      <c r="V190" s="71">
        <v>122.73259052924791</v>
      </c>
      <c r="W190" s="449">
        <v>44061</v>
      </c>
      <c r="X190" s="67">
        <v>39943</v>
      </c>
      <c r="Y190" s="163">
        <v>4118</v>
      </c>
      <c r="Z190" s="166">
        <v>0.10309691310116917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62.86</v>
      </c>
      <c r="E191" s="67">
        <v>7612</v>
      </c>
      <c r="F191" s="146">
        <v>0</v>
      </c>
      <c r="G191" s="146">
        <v>0</v>
      </c>
      <c r="H191" s="91">
        <v>7612</v>
      </c>
      <c r="I191" s="67">
        <v>0</v>
      </c>
      <c r="J191" s="739">
        <v>7612</v>
      </c>
      <c r="K191" s="132" t="s">
        <v>1306</v>
      </c>
      <c r="L191" s="740">
        <v>0</v>
      </c>
      <c r="M191" s="741">
        <v>62.86</v>
      </c>
      <c r="N191" s="67">
        <v>103</v>
      </c>
      <c r="O191" s="67">
        <v>7715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7715</v>
      </c>
      <c r="V191" s="71">
        <v>122.73305758829144</v>
      </c>
      <c r="W191" s="449">
        <v>7715</v>
      </c>
      <c r="X191" s="67">
        <v>6071</v>
      </c>
      <c r="Y191" s="163">
        <v>1644</v>
      </c>
      <c r="Z191" s="166">
        <v>0.27079558557074618</v>
      </c>
      <c r="AA191" s="34" t="s">
        <v>1306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34.43</v>
      </c>
      <c r="E192" s="67">
        <v>4169</v>
      </c>
      <c r="F192" s="146">
        <v>0</v>
      </c>
      <c r="G192" s="146">
        <v>0</v>
      </c>
      <c r="H192" s="91">
        <v>4169</v>
      </c>
      <c r="I192" s="67">
        <v>0</v>
      </c>
      <c r="J192" s="739">
        <v>4169</v>
      </c>
      <c r="K192" s="132" t="s">
        <v>1306</v>
      </c>
      <c r="L192" s="740">
        <v>0</v>
      </c>
      <c r="M192" s="741">
        <v>34.43</v>
      </c>
      <c r="N192" s="67">
        <v>57</v>
      </c>
      <c r="O192" s="67">
        <v>4226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4226</v>
      </c>
      <c r="V192" s="71">
        <v>122.74179494626779</v>
      </c>
      <c r="W192" s="449">
        <v>4226</v>
      </c>
      <c r="X192" s="67">
        <v>0</v>
      </c>
      <c r="Y192" s="163">
        <v>4226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1644.1399999999999</v>
      </c>
      <c r="E193" s="67">
        <v>199088</v>
      </c>
      <c r="F193" s="146">
        <v>0</v>
      </c>
      <c r="G193" s="146">
        <v>0</v>
      </c>
      <c r="H193" s="91">
        <v>199088</v>
      </c>
      <c r="I193" s="67">
        <v>0</v>
      </c>
      <c r="J193" s="739">
        <v>199088</v>
      </c>
      <c r="K193" s="132" t="s">
        <v>621</v>
      </c>
      <c r="L193" s="740">
        <v>0</v>
      </c>
      <c r="M193" s="741">
        <v>1644.1399999999999</v>
      </c>
      <c r="N193" s="67">
        <v>2701</v>
      </c>
      <c r="O193" s="67">
        <v>201789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201789</v>
      </c>
      <c r="V193" s="71">
        <v>122.73224907854564</v>
      </c>
      <c r="W193" s="449">
        <v>201789</v>
      </c>
      <c r="X193" s="67">
        <v>197494</v>
      </c>
      <c r="Y193" s="163">
        <v>4295</v>
      </c>
      <c r="Z193" s="166">
        <v>2.1747496126464601E-2</v>
      </c>
      <c r="AA193" s="34" t="s">
        <v>621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172</v>
      </c>
      <c r="E194" s="67">
        <v>20827</v>
      </c>
      <c r="F194" s="146">
        <v>0</v>
      </c>
      <c r="G194" s="146">
        <v>0</v>
      </c>
      <c r="H194" s="91">
        <v>20827</v>
      </c>
      <c r="I194" s="67">
        <v>0</v>
      </c>
      <c r="J194" s="739">
        <v>20827</v>
      </c>
      <c r="K194" s="132" t="s">
        <v>621</v>
      </c>
      <c r="L194" s="740">
        <v>0</v>
      </c>
      <c r="M194" s="741">
        <v>172</v>
      </c>
      <c r="N194" s="67">
        <v>283</v>
      </c>
      <c r="O194" s="67">
        <v>21110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21110</v>
      </c>
      <c r="V194" s="71">
        <v>122.73255813953489</v>
      </c>
      <c r="W194" s="449">
        <v>21110</v>
      </c>
      <c r="X194" s="67">
        <v>16929</v>
      </c>
      <c r="Y194" s="163">
        <v>4181</v>
      </c>
      <c r="Z194" s="166">
        <v>0.24697265048142242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799.54111111111104</v>
      </c>
      <c r="E195" s="67">
        <v>96816</v>
      </c>
      <c r="F195" s="146">
        <v>0</v>
      </c>
      <c r="G195" s="146">
        <v>0</v>
      </c>
      <c r="H195" s="91">
        <v>96816</v>
      </c>
      <c r="I195" s="67">
        <v>0</v>
      </c>
      <c r="J195" s="739">
        <v>96816</v>
      </c>
      <c r="K195" s="132" t="s">
        <v>621</v>
      </c>
      <c r="L195" s="740">
        <v>0</v>
      </c>
      <c r="M195" s="741">
        <v>799.54111111111104</v>
      </c>
      <c r="N195" s="67">
        <v>1313</v>
      </c>
      <c r="O195" s="67">
        <v>98129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98129</v>
      </c>
      <c r="V195" s="71">
        <v>122.73165023826168</v>
      </c>
      <c r="W195" s="449">
        <v>98129</v>
      </c>
      <c r="X195" s="67">
        <v>93634</v>
      </c>
      <c r="Y195" s="163">
        <v>4495</v>
      </c>
      <c r="Z195" s="166">
        <v>4.800606617254416E-2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831.02444444444438</v>
      </c>
      <c r="E196" s="67">
        <v>100628</v>
      </c>
      <c r="F196" s="146">
        <v>0</v>
      </c>
      <c r="G196" s="146">
        <v>0</v>
      </c>
      <c r="H196" s="91">
        <v>100628</v>
      </c>
      <c r="I196" s="67">
        <v>0</v>
      </c>
      <c r="J196" s="739">
        <v>100628</v>
      </c>
      <c r="K196" s="132" t="s">
        <v>621</v>
      </c>
      <c r="L196" s="740">
        <v>0</v>
      </c>
      <c r="M196" s="741">
        <v>831.02444444444438</v>
      </c>
      <c r="N196" s="67">
        <v>1365</v>
      </c>
      <c r="O196" s="67">
        <v>101993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101993</v>
      </c>
      <c r="V196" s="71">
        <v>122.73164848740912</v>
      </c>
      <c r="W196" s="449">
        <v>101993</v>
      </c>
      <c r="X196" s="67">
        <v>87286</v>
      </c>
      <c r="Y196" s="163">
        <v>14707</v>
      </c>
      <c r="Z196" s="166">
        <v>0.16849208349563505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8.43</v>
      </c>
      <c r="E197" s="67">
        <v>1021</v>
      </c>
      <c r="F197" s="146">
        <v>0</v>
      </c>
      <c r="G197" s="146">
        <v>0</v>
      </c>
      <c r="H197" s="91">
        <v>1021</v>
      </c>
      <c r="I197" s="67">
        <v>0</v>
      </c>
      <c r="J197" s="739">
        <v>1021</v>
      </c>
      <c r="K197" s="132" t="s">
        <v>644</v>
      </c>
      <c r="L197" s="740">
        <v>1021</v>
      </c>
      <c r="M197" s="741">
        <v>0</v>
      </c>
      <c r="N197" s="67">
        <v>0</v>
      </c>
      <c r="O197" s="67">
        <v>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644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103.58000000000001</v>
      </c>
      <c r="E198" s="67">
        <v>12542</v>
      </c>
      <c r="F198" s="146">
        <v>0</v>
      </c>
      <c r="G198" s="146">
        <v>0</v>
      </c>
      <c r="H198" s="91">
        <v>12542</v>
      </c>
      <c r="I198" s="67">
        <v>0</v>
      </c>
      <c r="J198" s="739">
        <v>12542</v>
      </c>
      <c r="K198" s="132" t="s">
        <v>621</v>
      </c>
      <c r="L198" s="740">
        <v>0</v>
      </c>
      <c r="M198" s="741">
        <v>103.58000000000001</v>
      </c>
      <c r="N198" s="67">
        <v>170</v>
      </c>
      <c r="O198" s="67">
        <v>12712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12712</v>
      </c>
      <c r="V198" s="71">
        <v>122.72639505696078</v>
      </c>
      <c r="W198" s="449">
        <v>12712</v>
      </c>
      <c r="X198" s="67">
        <v>10472</v>
      </c>
      <c r="Y198" s="163">
        <v>2240</v>
      </c>
      <c r="Z198" s="166">
        <v>0.21390374331550802</v>
      </c>
      <c r="AA198" s="34" t="s">
        <v>621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466.14</v>
      </c>
      <c r="E199" s="67">
        <v>56445</v>
      </c>
      <c r="F199" s="146">
        <v>0</v>
      </c>
      <c r="G199" s="146">
        <v>0</v>
      </c>
      <c r="H199" s="91">
        <v>56445</v>
      </c>
      <c r="I199" s="67">
        <v>0</v>
      </c>
      <c r="J199" s="739">
        <v>56445</v>
      </c>
      <c r="K199" s="132" t="s">
        <v>621</v>
      </c>
      <c r="L199" s="740">
        <v>0</v>
      </c>
      <c r="M199" s="741">
        <v>466.14</v>
      </c>
      <c r="N199" s="67">
        <v>766</v>
      </c>
      <c r="O199" s="67">
        <v>57211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57211</v>
      </c>
      <c r="V199" s="71">
        <v>122.73351353670571</v>
      </c>
      <c r="W199" s="449">
        <v>57211</v>
      </c>
      <c r="X199" s="67">
        <v>51235</v>
      </c>
      <c r="Y199" s="163">
        <v>5976</v>
      </c>
      <c r="Z199" s="166">
        <v>0.11663901629745291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644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37.43</v>
      </c>
      <c r="E203" s="67">
        <v>4532</v>
      </c>
      <c r="F203" s="146">
        <v>0</v>
      </c>
      <c r="G203" s="146">
        <v>0</v>
      </c>
      <c r="H203" s="91">
        <v>4532</v>
      </c>
      <c r="I203" s="67">
        <v>0</v>
      </c>
      <c r="J203" s="739">
        <v>4532</v>
      </c>
      <c r="K203" s="132" t="s">
        <v>1306</v>
      </c>
      <c r="L203" s="740">
        <v>0</v>
      </c>
      <c r="M203" s="741">
        <v>37.43</v>
      </c>
      <c r="N203" s="67">
        <v>61</v>
      </c>
      <c r="O203" s="67">
        <v>4593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4593</v>
      </c>
      <c r="V203" s="71">
        <v>122.70905690622496</v>
      </c>
      <c r="W203" s="449">
        <v>4593</v>
      </c>
      <c r="X203" s="67">
        <v>4633</v>
      </c>
      <c r="Y203" s="163">
        <v>-40</v>
      </c>
      <c r="Z203" s="166">
        <v>-8.6337146557306284E-3</v>
      </c>
      <c r="AA203" s="34" t="s">
        <v>1306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25.57</v>
      </c>
      <c r="E204" s="67">
        <v>3096</v>
      </c>
      <c r="F204" s="146">
        <v>0</v>
      </c>
      <c r="G204" s="146">
        <v>0</v>
      </c>
      <c r="H204" s="91">
        <v>3096</v>
      </c>
      <c r="I204" s="67">
        <v>0</v>
      </c>
      <c r="J204" s="739">
        <v>3096</v>
      </c>
      <c r="K204" s="132" t="s">
        <v>1306</v>
      </c>
      <c r="L204" s="740">
        <v>0</v>
      </c>
      <c r="M204" s="741">
        <v>25.57</v>
      </c>
      <c r="N204" s="67">
        <v>42</v>
      </c>
      <c r="O204" s="67">
        <v>3138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3138</v>
      </c>
      <c r="V204" s="71">
        <v>122.72193977317168</v>
      </c>
      <c r="W204" s="449">
        <v>3138</v>
      </c>
      <c r="X204" s="67">
        <v>3274</v>
      </c>
      <c r="Y204" s="163">
        <v>-136</v>
      </c>
      <c r="Z204" s="166">
        <v>-4.1539401343921811E-2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40.57</v>
      </c>
      <c r="E205" s="67">
        <v>4913</v>
      </c>
      <c r="F205" s="146">
        <v>0</v>
      </c>
      <c r="G205" s="146">
        <v>0</v>
      </c>
      <c r="H205" s="91">
        <v>4913</v>
      </c>
      <c r="I205" s="67">
        <v>0</v>
      </c>
      <c r="J205" s="739">
        <v>4913</v>
      </c>
      <c r="K205" s="132" t="s">
        <v>1306</v>
      </c>
      <c r="L205" s="740">
        <v>0</v>
      </c>
      <c r="M205" s="741">
        <v>40.57</v>
      </c>
      <c r="N205" s="67">
        <v>67</v>
      </c>
      <c r="O205" s="67">
        <v>4980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4980</v>
      </c>
      <c r="V205" s="71">
        <v>122.75080108454523</v>
      </c>
      <c r="W205" s="449">
        <v>4980</v>
      </c>
      <c r="X205" s="67">
        <v>3692</v>
      </c>
      <c r="Y205" s="163">
        <v>1288</v>
      </c>
      <c r="Z205" s="166">
        <v>0.34886240520043338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763.86</v>
      </c>
      <c r="E207" s="67">
        <v>92496</v>
      </c>
      <c r="F207" s="146">
        <v>0</v>
      </c>
      <c r="G207" s="146">
        <v>0</v>
      </c>
      <c r="H207" s="91">
        <v>92496</v>
      </c>
      <c r="I207" s="67">
        <v>0</v>
      </c>
      <c r="J207" s="739">
        <v>92496</v>
      </c>
      <c r="K207" s="132" t="s">
        <v>621</v>
      </c>
      <c r="L207" s="740">
        <v>0</v>
      </c>
      <c r="M207" s="741">
        <v>763.86</v>
      </c>
      <c r="N207" s="67">
        <v>1255</v>
      </c>
      <c r="O207" s="67">
        <v>93751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93751</v>
      </c>
      <c r="V207" s="71">
        <v>122.73322336553818</v>
      </c>
      <c r="W207" s="449">
        <v>93751</v>
      </c>
      <c r="X207" s="67">
        <v>95936</v>
      </c>
      <c r="Y207" s="163">
        <v>-2185</v>
      </c>
      <c r="Z207" s="166">
        <v>-2.2775600400266844E-2</v>
      </c>
      <c r="AA207" s="34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337.44444444444446</v>
      </c>
      <c r="E208" s="67">
        <v>40861</v>
      </c>
      <c r="F208" s="146">
        <v>0</v>
      </c>
      <c r="G208" s="146">
        <v>0</v>
      </c>
      <c r="H208" s="91">
        <v>40861</v>
      </c>
      <c r="I208" s="67">
        <v>0</v>
      </c>
      <c r="J208" s="739">
        <v>40861</v>
      </c>
      <c r="K208" s="132" t="s">
        <v>621</v>
      </c>
      <c r="L208" s="740">
        <v>0</v>
      </c>
      <c r="M208" s="741">
        <v>337.44444444444446</v>
      </c>
      <c r="N208" s="67">
        <v>554</v>
      </c>
      <c r="O208" s="67">
        <v>41415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41415</v>
      </c>
      <c r="V208" s="71">
        <v>122.73131379650971</v>
      </c>
      <c r="W208" s="449">
        <v>41415</v>
      </c>
      <c r="X208" s="67">
        <v>40160</v>
      </c>
      <c r="Y208" s="163">
        <v>1255</v>
      </c>
      <c r="Z208" s="166">
        <v>3.125E-2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64.86</v>
      </c>
      <c r="E209" s="67">
        <v>7854</v>
      </c>
      <c r="F209" s="146">
        <v>0</v>
      </c>
      <c r="G209" s="146">
        <v>0</v>
      </c>
      <c r="H209" s="91">
        <v>7854</v>
      </c>
      <c r="I209" s="67">
        <v>0</v>
      </c>
      <c r="J209" s="739">
        <v>7854</v>
      </c>
      <c r="K209" s="132" t="s">
        <v>644</v>
      </c>
      <c r="L209" s="740">
        <v>7854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94.168888888888887</v>
      </c>
      <c r="E210" s="67">
        <v>11403</v>
      </c>
      <c r="F210" s="146">
        <v>0</v>
      </c>
      <c r="G210" s="146">
        <v>0</v>
      </c>
      <c r="H210" s="91">
        <v>11403</v>
      </c>
      <c r="I210" s="67">
        <v>0</v>
      </c>
      <c r="J210" s="739">
        <v>11403</v>
      </c>
      <c r="K210" s="132" t="s">
        <v>621</v>
      </c>
      <c r="L210" s="740">
        <v>0</v>
      </c>
      <c r="M210" s="741">
        <v>94.168888888888887</v>
      </c>
      <c r="N210" s="67">
        <v>155</v>
      </c>
      <c r="O210" s="67">
        <v>11558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11558</v>
      </c>
      <c r="V210" s="71">
        <v>122.73692656220503</v>
      </c>
      <c r="W210" s="449">
        <v>11558</v>
      </c>
      <c r="X210" s="67">
        <v>10087</v>
      </c>
      <c r="Y210" s="163">
        <v>1471</v>
      </c>
      <c r="Z210" s="166">
        <v>0.14583126796867255</v>
      </c>
      <c r="AA210" s="34" t="s">
        <v>621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21.28</v>
      </c>
      <c r="E211" s="67">
        <v>2577</v>
      </c>
      <c r="F211" s="146">
        <v>0</v>
      </c>
      <c r="G211" s="146">
        <v>0</v>
      </c>
      <c r="H211" s="91">
        <v>2577</v>
      </c>
      <c r="I211" s="67">
        <v>0</v>
      </c>
      <c r="J211" s="739">
        <v>2577</v>
      </c>
      <c r="K211" s="132" t="s">
        <v>644</v>
      </c>
      <c r="L211" s="740">
        <v>2577</v>
      </c>
      <c r="M211" s="741">
        <v>0</v>
      </c>
      <c r="N211" s="67">
        <v>0</v>
      </c>
      <c r="O211" s="67">
        <v>0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34" t="s">
        <v>644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1597.7244444444445</v>
      </c>
      <c r="E212" s="67">
        <v>193468</v>
      </c>
      <c r="F212" s="146">
        <v>0</v>
      </c>
      <c r="G212" s="146">
        <v>0</v>
      </c>
      <c r="H212" s="91">
        <v>193468</v>
      </c>
      <c r="I212" s="67">
        <v>0</v>
      </c>
      <c r="J212" s="739">
        <v>193468</v>
      </c>
      <c r="K212" s="132" t="s">
        <v>621</v>
      </c>
      <c r="L212" s="740">
        <v>0</v>
      </c>
      <c r="M212" s="741">
        <v>1597.7244444444445</v>
      </c>
      <c r="N212" s="67">
        <v>2625</v>
      </c>
      <c r="O212" s="67">
        <v>196093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196093</v>
      </c>
      <c r="V212" s="71">
        <v>122.73267814224674</v>
      </c>
      <c r="W212" s="449">
        <v>196093</v>
      </c>
      <c r="X212" s="67">
        <v>204598</v>
      </c>
      <c r="Y212" s="163">
        <v>-8505</v>
      </c>
      <c r="Z212" s="166">
        <v>-4.1569321303238545E-2</v>
      </c>
      <c r="AA212" s="34" t="s">
        <v>621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644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644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22.072222222222223</v>
      </c>
      <c r="E216" s="67">
        <v>2673</v>
      </c>
      <c r="F216" s="146">
        <v>0</v>
      </c>
      <c r="G216" s="146">
        <v>0</v>
      </c>
      <c r="H216" s="91">
        <v>2673</v>
      </c>
      <c r="I216" s="67">
        <v>0</v>
      </c>
      <c r="J216" s="739">
        <v>2673</v>
      </c>
      <c r="K216" s="132" t="s">
        <v>644</v>
      </c>
      <c r="L216" s="740">
        <v>2673</v>
      </c>
      <c r="M216" s="741">
        <v>0</v>
      </c>
      <c r="N216" s="67">
        <v>0</v>
      </c>
      <c r="O216" s="67">
        <v>0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644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2876.3088888888888</v>
      </c>
      <c r="E217" s="67">
        <v>348291</v>
      </c>
      <c r="F217" s="146">
        <v>0</v>
      </c>
      <c r="G217" s="146">
        <v>0</v>
      </c>
      <c r="H217" s="91">
        <v>348291</v>
      </c>
      <c r="I217" s="67">
        <v>0</v>
      </c>
      <c r="J217" s="739">
        <v>348291</v>
      </c>
      <c r="K217" s="132" t="s">
        <v>621</v>
      </c>
      <c r="L217" s="740">
        <v>0</v>
      </c>
      <c r="M217" s="741">
        <v>2876.3088888888888</v>
      </c>
      <c r="N217" s="67">
        <v>4725</v>
      </c>
      <c r="O217" s="67">
        <v>353016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353016</v>
      </c>
      <c r="V217" s="71">
        <v>122.73229810737374</v>
      </c>
      <c r="W217" s="449">
        <v>353016</v>
      </c>
      <c r="X217" s="67">
        <v>342501</v>
      </c>
      <c r="Y217" s="163">
        <v>10515</v>
      </c>
      <c r="Z217" s="166">
        <v>3.0700640290101344E-2</v>
      </c>
      <c r="AA217" s="34" t="s">
        <v>621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373.86</v>
      </c>
      <c r="E218" s="67">
        <v>45271</v>
      </c>
      <c r="F218" s="146">
        <v>0</v>
      </c>
      <c r="G218" s="146">
        <v>0</v>
      </c>
      <c r="H218" s="91">
        <v>45271</v>
      </c>
      <c r="I218" s="67">
        <v>0</v>
      </c>
      <c r="J218" s="739">
        <v>45271</v>
      </c>
      <c r="K218" s="132" t="s">
        <v>621</v>
      </c>
      <c r="L218" s="740">
        <v>0</v>
      </c>
      <c r="M218" s="741">
        <v>373.86</v>
      </c>
      <c r="N218" s="67">
        <v>614</v>
      </c>
      <c r="O218" s="67">
        <v>45885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45885</v>
      </c>
      <c r="V218" s="71">
        <v>122.7331086502969</v>
      </c>
      <c r="W218" s="449">
        <v>45885</v>
      </c>
      <c r="X218" s="67">
        <v>42508</v>
      </c>
      <c r="Y218" s="163">
        <v>3377</v>
      </c>
      <c r="Z218" s="166">
        <v>7.9443869389291433E-2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3166.15</v>
      </c>
      <c r="E219" s="67">
        <v>383388</v>
      </c>
      <c r="F219" s="146">
        <v>0</v>
      </c>
      <c r="G219" s="146">
        <v>0</v>
      </c>
      <c r="H219" s="91">
        <v>383388</v>
      </c>
      <c r="I219" s="67">
        <v>0</v>
      </c>
      <c r="J219" s="739">
        <v>383388</v>
      </c>
      <c r="K219" s="132" t="s">
        <v>621</v>
      </c>
      <c r="L219" s="740">
        <v>0</v>
      </c>
      <c r="M219" s="741">
        <v>3166.15</v>
      </c>
      <c r="N219" s="67">
        <v>5201</v>
      </c>
      <c r="O219" s="67">
        <v>388589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388589</v>
      </c>
      <c r="V219" s="71">
        <v>122.73234053977228</v>
      </c>
      <c r="W219" s="449">
        <v>388589</v>
      </c>
      <c r="X219" s="67">
        <v>382599</v>
      </c>
      <c r="Y219" s="163">
        <v>5990</v>
      </c>
      <c r="Z219" s="166">
        <v>1.5656078557445264E-2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2835.29</v>
      </c>
      <c r="E220" s="67">
        <v>343324</v>
      </c>
      <c r="F220" s="146">
        <v>0</v>
      </c>
      <c r="G220" s="146">
        <v>0</v>
      </c>
      <c r="H220" s="91">
        <v>343324</v>
      </c>
      <c r="I220" s="67">
        <v>0</v>
      </c>
      <c r="J220" s="739">
        <v>343324</v>
      </c>
      <c r="K220" s="132" t="s">
        <v>621</v>
      </c>
      <c r="L220" s="740">
        <v>0</v>
      </c>
      <c r="M220" s="741">
        <v>2835.29</v>
      </c>
      <c r="N220" s="67">
        <v>4658</v>
      </c>
      <c r="O220" s="67">
        <v>347982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347982</v>
      </c>
      <c r="V220" s="71">
        <v>122.73241890600256</v>
      </c>
      <c r="W220" s="449">
        <v>347982</v>
      </c>
      <c r="X220" s="67">
        <v>347351</v>
      </c>
      <c r="Y220" s="163">
        <v>631</v>
      </c>
      <c r="Z220" s="166">
        <v>1.8166062570713773E-3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273.14</v>
      </c>
      <c r="E221" s="67">
        <v>33074</v>
      </c>
      <c r="F221" s="146">
        <v>0</v>
      </c>
      <c r="G221" s="146">
        <v>0</v>
      </c>
      <c r="H221" s="91">
        <v>33074</v>
      </c>
      <c r="I221" s="67">
        <v>0</v>
      </c>
      <c r="J221" s="739">
        <v>33074</v>
      </c>
      <c r="K221" s="132" t="s">
        <v>621</v>
      </c>
      <c r="L221" s="740">
        <v>0</v>
      </c>
      <c r="M221" s="741">
        <v>273.14</v>
      </c>
      <c r="N221" s="67">
        <v>449</v>
      </c>
      <c r="O221" s="67">
        <v>33523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33523</v>
      </c>
      <c r="V221" s="71">
        <v>122.73193234238852</v>
      </c>
      <c r="W221" s="449">
        <v>33523</v>
      </c>
      <c r="X221" s="67">
        <v>31757</v>
      </c>
      <c r="Y221" s="163">
        <v>1766</v>
      </c>
      <c r="Z221" s="166">
        <v>5.5609786818654153E-2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1472.5844444444442</v>
      </c>
      <c r="E222" s="67">
        <v>178315</v>
      </c>
      <c r="F222" s="146">
        <v>0</v>
      </c>
      <c r="G222" s="146">
        <v>0</v>
      </c>
      <c r="H222" s="91">
        <v>178315</v>
      </c>
      <c r="I222" s="67">
        <v>0</v>
      </c>
      <c r="J222" s="739">
        <v>178315</v>
      </c>
      <c r="K222" s="132" t="s">
        <v>621</v>
      </c>
      <c r="L222" s="740">
        <v>0</v>
      </c>
      <c r="M222" s="741">
        <v>1472.5844444444442</v>
      </c>
      <c r="N222" s="67">
        <v>2419</v>
      </c>
      <c r="O222" s="67">
        <v>180734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180734</v>
      </c>
      <c r="V222" s="71">
        <v>122.7325201497594</v>
      </c>
      <c r="W222" s="449">
        <v>180734</v>
      </c>
      <c r="X222" s="67">
        <v>161381</v>
      </c>
      <c r="Y222" s="163">
        <v>19353</v>
      </c>
      <c r="Z222" s="166">
        <v>0.11992118031242835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644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618.57000000000005</v>
      </c>
      <c r="E224" s="67">
        <v>74902</v>
      </c>
      <c r="F224" s="146">
        <v>0</v>
      </c>
      <c r="G224" s="146">
        <v>0</v>
      </c>
      <c r="H224" s="91">
        <v>74902</v>
      </c>
      <c r="I224" s="67">
        <v>0</v>
      </c>
      <c r="J224" s="739">
        <v>74902</v>
      </c>
      <c r="K224" s="132" t="s">
        <v>621</v>
      </c>
      <c r="L224" s="740">
        <v>0</v>
      </c>
      <c r="M224" s="741">
        <v>618.57000000000005</v>
      </c>
      <c r="N224" s="67">
        <v>1016</v>
      </c>
      <c r="O224" s="67">
        <v>75918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75918</v>
      </c>
      <c r="V224" s="71">
        <v>122.73146127358261</v>
      </c>
      <c r="W224" s="449">
        <v>75918</v>
      </c>
      <c r="X224" s="67">
        <v>71161</v>
      </c>
      <c r="Y224" s="163">
        <v>4757</v>
      </c>
      <c r="Z224" s="166">
        <v>6.6848414159441261E-2</v>
      </c>
      <c r="AA224" s="34" t="s">
        <v>621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401.71</v>
      </c>
      <c r="E225" s="67">
        <v>48643</v>
      </c>
      <c r="F225" s="146">
        <v>0</v>
      </c>
      <c r="G225" s="146">
        <v>0</v>
      </c>
      <c r="H225" s="91">
        <v>48643</v>
      </c>
      <c r="I225" s="67">
        <v>0</v>
      </c>
      <c r="J225" s="739">
        <v>48643</v>
      </c>
      <c r="K225" s="132" t="s">
        <v>621</v>
      </c>
      <c r="L225" s="740">
        <v>0</v>
      </c>
      <c r="M225" s="741">
        <v>401.71</v>
      </c>
      <c r="N225" s="67">
        <v>660</v>
      </c>
      <c r="O225" s="67">
        <v>49303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49303</v>
      </c>
      <c r="V225" s="71">
        <v>122.73281720644246</v>
      </c>
      <c r="W225" s="449">
        <v>49303</v>
      </c>
      <c r="X225" s="67">
        <v>45087</v>
      </c>
      <c r="Y225" s="163">
        <v>4216</v>
      </c>
      <c r="Z225" s="166">
        <v>9.3508106549559739E-2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159.40111111111113</v>
      </c>
      <c r="E226" s="67">
        <v>19302</v>
      </c>
      <c r="F226" s="146">
        <v>0</v>
      </c>
      <c r="G226" s="146">
        <v>0</v>
      </c>
      <c r="H226" s="91">
        <v>19302</v>
      </c>
      <c r="I226" s="67">
        <v>0</v>
      </c>
      <c r="J226" s="739">
        <v>19302</v>
      </c>
      <c r="K226" s="132" t="s">
        <v>621</v>
      </c>
      <c r="L226" s="740">
        <v>0</v>
      </c>
      <c r="M226" s="741">
        <v>159.40111111111113</v>
      </c>
      <c r="N226" s="67">
        <v>262</v>
      </c>
      <c r="O226" s="67">
        <v>19564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19564</v>
      </c>
      <c r="V226" s="71">
        <v>122.73440168408138</v>
      </c>
      <c r="W226" s="449">
        <v>19564</v>
      </c>
      <c r="X226" s="67">
        <v>16821</v>
      </c>
      <c r="Y226" s="163">
        <v>2743</v>
      </c>
      <c r="Z226" s="166">
        <v>0.16306997205873611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179</v>
      </c>
      <c r="E227" s="67">
        <v>21675</v>
      </c>
      <c r="F227" s="146">
        <v>0</v>
      </c>
      <c r="G227" s="146">
        <v>0</v>
      </c>
      <c r="H227" s="91">
        <v>21675</v>
      </c>
      <c r="I227" s="67">
        <v>0</v>
      </c>
      <c r="J227" s="739">
        <v>21675</v>
      </c>
      <c r="K227" s="132" t="s">
        <v>621</v>
      </c>
      <c r="L227" s="740">
        <v>0</v>
      </c>
      <c r="M227" s="741">
        <v>179</v>
      </c>
      <c r="N227" s="67">
        <v>294</v>
      </c>
      <c r="O227" s="67">
        <v>21969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21969</v>
      </c>
      <c r="V227" s="71">
        <v>122.73184357541899</v>
      </c>
      <c r="W227" s="449">
        <v>21969</v>
      </c>
      <c r="X227" s="67">
        <v>20235</v>
      </c>
      <c r="Y227" s="163">
        <v>1734</v>
      </c>
      <c r="Z227" s="166">
        <v>8.5693106004447739E-2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6</v>
      </c>
      <c r="E228" s="67">
        <v>727</v>
      </c>
      <c r="F228" s="146">
        <v>0</v>
      </c>
      <c r="G228" s="146">
        <v>0</v>
      </c>
      <c r="H228" s="91">
        <v>727</v>
      </c>
      <c r="I228" s="67">
        <v>0</v>
      </c>
      <c r="J228" s="739">
        <v>727</v>
      </c>
      <c r="K228" s="132" t="s">
        <v>644</v>
      </c>
      <c r="L228" s="740">
        <v>727</v>
      </c>
      <c r="M228" s="741">
        <v>0</v>
      </c>
      <c r="N228" s="67">
        <v>0</v>
      </c>
      <c r="O228" s="303">
        <v>0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644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56.43</v>
      </c>
      <c r="E229" s="67">
        <v>6833</v>
      </c>
      <c r="F229" s="146">
        <v>0</v>
      </c>
      <c r="G229" s="146">
        <v>0</v>
      </c>
      <c r="H229" s="91">
        <v>6833</v>
      </c>
      <c r="I229" s="67">
        <v>0</v>
      </c>
      <c r="J229" s="739">
        <v>6833</v>
      </c>
      <c r="K229" s="132" t="s">
        <v>644</v>
      </c>
      <c r="L229" s="740">
        <v>6833</v>
      </c>
      <c r="M229" s="741">
        <v>0</v>
      </c>
      <c r="N229" s="67">
        <v>0</v>
      </c>
      <c r="O229" s="67">
        <v>0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137.84555555555556</v>
      </c>
      <c r="E230" s="67">
        <v>16692</v>
      </c>
      <c r="F230" s="146">
        <v>0</v>
      </c>
      <c r="G230" s="146">
        <v>0</v>
      </c>
      <c r="H230" s="91">
        <v>16692</v>
      </c>
      <c r="I230" s="67">
        <v>0</v>
      </c>
      <c r="J230" s="739">
        <v>16692</v>
      </c>
      <c r="K230" s="132" t="s">
        <v>621</v>
      </c>
      <c r="L230" s="740">
        <v>0</v>
      </c>
      <c r="M230" s="741">
        <v>137.84555555555556</v>
      </c>
      <c r="N230" s="67">
        <v>226</v>
      </c>
      <c r="O230" s="67">
        <v>16918</v>
      </c>
      <c r="P230" s="674"/>
      <c r="Q230" s="674">
        <v>0</v>
      </c>
      <c r="R230" s="674" t="s">
        <v>1730</v>
      </c>
      <c r="S230" s="798" t="s">
        <v>801</v>
      </c>
      <c r="T230" s="798">
        <v>0</v>
      </c>
      <c r="U230" s="88">
        <v>16918</v>
      </c>
      <c r="V230" s="71">
        <v>122.7315594747745</v>
      </c>
      <c r="W230" s="449">
        <v>16918</v>
      </c>
      <c r="X230" s="67">
        <v>15013</v>
      </c>
      <c r="Y230" s="163">
        <v>1905</v>
      </c>
      <c r="Z230" s="166">
        <v>0.12689002864184373</v>
      </c>
      <c r="AA230" s="34" t="s">
        <v>621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2052.6133333333332</v>
      </c>
      <c r="E231" s="67">
        <v>248550</v>
      </c>
      <c r="F231" s="146">
        <v>0</v>
      </c>
      <c r="G231" s="146">
        <v>0</v>
      </c>
      <c r="H231" s="91">
        <v>248550</v>
      </c>
      <c r="I231" s="67">
        <v>0</v>
      </c>
      <c r="J231" s="739">
        <v>248550</v>
      </c>
      <c r="K231" s="132" t="s">
        <v>621</v>
      </c>
      <c r="L231" s="740">
        <v>0</v>
      </c>
      <c r="M231" s="741">
        <v>2052.6133333333332</v>
      </c>
      <c r="N231" s="67">
        <v>3372</v>
      </c>
      <c r="O231" s="67">
        <v>251922</v>
      </c>
      <c r="Q231" s="674">
        <v>0</v>
      </c>
      <c r="R231" s="674" t="s">
        <v>1730</v>
      </c>
      <c r="S231" s="798" t="s">
        <v>801</v>
      </c>
      <c r="T231" s="798">
        <v>0</v>
      </c>
      <c r="U231" s="88">
        <v>251922</v>
      </c>
      <c r="V231" s="71">
        <v>122.73232172320165</v>
      </c>
      <c r="W231" s="449">
        <v>251922</v>
      </c>
      <c r="X231" s="67">
        <v>231615</v>
      </c>
      <c r="Y231" s="163">
        <v>20307</v>
      </c>
      <c r="Z231" s="166">
        <v>8.7675668674308663E-2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644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644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12.43</v>
      </c>
      <c r="E235" s="67">
        <v>1505</v>
      </c>
      <c r="F235" s="146">
        <v>0</v>
      </c>
      <c r="G235" s="146">
        <v>0</v>
      </c>
      <c r="H235" s="91">
        <v>1505</v>
      </c>
      <c r="I235" s="67">
        <v>0</v>
      </c>
      <c r="J235" s="739">
        <v>1505</v>
      </c>
      <c r="K235" s="132" t="s">
        <v>644</v>
      </c>
      <c r="L235" s="740">
        <v>1505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338.40111111111105</v>
      </c>
      <c r="E236" s="67">
        <v>40977</v>
      </c>
      <c r="F236" s="146">
        <v>0</v>
      </c>
      <c r="G236" s="146">
        <v>0</v>
      </c>
      <c r="H236" s="91">
        <v>40977</v>
      </c>
      <c r="I236" s="67">
        <v>0</v>
      </c>
      <c r="J236" s="739">
        <v>40977</v>
      </c>
      <c r="K236" s="132" t="s">
        <v>621</v>
      </c>
      <c r="L236" s="740">
        <v>0</v>
      </c>
      <c r="M236" s="741">
        <v>338.40111111111105</v>
      </c>
      <c r="N236" s="67">
        <v>556</v>
      </c>
      <c r="O236" s="67">
        <v>41533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41533</v>
      </c>
      <c r="V236" s="71">
        <v>122.73304855185006</v>
      </c>
      <c r="W236" s="449">
        <v>41533</v>
      </c>
      <c r="X236" s="67">
        <v>38554</v>
      </c>
      <c r="Y236" s="163">
        <v>2979</v>
      </c>
      <c r="Z236" s="166">
        <v>7.7268247133890133E-2</v>
      </c>
      <c r="AA236" s="34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513.20777777777778</v>
      </c>
      <c r="E237" s="67">
        <v>62144</v>
      </c>
      <c r="F237" s="146">
        <v>0</v>
      </c>
      <c r="G237" s="146">
        <v>0</v>
      </c>
      <c r="H237" s="91">
        <v>62144</v>
      </c>
      <c r="I237" s="67">
        <v>0</v>
      </c>
      <c r="J237" s="739">
        <v>62144</v>
      </c>
      <c r="K237" s="132" t="s">
        <v>621</v>
      </c>
      <c r="L237" s="740">
        <v>0</v>
      </c>
      <c r="M237" s="741">
        <v>513.20777777777778</v>
      </c>
      <c r="N237" s="67">
        <v>843</v>
      </c>
      <c r="O237" s="67">
        <v>62987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62987</v>
      </c>
      <c r="V237" s="71">
        <v>122.7319669096554</v>
      </c>
      <c r="W237" s="449">
        <v>62987</v>
      </c>
      <c r="X237" s="67">
        <v>59360</v>
      </c>
      <c r="Y237" s="163">
        <v>3627</v>
      </c>
      <c r="Z237" s="166">
        <v>6.1101752021563344E-2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145.85</v>
      </c>
      <c r="E239" s="67">
        <v>17661</v>
      </c>
      <c r="F239" s="146">
        <v>0</v>
      </c>
      <c r="G239" s="146">
        <v>0</v>
      </c>
      <c r="H239" s="91">
        <v>17661</v>
      </c>
      <c r="I239" s="67">
        <v>0</v>
      </c>
      <c r="J239" s="739">
        <v>17661</v>
      </c>
      <c r="K239" s="132" t="s">
        <v>621</v>
      </c>
      <c r="L239" s="740">
        <v>0</v>
      </c>
      <c r="M239" s="741">
        <v>145.85</v>
      </c>
      <c r="N239" s="67">
        <v>240</v>
      </c>
      <c r="O239" s="67">
        <v>17901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17901</v>
      </c>
      <c r="V239" s="71">
        <v>122.73568735001714</v>
      </c>
      <c r="W239" s="449">
        <v>17901</v>
      </c>
      <c r="X239" s="67">
        <v>16404</v>
      </c>
      <c r="Y239" s="163">
        <v>1497</v>
      </c>
      <c r="Z239" s="166">
        <v>9.1258229700073148E-2</v>
      </c>
      <c r="AA239" s="34" t="s">
        <v>621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110.57</v>
      </c>
      <c r="E240" s="67">
        <v>13389</v>
      </c>
      <c r="F240" s="146">
        <v>0</v>
      </c>
      <c r="G240" s="146">
        <v>0</v>
      </c>
      <c r="H240" s="91">
        <v>13389</v>
      </c>
      <c r="I240" s="67">
        <v>0</v>
      </c>
      <c r="J240" s="739">
        <v>13389</v>
      </c>
      <c r="K240" s="132" t="s">
        <v>621</v>
      </c>
      <c r="L240" s="740">
        <v>0</v>
      </c>
      <c r="M240" s="741">
        <v>110.57</v>
      </c>
      <c r="N240" s="67">
        <v>182</v>
      </c>
      <c r="O240" s="67">
        <v>13571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13571</v>
      </c>
      <c r="V240" s="71">
        <v>122.73672786470109</v>
      </c>
      <c r="W240" s="449">
        <v>13571</v>
      </c>
      <c r="X240" s="67">
        <v>14845</v>
      </c>
      <c r="Y240" s="163">
        <v>-1274</v>
      </c>
      <c r="Z240" s="166">
        <v>-8.5820141461771637E-2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5.71</v>
      </c>
      <c r="E241" s="67">
        <v>691</v>
      </c>
      <c r="F241" s="146">
        <v>0</v>
      </c>
      <c r="G241" s="146">
        <v>0</v>
      </c>
      <c r="H241" s="91">
        <v>691</v>
      </c>
      <c r="I241" s="67">
        <v>0</v>
      </c>
      <c r="J241" s="739">
        <v>691</v>
      </c>
      <c r="K241" s="132" t="s">
        <v>644</v>
      </c>
      <c r="L241" s="740">
        <v>691</v>
      </c>
      <c r="M241" s="741">
        <v>0</v>
      </c>
      <c r="N241" s="67">
        <v>0</v>
      </c>
      <c r="O241" s="67">
        <v>0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644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103.85</v>
      </c>
      <c r="E242" s="67">
        <v>12575</v>
      </c>
      <c r="F242" s="146">
        <v>0</v>
      </c>
      <c r="G242" s="146">
        <v>0</v>
      </c>
      <c r="H242" s="91">
        <v>12575</v>
      </c>
      <c r="I242" s="67">
        <v>0</v>
      </c>
      <c r="J242" s="739">
        <v>12575</v>
      </c>
      <c r="K242" s="132" t="s">
        <v>621</v>
      </c>
      <c r="L242" s="740">
        <v>0</v>
      </c>
      <c r="M242" s="741">
        <v>103.85</v>
      </c>
      <c r="N242" s="67">
        <v>171</v>
      </c>
      <c r="O242" s="67">
        <v>12746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12746</v>
      </c>
      <c r="V242" s="71">
        <v>122.73471352912856</v>
      </c>
      <c r="W242" s="449">
        <v>12746</v>
      </c>
      <c r="X242" s="67">
        <v>10875</v>
      </c>
      <c r="Y242" s="163">
        <v>1871</v>
      </c>
      <c r="Z242" s="166">
        <v>0.17204597701149427</v>
      </c>
      <c r="AA242" s="34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14.719999999999999</v>
      </c>
      <c r="E243" s="67">
        <v>1782</v>
      </c>
      <c r="F243" s="146">
        <v>0</v>
      </c>
      <c r="G243" s="146">
        <v>0</v>
      </c>
      <c r="H243" s="91">
        <v>1782</v>
      </c>
      <c r="I243" s="67">
        <v>0</v>
      </c>
      <c r="J243" s="739">
        <v>1782</v>
      </c>
      <c r="K243" s="132" t="s">
        <v>644</v>
      </c>
      <c r="L243" s="740">
        <v>1782</v>
      </c>
      <c r="M243" s="741">
        <v>0</v>
      </c>
      <c r="N243" s="67">
        <v>0</v>
      </c>
      <c r="O243" s="67">
        <v>0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644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12.149999999999999</v>
      </c>
      <c r="E244" s="67">
        <v>1471</v>
      </c>
      <c r="F244" s="146">
        <v>0</v>
      </c>
      <c r="G244" s="146">
        <v>0</v>
      </c>
      <c r="H244" s="91">
        <v>1471</v>
      </c>
      <c r="I244" s="67">
        <v>0</v>
      </c>
      <c r="J244" s="739">
        <v>1471</v>
      </c>
      <c r="K244" s="132" t="s">
        <v>644</v>
      </c>
      <c r="L244" s="740">
        <v>1471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79.444444444444443</v>
      </c>
      <c r="E247" s="67">
        <v>9620</v>
      </c>
      <c r="F247" s="146">
        <v>0</v>
      </c>
      <c r="G247" s="146">
        <v>0</v>
      </c>
      <c r="H247" s="91">
        <v>9620</v>
      </c>
      <c r="I247" s="67">
        <v>0</v>
      </c>
      <c r="J247" s="739">
        <v>9620</v>
      </c>
      <c r="K247" s="132" t="s">
        <v>1306</v>
      </c>
      <c r="L247" s="740">
        <v>0</v>
      </c>
      <c r="M247" s="741">
        <v>79.444444444444443</v>
      </c>
      <c r="N247" s="67">
        <v>131</v>
      </c>
      <c r="O247" s="67">
        <v>9751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9751</v>
      </c>
      <c r="V247" s="71">
        <v>122.73986013986014</v>
      </c>
      <c r="W247" s="449">
        <v>9751</v>
      </c>
      <c r="X247" s="67">
        <v>13624</v>
      </c>
      <c r="Y247" s="163">
        <v>-3873</v>
      </c>
      <c r="Z247" s="166">
        <v>-0.28427774515560778</v>
      </c>
      <c r="AA247" s="34" t="s">
        <v>1306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132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644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20</v>
      </c>
      <c r="E249" s="67">
        <v>2422</v>
      </c>
      <c r="F249" s="146">
        <v>0</v>
      </c>
      <c r="G249" s="146">
        <v>0</v>
      </c>
      <c r="H249" s="91">
        <v>2422</v>
      </c>
      <c r="I249" s="67">
        <v>0</v>
      </c>
      <c r="J249" s="739">
        <v>2422</v>
      </c>
      <c r="K249" s="132" t="s">
        <v>644</v>
      </c>
      <c r="L249" s="740">
        <v>2422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644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644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644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5</v>
      </c>
      <c r="E254" s="67">
        <v>605</v>
      </c>
      <c r="F254" s="146">
        <v>0</v>
      </c>
      <c r="G254" s="146">
        <v>0</v>
      </c>
      <c r="H254" s="91">
        <v>605</v>
      </c>
      <c r="I254" s="67">
        <v>0</v>
      </c>
      <c r="J254" s="739">
        <v>605</v>
      </c>
      <c r="K254" s="132" t="s">
        <v>644</v>
      </c>
      <c r="L254" s="740">
        <v>605</v>
      </c>
      <c r="M254" s="741">
        <v>0</v>
      </c>
      <c r="N254" s="67">
        <v>0</v>
      </c>
      <c r="O254" s="67">
        <v>0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644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644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140.28</v>
      </c>
      <c r="E257" s="67">
        <v>16986</v>
      </c>
      <c r="F257" s="146">
        <v>0</v>
      </c>
      <c r="G257" s="146">
        <v>0</v>
      </c>
      <c r="H257" s="91">
        <v>16986</v>
      </c>
      <c r="I257" s="67">
        <v>0</v>
      </c>
      <c r="J257" s="739">
        <v>16986</v>
      </c>
      <c r="K257" s="132" t="s">
        <v>644</v>
      </c>
      <c r="L257" s="740">
        <v>16986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789.74888888888881</v>
      </c>
      <c r="E258" s="67">
        <v>95630</v>
      </c>
      <c r="F258" s="146">
        <v>0</v>
      </c>
      <c r="G258" s="146">
        <v>0</v>
      </c>
      <c r="H258" s="91">
        <v>95630</v>
      </c>
      <c r="I258" s="67">
        <v>0</v>
      </c>
      <c r="J258" s="739">
        <v>95630</v>
      </c>
      <c r="K258" s="132" t="s">
        <v>621</v>
      </c>
      <c r="L258" s="740">
        <v>0</v>
      </c>
      <c r="M258" s="741">
        <v>789.74888888888881</v>
      </c>
      <c r="N258" s="67">
        <v>1297</v>
      </c>
      <c r="O258" s="67">
        <v>96927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96927</v>
      </c>
      <c r="V258" s="71">
        <v>122.73141673724702</v>
      </c>
      <c r="W258" s="449">
        <v>96927</v>
      </c>
      <c r="X258" s="67">
        <v>95518</v>
      </c>
      <c r="Y258" s="163">
        <v>1409</v>
      </c>
      <c r="Z258" s="166">
        <v>1.4751146380786867E-2</v>
      </c>
      <c r="AA258" s="34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151.86000000000001</v>
      </c>
      <c r="E259" s="67">
        <v>18389</v>
      </c>
      <c r="F259" s="146">
        <v>0</v>
      </c>
      <c r="G259" s="146">
        <v>0</v>
      </c>
      <c r="H259" s="91">
        <v>18389</v>
      </c>
      <c r="I259" s="67">
        <v>0</v>
      </c>
      <c r="J259" s="739">
        <v>18389</v>
      </c>
      <c r="K259" s="132" t="s">
        <v>621</v>
      </c>
      <c r="L259" s="740">
        <v>0</v>
      </c>
      <c r="M259" s="741">
        <v>151.86000000000001</v>
      </c>
      <c r="N259" s="67">
        <v>249</v>
      </c>
      <c r="O259" s="67">
        <v>18638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18638</v>
      </c>
      <c r="V259" s="71">
        <v>122.73146318978004</v>
      </c>
      <c r="W259" s="449">
        <v>18638</v>
      </c>
      <c r="X259" s="67">
        <v>17130</v>
      </c>
      <c r="Y259" s="163">
        <v>1508</v>
      </c>
      <c r="Z259" s="166">
        <v>8.8032691185055453E-2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260.34777777777776</v>
      </c>
      <c r="E260" s="67">
        <v>31525</v>
      </c>
      <c r="F260" s="146">
        <v>0</v>
      </c>
      <c r="G260" s="146">
        <v>0</v>
      </c>
      <c r="H260" s="91">
        <v>31525</v>
      </c>
      <c r="I260" s="67">
        <v>0</v>
      </c>
      <c r="J260" s="739">
        <v>31525</v>
      </c>
      <c r="K260" s="132" t="s">
        <v>621</v>
      </c>
      <c r="L260" s="740">
        <v>0</v>
      </c>
      <c r="M260" s="741">
        <v>260.34777777777776</v>
      </c>
      <c r="N260" s="67">
        <v>428</v>
      </c>
      <c r="O260" s="67">
        <v>31953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31953</v>
      </c>
      <c r="V260" s="71">
        <v>122.73198670154879</v>
      </c>
      <c r="W260" s="449">
        <v>31953</v>
      </c>
      <c r="X260" s="67">
        <v>29873</v>
      </c>
      <c r="Y260" s="163">
        <v>2080</v>
      </c>
      <c r="Z260" s="166">
        <v>6.9628092257222246E-2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7.57</v>
      </c>
      <c r="E262" s="67">
        <v>917</v>
      </c>
      <c r="F262" s="146">
        <v>0</v>
      </c>
      <c r="G262" s="146">
        <v>0</v>
      </c>
      <c r="H262" s="91">
        <v>917</v>
      </c>
      <c r="I262" s="67">
        <v>0</v>
      </c>
      <c r="J262" s="739">
        <v>917</v>
      </c>
      <c r="K262" s="132" t="s">
        <v>644</v>
      </c>
      <c r="L262" s="740">
        <v>917</v>
      </c>
      <c r="M262" s="741">
        <v>0</v>
      </c>
      <c r="N262" s="67">
        <v>0</v>
      </c>
      <c r="O262" s="67">
        <v>0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644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185.65222222222224</v>
      </c>
      <c r="E263" s="67">
        <v>22481</v>
      </c>
      <c r="F263" s="146">
        <v>0</v>
      </c>
      <c r="G263" s="146">
        <v>0</v>
      </c>
      <c r="H263" s="91">
        <v>22481</v>
      </c>
      <c r="I263" s="67">
        <v>0</v>
      </c>
      <c r="J263" s="739">
        <v>22481</v>
      </c>
      <c r="K263" s="132" t="s">
        <v>1306</v>
      </c>
      <c r="L263" s="740">
        <v>0</v>
      </c>
      <c r="M263" s="741">
        <v>185.65222222222224</v>
      </c>
      <c r="N263" s="67">
        <v>305</v>
      </c>
      <c r="O263" s="67">
        <v>22786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22786</v>
      </c>
      <c r="V263" s="71">
        <v>122.73486267633028</v>
      </c>
      <c r="W263" s="449">
        <v>22786</v>
      </c>
      <c r="X263" s="67">
        <v>20235</v>
      </c>
      <c r="Y263" s="163">
        <v>2551</v>
      </c>
      <c r="Z263" s="166">
        <v>0.12606869285890784</v>
      </c>
      <c r="AA263" s="34" t="s">
        <v>1306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18.72</v>
      </c>
      <c r="E264" s="67">
        <v>2267</v>
      </c>
      <c r="F264" s="146">
        <v>0</v>
      </c>
      <c r="G264" s="146">
        <v>0</v>
      </c>
      <c r="H264" s="91">
        <v>2267</v>
      </c>
      <c r="I264" s="67">
        <v>0</v>
      </c>
      <c r="J264" s="739">
        <v>2267</v>
      </c>
      <c r="K264" s="132" t="s">
        <v>644</v>
      </c>
      <c r="L264" s="740">
        <v>2267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1036</v>
      </c>
      <c r="Y264" s="163">
        <v>-1036</v>
      </c>
      <c r="Z264" s="166">
        <v>-1</v>
      </c>
      <c r="AA264" s="34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23.29</v>
      </c>
      <c r="E266" s="67">
        <v>2820</v>
      </c>
      <c r="F266" s="146">
        <v>0</v>
      </c>
      <c r="G266" s="146">
        <v>0</v>
      </c>
      <c r="H266" s="91">
        <v>2820</v>
      </c>
      <c r="I266" s="67">
        <v>0</v>
      </c>
      <c r="J266" s="739">
        <v>2820</v>
      </c>
      <c r="K266" s="132" t="s">
        <v>644</v>
      </c>
      <c r="L266" s="740">
        <v>2820</v>
      </c>
      <c r="M266" s="741">
        <v>0</v>
      </c>
      <c r="N266" s="67">
        <v>0</v>
      </c>
      <c r="O266" s="67">
        <v>0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644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770.37666666666667</v>
      </c>
      <c r="E268" s="67">
        <v>93285</v>
      </c>
      <c r="F268" s="146">
        <v>0</v>
      </c>
      <c r="G268" s="146">
        <v>0</v>
      </c>
      <c r="H268" s="91">
        <v>93285</v>
      </c>
      <c r="I268" s="67">
        <v>0</v>
      </c>
      <c r="J268" s="739">
        <v>93285</v>
      </c>
      <c r="K268" s="132" t="s">
        <v>621</v>
      </c>
      <c r="L268" s="740">
        <v>0</v>
      </c>
      <c r="M268" s="741">
        <v>770.37666666666667</v>
      </c>
      <c r="N268" s="67">
        <v>1266</v>
      </c>
      <c r="O268" s="67">
        <v>94551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94551</v>
      </c>
      <c r="V268" s="71">
        <v>122.7334680437708</v>
      </c>
      <c r="W268" s="449">
        <v>94551</v>
      </c>
      <c r="X268" s="67">
        <v>90112</v>
      </c>
      <c r="Y268" s="163">
        <v>4439</v>
      </c>
      <c r="Z268" s="166">
        <v>4.9260919744318184E-2</v>
      </c>
      <c r="AA268" s="34" t="s">
        <v>621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291.57</v>
      </c>
      <c r="E269" s="67">
        <v>35306</v>
      </c>
      <c r="F269" s="146">
        <v>0</v>
      </c>
      <c r="G269" s="146">
        <v>0</v>
      </c>
      <c r="H269" s="91">
        <v>35306</v>
      </c>
      <c r="I269" s="67">
        <v>0</v>
      </c>
      <c r="J269" s="739">
        <v>35306</v>
      </c>
      <c r="K269" s="132" t="s">
        <v>621</v>
      </c>
      <c r="L269" s="740">
        <v>0</v>
      </c>
      <c r="M269" s="741">
        <v>291.57</v>
      </c>
      <c r="N269" s="67">
        <v>479</v>
      </c>
      <c r="O269" s="67">
        <v>35785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35785</v>
      </c>
      <c r="V269" s="71">
        <v>122.73210549782213</v>
      </c>
      <c r="W269" s="449">
        <v>35785</v>
      </c>
      <c r="X269" s="67">
        <v>34691</v>
      </c>
      <c r="Y269" s="163">
        <v>1094</v>
      </c>
      <c r="Z269" s="166">
        <v>3.1535556772649964E-2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29</v>
      </c>
      <c r="E270" s="67">
        <v>3512</v>
      </c>
      <c r="F270" s="146">
        <v>0</v>
      </c>
      <c r="G270" s="146">
        <v>0</v>
      </c>
      <c r="H270" s="91">
        <v>3512</v>
      </c>
      <c r="I270" s="67">
        <v>0</v>
      </c>
      <c r="J270" s="739">
        <v>3512</v>
      </c>
      <c r="K270" s="132" t="s">
        <v>644</v>
      </c>
      <c r="L270" s="740">
        <v>3512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112.41999999999999</v>
      </c>
      <c r="E271" s="67">
        <v>13613</v>
      </c>
      <c r="F271" s="146">
        <v>0</v>
      </c>
      <c r="G271" s="146">
        <v>0</v>
      </c>
      <c r="H271" s="91">
        <v>13613</v>
      </c>
      <c r="I271" s="67">
        <v>0</v>
      </c>
      <c r="J271" s="739">
        <v>13613</v>
      </c>
      <c r="K271" s="132" t="s">
        <v>621</v>
      </c>
      <c r="L271" s="740">
        <v>0</v>
      </c>
      <c r="M271" s="741">
        <v>112.41999999999999</v>
      </c>
      <c r="N271" s="67">
        <v>185</v>
      </c>
      <c r="O271" s="67">
        <v>13798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13798</v>
      </c>
      <c r="V271" s="71">
        <v>122.73616794164741</v>
      </c>
      <c r="W271" s="449">
        <v>13798</v>
      </c>
      <c r="X271" s="67">
        <v>14845</v>
      </c>
      <c r="Y271" s="163">
        <v>-1047</v>
      </c>
      <c r="Z271" s="166">
        <v>-7.0528797574941057E-2</v>
      </c>
      <c r="AA271" s="34" t="s">
        <v>621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8</v>
      </c>
      <c r="E272" s="67">
        <v>969</v>
      </c>
      <c r="F272" s="146">
        <v>0</v>
      </c>
      <c r="G272" s="146">
        <v>0</v>
      </c>
      <c r="H272" s="91">
        <v>969</v>
      </c>
      <c r="I272" s="67">
        <v>0</v>
      </c>
      <c r="J272" s="739">
        <v>969</v>
      </c>
      <c r="K272" s="132" t="s">
        <v>644</v>
      </c>
      <c r="L272" s="740">
        <v>969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95.72</v>
      </c>
      <c r="E273" s="67">
        <v>11591</v>
      </c>
      <c r="F273" s="146">
        <v>0</v>
      </c>
      <c r="G273" s="146">
        <v>0</v>
      </c>
      <c r="H273" s="91">
        <v>11591</v>
      </c>
      <c r="I273" s="67">
        <v>0</v>
      </c>
      <c r="J273" s="739">
        <v>11591</v>
      </c>
      <c r="K273" s="132" t="s">
        <v>621</v>
      </c>
      <c r="L273" s="740">
        <v>0</v>
      </c>
      <c r="M273" s="741">
        <v>95.72</v>
      </c>
      <c r="N273" s="67">
        <v>157</v>
      </c>
      <c r="O273" s="67">
        <v>11748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11748</v>
      </c>
      <c r="V273" s="71">
        <v>122.73297116590055</v>
      </c>
      <c r="W273" s="449">
        <v>11748</v>
      </c>
      <c r="X273" s="67">
        <v>12789</v>
      </c>
      <c r="Y273" s="163">
        <v>-1041</v>
      </c>
      <c r="Z273" s="166">
        <v>-8.1398076471968103E-2</v>
      </c>
      <c r="AA273" s="34" t="s">
        <v>621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871.46888888888884</v>
      </c>
      <c r="E274" s="67">
        <v>105526</v>
      </c>
      <c r="F274" s="146">
        <v>0</v>
      </c>
      <c r="G274" s="146">
        <v>0</v>
      </c>
      <c r="H274" s="91">
        <v>105526</v>
      </c>
      <c r="I274" s="67">
        <v>0</v>
      </c>
      <c r="J274" s="739">
        <v>105526</v>
      </c>
      <c r="K274" s="132" t="s">
        <v>621</v>
      </c>
      <c r="L274" s="740">
        <v>0</v>
      </c>
      <c r="M274" s="741">
        <v>871.46888888888884</v>
      </c>
      <c r="N274" s="67">
        <v>1432</v>
      </c>
      <c r="O274" s="67">
        <v>106958</v>
      </c>
      <c r="P274" s="674"/>
      <c r="Q274" s="674">
        <v>0</v>
      </c>
      <c r="R274" s="674" t="s">
        <v>1730</v>
      </c>
      <c r="S274" s="798" t="s">
        <v>801</v>
      </c>
      <c r="T274" s="798">
        <v>0</v>
      </c>
      <c r="U274" s="88">
        <v>106958</v>
      </c>
      <c r="V274" s="71">
        <v>122.73301016674274</v>
      </c>
      <c r="W274" s="449">
        <v>106958</v>
      </c>
      <c r="X274" s="67">
        <v>92414</v>
      </c>
      <c r="Y274" s="163">
        <v>14544</v>
      </c>
      <c r="Z274" s="166">
        <v>0.15737875213712207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305.01444444444445</v>
      </c>
      <c r="E275" s="67">
        <v>36934</v>
      </c>
      <c r="F275" s="146">
        <v>0</v>
      </c>
      <c r="G275" s="146">
        <v>0</v>
      </c>
      <c r="H275" s="91">
        <v>36934</v>
      </c>
      <c r="I275" s="67">
        <v>0</v>
      </c>
      <c r="J275" s="739">
        <v>36934</v>
      </c>
      <c r="K275" s="132" t="s">
        <v>644</v>
      </c>
      <c r="L275" s="740">
        <v>36934</v>
      </c>
      <c r="M275" s="741">
        <v>0</v>
      </c>
      <c r="N275" s="67">
        <v>0</v>
      </c>
      <c r="O275" s="67">
        <v>0</v>
      </c>
      <c r="Q275" s="674">
        <v>0</v>
      </c>
      <c r="R275" s="674" t="s">
        <v>1730</v>
      </c>
      <c r="S275" s="798" t="s">
        <v>801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644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91.28</v>
      </c>
      <c r="E276" s="67">
        <v>11053</v>
      </c>
      <c r="F276" s="146">
        <v>0</v>
      </c>
      <c r="G276" s="146">
        <v>0</v>
      </c>
      <c r="H276" s="91">
        <v>11053</v>
      </c>
      <c r="I276" s="67">
        <v>0</v>
      </c>
      <c r="J276" s="739">
        <v>11053</v>
      </c>
      <c r="K276" s="132" t="s">
        <v>621</v>
      </c>
      <c r="L276" s="740">
        <v>0</v>
      </c>
      <c r="M276" s="741">
        <v>91.28</v>
      </c>
      <c r="N276" s="67">
        <v>150</v>
      </c>
      <c r="O276" s="67">
        <v>11203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11203</v>
      </c>
      <c r="V276" s="71">
        <v>122.73225241016652</v>
      </c>
      <c r="W276" s="449">
        <v>11203</v>
      </c>
      <c r="X276" s="67">
        <v>10226</v>
      </c>
      <c r="Y276" s="163">
        <v>977</v>
      </c>
      <c r="Z276" s="166">
        <v>9.5540778407979657E-2</v>
      </c>
      <c r="AA276" s="34" t="s">
        <v>621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330</v>
      </c>
      <c r="E277" s="67">
        <v>39960</v>
      </c>
      <c r="F277" s="146">
        <v>0</v>
      </c>
      <c r="G277" s="146">
        <v>0</v>
      </c>
      <c r="H277" s="91">
        <v>39960</v>
      </c>
      <c r="I277" s="67">
        <v>0</v>
      </c>
      <c r="J277" s="739">
        <v>39960</v>
      </c>
      <c r="K277" s="132" t="s">
        <v>621</v>
      </c>
      <c r="L277" s="740">
        <v>0</v>
      </c>
      <c r="M277" s="741">
        <v>330</v>
      </c>
      <c r="N277" s="67">
        <v>542</v>
      </c>
      <c r="O277" s="67">
        <v>40502</v>
      </c>
      <c r="P277" s="674"/>
      <c r="Q277" s="674">
        <v>0</v>
      </c>
      <c r="R277" s="674" t="s">
        <v>1730</v>
      </c>
      <c r="S277" s="798" t="s">
        <v>801</v>
      </c>
      <c r="T277" s="798">
        <v>0</v>
      </c>
      <c r="U277" s="88">
        <v>40502</v>
      </c>
      <c r="V277" s="71">
        <v>122.73333333333333</v>
      </c>
      <c r="W277" s="449">
        <v>40502</v>
      </c>
      <c r="X277" s="67">
        <v>40222</v>
      </c>
      <c r="Y277" s="163">
        <v>280</v>
      </c>
      <c r="Z277" s="166">
        <v>6.9613644274277757E-3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176.50222222222223</v>
      </c>
      <c r="E278" s="67">
        <v>21373</v>
      </c>
      <c r="F278" s="146">
        <v>0</v>
      </c>
      <c r="G278" s="146">
        <v>0</v>
      </c>
      <c r="H278" s="91">
        <v>21373</v>
      </c>
      <c r="I278" s="67">
        <v>0</v>
      </c>
      <c r="J278" s="739">
        <v>21373</v>
      </c>
      <c r="K278" s="132" t="s">
        <v>621</v>
      </c>
      <c r="L278" s="740">
        <v>0</v>
      </c>
      <c r="M278" s="741">
        <v>176.50222222222223</v>
      </c>
      <c r="N278" s="67">
        <v>290</v>
      </c>
      <c r="O278" s="67">
        <v>21663</v>
      </c>
      <c r="Q278" s="674">
        <v>0</v>
      </c>
      <c r="R278" s="674" t="s">
        <v>1730</v>
      </c>
      <c r="S278" s="798" t="s">
        <v>801</v>
      </c>
      <c r="T278" s="798">
        <v>0</v>
      </c>
      <c r="U278" s="88">
        <v>21663</v>
      </c>
      <c r="V278" s="71">
        <v>122.73499861506308</v>
      </c>
      <c r="W278" s="449">
        <v>21663</v>
      </c>
      <c r="X278" s="67">
        <v>19354</v>
      </c>
      <c r="Y278" s="163">
        <v>2309</v>
      </c>
      <c r="Z278" s="166">
        <v>0.11930350315180324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259.45888888888891</v>
      </c>
      <c r="E279" s="67">
        <v>31418</v>
      </c>
      <c r="F279" s="146">
        <v>0</v>
      </c>
      <c r="G279" s="146">
        <v>0</v>
      </c>
      <c r="H279" s="91">
        <v>31418</v>
      </c>
      <c r="I279" s="67">
        <v>0</v>
      </c>
      <c r="J279" s="739">
        <v>31418</v>
      </c>
      <c r="K279" s="132" t="s">
        <v>621</v>
      </c>
      <c r="L279" s="740">
        <v>0</v>
      </c>
      <c r="M279" s="741">
        <v>259.45888888888891</v>
      </c>
      <c r="N279" s="67">
        <v>426</v>
      </c>
      <c r="O279" s="67">
        <v>31844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31844</v>
      </c>
      <c r="V279" s="71">
        <v>122.73235323086936</v>
      </c>
      <c r="W279" s="449">
        <v>31844</v>
      </c>
      <c r="X279" s="67">
        <v>31448</v>
      </c>
      <c r="Y279" s="163">
        <v>396</v>
      </c>
      <c r="Z279" s="166">
        <v>1.2592215721190536E-2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121.95666666666668</v>
      </c>
      <c r="E280" s="67">
        <v>14768</v>
      </c>
      <c r="F280" s="146">
        <v>0</v>
      </c>
      <c r="G280" s="146">
        <v>0</v>
      </c>
      <c r="H280" s="91">
        <v>14768</v>
      </c>
      <c r="I280" s="67">
        <v>0</v>
      </c>
      <c r="J280" s="739">
        <v>14768</v>
      </c>
      <c r="K280" s="132" t="s">
        <v>621</v>
      </c>
      <c r="L280" s="740">
        <v>0</v>
      </c>
      <c r="M280" s="741">
        <v>121.95666666666668</v>
      </c>
      <c r="N280" s="67">
        <v>200</v>
      </c>
      <c r="O280" s="67">
        <v>14968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14968</v>
      </c>
      <c r="V280" s="71">
        <v>122.73211796539753</v>
      </c>
      <c r="W280" s="449">
        <v>14968</v>
      </c>
      <c r="X280" s="67">
        <v>13825</v>
      </c>
      <c r="Y280" s="163">
        <v>1143</v>
      </c>
      <c r="Z280" s="166">
        <v>8.2676311030741412E-2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2</v>
      </c>
      <c r="E283" s="67">
        <v>242</v>
      </c>
      <c r="F283" s="146">
        <v>0</v>
      </c>
      <c r="G283" s="146">
        <v>0</v>
      </c>
      <c r="H283" s="91">
        <v>242</v>
      </c>
      <c r="I283" s="67">
        <v>0</v>
      </c>
      <c r="J283" s="739">
        <v>242</v>
      </c>
      <c r="K283" s="132" t="s">
        <v>644</v>
      </c>
      <c r="L283" s="740">
        <v>242</v>
      </c>
      <c r="M283" s="741">
        <v>0</v>
      </c>
      <c r="N283" s="67">
        <v>0</v>
      </c>
      <c r="O283" s="67">
        <v>0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644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172.26555555555552</v>
      </c>
      <c r="E284" s="67">
        <v>20860</v>
      </c>
      <c r="F284" s="146">
        <v>0</v>
      </c>
      <c r="G284" s="146">
        <v>0</v>
      </c>
      <c r="H284" s="91">
        <v>20860</v>
      </c>
      <c r="I284" s="67">
        <v>0</v>
      </c>
      <c r="J284" s="739">
        <v>20860</v>
      </c>
      <c r="K284" s="132" t="s">
        <v>621</v>
      </c>
      <c r="L284" s="740">
        <v>0</v>
      </c>
      <c r="M284" s="741">
        <v>172.26555555555552</v>
      </c>
      <c r="N284" s="67">
        <v>283</v>
      </c>
      <c r="O284" s="67">
        <v>21143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21143</v>
      </c>
      <c r="V284" s="71">
        <v>122.73492476086665</v>
      </c>
      <c r="W284" s="449">
        <v>21143</v>
      </c>
      <c r="X284" s="67">
        <v>21996</v>
      </c>
      <c r="Y284" s="163">
        <v>-853</v>
      </c>
      <c r="Z284" s="166">
        <v>-3.8779778141480266E-2</v>
      </c>
      <c r="AA284" s="34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644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644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644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644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1.8599999999999999</v>
      </c>
      <c r="E292" s="67">
        <v>225</v>
      </c>
      <c r="F292" s="146">
        <v>0</v>
      </c>
      <c r="G292" s="146">
        <v>0</v>
      </c>
      <c r="H292" s="91">
        <v>225</v>
      </c>
      <c r="I292" s="67">
        <v>0</v>
      </c>
      <c r="J292" s="739">
        <v>225</v>
      </c>
      <c r="K292" s="132" t="s">
        <v>644</v>
      </c>
      <c r="L292" s="740">
        <v>225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644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195.37999999999997</v>
      </c>
      <c r="E294" s="67">
        <v>23658</v>
      </c>
      <c r="F294" s="146">
        <v>0</v>
      </c>
      <c r="G294" s="146">
        <v>0</v>
      </c>
      <c r="H294" s="91">
        <v>23658</v>
      </c>
      <c r="I294" s="67">
        <v>0</v>
      </c>
      <c r="J294" s="739">
        <v>23658</v>
      </c>
      <c r="K294" s="132" t="s">
        <v>621</v>
      </c>
      <c r="L294" s="740">
        <v>0</v>
      </c>
      <c r="M294" s="741">
        <v>195.37999999999997</v>
      </c>
      <c r="N294" s="67">
        <v>321</v>
      </c>
      <c r="O294" s="67">
        <v>23979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23979</v>
      </c>
      <c r="V294" s="71">
        <v>122.73006448971238</v>
      </c>
      <c r="W294" s="449">
        <v>23979</v>
      </c>
      <c r="X294" s="67">
        <v>24189</v>
      </c>
      <c r="Y294" s="163">
        <v>-210</v>
      </c>
      <c r="Z294" s="166">
        <v>-8.6816321468436066E-3</v>
      </c>
      <c r="AA294" s="34" t="s">
        <v>621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90</v>
      </c>
      <c r="E295" s="67">
        <v>10898</v>
      </c>
      <c r="F295" s="146">
        <v>0</v>
      </c>
      <c r="G295" s="146">
        <v>0</v>
      </c>
      <c r="H295" s="91">
        <v>10898</v>
      </c>
      <c r="I295" s="67">
        <v>0</v>
      </c>
      <c r="J295" s="739">
        <v>10898</v>
      </c>
      <c r="K295" s="132" t="s">
        <v>621</v>
      </c>
      <c r="L295" s="740">
        <v>0</v>
      </c>
      <c r="M295" s="741">
        <v>90</v>
      </c>
      <c r="N295" s="67">
        <v>148</v>
      </c>
      <c r="O295" s="67">
        <v>11046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11046</v>
      </c>
      <c r="V295" s="71">
        <v>122.73333333333333</v>
      </c>
      <c r="W295" s="449">
        <v>11046</v>
      </c>
      <c r="X295" s="67">
        <v>10442</v>
      </c>
      <c r="Y295" s="163">
        <v>604</v>
      </c>
      <c r="Z295" s="166">
        <v>5.7843325033518481E-2</v>
      </c>
      <c r="AA295" s="34" t="s">
        <v>621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5243.8888888888887</v>
      </c>
      <c r="E296" s="67">
        <v>634980</v>
      </c>
      <c r="F296" s="146">
        <v>0</v>
      </c>
      <c r="G296" s="146">
        <v>0</v>
      </c>
      <c r="H296" s="91">
        <v>634980</v>
      </c>
      <c r="I296" s="67">
        <v>0</v>
      </c>
      <c r="J296" s="739">
        <v>634980</v>
      </c>
      <c r="K296" s="132" t="s">
        <v>621</v>
      </c>
      <c r="L296" s="740">
        <v>0</v>
      </c>
      <c r="M296" s="741">
        <v>5243.8888888888887</v>
      </c>
      <c r="N296" s="67">
        <v>8614</v>
      </c>
      <c r="O296" s="67">
        <v>643594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643594</v>
      </c>
      <c r="V296" s="71">
        <v>122.73219620722534</v>
      </c>
      <c r="W296" s="449">
        <v>643594</v>
      </c>
      <c r="X296" s="67">
        <v>673711</v>
      </c>
      <c r="Y296" s="163">
        <v>-30117</v>
      </c>
      <c r="Z296" s="166">
        <v>-4.4703144226530364E-2</v>
      </c>
      <c r="AA296" s="34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372.14</v>
      </c>
      <c r="E297" s="67">
        <v>45062</v>
      </c>
      <c r="F297" s="146">
        <v>0</v>
      </c>
      <c r="G297" s="146">
        <v>0</v>
      </c>
      <c r="H297" s="91">
        <v>45062</v>
      </c>
      <c r="I297" s="67">
        <v>0</v>
      </c>
      <c r="J297" s="739">
        <v>45062</v>
      </c>
      <c r="K297" s="132" t="s">
        <v>621</v>
      </c>
      <c r="L297" s="740">
        <v>0</v>
      </c>
      <c r="M297" s="741">
        <v>372.14</v>
      </c>
      <c r="N297" s="67">
        <v>611</v>
      </c>
      <c r="O297" s="67">
        <v>45673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45673</v>
      </c>
      <c r="V297" s="71">
        <v>122.7306927500403</v>
      </c>
      <c r="W297" s="449">
        <v>45673</v>
      </c>
      <c r="X297" s="67">
        <v>46770</v>
      </c>
      <c r="Y297" s="163">
        <v>-1097</v>
      </c>
      <c r="Z297" s="166">
        <v>-2.3455206328843275E-2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340.31888888888892</v>
      </c>
      <c r="E298" s="67">
        <v>41209</v>
      </c>
      <c r="F298" s="146">
        <v>0</v>
      </c>
      <c r="G298" s="146">
        <v>0</v>
      </c>
      <c r="H298" s="91">
        <v>41209</v>
      </c>
      <c r="I298" s="67">
        <v>0</v>
      </c>
      <c r="J298" s="739">
        <v>41209</v>
      </c>
      <c r="K298" s="132" t="s">
        <v>621</v>
      </c>
      <c r="L298" s="740">
        <v>0</v>
      </c>
      <c r="M298" s="741">
        <v>340.31888888888892</v>
      </c>
      <c r="N298" s="67">
        <v>559</v>
      </c>
      <c r="O298" s="67">
        <v>41768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41768</v>
      </c>
      <c r="V298" s="71">
        <v>122.73194748716072</v>
      </c>
      <c r="W298" s="449">
        <v>41768</v>
      </c>
      <c r="X298" s="67">
        <v>39295</v>
      </c>
      <c r="Y298" s="163">
        <v>2473</v>
      </c>
      <c r="Z298" s="166">
        <v>6.2934215549052042E-2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401.71</v>
      </c>
      <c r="E299" s="67">
        <v>48643</v>
      </c>
      <c r="F299" s="146">
        <v>0</v>
      </c>
      <c r="G299" s="146">
        <v>0</v>
      </c>
      <c r="H299" s="91">
        <v>48643</v>
      </c>
      <c r="I299" s="67">
        <v>0</v>
      </c>
      <c r="J299" s="739">
        <v>48643</v>
      </c>
      <c r="K299" s="132" t="s">
        <v>621</v>
      </c>
      <c r="L299" s="740">
        <v>0</v>
      </c>
      <c r="M299" s="741">
        <v>401.71</v>
      </c>
      <c r="N299" s="67">
        <v>660</v>
      </c>
      <c r="O299" s="67">
        <v>49303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49303</v>
      </c>
      <c r="V299" s="71">
        <v>122.73281720644246</v>
      </c>
      <c r="W299" s="449">
        <v>49303</v>
      </c>
      <c r="X299" s="67">
        <v>49876</v>
      </c>
      <c r="Y299" s="163">
        <v>-573</v>
      </c>
      <c r="Z299" s="166">
        <v>-1.1488491458817869E-2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1285.5700000000002</v>
      </c>
      <c r="E300" s="67">
        <v>155669</v>
      </c>
      <c r="F300" s="146">
        <v>0</v>
      </c>
      <c r="G300" s="146">
        <v>0</v>
      </c>
      <c r="H300" s="91">
        <v>155669</v>
      </c>
      <c r="I300" s="67">
        <v>0</v>
      </c>
      <c r="J300" s="739">
        <v>155669</v>
      </c>
      <c r="K300" s="132" t="s">
        <v>621</v>
      </c>
      <c r="L300" s="740">
        <v>0</v>
      </c>
      <c r="M300" s="741">
        <v>1285.5700000000002</v>
      </c>
      <c r="N300" s="67">
        <v>2112</v>
      </c>
      <c r="O300" s="67">
        <v>157781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157781</v>
      </c>
      <c r="V300" s="71">
        <v>122.73232885023762</v>
      </c>
      <c r="W300" s="449">
        <v>157781</v>
      </c>
      <c r="X300" s="67">
        <v>163821</v>
      </c>
      <c r="Y300" s="163">
        <v>-6040</v>
      </c>
      <c r="Z300" s="166">
        <v>-3.6869510013978674E-2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2211.0144444444445</v>
      </c>
      <c r="E301" s="67">
        <v>267731</v>
      </c>
      <c r="F301" s="146">
        <v>0</v>
      </c>
      <c r="G301" s="146">
        <v>0</v>
      </c>
      <c r="H301" s="91">
        <v>267731</v>
      </c>
      <c r="I301" s="67">
        <v>0</v>
      </c>
      <c r="J301" s="739">
        <v>267731</v>
      </c>
      <c r="K301" s="132" t="s">
        <v>621</v>
      </c>
      <c r="L301" s="740">
        <v>0</v>
      </c>
      <c r="M301" s="741">
        <v>2211.0144444444445</v>
      </c>
      <c r="N301" s="67">
        <v>3632</v>
      </c>
      <c r="O301" s="67">
        <v>271363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271363</v>
      </c>
      <c r="V301" s="71">
        <v>122.73235061030306</v>
      </c>
      <c r="W301" s="449">
        <v>271363</v>
      </c>
      <c r="X301" s="67">
        <v>277411</v>
      </c>
      <c r="Y301" s="163">
        <v>-6048</v>
      </c>
      <c r="Z301" s="166">
        <v>-2.1801586815230832E-2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1702.9466666666669</v>
      </c>
      <c r="E302" s="67">
        <v>206209</v>
      </c>
      <c r="F302" s="146">
        <v>0</v>
      </c>
      <c r="G302" s="146">
        <v>0</v>
      </c>
      <c r="H302" s="91">
        <v>206209</v>
      </c>
      <c r="I302" s="67">
        <v>0</v>
      </c>
      <c r="J302" s="739">
        <v>206209</v>
      </c>
      <c r="K302" s="132" t="s">
        <v>621</v>
      </c>
      <c r="L302" s="740">
        <v>0</v>
      </c>
      <c r="M302" s="741">
        <v>1702.9466666666669</v>
      </c>
      <c r="N302" s="67">
        <v>2797</v>
      </c>
      <c r="O302" s="67">
        <v>209006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209006</v>
      </c>
      <c r="V302" s="71">
        <v>122.731970466877</v>
      </c>
      <c r="W302" s="449">
        <v>209006</v>
      </c>
      <c r="X302" s="67">
        <v>208661</v>
      </c>
      <c r="Y302" s="163">
        <v>345</v>
      </c>
      <c r="Z302" s="166">
        <v>1.6533995332141608E-3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367.71</v>
      </c>
      <c r="E303" s="67">
        <v>44526</v>
      </c>
      <c r="F303" s="146">
        <v>0</v>
      </c>
      <c r="G303" s="146">
        <v>0</v>
      </c>
      <c r="H303" s="91">
        <v>44526</v>
      </c>
      <c r="I303" s="67">
        <v>0</v>
      </c>
      <c r="J303" s="739">
        <v>44526</v>
      </c>
      <c r="K303" s="132" t="s">
        <v>621</v>
      </c>
      <c r="L303" s="740">
        <v>0</v>
      </c>
      <c r="M303" s="741">
        <v>367.71</v>
      </c>
      <c r="N303" s="67">
        <v>604</v>
      </c>
      <c r="O303" s="67">
        <v>45130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45130</v>
      </c>
      <c r="V303" s="71">
        <v>122.73258818090343</v>
      </c>
      <c r="W303" s="449">
        <v>45130</v>
      </c>
      <c r="X303" s="67">
        <v>42987</v>
      </c>
      <c r="Y303" s="163">
        <v>2143</v>
      </c>
      <c r="Z303" s="166">
        <v>4.9852280922139253E-2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570.22222222222217</v>
      </c>
      <c r="E304" s="67">
        <v>69048</v>
      </c>
      <c r="F304" s="146">
        <v>0</v>
      </c>
      <c r="G304" s="146">
        <v>0</v>
      </c>
      <c r="H304" s="91">
        <v>69048</v>
      </c>
      <c r="I304" s="67">
        <v>0</v>
      </c>
      <c r="J304" s="739">
        <v>69048</v>
      </c>
      <c r="K304" s="132" t="s">
        <v>621</v>
      </c>
      <c r="L304" s="740">
        <v>0</v>
      </c>
      <c r="M304" s="741">
        <v>570.22222222222217</v>
      </c>
      <c r="N304" s="67">
        <v>937</v>
      </c>
      <c r="O304" s="67">
        <v>69985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69985</v>
      </c>
      <c r="V304" s="71">
        <v>122.73285268901014</v>
      </c>
      <c r="W304" s="449">
        <v>69985</v>
      </c>
      <c r="X304" s="67">
        <v>71963</v>
      </c>
      <c r="Y304" s="163">
        <v>-1978</v>
      </c>
      <c r="Z304" s="166">
        <v>-2.7486347150619067E-2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167.86</v>
      </c>
      <c r="E305" s="67">
        <v>20326</v>
      </c>
      <c r="F305" s="146">
        <v>0</v>
      </c>
      <c r="G305" s="146">
        <v>0</v>
      </c>
      <c r="H305" s="91">
        <v>20326</v>
      </c>
      <c r="I305" s="67">
        <v>0</v>
      </c>
      <c r="J305" s="739">
        <v>20326</v>
      </c>
      <c r="K305" s="132" t="s">
        <v>621</v>
      </c>
      <c r="L305" s="740">
        <v>0</v>
      </c>
      <c r="M305" s="741">
        <v>167.86</v>
      </c>
      <c r="N305" s="67">
        <v>276</v>
      </c>
      <c r="O305" s="67">
        <v>20602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20602</v>
      </c>
      <c r="V305" s="71">
        <v>122.7332300726796</v>
      </c>
      <c r="W305" s="449">
        <v>20602</v>
      </c>
      <c r="X305" s="67">
        <v>20683</v>
      </c>
      <c r="Y305" s="163">
        <v>-81</v>
      </c>
      <c r="Z305" s="166">
        <v>-3.9162597302132189E-3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1717.4733333333334</v>
      </c>
      <c r="E306" s="67">
        <v>207968</v>
      </c>
      <c r="F306" s="146">
        <v>0</v>
      </c>
      <c r="G306" s="146">
        <v>0</v>
      </c>
      <c r="H306" s="91">
        <v>207968</v>
      </c>
      <c r="I306" s="67">
        <v>0</v>
      </c>
      <c r="J306" s="739">
        <v>207968</v>
      </c>
      <c r="K306" s="132" t="s">
        <v>621</v>
      </c>
      <c r="L306" s="740">
        <v>0</v>
      </c>
      <c r="M306" s="741">
        <v>1717.4733333333334</v>
      </c>
      <c r="N306" s="67">
        <v>2821</v>
      </c>
      <c r="O306" s="67">
        <v>210789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210789</v>
      </c>
      <c r="V306" s="71">
        <v>122.73203659639547</v>
      </c>
      <c r="W306" s="449">
        <v>210789</v>
      </c>
      <c r="X306" s="67">
        <v>204969</v>
      </c>
      <c r="Y306" s="163">
        <v>5820</v>
      </c>
      <c r="Z306" s="166">
        <v>2.8394537710580623E-2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378.15444444444449</v>
      </c>
      <c r="E307" s="67">
        <v>45791</v>
      </c>
      <c r="F307" s="146">
        <v>0</v>
      </c>
      <c r="G307" s="146">
        <v>0</v>
      </c>
      <c r="H307" s="91">
        <v>45791</v>
      </c>
      <c r="I307" s="67">
        <v>0</v>
      </c>
      <c r="J307" s="739">
        <v>45791</v>
      </c>
      <c r="K307" s="132" t="s">
        <v>621</v>
      </c>
      <c r="L307" s="740">
        <v>0</v>
      </c>
      <c r="M307" s="741">
        <v>378.15444444444449</v>
      </c>
      <c r="N307" s="67">
        <v>621</v>
      </c>
      <c r="O307" s="67">
        <v>46412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46412</v>
      </c>
      <c r="V307" s="71">
        <v>122.73292217465526</v>
      </c>
      <c r="W307" s="449">
        <v>46412</v>
      </c>
      <c r="X307" s="67">
        <v>49258</v>
      </c>
      <c r="Y307" s="163">
        <v>-2846</v>
      </c>
      <c r="Z307" s="166">
        <v>-5.7777416866295832E-2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480.82111111111112</v>
      </c>
      <c r="E308" s="67">
        <v>58222</v>
      </c>
      <c r="F308" s="146">
        <v>0</v>
      </c>
      <c r="G308" s="146">
        <v>0</v>
      </c>
      <c r="H308" s="91">
        <v>58222</v>
      </c>
      <c r="I308" s="67">
        <v>0</v>
      </c>
      <c r="J308" s="739">
        <v>58222</v>
      </c>
      <c r="K308" s="132" t="s">
        <v>621</v>
      </c>
      <c r="L308" s="740">
        <v>0</v>
      </c>
      <c r="M308" s="741">
        <v>480.82111111111112</v>
      </c>
      <c r="N308" s="67">
        <v>790</v>
      </c>
      <c r="O308" s="67">
        <v>59012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59012</v>
      </c>
      <c r="V308" s="71">
        <v>122.73171588417037</v>
      </c>
      <c r="W308" s="449">
        <v>59012</v>
      </c>
      <c r="X308" s="67">
        <v>57459</v>
      </c>
      <c r="Y308" s="163">
        <v>1553</v>
      </c>
      <c r="Z308" s="166">
        <v>2.702796776832176E-2</v>
      </c>
      <c r="AA308" s="34" t="s">
        <v>621</v>
      </c>
      <c r="AE308" s="452"/>
    </row>
    <row r="309" spans="1:37" s="29" customFormat="1">
      <c r="A309" s="64" t="s">
        <v>1666</v>
      </c>
      <c r="B309" s="36" t="s">
        <v>1660</v>
      </c>
      <c r="C309" s="23" t="s">
        <v>1661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132" t="s">
        <v>644</v>
      </c>
      <c r="L309" s="740">
        <v>0</v>
      </c>
      <c r="M309" s="741">
        <v>0</v>
      </c>
      <c r="N309" s="67">
        <v>0</v>
      </c>
      <c r="O309" s="67">
        <v>0</v>
      </c>
      <c r="P309" s="674"/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644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1666</v>
      </c>
      <c r="B310" s="802" t="s">
        <v>1682</v>
      </c>
      <c r="C310" s="23" t="s">
        <v>1683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644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644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1684</v>
      </c>
      <c r="C311" s="23" t="s">
        <v>1685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644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644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1686</v>
      </c>
      <c r="C312" s="23" t="s">
        <v>1687</v>
      </c>
      <c r="D312" s="134">
        <v>89.57</v>
      </c>
      <c r="E312" s="67">
        <v>10846</v>
      </c>
      <c r="F312" s="146">
        <v>0</v>
      </c>
      <c r="G312" s="146">
        <v>0</v>
      </c>
      <c r="H312" s="91">
        <v>10846</v>
      </c>
      <c r="I312" s="67">
        <v>0</v>
      </c>
      <c r="J312" s="739">
        <v>10846</v>
      </c>
      <c r="K312" s="132" t="s">
        <v>621</v>
      </c>
      <c r="L312" s="740">
        <v>0</v>
      </c>
      <c r="M312" s="741">
        <v>89.57</v>
      </c>
      <c r="N312" s="67">
        <v>147</v>
      </c>
      <c r="O312" s="67">
        <v>10993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10993</v>
      </c>
      <c r="V312" s="71">
        <v>122.73082505303115</v>
      </c>
      <c r="W312" s="449">
        <v>10993</v>
      </c>
      <c r="X312" s="67">
        <v>0</v>
      </c>
      <c r="Y312" s="163">
        <v>10993</v>
      </c>
      <c r="Z312" s="166">
        <v>0</v>
      </c>
      <c r="AA312" s="34" t="s">
        <v>621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1689</v>
      </c>
      <c r="C313" s="23" t="s">
        <v>1688</v>
      </c>
      <c r="D313" s="134">
        <v>24.57</v>
      </c>
      <c r="E313" s="67">
        <v>2975</v>
      </c>
      <c r="F313" s="146">
        <v>0</v>
      </c>
      <c r="G313" s="146">
        <v>0</v>
      </c>
      <c r="H313" s="91">
        <v>2975</v>
      </c>
      <c r="I313" s="67">
        <v>0</v>
      </c>
      <c r="J313" s="739">
        <v>2975</v>
      </c>
      <c r="K313" s="132" t="s">
        <v>644</v>
      </c>
      <c r="L313" s="740">
        <v>2975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36" t="s">
        <v>1690</v>
      </c>
      <c r="C314" s="23" t="s">
        <v>1695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132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1691</v>
      </c>
      <c r="C315" s="23" t="s">
        <v>1696</v>
      </c>
      <c r="D315" s="134">
        <v>6.72</v>
      </c>
      <c r="E315" s="67">
        <v>814</v>
      </c>
      <c r="F315" s="146">
        <v>0</v>
      </c>
      <c r="G315" s="146">
        <v>0</v>
      </c>
      <c r="H315" s="91">
        <v>814</v>
      </c>
      <c r="I315" s="67">
        <v>0</v>
      </c>
      <c r="J315" s="739">
        <v>814</v>
      </c>
      <c r="K315" s="132" t="s">
        <v>644</v>
      </c>
      <c r="L315" s="740">
        <v>814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802" t="s">
        <v>1701</v>
      </c>
      <c r="C316" s="23" t="s">
        <v>1697</v>
      </c>
      <c r="D316" s="134">
        <v>17</v>
      </c>
      <c r="E316" s="67">
        <v>2059</v>
      </c>
      <c r="F316" s="146">
        <v>0</v>
      </c>
      <c r="G316" s="146">
        <v>0</v>
      </c>
      <c r="H316" s="91">
        <v>2059</v>
      </c>
      <c r="I316" s="67">
        <v>0</v>
      </c>
      <c r="J316" s="739">
        <v>2059</v>
      </c>
      <c r="K316" s="132" t="s">
        <v>644</v>
      </c>
      <c r="L316" s="740">
        <v>2059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644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36" t="s">
        <v>1692</v>
      </c>
      <c r="C317" s="23" t="s">
        <v>1698</v>
      </c>
      <c r="D317" s="134">
        <v>8.14</v>
      </c>
      <c r="E317" s="67">
        <v>986</v>
      </c>
      <c r="F317" s="146">
        <v>0</v>
      </c>
      <c r="G317" s="146">
        <v>0</v>
      </c>
      <c r="H317" s="91">
        <v>986</v>
      </c>
      <c r="I317" s="67">
        <v>0</v>
      </c>
      <c r="J317" s="739">
        <v>986</v>
      </c>
      <c r="K317" s="132" t="s">
        <v>644</v>
      </c>
      <c r="L317" s="740">
        <v>986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1693</v>
      </c>
      <c r="C318" s="23" t="s">
        <v>1699</v>
      </c>
      <c r="D318" s="134">
        <v>21.71</v>
      </c>
      <c r="E318" s="67">
        <v>2629</v>
      </c>
      <c r="F318" s="146">
        <v>0</v>
      </c>
      <c r="G318" s="146">
        <v>0</v>
      </c>
      <c r="H318" s="91">
        <v>2629</v>
      </c>
      <c r="I318" s="67">
        <v>0</v>
      </c>
      <c r="J318" s="739">
        <v>2629</v>
      </c>
      <c r="K318" s="132" t="s">
        <v>644</v>
      </c>
      <c r="L318" s="740">
        <v>2629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1694</v>
      </c>
      <c r="C319" s="23" t="s">
        <v>1700</v>
      </c>
      <c r="D319" s="134">
        <v>10.57</v>
      </c>
      <c r="E319" s="67">
        <v>1280</v>
      </c>
      <c r="F319" s="146">
        <v>0</v>
      </c>
      <c r="G319" s="146">
        <v>0</v>
      </c>
      <c r="H319" s="91">
        <v>1280</v>
      </c>
      <c r="I319" s="67">
        <v>0</v>
      </c>
      <c r="J319" s="739">
        <v>1280</v>
      </c>
      <c r="K319" s="132" t="s">
        <v>644</v>
      </c>
      <c r="L319" s="740">
        <v>1280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644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812" t="s">
        <v>1715</v>
      </c>
      <c r="C320" s="543" t="s">
        <v>1718</v>
      </c>
      <c r="D320" s="134">
        <v>63.8</v>
      </c>
      <c r="E320" s="67">
        <v>7726</v>
      </c>
      <c r="F320" s="146">
        <v>0</v>
      </c>
      <c r="G320" s="146">
        <v>0</v>
      </c>
      <c r="H320" s="91">
        <v>7726</v>
      </c>
      <c r="I320" s="67">
        <v>0</v>
      </c>
      <c r="J320" s="739">
        <v>7726</v>
      </c>
      <c r="K320" s="132" t="s">
        <v>644</v>
      </c>
      <c r="L320" s="740">
        <v>7726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644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812" t="s">
        <v>1717</v>
      </c>
      <c r="C321" s="543" t="s">
        <v>1719</v>
      </c>
      <c r="D321" s="134">
        <v>15</v>
      </c>
      <c r="E321" s="67">
        <v>1816</v>
      </c>
      <c r="F321" s="146">
        <v>0</v>
      </c>
      <c r="G321" s="146">
        <v>0</v>
      </c>
      <c r="H321" s="91">
        <v>1816</v>
      </c>
      <c r="I321" s="67">
        <v>0</v>
      </c>
      <c r="J321" s="739">
        <v>1816</v>
      </c>
      <c r="K321" s="132" t="s">
        <v>644</v>
      </c>
      <c r="L321" s="740">
        <v>1816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23"/>
      <c r="B322" s="23"/>
      <c r="C322" s="23" t="s">
        <v>1667</v>
      </c>
      <c r="D322" s="134">
        <v>92845.258571428596</v>
      </c>
      <c r="E322" s="134">
        <v>15772396</v>
      </c>
      <c r="F322" s="134">
        <v>0</v>
      </c>
      <c r="G322" s="134">
        <v>0</v>
      </c>
      <c r="H322" s="134">
        <v>15772396</v>
      </c>
      <c r="I322" s="134">
        <v>0</v>
      </c>
      <c r="J322" s="134">
        <v>15772396</v>
      </c>
      <c r="K322" s="134">
        <v>0</v>
      </c>
      <c r="L322" s="134">
        <v>220502</v>
      </c>
      <c r="M322" s="134">
        <v>91547.265714285735</v>
      </c>
      <c r="N322" s="134">
        <v>220502</v>
      </c>
      <c r="O322" s="134">
        <v>15772396</v>
      </c>
      <c r="P322" s="134">
        <v>0</v>
      </c>
      <c r="Q322" s="134">
        <v>0</v>
      </c>
      <c r="R322" s="134"/>
      <c r="S322" s="134"/>
      <c r="T322" s="134"/>
      <c r="U322" s="134">
        <v>15772396</v>
      </c>
      <c r="V322" s="134">
        <v>26187.613120683553</v>
      </c>
      <c r="W322" s="134">
        <v>15772396</v>
      </c>
      <c r="X322" s="134">
        <v>15343280</v>
      </c>
      <c r="Y322" s="134">
        <v>429116</v>
      </c>
      <c r="Z322" s="134">
        <v>7.4110493323375719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</sheetData>
  <autoFilter ref="A8:AK322" xr:uid="{00000000-0009-0000-0000-000008000000}"/>
  <mergeCells count="4">
    <mergeCell ref="E2:H2"/>
    <mergeCell ref="I2:J2"/>
    <mergeCell ref="K2:O2"/>
    <mergeCell ref="R2:T2"/>
  </mergeCells>
  <conditionalFormatting sqref="L9:L321">
    <cfRule type="expression" dxfId="60" priority="20">
      <formula>AND($L9&gt;0,$K9="Yes")</formula>
    </cfRule>
  </conditionalFormatting>
  <conditionalFormatting sqref="C320:C321 C9:C309">
    <cfRule type="expression" dxfId="59" priority="19">
      <formula>AND($O9&lt;10000,$O9&gt;0,$K9="Y")</formula>
    </cfRule>
  </conditionalFormatting>
  <conditionalFormatting sqref="C310:C319">
    <cfRule type="expression" dxfId="58" priority="18">
      <formula>AND($O310&lt;10000,$O310&gt;0,$K310="Y")</formula>
    </cfRule>
  </conditionalFormatting>
  <conditionalFormatting sqref="AD9">
    <cfRule type="expression" dxfId="57" priority="17">
      <formula>AND(#REF!&lt;10000,#REF!&gt;0,$E10="Y")</formula>
    </cfRule>
  </conditionalFormatting>
  <conditionalFormatting sqref="AD10">
    <cfRule type="expression" dxfId="56" priority="16">
      <formula>AND(#REF!&lt;10000,#REF!&gt;0,$E20="Y")</formula>
    </cfRule>
  </conditionalFormatting>
  <conditionalFormatting sqref="AD11">
    <cfRule type="expression" dxfId="55" priority="15">
      <formula>AND(#REF!&lt;10000,#REF!&gt;0,$E37="Y")</formula>
    </cfRule>
  </conditionalFormatting>
  <conditionalFormatting sqref="AD12">
    <cfRule type="expression" dxfId="54" priority="14">
      <formula>AND(#REF!&lt;10000,#REF!&gt;0,$E39="Y")</formula>
    </cfRule>
  </conditionalFormatting>
  <conditionalFormatting sqref="AD13">
    <cfRule type="expression" dxfId="53" priority="13">
      <formula>AND(#REF!&lt;10000,#REF!&gt;0,$E44="Y")</formula>
    </cfRule>
  </conditionalFormatting>
  <conditionalFormatting sqref="AD14">
    <cfRule type="expression" dxfId="52" priority="12">
      <formula>AND(#REF!&lt;10000,#REF!&gt;0,$E51="Y")</formula>
    </cfRule>
  </conditionalFormatting>
  <conditionalFormatting sqref="AD15">
    <cfRule type="expression" dxfId="51" priority="11">
      <formula>AND(#REF!&lt;10000,#REF!&gt;0,$E66="Y")</formula>
    </cfRule>
  </conditionalFormatting>
  <conditionalFormatting sqref="AD16:AD17">
    <cfRule type="expression" dxfId="50" priority="10">
      <formula>AND(#REF!&lt;10000,#REF!&gt;0,$E69="Y")</formula>
    </cfRule>
  </conditionalFormatting>
  <conditionalFormatting sqref="AD18:AD19">
    <cfRule type="expression" dxfId="49" priority="9">
      <formula>AND(#REF!&lt;10000,#REF!&gt;0,$E72="Y")</formula>
    </cfRule>
  </conditionalFormatting>
  <conditionalFormatting sqref="AD20:AD21">
    <cfRule type="expression" dxfId="48" priority="8">
      <formula>AND(#REF!&lt;10000,#REF!&gt;0,$E76="Y")</formula>
    </cfRule>
  </conditionalFormatting>
  <conditionalFormatting sqref="AD22">
    <cfRule type="expression" dxfId="47" priority="7">
      <formula>AND(#REF!&lt;10000,#REF!&gt;0,$E83="Y")</formula>
    </cfRule>
  </conditionalFormatting>
  <conditionalFormatting sqref="AD23">
    <cfRule type="expression" dxfId="46" priority="6">
      <formula>AND(#REF!&lt;10000,#REF!&gt;0,#REF!="Y")</formula>
    </cfRule>
  </conditionalFormatting>
  <conditionalFormatting sqref="AD24">
    <cfRule type="expression" dxfId="45" priority="5">
      <formula>AND(#REF!&lt;10000,#REF!&gt;0,$E87="Y")</formula>
    </cfRule>
  </conditionalFormatting>
  <conditionalFormatting sqref="AD25">
    <cfRule type="expression" dxfId="44" priority="4">
      <formula>AND(#REF!&lt;10000,#REF!&gt;0,$E97="Y")</formula>
    </cfRule>
  </conditionalFormatting>
  <conditionalFormatting sqref="AD26">
    <cfRule type="expression" dxfId="43" priority="3">
      <formula>AND(#REF!&lt;10000,#REF!&gt;0,$E106="Y")</formula>
    </cfRule>
  </conditionalFormatting>
  <conditionalFormatting sqref="AD27:AD28">
    <cfRule type="expression" dxfId="42" priority="2">
      <formula>AND(#REF!&lt;10000,#REF!&gt;0,$E131="Y")</formula>
    </cfRule>
  </conditionalFormatting>
  <conditionalFormatting sqref="AD29">
    <cfRule type="expression" dxfId="41" priority="1">
      <formula>AND($O29&lt;10000,$O29&gt;0,$K29="Y")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K323"/>
  <sheetViews>
    <sheetView workbookViewId="0">
      <selection activeCell="K9" sqref="K9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672">
        <v>16</v>
      </c>
      <c r="R1" s="672">
        <v>17</v>
      </c>
      <c r="S1" s="672">
        <v>18</v>
      </c>
      <c r="T1" s="672">
        <v>19</v>
      </c>
      <c r="U1" s="672">
        <v>20</v>
      </c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236335</v>
      </c>
      <c r="O3" s="87">
        <v>15343281</v>
      </c>
      <c r="Q3" s="67"/>
      <c r="R3" s="67"/>
      <c r="S3" s="67"/>
      <c r="T3" s="67"/>
      <c r="U3" s="67"/>
      <c r="V3" s="151"/>
      <c r="W3" s="87">
        <v>15343281</v>
      </c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1711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15343281</v>
      </c>
      <c r="H6" s="133" t="s">
        <v>1713</v>
      </c>
      <c r="I6" s="68">
        <v>0</v>
      </c>
      <c r="J6" s="73"/>
      <c r="K6" s="220"/>
      <c r="L6" s="87">
        <v>10000</v>
      </c>
      <c r="M6" s="71"/>
      <c r="N6" s="69"/>
      <c r="O6" s="399" t="s">
        <v>1714</v>
      </c>
      <c r="Q6" s="67"/>
      <c r="R6" s="67"/>
      <c r="S6" s="67"/>
      <c r="T6" s="67"/>
      <c r="U6" s="399" t="s">
        <v>865</v>
      </c>
      <c r="W6" s="399" t="s">
        <v>1714</v>
      </c>
      <c r="AA6" s="27"/>
      <c r="AB6" s="26"/>
    </row>
    <row r="7" spans="1:37">
      <c r="A7" s="46"/>
      <c r="B7" s="47"/>
      <c r="C7" s="47" t="s">
        <v>620</v>
      </c>
      <c r="D7" s="67">
        <v>126110.69750000026</v>
      </c>
      <c r="E7" s="88">
        <v>121.66518228955135</v>
      </c>
      <c r="F7" s="72">
        <v>0</v>
      </c>
      <c r="G7" s="72">
        <v>0</v>
      </c>
      <c r="H7" s="161">
        <v>15343283</v>
      </c>
      <c r="I7" s="73">
        <v>0</v>
      </c>
      <c r="J7" s="73">
        <v>15343283</v>
      </c>
      <c r="K7" s="72"/>
      <c r="L7" s="88">
        <v>236335</v>
      </c>
      <c r="M7" s="67">
        <v>124168.17250000018</v>
      </c>
      <c r="N7" s="88">
        <v>236332</v>
      </c>
      <c r="O7" s="88">
        <v>15343280</v>
      </c>
      <c r="P7" s="677"/>
      <c r="Q7" s="88">
        <v>0</v>
      </c>
      <c r="R7" s="88">
        <v>0</v>
      </c>
      <c r="S7" s="88"/>
      <c r="T7" s="88">
        <v>16393</v>
      </c>
      <c r="U7" s="88">
        <v>15343280</v>
      </c>
      <c r="W7" s="88">
        <v>15343280</v>
      </c>
      <c r="X7" s="91">
        <v>15648376</v>
      </c>
      <c r="Y7" s="163">
        <v>-305096</v>
      </c>
      <c r="Z7" s="166">
        <v>-9.02630022938577E-3</v>
      </c>
      <c r="AA7" s="27">
        <v>21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126110.69750000026</v>
      </c>
      <c r="E8" s="529">
        <v>15343279</v>
      </c>
      <c r="F8" s="529">
        <v>0</v>
      </c>
      <c r="G8" s="529">
        <v>0</v>
      </c>
      <c r="H8" s="529">
        <v>15343283</v>
      </c>
      <c r="I8" s="529">
        <v>0</v>
      </c>
      <c r="J8" s="529">
        <v>15343283</v>
      </c>
      <c r="K8" s="529">
        <v>0</v>
      </c>
      <c r="L8" s="529">
        <v>236335</v>
      </c>
      <c r="M8" s="529">
        <v>124168.17250000018</v>
      </c>
      <c r="N8" s="529">
        <v>236332</v>
      </c>
      <c r="O8" s="529">
        <v>15343280</v>
      </c>
      <c r="P8" s="529"/>
      <c r="Q8" s="529">
        <v>0</v>
      </c>
      <c r="R8" s="529">
        <v>0</v>
      </c>
      <c r="S8" s="529"/>
      <c r="T8" s="529"/>
      <c r="U8" s="529">
        <v>15343280</v>
      </c>
      <c r="V8" s="531"/>
      <c r="W8" s="529">
        <v>15343280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724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 t="s">
        <v>723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C9" s="809" t="s">
        <v>195</v>
      </c>
      <c r="AD9" s="784" t="s">
        <v>1362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724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 t="s">
        <v>723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724</v>
      </c>
      <c r="AC10" s="809" t="s">
        <v>230</v>
      </c>
      <c r="AD10" s="784" t="s">
        <v>1471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1868.0050000000001</v>
      </c>
      <c r="E11" s="67">
        <v>227271</v>
      </c>
      <c r="F11" s="146">
        <v>0</v>
      </c>
      <c r="G11" s="146">
        <v>0</v>
      </c>
      <c r="H11" s="91">
        <v>227271</v>
      </c>
      <c r="I11" s="67">
        <v>0</v>
      </c>
      <c r="J11" s="739">
        <v>227271</v>
      </c>
      <c r="K11" s="132" t="s">
        <v>621</v>
      </c>
      <c r="L11" s="740">
        <v>0</v>
      </c>
      <c r="M11" s="741">
        <v>1868.0050000000001</v>
      </c>
      <c r="N11" s="67">
        <v>3555</v>
      </c>
      <c r="O11" s="67">
        <v>230826</v>
      </c>
      <c r="Q11" s="674">
        <v>0</v>
      </c>
      <c r="R11" s="674">
        <v>0</v>
      </c>
      <c r="S11" s="798" t="s">
        <v>621</v>
      </c>
      <c r="T11" s="798">
        <v>569.25</v>
      </c>
      <c r="U11" s="88">
        <v>230826</v>
      </c>
      <c r="V11" s="71">
        <v>123.56819173396217</v>
      </c>
      <c r="W11" s="449">
        <v>230826</v>
      </c>
      <c r="X11" s="67">
        <v>241539</v>
      </c>
      <c r="Y11" s="163">
        <v>-10713</v>
      </c>
      <c r="Z11" s="166">
        <v>-4.4353085837069789E-2</v>
      </c>
      <c r="AA11" s="34" t="s">
        <v>724</v>
      </c>
      <c r="AC11" s="809" t="s">
        <v>353</v>
      </c>
      <c r="AD11" s="784" t="s">
        <v>1528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33.5</v>
      </c>
      <c r="E12" s="67">
        <v>4076</v>
      </c>
      <c r="F12" s="146">
        <v>0</v>
      </c>
      <c r="G12" s="146">
        <v>0</v>
      </c>
      <c r="H12" s="91">
        <v>4076</v>
      </c>
      <c r="I12" s="67">
        <v>0</v>
      </c>
      <c r="J12" s="739">
        <v>4076</v>
      </c>
      <c r="K12" s="132" t="s">
        <v>724</v>
      </c>
      <c r="L12" s="740">
        <v>4076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 t="s">
        <v>723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621</v>
      </c>
      <c r="AC12" s="809" t="s">
        <v>222</v>
      </c>
      <c r="AD12" s="784" t="s">
        <v>1467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1</v>
      </c>
      <c r="E13" s="67">
        <v>122</v>
      </c>
      <c r="F13" s="146">
        <v>0</v>
      </c>
      <c r="G13" s="146">
        <v>0</v>
      </c>
      <c r="H13" s="91">
        <v>122</v>
      </c>
      <c r="I13" s="67">
        <v>0</v>
      </c>
      <c r="J13" s="739">
        <v>122</v>
      </c>
      <c r="K13" s="132" t="s">
        <v>724</v>
      </c>
      <c r="L13" s="740">
        <v>122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 t="s">
        <v>723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724</v>
      </c>
      <c r="AC13" s="809" t="s">
        <v>246</v>
      </c>
      <c r="AD13" s="784" t="s">
        <v>1479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26.13</v>
      </c>
      <c r="E14" s="67">
        <v>3179</v>
      </c>
      <c r="F14" s="146">
        <v>0</v>
      </c>
      <c r="G14" s="146">
        <v>0</v>
      </c>
      <c r="H14" s="91">
        <v>3179</v>
      </c>
      <c r="I14" s="67">
        <v>0</v>
      </c>
      <c r="J14" s="739">
        <v>3179</v>
      </c>
      <c r="K14" s="132" t="s">
        <v>724</v>
      </c>
      <c r="L14" s="740">
        <v>3179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 t="s">
        <v>723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724</v>
      </c>
      <c r="AC14" s="809" t="s">
        <v>228</v>
      </c>
      <c r="AD14" s="784" t="s">
        <v>1470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724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 t="s">
        <v>723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724</v>
      </c>
      <c r="AC15" s="809" t="s">
        <v>258</v>
      </c>
      <c r="AD15" s="784" t="s">
        <v>1356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2764.25</v>
      </c>
      <c r="E16" s="67">
        <v>336313</v>
      </c>
      <c r="F16" s="146">
        <v>0</v>
      </c>
      <c r="G16" s="146">
        <v>0</v>
      </c>
      <c r="H16" s="91">
        <v>336313</v>
      </c>
      <c r="I16" s="67">
        <v>0</v>
      </c>
      <c r="J16" s="739">
        <v>336313</v>
      </c>
      <c r="K16" s="132" t="s">
        <v>621</v>
      </c>
      <c r="L16" s="740">
        <v>0</v>
      </c>
      <c r="M16" s="741">
        <v>2764.25</v>
      </c>
      <c r="N16" s="67">
        <v>5261</v>
      </c>
      <c r="O16" s="67">
        <v>341574</v>
      </c>
      <c r="Q16" s="674">
        <v>0</v>
      </c>
      <c r="R16" s="674">
        <v>0</v>
      </c>
      <c r="S16" s="798" t="s">
        <v>644</v>
      </c>
      <c r="T16" s="798">
        <v>0</v>
      </c>
      <c r="U16" s="88">
        <v>341574</v>
      </c>
      <c r="V16" s="71">
        <v>123.56841819661753</v>
      </c>
      <c r="W16" s="449">
        <v>341574</v>
      </c>
      <c r="X16" s="67">
        <v>357425</v>
      </c>
      <c r="Y16" s="163">
        <v>-15851</v>
      </c>
      <c r="Z16" s="166">
        <v>-4.4347765265440299E-2</v>
      </c>
      <c r="AA16" s="34" t="s">
        <v>724</v>
      </c>
      <c r="AC16" s="809" t="s">
        <v>545</v>
      </c>
      <c r="AD16" s="784" t="s">
        <v>1621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36.630000000000003</v>
      </c>
      <c r="E17" s="67">
        <v>4457</v>
      </c>
      <c r="F17" s="146">
        <v>0</v>
      </c>
      <c r="G17" s="146">
        <v>0</v>
      </c>
      <c r="H17" s="91">
        <v>4457</v>
      </c>
      <c r="I17" s="67">
        <v>0</v>
      </c>
      <c r="J17" s="739">
        <v>4457</v>
      </c>
      <c r="K17" s="132" t="s">
        <v>724</v>
      </c>
      <c r="L17" s="740">
        <v>4457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 t="s">
        <v>723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621</v>
      </c>
      <c r="AC17" s="809" t="s">
        <v>331</v>
      </c>
      <c r="AD17" s="784" t="s">
        <v>1516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314.25</v>
      </c>
      <c r="E18" s="67">
        <v>38233</v>
      </c>
      <c r="F18" s="146">
        <v>0</v>
      </c>
      <c r="G18" s="146">
        <v>0</v>
      </c>
      <c r="H18" s="91">
        <v>38233</v>
      </c>
      <c r="I18" s="67">
        <v>0</v>
      </c>
      <c r="J18" s="739">
        <v>38233</v>
      </c>
      <c r="K18" s="132" t="s">
        <v>621</v>
      </c>
      <c r="L18" s="740">
        <v>0</v>
      </c>
      <c r="M18" s="741">
        <v>314.25</v>
      </c>
      <c r="N18" s="67">
        <v>598</v>
      </c>
      <c r="O18" s="67">
        <v>38831</v>
      </c>
      <c r="Q18" s="674">
        <v>0</v>
      </c>
      <c r="R18" s="674">
        <v>0</v>
      </c>
      <c r="S18" s="798" t="s">
        <v>621</v>
      </c>
      <c r="T18" s="798">
        <v>107.875</v>
      </c>
      <c r="U18" s="88">
        <v>38831</v>
      </c>
      <c r="V18" s="71">
        <v>123.56722354813047</v>
      </c>
      <c r="W18" s="449">
        <v>38831</v>
      </c>
      <c r="X18" s="67">
        <v>40634</v>
      </c>
      <c r="Y18" s="163">
        <v>-1803</v>
      </c>
      <c r="Z18" s="166">
        <v>-4.4371708421518927E-2</v>
      </c>
      <c r="AA18" s="34" t="s">
        <v>724</v>
      </c>
      <c r="AC18" s="809" t="s">
        <v>325</v>
      </c>
      <c r="AD18" s="784" t="s">
        <v>712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160.25</v>
      </c>
      <c r="E19" s="67">
        <v>19497</v>
      </c>
      <c r="F19" s="146">
        <v>0</v>
      </c>
      <c r="G19" s="146">
        <v>0</v>
      </c>
      <c r="H19" s="91">
        <v>19497</v>
      </c>
      <c r="I19" s="67">
        <v>0</v>
      </c>
      <c r="J19" s="739">
        <v>19497</v>
      </c>
      <c r="K19" s="132" t="s">
        <v>621</v>
      </c>
      <c r="L19" s="740">
        <v>0</v>
      </c>
      <c r="M19" s="741">
        <v>160.25</v>
      </c>
      <c r="N19" s="67">
        <v>305</v>
      </c>
      <c r="O19" s="67">
        <v>19802</v>
      </c>
      <c r="Q19" s="674">
        <v>0</v>
      </c>
      <c r="R19" s="674">
        <v>0</v>
      </c>
      <c r="S19" s="798" t="s">
        <v>621</v>
      </c>
      <c r="T19" s="798">
        <v>64.75</v>
      </c>
      <c r="U19" s="88">
        <v>19802</v>
      </c>
      <c r="V19" s="71">
        <v>123.56942277691108</v>
      </c>
      <c r="W19" s="449">
        <v>19802</v>
      </c>
      <c r="X19" s="67">
        <v>20721</v>
      </c>
      <c r="Y19" s="163">
        <v>-919</v>
      </c>
      <c r="Z19" s="166">
        <v>-4.435114135418175E-2</v>
      </c>
      <c r="AA19" s="34" t="s">
        <v>621</v>
      </c>
      <c r="AC19" s="809" t="s">
        <v>153</v>
      </c>
      <c r="AD19" s="784" t="s">
        <v>1438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630.5</v>
      </c>
      <c r="E20" s="67">
        <v>76710</v>
      </c>
      <c r="F20" s="146">
        <v>0</v>
      </c>
      <c r="G20" s="146">
        <v>0</v>
      </c>
      <c r="H20" s="91">
        <v>76710</v>
      </c>
      <c r="I20" s="67">
        <v>0</v>
      </c>
      <c r="J20" s="739">
        <v>76710</v>
      </c>
      <c r="K20" s="132" t="s">
        <v>621</v>
      </c>
      <c r="L20" s="740">
        <v>0</v>
      </c>
      <c r="M20" s="741">
        <v>630.5</v>
      </c>
      <c r="N20" s="67">
        <v>1200</v>
      </c>
      <c r="O20" s="67">
        <v>77910</v>
      </c>
      <c r="Q20" s="674">
        <v>0</v>
      </c>
      <c r="R20" s="674">
        <v>0</v>
      </c>
      <c r="S20" s="798" t="s">
        <v>621</v>
      </c>
      <c r="T20" s="798">
        <v>191.5</v>
      </c>
      <c r="U20" s="88">
        <v>77910</v>
      </c>
      <c r="V20" s="71">
        <v>123.56859635210151</v>
      </c>
      <c r="W20" s="449">
        <v>77910</v>
      </c>
      <c r="X20" s="67">
        <v>81526</v>
      </c>
      <c r="Y20" s="163">
        <v>-3616</v>
      </c>
      <c r="Z20" s="166">
        <v>-4.4353948433628533E-2</v>
      </c>
      <c r="AA20" s="34" t="s">
        <v>621</v>
      </c>
      <c r="AC20" s="809" t="s">
        <v>270</v>
      </c>
      <c r="AD20" s="784" t="s">
        <v>1489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607.88</v>
      </c>
      <c r="E21" s="67">
        <v>73958</v>
      </c>
      <c r="F21" s="146">
        <v>0</v>
      </c>
      <c r="G21" s="146">
        <v>0</v>
      </c>
      <c r="H21" s="91">
        <v>73958</v>
      </c>
      <c r="I21" s="67">
        <v>0</v>
      </c>
      <c r="J21" s="739">
        <v>73958</v>
      </c>
      <c r="K21" s="132" t="s">
        <v>621</v>
      </c>
      <c r="L21" s="740">
        <v>0</v>
      </c>
      <c r="M21" s="741">
        <v>607.88</v>
      </c>
      <c r="N21" s="67">
        <v>1157</v>
      </c>
      <c r="O21" s="67">
        <v>75115</v>
      </c>
      <c r="Q21" s="674">
        <v>0</v>
      </c>
      <c r="R21" s="674">
        <v>0</v>
      </c>
      <c r="S21" s="798" t="s">
        <v>644</v>
      </c>
      <c r="T21" s="798">
        <v>0</v>
      </c>
      <c r="U21" s="88">
        <v>75115</v>
      </c>
      <c r="V21" s="71">
        <v>123.5687964729881</v>
      </c>
      <c r="W21" s="449">
        <v>75115</v>
      </c>
      <c r="X21" s="67">
        <v>78601</v>
      </c>
      <c r="Y21" s="163">
        <v>-3486</v>
      </c>
      <c r="Z21" s="166">
        <v>-4.4350580781414996E-2</v>
      </c>
      <c r="AA21" s="34" t="s">
        <v>621</v>
      </c>
      <c r="AC21" s="809" t="s">
        <v>372</v>
      </c>
      <c r="AD21" s="784" t="s">
        <v>1538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278.13</v>
      </c>
      <c r="E22" s="67">
        <v>33839</v>
      </c>
      <c r="F22" s="146">
        <v>0</v>
      </c>
      <c r="G22" s="146">
        <v>0</v>
      </c>
      <c r="H22" s="91">
        <v>33839</v>
      </c>
      <c r="I22" s="67">
        <v>0</v>
      </c>
      <c r="J22" s="739">
        <v>33839</v>
      </c>
      <c r="K22" s="132" t="s">
        <v>621</v>
      </c>
      <c r="L22" s="740">
        <v>0</v>
      </c>
      <c r="M22" s="741">
        <v>278.13</v>
      </c>
      <c r="N22" s="67">
        <v>529</v>
      </c>
      <c r="O22" s="67">
        <v>34368</v>
      </c>
      <c r="Q22" s="674">
        <v>0</v>
      </c>
      <c r="R22" s="674">
        <v>0</v>
      </c>
      <c r="S22" s="798" t="s">
        <v>621</v>
      </c>
      <c r="T22" s="798">
        <v>106.375</v>
      </c>
      <c r="U22" s="88">
        <v>34368</v>
      </c>
      <c r="V22" s="71">
        <v>123.56811562938195</v>
      </c>
      <c r="W22" s="449">
        <v>34368</v>
      </c>
      <c r="X22" s="67">
        <v>35963</v>
      </c>
      <c r="Y22" s="163">
        <v>-1595</v>
      </c>
      <c r="Z22" s="166">
        <v>-4.4351138670300029E-2</v>
      </c>
      <c r="AA22" s="34" t="s">
        <v>621</v>
      </c>
      <c r="AC22" s="809" t="s">
        <v>145</v>
      </c>
      <c r="AD22" s="784" t="s">
        <v>607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724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 t="s">
        <v>723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621</v>
      </c>
      <c r="AC23" s="809" t="s">
        <v>327</v>
      </c>
      <c r="AD23" s="784" t="s">
        <v>1514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40.5</v>
      </c>
      <c r="E24" s="67">
        <v>4927</v>
      </c>
      <c r="F24" s="146">
        <v>0</v>
      </c>
      <c r="G24" s="146">
        <v>0</v>
      </c>
      <c r="H24" s="91">
        <v>4927</v>
      </c>
      <c r="I24" s="67">
        <v>0</v>
      </c>
      <c r="J24" s="739">
        <v>4927</v>
      </c>
      <c r="K24" s="132" t="s">
        <v>621</v>
      </c>
      <c r="L24" s="740">
        <v>4927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723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724</v>
      </c>
      <c r="AC24" s="67" t="s">
        <v>375</v>
      </c>
      <c r="AD24" s="784" t="s">
        <v>1269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420.38</v>
      </c>
      <c r="E25" s="67">
        <v>51146</v>
      </c>
      <c r="F25" s="146">
        <v>0</v>
      </c>
      <c r="G25" s="146">
        <v>0</v>
      </c>
      <c r="H25" s="91">
        <v>51146</v>
      </c>
      <c r="I25" s="67">
        <v>0</v>
      </c>
      <c r="J25" s="739">
        <v>51146</v>
      </c>
      <c r="K25" s="132" t="s">
        <v>621</v>
      </c>
      <c r="L25" s="740">
        <v>0</v>
      </c>
      <c r="M25" s="741">
        <v>420.38</v>
      </c>
      <c r="N25" s="67">
        <v>800</v>
      </c>
      <c r="O25" s="67">
        <v>51946</v>
      </c>
      <c r="Q25" s="674">
        <v>0</v>
      </c>
      <c r="R25" s="674">
        <v>0</v>
      </c>
      <c r="S25" s="798" t="s">
        <v>621</v>
      </c>
      <c r="T25" s="798">
        <v>160.375</v>
      </c>
      <c r="U25" s="88">
        <v>51946</v>
      </c>
      <c r="V25" s="71">
        <v>123.56915171987249</v>
      </c>
      <c r="W25" s="449">
        <v>51946</v>
      </c>
      <c r="X25" s="67">
        <v>54356</v>
      </c>
      <c r="Y25" s="163">
        <v>-2410</v>
      </c>
      <c r="Z25" s="166">
        <v>-4.4337331665317538E-2</v>
      </c>
      <c r="AA25" s="34" t="s">
        <v>621</v>
      </c>
      <c r="AC25" s="67" t="s">
        <v>486</v>
      </c>
      <c r="AD25" s="784" t="s">
        <v>1594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254.63</v>
      </c>
      <c r="E26" s="67">
        <v>30980</v>
      </c>
      <c r="F26" s="146">
        <v>0</v>
      </c>
      <c r="G26" s="146">
        <v>0</v>
      </c>
      <c r="H26" s="91">
        <v>30980</v>
      </c>
      <c r="I26" s="67">
        <v>0</v>
      </c>
      <c r="J26" s="739">
        <v>30980</v>
      </c>
      <c r="K26" s="132" t="s">
        <v>621</v>
      </c>
      <c r="L26" s="740">
        <v>0</v>
      </c>
      <c r="M26" s="741">
        <v>254.63</v>
      </c>
      <c r="N26" s="67">
        <v>485</v>
      </c>
      <c r="O26" s="67">
        <v>31465</v>
      </c>
      <c r="Q26" s="674">
        <v>0</v>
      </c>
      <c r="R26" s="674">
        <v>0</v>
      </c>
      <c r="S26" s="798" t="s">
        <v>621</v>
      </c>
      <c r="T26" s="798">
        <v>67.25</v>
      </c>
      <c r="U26" s="88">
        <v>31465</v>
      </c>
      <c r="V26" s="71">
        <v>123.57145662333582</v>
      </c>
      <c r="W26" s="449">
        <v>31465</v>
      </c>
      <c r="X26" s="67">
        <v>32924</v>
      </c>
      <c r="Y26" s="163">
        <v>-1459</v>
      </c>
      <c r="Z26" s="166">
        <v>-4.4314178107155877E-2</v>
      </c>
      <c r="AA26" s="34" t="s">
        <v>621</v>
      </c>
      <c r="AC26" s="67" t="s">
        <v>452</v>
      </c>
      <c r="AD26" s="784" t="s">
        <v>1578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182.88</v>
      </c>
      <c r="E27" s="67">
        <v>22250</v>
      </c>
      <c r="F27" s="146">
        <v>0</v>
      </c>
      <c r="G27" s="146">
        <v>0</v>
      </c>
      <c r="H27" s="91">
        <v>22250</v>
      </c>
      <c r="I27" s="67">
        <v>0</v>
      </c>
      <c r="J27" s="739">
        <v>22250</v>
      </c>
      <c r="K27" s="132" t="s">
        <v>621</v>
      </c>
      <c r="L27" s="740">
        <v>0</v>
      </c>
      <c r="M27" s="741">
        <v>182.88</v>
      </c>
      <c r="N27" s="67">
        <v>348</v>
      </c>
      <c r="O27" s="67">
        <v>22598</v>
      </c>
      <c r="Q27" s="674">
        <v>0</v>
      </c>
      <c r="R27" s="674">
        <v>0</v>
      </c>
      <c r="S27" s="798" t="s">
        <v>644</v>
      </c>
      <c r="T27" s="798">
        <v>0</v>
      </c>
      <c r="U27" s="88">
        <v>22598</v>
      </c>
      <c r="V27" s="71">
        <v>123.5673665791776</v>
      </c>
      <c r="W27" s="449">
        <v>22598</v>
      </c>
      <c r="X27" s="67">
        <v>23647</v>
      </c>
      <c r="Y27" s="163">
        <v>-1049</v>
      </c>
      <c r="Z27" s="166">
        <v>-4.4360806867678779E-2</v>
      </c>
      <c r="AA27" s="34" t="s">
        <v>621</v>
      </c>
      <c r="AC27" s="67" t="s">
        <v>100</v>
      </c>
      <c r="AD27" s="784" t="s">
        <v>1414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1954.63</v>
      </c>
      <c r="E28" s="67">
        <v>237810</v>
      </c>
      <c r="F28" s="146">
        <v>0</v>
      </c>
      <c r="G28" s="146">
        <v>0</v>
      </c>
      <c r="H28" s="91">
        <v>237810</v>
      </c>
      <c r="I28" s="67">
        <v>0</v>
      </c>
      <c r="J28" s="739">
        <v>237810</v>
      </c>
      <c r="K28" s="132" t="s">
        <v>621</v>
      </c>
      <c r="L28" s="740">
        <v>0</v>
      </c>
      <c r="M28" s="741">
        <v>1954.63</v>
      </c>
      <c r="N28" s="67">
        <v>3720</v>
      </c>
      <c r="O28" s="67">
        <v>241530</v>
      </c>
      <c r="Q28" s="674">
        <v>0</v>
      </c>
      <c r="R28" s="674">
        <v>0</v>
      </c>
      <c r="S28" s="798" t="s">
        <v>621</v>
      </c>
      <c r="T28" s="798">
        <v>656</v>
      </c>
      <c r="U28" s="88">
        <v>241530</v>
      </c>
      <c r="V28" s="71">
        <v>123.56814333147449</v>
      </c>
      <c r="W28" s="449">
        <v>241530</v>
      </c>
      <c r="X28" s="67">
        <v>252739</v>
      </c>
      <c r="Y28" s="163">
        <v>-11209</v>
      </c>
      <c r="Z28" s="166">
        <v>-4.4350100301101134E-2</v>
      </c>
      <c r="AA28" s="34" t="s">
        <v>621</v>
      </c>
      <c r="AC28" s="67" t="s">
        <v>373</v>
      </c>
      <c r="AD28" s="784" t="s">
        <v>1539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46.25</v>
      </c>
      <c r="E29" s="67">
        <v>5627</v>
      </c>
      <c r="F29" s="146">
        <v>0</v>
      </c>
      <c r="G29" s="146">
        <v>0</v>
      </c>
      <c r="H29" s="91">
        <v>5627</v>
      </c>
      <c r="I29" s="67">
        <v>0</v>
      </c>
      <c r="J29" s="739">
        <v>5627</v>
      </c>
      <c r="K29" s="132" t="s">
        <v>644</v>
      </c>
      <c r="L29" s="740">
        <v>5627</v>
      </c>
      <c r="M29" s="741">
        <v>0</v>
      </c>
      <c r="N29" s="67">
        <v>0</v>
      </c>
      <c r="O29" s="67">
        <v>0</v>
      </c>
      <c r="Q29" s="674">
        <v>0</v>
      </c>
      <c r="R29" s="674">
        <v>0</v>
      </c>
      <c r="S29" s="798" t="s">
        <v>723</v>
      </c>
      <c r="T29" s="798">
        <v>0</v>
      </c>
      <c r="U29" s="88">
        <v>0</v>
      </c>
      <c r="V29" s="71">
        <v>0</v>
      </c>
      <c r="W29" s="449">
        <v>0</v>
      </c>
      <c r="X29" s="67">
        <v>5980</v>
      </c>
      <c r="Y29" s="163">
        <v>-5980</v>
      </c>
      <c r="Z29" s="166">
        <v>-1</v>
      </c>
      <c r="AA29" s="34" t="s">
        <v>621</v>
      </c>
      <c r="AC29" s="811" t="s">
        <v>382</v>
      </c>
      <c r="AD29" s="811" t="s">
        <v>1542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724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 t="s">
        <v>723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43.63</v>
      </c>
      <c r="E31" s="67">
        <v>5308</v>
      </c>
      <c r="F31" s="146">
        <v>0</v>
      </c>
      <c r="G31" s="146">
        <v>0</v>
      </c>
      <c r="H31" s="91">
        <v>5308</v>
      </c>
      <c r="I31" s="67">
        <v>0</v>
      </c>
      <c r="J31" s="739">
        <v>5308</v>
      </c>
      <c r="K31" s="132" t="s">
        <v>724</v>
      </c>
      <c r="L31" s="740">
        <v>5308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98" t="s">
        <v>723</v>
      </c>
      <c r="T31" s="798">
        <v>0</v>
      </c>
      <c r="U31" s="88">
        <v>0</v>
      </c>
      <c r="V31" s="71">
        <v>0</v>
      </c>
      <c r="W31" s="449">
        <v>0</v>
      </c>
      <c r="X31" s="67">
        <v>5641</v>
      </c>
      <c r="Y31" s="163">
        <v>-5641</v>
      </c>
      <c r="Z31" s="166">
        <v>-1</v>
      </c>
      <c r="AA31" s="34" t="s">
        <v>724</v>
      </c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0.63</v>
      </c>
      <c r="E32" s="67">
        <v>77</v>
      </c>
      <c r="F32" s="146">
        <v>0</v>
      </c>
      <c r="G32" s="146">
        <v>0</v>
      </c>
      <c r="H32" s="91">
        <v>77</v>
      </c>
      <c r="I32" s="67">
        <v>0</v>
      </c>
      <c r="J32" s="739">
        <v>77</v>
      </c>
      <c r="K32" s="132" t="s">
        <v>724</v>
      </c>
      <c r="L32" s="740">
        <v>77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 t="s">
        <v>723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724</v>
      </c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136.25</v>
      </c>
      <c r="E33" s="67">
        <v>16577</v>
      </c>
      <c r="F33" s="146">
        <v>0</v>
      </c>
      <c r="G33" s="146">
        <v>0</v>
      </c>
      <c r="H33" s="91">
        <v>16577</v>
      </c>
      <c r="I33" s="67">
        <v>0</v>
      </c>
      <c r="J33" s="739">
        <v>16577</v>
      </c>
      <c r="K33" s="132" t="s">
        <v>621</v>
      </c>
      <c r="L33" s="740">
        <v>0</v>
      </c>
      <c r="M33" s="741">
        <v>136.25</v>
      </c>
      <c r="N33" s="67">
        <v>259</v>
      </c>
      <c r="O33" s="67">
        <v>16836</v>
      </c>
      <c r="Q33" s="674">
        <v>0</v>
      </c>
      <c r="R33" s="674">
        <v>0</v>
      </c>
      <c r="S33" s="798" t="s">
        <v>621</v>
      </c>
      <c r="T33" s="798">
        <v>80.375</v>
      </c>
      <c r="U33" s="88">
        <v>16836</v>
      </c>
      <c r="V33" s="71">
        <v>123.56697247706423</v>
      </c>
      <c r="W33" s="449">
        <v>16836</v>
      </c>
      <c r="X33" s="67">
        <v>17618</v>
      </c>
      <c r="Y33" s="163">
        <v>-782</v>
      </c>
      <c r="Z33" s="166">
        <v>-4.4386422976501305E-2</v>
      </c>
      <c r="AA33" s="34" t="s">
        <v>724</v>
      </c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3125.63</v>
      </c>
      <c r="E34" s="67">
        <v>380280</v>
      </c>
      <c r="F34" s="146">
        <v>0</v>
      </c>
      <c r="G34" s="146">
        <v>0</v>
      </c>
      <c r="H34" s="91">
        <v>380280</v>
      </c>
      <c r="I34" s="67">
        <v>0</v>
      </c>
      <c r="J34" s="739">
        <v>380280</v>
      </c>
      <c r="K34" s="132" t="s">
        <v>621</v>
      </c>
      <c r="L34" s="740">
        <v>0</v>
      </c>
      <c r="M34" s="741">
        <v>3125.63</v>
      </c>
      <c r="N34" s="67">
        <v>5949</v>
      </c>
      <c r="O34" s="67">
        <v>386229</v>
      </c>
      <c r="Q34" s="674">
        <v>0</v>
      </c>
      <c r="R34" s="674">
        <v>0</v>
      </c>
      <c r="S34" s="798" t="s">
        <v>644</v>
      </c>
      <c r="T34" s="798">
        <v>0</v>
      </c>
      <c r="U34" s="88">
        <v>386229</v>
      </c>
      <c r="V34" s="71">
        <v>123.56836861688683</v>
      </c>
      <c r="W34" s="449">
        <v>386229</v>
      </c>
      <c r="X34" s="67">
        <v>404153</v>
      </c>
      <c r="Y34" s="163">
        <v>-17924</v>
      </c>
      <c r="Z34" s="166">
        <v>-4.4349540891692005E-2</v>
      </c>
      <c r="AA34" s="34" t="s">
        <v>621</v>
      </c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33.130000000000003</v>
      </c>
      <c r="E35" s="67">
        <v>4031</v>
      </c>
      <c r="F35" s="146">
        <v>0</v>
      </c>
      <c r="G35" s="146">
        <v>0</v>
      </c>
      <c r="H35" s="91">
        <v>4031</v>
      </c>
      <c r="I35" s="67">
        <v>0</v>
      </c>
      <c r="J35" s="739">
        <v>4031</v>
      </c>
      <c r="K35" s="132" t="s">
        <v>724</v>
      </c>
      <c r="L35" s="740">
        <v>4031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98" t="s">
        <v>723</v>
      </c>
      <c r="T35" s="798">
        <v>0</v>
      </c>
      <c r="U35" s="88">
        <v>0</v>
      </c>
      <c r="V35" s="71">
        <v>0</v>
      </c>
      <c r="W35" s="449">
        <v>0</v>
      </c>
      <c r="X35" s="67">
        <v>0</v>
      </c>
      <c r="Y35" s="163">
        <v>0</v>
      </c>
      <c r="Z35" s="166">
        <v>0</v>
      </c>
      <c r="AA35" s="34" t="s">
        <v>621</v>
      </c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37.130000000000003</v>
      </c>
      <c r="E36" s="67">
        <v>4517</v>
      </c>
      <c r="F36" s="146">
        <v>0</v>
      </c>
      <c r="G36" s="146">
        <v>0</v>
      </c>
      <c r="H36" s="91">
        <v>4517</v>
      </c>
      <c r="I36" s="67">
        <v>0</v>
      </c>
      <c r="J36" s="739">
        <v>4517</v>
      </c>
      <c r="K36" s="132" t="s">
        <v>644</v>
      </c>
      <c r="L36" s="740">
        <v>4517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98" t="s">
        <v>723</v>
      </c>
      <c r="T36" s="798">
        <v>0</v>
      </c>
      <c r="U36" s="88">
        <v>0</v>
      </c>
      <c r="V36" s="71">
        <v>0</v>
      </c>
      <c r="W36" s="449">
        <v>0</v>
      </c>
      <c r="X36" s="67">
        <v>4801</v>
      </c>
      <c r="Y36" s="163">
        <v>-4801</v>
      </c>
      <c r="Z36" s="166">
        <v>-1</v>
      </c>
      <c r="AA36" s="34" t="s">
        <v>724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724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 t="s">
        <v>723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93.63</v>
      </c>
      <c r="E38" s="67">
        <v>11392</v>
      </c>
      <c r="F38" s="146">
        <v>0</v>
      </c>
      <c r="G38" s="146">
        <v>0</v>
      </c>
      <c r="H38" s="91">
        <v>11392</v>
      </c>
      <c r="I38" s="67">
        <v>0</v>
      </c>
      <c r="J38" s="739">
        <v>11392</v>
      </c>
      <c r="K38" s="132" t="s">
        <v>644</v>
      </c>
      <c r="L38" s="740">
        <v>11392</v>
      </c>
      <c r="M38" s="741">
        <v>0</v>
      </c>
      <c r="N38" s="67">
        <v>0</v>
      </c>
      <c r="O38" s="67">
        <v>0</v>
      </c>
      <c r="Q38" s="674">
        <v>0</v>
      </c>
      <c r="R38" s="674">
        <v>0</v>
      </c>
      <c r="S38" s="798" t="s">
        <v>723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724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3559.25</v>
      </c>
      <c r="E39" s="67">
        <v>433037</v>
      </c>
      <c r="F39" s="146">
        <v>0</v>
      </c>
      <c r="G39" s="146">
        <v>0</v>
      </c>
      <c r="H39" s="91">
        <v>433037</v>
      </c>
      <c r="I39" s="67">
        <v>0</v>
      </c>
      <c r="J39" s="739">
        <v>433037</v>
      </c>
      <c r="K39" s="132" t="s">
        <v>621</v>
      </c>
      <c r="L39" s="740">
        <v>0</v>
      </c>
      <c r="M39" s="741">
        <v>3559.25</v>
      </c>
      <c r="N39" s="67">
        <v>6774</v>
      </c>
      <c r="O39" s="67">
        <v>439811</v>
      </c>
      <c r="Q39" s="674">
        <v>0</v>
      </c>
      <c r="R39" s="674">
        <v>0</v>
      </c>
      <c r="S39" s="798" t="s">
        <v>621</v>
      </c>
      <c r="T39" s="798">
        <v>1059.25</v>
      </c>
      <c r="U39" s="88">
        <v>439811</v>
      </c>
      <c r="V39" s="71">
        <v>123.56844840907495</v>
      </c>
      <c r="W39" s="449">
        <v>439811</v>
      </c>
      <c r="X39" s="67">
        <v>460221</v>
      </c>
      <c r="Y39" s="163">
        <v>-20410</v>
      </c>
      <c r="Z39" s="166">
        <v>-4.4348258771329425E-2</v>
      </c>
      <c r="AA39" s="34" t="s">
        <v>644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210.88</v>
      </c>
      <c r="E40" s="67">
        <v>25657</v>
      </c>
      <c r="F40" s="146">
        <v>0</v>
      </c>
      <c r="G40" s="146">
        <v>0</v>
      </c>
      <c r="H40" s="91">
        <v>25657</v>
      </c>
      <c r="I40" s="67">
        <v>0</v>
      </c>
      <c r="J40" s="739">
        <v>25657</v>
      </c>
      <c r="K40" s="132" t="s">
        <v>621</v>
      </c>
      <c r="L40" s="740">
        <v>0</v>
      </c>
      <c r="M40" s="741">
        <v>210.88</v>
      </c>
      <c r="N40" s="67">
        <v>401</v>
      </c>
      <c r="O40" s="67">
        <v>26058</v>
      </c>
      <c r="Q40" s="674">
        <v>0</v>
      </c>
      <c r="R40" s="674">
        <v>0</v>
      </c>
      <c r="S40" s="798" t="s">
        <v>723</v>
      </c>
      <c r="T40" s="798">
        <v>48.375</v>
      </c>
      <c r="U40" s="88">
        <v>26058</v>
      </c>
      <c r="V40" s="71">
        <v>123.56790591805766</v>
      </c>
      <c r="W40" s="449">
        <v>26058</v>
      </c>
      <c r="X40" s="67">
        <v>27267</v>
      </c>
      <c r="Y40" s="163">
        <v>-1209</v>
      </c>
      <c r="Z40" s="166">
        <v>-4.4339311255363625E-2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822</v>
      </c>
      <c r="E41" s="67">
        <v>100009</v>
      </c>
      <c r="F41" s="146">
        <v>0</v>
      </c>
      <c r="G41" s="146">
        <v>0</v>
      </c>
      <c r="H41" s="91">
        <v>100009</v>
      </c>
      <c r="I41" s="67">
        <v>0</v>
      </c>
      <c r="J41" s="739">
        <v>100009</v>
      </c>
      <c r="K41" s="132" t="s">
        <v>621</v>
      </c>
      <c r="L41" s="740">
        <v>0</v>
      </c>
      <c r="M41" s="741">
        <v>822</v>
      </c>
      <c r="N41" s="67">
        <v>1565</v>
      </c>
      <c r="O41" s="67">
        <v>101574</v>
      </c>
      <c r="Q41" s="674">
        <v>0</v>
      </c>
      <c r="R41" s="674">
        <v>0</v>
      </c>
      <c r="S41" s="798" t="s">
        <v>644</v>
      </c>
      <c r="T41" s="798">
        <v>0</v>
      </c>
      <c r="U41" s="88">
        <v>101574</v>
      </c>
      <c r="V41" s="71">
        <v>123.56934306569343</v>
      </c>
      <c r="W41" s="449">
        <v>101574</v>
      </c>
      <c r="X41" s="67">
        <v>106287</v>
      </c>
      <c r="Y41" s="163">
        <v>-4713</v>
      </c>
      <c r="Z41" s="166">
        <v>-4.4342205537836236E-2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87.13</v>
      </c>
      <c r="E42" s="67">
        <v>10601</v>
      </c>
      <c r="F42" s="146">
        <v>0</v>
      </c>
      <c r="G42" s="146">
        <v>0</v>
      </c>
      <c r="H42" s="91">
        <v>10601</v>
      </c>
      <c r="I42" s="67">
        <v>0</v>
      </c>
      <c r="J42" s="739">
        <v>10601</v>
      </c>
      <c r="K42" s="132" t="s">
        <v>621</v>
      </c>
      <c r="L42" s="740">
        <v>0</v>
      </c>
      <c r="M42" s="741">
        <v>87.13</v>
      </c>
      <c r="N42" s="67">
        <v>166</v>
      </c>
      <c r="O42" s="67">
        <v>10767</v>
      </c>
      <c r="Q42" s="674">
        <v>0</v>
      </c>
      <c r="R42" s="674">
        <v>0</v>
      </c>
      <c r="S42" s="798" t="s">
        <v>621</v>
      </c>
      <c r="T42" s="798">
        <v>30.875</v>
      </c>
      <c r="U42" s="88">
        <v>10767</v>
      </c>
      <c r="V42" s="71">
        <v>123.57396992998967</v>
      </c>
      <c r="W42" s="449">
        <v>10767</v>
      </c>
      <c r="X42" s="67">
        <v>11266</v>
      </c>
      <c r="Y42" s="163">
        <v>-499</v>
      </c>
      <c r="Z42" s="166">
        <v>-4.4292561690040831E-2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724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 t="s">
        <v>723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621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4</v>
      </c>
      <c r="E44" s="67">
        <v>487</v>
      </c>
      <c r="F44" s="146">
        <v>0</v>
      </c>
      <c r="G44" s="146">
        <v>0</v>
      </c>
      <c r="H44" s="91">
        <v>487</v>
      </c>
      <c r="I44" s="67">
        <v>0</v>
      </c>
      <c r="J44" s="739">
        <v>487</v>
      </c>
      <c r="K44" s="132" t="s">
        <v>644</v>
      </c>
      <c r="L44" s="740">
        <v>487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 t="s">
        <v>723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724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724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 t="s">
        <v>723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442.75</v>
      </c>
      <c r="E46" s="67">
        <v>53867</v>
      </c>
      <c r="F46" s="146">
        <v>0</v>
      </c>
      <c r="G46" s="146">
        <v>0</v>
      </c>
      <c r="H46" s="91">
        <v>53867</v>
      </c>
      <c r="I46" s="67">
        <v>0</v>
      </c>
      <c r="J46" s="739">
        <v>53867</v>
      </c>
      <c r="K46" s="132" t="s">
        <v>621</v>
      </c>
      <c r="L46" s="740">
        <v>0</v>
      </c>
      <c r="M46" s="741">
        <v>442.75</v>
      </c>
      <c r="N46" s="67">
        <v>843</v>
      </c>
      <c r="O46" s="67">
        <v>54710</v>
      </c>
      <c r="Q46" s="674">
        <v>0</v>
      </c>
      <c r="R46" s="674">
        <v>0</v>
      </c>
      <c r="S46" s="798" t="s">
        <v>621</v>
      </c>
      <c r="T46" s="798">
        <v>177.625</v>
      </c>
      <c r="U46" s="88">
        <v>54710</v>
      </c>
      <c r="V46" s="71">
        <v>123.56860530773574</v>
      </c>
      <c r="W46" s="449">
        <v>54710</v>
      </c>
      <c r="X46" s="67">
        <v>57249</v>
      </c>
      <c r="Y46" s="163">
        <v>-2539</v>
      </c>
      <c r="Z46" s="166">
        <v>-4.4350119652745025E-2</v>
      </c>
      <c r="AA46" s="34" t="s">
        <v>724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724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 t="s">
        <v>723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621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29</v>
      </c>
      <c r="E48" s="67">
        <v>3528</v>
      </c>
      <c r="F48" s="146">
        <v>0</v>
      </c>
      <c r="G48" s="146">
        <v>0</v>
      </c>
      <c r="H48" s="91">
        <v>3528</v>
      </c>
      <c r="I48" s="67">
        <v>0</v>
      </c>
      <c r="J48" s="739">
        <v>3528</v>
      </c>
      <c r="K48" s="132" t="s">
        <v>724</v>
      </c>
      <c r="L48" s="740">
        <v>3528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 t="s">
        <v>723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724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24.5</v>
      </c>
      <c r="E49" s="67">
        <v>2981</v>
      </c>
      <c r="F49" s="146">
        <v>0</v>
      </c>
      <c r="G49" s="146">
        <v>0</v>
      </c>
      <c r="H49" s="91">
        <v>2981</v>
      </c>
      <c r="I49" s="67">
        <v>0</v>
      </c>
      <c r="J49" s="739">
        <v>2981</v>
      </c>
      <c r="K49" s="132" t="s">
        <v>644</v>
      </c>
      <c r="L49" s="740">
        <v>2981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 t="s">
        <v>723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724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180</v>
      </c>
      <c r="E50" s="67">
        <v>21900</v>
      </c>
      <c r="F50" s="146">
        <v>0</v>
      </c>
      <c r="G50" s="146">
        <v>0</v>
      </c>
      <c r="H50" s="91">
        <v>21900</v>
      </c>
      <c r="I50" s="67">
        <v>0</v>
      </c>
      <c r="J50" s="739">
        <v>21900</v>
      </c>
      <c r="K50" s="132" t="s">
        <v>621</v>
      </c>
      <c r="L50" s="740">
        <v>0</v>
      </c>
      <c r="M50" s="741">
        <v>180</v>
      </c>
      <c r="N50" s="67">
        <v>343</v>
      </c>
      <c r="O50" s="67">
        <v>22243</v>
      </c>
      <c r="Q50" s="674">
        <v>0</v>
      </c>
      <c r="R50" s="674">
        <v>0</v>
      </c>
      <c r="S50" s="798" t="s">
        <v>621</v>
      </c>
      <c r="T50" s="798">
        <v>42.75</v>
      </c>
      <c r="U50" s="88">
        <v>22243</v>
      </c>
      <c r="V50" s="71">
        <v>123.57222222222222</v>
      </c>
      <c r="W50" s="449">
        <v>22243</v>
      </c>
      <c r="X50" s="67">
        <v>23274</v>
      </c>
      <c r="Y50" s="163">
        <v>-1031</v>
      </c>
      <c r="Z50" s="166">
        <v>-4.4298358683509495E-2</v>
      </c>
      <c r="AA50" s="34" t="s">
        <v>644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301.625</v>
      </c>
      <c r="E51" s="67">
        <v>36697</v>
      </c>
      <c r="F51" s="146">
        <v>0</v>
      </c>
      <c r="G51" s="146">
        <v>0</v>
      </c>
      <c r="H51" s="91">
        <v>36697</v>
      </c>
      <c r="I51" s="67">
        <v>0</v>
      </c>
      <c r="J51" s="739">
        <v>36697</v>
      </c>
      <c r="K51" s="132" t="s">
        <v>621</v>
      </c>
      <c r="L51" s="740">
        <v>0</v>
      </c>
      <c r="M51" s="741">
        <v>301.625</v>
      </c>
      <c r="N51" s="67">
        <v>574</v>
      </c>
      <c r="O51" s="67">
        <v>37271</v>
      </c>
      <c r="Q51" s="674">
        <v>0</v>
      </c>
      <c r="R51" s="674">
        <v>0</v>
      </c>
      <c r="S51" s="798" t="s">
        <v>621</v>
      </c>
      <c r="T51" s="798">
        <v>135.875</v>
      </c>
      <c r="U51" s="88">
        <v>37271</v>
      </c>
      <c r="V51" s="71">
        <v>123.56734355573974</v>
      </c>
      <c r="W51" s="449">
        <v>37271</v>
      </c>
      <c r="X51" s="67">
        <v>39001</v>
      </c>
      <c r="Y51" s="163">
        <v>-1730</v>
      </c>
      <c r="Z51" s="166">
        <v>-4.4357836978539011E-2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94.63</v>
      </c>
      <c r="E52" s="67">
        <v>11513</v>
      </c>
      <c r="F52" s="146">
        <v>0</v>
      </c>
      <c r="G52" s="146">
        <v>0</v>
      </c>
      <c r="H52" s="91">
        <v>11513</v>
      </c>
      <c r="I52" s="67">
        <v>0</v>
      </c>
      <c r="J52" s="739">
        <v>11513</v>
      </c>
      <c r="K52" s="132" t="s">
        <v>621</v>
      </c>
      <c r="L52" s="740">
        <v>0</v>
      </c>
      <c r="M52" s="741">
        <v>94.63</v>
      </c>
      <c r="N52" s="67">
        <v>180</v>
      </c>
      <c r="O52" s="67">
        <v>11693</v>
      </c>
      <c r="Q52" s="674">
        <v>0</v>
      </c>
      <c r="R52" s="674">
        <v>0</v>
      </c>
      <c r="S52" s="798" t="s">
        <v>644</v>
      </c>
      <c r="T52" s="798">
        <v>0</v>
      </c>
      <c r="U52" s="88">
        <v>11693</v>
      </c>
      <c r="V52" s="71">
        <v>123.56546549719963</v>
      </c>
      <c r="W52" s="449">
        <v>11693</v>
      </c>
      <c r="X52" s="67">
        <v>12236</v>
      </c>
      <c r="Y52" s="163">
        <v>-543</v>
      </c>
      <c r="Z52" s="166">
        <v>-4.4377247466492319E-2</v>
      </c>
      <c r="AA52" s="34" t="s">
        <v>621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424.25</v>
      </c>
      <c r="E53" s="67">
        <v>51616</v>
      </c>
      <c r="F53" s="146">
        <v>0</v>
      </c>
      <c r="G53" s="146">
        <v>0</v>
      </c>
      <c r="H53" s="91">
        <v>51616</v>
      </c>
      <c r="I53" s="67">
        <v>0</v>
      </c>
      <c r="J53" s="739">
        <v>51616</v>
      </c>
      <c r="K53" s="132" t="s">
        <v>621</v>
      </c>
      <c r="L53" s="740">
        <v>0</v>
      </c>
      <c r="M53" s="741">
        <v>424.25</v>
      </c>
      <c r="N53" s="67">
        <v>807</v>
      </c>
      <c r="O53" s="67">
        <v>52423</v>
      </c>
      <c r="Q53" s="674">
        <v>0</v>
      </c>
      <c r="R53" s="674">
        <v>0</v>
      </c>
      <c r="S53" s="798" t="s">
        <v>621</v>
      </c>
      <c r="T53" s="798">
        <v>138.375</v>
      </c>
      <c r="U53" s="88">
        <v>52423</v>
      </c>
      <c r="V53" s="71">
        <v>123.56629345904537</v>
      </c>
      <c r="W53" s="449">
        <v>52423</v>
      </c>
      <c r="X53" s="67">
        <v>54856</v>
      </c>
      <c r="Y53" s="163">
        <v>-2433</v>
      </c>
      <c r="Z53" s="166">
        <v>-4.4352486510135625E-2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14.25</v>
      </c>
      <c r="E54" s="67">
        <v>1734</v>
      </c>
      <c r="F54" s="146">
        <v>0</v>
      </c>
      <c r="G54" s="146">
        <v>0</v>
      </c>
      <c r="H54" s="91">
        <v>1734</v>
      </c>
      <c r="I54" s="67">
        <v>0</v>
      </c>
      <c r="J54" s="739">
        <v>1734</v>
      </c>
      <c r="K54" s="132" t="s">
        <v>724</v>
      </c>
      <c r="L54" s="740">
        <v>1734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98" t="s">
        <v>723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621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1128.6300000000001</v>
      </c>
      <c r="E55" s="67">
        <v>137315</v>
      </c>
      <c r="F55" s="146">
        <v>0</v>
      </c>
      <c r="G55" s="146">
        <v>0</v>
      </c>
      <c r="H55" s="91">
        <v>137315</v>
      </c>
      <c r="I55" s="67">
        <v>0</v>
      </c>
      <c r="J55" s="739">
        <v>137315</v>
      </c>
      <c r="K55" s="132" t="s">
        <v>621</v>
      </c>
      <c r="L55" s="740">
        <v>0</v>
      </c>
      <c r="M55" s="741">
        <v>1128.6300000000001</v>
      </c>
      <c r="N55" s="67">
        <v>2148</v>
      </c>
      <c r="O55" s="67">
        <v>139463</v>
      </c>
      <c r="Q55" s="674">
        <v>0</v>
      </c>
      <c r="R55" s="674">
        <v>0</v>
      </c>
      <c r="S55" s="798" t="s">
        <v>621</v>
      </c>
      <c r="T55" s="798">
        <v>420.25</v>
      </c>
      <c r="U55" s="88">
        <v>139463</v>
      </c>
      <c r="V55" s="71">
        <v>123.56839708318934</v>
      </c>
      <c r="W55" s="449">
        <v>139463</v>
      </c>
      <c r="X55" s="67">
        <v>145935</v>
      </c>
      <c r="Y55" s="163">
        <v>-6472</v>
      </c>
      <c r="Z55" s="166">
        <v>-4.4348511323534449E-2</v>
      </c>
      <c r="AA55" s="34" t="s">
        <v>724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11.375</v>
      </c>
      <c r="E56" s="67">
        <v>1384</v>
      </c>
      <c r="F56" s="146">
        <v>0</v>
      </c>
      <c r="G56" s="146">
        <v>0</v>
      </c>
      <c r="H56" s="91">
        <v>1384</v>
      </c>
      <c r="I56" s="67">
        <v>0</v>
      </c>
      <c r="J56" s="739">
        <v>1384</v>
      </c>
      <c r="K56" s="132" t="s">
        <v>724</v>
      </c>
      <c r="L56" s="740">
        <v>1384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 t="s">
        <v>723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621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22.25</v>
      </c>
      <c r="E57" s="67">
        <v>2707</v>
      </c>
      <c r="F57" s="146">
        <v>0</v>
      </c>
      <c r="G57" s="146">
        <v>0</v>
      </c>
      <c r="H57" s="91">
        <v>2707</v>
      </c>
      <c r="I57" s="67">
        <v>0</v>
      </c>
      <c r="J57" s="739">
        <v>2707</v>
      </c>
      <c r="K57" s="132" t="s">
        <v>724</v>
      </c>
      <c r="L57" s="740">
        <v>2707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 t="s">
        <v>723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724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724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 t="s">
        <v>723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724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724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 t="s">
        <v>723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724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724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 t="s">
        <v>723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724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40</v>
      </c>
      <c r="E61" s="67">
        <v>4867</v>
      </c>
      <c r="F61" s="146">
        <v>0</v>
      </c>
      <c r="G61" s="146">
        <v>0</v>
      </c>
      <c r="H61" s="91">
        <v>4867</v>
      </c>
      <c r="I61" s="67">
        <v>0</v>
      </c>
      <c r="J61" s="739">
        <v>4867</v>
      </c>
      <c r="K61" s="132" t="s">
        <v>1306</v>
      </c>
      <c r="L61" s="740">
        <v>0</v>
      </c>
      <c r="M61" s="741">
        <v>40</v>
      </c>
      <c r="N61" s="67">
        <v>76</v>
      </c>
      <c r="O61" s="67">
        <v>4943</v>
      </c>
      <c r="Q61" s="674">
        <v>0</v>
      </c>
      <c r="R61" s="674">
        <v>0</v>
      </c>
      <c r="S61" s="798" t="s">
        <v>723</v>
      </c>
      <c r="T61" s="798">
        <v>15.5</v>
      </c>
      <c r="U61" s="88">
        <v>4943</v>
      </c>
      <c r="V61" s="71">
        <v>123.575</v>
      </c>
      <c r="W61" s="449">
        <v>4943</v>
      </c>
      <c r="X61" s="67">
        <v>5173</v>
      </c>
      <c r="Y61" s="163">
        <v>-230</v>
      </c>
      <c r="Z61" s="166">
        <v>-4.4461627682196019E-2</v>
      </c>
      <c r="AA61" s="34" t="s">
        <v>724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724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 t="s">
        <v>723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1306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6434.38</v>
      </c>
      <c r="E63" s="67">
        <v>782840</v>
      </c>
      <c r="F63" s="146">
        <v>0</v>
      </c>
      <c r="G63" s="146">
        <v>0</v>
      </c>
      <c r="H63" s="91">
        <v>782840</v>
      </c>
      <c r="I63" s="67">
        <v>0</v>
      </c>
      <c r="J63" s="739">
        <v>782840</v>
      </c>
      <c r="K63" s="132" t="s">
        <v>621</v>
      </c>
      <c r="L63" s="740">
        <v>0</v>
      </c>
      <c r="M63" s="741">
        <v>6434.38</v>
      </c>
      <c r="N63" s="67">
        <v>12247</v>
      </c>
      <c r="O63" s="67">
        <v>795087</v>
      </c>
      <c r="Q63" s="674">
        <v>0</v>
      </c>
      <c r="R63" s="674">
        <v>0</v>
      </c>
      <c r="S63" s="798" t="s">
        <v>644</v>
      </c>
      <c r="T63" s="798">
        <v>0</v>
      </c>
      <c r="U63" s="88">
        <v>795087</v>
      </c>
      <c r="V63" s="71">
        <v>123.5685489511033</v>
      </c>
      <c r="W63" s="449">
        <v>795087</v>
      </c>
      <c r="X63" s="67">
        <v>831983</v>
      </c>
      <c r="Y63" s="163">
        <v>-36896</v>
      </c>
      <c r="Z63" s="166">
        <v>-4.4347059975985086E-2</v>
      </c>
      <c r="AA63" s="34" t="s">
        <v>724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736</v>
      </c>
      <c r="E64" s="67">
        <v>89546</v>
      </c>
      <c r="F64" s="146">
        <v>0</v>
      </c>
      <c r="G64" s="146">
        <v>0</v>
      </c>
      <c r="H64" s="91">
        <v>89546</v>
      </c>
      <c r="I64" s="67">
        <v>0</v>
      </c>
      <c r="J64" s="739">
        <v>89546</v>
      </c>
      <c r="K64" s="132" t="s">
        <v>621</v>
      </c>
      <c r="L64" s="740">
        <v>0</v>
      </c>
      <c r="M64" s="741">
        <v>736</v>
      </c>
      <c r="N64" s="67">
        <v>1401</v>
      </c>
      <c r="O64" s="67">
        <v>90947</v>
      </c>
      <c r="Q64" s="674">
        <v>0</v>
      </c>
      <c r="R64" s="674">
        <v>0</v>
      </c>
      <c r="S64" s="798" t="s">
        <v>644</v>
      </c>
      <c r="T64" s="798">
        <v>0</v>
      </c>
      <c r="U64" s="88">
        <v>90947</v>
      </c>
      <c r="V64" s="71">
        <v>123.56929347826087</v>
      </c>
      <c r="W64" s="449">
        <v>90947</v>
      </c>
      <c r="X64" s="67">
        <v>95166</v>
      </c>
      <c r="Y64" s="163">
        <v>-4219</v>
      </c>
      <c r="Z64" s="166">
        <v>-4.4333060126515771E-2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724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 t="s">
        <v>723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621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724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 t="s">
        <v>723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724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3.25</v>
      </c>
      <c r="E67" s="67">
        <v>395</v>
      </c>
      <c r="F67" s="146">
        <v>0</v>
      </c>
      <c r="G67" s="146">
        <v>0</v>
      </c>
      <c r="H67" s="91">
        <v>395</v>
      </c>
      <c r="I67" s="67">
        <v>0</v>
      </c>
      <c r="J67" s="739">
        <v>395</v>
      </c>
      <c r="K67" s="132" t="s">
        <v>724</v>
      </c>
      <c r="L67" s="740">
        <v>395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 t="s">
        <v>723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724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1393</v>
      </c>
      <c r="E68" s="67">
        <v>169480</v>
      </c>
      <c r="F68" s="146">
        <v>0</v>
      </c>
      <c r="G68" s="146">
        <v>0</v>
      </c>
      <c r="H68" s="91">
        <v>169480</v>
      </c>
      <c r="I68" s="67">
        <v>0</v>
      </c>
      <c r="J68" s="739">
        <v>169480</v>
      </c>
      <c r="K68" s="132" t="s">
        <v>621</v>
      </c>
      <c r="L68" s="740">
        <v>0</v>
      </c>
      <c r="M68" s="741">
        <v>1393</v>
      </c>
      <c r="N68" s="67">
        <v>2651</v>
      </c>
      <c r="O68" s="67">
        <v>172131</v>
      </c>
      <c r="Q68" s="674">
        <v>0</v>
      </c>
      <c r="R68" s="674">
        <v>0</v>
      </c>
      <c r="S68" s="798" t="s">
        <v>644</v>
      </c>
      <c r="T68" s="798">
        <v>0</v>
      </c>
      <c r="U68" s="88">
        <v>172131</v>
      </c>
      <c r="V68" s="71">
        <v>123.56855707106963</v>
      </c>
      <c r="W68" s="449">
        <v>172131</v>
      </c>
      <c r="X68" s="67">
        <v>180119</v>
      </c>
      <c r="Y68" s="163">
        <v>-7988</v>
      </c>
      <c r="Z68" s="166">
        <v>-4.434845851909016E-2</v>
      </c>
      <c r="AA68" s="34" t="s">
        <v>724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1229</v>
      </c>
      <c r="E69" s="67">
        <v>149527</v>
      </c>
      <c r="F69" s="146">
        <v>0</v>
      </c>
      <c r="G69" s="146">
        <v>0</v>
      </c>
      <c r="H69" s="91">
        <v>149527</v>
      </c>
      <c r="I69" s="67">
        <v>0</v>
      </c>
      <c r="J69" s="739">
        <v>149527</v>
      </c>
      <c r="K69" s="132" t="s">
        <v>621</v>
      </c>
      <c r="L69" s="740">
        <v>0</v>
      </c>
      <c r="M69" s="741">
        <v>1229</v>
      </c>
      <c r="N69" s="67">
        <v>2339</v>
      </c>
      <c r="O69" s="67">
        <v>151866</v>
      </c>
      <c r="Q69" s="674">
        <v>0</v>
      </c>
      <c r="R69" s="674">
        <v>0</v>
      </c>
      <c r="S69" s="798" t="s">
        <v>644</v>
      </c>
      <c r="T69" s="798">
        <v>0</v>
      </c>
      <c r="U69" s="88">
        <v>151866</v>
      </c>
      <c r="V69" s="71">
        <v>123.56875508543531</v>
      </c>
      <c r="W69" s="449">
        <v>151866</v>
      </c>
      <c r="X69" s="67">
        <v>158913</v>
      </c>
      <c r="Y69" s="163">
        <v>-7047</v>
      </c>
      <c r="Z69" s="166">
        <v>-4.4345018972645409E-2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313.63</v>
      </c>
      <c r="E70" s="67">
        <v>38158</v>
      </c>
      <c r="F70" s="146">
        <v>0</v>
      </c>
      <c r="G70" s="146">
        <v>0</v>
      </c>
      <c r="H70" s="91">
        <v>38158</v>
      </c>
      <c r="I70" s="67">
        <v>0</v>
      </c>
      <c r="J70" s="739">
        <v>38158</v>
      </c>
      <c r="K70" s="132" t="s">
        <v>621</v>
      </c>
      <c r="L70" s="740">
        <v>0</v>
      </c>
      <c r="M70" s="741">
        <v>313.63</v>
      </c>
      <c r="N70" s="67">
        <v>597</v>
      </c>
      <c r="O70" s="67">
        <v>38755</v>
      </c>
      <c r="Q70" s="674">
        <v>0</v>
      </c>
      <c r="R70" s="674">
        <v>0</v>
      </c>
      <c r="S70" s="798" t="s">
        <v>644</v>
      </c>
      <c r="T70" s="798">
        <v>0</v>
      </c>
      <c r="U70" s="88">
        <v>38755</v>
      </c>
      <c r="V70" s="71">
        <v>123.56917386729586</v>
      </c>
      <c r="W70" s="449">
        <v>38755</v>
      </c>
      <c r="X70" s="67">
        <v>40553</v>
      </c>
      <c r="Y70" s="163">
        <v>-1798</v>
      </c>
      <c r="Z70" s="166">
        <v>-4.4337040416245407E-2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724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 t="s">
        <v>723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621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98.63</v>
      </c>
      <c r="E72" s="67">
        <v>12000</v>
      </c>
      <c r="F72" s="146">
        <v>0</v>
      </c>
      <c r="G72" s="146">
        <v>0</v>
      </c>
      <c r="H72" s="91">
        <v>12000</v>
      </c>
      <c r="I72" s="67">
        <v>0</v>
      </c>
      <c r="J72" s="739">
        <v>12000</v>
      </c>
      <c r="K72" s="132" t="s">
        <v>621</v>
      </c>
      <c r="L72" s="740">
        <v>0</v>
      </c>
      <c r="M72" s="741">
        <v>98.63</v>
      </c>
      <c r="N72" s="67">
        <v>188</v>
      </c>
      <c r="O72" s="67">
        <v>12188</v>
      </c>
      <c r="Q72" s="674">
        <v>0</v>
      </c>
      <c r="R72" s="674">
        <v>0</v>
      </c>
      <c r="S72" s="798" t="s">
        <v>723</v>
      </c>
      <c r="T72" s="798">
        <v>31.625</v>
      </c>
      <c r="U72" s="88">
        <v>12188</v>
      </c>
      <c r="V72" s="71">
        <v>123.57294940687419</v>
      </c>
      <c r="W72" s="449">
        <v>12188</v>
      </c>
      <c r="X72" s="67">
        <v>12753</v>
      </c>
      <c r="Y72" s="163">
        <v>-565</v>
      </c>
      <c r="Z72" s="166">
        <v>-4.4303301184035131E-2</v>
      </c>
      <c r="AA72" s="34" t="s">
        <v>724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791.13</v>
      </c>
      <c r="E73" s="67">
        <v>96253</v>
      </c>
      <c r="F73" s="146">
        <v>0</v>
      </c>
      <c r="G73" s="146">
        <v>0</v>
      </c>
      <c r="H73" s="91">
        <v>96253</v>
      </c>
      <c r="I73" s="67">
        <v>0</v>
      </c>
      <c r="J73" s="739">
        <v>96253</v>
      </c>
      <c r="K73" s="132" t="s">
        <v>621</v>
      </c>
      <c r="L73" s="740">
        <v>0</v>
      </c>
      <c r="M73" s="741">
        <v>791.13</v>
      </c>
      <c r="N73" s="67">
        <v>1506</v>
      </c>
      <c r="O73" s="67">
        <v>97759</v>
      </c>
      <c r="Q73" s="674">
        <v>0</v>
      </c>
      <c r="R73" s="674">
        <v>0</v>
      </c>
      <c r="S73" s="798" t="s">
        <v>644</v>
      </c>
      <c r="T73" s="798">
        <v>0</v>
      </c>
      <c r="U73" s="88">
        <v>97759</v>
      </c>
      <c r="V73" s="71">
        <v>123.56881928380923</v>
      </c>
      <c r="W73" s="449">
        <v>97759</v>
      </c>
      <c r="X73" s="67">
        <v>102295</v>
      </c>
      <c r="Y73" s="163">
        <v>-4536</v>
      </c>
      <c r="Z73" s="166">
        <v>-4.4342343223031426E-2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1278.7550000000001</v>
      </c>
      <c r="E74" s="67">
        <v>155580</v>
      </c>
      <c r="F74" s="146">
        <v>0</v>
      </c>
      <c r="G74" s="146">
        <v>0</v>
      </c>
      <c r="H74" s="91">
        <v>155580</v>
      </c>
      <c r="I74" s="67">
        <v>0</v>
      </c>
      <c r="J74" s="739">
        <v>155580</v>
      </c>
      <c r="K74" s="132" t="s">
        <v>621</v>
      </c>
      <c r="L74" s="740">
        <v>0</v>
      </c>
      <c r="M74" s="741">
        <v>1278.7550000000001</v>
      </c>
      <c r="N74" s="67">
        <v>2434</v>
      </c>
      <c r="O74" s="67">
        <v>158014</v>
      </c>
      <c r="Q74" s="674">
        <v>0</v>
      </c>
      <c r="R74" s="674">
        <v>0</v>
      </c>
      <c r="S74" s="798" t="s">
        <v>644</v>
      </c>
      <c r="T74" s="798">
        <v>0</v>
      </c>
      <c r="U74" s="88">
        <v>158014</v>
      </c>
      <c r="V74" s="71">
        <v>123.56862729764497</v>
      </c>
      <c r="W74" s="449">
        <v>158014</v>
      </c>
      <c r="X74" s="67">
        <v>165347</v>
      </c>
      <c r="Y74" s="163">
        <v>-7333</v>
      </c>
      <c r="Z74" s="166">
        <v>-4.434915662213406E-2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295.125</v>
      </c>
      <c r="E75" s="67">
        <v>35906</v>
      </c>
      <c r="F75" s="146">
        <v>0</v>
      </c>
      <c r="G75" s="146">
        <v>0</v>
      </c>
      <c r="H75" s="91">
        <v>35906</v>
      </c>
      <c r="I75" s="67">
        <v>0</v>
      </c>
      <c r="J75" s="739">
        <v>35906</v>
      </c>
      <c r="K75" s="132" t="s">
        <v>621</v>
      </c>
      <c r="L75" s="740">
        <v>0</v>
      </c>
      <c r="M75" s="741">
        <v>295.125</v>
      </c>
      <c r="N75" s="67">
        <v>562</v>
      </c>
      <c r="O75" s="67">
        <v>36468</v>
      </c>
      <c r="Q75" s="674">
        <v>0</v>
      </c>
      <c r="R75" s="674">
        <v>0</v>
      </c>
      <c r="S75" s="798" t="s">
        <v>621</v>
      </c>
      <c r="T75" s="798">
        <v>99</v>
      </c>
      <c r="U75" s="88">
        <v>36468</v>
      </c>
      <c r="V75" s="71">
        <v>123.56797966963151</v>
      </c>
      <c r="W75" s="449">
        <v>36468</v>
      </c>
      <c r="X75" s="67">
        <v>38161</v>
      </c>
      <c r="Y75" s="163">
        <v>-1693</v>
      </c>
      <c r="Z75" s="166">
        <v>-4.4364665496187207E-2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8.75</v>
      </c>
      <c r="E76" s="67">
        <v>1065</v>
      </c>
      <c r="F76" s="146">
        <v>0</v>
      </c>
      <c r="G76" s="146">
        <v>0</v>
      </c>
      <c r="H76" s="91">
        <v>1065</v>
      </c>
      <c r="I76" s="67">
        <v>0</v>
      </c>
      <c r="J76" s="739">
        <v>1065</v>
      </c>
      <c r="K76" s="132" t="s">
        <v>724</v>
      </c>
      <c r="L76" s="740">
        <v>1065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 t="s">
        <v>723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621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108</v>
      </c>
      <c r="E77" s="67">
        <v>13140</v>
      </c>
      <c r="F77" s="146">
        <v>0</v>
      </c>
      <c r="G77" s="146">
        <v>0</v>
      </c>
      <c r="H77" s="91">
        <v>13140</v>
      </c>
      <c r="I77" s="67">
        <v>0</v>
      </c>
      <c r="J77" s="739">
        <v>13140</v>
      </c>
      <c r="K77" s="132" t="s">
        <v>621</v>
      </c>
      <c r="L77" s="740">
        <v>0</v>
      </c>
      <c r="M77" s="741">
        <v>108</v>
      </c>
      <c r="N77" s="67">
        <v>206</v>
      </c>
      <c r="O77" s="67">
        <v>13346</v>
      </c>
      <c r="Q77" s="674">
        <v>0</v>
      </c>
      <c r="R77" s="674">
        <v>0</v>
      </c>
      <c r="S77" s="798" t="s">
        <v>723</v>
      </c>
      <c r="T77" s="798">
        <v>56.375</v>
      </c>
      <c r="U77" s="88">
        <v>13346</v>
      </c>
      <c r="V77" s="71">
        <v>123.57407407407408</v>
      </c>
      <c r="W77" s="449">
        <v>13346</v>
      </c>
      <c r="X77" s="67">
        <v>0</v>
      </c>
      <c r="Y77" s="163">
        <v>13346</v>
      </c>
      <c r="Z77" s="166">
        <v>0</v>
      </c>
      <c r="AA77" s="34" t="s">
        <v>724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454.13</v>
      </c>
      <c r="E78" s="67">
        <v>55252</v>
      </c>
      <c r="F78" s="146">
        <v>0</v>
      </c>
      <c r="G78" s="146">
        <v>0</v>
      </c>
      <c r="H78" s="91">
        <v>55252</v>
      </c>
      <c r="I78" s="67">
        <v>0</v>
      </c>
      <c r="J78" s="739">
        <v>55252</v>
      </c>
      <c r="K78" s="132" t="s">
        <v>621</v>
      </c>
      <c r="L78" s="740">
        <v>0</v>
      </c>
      <c r="M78" s="741">
        <v>454.13</v>
      </c>
      <c r="N78" s="67">
        <v>864</v>
      </c>
      <c r="O78" s="67">
        <v>56116</v>
      </c>
      <c r="Q78" s="674">
        <v>0</v>
      </c>
      <c r="R78" s="674">
        <v>0</v>
      </c>
      <c r="S78" s="798" t="s">
        <v>621</v>
      </c>
      <c r="T78" s="798">
        <v>160.625</v>
      </c>
      <c r="U78" s="88">
        <v>56116</v>
      </c>
      <c r="V78" s="71">
        <v>123.56814128113095</v>
      </c>
      <c r="W78" s="449">
        <v>56116</v>
      </c>
      <c r="X78" s="67">
        <v>58720</v>
      </c>
      <c r="Y78" s="163">
        <v>-2604</v>
      </c>
      <c r="Z78" s="166">
        <v>-4.4346049046321528E-2</v>
      </c>
      <c r="AA78" s="34" t="s">
        <v>621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64</v>
      </c>
      <c r="E79" s="67">
        <v>7787</v>
      </c>
      <c r="F79" s="146">
        <v>0</v>
      </c>
      <c r="G79" s="146">
        <v>0</v>
      </c>
      <c r="H79" s="91">
        <v>7787</v>
      </c>
      <c r="I79" s="67">
        <v>0</v>
      </c>
      <c r="J79" s="739">
        <v>7787</v>
      </c>
      <c r="K79" s="132" t="s">
        <v>724</v>
      </c>
      <c r="L79" s="740">
        <v>7787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 t="s">
        <v>723</v>
      </c>
      <c r="T79" s="798">
        <v>0</v>
      </c>
      <c r="U79" s="88">
        <v>0</v>
      </c>
      <c r="V79" s="71">
        <v>0</v>
      </c>
      <c r="W79" s="449">
        <v>0</v>
      </c>
      <c r="X79" s="67">
        <v>0</v>
      </c>
      <c r="Y79" s="163">
        <v>0</v>
      </c>
      <c r="Z79" s="166">
        <v>0</v>
      </c>
      <c r="AA79" s="34" t="s">
        <v>621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7.75</v>
      </c>
      <c r="E80" s="67">
        <v>943</v>
      </c>
      <c r="F80" s="146">
        <v>0</v>
      </c>
      <c r="G80" s="146">
        <v>0</v>
      </c>
      <c r="H80" s="91">
        <v>943</v>
      </c>
      <c r="I80" s="67">
        <v>0</v>
      </c>
      <c r="J80" s="739">
        <v>943</v>
      </c>
      <c r="K80" s="132" t="s">
        <v>644</v>
      </c>
      <c r="L80" s="740">
        <v>943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 t="s">
        <v>723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724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724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 t="s">
        <v>723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27.63</v>
      </c>
      <c r="E82" s="67">
        <v>3362</v>
      </c>
      <c r="F82" s="146">
        <v>0</v>
      </c>
      <c r="G82" s="146">
        <v>0</v>
      </c>
      <c r="H82" s="91">
        <v>3362</v>
      </c>
      <c r="I82" s="67">
        <v>0</v>
      </c>
      <c r="J82" s="739">
        <v>3362</v>
      </c>
      <c r="K82" s="132" t="s">
        <v>644</v>
      </c>
      <c r="L82" s="740">
        <v>3362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 t="s">
        <v>723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724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108.63</v>
      </c>
      <c r="E83" s="67">
        <v>13216</v>
      </c>
      <c r="F83" s="146">
        <v>0</v>
      </c>
      <c r="G83" s="146">
        <v>0</v>
      </c>
      <c r="H83" s="91">
        <v>13216</v>
      </c>
      <c r="I83" s="67">
        <v>0</v>
      </c>
      <c r="J83" s="739">
        <v>13216</v>
      </c>
      <c r="K83" s="132" t="s">
        <v>621</v>
      </c>
      <c r="L83" s="740">
        <v>0</v>
      </c>
      <c r="M83" s="741">
        <v>108.63</v>
      </c>
      <c r="N83" s="67">
        <v>207</v>
      </c>
      <c r="O83" s="67">
        <v>13423</v>
      </c>
      <c r="Q83" s="674">
        <v>0</v>
      </c>
      <c r="R83" s="674">
        <v>0</v>
      </c>
      <c r="S83" s="798" t="s">
        <v>723</v>
      </c>
      <c r="T83" s="798">
        <v>25.25</v>
      </c>
      <c r="U83" s="88">
        <v>13423</v>
      </c>
      <c r="V83" s="71">
        <v>123.56623400533923</v>
      </c>
      <c r="W83" s="449">
        <v>13423</v>
      </c>
      <c r="X83" s="67">
        <v>14046</v>
      </c>
      <c r="Y83" s="163">
        <v>-623</v>
      </c>
      <c r="Z83" s="166">
        <v>-4.4354264559305141E-2</v>
      </c>
      <c r="AA83" s="34" t="s">
        <v>644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724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 t="s">
        <v>723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621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47.13</v>
      </c>
      <c r="E85" s="67">
        <v>5734</v>
      </c>
      <c r="F85" s="146">
        <v>0</v>
      </c>
      <c r="G85" s="146">
        <v>0</v>
      </c>
      <c r="H85" s="91">
        <v>5734</v>
      </c>
      <c r="I85" s="67">
        <v>0</v>
      </c>
      <c r="J85" s="739">
        <v>5734</v>
      </c>
      <c r="K85" s="132" t="s">
        <v>1306</v>
      </c>
      <c r="L85" s="740">
        <v>0</v>
      </c>
      <c r="M85" s="741">
        <v>47.13</v>
      </c>
      <c r="N85" s="67">
        <v>90</v>
      </c>
      <c r="O85" s="67">
        <v>5824</v>
      </c>
      <c r="Q85" s="674">
        <v>0</v>
      </c>
      <c r="R85" s="674">
        <v>0</v>
      </c>
      <c r="S85" s="798" t="s">
        <v>723</v>
      </c>
      <c r="T85" s="798">
        <v>21.625</v>
      </c>
      <c r="U85" s="88">
        <v>5824</v>
      </c>
      <c r="V85" s="71">
        <v>123.57309569276468</v>
      </c>
      <c r="W85" s="449">
        <v>5824</v>
      </c>
      <c r="X85" s="67">
        <v>6094</v>
      </c>
      <c r="Y85" s="163">
        <v>-270</v>
      </c>
      <c r="Z85" s="166">
        <v>-4.4305874630784378E-2</v>
      </c>
      <c r="AA85" s="34" t="s">
        <v>724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3.63</v>
      </c>
      <c r="E86" s="67">
        <v>442</v>
      </c>
      <c r="F86" s="146">
        <v>0</v>
      </c>
      <c r="G86" s="146">
        <v>0</v>
      </c>
      <c r="H86" s="91">
        <v>442</v>
      </c>
      <c r="I86" s="67">
        <v>0</v>
      </c>
      <c r="J86" s="739">
        <v>442</v>
      </c>
      <c r="K86" s="132" t="s">
        <v>724</v>
      </c>
      <c r="L86" s="740">
        <v>442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 t="s">
        <v>723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1306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724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 t="s">
        <v>723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724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724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 t="s">
        <v>723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724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57</v>
      </c>
      <c r="E89" s="67">
        <v>6935</v>
      </c>
      <c r="F89" s="146">
        <v>0</v>
      </c>
      <c r="G89" s="146">
        <v>0</v>
      </c>
      <c r="H89" s="91">
        <v>6935</v>
      </c>
      <c r="I89" s="67">
        <v>0</v>
      </c>
      <c r="J89" s="739">
        <v>6935</v>
      </c>
      <c r="K89" s="132" t="s">
        <v>1306</v>
      </c>
      <c r="L89" s="740">
        <v>0</v>
      </c>
      <c r="M89" s="741">
        <v>57</v>
      </c>
      <c r="N89" s="67">
        <v>108</v>
      </c>
      <c r="O89" s="67">
        <v>7043</v>
      </c>
      <c r="Q89" s="674">
        <v>0</v>
      </c>
      <c r="R89" s="674">
        <v>0</v>
      </c>
      <c r="S89" s="798" t="s">
        <v>723</v>
      </c>
      <c r="T89" s="798">
        <v>19.75</v>
      </c>
      <c r="U89" s="88">
        <v>7043</v>
      </c>
      <c r="V89" s="71">
        <v>123.56140350877193</v>
      </c>
      <c r="W89" s="449">
        <v>7043</v>
      </c>
      <c r="X89" s="67">
        <v>7370</v>
      </c>
      <c r="Y89" s="163">
        <v>-327</v>
      </c>
      <c r="Z89" s="166">
        <v>-4.4369063772048849E-2</v>
      </c>
      <c r="AA89" s="34" t="s">
        <v>724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0.25</v>
      </c>
      <c r="E90" s="67">
        <v>30</v>
      </c>
      <c r="F90" s="146">
        <v>0</v>
      </c>
      <c r="G90" s="146">
        <v>0</v>
      </c>
      <c r="H90" s="91">
        <v>30</v>
      </c>
      <c r="I90" s="67">
        <v>0</v>
      </c>
      <c r="J90" s="739">
        <v>30</v>
      </c>
      <c r="K90" s="132" t="s">
        <v>724</v>
      </c>
      <c r="L90" s="740">
        <v>30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98" t="s">
        <v>723</v>
      </c>
      <c r="T90" s="798">
        <v>0</v>
      </c>
      <c r="U90" s="88">
        <v>0</v>
      </c>
      <c r="V90" s="71">
        <v>0</v>
      </c>
      <c r="W90" s="449">
        <v>0</v>
      </c>
      <c r="X90" s="67">
        <v>0</v>
      </c>
      <c r="Y90" s="163">
        <v>0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242.755</v>
      </c>
      <c r="E91" s="67">
        <v>29535</v>
      </c>
      <c r="F91" s="146">
        <v>0</v>
      </c>
      <c r="G91" s="146">
        <v>0</v>
      </c>
      <c r="H91" s="91">
        <v>29535</v>
      </c>
      <c r="I91" s="67">
        <v>0</v>
      </c>
      <c r="J91" s="739">
        <v>29535</v>
      </c>
      <c r="K91" s="132" t="s">
        <v>621</v>
      </c>
      <c r="L91" s="740">
        <v>0</v>
      </c>
      <c r="M91" s="741">
        <v>242.755</v>
      </c>
      <c r="N91" s="67">
        <v>462</v>
      </c>
      <c r="O91" s="67">
        <v>29997</v>
      </c>
      <c r="Q91" s="674">
        <v>0</v>
      </c>
      <c r="R91" s="674">
        <v>0</v>
      </c>
      <c r="S91" s="798" t="s">
        <v>621</v>
      </c>
      <c r="T91" s="798">
        <v>104.875</v>
      </c>
      <c r="U91" s="88">
        <v>29997</v>
      </c>
      <c r="V91" s="71">
        <v>123.56903050400609</v>
      </c>
      <c r="W91" s="449">
        <v>29997</v>
      </c>
      <c r="X91" s="67">
        <v>31389</v>
      </c>
      <c r="Y91" s="163">
        <v>-1392</v>
      </c>
      <c r="Z91" s="166">
        <v>-4.4346745675236547E-2</v>
      </c>
      <c r="AA91" s="34" t="s">
        <v>724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31.38</v>
      </c>
      <c r="E92" s="67">
        <v>3818</v>
      </c>
      <c r="F92" s="146">
        <v>0</v>
      </c>
      <c r="G92" s="146">
        <v>0</v>
      </c>
      <c r="H92" s="91">
        <v>3818</v>
      </c>
      <c r="I92" s="67">
        <v>0</v>
      </c>
      <c r="J92" s="739">
        <v>3818</v>
      </c>
      <c r="K92" s="132" t="s">
        <v>644</v>
      </c>
      <c r="L92" s="740">
        <v>3818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 t="s">
        <v>723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621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4.75</v>
      </c>
      <c r="E93" s="67">
        <v>578</v>
      </c>
      <c r="F93" s="146">
        <v>0</v>
      </c>
      <c r="G93" s="146">
        <v>0</v>
      </c>
      <c r="H93" s="91">
        <v>578</v>
      </c>
      <c r="I93" s="67">
        <v>0</v>
      </c>
      <c r="J93" s="739">
        <v>578</v>
      </c>
      <c r="K93" s="132" t="s">
        <v>724</v>
      </c>
      <c r="L93" s="740">
        <v>578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 t="s">
        <v>723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724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 t="s">
        <v>723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724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724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 t="s">
        <v>723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724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724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 t="s">
        <v>723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724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12</v>
      </c>
      <c r="E97" s="67">
        <v>1460</v>
      </c>
      <c r="F97" s="146">
        <v>0</v>
      </c>
      <c r="G97" s="146">
        <v>0</v>
      </c>
      <c r="H97" s="91">
        <v>1460</v>
      </c>
      <c r="I97" s="67">
        <v>0</v>
      </c>
      <c r="J97" s="739">
        <v>1460</v>
      </c>
      <c r="K97" s="132" t="s">
        <v>1278</v>
      </c>
      <c r="L97" s="740">
        <v>1460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 t="s">
        <v>723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724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26.75</v>
      </c>
      <c r="E98" s="67">
        <v>3255</v>
      </c>
      <c r="F98" s="146">
        <v>0</v>
      </c>
      <c r="G98" s="146">
        <v>0</v>
      </c>
      <c r="H98" s="91">
        <v>3255</v>
      </c>
      <c r="I98" s="67">
        <v>0</v>
      </c>
      <c r="J98" s="739">
        <v>3255</v>
      </c>
      <c r="K98" s="132" t="s">
        <v>1278</v>
      </c>
      <c r="L98" s="740">
        <v>3255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98" t="s">
        <v>723</v>
      </c>
      <c r="T98" s="798">
        <v>0</v>
      </c>
      <c r="U98" s="88">
        <v>0</v>
      </c>
      <c r="V98" s="71">
        <v>0</v>
      </c>
      <c r="W98" s="449">
        <v>0</v>
      </c>
      <c r="X98" s="67">
        <v>3459</v>
      </c>
      <c r="Y98" s="163">
        <v>-3459</v>
      </c>
      <c r="Z98" s="166">
        <v>-1</v>
      </c>
      <c r="AA98" s="34" t="s">
        <v>1278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6781.4775</v>
      </c>
      <c r="E99" s="67">
        <v>825070</v>
      </c>
      <c r="F99" s="146">
        <v>0</v>
      </c>
      <c r="G99" s="146">
        <v>0</v>
      </c>
      <c r="H99" s="91">
        <v>825074</v>
      </c>
      <c r="I99" s="67">
        <v>0</v>
      </c>
      <c r="J99" s="739">
        <v>825074</v>
      </c>
      <c r="K99" s="132" t="s">
        <v>621</v>
      </c>
      <c r="L99" s="740">
        <v>0</v>
      </c>
      <c r="M99" s="741">
        <v>6781.4775</v>
      </c>
      <c r="N99" s="67">
        <v>12907</v>
      </c>
      <c r="O99" s="67">
        <v>837981</v>
      </c>
      <c r="Q99" s="674">
        <v>0</v>
      </c>
      <c r="R99" s="674">
        <v>0</v>
      </c>
      <c r="S99" s="798" t="s">
        <v>621</v>
      </c>
      <c r="T99" s="798">
        <v>0</v>
      </c>
      <c r="U99" s="88">
        <v>837981</v>
      </c>
      <c r="V99" s="71">
        <v>123.56908947939442</v>
      </c>
      <c r="W99" s="449">
        <v>837981</v>
      </c>
      <c r="X99" s="67">
        <v>876862</v>
      </c>
      <c r="Y99" s="163">
        <v>-38881</v>
      </c>
      <c r="Z99" s="166">
        <v>-4.4341070772824002E-2</v>
      </c>
      <c r="AA99" s="34" t="s">
        <v>1278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4488.5</v>
      </c>
      <c r="E100" s="67">
        <v>546094</v>
      </c>
      <c r="F100" s="146">
        <v>0</v>
      </c>
      <c r="G100" s="146">
        <v>0</v>
      </c>
      <c r="H100" s="91">
        <v>546094</v>
      </c>
      <c r="I100" s="67">
        <v>0</v>
      </c>
      <c r="J100" s="739">
        <v>546094</v>
      </c>
      <c r="K100" s="132" t="s">
        <v>621</v>
      </c>
      <c r="L100" s="740">
        <v>0</v>
      </c>
      <c r="M100" s="741">
        <v>4488.5</v>
      </c>
      <c r="N100" s="67">
        <v>8543</v>
      </c>
      <c r="O100" s="67">
        <v>554637</v>
      </c>
      <c r="Q100" s="674">
        <v>0</v>
      </c>
      <c r="R100" s="674">
        <v>0</v>
      </c>
      <c r="S100" s="798" t="s">
        <v>621</v>
      </c>
      <c r="T100" s="798">
        <v>1400.625</v>
      </c>
      <c r="U100" s="88">
        <v>554637</v>
      </c>
      <c r="V100" s="71">
        <v>123.56845271248747</v>
      </c>
      <c r="W100" s="449">
        <v>554637</v>
      </c>
      <c r="X100" s="67">
        <v>580375</v>
      </c>
      <c r="Y100" s="163">
        <v>-25738</v>
      </c>
      <c r="Z100" s="166">
        <v>-4.4347189317251776E-2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242.25</v>
      </c>
      <c r="E101" s="67">
        <v>29473</v>
      </c>
      <c r="F101" s="146">
        <v>0</v>
      </c>
      <c r="G101" s="146">
        <v>0</v>
      </c>
      <c r="H101" s="91">
        <v>29473</v>
      </c>
      <c r="I101" s="67">
        <v>0</v>
      </c>
      <c r="J101" s="739">
        <v>29473</v>
      </c>
      <c r="K101" s="132" t="s">
        <v>621</v>
      </c>
      <c r="L101" s="740">
        <v>0</v>
      </c>
      <c r="M101" s="741">
        <v>242.25</v>
      </c>
      <c r="N101" s="67">
        <v>461</v>
      </c>
      <c r="O101" s="67">
        <v>29934</v>
      </c>
      <c r="Q101" s="674">
        <v>0</v>
      </c>
      <c r="R101" s="674">
        <v>0</v>
      </c>
      <c r="S101" s="798" t="s">
        <v>621</v>
      </c>
      <c r="T101" s="798">
        <v>87.625</v>
      </c>
      <c r="U101" s="88">
        <v>29934</v>
      </c>
      <c r="V101" s="71">
        <v>123.56656346749226</v>
      </c>
      <c r="W101" s="449">
        <v>29934</v>
      </c>
      <c r="X101" s="67">
        <v>31323</v>
      </c>
      <c r="Y101" s="163">
        <v>-1389</v>
      </c>
      <c r="Z101" s="166">
        <v>-4.4344411454841491E-2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150.5</v>
      </c>
      <c r="E102" s="67">
        <v>18311</v>
      </c>
      <c r="F102" s="146">
        <v>0</v>
      </c>
      <c r="G102" s="146">
        <v>0</v>
      </c>
      <c r="H102" s="91">
        <v>18311</v>
      </c>
      <c r="I102" s="67">
        <v>0</v>
      </c>
      <c r="J102" s="739">
        <v>18311</v>
      </c>
      <c r="K102" s="132" t="s">
        <v>621</v>
      </c>
      <c r="L102" s="740">
        <v>0</v>
      </c>
      <c r="M102" s="741">
        <v>150.5</v>
      </c>
      <c r="N102" s="67">
        <v>286</v>
      </c>
      <c r="O102" s="67">
        <v>18597</v>
      </c>
      <c r="Q102" s="674">
        <v>0</v>
      </c>
      <c r="R102" s="674">
        <v>0</v>
      </c>
      <c r="S102" s="798" t="s">
        <v>644</v>
      </c>
      <c r="T102" s="798">
        <v>0</v>
      </c>
      <c r="U102" s="88">
        <v>18597</v>
      </c>
      <c r="V102" s="71">
        <v>123.56810631229236</v>
      </c>
      <c r="W102" s="449">
        <v>18597</v>
      </c>
      <c r="X102" s="67">
        <v>19460</v>
      </c>
      <c r="Y102" s="163">
        <v>-863</v>
      </c>
      <c r="Z102" s="166">
        <v>-4.4347379239465572E-2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5502.125</v>
      </c>
      <c r="E103" s="67">
        <v>669417</v>
      </c>
      <c r="F103" s="146">
        <v>0</v>
      </c>
      <c r="G103" s="146">
        <v>0</v>
      </c>
      <c r="H103" s="91">
        <v>669417</v>
      </c>
      <c r="I103" s="67">
        <v>0</v>
      </c>
      <c r="J103" s="739">
        <v>669417</v>
      </c>
      <c r="K103" s="132" t="s">
        <v>621</v>
      </c>
      <c r="L103" s="740">
        <v>0</v>
      </c>
      <c r="M103" s="741">
        <v>5502.125</v>
      </c>
      <c r="N103" s="67">
        <v>10472</v>
      </c>
      <c r="O103" s="67">
        <v>679889</v>
      </c>
      <c r="Q103" s="674">
        <v>0</v>
      </c>
      <c r="R103" s="674">
        <v>0</v>
      </c>
      <c r="S103" s="798" t="s">
        <v>621</v>
      </c>
      <c r="T103" s="798">
        <v>1951.875</v>
      </c>
      <c r="U103" s="88">
        <v>679889</v>
      </c>
      <c r="V103" s="71">
        <v>123.56843946656973</v>
      </c>
      <c r="W103" s="449">
        <v>679889</v>
      </c>
      <c r="X103" s="67">
        <v>711440</v>
      </c>
      <c r="Y103" s="163">
        <v>-31551</v>
      </c>
      <c r="Z103" s="166">
        <v>-4.4348082761722703E-2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60</v>
      </c>
      <c r="E104" s="67">
        <v>7300</v>
      </c>
      <c r="F104" s="146">
        <v>0</v>
      </c>
      <c r="G104" s="146">
        <v>0</v>
      </c>
      <c r="H104" s="91">
        <v>7300</v>
      </c>
      <c r="I104" s="67">
        <v>0</v>
      </c>
      <c r="J104" s="739">
        <v>7300</v>
      </c>
      <c r="K104" s="132" t="s">
        <v>644</v>
      </c>
      <c r="L104" s="740">
        <v>7300</v>
      </c>
      <c r="M104" s="741">
        <v>0</v>
      </c>
      <c r="N104" s="67">
        <v>0</v>
      </c>
      <c r="O104" s="67">
        <v>0</v>
      </c>
      <c r="Q104" s="674">
        <v>0</v>
      </c>
      <c r="R104" s="674">
        <v>0</v>
      </c>
      <c r="S104" s="798" t="s">
        <v>723</v>
      </c>
      <c r="T104" s="798">
        <v>0</v>
      </c>
      <c r="U104" s="88">
        <v>0</v>
      </c>
      <c r="V104" s="71">
        <v>0</v>
      </c>
      <c r="W104" s="449">
        <v>0</v>
      </c>
      <c r="X104" s="67">
        <v>0</v>
      </c>
      <c r="Y104" s="163">
        <v>0</v>
      </c>
      <c r="Z104" s="166">
        <v>0</v>
      </c>
      <c r="AA104" s="34" t="s">
        <v>621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2833.7550000000001</v>
      </c>
      <c r="E105" s="67">
        <v>344769</v>
      </c>
      <c r="F105" s="146">
        <v>0</v>
      </c>
      <c r="G105" s="146">
        <v>0</v>
      </c>
      <c r="H105" s="91">
        <v>344769</v>
      </c>
      <c r="I105" s="67">
        <v>0</v>
      </c>
      <c r="J105" s="739">
        <v>344769</v>
      </c>
      <c r="K105" s="132" t="s">
        <v>621</v>
      </c>
      <c r="L105" s="740">
        <v>0</v>
      </c>
      <c r="M105" s="741">
        <v>2833.7550000000001</v>
      </c>
      <c r="N105" s="67">
        <v>5394</v>
      </c>
      <c r="O105" s="67">
        <v>350163</v>
      </c>
      <c r="Q105" s="674">
        <v>0</v>
      </c>
      <c r="R105" s="674">
        <v>0</v>
      </c>
      <c r="S105" s="798" t="s">
        <v>644</v>
      </c>
      <c r="T105" s="798">
        <v>0</v>
      </c>
      <c r="U105" s="88">
        <v>350163</v>
      </c>
      <c r="V105" s="71">
        <v>123.5685512685465</v>
      </c>
      <c r="W105" s="449">
        <v>350163</v>
      </c>
      <c r="X105" s="67">
        <v>366412</v>
      </c>
      <c r="Y105" s="163">
        <v>-16249</v>
      </c>
      <c r="Z105" s="166">
        <v>-4.4346255035315439E-2</v>
      </c>
      <c r="AA105" s="34" t="s">
        <v>644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724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 t="s">
        <v>723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621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2889.5050000000001</v>
      </c>
      <c r="E107" s="67">
        <v>351552</v>
      </c>
      <c r="F107" s="146">
        <v>0</v>
      </c>
      <c r="G107" s="146">
        <v>0</v>
      </c>
      <c r="H107" s="91">
        <v>351552</v>
      </c>
      <c r="I107" s="67">
        <v>0</v>
      </c>
      <c r="J107" s="739">
        <v>351552</v>
      </c>
      <c r="K107" s="132" t="s">
        <v>621</v>
      </c>
      <c r="L107" s="740">
        <v>0</v>
      </c>
      <c r="M107" s="741">
        <v>2889.5050000000001</v>
      </c>
      <c r="N107" s="67">
        <v>5500</v>
      </c>
      <c r="O107" s="67">
        <v>357052</v>
      </c>
      <c r="Q107" s="674">
        <v>0</v>
      </c>
      <c r="R107" s="674">
        <v>0</v>
      </c>
      <c r="S107" s="798" t="s">
        <v>621</v>
      </c>
      <c r="T107" s="798">
        <v>740.625</v>
      </c>
      <c r="U107" s="88">
        <v>357052</v>
      </c>
      <c r="V107" s="71">
        <v>123.56856970311523</v>
      </c>
      <c r="W107" s="449">
        <v>357052</v>
      </c>
      <c r="X107" s="67">
        <v>373621</v>
      </c>
      <c r="Y107" s="163">
        <v>-16569</v>
      </c>
      <c r="Z107" s="166">
        <v>-4.4347078991812561E-2</v>
      </c>
      <c r="AA107" s="34" t="s">
        <v>724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1173.0050000000001</v>
      </c>
      <c r="E108" s="67">
        <v>142714</v>
      </c>
      <c r="F108" s="146">
        <v>0</v>
      </c>
      <c r="G108" s="146">
        <v>0</v>
      </c>
      <c r="H108" s="91">
        <v>142714</v>
      </c>
      <c r="I108" s="67">
        <v>0</v>
      </c>
      <c r="J108" s="739">
        <v>142714</v>
      </c>
      <c r="K108" s="132" t="s">
        <v>621</v>
      </c>
      <c r="L108" s="740">
        <v>0</v>
      </c>
      <c r="M108" s="741">
        <v>1173.0050000000001</v>
      </c>
      <c r="N108" s="67">
        <v>2233</v>
      </c>
      <c r="O108" s="67">
        <v>144947</v>
      </c>
      <c r="Q108" s="674">
        <v>0</v>
      </c>
      <c r="R108" s="674">
        <v>0</v>
      </c>
      <c r="S108" s="798" t="s">
        <v>644</v>
      </c>
      <c r="T108" s="798">
        <v>0</v>
      </c>
      <c r="U108" s="88">
        <v>144947</v>
      </c>
      <c r="V108" s="71">
        <v>123.56895324401856</v>
      </c>
      <c r="W108" s="449">
        <v>144947</v>
      </c>
      <c r="X108" s="67">
        <v>151673</v>
      </c>
      <c r="Y108" s="163">
        <v>-6726</v>
      </c>
      <c r="Z108" s="166">
        <v>-4.4345400961278543E-2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146.13</v>
      </c>
      <c r="E109" s="67">
        <v>17779</v>
      </c>
      <c r="F109" s="146">
        <v>0</v>
      </c>
      <c r="G109" s="146">
        <v>0</v>
      </c>
      <c r="H109" s="91">
        <v>17779</v>
      </c>
      <c r="I109" s="67">
        <v>0</v>
      </c>
      <c r="J109" s="739">
        <v>17779</v>
      </c>
      <c r="K109" s="132" t="s">
        <v>621</v>
      </c>
      <c r="L109" s="740">
        <v>0</v>
      </c>
      <c r="M109" s="741">
        <v>146.13</v>
      </c>
      <c r="N109" s="67">
        <v>278</v>
      </c>
      <c r="O109" s="67">
        <v>18057</v>
      </c>
      <c r="Q109" s="674">
        <v>0</v>
      </c>
      <c r="R109" s="674">
        <v>0</v>
      </c>
      <c r="S109" s="798" t="s">
        <v>621</v>
      </c>
      <c r="T109" s="798">
        <v>26.625</v>
      </c>
      <c r="U109" s="88">
        <v>18057</v>
      </c>
      <c r="V109" s="71">
        <v>123.56805584068979</v>
      </c>
      <c r="W109" s="449">
        <v>18057</v>
      </c>
      <c r="X109" s="67">
        <v>18895</v>
      </c>
      <c r="Y109" s="163">
        <v>-838</v>
      </c>
      <c r="Z109" s="166">
        <v>-4.4350357237364385E-2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2929.125</v>
      </c>
      <c r="E110" s="67">
        <v>356373</v>
      </c>
      <c r="F110" s="146">
        <v>0</v>
      </c>
      <c r="G110" s="146">
        <v>0</v>
      </c>
      <c r="H110" s="91">
        <v>356373</v>
      </c>
      <c r="I110" s="67">
        <v>0</v>
      </c>
      <c r="J110" s="739">
        <v>356373</v>
      </c>
      <c r="K110" s="132" t="s">
        <v>1306</v>
      </c>
      <c r="L110" s="740">
        <v>0</v>
      </c>
      <c r="M110" s="741">
        <v>2929.125</v>
      </c>
      <c r="N110" s="67">
        <v>5575</v>
      </c>
      <c r="O110" s="67">
        <v>361948</v>
      </c>
      <c r="Q110" s="674">
        <v>0</v>
      </c>
      <c r="R110" s="674">
        <v>0</v>
      </c>
      <c r="S110" s="798" t="s">
        <v>644</v>
      </c>
      <c r="T110" s="798">
        <v>0</v>
      </c>
      <c r="U110" s="88">
        <v>361948</v>
      </c>
      <c r="V110" s="71">
        <v>123.56864251269577</v>
      </c>
      <c r="W110" s="449">
        <v>361948</v>
      </c>
      <c r="X110" s="67">
        <v>378744</v>
      </c>
      <c r="Y110" s="163">
        <v>-16796</v>
      </c>
      <c r="Z110" s="166">
        <v>-4.4346577107492131E-2</v>
      </c>
      <c r="AA110" s="34" t="s">
        <v>621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162.75</v>
      </c>
      <c r="E111" s="67">
        <v>19801</v>
      </c>
      <c r="F111" s="146">
        <v>0</v>
      </c>
      <c r="G111" s="146">
        <v>0</v>
      </c>
      <c r="H111" s="91">
        <v>19801</v>
      </c>
      <c r="I111" s="67">
        <v>0</v>
      </c>
      <c r="J111" s="739">
        <v>19801</v>
      </c>
      <c r="K111" s="132" t="s">
        <v>621</v>
      </c>
      <c r="L111" s="740">
        <v>0</v>
      </c>
      <c r="M111" s="741">
        <v>162.75</v>
      </c>
      <c r="N111" s="67">
        <v>310</v>
      </c>
      <c r="O111" s="67">
        <v>20111</v>
      </c>
      <c r="Q111" s="674">
        <v>0</v>
      </c>
      <c r="R111" s="674">
        <v>0</v>
      </c>
      <c r="S111" s="798" t="s">
        <v>621</v>
      </c>
      <c r="T111" s="798">
        <v>46</v>
      </c>
      <c r="U111" s="88">
        <v>20111</v>
      </c>
      <c r="V111" s="71">
        <v>123.56989247311827</v>
      </c>
      <c r="W111" s="449">
        <v>20111</v>
      </c>
      <c r="X111" s="67">
        <v>21044</v>
      </c>
      <c r="Y111" s="163">
        <v>-933</v>
      </c>
      <c r="Z111" s="166">
        <v>-4.4335677627827412E-2</v>
      </c>
      <c r="AA111" s="34" t="s">
        <v>1306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183.75</v>
      </c>
      <c r="E112" s="67">
        <v>22356</v>
      </c>
      <c r="F112" s="146">
        <v>0</v>
      </c>
      <c r="G112" s="146">
        <v>0</v>
      </c>
      <c r="H112" s="91">
        <v>22356</v>
      </c>
      <c r="I112" s="67">
        <v>0</v>
      </c>
      <c r="J112" s="739">
        <v>22356</v>
      </c>
      <c r="K112" s="132" t="s">
        <v>621</v>
      </c>
      <c r="L112" s="740">
        <v>0</v>
      </c>
      <c r="M112" s="741">
        <v>183.75</v>
      </c>
      <c r="N112" s="67">
        <v>350</v>
      </c>
      <c r="O112" s="67">
        <v>22706</v>
      </c>
      <c r="Q112" s="674">
        <v>0</v>
      </c>
      <c r="R112" s="674">
        <v>0</v>
      </c>
      <c r="S112" s="798" t="s">
        <v>644</v>
      </c>
      <c r="T112" s="798">
        <v>0</v>
      </c>
      <c r="U112" s="88">
        <v>22706</v>
      </c>
      <c r="V112" s="71">
        <v>123.57006802721088</v>
      </c>
      <c r="W112" s="449">
        <v>22706</v>
      </c>
      <c r="X112" s="67">
        <v>23759</v>
      </c>
      <c r="Y112" s="163">
        <v>-1053</v>
      </c>
      <c r="Z112" s="166">
        <v>-4.4320047140031148E-2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1267.625</v>
      </c>
      <c r="E113" s="67">
        <v>154226</v>
      </c>
      <c r="F113" s="146">
        <v>0</v>
      </c>
      <c r="G113" s="146">
        <v>0</v>
      </c>
      <c r="H113" s="91">
        <v>154226</v>
      </c>
      <c r="I113" s="67">
        <v>0</v>
      </c>
      <c r="J113" s="739">
        <v>154226</v>
      </c>
      <c r="K113" s="132" t="s">
        <v>621</v>
      </c>
      <c r="L113" s="740">
        <v>0</v>
      </c>
      <c r="M113" s="741">
        <v>1267.625</v>
      </c>
      <c r="N113" s="67">
        <v>2413</v>
      </c>
      <c r="O113" s="67">
        <v>156639</v>
      </c>
      <c r="Q113" s="674">
        <v>0</v>
      </c>
      <c r="R113" s="674">
        <v>0</v>
      </c>
      <c r="S113" s="798" t="s">
        <v>621</v>
      </c>
      <c r="T113" s="798">
        <v>328</v>
      </c>
      <c r="U113" s="88">
        <v>156639</v>
      </c>
      <c r="V113" s="71">
        <v>123.56887880879597</v>
      </c>
      <c r="W113" s="449">
        <v>156639</v>
      </c>
      <c r="X113" s="67">
        <v>163907</v>
      </c>
      <c r="Y113" s="163">
        <v>-7268</v>
      </c>
      <c r="Z113" s="166">
        <v>-4.434221845314721E-2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699</v>
      </c>
      <c r="E114" s="67">
        <v>85044</v>
      </c>
      <c r="F114" s="146">
        <v>0</v>
      </c>
      <c r="G114" s="146">
        <v>0</v>
      </c>
      <c r="H114" s="91">
        <v>85044</v>
      </c>
      <c r="I114" s="67">
        <v>0</v>
      </c>
      <c r="J114" s="739">
        <v>85044</v>
      </c>
      <c r="K114" s="132" t="s">
        <v>621</v>
      </c>
      <c r="L114" s="740">
        <v>0</v>
      </c>
      <c r="M114" s="741">
        <v>699</v>
      </c>
      <c r="N114" s="67">
        <v>1330</v>
      </c>
      <c r="O114" s="67">
        <v>86374</v>
      </c>
      <c r="Q114" s="674">
        <v>0</v>
      </c>
      <c r="R114" s="674">
        <v>0</v>
      </c>
      <c r="S114" s="798" t="s">
        <v>621</v>
      </c>
      <c r="T114" s="798">
        <v>215</v>
      </c>
      <c r="U114" s="88">
        <v>86374</v>
      </c>
      <c r="V114" s="71">
        <v>123.56795422031473</v>
      </c>
      <c r="W114" s="449">
        <v>86374</v>
      </c>
      <c r="X114" s="67">
        <v>90382</v>
      </c>
      <c r="Y114" s="163">
        <v>-4008</v>
      </c>
      <c r="Z114" s="166">
        <v>-4.4345112964970901E-2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2862.13</v>
      </c>
      <c r="E115" s="67">
        <v>348222</v>
      </c>
      <c r="F115" s="146">
        <v>0</v>
      </c>
      <c r="G115" s="146">
        <v>0</v>
      </c>
      <c r="H115" s="91">
        <v>348222</v>
      </c>
      <c r="I115" s="67">
        <v>0</v>
      </c>
      <c r="J115" s="739">
        <v>348222</v>
      </c>
      <c r="K115" s="132" t="s">
        <v>621</v>
      </c>
      <c r="L115" s="740">
        <v>0</v>
      </c>
      <c r="M115" s="741">
        <v>2862.13</v>
      </c>
      <c r="N115" s="67">
        <v>5448</v>
      </c>
      <c r="O115" s="67">
        <v>353670</v>
      </c>
      <c r="Q115" s="674">
        <v>0</v>
      </c>
      <c r="R115" s="674">
        <v>0</v>
      </c>
      <c r="S115" s="798" t="s">
        <v>621</v>
      </c>
      <c r="T115" s="798">
        <v>516.625</v>
      </c>
      <c r="U115" s="88">
        <v>353670</v>
      </c>
      <c r="V115" s="71">
        <v>123.56881064102609</v>
      </c>
      <c r="W115" s="449">
        <v>353670</v>
      </c>
      <c r="X115" s="67">
        <v>370081</v>
      </c>
      <c r="Y115" s="163">
        <v>-16411</v>
      </c>
      <c r="Z115" s="166">
        <v>-4.4344346237715528E-2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5471</v>
      </c>
      <c r="E116" s="67">
        <v>665630</v>
      </c>
      <c r="F116" s="146">
        <v>0</v>
      </c>
      <c r="G116" s="146">
        <v>0</v>
      </c>
      <c r="H116" s="91">
        <v>665630</v>
      </c>
      <c r="I116" s="67">
        <v>0</v>
      </c>
      <c r="J116" s="739">
        <v>665630</v>
      </c>
      <c r="K116" s="132" t="s">
        <v>621</v>
      </c>
      <c r="L116" s="740">
        <v>0</v>
      </c>
      <c r="M116" s="741">
        <v>5471</v>
      </c>
      <c r="N116" s="67">
        <v>10413</v>
      </c>
      <c r="O116" s="67">
        <v>676043</v>
      </c>
      <c r="Q116" s="674">
        <v>0</v>
      </c>
      <c r="R116" s="674">
        <v>0</v>
      </c>
      <c r="S116" s="798" t="s">
        <v>644</v>
      </c>
      <c r="T116" s="798">
        <v>0</v>
      </c>
      <c r="U116" s="88">
        <v>676043</v>
      </c>
      <c r="V116" s="71">
        <v>123.5684518369585</v>
      </c>
      <c r="W116" s="449">
        <v>676043</v>
      </c>
      <c r="X116" s="67">
        <v>707415</v>
      </c>
      <c r="Y116" s="163">
        <v>-31372</v>
      </c>
      <c r="Z116" s="166">
        <v>-4.434737742343603E-2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1675.0050000000001</v>
      </c>
      <c r="E117" s="67">
        <v>203790</v>
      </c>
      <c r="F117" s="146">
        <v>0</v>
      </c>
      <c r="G117" s="146">
        <v>0</v>
      </c>
      <c r="H117" s="91">
        <v>203790</v>
      </c>
      <c r="I117" s="67">
        <v>0</v>
      </c>
      <c r="J117" s="739">
        <v>203790</v>
      </c>
      <c r="K117" s="132" t="s">
        <v>621</v>
      </c>
      <c r="L117" s="740">
        <v>0</v>
      </c>
      <c r="M117" s="741">
        <v>1675.0050000000001</v>
      </c>
      <c r="N117" s="67">
        <v>3188</v>
      </c>
      <c r="O117" s="67">
        <v>206978</v>
      </c>
      <c r="Q117" s="674">
        <v>0</v>
      </c>
      <c r="R117" s="674">
        <v>0</v>
      </c>
      <c r="S117" s="798" t="s">
        <v>644</v>
      </c>
      <c r="T117" s="798">
        <v>0</v>
      </c>
      <c r="U117" s="88">
        <v>206978</v>
      </c>
      <c r="V117" s="71">
        <v>123.56858636242876</v>
      </c>
      <c r="W117" s="449">
        <v>206978</v>
      </c>
      <c r="X117" s="67">
        <v>216583</v>
      </c>
      <c r="Y117" s="163">
        <v>-9605</v>
      </c>
      <c r="Z117" s="166">
        <v>-4.4347894340737729E-2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724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 t="s">
        <v>723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621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277.75</v>
      </c>
      <c r="E119" s="67">
        <v>33793</v>
      </c>
      <c r="F119" s="146">
        <v>0</v>
      </c>
      <c r="G119" s="146">
        <v>0</v>
      </c>
      <c r="H119" s="91">
        <v>33793</v>
      </c>
      <c r="I119" s="67">
        <v>0</v>
      </c>
      <c r="J119" s="739">
        <v>33793</v>
      </c>
      <c r="K119" s="132" t="s">
        <v>621</v>
      </c>
      <c r="L119" s="740">
        <v>0</v>
      </c>
      <c r="M119" s="741">
        <v>277.75</v>
      </c>
      <c r="N119" s="67">
        <v>529</v>
      </c>
      <c r="O119" s="67">
        <v>34322</v>
      </c>
      <c r="Q119" s="674">
        <v>0</v>
      </c>
      <c r="R119" s="674">
        <v>0</v>
      </c>
      <c r="S119" s="798" t="s">
        <v>644</v>
      </c>
      <c r="T119" s="798">
        <v>0</v>
      </c>
      <c r="U119" s="88">
        <v>34322</v>
      </c>
      <c r="V119" s="71">
        <v>123.57155715571557</v>
      </c>
      <c r="W119" s="449">
        <v>34322</v>
      </c>
      <c r="X119" s="67">
        <v>35914</v>
      </c>
      <c r="Y119" s="163">
        <v>-1592</v>
      </c>
      <c r="Z119" s="166">
        <v>-4.4328117168792112E-2</v>
      </c>
      <c r="AA119" s="34" t="s">
        <v>724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39</v>
      </c>
      <c r="E120" s="67">
        <v>4745</v>
      </c>
      <c r="F120" s="146">
        <v>0</v>
      </c>
      <c r="G120" s="146">
        <v>0</v>
      </c>
      <c r="H120" s="91">
        <v>4745</v>
      </c>
      <c r="I120" s="67">
        <v>0</v>
      </c>
      <c r="J120" s="739">
        <v>4745</v>
      </c>
      <c r="K120" s="132" t="s">
        <v>644</v>
      </c>
      <c r="L120" s="740">
        <v>4745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 t="s">
        <v>723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621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229</v>
      </c>
      <c r="E121" s="67">
        <v>27861</v>
      </c>
      <c r="F121" s="146">
        <v>0</v>
      </c>
      <c r="G121" s="146">
        <v>0</v>
      </c>
      <c r="H121" s="91">
        <v>27861</v>
      </c>
      <c r="I121" s="67">
        <v>0</v>
      </c>
      <c r="J121" s="739">
        <v>27861</v>
      </c>
      <c r="K121" s="132" t="s">
        <v>621</v>
      </c>
      <c r="L121" s="740">
        <v>0</v>
      </c>
      <c r="M121" s="741">
        <v>229</v>
      </c>
      <c r="N121" s="67">
        <v>436</v>
      </c>
      <c r="O121" s="67">
        <v>28297</v>
      </c>
      <c r="Q121" s="674">
        <v>0</v>
      </c>
      <c r="R121" s="674">
        <v>0</v>
      </c>
      <c r="S121" s="798" t="s">
        <v>644</v>
      </c>
      <c r="T121" s="798">
        <v>0</v>
      </c>
      <c r="U121" s="88">
        <v>28297</v>
      </c>
      <c r="V121" s="71">
        <v>123.56768558951966</v>
      </c>
      <c r="W121" s="449">
        <v>28297</v>
      </c>
      <c r="X121" s="67">
        <v>29611</v>
      </c>
      <c r="Y121" s="163">
        <v>-1314</v>
      </c>
      <c r="Z121" s="166">
        <v>-4.437540103339975E-2</v>
      </c>
      <c r="AA121" s="34" t="s">
        <v>644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328.125</v>
      </c>
      <c r="E122" s="67">
        <v>39921</v>
      </c>
      <c r="F122" s="146">
        <v>0</v>
      </c>
      <c r="G122" s="146">
        <v>0</v>
      </c>
      <c r="H122" s="91">
        <v>39921</v>
      </c>
      <c r="I122" s="67">
        <v>0</v>
      </c>
      <c r="J122" s="739">
        <v>39921</v>
      </c>
      <c r="K122" s="132" t="s">
        <v>621</v>
      </c>
      <c r="L122" s="740">
        <v>0</v>
      </c>
      <c r="M122" s="741">
        <v>328.125</v>
      </c>
      <c r="N122" s="67">
        <v>625</v>
      </c>
      <c r="O122" s="67">
        <v>40546</v>
      </c>
      <c r="Q122" s="674">
        <v>0</v>
      </c>
      <c r="R122" s="674">
        <v>0</v>
      </c>
      <c r="S122" s="798" t="s">
        <v>621</v>
      </c>
      <c r="T122" s="798">
        <v>114.875</v>
      </c>
      <c r="U122" s="88">
        <v>40546</v>
      </c>
      <c r="V122" s="71">
        <v>123.5687619047619</v>
      </c>
      <c r="W122" s="449">
        <v>40546</v>
      </c>
      <c r="X122" s="67">
        <v>42427</v>
      </c>
      <c r="Y122" s="163">
        <v>-1881</v>
      </c>
      <c r="Z122" s="166">
        <v>-4.4334975369458129E-2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176</v>
      </c>
      <c r="E123" s="67">
        <v>21413</v>
      </c>
      <c r="F123" s="146">
        <v>0</v>
      </c>
      <c r="G123" s="146">
        <v>0</v>
      </c>
      <c r="H123" s="91">
        <v>21413</v>
      </c>
      <c r="I123" s="67">
        <v>0</v>
      </c>
      <c r="J123" s="739">
        <v>21413</v>
      </c>
      <c r="K123" s="132" t="s">
        <v>621</v>
      </c>
      <c r="L123" s="740">
        <v>0</v>
      </c>
      <c r="M123" s="741">
        <v>176</v>
      </c>
      <c r="N123" s="67">
        <v>335</v>
      </c>
      <c r="O123" s="67">
        <v>21748</v>
      </c>
      <c r="Q123" s="674">
        <v>0</v>
      </c>
      <c r="R123" s="674">
        <v>0</v>
      </c>
      <c r="S123" s="798" t="s">
        <v>644</v>
      </c>
      <c r="T123" s="798">
        <v>0</v>
      </c>
      <c r="U123" s="88">
        <v>21748</v>
      </c>
      <c r="V123" s="71">
        <v>123.56818181818181</v>
      </c>
      <c r="W123" s="449">
        <v>21748</v>
      </c>
      <c r="X123" s="67">
        <v>22757</v>
      </c>
      <c r="Y123" s="163">
        <v>-1009</v>
      </c>
      <c r="Z123" s="166">
        <v>-4.4338005888298108E-2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724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 t="s">
        <v>723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621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11.75</v>
      </c>
      <c r="E125" s="67">
        <v>1430</v>
      </c>
      <c r="F125" s="146">
        <v>0</v>
      </c>
      <c r="G125" s="146">
        <v>0</v>
      </c>
      <c r="H125" s="91">
        <v>1430</v>
      </c>
      <c r="I125" s="67">
        <v>0</v>
      </c>
      <c r="J125" s="739">
        <v>1430</v>
      </c>
      <c r="K125" s="132" t="s">
        <v>1306</v>
      </c>
      <c r="L125" s="740">
        <v>0</v>
      </c>
      <c r="M125" s="741">
        <v>11.75</v>
      </c>
      <c r="N125" s="67">
        <v>22</v>
      </c>
      <c r="O125" s="67">
        <v>1452</v>
      </c>
      <c r="Q125" s="674">
        <v>0</v>
      </c>
      <c r="R125" s="674">
        <v>0</v>
      </c>
      <c r="S125" s="798" t="s">
        <v>723</v>
      </c>
      <c r="T125" s="798">
        <v>3</v>
      </c>
      <c r="U125" s="88">
        <v>1452</v>
      </c>
      <c r="V125" s="71">
        <v>123.57446808510639</v>
      </c>
      <c r="W125" s="449">
        <v>1452</v>
      </c>
      <c r="X125" s="67">
        <v>1519</v>
      </c>
      <c r="Y125" s="163">
        <v>-67</v>
      </c>
      <c r="Z125" s="166">
        <v>-4.4107965766951945E-2</v>
      </c>
      <c r="AA125" s="34" t="s">
        <v>724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724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 t="s">
        <v>723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1306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242.63</v>
      </c>
      <c r="E127" s="67">
        <v>29520</v>
      </c>
      <c r="F127" s="146">
        <v>0</v>
      </c>
      <c r="G127" s="146">
        <v>0</v>
      </c>
      <c r="H127" s="91">
        <v>29520</v>
      </c>
      <c r="I127" s="67">
        <v>0</v>
      </c>
      <c r="J127" s="739">
        <v>29520</v>
      </c>
      <c r="K127" s="132" t="s">
        <v>621</v>
      </c>
      <c r="L127" s="740">
        <v>0</v>
      </c>
      <c r="M127" s="741">
        <v>242.63</v>
      </c>
      <c r="N127" s="67">
        <v>462</v>
      </c>
      <c r="O127" s="67">
        <v>29982</v>
      </c>
      <c r="Q127" s="674">
        <v>0</v>
      </c>
      <c r="R127" s="674">
        <v>0</v>
      </c>
      <c r="S127" s="798" t="s">
        <v>621</v>
      </c>
      <c r="T127" s="798">
        <v>80.25</v>
      </c>
      <c r="U127" s="88">
        <v>29982</v>
      </c>
      <c r="V127" s="71">
        <v>123.57086922474549</v>
      </c>
      <c r="W127" s="449">
        <v>29982</v>
      </c>
      <c r="X127" s="67">
        <v>31373</v>
      </c>
      <c r="Y127" s="163">
        <v>-1391</v>
      </c>
      <c r="Z127" s="166">
        <v>-4.4337487648615052E-2</v>
      </c>
      <c r="AA127" s="34" t="s">
        <v>724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6327</v>
      </c>
      <c r="F128" s="146">
        <v>0</v>
      </c>
      <c r="G128" s="146">
        <v>0</v>
      </c>
      <c r="H128" s="91">
        <v>6327</v>
      </c>
      <c r="I128" s="67">
        <v>0</v>
      </c>
      <c r="J128" s="739">
        <v>6327</v>
      </c>
      <c r="K128" s="132" t="s">
        <v>1306</v>
      </c>
      <c r="L128" s="740">
        <v>0</v>
      </c>
      <c r="M128" s="741">
        <v>52</v>
      </c>
      <c r="N128" s="67">
        <v>99</v>
      </c>
      <c r="O128" s="67">
        <v>6426</v>
      </c>
      <c r="Q128" s="674">
        <v>0</v>
      </c>
      <c r="R128" s="674">
        <v>0</v>
      </c>
      <c r="S128" s="798" t="s">
        <v>723</v>
      </c>
      <c r="T128" s="798">
        <v>19.75</v>
      </c>
      <c r="U128" s="88">
        <v>6426</v>
      </c>
      <c r="V128" s="71">
        <v>123.57692307692308</v>
      </c>
      <c r="W128" s="449">
        <v>6426</v>
      </c>
      <c r="X128" s="67">
        <v>6724</v>
      </c>
      <c r="Y128" s="163">
        <v>-298</v>
      </c>
      <c r="Z128" s="166">
        <v>-4.4318857822724565E-2</v>
      </c>
      <c r="AA128" s="34" t="s">
        <v>621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23.63</v>
      </c>
      <c r="E129" s="67">
        <v>2875</v>
      </c>
      <c r="F129" s="146">
        <v>0</v>
      </c>
      <c r="G129" s="146">
        <v>0</v>
      </c>
      <c r="H129" s="91">
        <v>2875</v>
      </c>
      <c r="I129" s="67">
        <v>0</v>
      </c>
      <c r="J129" s="739">
        <v>2875</v>
      </c>
      <c r="K129" s="132" t="s">
        <v>1306</v>
      </c>
      <c r="L129" s="740">
        <v>0</v>
      </c>
      <c r="M129" s="741">
        <v>23.63</v>
      </c>
      <c r="N129" s="67">
        <v>45</v>
      </c>
      <c r="O129" s="67">
        <v>2920</v>
      </c>
      <c r="Q129" s="674">
        <v>0</v>
      </c>
      <c r="R129" s="674">
        <v>0</v>
      </c>
      <c r="S129" s="798" t="s">
        <v>723</v>
      </c>
      <c r="T129" s="798">
        <v>12</v>
      </c>
      <c r="U129" s="88">
        <v>2920</v>
      </c>
      <c r="V129" s="71">
        <v>123.57173085061363</v>
      </c>
      <c r="W129" s="449">
        <v>2920</v>
      </c>
      <c r="X129" s="67">
        <v>3055</v>
      </c>
      <c r="Y129" s="163">
        <v>-135</v>
      </c>
      <c r="Z129" s="166">
        <v>-4.4189852700491E-2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724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 t="s">
        <v>723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1306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724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 t="s">
        <v>723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724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724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 t="s">
        <v>723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724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724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 t="s">
        <v>723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724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724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 t="s">
        <v>723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724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724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 t="s">
        <v>723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724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20.75</v>
      </c>
      <c r="E136" s="67">
        <v>2525</v>
      </c>
      <c r="F136" s="146">
        <v>0</v>
      </c>
      <c r="G136" s="146">
        <v>0</v>
      </c>
      <c r="H136" s="91">
        <v>2525</v>
      </c>
      <c r="I136" s="67">
        <v>0</v>
      </c>
      <c r="J136" s="739">
        <v>2525</v>
      </c>
      <c r="K136" s="132" t="s">
        <v>724</v>
      </c>
      <c r="L136" s="740">
        <v>2525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 t="s">
        <v>723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724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28.5</v>
      </c>
      <c r="E137" s="67">
        <v>3467</v>
      </c>
      <c r="F137" s="146">
        <v>0</v>
      </c>
      <c r="G137" s="146">
        <v>0</v>
      </c>
      <c r="H137" s="91">
        <v>3467</v>
      </c>
      <c r="I137" s="67">
        <v>0</v>
      </c>
      <c r="J137" s="739">
        <v>3467</v>
      </c>
      <c r="K137" s="132" t="s">
        <v>1306</v>
      </c>
      <c r="L137" s="740">
        <v>0</v>
      </c>
      <c r="M137" s="741">
        <v>28.5</v>
      </c>
      <c r="N137" s="67">
        <v>54</v>
      </c>
      <c r="O137" s="67">
        <v>3521</v>
      </c>
      <c r="Q137" s="674">
        <v>0</v>
      </c>
      <c r="R137" s="674">
        <v>0</v>
      </c>
      <c r="S137" s="798" t="s">
        <v>723</v>
      </c>
      <c r="T137" s="798">
        <v>17.625</v>
      </c>
      <c r="U137" s="88">
        <v>3521</v>
      </c>
      <c r="V137" s="71">
        <v>123.54385964912281</v>
      </c>
      <c r="W137" s="449">
        <v>3521</v>
      </c>
      <c r="X137" s="67">
        <v>3685</v>
      </c>
      <c r="Y137" s="163">
        <v>-164</v>
      </c>
      <c r="Z137" s="166">
        <v>-4.4504748982360925E-2</v>
      </c>
      <c r="AA137" s="34" t="s">
        <v>724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192.5</v>
      </c>
      <c r="E138" s="67">
        <v>23421</v>
      </c>
      <c r="F138" s="146">
        <v>0</v>
      </c>
      <c r="G138" s="146">
        <v>0</v>
      </c>
      <c r="H138" s="91">
        <v>23421</v>
      </c>
      <c r="I138" s="67">
        <v>0</v>
      </c>
      <c r="J138" s="739">
        <v>23421</v>
      </c>
      <c r="K138" s="132" t="s">
        <v>621</v>
      </c>
      <c r="L138" s="740">
        <v>0</v>
      </c>
      <c r="M138" s="741">
        <v>192.5</v>
      </c>
      <c r="N138" s="67">
        <v>366</v>
      </c>
      <c r="O138" s="67">
        <v>23787</v>
      </c>
      <c r="Q138" s="674">
        <v>0</v>
      </c>
      <c r="R138" s="674">
        <v>0</v>
      </c>
      <c r="S138" s="798" t="s">
        <v>644</v>
      </c>
      <c r="T138" s="798">
        <v>0</v>
      </c>
      <c r="U138" s="88">
        <v>23787</v>
      </c>
      <c r="V138" s="71">
        <v>123.56883116883117</v>
      </c>
      <c r="W138" s="449">
        <v>23787</v>
      </c>
      <c r="X138" s="67">
        <v>24891</v>
      </c>
      <c r="Y138" s="163">
        <v>-1104</v>
      </c>
      <c r="Z138" s="166">
        <v>-4.4353380740026517E-2</v>
      </c>
      <c r="AA138" s="34" t="s">
        <v>1306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4.25</v>
      </c>
      <c r="E139" s="67">
        <v>517</v>
      </c>
      <c r="F139" s="146">
        <v>0</v>
      </c>
      <c r="G139" s="146">
        <v>0</v>
      </c>
      <c r="H139" s="91">
        <v>517</v>
      </c>
      <c r="I139" s="67">
        <v>0</v>
      </c>
      <c r="J139" s="739">
        <v>517</v>
      </c>
      <c r="K139" s="132" t="s">
        <v>644</v>
      </c>
      <c r="L139" s="740">
        <v>517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 t="s">
        <v>723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621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24.13</v>
      </c>
      <c r="E140" s="67">
        <v>2936</v>
      </c>
      <c r="F140" s="146">
        <v>0</v>
      </c>
      <c r="G140" s="146">
        <v>0</v>
      </c>
      <c r="H140" s="91">
        <v>2936</v>
      </c>
      <c r="I140" s="67">
        <v>0</v>
      </c>
      <c r="J140" s="739">
        <v>2936</v>
      </c>
      <c r="K140" s="132" t="s">
        <v>724</v>
      </c>
      <c r="L140" s="740">
        <v>2936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 t="s">
        <v>723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1.5</v>
      </c>
      <c r="E141" s="67">
        <v>182</v>
      </c>
      <c r="F141" s="146">
        <v>0</v>
      </c>
      <c r="G141" s="146">
        <v>0</v>
      </c>
      <c r="H141" s="91">
        <v>182</v>
      </c>
      <c r="I141" s="67">
        <v>0</v>
      </c>
      <c r="J141" s="739">
        <v>182</v>
      </c>
      <c r="K141" s="132" t="s">
        <v>724</v>
      </c>
      <c r="L141" s="740">
        <v>182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 t="s">
        <v>723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724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59.75</v>
      </c>
      <c r="E142" s="67">
        <v>7269</v>
      </c>
      <c r="F142" s="146">
        <v>0</v>
      </c>
      <c r="G142" s="146">
        <v>0</v>
      </c>
      <c r="H142" s="91">
        <v>7269</v>
      </c>
      <c r="I142" s="67">
        <v>0</v>
      </c>
      <c r="J142" s="739">
        <v>7269</v>
      </c>
      <c r="K142" s="132" t="s">
        <v>1306</v>
      </c>
      <c r="L142" s="740">
        <v>0</v>
      </c>
      <c r="M142" s="741">
        <v>59.75</v>
      </c>
      <c r="N142" s="67">
        <v>114</v>
      </c>
      <c r="O142" s="67">
        <v>7383</v>
      </c>
      <c r="Q142" s="674">
        <v>0</v>
      </c>
      <c r="R142" s="674">
        <v>0</v>
      </c>
      <c r="S142" s="798" t="s">
        <v>621</v>
      </c>
      <c r="T142" s="798">
        <v>11.375</v>
      </c>
      <c r="U142" s="88">
        <v>7383</v>
      </c>
      <c r="V142" s="71">
        <v>123.56485355648536</v>
      </c>
      <c r="W142" s="449">
        <v>7383</v>
      </c>
      <c r="X142" s="67">
        <v>7726</v>
      </c>
      <c r="Y142" s="163">
        <v>-343</v>
      </c>
      <c r="Z142" s="166">
        <v>-4.4395547501941496E-2</v>
      </c>
      <c r="AA142" s="34" t="s">
        <v>724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724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 t="s">
        <v>723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1306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724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 t="s">
        <v>723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724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97.125</v>
      </c>
      <c r="E145" s="88">
        <v>11817</v>
      </c>
      <c r="F145" s="146">
        <v>0</v>
      </c>
      <c r="G145" s="146">
        <v>0</v>
      </c>
      <c r="H145" s="91">
        <v>11817</v>
      </c>
      <c r="I145" s="67">
        <v>0</v>
      </c>
      <c r="J145" s="739">
        <v>11817</v>
      </c>
      <c r="K145" s="132" t="s">
        <v>621</v>
      </c>
      <c r="L145" s="740">
        <v>0</v>
      </c>
      <c r="M145" s="741">
        <v>97.125</v>
      </c>
      <c r="N145" s="67">
        <v>185</v>
      </c>
      <c r="O145" s="67">
        <v>12002</v>
      </c>
      <c r="Q145" s="674">
        <v>0</v>
      </c>
      <c r="R145" s="674">
        <v>0</v>
      </c>
      <c r="S145" s="798" t="s">
        <v>644</v>
      </c>
      <c r="T145" s="798">
        <v>0</v>
      </c>
      <c r="U145" s="88">
        <v>12002</v>
      </c>
      <c r="V145" s="71">
        <v>123.57271557271557</v>
      </c>
      <c r="W145" s="449">
        <v>12002</v>
      </c>
      <c r="X145" s="67">
        <v>12559</v>
      </c>
      <c r="Y145" s="163">
        <v>-557</v>
      </c>
      <c r="Z145" s="166">
        <v>-4.435066486185206E-2</v>
      </c>
      <c r="AA145" s="34" t="s">
        <v>724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2</v>
      </c>
      <c r="E146" s="67">
        <v>243</v>
      </c>
      <c r="F146" s="146">
        <v>0</v>
      </c>
      <c r="G146" s="146">
        <v>0</v>
      </c>
      <c r="H146" s="91">
        <v>243</v>
      </c>
      <c r="I146" s="67">
        <v>0</v>
      </c>
      <c r="J146" s="739">
        <v>243</v>
      </c>
      <c r="K146" s="132" t="s">
        <v>724</v>
      </c>
      <c r="L146" s="740">
        <v>243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 t="s">
        <v>723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621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14.88</v>
      </c>
      <c r="E147" s="67">
        <v>1810</v>
      </c>
      <c r="F147" s="146">
        <v>0</v>
      </c>
      <c r="G147" s="146">
        <v>0</v>
      </c>
      <c r="H147" s="91">
        <v>1810</v>
      </c>
      <c r="I147" s="67">
        <v>0</v>
      </c>
      <c r="J147" s="739">
        <v>1810</v>
      </c>
      <c r="K147" s="132" t="s">
        <v>724</v>
      </c>
      <c r="L147" s="740">
        <v>1810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 t="s">
        <v>723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724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33.75</v>
      </c>
      <c r="E148" s="67">
        <v>4106</v>
      </c>
      <c r="F148" s="146">
        <v>0</v>
      </c>
      <c r="G148" s="146">
        <v>0</v>
      </c>
      <c r="H148" s="91">
        <v>4106</v>
      </c>
      <c r="I148" s="67">
        <v>0</v>
      </c>
      <c r="J148" s="739">
        <v>4106</v>
      </c>
      <c r="K148" s="132" t="s">
        <v>1306</v>
      </c>
      <c r="L148" s="740">
        <v>0</v>
      </c>
      <c r="M148" s="741">
        <v>33.75</v>
      </c>
      <c r="N148" s="67">
        <v>64</v>
      </c>
      <c r="O148" s="67">
        <v>4170</v>
      </c>
      <c r="Q148" s="674">
        <v>0</v>
      </c>
      <c r="R148" s="674">
        <v>0</v>
      </c>
      <c r="S148" s="798" t="s">
        <v>723</v>
      </c>
      <c r="T148" s="798">
        <v>8.5</v>
      </c>
      <c r="U148" s="88">
        <v>4170</v>
      </c>
      <c r="V148" s="71">
        <v>123.55555555555556</v>
      </c>
      <c r="W148" s="449">
        <v>4170</v>
      </c>
      <c r="X148" s="67">
        <v>4364</v>
      </c>
      <c r="Y148" s="163">
        <v>-194</v>
      </c>
      <c r="Z148" s="166">
        <v>-4.4454628780934924E-2</v>
      </c>
      <c r="AA148" s="34" t="s">
        <v>724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724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 t="s">
        <v>723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1306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145.25</v>
      </c>
      <c r="E150" s="67">
        <v>17672</v>
      </c>
      <c r="F150" s="146">
        <v>0</v>
      </c>
      <c r="G150" s="146">
        <v>0</v>
      </c>
      <c r="H150" s="91">
        <v>17672</v>
      </c>
      <c r="I150" s="67">
        <v>0</v>
      </c>
      <c r="J150" s="739">
        <v>17672</v>
      </c>
      <c r="K150" s="132" t="s">
        <v>621</v>
      </c>
      <c r="L150" s="740">
        <v>0</v>
      </c>
      <c r="M150" s="741">
        <v>145.25</v>
      </c>
      <c r="N150" s="67">
        <v>276</v>
      </c>
      <c r="O150" s="67">
        <v>17948</v>
      </c>
      <c r="Q150" s="674">
        <v>0</v>
      </c>
      <c r="R150" s="674">
        <v>0</v>
      </c>
      <c r="S150" s="798" t="s">
        <v>644</v>
      </c>
      <c r="T150" s="798">
        <v>0</v>
      </c>
      <c r="U150" s="88">
        <v>17948</v>
      </c>
      <c r="V150" s="71">
        <v>123.56626506024097</v>
      </c>
      <c r="W150" s="449">
        <v>17948</v>
      </c>
      <c r="X150" s="67">
        <v>18782</v>
      </c>
      <c r="Y150" s="163">
        <v>-834</v>
      </c>
      <c r="Z150" s="166">
        <v>-4.4404216803322329E-2</v>
      </c>
      <c r="AA150" s="34" t="s">
        <v>724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724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 t="s">
        <v>723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621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417</v>
      </c>
      <c r="E152" s="67">
        <v>50734</v>
      </c>
      <c r="F152" s="146">
        <v>0</v>
      </c>
      <c r="G152" s="146">
        <v>0</v>
      </c>
      <c r="H152" s="91">
        <v>50734</v>
      </c>
      <c r="I152" s="67">
        <v>0</v>
      </c>
      <c r="J152" s="739">
        <v>50734</v>
      </c>
      <c r="K152" s="132" t="s">
        <v>621</v>
      </c>
      <c r="L152" s="740">
        <v>0</v>
      </c>
      <c r="M152" s="741">
        <v>417</v>
      </c>
      <c r="N152" s="67">
        <v>794</v>
      </c>
      <c r="O152" s="67">
        <v>51528</v>
      </c>
      <c r="Q152" s="674">
        <v>0</v>
      </c>
      <c r="R152" s="674">
        <v>0</v>
      </c>
      <c r="S152" s="798" t="s">
        <v>644</v>
      </c>
      <c r="T152" s="798">
        <v>0</v>
      </c>
      <c r="U152" s="88">
        <v>51528</v>
      </c>
      <c r="V152" s="71">
        <v>123.56834532374101</v>
      </c>
      <c r="W152" s="449">
        <v>51528</v>
      </c>
      <c r="X152" s="67">
        <v>53919</v>
      </c>
      <c r="Y152" s="163">
        <v>-2391</v>
      </c>
      <c r="Z152" s="166">
        <v>-4.4344294219106441E-2</v>
      </c>
      <c r="AA152" s="34" t="s">
        <v>724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724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 t="s">
        <v>723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621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17</v>
      </c>
      <c r="E154" s="67">
        <v>2068</v>
      </c>
      <c r="F154" s="146">
        <v>0</v>
      </c>
      <c r="G154" s="146">
        <v>0</v>
      </c>
      <c r="H154" s="91">
        <v>2068</v>
      </c>
      <c r="I154" s="67">
        <v>0</v>
      </c>
      <c r="J154" s="739">
        <v>2068</v>
      </c>
      <c r="K154" s="132" t="s">
        <v>644</v>
      </c>
      <c r="L154" s="740">
        <v>2068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 t="s">
        <v>723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724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724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 t="s">
        <v>723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724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 t="s">
        <v>723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724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724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 t="s">
        <v>723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724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724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 t="s">
        <v>723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724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724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 t="s">
        <v>723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724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724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 t="s">
        <v>723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724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1.1299999999999999</v>
      </c>
      <c r="E161" s="67">
        <v>137</v>
      </c>
      <c r="F161" s="146">
        <v>0</v>
      </c>
      <c r="G161" s="146">
        <v>0</v>
      </c>
      <c r="H161" s="91">
        <v>137</v>
      </c>
      <c r="I161" s="67">
        <v>0</v>
      </c>
      <c r="J161" s="739">
        <v>137</v>
      </c>
      <c r="K161" s="132" t="s">
        <v>724</v>
      </c>
      <c r="L161" s="740">
        <v>137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 t="s">
        <v>723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724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724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 t="s">
        <v>723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724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642</v>
      </c>
      <c r="E163" s="67">
        <v>78109</v>
      </c>
      <c r="F163" s="146">
        <v>0</v>
      </c>
      <c r="G163" s="146">
        <v>0</v>
      </c>
      <c r="H163" s="91">
        <v>78109</v>
      </c>
      <c r="I163" s="67">
        <v>0</v>
      </c>
      <c r="J163" s="739">
        <v>78109</v>
      </c>
      <c r="K163" s="132" t="s">
        <v>621</v>
      </c>
      <c r="L163" s="740">
        <v>0</v>
      </c>
      <c r="M163" s="741">
        <v>642</v>
      </c>
      <c r="N163" s="67">
        <v>1222</v>
      </c>
      <c r="O163" s="67">
        <v>79331</v>
      </c>
      <c r="Q163" s="674">
        <v>0</v>
      </c>
      <c r="R163" s="674">
        <v>0</v>
      </c>
      <c r="S163" s="798" t="s">
        <v>644</v>
      </c>
      <c r="T163" s="798">
        <v>0</v>
      </c>
      <c r="U163" s="88">
        <v>79331</v>
      </c>
      <c r="V163" s="71">
        <v>123.56853582554517</v>
      </c>
      <c r="W163" s="449">
        <v>79331</v>
      </c>
      <c r="X163" s="67">
        <v>83012</v>
      </c>
      <c r="Y163" s="163">
        <v>-3681</v>
      </c>
      <c r="Z163" s="166">
        <v>-4.4342986556160556E-2</v>
      </c>
      <c r="AA163" s="34" t="s">
        <v>724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724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 t="s">
        <v>723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621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17.25</v>
      </c>
      <c r="E165" s="67">
        <v>2099</v>
      </c>
      <c r="F165" s="146">
        <v>0</v>
      </c>
      <c r="G165" s="146">
        <v>0</v>
      </c>
      <c r="H165" s="91">
        <v>2099</v>
      </c>
      <c r="I165" s="67">
        <v>0</v>
      </c>
      <c r="J165" s="739">
        <v>2099</v>
      </c>
      <c r="K165" s="132" t="s">
        <v>724</v>
      </c>
      <c r="L165" s="740">
        <v>2099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 t="s">
        <v>723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724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215.25</v>
      </c>
      <c r="E166" s="67">
        <v>26188</v>
      </c>
      <c r="F166" s="146">
        <v>0</v>
      </c>
      <c r="G166" s="146">
        <v>0</v>
      </c>
      <c r="H166" s="91">
        <v>26188</v>
      </c>
      <c r="I166" s="67">
        <v>0</v>
      </c>
      <c r="J166" s="739">
        <v>26188</v>
      </c>
      <c r="K166" s="132" t="s">
        <v>621</v>
      </c>
      <c r="L166" s="740">
        <v>0</v>
      </c>
      <c r="M166" s="741">
        <v>215.25</v>
      </c>
      <c r="N166" s="67">
        <v>410</v>
      </c>
      <c r="O166" s="67">
        <v>26598</v>
      </c>
      <c r="Q166" s="674">
        <v>0</v>
      </c>
      <c r="R166" s="674">
        <v>0</v>
      </c>
      <c r="S166" s="798" t="s">
        <v>621</v>
      </c>
      <c r="T166" s="798">
        <v>94.5</v>
      </c>
      <c r="U166" s="88">
        <v>26598</v>
      </c>
      <c r="V166" s="71">
        <v>123.56794425087108</v>
      </c>
      <c r="W166" s="449">
        <v>26598</v>
      </c>
      <c r="X166" s="67">
        <v>27832</v>
      </c>
      <c r="Y166" s="163">
        <v>-1234</v>
      </c>
      <c r="Z166" s="166">
        <v>-4.4337453291175624E-2</v>
      </c>
      <c r="AA166" s="34" t="s">
        <v>724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6.25</v>
      </c>
      <c r="E167" s="67">
        <v>760</v>
      </c>
      <c r="F167" s="146">
        <v>0</v>
      </c>
      <c r="G167" s="146">
        <v>0</v>
      </c>
      <c r="H167" s="91">
        <v>760</v>
      </c>
      <c r="I167" s="67">
        <v>0</v>
      </c>
      <c r="J167" s="739">
        <v>760</v>
      </c>
      <c r="K167" s="132" t="s">
        <v>724</v>
      </c>
      <c r="L167" s="740">
        <v>760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 t="s">
        <v>723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621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110.25</v>
      </c>
      <c r="E168" s="67">
        <v>13414</v>
      </c>
      <c r="F168" s="146">
        <v>0</v>
      </c>
      <c r="G168" s="146">
        <v>0</v>
      </c>
      <c r="H168" s="91">
        <v>13414</v>
      </c>
      <c r="I168" s="67">
        <v>0</v>
      </c>
      <c r="J168" s="739">
        <v>13414</v>
      </c>
      <c r="K168" s="132" t="s">
        <v>621</v>
      </c>
      <c r="L168" s="740">
        <v>0</v>
      </c>
      <c r="M168" s="741">
        <v>110.25</v>
      </c>
      <c r="N168" s="67">
        <v>210</v>
      </c>
      <c r="O168" s="67">
        <v>13624</v>
      </c>
      <c r="Q168" s="674">
        <v>0</v>
      </c>
      <c r="R168" s="674">
        <v>0</v>
      </c>
      <c r="S168" s="798" t="s">
        <v>621</v>
      </c>
      <c r="T168" s="798">
        <v>20.5</v>
      </c>
      <c r="U168" s="88">
        <v>13624</v>
      </c>
      <c r="V168" s="71">
        <v>123.57369614512471</v>
      </c>
      <c r="W168" s="449">
        <v>13624</v>
      </c>
      <c r="X168" s="67">
        <v>14255</v>
      </c>
      <c r="Y168" s="163">
        <v>-631</v>
      </c>
      <c r="Z168" s="166">
        <v>-4.4265170115748861E-2</v>
      </c>
      <c r="AA168" s="34" t="s">
        <v>724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170.375</v>
      </c>
      <c r="E169" s="67">
        <v>20729</v>
      </c>
      <c r="F169" s="146">
        <v>0</v>
      </c>
      <c r="G169" s="146">
        <v>0</v>
      </c>
      <c r="H169" s="91">
        <v>20729</v>
      </c>
      <c r="I169" s="67">
        <v>0</v>
      </c>
      <c r="J169" s="739">
        <v>20729</v>
      </c>
      <c r="K169" s="132" t="s">
        <v>621</v>
      </c>
      <c r="L169" s="740">
        <v>0</v>
      </c>
      <c r="M169" s="741">
        <v>170.375</v>
      </c>
      <c r="N169" s="67">
        <v>324</v>
      </c>
      <c r="O169" s="67">
        <v>21053</v>
      </c>
      <c r="Q169" s="674">
        <v>0</v>
      </c>
      <c r="R169" s="674">
        <v>0</v>
      </c>
      <c r="S169" s="798" t="s">
        <v>644</v>
      </c>
      <c r="T169" s="798">
        <v>0</v>
      </c>
      <c r="U169" s="88">
        <v>21053</v>
      </c>
      <c r="V169" s="71">
        <v>123.56859867938371</v>
      </c>
      <c r="W169" s="449">
        <v>21053</v>
      </c>
      <c r="X169" s="67">
        <v>22029</v>
      </c>
      <c r="Y169" s="163">
        <v>-976</v>
      </c>
      <c r="Z169" s="166">
        <v>-4.4305234009714464E-2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143.375</v>
      </c>
      <c r="E170" s="67">
        <v>17444</v>
      </c>
      <c r="F170" s="146">
        <v>0</v>
      </c>
      <c r="G170" s="146">
        <v>0</v>
      </c>
      <c r="H170" s="91">
        <v>17444</v>
      </c>
      <c r="I170" s="67">
        <v>0</v>
      </c>
      <c r="J170" s="739">
        <v>17444</v>
      </c>
      <c r="K170" s="132" t="s">
        <v>621</v>
      </c>
      <c r="L170" s="740">
        <v>0</v>
      </c>
      <c r="M170" s="741">
        <v>143.375</v>
      </c>
      <c r="N170" s="67">
        <v>273</v>
      </c>
      <c r="O170" s="67">
        <v>17717</v>
      </c>
      <c r="Q170" s="674">
        <v>0</v>
      </c>
      <c r="R170" s="674">
        <v>0</v>
      </c>
      <c r="S170" s="798" t="s">
        <v>644</v>
      </c>
      <c r="T170" s="798">
        <v>0</v>
      </c>
      <c r="U170" s="88">
        <v>17717</v>
      </c>
      <c r="V170" s="71">
        <v>123.57105492589363</v>
      </c>
      <c r="W170" s="449">
        <v>17717</v>
      </c>
      <c r="X170" s="67">
        <v>18539</v>
      </c>
      <c r="Y170" s="163">
        <v>-822</v>
      </c>
      <c r="Z170" s="166">
        <v>-4.4338961109013433E-2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420.755</v>
      </c>
      <c r="E171" s="67">
        <v>51191</v>
      </c>
      <c r="F171" s="146">
        <v>0</v>
      </c>
      <c r="G171" s="146">
        <v>0</v>
      </c>
      <c r="H171" s="91">
        <v>51191</v>
      </c>
      <c r="I171" s="67">
        <v>0</v>
      </c>
      <c r="J171" s="739">
        <v>51191</v>
      </c>
      <c r="K171" s="132" t="s">
        <v>621</v>
      </c>
      <c r="L171" s="740">
        <v>0</v>
      </c>
      <c r="M171" s="741">
        <v>420.755</v>
      </c>
      <c r="N171" s="67">
        <v>801</v>
      </c>
      <c r="O171" s="67">
        <v>51992</v>
      </c>
      <c r="Q171" s="674">
        <v>0</v>
      </c>
      <c r="R171" s="674">
        <v>0</v>
      </c>
      <c r="S171" s="798" t="s">
        <v>644</v>
      </c>
      <c r="T171" s="798">
        <v>0</v>
      </c>
      <c r="U171" s="88">
        <v>51992</v>
      </c>
      <c r="V171" s="71">
        <v>123.5683473755511</v>
      </c>
      <c r="W171" s="449">
        <v>51992</v>
      </c>
      <c r="X171" s="67">
        <v>54405</v>
      </c>
      <c r="Y171" s="163">
        <v>-2413</v>
      </c>
      <c r="Z171" s="166">
        <v>-4.4352541126734674E-2</v>
      </c>
      <c r="AA171" s="34" t="s">
        <v>621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41.38</v>
      </c>
      <c r="E172" s="67">
        <v>5035</v>
      </c>
      <c r="F172" s="146">
        <v>0</v>
      </c>
      <c r="G172" s="146">
        <v>0</v>
      </c>
      <c r="H172" s="91">
        <v>5035</v>
      </c>
      <c r="I172" s="67">
        <v>0</v>
      </c>
      <c r="J172" s="739">
        <v>5035</v>
      </c>
      <c r="K172" s="132" t="s">
        <v>724</v>
      </c>
      <c r="L172" s="740">
        <v>5035</v>
      </c>
      <c r="M172" s="741">
        <v>0</v>
      </c>
      <c r="N172" s="67">
        <v>0</v>
      </c>
      <c r="O172" s="67">
        <v>0</v>
      </c>
      <c r="P172" s="674">
        <v>0.82</v>
      </c>
      <c r="Q172" s="674">
        <v>0</v>
      </c>
      <c r="R172" s="674">
        <v>0</v>
      </c>
      <c r="S172" s="798" t="s">
        <v>723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34" t="s">
        <v>621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8</v>
      </c>
      <c r="E173" s="67">
        <v>973</v>
      </c>
      <c r="F173" s="146">
        <v>0</v>
      </c>
      <c r="G173" s="146">
        <v>0</v>
      </c>
      <c r="H173" s="91">
        <v>973</v>
      </c>
      <c r="I173" s="67">
        <v>0</v>
      </c>
      <c r="J173" s="739">
        <v>973</v>
      </c>
      <c r="K173" s="132" t="s">
        <v>724</v>
      </c>
      <c r="L173" s="740">
        <v>973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 t="s">
        <v>723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724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166.5</v>
      </c>
      <c r="E174" s="67">
        <v>20257</v>
      </c>
      <c r="F174" s="146">
        <v>0</v>
      </c>
      <c r="G174" s="146">
        <v>0</v>
      </c>
      <c r="H174" s="91">
        <v>20257</v>
      </c>
      <c r="I174" s="67">
        <v>0</v>
      </c>
      <c r="J174" s="739">
        <v>20257</v>
      </c>
      <c r="K174" s="132" t="s">
        <v>621</v>
      </c>
      <c r="L174" s="740">
        <v>0</v>
      </c>
      <c r="M174" s="741">
        <v>166.5</v>
      </c>
      <c r="N174" s="67">
        <v>317</v>
      </c>
      <c r="O174" s="67">
        <v>20574</v>
      </c>
      <c r="Q174" s="674">
        <v>0</v>
      </c>
      <c r="R174" s="674">
        <v>0</v>
      </c>
      <c r="S174" s="798" t="s">
        <v>621</v>
      </c>
      <c r="T174" s="798">
        <v>48.5</v>
      </c>
      <c r="U174" s="88">
        <v>20574</v>
      </c>
      <c r="V174" s="71">
        <v>123.56756756756756</v>
      </c>
      <c r="W174" s="449">
        <v>20574</v>
      </c>
      <c r="X174" s="67">
        <v>21529</v>
      </c>
      <c r="Y174" s="163">
        <v>-955</v>
      </c>
      <c r="Z174" s="166">
        <v>-4.4358771889079843E-2</v>
      </c>
      <c r="AA174" s="34" t="s">
        <v>724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85.5</v>
      </c>
      <c r="E175" s="67">
        <v>10402</v>
      </c>
      <c r="F175" s="146">
        <v>0</v>
      </c>
      <c r="G175" s="146">
        <v>0</v>
      </c>
      <c r="H175" s="91">
        <v>10402</v>
      </c>
      <c r="I175" s="67">
        <v>0</v>
      </c>
      <c r="J175" s="739">
        <v>10402</v>
      </c>
      <c r="K175" s="132" t="s">
        <v>621</v>
      </c>
      <c r="L175" s="740">
        <v>0</v>
      </c>
      <c r="M175" s="741">
        <v>85.5</v>
      </c>
      <c r="N175" s="67">
        <v>163</v>
      </c>
      <c r="O175" s="67">
        <v>10565</v>
      </c>
      <c r="Q175" s="674">
        <v>0</v>
      </c>
      <c r="R175" s="674">
        <v>0</v>
      </c>
      <c r="S175" s="798" t="s">
        <v>621</v>
      </c>
      <c r="T175" s="798">
        <v>28</v>
      </c>
      <c r="U175" s="88">
        <v>10565</v>
      </c>
      <c r="V175" s="71">
        <v>123.56725146198831</v>
      </c>
      <c r="W175" s="449">
        <v>10565</v>
      </c>
      <c r="X175" s="67">
        <v>11055</v>
      </c>
      <c r="Y175" s="163">
        <v>-490</v>
      </c>
      <c r="Z175" s="166">
        <v>-4.4323835368611487E-2</v>
      </c>
      <c r="AA175" s="34" t="s">
        <v>621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69.13</v>
      </c>
      <c r="E176" s="67">
        <v>8411</v>
      </c>
      <c r="F176" s="146">
        <v>0</v>
      </c>
      <c r="G176" s="146">
        <v>0</v>
      </c>
      <c r="H176" s="91">
        <v>8411</v>
      </c>
      <c r="I176" s="67">
        <v>0</v>
      </c>
      <c r="J176" s="739">
        <v>8411</v>
      </c>
      <c r="K176" s="132" t="s">
        <v>1306</v>
      </c>
      <c r="L176" s="740">
        <v>0</v>
      </c>
      <c r="M176" s="741">
        <v>69.13</v>
      </c>
      <c r="N176" s="67">
        <v>132</v>
      </c>
      <c r="O176" s="67">
        <v>8543</v>
      </c>
      <c r="Q176" s="674">
        <v>0</v>
      </c>
      <c r="R176" s="674">
        <v>0</v>
      </c>
      <c r="S176" s="798" t="s">
        <v>644</v>
      </c>
      <c r="T176" s="798">
        <v>0</v>
      </c>
      <c r="U176" s="88">
        <v>8543</v>
      </c>
      <c r="V176" s="71">
        <v>123.57876464631853</v>
      </c>
      <c r="W176" s="449">
        <v>8543</v>
      </c>
      <c r="X176" s="67">
        <v>8939</v>
      </c>
      <c r="Y176" s="163">
        <v>-396</v>
      </c>
      <c r="Z176" s="166">
        <v>-4.4300257299474212E-2</v>
      </c>
      <c r="AA176" s="34" t="s">
        <v>621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80.5</v>
      </c>
      <c r="E177" s="67">
        <v>9794</v>
      </c>
      <c r="F177" s="146">
        <v>0</v>
      </c>
      <c r="G177" s="146">
        <v>0</v>
      </c>
      <c r="H177" s="91">
        <v>9794</v>
      </c>
      <c r="I177" s="67">
        <v>0</v>
      </c>
      <c r="J177" s="739">
        <v>9794</v>
      </c>
      <c r="K177" s="132" t="s">
        <v>1306</v>
      </c>
      <c r="L177" s="740">
        <v>0</v>
      </c>
      <c r="M177" s="741">
        <v>80.5</v>
      </c>
      <c r="N177" s="67">
        <v>153</v>
      </c>
      <c r="O177" s="67">
        <v>9947</v>
      </c>
      <c r="Q177" s="674">
        <v>0</v>
      </c>
      <c r="R177" s="674">
        <v>0</v>
      </c>
      <c r="S177" s="798" t="s">
        <v>723</v>
      </c>
      <c r="T177" s="798">
        <v>35</v>
      </c>
      <c r="U177" s="88">
        <v>9947</v>
      </c>
      <c r="V177" s="71">
        <v>123.56521739130434</v>
      </c>
      <c r="W177" s="449">
        <v>9947</v>
      </c>
      <c r="X177" s="67">
        <v>10409</v>
      </c>
      <c r="Y177" s="163">
        <v>-462</v>
      </c>
      <c r="Z177" s="166">
        <v>-4.438466711499664E-2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101.88</v>
      </c>
      <c r="E178" s="67">
        <v>12395</v>
      </c>
      <c r="F178" s="146">
        <v>0</v>
      </c>
      <c r="G178" s="146">
        <v>0</v>
      </c>
      <c r="H178" s="91">
        <v>12395</v>
      </c>
      <c r="I178" s="67">
        <v>0</v>
      </c>
      <c r="J178" s="739">
        <v>12395</v>
      </c>
      <c r="K178" s="132" t="s">
        <v>621</v>
      </c>
      <c r="L178" s="740">
        <v>0</v>
      </c>
      <c r="M178" s="741">
        <v>101.88</v>
      </c>
      <c r="N178" s="67">
        <v>194</v>
      </c>
      <c r="O178" s="67">
        <v>12589</v>
      </c>
      <c r="Q178" s="674">
        <v>0</v>
      </c>
      <c r="R178" s="674">
        <v>0</v>
      </c>
      <c r="S178" s="798" t="s">
        <v>621</v>
      </c>
      <c r="T178" s="798">
        <v>30.75</v>
      </c>
      <c r="U178" s="88">
        <v>12589</v>
      </c>
      <c r="V178" s="71">
        <v>123.56694149980369</v>
      </c>
      <c r="W178" s="449">
        <v>12589</v>
      </c>
      <c r="X178" s="67">
        <v>13174</v>
      </c>
      <c r="Y178" s="163">
        <v>-585</v>
      </c>
      <c r="Z178" s="166">
        <v>-4.440564748747533E-2</v>
      </c>
      <c r="AA178" s="34" t="s">
        <v>1306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10.63</v>
      </c>
      <c r="E179" s="67">
        <v>1293</v>
      </c>
      <c r="F179" s="146">
        <v>0</v>
      </c>
      <c r="G179" s="146">
        <v>0</v>
      </c>
      <c r="H179" s="91">
        <v>1293</v>
      </c>
      <c r="I179" s="67">
        <v>0</v>
      </c>
      <c r="J179" s="739">
        <v>1293</v>
      </c>
      <c r="K179" s="132" t="s">
        <v>1306</v>
      </c>
      <c r="L179" s="740">
        <v>0</v>
      </c>
      <c r="M179" s="741">
        <v>10.63</v>
      </c>
      <c r="N179" s="67">
        <v>20</v>
      </c>
      <c r="O179" s="67">
        <v>1313</v>
      </c>
      <c r="Q179" s="674">
        <v>0</v>
      </c>
      <c r="R179" s="674">
        <v>0</v>
      </c>
      <c r="S179" s="798" t="s">
        <v>723</v>
      </c>
      <c r="T179" s="798">
        <v>8.5</v>
      </c>
      <c r="U179" s="88">
        <v>1313</v>
      </c>
      <c r="V179" s="71">
        <v>123.51834430856067</v>
      </c>
      <c r="W179" s="449">
        <v>1313</v>
      </c>
      <c r="X179" s="67">
        <v>0</v>
      </c>
      <c r="Y179" s="163">
        <v>1313</v>
      </c>
      <c r="Z179" s="166">
        <v>0</v>
      </c>
      <c r="AA179" s="34" t="s">
        <v>621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5</v>
      </c>
      <c r="E180" s="67">
        <v>608</v>
      </c>
      <c r="F180" s="146">
        <v>0</v>
      </c>
      <c r="G180" s="146">
        <v>0</v>
      </c>
      <c r="H180" s="91">
        <v>608</v>
      </c>
      <c r="I180" s="67">
        <v>0</v>
      </c>
      <c r="J180" s="739">
        <v>608</v>
      </c>
      <c r="K180" s="132" t="s">
        <v>724</v>
      </c>
      <c r="L180" s="740">
        <v>608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 t="s">
        <v>723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1306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724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 t="s">
        <v>723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724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2</v>
      </c>
      <c r="E182" s="67">
        <v>243</v>
      </c>
      <c r="F182" s="146">
        <v>0</v>
      </c>
      <c r="G182" s="146">
        <v>0</v>
      </c>
      <c r="H182" s="91">
        <v>243</v>
      </c>
      <c r="I182" s="67">
        <v>0</v>
      </c>
      <c r="J182" s="739">
        <v>243</v>
      </c>
      <c r="K182" s="132" t="s">
        <v>724</v>
      </c>
      <c r="L182" s="740">
        <v>243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 t="s">
        <v>723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724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724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 t="s">
        <v>723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724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724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 t="s">
        <v>723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724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90.125</v>
      </c>
      <c r="E185" s="67">
        <v>10965</v>
      </c>
      <c r="F185" s="146">
        <v>0</v>
      </c>
      <c r="G185" s="146">
        <v>0</v>
      </c>
      <c r="H185" s="91">
        <v>10965</v>
      </c>
      <c r="I185" s="67">
        <v>0</v>
      </c>
      <c r="J185" s="739">
        <v>10965</v>
      </c>
      <c r="K185" s="132" t="s">
        <v>724</v>
      </c>
      <c r="L185" s="740">
        <v>10965</v>
      </c>
      <c r="M185" s="741">
        <v>0</v>
      </c>
      <c r="N185" s="67">
        <v>0</v>
      </c>
      <c r="O185" s="67">
        <v>0</v>
      </c>
      <c r="Q185" s="674">
        <v>0</v>
      </c>
      <c r="R185" s="674">
        <v>0</v>
      </c>
      <c r="S185" s="798" t="s">
        <v>621</v>
      </c>
      <c r="T185" s="798">
        <v>0</v>
      </c>
      <c r="U185" s="88">
        <v>0</v>
      </c>
      <c r="V185" s="71">
        <v>0</v>
      </c>
      <c r="W185" s="449">
        <v>0</v>
      </c>
      <c r="X185" s="67">
        <v>11653</v>
      </c>
      <c r="Y185" s="163">
        <v>-11653</v>
      </c>
      <c r="Z185" s="166">
        <v>-1</v>
      </c>
      <c r="AA185" s="34" t="s">
        <v>724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1148.625</v>
      </c>
      <c r="E186" s="67">
        <v>139748</v>
      </c>
      <c r="F186" s="146">
        <v>0</v>
      </c>
      <c r="G186" s="146">
        <v>0</v>
      </c>
      <c r="H186" s="91">
        <v>139748</v>
      </c>
      <c r="I186" s="67">
        <v>0</v>
      </c>
      <c r="J186" s="739">
        <v>139748</v>
      </c>
      <c r="K186" s="132" t="s">
        <v>621</v>
      </c>
      <c r="L186" s="740">
        <v>0</v>
      </c>
      <c r="M186" s="741">
        <v>1148.625</v>
      </c>
      <c r="N186" s="67">
        <v>2186</v>
      </c>
      <c r="O186" s="67">
        <v>141934</v>
      </c>
      <c r="Q186" s="674">
        <v>0</v>
      </c>
      <c r="R186" s="674">
        <v>0</v>
      </c>
      <c r="S186" s="798" t="s">
        <v>621</v>
      </c>
      <c r="T186" s="798">
        <v>429.875</v>
      </c>
      <c r="U186" s="88">
        <v>141934</v>
      </c>
      <c r="V186" s="71">
        <v>123.56861464794864</v>
      </c>
      <c r="W186" s="449">
        <v>141934</v>
      </c>
      <c r="X186" s="67">
        <v>148520</v>
      </c>
      <c r="Y186" s="163">
        <v>-6586</v>
      </c>
      <c r="Z186" s="166">
        <v>-4.434419606786965E-2</v>
      </c>
      <c r="AA186" s="34" t="s">
        <v>724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2961.0050000000001</v>
      </c>
      <c r="E187" s="67">
        <v>360251</v>
      </c>
      <c r="F187" s="146">
        <v>0</v>
      </c>
      <c r="G187" s="146">
        <v>0</v>
      </c>
      <c r="H187" s="91">
        <v>360251</v>
      </c>
      <c r="I187" s="67">
        <v>0</v>
      </c>
      <c r="J187" s="739">
        <v>360251</v>
      </c>
      <c r="K187" s="132" t="s">
        <v>621</v>
      </c>
      <c r="L187" s="740">
        <v>0</v>
      </c>
      <c r="M187" s="741">
        <v>2961.0050000000001</v>
      </c>
      <c r="N187" s="67">
        <v>5636</v>
      </c>
      <c r="O187" s="67">
        <v>365887</v>
      </c>
      <c r="Q187" s="674">
        <v>0</v>
      </c>
      <c r="R187" s="674">
        <v>0</v>
      </c>
      <c r="S187" s="798" t="s">
        <v>644</v>
      </c>
      <c r="T187" s="798">
        <v>0</v>
      </c>
      <c r="U187" s="88">
        <v>365887</v>
      </c>
      <c r="V187" s="71">
        <v>123.56851812138108</v>
      </c>
      <c r="W187" s="449">
        <v>365887</v>
      </c>
      <c r="X187" s="67">
        <v>382866</v>
      </c>
      <c r="Y187" s="163">
        <v>-16979</v>
      </c>
      <c r="Z187" s="166">
        <v>-4.4347108387791032E-2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724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 t="s">
        <v>723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621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295.88</v>
      </c>
      <c r="E189" s="67">
        <v>35998</v>
      </c>
      <c r="F189" s="146">
        <v>0</v>
      </c>
      <c r="G189" s="146">
        <v>0</v>
      </c>
      <c r="H189" s="91">
        <v>35998</v>
      </c>
      <c r="I189" s="67">
        <v>0</v>
      </c>
      <c r="J189" s="739">
        <v>35998</v>
      </c>
      <c r="K189" s="132" t="s">
        <v>621</v>
      </c>
      <c r="L189" s="740">
        <v>0</v>
      </c>
      <c r="M189" s="741">
        <v>295.88</v>
      </c>
      <c r="N189" s="67">
        <v>563</v>
      </c>
      <c r="O189" s="67">
        <v>36561</v>
      </c>
      <c r="Q189" s="674">
        <v>0</v>
      </c>
      <c r="R189" s="674">
        <v>0</v>
      </c>
      <c r="S189" s="798" t="s">
        <v>621</v>
      </c>
      <c r="T189" s="798">
        <v>122</v>
      </c>
      <c r="U189" s="88">
        <v>36561</v>
      </c>
      <c r="V189" s="71">
        <v>123.56698661619576</v>
      </c>
      <c r="W189" s="449">
        <v>36561</v>
      </c>
      <c r="X189" s="67">
        <v>38258</v>
      </c>
      <c r="Y189" s="163">
        <v>-1697</v>
      </c>
      <c r="Z189" s="166">
        <v>-4.4356735846097547E-2</v>
      </c>
      <c r="AA189" s="34" t="s">
        <v>724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323.25</v>
      </c>
      <c r="E190" s="67">
        <v>39328</v>
      </c>
      <c r="F190" s="146">
        <v>0</v>
      </c>
      <c r="G190" s="146">
        <v>0</v>
      </c>
      <c r="H190" s="91">
        <v>39328</v>
      </c>
      <c r="I190" s="67">
        <v>0</v>
      </c>
      <c r="J190" s="739">
        <v>39328</v>
      </c>
      <c r="K190" s="132" t="s">
        <v>621</v>
      </c>
      <c r="L190" s="740">
        <v>0</v>
      </c>
      <c r="M190" s="741">
        <v>323.25</v>
      </c>
      <c r="N190" s="67">
        <v>615</v>
      </c>
      <c r="O190" s="67">
        <v>39943</v>
      </c>
      <c r="Q190" s="674">
        <v>0</v>
      </c>
      <c r="R190" s="674">
        <v>0</v>
      </c>
      <c r="S190" s="798" t="s">
        <v>644</v>
      </c>
      <c r="T190" s="798">
        <v>0</v>
      </c>
      <c r="U190" s="88">
        <v>39943</v>
      </c>
      <c r="V190" s="71">
        <v>123.56689868522815</v>
      </c>
      <c r="W190" s="449">
        <v>39943</v>
      </c>
      <c r="X190" s="67">
        <v>41797</v>
      </c>
      <c r="Y190" s="163">
        <v>-1854</v>
      </c>
      <c r="Z190" s="166">
        <v>-4.4357250520372274E-2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49.13</v>
      </c>
      <c r="E191" s="67">
        <v>5977</v>
      </c>
      <c r="F191" s="146">
        <v>0</v>
      </c>
      <c r="G191" s="146">
        <v>0</v>
      </c>
      <c r="H191" s="91">
        <v>5977</v>
      </c>
      <c r="I191" s="67">
        <v>0</v>
      </c>
      <c r="J191" s="739">
        <v>5977</v>
      </c>
      <c r="K191" s="132" t="s">
        <v>1306</v>
      </c>
      <c r="L191" s="740">
        <v>0</v>
      </c>
      <c r="M191" s="741">
        <v>49.13</v>
      </c>
      <c r="N191" s="67">
        <v>94</v>
      </c>
      <c r="O191" s="67">
        <v>6071</v>
      </c>
      <c r="Q191" s="674">
        <v>0</v>
      </c>
      <c r="R191" s="674">
        <v>0</v>
      </c>
      <c r="S191" s="798" t="s">
        <v>723</v>
      </c>
      <c r="T191" s="798">
        <v>8.375</v>
      </c>
      <c r="U191" s="88">
        <v>6071</v>
      </c>
      <c r="V191" s="71">
        <v>123.5701200895583</v>
      </c>
      <c r="W191" s="449">
        <v>6071</v>
      </c>
      <c r="X191" s="67">
        <v>6353</v>
      </c>
      <c r="Y191" s="163">
        <v>-282</v>
      </c>
      <c r="Z191" s="166">
        <v>-4.4388477884464032E-2</v>
      </c>
      <c r="AA191" s="34" t="s">
        <v>621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37.630000000000003</v>
      </c>
      <c r="E192" s="67">
        <v>4578</v>
      </c>
      <c r="F192" s="146">
        <v>0</v>
      </c>
      <c r="G192" s="146">
        <v>0</v>
      </c>
      <c r="H192" s="91">
        <v>4578</v>
      </c>
      <c r="I192" s="67">
        <v>0</v>
      </c>
      <c r="J192" s="739">
        <v>4578</v>
      </c>
      <c r="K192" s="132" t="s">
        <v>724</v>
      </c>
      <c r="L192" s="740">
        <v>4578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 t="s">
        <v>723</v>
      </c>
      <c r="T192" s="798">
        <v>0</v>
      </c>
      <c r="U192" s="88">
        <v>0</v>
      </c>
      <c r="V192" s="71">
        <v>0</v>
      </c>
      <c r="W192" s="449">
        <v>0</v>
      </c>
      <c r="X192" s="67">
        <v>0</v>
      </c>
      <c r="Y192" s="163">
        <v>0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1598.2550000000001</v>
      </c>
      <c r="E193" s="67">
        <v>194452</v>
      </c>
      <c r="F193" s="146">
        <v>0</v>
      </c>
      <c r="G193" s="146">
        <v>0</v>
      </c>
      <c r="H193" s="91">
        <v>194452</v>
      </c>
      <c r="I193" s="67">
        <v>0</v>
      </c>
      <c r="J193" s="739">
        <v>194452</v>
      </c>
      <c r="K193" s="132" t="s">
        <v>621</v>
      </c>
      <c r="L193" s="740">
        <v>0</v>
      </c>
      <c r="M193" s="741">
        <v>1598.2550000000001</v>
      </c>
      <c r="N193" s="67">
        <v>3042</v>
      </c>
      <c r="O193" s="67">
        <v>197494</v>
      </c>
      <c r="Q193" s="674">
        <v>0</v>
      </c>
      <c r="R193" s="674">
        <v>0</v>
      </c>
      <c r="S193" s="798" t="s">
        <v>644</v>
      </c>
      <c r="T193" s="798">
        <v>0</v>
      </c>
      <c r="U193" s="88">
        <v>197494</v>
      </c>
      <c r="V193" s="71">
        <v>123.56851691375905</v>
      </c>
      <c r="W193" s="449">
        <v>197494</v>
      </c>
      <c r="X193" s="67">
        <v>206659</v>
      </c>
      <c r="Y193" s="163">
        <v>-9165</v>
      </c>
      <c r="Z193" s="166">
        <v>-4.4348419376847852E-2</v>
      </c>
      <c r="AA193" s="34" t="s">
        <v>724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137</v>
      </c>
      <c r="E194" s="67">
        <v>16668</v>
      </c>
      <c r="F194" s="146">
        <v>0</v>
      </c>
      <c r="G194" s="146">
        <v>0</v>
      </c>
      <c r="H194" s="91">
        <v>16668</v>
      </c>
      <c r="I194" s="67">
        <v>0</v>
      </c>
      <c r="J194" s="739">
        <v>16668</v>
      </c>
      <c r="K194" s="132" t="s">
        <v>621</v>
      </c>
      <c r="L194" s="740">
        <v>0</v>
      </c>
      <c r="M194" s="741">
        <v>137</v>
      </c>
      <c r="N194" s="67">
        <v>261</v>
      </c>
      <c r="O194" s="67">
        <v>16929</v>
      </c>
      <c r="Q194" s="674">
        <v>0</v>
      </c>
      <c r="R194" s="674">
        <v>0</v>
      </c>
      <c r="S194" s="798" t="s">
        <v>644</v>
      </c>
      <c r="T194" s="798">
        <v>0</v>
      </c>
      <c r="U194" s="88">
        <v>16929</v>
      </c>
      <c r="V194" s="71">
        <v>123.56934306569343</v>
      </c>
      <c r="W194" s="449">
        <v>16929</v>
      </c>
      <c r="X194" s="67">
        <v>17714</v>
      </c>
      <c r="Y194" s="163">
        <v>-785</v>
      </c>
      <c r="Z194" s="166">
        <v>-4.4315230890820817E-2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757.75</v>
      </c>
      <c r="E195" s="67">
        <v>92192</v>
      </c>
      <c r="F195" s="146">
        <v>0</v>
      </c>
      <c r="G195" s="146">
        <v>0</v>
      </c>
      <c r="H195" s="91">
        <v>92192</v>
      </c>
      <c r="I195" s="67">
        <v>0</v>
      </c>
      <c r="J195" s="739">
        <v>92192</v>
      </c>
      <c r="K195" s="132" t="s">
        <v>621</v>
      </c>
      <c r="L195" s="740">
        <v>0</v>
      </c>
      <c r="M195" s="741">
        <v>757.75</v>
      </c>
      <c r="N195" s="67">
        <v>1442</v>
      </c>
      <c r="O195" s="67">
        <v>93634</v>
      </c>
      <c r="Q195" s="674">
        <v>0</v>
      </c>
      <c r="R195" s="674">
        <v>0</v>
      </c>
      <c r="S195" s="798" t="s">
        <v>644</v>
      </c>
      <c r="T195" s="798">
        <v>0</v>
      </c>
      <c r="U195" s="88">
        <v>93634</v>
      </c>
      <c r="V195" s="71">
        <v>123.56845925437149</v>
      </c>
      <c r="W195" s="449">
        <v>93634</v>
      </c>
      <c r="X195" s="67">
        <v>97979</v>
      </c>
      <c r="Y195" s="163">
        <v>-4345</v>
      </c>
      <c r="Z195" s="166">
        <v>-4.4346237459047345E-2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706.38</v>
      </c>
      <c r="E196" s="67">
        <v>85942</v>
      </c>
      <c r="F196" s="146">
        <v>0</v>
      </c>
      <c r="G196" s="146">
        <v>0</v>
      </c>
      <c r="H196" s="91">
        <v>85942</v>
      </c>
      <c r="I196" s="67">
        <v>0</v>
      </c>
      <c r="J196" s="739">
        <v>85942</v>
      </c>
      <c r="K196" s="132" t="s">
        <v>621</v>
      </c>
      <c r="L196" s="740">
        <v>0</v>
      </c>
      <c r="M196" s="741">
        <v>706.38</v>
      </c>
      <c r="N196" s="67">
        <v>1344</v>
      </c>
      <c r="O196" s="67">
        <v>87286</v>
      </c>
      <c r="Q196" s="674">
        <v>0</v>
      </c>
      <c r="R196" s="674">
        <v>0</v>
      </c>
      <c r="S196" s="798" t="s">
        <v>621</v>
      </c>
      <c r="T196" s="798">
        <v>229.25</v>
      </c>
      <c r="U196" s="88">
        <v>87286</v>
      </c>
      <c r="V196" s="71">
        <v>123.56805119057731</v>
      </c>
      <c r="W196" s="449">
        <v>87286</v>
      </c>
      <c r="X196" s="67">
        <v>91337</v>
      </c>
      <c r="Y196" s="163">
        <v>-4051</v>
      </c>
      <c r="Z196" s="166">
        <v>-4.4352234034400077E-2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10.88</v>
      </c>
      <c r="E197" s="67">
        <v>1324</v>
      </c>
      <c r="F197" s="146">
        <v>0</v>
      </c>
      <c r="G197" s="146">
        <v>0</v>
      </c>
      <c r="H197" s="91">
        <v>1324</v>
      </c>
      <c r="I197" s="67">
        <v>0</v>
      </c>
      <c r="J197" s="739">
        <v>1324</v>
      </c>
      <c r="K197" s="132" t="s">
        <v>724</v>
      </c>
      <c r="L197" s="740">
        <v>1324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 t="s">
        <v>723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621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84.75</v>
      </c>
      <c r="E198" s="67">
        <v>10311</v>
      </c>
      <c r="F198" s="146">
        <v>0</v>
      </c>
      <c r="G198" s="146">
        <v>0</v>
      </c>
      <c r="H198" s="91">
        <v>10311</v>
      </c>
      <c r="I198" s="67">
        <v>0</v>
      </c>
      <c r="J198" s="739">
        <v>10311</v>
      </c>
      <c r="K198" s="132" t="s">
        <v>621</v>
      </c>
      <c r="L198" s="740">
        <v>0</v>
      </c>
      <c r="M198" s="741">
        <v>84.75</v>
      </c>
      <c r="N198" s="67">
        <v>161</v>
      </c>
      <c r="O198" s="67">
        <v>10472</v>
      </c>
      <c r="Q198" s="674">
        <v>0</v>
      </c>
      <c r="R198" s="674">
        <v>0</v>
      </c>
      <c r="S198" s="798" t="s">
        <v>723</v>
      </c>
      <c r="T198" s="798">
        <v>17.375</v>
      </c>
      <c r="U198" s="88">
        <v>10472</v>
      </c>
      <c r="V198" s="71">
        <v>123.56342182890856</v>
      </c>
      <c r="W198" s="449">
        <v>10472</v>
      </c>
      <c r="X198" s="67">
        <v>10958</v>
      </c>
      <c r="Y198" s="163">
        <v>-486</v>
      </c>
      <c r="Z198" s="166">
        <v>-4.4351158970615076E-2</v>
      </c>
      <c r="AA198" s="34" t="s">
        <v>724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414.63</v>
      </c>
      <c r="E199" s="67">
        <v>50446</v>
      </c>
      <c r="F199" s="146">
        <v>0</v>
      </c>
      <c r="G199" s="146">
        <v>0</v>
      </c>
      <c r="H199" s="91">
        <v>50446</v>
      </c>
      <c r="I199" s="67">
        <v>0</v>
      </c>
      <c r="J199" s="739">
        <v>50446</v>
      </c>
      <c r="K199" s="132" t="s">
        <v>621</v>
      </c>
      <c r="L199" s="740">
        <v>0</v>
      </c>
      <c r="M199" s="741">
        <v>414.63</v>
      </c>
      <c r="N199" s="67">
        <v>789</v>
      </c>
      <c r="O199" s="67">
        <v>51235</v>
      </c>
      <c r="Q199" s="674">
        <v>0</v>
      </c>
      <c r="R199" s="674">
        <v>0</v>
      </c>
      <c r="S199" s="798" t="s">
        <v>644</v>
      </c>
      <c r="T199" s="798">
        <v>0</v>
      </c>
      <c r="U199" s="88">
        <v>51235</v>
      </c>
      <c r="V199" s="71">
        <v>123.56800038588621</v>
      </c>
      <c r="W199" s="449">
        <v>51235</v>
      </c>
      <c r="X199" s="67">
        <v>53613</v>
      </c>
      <c r="Y199" s="163">
        <v>-2378</v>
      </c>
      <c r="Z199" s="166">
        <v>-4.4354913920131314E-2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724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 t="s">
        <v>723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621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724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 t="s">
        <v>723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724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724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 t="s">
        <v>723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724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37.5</v>
      </c>
      <c r="E203" s="67">
        <v>4562</v>
      </c>
      <c r="F203" s="146">
        <v>0</v>
      </c>
      <c r="G203" s="146">
        <v>0</v>
      </c>
      <c r="H203" s="91">
        <v>4562</v>
      </c>
      <c r="I203" s="67">
        <v>0</v>
      </c>
      <c r="J203" s="739">
        <v>4562</v>
      </c>
      <c r="K203" s="132" t="s">
        <v>1306</v>
      </c>
      <c r="L203" s="740">
        <v>0</v>
      </c>
      <c r="M203" s="741">
        <v>37.5</v>
      </c>
      <c r="N203" s="67">
        <v>71</v>
      </c>
      <c r="O203" s="67">
        <v>4633</v>
      </c>
      <c r="Q203" s="674">
        <v>0</v>
      </c>
      <c r="R203" s="674">
        <v>0</v>
      </c>
      <c r="S203" s="798" t="s">
        <v>723</v>
      </c>
      <c r="T203" s="798">
        <v>16</v>
      </c>
      <c r="U203" s="88">
        <v>4633</v>
      </c>
      <c r="V203" s="71">
        <v>123.54666666666667</v>
      </c>
      <c r="W203" s="449">
        <v>4633</v>
      </c>
      <c r="X203" s="67">
        <v>4849</v>
      </c>
      <c r="Y203" s="163">
        <v>-216</v>
      </c>
      <c r="Z203" s="166">
        <v>-4.4545267065374303E-2</v>
      </c>
      <c r="AA203" s="34" t="s">
        <v>724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26.5</v>
      </c>
      <c r="E204" s="67">
        <v>3224</v>
      </c>
      <c r="F204" s="146">
        <v>0</v>
      </c>
      <c r="G204" s="146">
        <v>0</v>
      </c>
      <c r="H204" s="91">
        <v>3224</v>
      </c>
      <c r="I204" s="67">
        <v>0</v>
      </c>
      <c r="J204" s="739">
        <v>3224</v>
      </c>
      <c r="K204" s="132" t="s">
        <v>1306</v>
      </c>
      <c r="L204" s="740">
        <v>0</v>
      </c>
      <c r="M204" s="741">
        <v>26.5</v>
      </c>
      <c r="N204" s="67">
        <v>50</v>
      </c>
      <c r="O204" s="67">
        <v>3274</v>
      </c>
      <c r="Q204" s="674">
        <v>0</v>
      </c>
      <c r="R204" s="674">
        <v>0</v>
      </c>
      <c r="S204" s="798" t="s">
        <v>723</v>
      </c>
      <c r="T204" s="798">
        <v>7</v>
      </c>
      <c r="U204" s="88">
        <v>3274</v>
      </c>
      <c r="V204" s="71">
        <v>123.54716981132076</v>
      </c>
      <c r="W204" s="449">
        <v>3274</v>
      </c>
      <c r="X204" s="67">
        <v>3426</v>
      </c>
      <c r="Y204" s="163">
        <v>-152</v>
      </c>
      <c r="Z204" s="166">
        <v>-4.4366608289550497E-2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29.88</v>
      </c>
      <c r="E205" s="67">
        <v>3635</v>
      </c>
      <c r="F205" s="146">
        <v>0</v>
      </c>
      <c r="G205" s="146">
        <v>0</v>
      </c>
      <c r="H205" s="91">
        <v>3635</v>
      </c>
      <c r="I205" s="67">
        <v>0</v>
      </c>
      <c r="J205" s="739">
        <v>3635</v>
      </c>
      <c r="K205" s="132" t="s">
        <v>1306</v>
      </c>
      <c r="L205" s="740">
        <v>0</v>
      </c>
      <c r="M205" s="741">
        <v>29.88</v>
      </c>
      <c r="N205" s="67">
        <v>57</v>
      </c>
      <c r="O205" s="67">
        <v>3692</v>
      </c>
      <c r="Q205" s="674">
        <v>0</v>
      </c>
      <c r="R205" s="674">
        <v>0</v>
      </c>
      <c r="S205" s="798" t="s">
        <v>644</v>
      </c>
      <c r="T205" s="798">
        <v>0</v>
      </c>
      <c r="U205" s="88">
        <v>3692</v>
      </c>
      <c r="V205" s="71">
        <v>123.56091030789827</v>
      </c>
      <c r="W205" s="449">
        <v>3692</v>
      </c>
      <c r="X205" s="67">
        <v>3864</v>
      </c>
      <c r="Y205" s="163">
        <v>-172</v>
      </c>
      <c r="Z205" s="166">
        <v>-4.4513457556935816E-2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724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 t="s">
        <v>723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1306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776.38</v>
      </c>
      <c r="E207" s="67">
        <v>94458</v>
      </c>
      <c r="F207" s="146">
        <v>0</v>
      </c>
      <c r="G207" s="146">
        <v>0</v>
      </c>
      <c r="H207" s="91">
        <v>94458</v>
      </c>
      <c r="I207" s="67">
        <v>0</v>
      </c>
      <c r="J207" s="739">
        <v>94458</v>
      </c>
      <c r="K207" s="132" t="s">
        <v>621</v>
      </c>
      <c r="L207" s="740">
        <v>0</v>
      </c>
      <c r="M207" s="741">
        <v>776.38</v>
      </c>
      <c r="N207" s="67">
        <v>1478</v>
      </c>
      <c r="O207" s="67">
        <v>95936</v>
      </c>
      <c r="Q207" s="674">
        <v>0</v>
      </c>
      <c r="R207" s="674">
        <v>0</v>
      </c>
      <c r="S207" s="798" t="s">
        <v>644</v>
      </c>
      <c r="T207" s="798">
        <v>0</v>
      </c>
      <c r="U207" s="88">
        <v>95936</v>
      </c>
      <c r="V207" s="71">
        <v>123.56835570210464</v>
      </c>
      <c r="W207" s="449">
        <v>95936</v>
      </c>
      <c r="X207" s="67">
        <v>100388</v>
      </c>
      <c r="Y207" s="163">
        <v>-4452</v>
      </c>
      <c r="Z207" s="166">
        <v>-4.4347930031477863E-2</v>
      </c>
      <c r="AA207" s="34" t="s">
        <v>724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325</v>
      </c>
      <c r="E208" s="67">
        <v>39541</v>
      </c>
      <c r="F208" s="146">
        <v>0</v>
      </c>
      <c r="G208" s="146">
        <v>0</v>
      </c>
      <c r="H208" s="91">
        <v>39541</v>
      </c>
      <c r="I208" s="67">
        <v>0</v>
      </c>
      <c r="J208" s="739">
        <v>39541</v>
      </c>
      <c r="K208" s="132" t="s">
        <v>621</v>
      </c>
      <c r="L208" s="740">
        <v>0</v>
      </c>
      <c r="M208" s="741">
        <v>325</v>
      </c>
      <c r="N208" s="67">
        <v>619</v>
      </c>
      <c r="O208" s="67">
        <v>40160</v>
      </c>
      <c r="Q208" s="674">
        <v>0</v>
      </c>
      <c r="R208" s="674">
        <v>0</v>
      </c>
      <c r="S208" s="798" t="s">
        <v>621</v>
      </c>
      <c r="T208" s="798">
        <v>132.75</v>
      </c>
      <c r="U208" s="88">
        <v>40160</v>
      </c>
      <c r="V208" s="71">
        <v>123.56923076923077</v>
      </c>
      <c r="W208" s="449">
        <v>40160</v>
      </c>
      <c r="X208" s="67">
        <v>42024</v>
      </c>
      <c r="Y208" s="163">
        <v>-1864</v>
      </c>
      <c r="Z208" s="166">
        <v>-4.4355606320197985E-2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68.38</v>
      </c>
      <c r="E209" s="67">
        <v>8319</v>
      </c>
      <c r="F209" s="146">
        <v>0</v>
      </c>
      <c r="G209" s="146">
        <v>0</v>
      </c>
      <c r="H209" s="91">
        <v>8319</v>
      </c>
      <c r="I209" s="67">
        <v>0</v>
      </c>
      <c r="J209" s="739">
        <v>8319</v>
      </c>
      <c r="K209" s="132" t="s">
        <v>644</v>
      </c>
      <c r="L209" s="740">
        <v>8319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 t="s">
        <v>723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621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81.63</v>
      </c>
      <c r="E210" s="67">
        <v>9932</v>
      </c>
      <c r="F210" s="146">
        <v>0</v>
      </c>
      <c r="G210" s="146">
        <v>0</v>
      </c>
      <c r="H210" s="91">
        <v>9932</v>
      </c>
      <c r="I210" s="67">
        <v>0</v>
      </c>
      <c r="J210" s="739">
        <v>9932</v>
      </c>
      <c r="K210" s="132" t="s">
        <v>1306</v>
      </c>
      <c r="L210" s="740">
        <v>0</v>
      </c>
      <c r="M210" s="741">
        <v>81.63</v>
      </c>
      <c r="N210" s="67">
        <v>155</v>
      </c>
      <c r="O210" s="67">
        <v>10087</v>
      </c>
      <c r="Q210" s="674">
        <v>0</v>
      </c>
      <c r="R210" s="674">
        <v>0</v>
      </c>
      <c r="S210" s="798" t="s">
        <v>723</v>
      </c>
      <c r="T210" s="798">
        <v>19</v>
      </c>
      <c r="U210" s="88">
        <v>10087</v>
      </c>
      <c r="V210" s="71">
        <v>123.56976601739557</v>
      </c>
      <c r="W210" s="449">
        <v>10087</v>
      </c>
      <c r="X210" s="67">
        <v>10555</v>
      </c>
      <c r="Y210" s="163">
        <v>-468</v>
      </c>
      <c r="Z210" s="166">
        <v>-4.4339175746091898E-2</v>
      </c>
      <c r="AA210" s="34" t="s">
        <v>644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14.88</v>
      </c>
      <c r="E211" s="67">
        <v>1810</v>
      </c>
      <c r="F211" s="146">
        <v>0</v>
      </c>
      <c r="G211" s="146">
        <v>0</v>
      </c>
      <c r="H211" s="91">
        <v>1810</v>
      </c>
      <c r="I211" s="67">
        <v>0</v>
      </c>
      <c r="J211" s="739">
        <v>1810</v>
      </c>
      <c r="K211" s="132" t="s">
        <v>644</v>
      </c>
      <c r="L211" s="740">
        <v>1810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 t="s">
        <v>723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34" t="s">
        <v>1306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1655.75</v>
      </c>
      <c r="E212" s="67">
        <v>201447</v>
      </c>
      <c r="F212" s="146">
        <v>0</v>
      </c>
      <c r="G212" s="146">
        <v>0</v>
      </c>
      <c r="H212" s="91">
        <v>201447</v>
      </c>
      <c r="I212" s="67">
        <v>0</v>
      </c>
      <c r="J212" s="739">
        <v>201447</v>
      </c>
      <c r="K212" s="132" t="s">
        <v>621</v>
      </c>
      <c r="L212" s="740">
        <v>0</v>
      </c>
      <c r="M212" s="741">
        <v>1655.75</v>
      </c>
      <c r="N212" s="67">
        <v>3151</v>
      </c>
      <c r="O212" s="67">
        <v>204598</v>
      </c>
      <c r="Q212" s="674">
        <v>0</v>
      </c>
      <c r="R212" s="674">
        <v>0</v>
      </c>
      <c r="S212" s="798" t="s">
        <v>644</v>
      </c>
      <c r="T212" s="798">
        <v>0</v>
      </c>
      <c r="U212" s="88">
        <v>204598</v>
      </c>
      <c r="V212" s="71">
        <v>123.56817152347878</v>
      </c>
      <c r="W212" s="449">
        <v>204598</v>
      </c>
      <c r="X212" s="67">
        <v>214093</v>
      </c>
      <c r="Y212" s="163">
        <v>-9495</v>
      </c>
      <c r="Z212" s="166">
        <v>-4.4349885330206965E-2</v>
      </c>
      <c r="AA212" s="34" t="s">
        <v>644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724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 t="s">
        <v>723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621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724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 t="s">
        <v>723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724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724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 t="s">
        <v>723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724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19.63</v>
      </c>
      <c r="E216" s="67">
        <v>2388</v>
      </c>
      <c r="F216" s="146">
        <v>0</v>
      </c>
      <c r="G216" s="146">
        <v>0</v>
      </c>
      <c r="H216" s="91">
        <v>2388</v>
      </c>
      <c r="I216" s="67">
        <v>0</v>
      </c>
      <c r="J216" s="739">
        <v>2388</v>
      </c>
      <c r="K216" s="132" t="s">
        <v>724</v>
      </c>
      <c r="L216" s="740">
        <v>2388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 t="s">
        <v>723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724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2771.75</v>
      </c>
      <c r="E217" s="67">
        <v>337225</v>
      </c>
      <c r="F217" s="146">
        <v>0</v>
      </c>
      <c r="G217" s="146">
        <v>0</v>
      </c>
      <c r="H217" s="91">
        <v>337225</v>
      </c>
      <c r="I217" s="67">
        <v>0</v>
      </c>
      <c r="J217" s="739">
        <v>337225</v>
      </c>
      <c r="K217" s="132" t="s">
        <v>621</v>
      </c>
      <c r="L217" s="740">
        <v>0</v>
      </c>
      <c r="M217" s="741">
        <v>2771.75</v>
      </c>
      <c r="N217" s="67">
        <v>5276</v>
      </c>
      <c r="O217" s="67">
        <v>342501</v>
      </c>
      <c r="Q217" s="674">
        <v>0</v>
      </c>
      <c r="R217" s="674">
        <v>0</v>
      </c>
      <c r="S217" s="798" t="s">
        <v>621</v>
      </c>
      <c r="T217" s="798">
        <v>779.375</v>
      </c>
      <c r="U217" s="88">
        <v>342501</v>
      </c>
      <c r="V217" s="71">
        <v>123.56850365292685</v>
      </c>
      <c r="W217" s="449">
        <v>342501</v>
      </c>
      <c r="X217" s="67">
        <v>358394</v>
      </c>
      <c r="Y217" s="163">
        <v>-15893</v>
      </c>
      <c r="Z217" s="166">
        <v>-4.4345050419370861E-2</v>
      </c>
      <c r="AA217" s="34" t="s">
        <v>724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344.005</v>
      </c>
      <c r="E218" s="67">
        <v>41853</v>
      </c>
      <c r="F218" s="146">
        <v>0</v>
      </c>
      <c r="G218" s="146">
        <v>0</v>
      </c>
      <c r="H218" s="91">
        <v>41853</v>
      </c>
      <c r="I218" s="67">
        <v>0</v>
      </c>
      <c r="J218" s="739">
        <v>41853</v>
      </c>
      <c r="K218" s="132" t="s">
        <v>621</v>
      </c>
      <c r="L218" s="740">
        <v>0</v>
      </c>
      <c r="M218" s="741">
        <v>344.005</v>
      </c>
      <c r="N218" s="67">
        <v>655</v>
      </c>
      <c r="O218" s="67">
        <v>42508</v>
      </c>
      <c r="Q218" s="674">
        <v>0</v>
      </c>
      <c r="R218" s="674">
        <v>0</v>
      </c>
      <c r="S218" s="798" t="s">
        <v>644</v>
      </c>
      <c r="T218" s="798">
        <v>0</v>
      </c>
      <c r="U218" s="88">
        <v>42508</v>
      </c>
      <c r="V218" s="71">
        <v>123.5679713957646</v>
      </c>
      <c r="W218" s="449">
        <v>42508</v>
      </c>
      <c r="X218" s="67">
        <v>44481</v>
      </c>
      <c r="Y218" s="163">
        <v>-1973</v>
      </c>
      <c r="Z218" s="166">
        <v>-4.4356017175872842E-2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3096.25</v>
      </c>
      <c r="E219" s="67">
        <v>376706</v>
      </c>
      <c r="F219" s="146">
        <v>0</v>
      </c>
      <c r="G219" s="146">
        <v>0</v>
      </c>
      <c r="H219" s="91">
        <v>376706</v>
      </c>
      <c r="I219" s="67">
        <v>0</v>
      </c>
      <c r="J219" s="739">
        <v>376706</v>
      </c>
      <c r="K219" s="132" t="s">
        <v>621</v>
      </c>
      <c r="L219" s="740">
        <v>0</v>
      </c>
      <c r="M219" s="741">
        <v>3096.25</v>
      </c>
      <c r="N219" s="67">
        <v>5893</v>
      </c>
      <c r="O219" s="67">
        <v>382599</v>
      </c>
      <c r="Q219" s="674">
        <v>0</v>
      </c>
      <c r="R219" s="674">
        <v>0</v>
      </c>
      <c r="S219" s="798" t="s">
        <v>621</v>
      </c>
      <c r="T219" s="798">
        <v>905.125</v>
      </c>
      <c r="U219" s="88">
        <v>382599</v>
      </c>
      <c r="V219" s="71">
        <v>123.56851029471134</v>
      </c>
      <c r="W219" s="449">
        <v>382599</v>
      </c>
      <c r="X219" s="67">
        <v>400353</v>
      </c>
      <c r="Y219" s="163">
        <v>-17754</v>
      </c>
      <c r="Z219" s="166">
        <v>-4.4345864774336649E-2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2811.0050000000001</v>
      </c>
      <c r="E220" s="67">
        <v>342001</v>
      </c>
      <c r="F220" s="146">
        <v>0</v>
      </c>
      <c r="G220" s="146">
        <v>0</v>
      </c>
      <c r="H220" s="91">
        <v>342001</v>
      </c>
      <c r="I220" s="67">
        <v>0</v>
      </c>
      <c r="J220" s="739">
        <v>342001</v>
      </c>
      <c r="K220" s="132" t="s">
        <v>621</v>
      </c>
      <c r="L220" s="740">
        <v>0</v>
      </c>
      <c r="M220" s="741">
        <v>2811.0050000000001</v>
      </c>
      <c r="N220" s="67">
        <v>5350</v>
      </c>
      <c r="O220" s="67">
        <v>347351</v>
      </c>
      <c r="Q220" s="674">
        <v>0</v>
      </c>
      <c r="R220" s="674">
        <v>0</v>
      </c>
      <c r="S220" s="798" t="s">
        <v>621</v>
      </c>
      <c r="T220" s="798">
        <v>908.25</v>
      </c>
      <c r="U220" s="88">
        <v>347351</v>
      </c>
      <c r="V220" s="71">
        <v>123.56826117349489</v>
      </c>
      <c r="W220" s="449">
        <v>347351</v>
      </c>
      <c r="X220" s="67">
        <v>363471</v>
      </c>
      <c r="Y220" s="163">
        <v>-16120</v>
      </c>
      <c r="Z220" s="166">
        <v>-4.4350168239006692E-2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257</v>
      </c>
      <c r="E221" s="67">
        <v>31268</v>
      </c>
      <c r="F221" s="146">
        <v>0</v>
      </c>
      <c r="G221" s="146">
        <v>0</v>
      </c>
      <c r="H221" s="91">
        <v>31268</v>
      </c>
      <c r="I221" s="67">
        <v>0</v>
      </c>
      <c r="J221" s="739">
        <v>31268</v>
      </c>
      <c r="K221" s="132" t="s">
        <v>621</v>
      </c>
      <c r="L221" s="740">
        <v>0</v>
      </c>
      <c r="M221" s="741">
        <v>257</v>
      </c>
      <c r="N221" s="67">
        <v>489</v>
      </c>
      <c r="O221" s="67">
        <v>31757</v>
      </c>
      <c r="Q221" s="674">
        <v>0</v>
      </c>
      <c r="R221" s="674">
        <v>0</v>
      </c>
      <c r="S221" s="798" t="s">
        <v>621</v>
      </c>
      <c r="T221" s="798">
        <v>84.375</v>
      </c>
      <c r="U221" s="88">
        <v>31757</v>
      </c>
      <c r="V221" s="71">
        <v>123.56809338521401</v>
      </c>
      <c r="W221" s="449">
        <v>31757</v>
      </c>
      <c r="X221" s="67">
        <v>33231</v>
      </c>
      <c r="Y221" s="163">
        <v>-1474</v>
      </c>
      <c r="Z221" s="166">
        <v>-4.4356173452499176E-2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1306</v>
      </c>
      <c r="E222" s="67">
        <v>158895</v>
      </c>
      <c r="F222" s="146">
        <v>0</v>
      </c>
      <c r="G222" s="146">
        <v>0</v>
      </c>
      <c r="H222" s="91">
        <v>158895</v>
      </c>
      <c r="I222" s="67">
        <v>0</v>
      </c>
      <c r="J222" s="739">
        <v>158895</v>
      </c>
      <c r="K222" s="132" t="s">
        <v>621</v>
      </c>
      <c r="L222" s="740">
        <v>0</v>
      </c>
      <c r="M222" s="741">
        <v>1306</v>
      </c>
      <c r="N222" s="67">
        <v>2486</v>
      </c>
      <c r="O222" s="67">
        <v>161381</v>
      </c>
      <c r="Q222" s="674">
        <v>0</v>
      </c>
      <c r="R222" s="674">
        <v>0</v>
      </c>
      <c r="S222" s="798" t="s">
        <v>644</v>
      </c>
      <c r="T222" s="798">
        <v>0</v>
      </c>
      <c r="U222" s="88">
        <v>161381</v>
      </c>
      <c r="V222" s="71">
        <v>123.56891271056662</v>
      </c>
      <c r="W222" s="449">
        <v>161381</v>
      </c>
      <c r="X222" s="67">
        <v>168869</v>
      </c>
      <c r="Y222" s="163">
        <v>-7488</v>
      </c>
      <c r="Z222" s="166">
        <v>-4.434206396674345E-2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724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 t="s">
        <v>723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621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575.88</v>
      </c>
      <c r="E224" s="67">
        <v>70065</v>
      </c>
      <c r="F224" s="146">
        <v>0</v>
      </c>
      <c r="G224" s="146">
        <v>0</v>
      </c>
      <c r="H224" s="91">
        <v>70065</v>
      </c>
      <c r="I224" s="67">
        <v>0</v>
      </c>
      <c r="J224" s="739">
        <v>70065</v>
      </c>
      <c r="K224" s="132" t="s">
        <v>621</v>
      </c>
      <c r="L224" s="740">
        <v>0</v>
      </c>
      <c r="M224" s="741">
        <v>575.88</v>
      </c>
      <c r="N224" s="67">
        <v>1096</v>
      </c>
      <c r="O224" s="67">
        <v>71161</v>
      </c>
      <c r="Q224" s="674">
        <v>0</v>
      </c>
      <c r="R224" s="674">
        <v>0</v>
      </c>
      <c r="S224" s="798" t="s">
        <v>644</v>
      </c>
      <c r="T224" s="798">
        <v>0</v>
      </c>
      <c r="U224" s="88">
        <v>71161</v>
      </c>
      <c r="V224" s="71">
        <v>123.56914634993402</v>
      </c>
      <c r="W224" s="449">
        <v>71161</v>
      </c>
      <c r="X224" s="67">
        <v>74463</v>
      </c>
      <c r="Y224" s="163">
        <v>-3302</v>
      </c>
      <c r="Z224" s="166">
        <v>-4.4344170930529253E-2</v>
      </c>
      <c r="AA224" s="34" t="s">
        <v>724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364.88</v>
      </c>
      <c r="E225" s="67">
        <v>44393</v>
      </c>
      <c r="F225" s="146">
        <v>0</v>
      </c>
      <c r="G225" s="146">
        <v>0</v>
      </c>
      <c r="H225" s="91">
        <v>44393</v>
      </c>
      <c r="I225" s="67">
        <v>0</v>
      </c>
      <c r="J225" s="739">
        <v>44393</v>
      </c>
      <c r="K225" s="132" t="s">
        <v>621</v>
      </c>
      <c r="L225" s="740">
        <v>0</v>
      </c>
      <c r="M225" s="741">
        <v>364.88</v>
      </c>
      <c r="N225" s="67">
        <v>694</v>
      </c>
      <c r="O225" s="67">
        <v>45087</v>
      </c>
      <c r="Q225" s="674">
        <v>0</v>
      </c>
      <c r="R225" s="674">
        <v>0</v>
      </c>
      <c r="S225" s="798" t="s">
        <v>621</v>
      </c>
      <c r="T225" s="798">
        <v>99.625</v>
      </c>
      <c r="U225" s="88">
        <v>45087</v>
      </c>
      <c r="V225" s="71">
        <v>123.56665204998905</v>
      </c>
      <c r="W225" s="449">
        <v>45087</v>
      </c>
      <c r="X225" s="67">
        <v>47180</v>
      </c>
      <c r="Y225" s="163">
        <v>-2093</v>
      </c>
      <c r="Z225" s="166">
        <v>-4.4362017804154302E-2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136.13</v>
      </c>
      <c r="E226" s="67">
        <v>16562</v>
      </c>
      <c r="F226" s="146">
        <v>0</v>
      </c>
      <c r="G226" s="146">
        <v>0</v>
      </c>
      <c r="H226" s="91">
        <v>16562</v>
      </c>
      <c r="I226" s="67">
        <v>0</v>
      </c>
      <c r="J226" s="739">
        <v>16562</v>
      </c>
      <c r="K226" s="132" t="s">
        <v>621</v>
      </c>
      <c r="L226" s="740">
        <v>0</v>
      </c>
      <c r="M226" s="741">
        <v>136.13</v>
      </c>
      <c r="N226" s="67">
        <v>259</v>
      </c>
      <c r="O226" s="67">
        <v>16821</v>
      </c>
      <c r="Q226" s="674">
        <v>0</v>
      </c>
      <c r="R226" s="674">
        <v>0</v>
      </c>
      <c r="S226" s="798" t="s">
        <v>644</v>
      </c>
      <c r="T226" s="798">
        <v>0</v>
      </c>
      <c r="U226" s="88">
        <v>16821</v>
      </c>
      <c r="V226" s="71">
        <v>123.56570924851246</v>
      </c>
      <c r="W226" s="449">
        <v>16821</v>
      </c>
      <c r="X226" s="67">
        <v>17602</v>
      </c>
      <c r="Y226" s="163">
        <v>-781</v>
      </c>
      <c r="Z226" s="166">
        <v>-4.4369957959322803E-2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163.75</v>
      </c>
      <c r="E227" s="67">
        <v>19923</v>
      </c>
      <c r="F227" s="146">
        <v>0</v>
      </c>
      <c r="G227" s="146">
        <v>0</v>
      </c>
      <c r="H227" s="91">
        <v>19923</v>
      </c>
      <c r="I227" s="67">
        <v>0</v>
      </c>
      <c r="J227" s="739">
        <v>19923</v>
      </c>
      <c r="K227" s="132" t="s">
        <v>621</v>
      </c>
      <c r="L227" s="740">
        <v>0</v>
      </c>
      <c r="M227" s="741">
        <v>163.75</v>
      </c>
      <c r="N227" s="67">
        <v>312</v>
      </c>
      <c r="O227" s="67">
        <v>20235</v>
      </c>
      <c r="Q227" s="674">
        <v>0</v>
      </c>
      <c r="R227" s="674">
        <v>0</v>
      </c>
      <c r="S227" s="798" t="s">
        <v>644</v>
      </c>
      <c r="T227" s="798">
        <v>0</v>
      </c>
      <c r="U227" s="88">
        <v>20235</v>
      </c>
      <c r="V227" s="71">
        <v>123.57251908396947</v>
      </c>
      <c r="W227" s="449">
        <v>20235</v>
      </c>
      <c r="X227" s="67">
        <v>21173</v>
      </c>
      <c r="Y227" s="163">
        <v>-938</v>
      </c>
      <c r="Z227" s="166">
        <v>-4.4301705001653049E-2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3.75</v>
      </c>
      <c r="E228" s="67">
        <v>456</v>
      </c>
      <c r="F228" s="146">
        <v>0</v>
      </c>
      <c r="G228" s="146">
        <v>0</v>
      </c>
      <c r="H228" s="91">
        <v>456</v>
      </c>
      <c r="I228" s="67">
        <v>0</v>
      </c>
      <c r="J228" s="739">
        <v>456</v>
      </c>
      <c r="K228" s="132" t="s">
        <v>644</v>
      </c>
      <c r="L228" s="740">
        <v>456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 t="s">
        <v>723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621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57.25</v>
      </c>
      <c r="E229" s="67">
        <v>6965</v>
      </c>
      <c r="F229" s="146">
        <v>0</v>
      </c>
      <c r="G229" s="146">
        <v>0</v>
      </c>
      <c r="H229" s="91">
        <v>6965</v>
      </c>
      <c r="I229" s="67">
        <v>0</v>
      </c>
      <c r="J229" s="739">
        <v>6965</v>
      </c>
      <c r="K229" s="132" t="s">
        <v>644</v>
      </c>
      <c r="L229" s="740">
        <v>6965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 t="s">
        <v>723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121.5</v>
      </c>
      <c r="E230" s="67">
        <v>14782</v>
      </c>
      <c r="F230" s="146">
        <v>0</v>
      </c>
      <c r="G230" s="146">
        <v>0</v>
      </c>
      <c r="H230" s="91">
        <v>14782</v>
      </c>
      <c r="I230" s="67">
        <v>0</v>
      </c>
      <c r="J230" s="739">
        <v>14782</v>
      </c>
      <c r="K230" s="132" t="s">
        <v>621</v>
      </c>
      <c r="L230" s="740">
        <v>0</v>
      </c>
      <c r="M230" s="741">
        <v>121.5</v>
      </c>
      <c r="N230" s="67">
        <v>231</v>
      </c>
      <c r="O230" s="67">
        <v>15013</v>
      </c>
      <c r="P230" s="674"/>
      <c r="Q230" s="674">
        <v>0</v>
      </c>
      <c r="R230" s="674">
        <v>0</v>
      </c>
      <c r="S230" s="798" t="s">
        <v>621</v>
      </c>
      <c r="T230" s="798">
        <v>36.375</v>
      </c>
      <c r="U230" s="88">
        <v>15013</v>
      </c>
      <c r="V230" s="71">
        <v>123.56378600823045</v>
      </c>
      <c r="W230" s="449">
        <v>15013</v>
      </c>
      <c r="X230" s="67">
        <v>15710</v>
      </c>
      <c r="Y230" s="163">
        <v>-697</v>
      </c>
      <c r="Z230" s="166">
        <v>-4.4366645448758756E-2</v>
      </c>
      <c r="AA230" s="34" t="s">
        <v>644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1874.38</v>
      </c>
      <c r="E231" s="67">
        <v>228047</v>
      </c>
      <c r="F231" s="146">
        <v>0</v>
      </c>
      <c r="G231" s="146">
        <v>0</v>
      </c>
      <c r="H231" s="91">
        <v>228047</v>
      </c>
      <c r="I231" s="67">
        <v>0</v>
      </c>
      <c r="J231" s="739">
        <v>228047</v>
      </c>
      <c r="K231" s="132" t="s">
        <v>621</v>
      </c>
      <c r="L231" s="740">
        <v>0</v>
      </c>
      <c r="M231" s="741">
        <v>1874.38</v>
      </c>
      <c r="N231" s="67">
        <v>3568</v>
      </c>
      <c r="O231" s="67">
        <v>231615</v>
      </c>
      <c r="Q231" s="674">
        <v>0</v>
      </c>
      <c r="R231" s="674">
        <v>0</v>
      </c>
      <c r="S231" s="798" t="s">
        <v>644</v>
      </c>
      <c r="T231" s="798">
        <v>0</v>
      </c>
      <c r="U231" s="88">
        <v>231615</v>
      </c>
      <c r="V231" s="71">
        <v>123.56886010307407</v>
      </c>
      <c r="W231" s="449">
        <v>231615</v>
      </c>
      <c r="X231" s="67">
        <v>242362</v>
      </c>
      <c r="Y231" s="163">
        <v>-10747</v>
      </c>
      <c r="Z231" s="166">
        <v>-4.4342760003630931E-2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724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 t="s">
        <v>723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621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724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 t="s">
        <v>723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724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724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 t="s">
        <v>723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724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16.5</v>
      </c>
      <c r="E235" s="67">
        <v>2007</v>
      </c>
      <c r="F235" s="146">
        <v>0</v>
      </c>
      <c r="G235" s="146">
        <v>0</v>
      </c>
      <c r="H235" s="91">
        <v>2007</v>
      </c>
      <c r="I235" s="67">
        <v>0</v>
      </c>
      <c r="J235" s="739">
        <v>2007</v>
      </c>
      <c r="K235" s="132" t="s">
        <v>644</v>
      </c>
      <c r="L235" s="740">
        <v>2007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 t="s">
        <v>723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724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312</v>
      </c>
      <c r="E236" s="67">
        <v>37960</v>
      </c>
      <c r="F236" s="146">
        <v>0</v>
      </c>
      <c r="G236" s="146">
        <v>0</v>
      </c>
      <c r="H236" s="91">
        <v>37960</v>
      </c>
      <c r="I236" s="67">
        <v>0</v>
      </c>
      <c r="J236" s="739">
        <v>37960</v>
      </c>
      <c r="K236" s="132" t="s">
        <v>621</v>
      </c>
      <c r="L236" s="740">
        <v>0</v>
      </c>
      <c r="M236" s="741">
        <v>312</v>
      </c>
      <c r="N236" s="67">
        <v>594</v>
      </c>
      <c r="O236" s="67">
        <v>38554</v>
      </c>
      <c r="Q236" s="674">
        <v>0</v>
      </c>
      <c r="R236" s="674">
        <v>0</v>
      </c>
      <c r="S236" s="798" t="s">
        <v>644</v>
      </c>
      <c r="T236" s="798">
        <v>0</v>
      </c>
      <c r="U236" s="88">
        <v>38554</v>
      </c>
      <c r="V236" s="71">
        <v>123.57051282051282</v>
      </c>
      <c r="W236" s="449">
        <v>38554</v>
      </c>
      <c r="X236" s="67">
        <v>40342</v>
      </c>
      <c r="Y236" s="163">
        <v>-1788</v>
      </c>
      <c r="Z236" s="166">
        <v>-4.432105497992167E-2</v>
      </c>
      <c r="AA236" s="34" t="s">
        <v>644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480.38</v>
      </c>
      <c r="E237" s="67">
        <v>58446</v>
      </c>
      <c r="F237" s="146">
        <v>0</v>
      </c>
      <c r="G237" s="146">
        <v>0</v>
      </c>
      <c r="H237" s="91">
        <v>58446</v>
      </c>
      <c r="I237" s="67">
        <v>0</v>
      </c>
      <c r="J237" s="739">
        <v>58446</v>
      </c>
      <c r="K237" s="132" t="s">
        <v>621</v>
      </c>
      <c r="L237" s="740">
        <v>0</v>
      </c>
      <c r="M237" s="741">
        <v>480.38</v>
      </c>
      <c r="N237" s="67">
        <v>914</v>
      </c>
      <c r="O237" s="67">
        <v>59360</v>
      </c>
      <c r="Q237" s="674">
        <v>0</v>
      </c>
      <c r="R237" s="674">
        <v>0</v>
      </c>
      <c r="S237" s="798" t="s">
        <v>644</v>
      </c>
      <c r="T237" s="798">
        <v>0</v>
      </c>
      <c r="U237" s="88">
        <v>59360</v>
      </c>
      <c r="V237" s="71">
        <v>123.56884133394396</v>
      </c>
      <c r="W237" s="449">
        <v>59360</v>
      </c>
      <c r="X237" s="67">
        <v>62114</v>
      </c>
      <c r="Y237" s="163">
        <v>-2754</v>
      </c>
      <c r="Z237" s="166">
        <v>-4.4337830440802396E-2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0.63</v>
      </c>
      <c r="E238" s="67">
        <v>77</v>
      </c>
      <c r="F238" s="146">
        <v>0</v>
      </c>
      <c r="G238" s="146">
        <v>0</v>
      </c>
      <c r="H238" s="91">
        <v>77</v>
      </c>
      <c r="I238" s="67">
        <v>0</v>
      </c>
      <c r="J238" s="739">
        <v>77</v>
      </c>
      <c r="K238" s="132" t="s">
        <v>724</v>
      </c>
      <c r="L238" s="740">
        <v>77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 t="s">
        <v>723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621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132.75</v>
      </c>
      <c r="E239" s="67">
        <v>16151</v>
      </c>
      <c r="F239" s="146">
        <v>0</v>
      </c>
      <c r="G239" s="146">
        <v>0</v>
      </c>
      <c r="H239" s="91">
        <v>16151</v>
      </c>
      <c r="I239" s="67">
        <v>0</v>
      </c>
      <c r="J239" s="739">
        <v>16151</v>
      </c>
      <c r="K239" s="132" t="s">
        <v>621</v>
      </c>
      <c r="L239" s="740">
        <v>0</v>
      </c>
      <c r="M239" s="741">
        <v>132.75</v>
      </c>
      <c r="N239" s="67">
        <v>253</v>
      </c>
      <c r="O239" s="67">
        <v>16404</v>
      </c>
      <c r="Q239" s="674">
        <v>0</v>
      </c>
      <c r="R239" s="674">
        <v>0</v>
      </c>
      <c r="S239" s="798" t="s">
        <v>621</v>
      </c>
      <c r="T239" s="798">
        <v>35.125</v>
      </c>
      <c r="U239" s="88">
        <v>16404</v>
      </c>
      <c r="V239" s="71">
        <v>123.57062146892656</v>
      </c>
      <c r="W239" s="449">
        <v>16404</v>
      </c>
      <c r="X239" s="67">
        <v>17165</v>
      </c>
      <c r="Y239" s="163">
        <v>-761</v>
      </c>
      <c r="Z239" s="166">
        <v>-4.4334401398194001E-2</v>
      </c>
      <c r="AA239" s="34" t="s">
        <v>724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120.13</v>
      </c>
      <c r="E240" s="67">
        <v>14616</v>
      </c>
      <c r="F240" s="146">
        <v>0</v>
      </c>
      <c r="G240" s="146">
        <v>0</v>
      </c>
      <c r="H240" s="91">
        <v>14616</v>
      </c>
      <c r="I240" s="67">
        <v>0</v>
      </c>
      <c r="J240" s="739">
        <v>14616</v>
      </c>
      <c r="K240" s="132" t="s">
        <v>621</v>
      </c>
      <c r="L240" s="740">
        <v>0</v>
      </c>
      <c r="M240" s="741">
        <v>120.13</v>
      </c>
      <c r="N240" s="67">
        <v>229</v>
      </c>
      <c r="O240" s="67">
        <v>14845</v>
      </c>
      <c r="Q240" s="674">
        <v>0</v>
      </c>
      <c r="R240" s="674">
        <v>0</v>
      </c>
      <c r="S240" s="798" t="s">
        <v>644</v>
      </c>
      <c r="T240" s="798">
        <v>0</v>
      </c>
      <c r="U240" s="88">
        <v>14845</v>
      </c>
      <c r="V240" s="71">
        <v>123.5744610005827</v>
      </c>
      <c r="W240" s="449">
        <v>14845</v>
      </c>
      <c r="X240" s="67">
        <v>15533</v>
      </c>
      <c r="Y240" s="163">
        <v>-688</v>
      </c>
      <c r="Z240" s="166">
        <v>-4.4292795982746408E-2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3.38</v>
      </c>
      <c r="E241" s="67">
        <v>411</v>
      </c>
      <c r="F241" s="146">
        <v>0</v>
      </c>
      <c r="G241" s="146">
        <v>0</v>
      </c>
      <c r="H241" s="91">
        <v>411</v>
      </c>
      <c r="I241" s="67">
        <v>0</v>
      </c>
      <c r="J241" s="739">
        <v>411</v>
      </c>
      <c r="K241" s="132" t="s">
        <v>724</v>
      </c>
      <c r="L241" s="740">
        <v>411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 t="s">
        <v>723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621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88.004999999999995</v>
      </c>
      <c r="E242" s="67">
        <v>10707</v>
      </c>
      <c r="F242" s="146">
        <v>0</v>
      </c>
      <c r="G242" s="146">
        <v>0</v>
      </c>
      <c r="H242" s="91">
        <v>10707</v>
      </c>
      <c r="I242" s="67">
        <v>0</v>
      </c>
      <c r="J242" s="739">
        <v>10707</v>
      </c>
      <c r="K242" s="132" t="s">
        <v>621</v>
      </c>
      <c r="L242" s="740">
        <v>0</v>
      </c>
      <c r="M242" s="741">
        <v>88.004999999999995</v>
      </c>
      <c r="N242" s="67">
        <v>168</v>
      </c>
      <c r="O242" s="67">
        <v>10875</v>
      </c>
      <c r="Q242" s="674">
        <v>0</v>
      </c>
      <c r="R242" s="674">
        <v>0</v>
      </c>
      <c r="S242" s="798" t="s">
        <v>644</v>
      </c>
      <c r="T242" s="798">
        <v>0</v>
      </c>
      <c r="U242" s="88">
        <v>10875</v>
      </c>
      <c r="V242" s="71">
        <v>123.57252428839271</v>
      </c>
      <c r="W242" s="449">
        <v>10875</v>
      </c>
      <c r="X242" s="67">
        <v>11379</v>
      </c>
      <c r="Y242" s="163">
        <v>-504</v>
      </c>
      <c r="Z242" s="166">
        <v>-4.4292117057737938E-2</v>
      </c>
      <c r="AA242" s="34" t="s">
        <v>724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11.63</v>
      </c>
      <c r="E243" s="67">
        <v>1415</v>
      </c>
      <c r="F243" s="146">
        <v>0</v>
      </c>
      <c r="G243" s="146">
        <v>0</v>
      </c>
      <c r="H243" s="91">
        <v>1415</v>
      </c>
      <c r="I243" s="67">
        <v>0</v>
      </c>
      <c r="J243" s="739">
        <v>1415</v>
      </c>
      <c r="K243" s="132" t="s">
        <v>644</v>
      </c>
      <c r="L243" s="740">
        <v>1415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 t="s">
        <v>723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621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9.75</v>
      </c>
      <c r="E244" s="67">
        <v>1186</v>
      </c>
      <c r="F244" s="146">
        <v>0</v>
      </c>
      <c r="G244" s="146">
        <v>0</v>
      </c>
      <c r="H244" s="91">
        <v>1186</v>
      </c>
      <c r="I244" s="67">
        <v>0</v>
      </c>
      <c r="J244" s="739">
        <v>1186</v>
      </c>
      <c r="K244" s="132" t="s">
        <v>644</v>
      </c>
      <c r="L244" s="740">
        <v>1186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 t="s">
        <v>723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724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 t="s">
        <v>723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724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 t="s">
        <v>723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724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110.25</v>
      </c>
      <c r="E247" s="67">
        <v>13414</v>
      </c>
      <c r="F247" s="146">
        <v>0</v>
      </c>
      <c r="G247" s="146">
        <v>0</v>
      </c>
      <c r="H247" s="91">
        <v>13414</v>
      </c>
      <c r="I247" s="67">
        <v>0</v>
      </c>
      <c r="J247" s="739">
        <v>13414</v>
      </c>
      <c r="K247" s="132" t="s">
        <v>1306</v>
      </c>
      <c r="L247" s="740">
        <v>0</v>
      </c>
      <c r="M247" s="741">
        <v>110.25</v>
      </c>
      <c r="N247" s="67">
        <v>210</v>
      </c>
      <c r="O247" s="67">
        <v>13624</v>
      </c>
      <c r="Q247" s="674">
        <v>0</v>
      </c>
      <c r="R247" s="674">
        <v>0</v>
      </c>
      <c r="S247" s="798" t="s">
        <v>644</v>
      </c>
      <c r="T247" s="798">
        <v>0</v>
      </c>
      <c r="U247" s="88">
        <v>13624</v>
      </c>
      <c r="V247" s="71">
        <v>123.57369614512471</v>
      </c>
      <c r="W247" s="449">
        <v>13624</v>
      </c>
      <c r="X247" s="67">
        <v>14255</v>
      </c>
      <c r="Y247" s="163">
        <v>-631</v>
      </c>
      <c r="Z247" s="166">
        <v>-4.4265170115748861E-2</v>
      </c>
      <c r="AA247" s="34" t="s">
        <v>724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2.88</v>
      </c>
      <c r="E248" s="67">
        <v>350</v>
      </c>
      <c r="F248" s="146">
        <v>0</v>
      </c>
      <c r="G248" s="146">
        <v>0</v>
      </c>
      <c r="H248" s="91">
        <v>350</v>
      </c>
      <c r="I248" s="67">
        <v>0</v>
      </c>
      <c r="J248" s="739">
        <v>350</v>
      </c>
      <c r="K248" s="132" t="s">
        <v>724</v>
      </c>
      <c r="L248" s="740">
        <v>350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 t="s">
        <v>723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1306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25.13</v>
      </c>
      <c r="E249" s="67">
        <v>3057</v>
      </c>
      <c r="F249" s="146">
        <v>0</v>
      </c>
      <c r="G249" s="146">
        <v>0</v>
      </c>
      <c r="H249" s="91">
        <v>3057</v>
      </c>
      <c r="I249" s="67">
        <v>0</v>
      </c>
      <c r="J249" s="739">
        <v>3057</v>
      </c>
      <c r="K249" s="132" t="s">
        <v>724</v>
      </c>
      <c r="L249" s="740">
        <v>3057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 t="s">
        <v>723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724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724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 t="s">
        <v>723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724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724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 t="s">
        <v>723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724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724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 t="s">
        <v>723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724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724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 t="s">
        <v>723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724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11.375</v>
      </c>
      <c r="E254" s="67">
        <v>1384</v>
      </c>
      <c r="F254" s="146">
        <v>0</v>
      </c>
      <c r="G254" s="146">
        <v>0</v>
      </c>
      <c r="H254" s="91">
        <v>1384</v>
      </c>
      <c r="I254" s="67">
        <v>0</v>
      </c>
      <c r="J254" s="739">
        <v>1384</v>
      </c>
      <c r="K254" s="132" t="s">
        <v>724</v>
      </c>
      <c r="L254" s="740">
        <v>1384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 t="s">
        <v>723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724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724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 t="s">
        <v>723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724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0.88</v>
      </c>
      <c r="E256" s="67">
        <v>107</v>
      </c>
      <c r="F256" s="146">
        <v>0</v>
      </c>
      <c r="G256" s="146">
        <v>0</v>
      </c>
      <c r="H256" s="91">
        <v>107</v>
      </c>
      <c r="I256" s="67">
        <v>0</v>
      </c>
      <c r="J256" s="739">
        <v>107</v>
      </c>
      <c r="K256" s="132" t="s">
        <v>724</v>
      </c>
      <c r="L256" s="740">
        <v>107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 t="s">
        <v>723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724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136.63</v>
      </c>
      <c r="E257" s="67">
        <v>16623</v>
      </c>
      <c r="F257" s="146">
        <v>0</v>
      </c>
      <c r="G257" s="146">
        <v>0</v>
      </c>
      <c r="H257" s="91">
        <v>16623</v>
      </c>
      <c r="I257" s="67">
        <v>0</v>
      </c>
      <c r="J257" s="739">
        <v>16623</v>
      </c>
      <c r="K257" s="132" t="s">
        <v>644</v>
      </c>
      <c r="L257" s="740">
        <v>16623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 t="s">
        <v>723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724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773</v>
      </c>
      <c r="E258" s="67">
        <v>94047</v>
      </c>
      <c r="F258" s="146">
        <v>0</v>
      </c>
      <c r="G258" s="146">
        <v>0</v>
      </c>
      <c r="H258" s="91">
        <v>94047</v>
      </c>
      <c r="I258" s="67">
        <v>0</v>
      </c>
      <c r="J258" s="739">
        <v>94047</v>
      </c>
      <c r="K258" s="132" t="s">
        <v>621</v>
      </c>
      <c r="L258" s="740">
        <v>0</v>
      </c>
      <c r="M258" s="741">
        <v>773</v>
      </c>
      <c r="N258" s="67">
        <v>1471</v>
      </c>
      <c r="O258" s="67">
        <v>95518</v>
      </c>
      <c r="Q258" s="674">
        <v>0</v>
      </c>
      <c r="R258" s="674">
        <v>0</v>
      </c>
      <c r="S258" s="798" t="s">
        <v>621</v>
      </c>
      <c r="T258" s="798">
        <v>269.125</v>
      </c>
      <c r="U258" s="88">
        <v>95518</v>
      </c>
      <c r="V258" s="71">
        <v>123.56791720569211</v>
      </c>
      <c r="W258" s="449">
        <v>95518</v>
      </c>
      <c r="X258" s="67">
        <v>99951</v>
      </c>
      <c r="Y258" s="163">
        <v>-4433</v>
      </c>
      <c r="Z258" s="166">
        <v>-4.4351732348850939E-2</v>
      </c>
      <c r="AA258" s="34" t="s">
        <v>644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138.63</v>
      </c>
      <c r="E259" s="67">
        <v>16866</v>
      </c>
      <c r="F259" s="146">
        <v>0</v>
      </c>
      <c r="G259" s="146">
        <v>0</v>
      </c>
      <c r="H259" s="91">
        <v>16866</v>
      </c>
      <c r="I259" s="67">
        <v>0</v>
      </c>
      <c r="J259" s="739">
        <v>16866</v>
      </c>
      <c r="K259" s="132" t="s">
        <v>621</v>
      </c>
      <c r="L259" s="740">
        <v>0</v>
      </c>
      <c r="M259" s="741">
        <v>138.63</v>
      </c>
      <c r="N259" s="67">
        <v>264</v>
      </c>
      <c r="O259" s="67">
        <v>17130</v>
      </c>
      <c r="Q259" s="674">
        <v>0</v>
      </c>
      <c r="R259" s="674">
        <v>0</v>
      </c>
      <c r="S259" s="798" t="s">
        <v>644</v>
      </c>
      <c r="T259" s="798">
        <v>0</v>
      </c>
      <c r="U259" s="88">
        <v>17130</v>
      </c>
      <c r="V259" s="71">
        <v>123.5663276347111</v>
      </c>
      <c r="W259" s="449">
        <v>17130</v>
      </c>
      <c r="X259" s="67">
        <v>17925</v>
      </c>
      <c r="Y259" s="163">
        <v>-795</v>
      </c>
      <c r="Z259" s="166">
        <v>-4.4351464435146447E-2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241.75</v>
      </c>
      <c r="E260" s="67">
        <v>29413</v>
      </c>
      <c r="F260" s="146">
        <v>0</v>
      </c>
      <c r="G260" s="146">
        <v>0</v>
      </c>
      <c r="H260" s="91">
        <v>29413</v>
      </c>
      <c r="I260" s="67">
        <v>0</v>
      </c>
      <c r="J260" s="739">
        <v>29413</v>
      </c>
      <c r="K260" s="132" t="s">
        <v>621</v>
      </c>
      <c r="L260" s="740">
        <v>0</v>
      </c>
      <c r="M260" s="741">
        <v>241.75</v>
      </c>
      <c r="N260" s="67">
        <v>460</v>
      </c>
      <c r="O260" s="67">
        <v>29873</v>
      </c>
      <c r="Q260" s="674">
        <v>0</v>
      </c>
      <c r="R260" s="674">
        <v>0</v>
      </c>
      <c r="S260" s="798" t="s">
        <v>621</v>
      </c>
      <c r="T260" s="798">
        <v>75.125</v>
      </c>
      <c r="U260" s="88">
        <v>29873</v>
      </c>
      <c r="V260" s="71">
        <v>123.56980351602895</v>
      </c>
      <c r="W260" s="449">
        <v>29873</v>
      </c>
      <c r="X260" s="67">
        <v>31258</v>
      </c>
      <c r="Y260" s="163">
        <v>-1385</v>
      </c>
      <c r="Z260" s="166">
        <v>-4.4308656983812145E-2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 t="s">
        <v>723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621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5</v>
      </c>
      <c r="E262" s="67">
        <v>608</v>
      </c>
      <c r="F262" s="146">
        <v>0</v>
      </c>
      <c r="G262" s="146">
        <v>0</v>
      </c>
      <c r="H262" s="91">
        <v>608</v>
      </c>
      <c r="I262" s="67">
        <v>0</v>
      </c>
      <c r="J262" s="739">
        <v>608</v>
      </c>
      <c r="K262" s="132" t="s">
        <v>644</v>
      </c>
      <c r="L262" s="740">
        <v>608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 t="s">
        <v>723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724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163.755</v>
      </c>
      <c r="E263" s="67">
        <v>19923</v>
      </c>
      <c r="F263" s="146">
        <v>0</v>
      </c>
      <c r="G263" s="146">
        <v>0</v>
      </c>
      <c r="H263" s="91">
        <v>19923</v>
      </c>
      <c r="I263" s="67">
        <v>0</v>
      </c>
      <c r="J263" s="739">
        <v>19923</v>
      </c>
      <c r="K263" s="132" t="s">
        <v>621</v>
      </c>
      <c r="L263" s="740">
        <v>0</v>
      </c>
      <c r="M263" s="741">
        <v>163.755</v>
      </c>
      <c r="N263" s="67">
        <v>312</v>
      </c>
      <c r="O263" s="67">
        <v>20235</v>
      </c>
      <c r="Q263" s="674">
        <v>0</v>
      </c>
      <c r="R263" s="674">
        <v>0</v>
      </c>
      <c r="S263" s="798" t="s">
        <v>621</v>
      </c>
      <c r="T263" s="798">
        <v>36.875</v>
      </c>
      <c r="U263" s="88">
        <v>20235</v>
      </c>
      <c r="V263" s="71">
        <v>123.56874599248879</v>
      </c>
      <c r="W263" s="449">
        <v>20235</v>
      </c>
      <c r="X263" s="67">
        <v>21174</v>
      </c>
      <c r="Y263" s="163">
        <v>-939</v>
      </c>
      <c r="Z263" s="166">
        <v>-4.4346840464720885E-2</v>
      </c>
      <c r="AA263" s="34" t="s">
        <v>644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8.3800000000000008</v>
      </c>
      <c r="E264" s="67">
        <v>1020</v>
      </c>
      <c r="F264" s="146">
        <v>0</v>
      </c>
      <c r="G264" s="146">
        <v>0</v>
      </c>
      <c r="H264" s="91">
        <v>1020</v>
      </c>
      <c r="I264" s="67">
        <v>0</v>
      </c>
      <c r="J264" s="739">
        <v>1020</v>
      </c>
      <c r="K264" s="132" t="s">
        <v>1306</v>
      </c>
      <c r="L264" s="740">
        <v>0</v>
      </c>
      <c r="M264" s="741">
        <v>8.3800000000000008</v>
      </c>
      <c r="N264" s="67">
        <v>16</v>
      </c>
      <c r="O264" s="67">
        <v>1036</v>
      </c>
      <c r="Q264" s="674">
        <v>0</v>
      </c>
      <c r="R264" s="674">
        <v>0</v>
      </c>
      <c r="S264" s="798" t="s">
        <v>723</v>
      </c>
      <c r="T264" s="798">
        <v>4.875</v>
      </c>
      <c r="U264" s="88">
        <v>1036</v>
      </c>
      <c r="V264" s="71">
        <v>123.62768496420047</v>
      </c>
      <c r="W264" s="449">
        <v>1036</v>
      </c>
      <c r="X264" s="67">
        <v>1084</v>
      </c>
      <c r="Y264" s="163">
        <v>-48</v>
      </c>
      <c r="Z264" s="166">
        <v>-4.4280442804428041E-2</v>
      </c>
      <c r="AA264" s="34" t="s">
        <v>621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724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 t="s">
        <v>723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1306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16.63</v>
      </c>
      <c r="E266" s="67">
        <v>2023</v>
      </c>
      <c r="F266" s="146">
        <v>0</v>
      </c>
      <c r="G266" s="146">
        <v>0</v>
      </c>
      <c r="H266" s="91">
        <v>2023</v>
      </c>
      <c r="I266" s="67">
        <v>0</v>
      </c>
      <c r="J266" s="739">
        <v>2023</v>
      </c>
      <c r="K266" s="132" t="s">
        <v>724</v>
      </c>
      <c r="L266" s="740">
        <v>2023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 t="s">
        <v>723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724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724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 t="s">
        <v>723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724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729.25</v>
      </c>
      <c r="E268" s="67">
        <v>88724</v>
      </c>
      <c r="F268" s="146">
        <v>0</v>
      </c>
      <c r="G268" s="146">
        <v>0</v>
      </c>
      <c r="H268" s="91">
        <v>88724</v>
      </c>
      <c r="I268" s="67">
        <v>0</v>
      </c>
      <c r="J268" s="739">
        <v>88724</v>
      </c>
      <c r="K268" s="132" t="s">
        <v>621</v>
      </c>
      <c r="L268" s="740">
        <v>0</v>
      </c>
      <c r="M268" s="741">
        <v>729.25</v>
      </c>
      <c r="N268" s="67">
        <v>1388</v>
      </c>
      <c r="O268" s="67">
        <v>90112</v>
      </c>
      <c r="Q268" s="674">
        <v>0</v>
      </c>
      <c r="R268" s="674">
        <v>0</v>
      </c>
      <c r="S268" s="798" t="s">
        <v>644</v>
      </c>
      <c r="T268" s="798">
        <v>0</v>
      </c>
      <c r="U268" s="88">
        <v>90112</v>
      </c>
      <c r="V268" s="71">
        <v>123.56804936578676</v>
      </c>
      <c r="W268" s="449">
        <v>90112</v>
      </c>
      <c r="X268" s="67">
        <v>94294</v>
      </c>
      <c r="Y268" s="163">
        <v>-4182</v>
      </c>
      <c r="Z268" s="166">
        <v>-4.4350647973359913E-2</v>
      </c>
      <c r="AA268" s="34" t="s">
        <v>724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280.75</v>
      </c>
      <c r="E269" s="67">
        <v>34157</v>
      </c>
      <c r="F269" s="146">
        <v>0</v>
      </c>
      <c r="G269" s="146">
        <v>0</v>
      </c>
      <c r="H269" s="91">
        <v>34157</v>
      </c>
      <c r="I269" s="67">
        <v>0</v>
      </c>
      <c r="J269" s="739">
        <v>34157</v>
      </c>
      <c r="K269" s="132" t="s">
        <v>621</v>
      </c>
      <c r="L269" s="740">
        <v>0</v>
      </c>
      <c r="M269" s="741">
        <v>280.75</v>
      </c>
      <c r="N269" s="67">
        <v>534</v>
      </c>
      <c r="O269" s="67">
        <v>34691</v>
      </c>
      <c r="Q269" s="674">
        <v>0</v>
      </c>
      <c r="R269" s="674">
        <v>0</v>
      </c>
      <c r="S269" s="798" t="s">
        <v>644</v>
      </c>
      <c r="T269" s="798">
        <v>0</v>
      </c>
      <c r="U269" s="88">
        <v>34691</v>
      </c>
      <c r="V269" s="71">
        <v>123.56544968833482</v>
      </c>
      <c r="W269" s="449">
        <v>34691</v>
      </c>
      <c r="X269" s="67">
        <v>36302</v>
      </c>
      <c r="Y269" s="163">
        <v>-1611</v>
      </c>
      <c r="Z269" s="166">
        <v>-4.4377720235799681E-2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35.75</v>
      </c>
      <c r="E270" s="67">
        <v>4350</v>
      </c>
      <c r="F270" s="146">
        <v>0</v>
      </c>
      <c r="G270" s="146">
        <v>0</v>
      </c>
      <c r="H270" s="91">
        <v>4350</v>
      </c>
      <c r="I270" s="67">
        <v>0</v>
      </c>
      <c r="J270" s="739">
        <v>4350</v>
      </c>
      <c r="K270" s="132" t="s">
        <v>724</v>
      </c>
      <c r="L270" s="740">
        <v>4350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 t="s">
        <v>723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621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120.13</v>
      </c>
      <c r="E271" s="67">
        <v>14616</v>
      </c>
      <c r="F271" s="146">
        <v>0</v>
      </c>
      <c r="G271" s="146">
        <v>0</v>
      </c>
      <c r="H271" s="91">
        <v>14616</v>
      </c>
      <c r="I271" s="67">
        <v>0</v>
      </c>
      <c r="J271" s="739">
        <v>14616</v>
      </c>
      <c r="K271" s="132" t="s">
        <v>621</v>
      </c>
      <c r="L271" s="740">
        <v>0</v>
      </c>
      <c r="M271" s="741">
        <v>120.13</v>
      </c>
      <c r="N271" s="67">
        <v>229</v>
      </c>
      <c r="O271" s="67">
        <v>14845</v>
      </c>
      <c r="Q271" s="674">
        <v>0</v>
      </c>
      <c r="R271" s="674">
        <v>0</v>
      </c>
      <c r="S271" s="798" t="s">
        <v>621</v>
      </c>
      <c r="T271" s="798">
        <v>45.625</v>
      </c>
      <c r="U271" s="88">
        <v>14845</v>
      </c>
      <c r="V271" s="71">
        <v>123.5744610005827</v>
      </c>
      <c r="W271" s="449">
        <v>14845</v>
      </c>
      <c r="X271" s="67">
        <v>15533</v>
      </c>
      <c r="Y271" s="163">
        <v>-688</v>
      </c>
      <c r="Z271" s="166">
        <v>-4.4292795982746408E-2</v>
      </c>
      <c r="AA271" s="34" t="s">
        <v>724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4.25</v>
      </c>
      <c r="E272" s="67">
        <v>517</v>
      </c>
      <c r="F272" s="146">
        <v>0</v>
      </c>
      <c r="G272" s="146">
        <v>0</v>
      </c>
      <c r="H272" s="91">
        <v>517</v>
      </c>
      <c r="I272" s="67">
        <v>0</v>
      </c>
      <c r="J272" s="739">
        <v>517</v>
      </c>
      <c r="K272" s="132" t="s">
        <v>724</v>
      </c>
      <c r="L272" s="740">
        <v>517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 t="s">
        <v>723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621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103.5</v>
      </c>
      <c r="E273" s="67">
        <v>12592</v>
      </c>
      <c r="F273" s="146">
        <v>0</v>
      </c>
      <c r="G273" s="146">
        <v>0</v>
      </c>
      <c r="H273" s="91">
        <v>12592</v>
      </c>
      <c r="I273" s="67">
        <v>0</v>
      </c>
      <c r="J273" s="739">
        <v>12592</v>
      </c>
      <c r="K273" s="132" t="s">
        <v>621</v>
      </c>
      <c r="L273" s="740">
        <v>0</v>
      </c>
      <c r="M273" s="741">
        <v>103.5</v>
      </c>
      <c r="N273" s="67">
        <v>197</v>
      </c>
      <c r="O273" s="67">
        <v>12789</v>
      </c>
      <c r="Q273" s="674">
        <v>0</v>
      </c>
      <c r="R273" s="674">
        <v>0</v>
      </c>
      <c r="S273" s="798" t="s">
        <v>644</v>
      </c>
      <c r="T273" s="798">
        <v>0</v>
      </c>
      <c r="U273" s="88">
        <v>12789</v>
      </c>
      <c r="V273" s="71">
        <v>123.56521739130434</v>
      </c>
      <c r="W273" s="449">
        <v>12789</v>
      </c>
      <c r="X273" s="67">
        <v>13383</v>
      </c>
      <c r="Y273" s="163">
        <v>-594</v>
      </c>
      <c r="Z273" s="166">
        <v>-4.438466711499664E-2</v>
      </c>
      <c r="AA273" s="34" t="s">
        <v>724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747.88</v>
      </c>
      <c r="E274" s="67">
        <v>90991</v>
      </c>
      <c r="F274" s="146">
        <v>0</v>
      </c>
      <c r="G274" s="146">
        <v>0</v>
      </c>
      <c r="H274" s="91">
        <v>90991</v>
      </c>
      <c r="I274" s="67">
        <v>0</v>
      </c>
      <c r="J274" s="739">
        <v>90991</v>
      </c>
      <c r="K274" s="132" t="s">
        <v>621</v>
      </c>
      <c r="L274" s="740">
        <v>0</v>
      </c>
      <c r="M274" s="741">
        <v>747.88</v>
      </c>
      <c r="N274" s="67">
        <v>1423</v>
      </c>
      <c r="O274" s="67">
        <v>92414</v>
      </c>
      <c r="P274" s="674"/>
      <c r="Q274" s="674">
        <v>0</v>
      </c>
      <c r="R274" s="674">
        <v>0</v>
      </c>
      <c r="S274" s="798" t="s">
        <v>621</v>
      </c>
      <c r="T274" s="798">
        <v>262.375</v>
      </c>
      <c r="U274" s="88">
        <v>92414</v>
      </c>
      <c r="V274" s="71">
        <v>123.56795207787346</v>
      </c>
      <c r="W274" s="449">
        <v>92414</v>
      </c>
      <c r="X274" s="67">
        <v>96702</v>
      </c>
      <c r="Y274" s="163">
        <v>-4288</v>
      </c>
      <c r="Z274" s="166">
        <v>-4.4342412773262188E-2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297.75</v>
      </c>
      <c r="E275" s="67">
        <v>36226</v>
      </c>
      <c r="F275" s="146">
        <v>0</v>
      </c>
      <c r="G275" s="146">
        <v>0</v>
      </c>
      <c r="H275" s="91">
        <v>36226</v>
      </c>
      <c r="I275" s="67">
        <v>0</v>
      </c>
      <c r="J275" s="739">
        <v>36226</v>
      </c>
      <c r="K275" s="132" t="s">
        <v>644</v>
      </c>
      <c r="L275" s="740">
        <v>36226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98" t="s">
        <v>723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621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82.75</v>
      </c>
      <c r="E276" s="67">
        <v>10068</v>
      </c>
      <c r="F276" s="146">
        <v>0</v>
      </c>
      <c r="G276" s="146">
        <v>0</v>
      </c>
      <c r="H276" s="91">
        <v>10068</v>
      </c>
      <c r="I276" s="67">
        <v>0</v>
      </c>
      <c r="J276" s="739">
        <v>10068</v>
      </c>
      <c r="K276" s="132" t="s">
        <v>621</v>
      </c>
      <c r="L276" s="740">
        <v>0</v>
      </c>
      <c r="M276" s="741">
        <v>82.75</v>
      </c>
      <c r="N276" s="67">
        <v>158</v>
      </c>
      <c r="O276" s="67">
        <v>10226</v>
      </c>
      <c r="Q276" s="674">
        <v>0</v>
      </c>
      <c r="R276" s="674">
        <v>0</v>
      </c>
      <c r="S276" s="798" t="s">
        <v>644</v>
      </c>
      <c r="T276" s="798">
        <v>0</v>
      </c>
      <c r="U276" s="88">
        <v>10226</v>
      </c>
      <c r="V276" s="71">
        <v>123.57703927492447</v>
      </c>
      <c r="W276" s="449">
        <v>10226</v>
      </c>
      <c r="X276" s="67">
        <v>10700</v>
      </c>
      <c r="Y276" s="163">
        <v>-474</v>
      </c>
      <c r="Z276" s="166">
        <v>-4.4299065420560745E-2</v>
      </c>
      <c r="AA276" s="34" t="s">
        <v>644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325.5</v>
      </c>
      <c r="E277" s="67">
        <v>39602</v>
      </c>
      <c r="F277" s="146">
        <v>0</v>
      </c>
      <c r="G277" s="146">
        <v>0</v>
      </c>
      <c r="H277" s="91">
        <v>39602</v>
      </c>
      <c r="I277" s="67">
        <v>0</v>
      </c>
      <c r="J277" s="739">
        <v>39602</v>
      </c>
      <c r="K277" s="132" t="s">
        <v>621</v>
      </c>
      <c r="L277" s="740">
        <v>0</v>
      </c>
      <c r="M277" s="741">
        <v>325.5</v>
      </c>
      <c r="N277" s="67">
        <v>620</v>
      </c>
      <c r="O277" s="67">
        <v>40222</v>
      </c>
      <c r="P277" s="674"/>
      <c r="Q277" s="674">
        <v>0</v>
      </c>
      <c r="R277" s="674">
        <v>0</v>
      </c>
      <c r="S277" s="798" t="s">
        <v>621</v>
      </c>
      <c r="T277" s="798">
        <v>95.875</v>
      </c>
      <c r="U277" s="88">
        <v>40222</v>
      </c>
      <c r="V277" s="71">
        <v>123.56989247311827</v>
      </c>
      <c r="W277" s="449">
        <v>40222</v>
      </c>
      <c r="X277" s="67">
        <v>42088</v>
      </c>
      <c r="Y277" s="163">
        <v>-1866</v>
      </c>
      <c r="Z277" s="166">
        <v>-4.4335677627827412E-2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156.63</v>
      </c>
      <c r="E278" s="67">
        <v>19056</v>
      </c>
      <c r="F278" s="146">
        <v>0</v>
      </c>
      <c r="G278" s="146">
        <v>0</v>
      </c>
      <c r="H278" s="91">
        <v>19056</v>
      </c>
      <c r="I278" s="67">
        <v>0</v>
      </c>
      <c r="J278" s="739">
        <v>19056</v>
      </c>
      <c r="K278" s="132" t="s">
        <v>621</v>
      </c>
      <c r="L278" s="740">
        <v>0</v>
      </c>
      <c r="M278" s="741">
        <v>156.63</v>
      </c>
      <c r="N278" s="67">
        <v>298</v>
      </c>
      <c r="O278" s="67">
        <v>19354</v>
      </c>
      <c r="Q278" s="674">
        <v>0</v>
      </c>
      <c r="R278" s="674">
        <v>0</v>
      </c>
      <c r="S278" s="798" t="s">
        <v>621</v>
      </c>
      <c r="T278" s="798">
        <v>57.375</v>
      </c>
      <c r="U278" s="88">
        <v>19354</v>
      </c>
      <c r="V278" s="71">
        <v>123.56508970184511</v>
      </c>
      <c r="W278" s="449">
        <v>19354</v>
      </c>
      <c r="X278" s="67">
        <v>20253</v>
      </c>
      <c r="Y278" s="163">
        <v>-899</v>
      </c>
      <c r="Z278" s="166">
        <v>-4.4388485656445958E-2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254.5</v>
      </c>
      <c r="E279" s="67">
        <v>30964</v>
      </c>
      <c r="F279" s="146">
        <v>0</v>
      </c>
      <c r="G279" s="146">
        <v>0</v>
      </c>
      <c r="H279" s="91">
        <v>30964</v>
      </c>
      <c r="I279" s="67">
        <v>0</v>
      </c>
      <c r="J279" s="739">
        <v>30964</v>
      </c>
      <c r="K279" s="132" t="s">
        <v>621</v>
      </c>
      <c r="L279" s="740">
        <v>0</v>
      </c>
      <c r="M279" s="741">
        <v>254.5</v>
      </c>
      <c r="N279" s="67">
        <v>484</v>
      </c>
      <c r="O279" s="67">
        <v>31448</v>
      </c>
      <c r="Q279" s="674">
        <v>0</v>
      </c>
      <c r="R279" s="674">
        <v>0</v>
      </c>
      <c r="S279" s="798" t="s">
        <v>621</v>
      </c>
      <c r="T279" s="798">
        <v>68.625</v>
      </c>
      <c r="U279" s="88">
        <v>31448</v>
      </c>
      <c r="V279" s="71">
        <v>123.56777996070727</v>
      </c>
      <c r="W279" s="449">
        <v>31448</v>
      </c>
      <c r="X279" s="67">
        <v>32907</v>
      </c>
      <c r="Y279" s="163">
        <v>-1459</v>
      </c>
      <c r="Z279" s="166">
        <v>-4.4337071139879052E-2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111.88</v>
      </c>
      <c r="E280" s="67">
        <v>13612</v>
      </c>
      <c r="F280" s="146">
        <v>0</v>
      </c>
      <c r="G280" s="146">
        <v>0</v>
      </c>
      <c r="H280" s="91">
        <v>13612</v>
      </c>
      <c r="I280" s="67">
        <v>0</v>
      </c>
      <c r="J280" s="739">
        <v>13612</v>
      </c>
      <c r="K280" s="132" t="s">
        <v>621</v>
      </c>
      <c r="L280" s="740">
        <v>0</v>
      </c>
      <c r="M280" s="741">
        <v>111.88</v>
      </c>
      <c r="N280" s="67">
        <v>213</v>
      </c>
      <c r="O280" s="67">
        <v>13825</v>
      </c>
      <c r="Q280" s="674">
        <v>0</v>
      </c>
      <c r="R280" s="674">
        <v>0</v>
      </c>
      <c r="S280" s="798" t="s">
        <v>644</v>
      </c>
      <c r="T280" s="798">
        <v>0</v>
      </c>
      <c r="U280" s="88">
        <v>13825</v>
      </c>
      <c r="V280" s="71">
        <v>123.56989631748303</v>
      </c>
      <c r="W280" s="449">
        <v>13825</v>
      </c>
      <c r="X280" s="67">
        <v>14466</v>
      </c>
      <c r="Y280" s="163">
        <v>-641</v>
      </c>
      <c r="Z280" s="166">
        <v>-4.4310797732614406E-2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724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 t="s">
        <v>723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621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724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 t="s">
        <v>723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724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2</v>
      </c>
      <c r="E283" s="67">
        <v>243</v>
      </c>
      <c r="F283" s="146">
        <v>0</v>
      </c>
      <c r="G283" s="146">
        <v>0</v>
      </c>
      <c r="H283" s="91">
        <v>243</v>
      </c>
      <c r="I283" s="67">
        <v>0</v>
      </c>
      <c r="J283" s="739">
        <v>243</v>
      </c>
      <c r="K283" s="132" t="s">
        <v>724</v>
      </c>
      <c r="L283" s="740">
        <v>243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 t="s">
        <v>723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724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178.005</v>
      </c>
      <c r="E284" s="67">
        <v>21657</v>
      </c>
      <c r="F284" s="146">
        <v>0</v>
      </c>
      <c r="G284" s="146">
        <v>0</v>
      </c>
      <c r="H284" s="91">
        <v>21657</v>
      </c>
      <c r="I284" s="67">
        <v>0</v>
      </c>
      <c r="J284" s="739">
        <v>21657</v>
      </c>
      <c r="K284" s="132" t="s">
        <v>621</v>
      </c>
      <c r="L284" s="740">
        <v>0</v>
      </c>
      <c r="M284" s="741">
        <v>178.005</v>
      </c>
      <c r="N284" s="67">
        <v>339</v>
      </c>
      <c r="O284" s="67">
        <v>21996</v>
      </c>
      <c r="Q284" s="674">
        <v>0</v>
      </c>
      <c r="R284" s="674">
        <v>0</v>
      </c>
      <c r="S284" s="798" t="s">
        <v>644</v>
      </c>
      <c r="T284" s="798">
        <v>0</v>
      </c>
      <c r="U284" s="88">
        <v>21996</v>
      </c>
      <c r="V284" s="71">
        <v>123.56956265273448</v>
      </c>
      <c r="W284" s="449">
        <v>21996</v>
      </c>
      <c r="X284" s="67">
        <v>23017</v>
      </c>
      <c r="Y284" s="163">
        <v>-1021</v>
      </c>
      <c r="Z284" s="166">
        <v>-4.4358517617413218E-2</v>
      </c>
      <c r="AA284" s="34" t="s">
        <v>724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724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 t="s">
        <v>723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621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724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 t="s">
        <v>723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724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724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 t="s">
        <v>723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724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724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 t="s">
        <v>723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724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724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 t="s">
        <v>723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724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724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 t="s">
        <v>723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724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724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 t="s">
        <v>723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724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724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 t="s">
        <v>723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724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724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 t="s">
        <v>723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724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195.75</v>
      </c>
      <c r="E294" s="67">
        <v>23816</v>
      </c>
      <c r="F294" s="146">
        <v>0</v>
      </c>
      <c r="G294" s="146">
        <v>0</v>
      </c>
      <c r="H294" s="91">
        <v>23816</v>
      </c>
      <c r="I294" s="67">
        <v>0</v>
      </c>
      <c r="J294" s="739">
        <v>23816</v>
      </c>
      <c r="K294" s="132" t="s">
        <v>621</v>
      </c>
      <c r="L294" s="740">
        <v>0</v>
      </c>
      <c r="M294" s="741">
        <v>195.75</v>
      </c>
      <c r="N294" s="67">
        <v>373</v>
      </c>
      <c r="O294" s="67">
        <v>24189</v>
      </c>
      <c r="Q294" s="674">
        <v>0</v>
      </c>
      <c r="R294" s="674">
        <v>0</v>
      </c>
      <c r="S294" s="798" t="s">
        <v>644</v>
      </c>
      <c r="T294" s="798">
        <v>0</v>
      </c>
      <c r="U294" s="88">
        <v>24189</v>
      </c>
      <c r="V294" s="71">
        <v>123.57088122605364</v>
      </c>
      <c r="W294" s="449">
        <v>24189</v>
      </c>
      <c r="X294" s="67">
        <v>25311</v>
      </c>
      <c r="Y294" s="163">
        <v>-1122</v>
      </c>
      <c r="Z294" s="166">
        <v>-4.4328552803129077E-2</v>
      </c>
      <c r="AA294" s="34" t="s">
        <v>724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84.5</v>
      </c>
      <c r="E295" s="67">
        <v>10281</v>
      </c>
      <c r="F295" s="146">
        <v>0</v>
      </c>
      <c r="G295" s="146">
        <v>0</v>
      </c>
      <c r="H295" s="91">
        <v>10281</v>
      </c>
      <c r="I295" s="67">
        <v>0</v>
      </c>
      <c r="J295" s="739">
        <v>10281</v>
      </c>
      <c r="K295" s="132" t="s">
        <v>1306</v>
      </c>
      <c r="L295" s="740">
        <v>0</v>
      </c>
      <c r="M295" s="741">
        <v>84.5</v>
      </c>
      <c r="N295" s="67">
        <v>161</v>
      </c>
      <c r="O295" s="67">
        <v>10442</v>
      </c>
      <c r="Q295" s="674">
        <v>0</v>
      </c>
      <c r="R295" s="674">
        <v>0</v>
      </c>
      <c r="S295" s="798" t="s">
        <v>723</v>
      </c>
      <c r="T295" s="798">
        <v>35.375</v>
      </c>
      <c r="U295" s="88">
        <v>10442</v>
      </c>
      <c r="V295" s="71">
        <v>123.57396449704142</v>
      </c>
      <c r="W295" s="449">
        <v>10442</v>
      </c>
      <c r="X295" s="67">
        <v>10926</v>
      </c>
      <c r="Y295" s="163">
        <v>-484</v>
      </c>
      <c r="Z295" s="166">
        <v>-4.4298004759289765E-2</v>
      </c>
      <c r="AA295" s="34" t="s">
        <v>621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5452.125</v>
      </c>
      <c r="E296" s="67">
        <v>663334</v>
      </c>
      <c r="F296" s="146">
        <v>0</v>
      </c>
      <c r="G296" s="146">
        <v>0</v>
      </c>
      <c r="H296" s="91">
        <v>663334</v>
      </c>
      <c r="I296" s="67">
        <v>0</v>
      </c>
      <c r="J296" s="739">
        <v>663334</v>
      </c>
      <c r="K296" s="132" t="s">
        <v>621</v>
      </c>
      <c r="L296" s="740">
        <v>0</v>
      </c>
      <c r="M296" s="741">
        <v>5452.125</v>
      </c>
      <c r="N296" s="67">
        <v>10377</v>
      </c>
      <c r="O296" s="67">
        <v>673711</v>
      </c>
      <c r="Q296" s="674">
        <v>0</v>
      </c>
      <c r="R296" s="674">
        <v>0</v>
      </c>
      <c r="S296" s="798" t="s">
        <v>644</v>
      </c>
      <c r="T296" s="798">
        <v>0</v>
      </c>
      <c r="U296" s="88">
        <v>673711</v>
      </c>
      <c r="V296" s="71">
        <v>123.56851686269115</v>
      </c>
      <c r="W296" s="449">
        <v>673711</v>
      </c>
      <c r="X296" s="67">
        <v>704975</v>
      </c>
      <c r="Y296" s="163">
        <v>-31264</v>
      </c>
      <c r="Z296" s="166">
        <v>-4.434767190325898E-2</v>
      </c>
      <c r="AA296" s="34" t="s">
        <v>1306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378.5</v>
      </c>
      <c r="E297" s="67">
        <v>46050</v>
      </c>
      <c r="F297" s="146">
        <v>0</v>
      </c>
      <c r="G297" s="146">
        <v>0</v>
      </c>
      <c r="H297" s="91">
        <v>46050</v>
      </c>
      <c r="I297" s="67">
        <v>0</v>
      </c>
      <c r="J297" s="739">
        <v>46050</v>
      </c>
      <c r="K297" s="132" t="s">
        <v>621</v>
      </c>
      <c r="L297" s="740">
        <v>0</v>
      </c>
      <c r="M297" s="741">
        <v>378.5</v>
      </c>
      <c r="N297" s="67">
        <v>720</v>
      </c>
      <c r="O297" s="67">
        <v>46770</v>
      </c>
      <c r="Q297" s="674">
        <v>0</v>
      </c>
      <c r="R297" s="674">
        <v>0</v>
      </c>
      <c r="S297" s="798" t="s">
        <v>644</v>
      </c>
      <c r="T297" s="798">
        <v>0</v>
      </c>
      <c r="U297" s="88">
        <v>46770</v>
      </c>
      <c r="V297" s="71">
        <v>123.56671070013211</v>
      </c>
      <c r="W297" s="449">
        <v>46770</v>
      </c>
      <c r="X297" s="67">
        <v>48941</v>
      </c>
      <c r="Y297" s="163">
        <v>-2171</v>
      </c>
      <c r="Z297" s="166">
        <v>-4.4359534950246214E-2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318.005</v>
      </c>
      <c r="E298" s="67">
        <v>38690</v>
      </c>
      <c r="F298" s="146">
        <v>0</v>
      </c>
      <c r="G298" s="146">
        <v>0</v>
      </c>
      <c r="H298" s="91">
        <v>38690</v>
      </c>
      <c r="I298" s="67">
        <v>0</v>
      </c>
      <c r="J298" s="739">
        <v>38690</v>
      </c>
      <c r="K298" s="132" t="s">
        <v>621</v>
      </c>
      <c r="L298" s="740">
        <v>0</v>
      </c>
      <c r="M298" s="741">
        <v>318.005</v>
      </c>
      <c r="N298" s="67">
        <v>605</v>
      </c>
      <c r="O298" s="67">
        <v>39295</v>
      </c>
      <c r="Q298" s="674">
        <v>0</v>
      </c>
      <c r="R298" s="674">
        <v>0</v>
      </c>
      <c r="S298" s="798" t="s">
        <v>621</v>
      </c>
      <c r="T298" s="798">
        <v>119.25</v>
      </c>
      <c r="U298" s="88">
        <v>39295</v>
      </c>
      <c r="V298" s="71">
        <v>123.56723950881276</v>
      </c>
      <c r="W298" s="449">
        <v>39295</v>
      </c>
      <c r="X298" s="67">
        <v>41119</v>
      </c>
      <c r="Y298" s="163">
        <v>-1824</v>
      </c>
      <c r="Z298" s="166">
        <v>-4.4359055424499624E-2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403.63</v>
      </c>
      <c r="E299" s="67">
        <v>49108</v>
      </c>
      <c r="F299" s="146">
        <v>0</v>
      </c>
      <c r="G299" s="146">
        <v>0</v>
      </c>
      <c r="H299" s="91">
        <v>49108</v>
      </c>
      <c r="I299" s="67">
        <v>0</v>
      </c>
      <c r="J299" s="739">
        <v>49108</v>
      </c>
      <c r="K299" s="132" t="s">
        <v>621</v>
      </c>
      <c r="L299" s="740">
        <v>0</v>
      </c>
      <c r="M299" s="741">
        <v>403.63</v>
      </c>
      <c r="N299" s="67">
        <v>768</v>
      </c>
      <c r="O299" s="67">
        <v>49876</v>
      </c>
      <c r="Q299" s="674">
        <v>0</v>
      </c>
      <c r="R299" s="674">
        <v>0</v>
      </c>
      <c r="S299" s="798" t="s">
        <v>621</v>
      </c>
      <c r="T299" s="798">
        <v>142.375</v>
      </c>
      <c r="U299" s="88">
        <v>49876</v>
      </c>
      <c r="V299" s="71">
        <v>123.56861482050392</v>
      </c>
      <c r="W299" s="449">
        <v>49876</v>
      </c>
      <c r="X299" s="67">
        <v>52190</v>
      </c>
      <c r="Y299" s="163">
        <v>-2314</v>
      </c>
      <c r="Z299" s="166">
        <v>-4.4337995784633072E-2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1325.75</v>
      </c>
      <c r="E300" s="67">
        <v>161298</v>
      </c>
      <c r="F300" s="146">
        <v>0</v>
      </c>
      <c r="G300" s="146">
        <v>0</v>
      </c>
      <c r="H300" s="91">
        <v>161298</v>
      </c>
      <c r="I300" s="67">
        <v>0</v>
      </c>
      <c r="J300" s="739">
        <v>161298</v>
      </c>
      <c r="K300" s="132" t="s">
        <v>621</v>
      </c>
      <c r="L300" s="740">
        <v>0</v>
      </c>
      <c r="M300" s="741">
        <v>1325.75</v>
      </c>
      <c r="N300" s="67">
        <v>2523</v>
      </c>
      <c r="O300" s="67">
        <v>163821</v>
      </c>
      <c r="Q300" s="674">
        <v>0</v>
      </c>
      <c r="R300" s="674">
        <v>0</v>
      </c>
      <c r="S300" s="798" t="s">
        <v>621</v>
      </c>
      <c r="T300" s="798">
        <v>474.125</v>
      </c>
      <c r="U300" s="88">
        <v>163821</v>
      </c>
      <c r="V300" s="71">
        <v>123.56854610597775</v>
      </c>
      <c r="W300" s="449">
        <v>163821</v>
      </c>
      <c r="X300" s="67">
        <v>171423</v>
      </c>
      <c r="Y300" s="163">
        <v>-7602</v>
      </c>
      <c r="Z300" s="166">
        <v>-4.4346441259340931E-2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2245</v>
      </c>
      <c r="E301" s="67">
        <v>273138</v>
      </c>
      <c r="F301" s="146">
        <v>0</v>
      </c>
      <c r="G301" s="146">
        <v>0</v>
      </c>
      <c r="H301" s="91">
        <v>273138</v>
      </c>
      <c r="I301" s="67">
        <v>0</v>
      </c>
      <c r="J301" s="739">
        <v>273138</v>
      </c>
      <c r="K301" s="132" t="s">
        <v>621</v>
      </c>
      <c r="L301" s="740">
        <v>0</v>
      </c>
      <c r="M301" s="741">
        <v>2245</v>
      </c>
      <c r="N301" s="67">
        <v>4273</v>
      </c>
      <c r="O301" s="67">
        <v>277411</v>
      </c>
      <c r="Q301" s="674">
        <v>0</v>
      </c>
      <c r="R301" s="674">
        <v>0</v>
      </c>
      <c r="S301" s="798" t="s">
        <v>644</v>
      </c>
      <c r="T301" s="798">
        <v>0</v>
      </c>
      <c r="U301" s="88">
        <v>277411</v>
      </c>
      <c r="V301" s="71">
        <v>123.56837416481069</v>
      </c>
      <c r="W301" s="449">
        <v>277411</v>
      </c>
      <c r="X301" s="67">
        <v>290285</v>
      </c>
      <c r="Y301" s="163">
        <v>-12874</v>
      </c>
      <c r="Z301" s="166">
        <v>-4.4349518576571302E-2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1688.625</v>
      </c>
      <c r="E302" s="67">
        <v>205447</v>
      </c>
      <c r="F302" s="146">
        <v>0</v>
      </c>
      <c r="G302" s="146">
        <v>0</v>
      </c>
      <c r="H302" s="91">
        <v>205447</v>
      </c>
      <c r="I302" s="67">
        <v>0</v>
      </c>
      <c r="J302" s="739">
        <v>205447</v>
      </c>
      <c r="K302" s="132" t="s">
        <v>621</v>
      </c>
      <c r="L302" s="740">
        <v>0</v>
      </c>
      <c r="M302" s="741">
        <v>1688.625</v>
      </c>
      <c r="N302" s="67">
        <v>3214</v>
      </c>
      <c r="O302" s="67">
        <v>208661</v>
      </c>
      <c r="Q302" s="674">
        <v>0</v>
      </c>
      <c r="R302" s="674">
        <v>0</v>
      </c>
      <c r="S302" s="798" t="s">
        <v>644</v>
      </c>
      <c r="T302" s="798">
        <v>0</v>
      </c>
      <c r="U302" s="88">
        <v>208661</v>
      </c>
      <c r="V302" s="71">
        <v>123.56858390702494</v>
      </c>
      <c r="W302" s="449">
        <v>208661</v>
      </c>
      <c r="X302" s="67">
        <v>218343</v>
      </c>
      <c r="Y302" s="163">
        <v>-9682</v>
      </c>
      <c r="Z302" s="166">
        <v>-4.4343074886760737E-2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347.88</v>
      </c>
      <c r="E303" s="67">
        <v>42325</v>
      </c>
      <c r="F303" s="146">
        <v>0</v>
      </c>
      <c r="G303" s="146">
        <v>0</v>
      </c>
      <c r="H303" s="91">
        <v>42325</v>
      </c>
      <c r="I303" s="67">
        <v>0</v>
      </c>
      <c r="J303" s="739">
        <v>42325</v>
      </c>
      <c r="K303" s="132" t="s">
        <v>621</v>
      </c>
      <c r="L303" s="740">
        <v>0</v>
      </c>
      <c r="M303" s="741">
        <v>347.88</v>
      </c>
      <c r="N303" s="67">
        <v>662</v>
      </c>
      <c r="O303" s="67">
        <v>42987</v>
      </c>
      <c r="Q303" s="674">
        <v>0</v>
      </c>
      <c r="R303" s="674">
        <v>0</v>
      </c>
      <c r="S303" s="798" t="s">
        <v>621</v>
      </c>
      <c r="T303" s="798">
        <v>111.75</v>
      </c>
      <c r="U303" s="88">
        <v>42987</v>
      </c>
      <c r="V303" s="71">
        <v>123.56847188685754</v>
      </c>
      <c r="W303" s="449">
        <v>42987</v>
      </c>
      <c r="X303" s="67">
        <v>44982</v>
      </c>
      <c r="Y303" s="163">
        <v>-1995</v>
      </c>
      <c r="Z303" s="166">
        <v>-4.4351073762838471E-2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582.38</v>
      </c>
      <c r="E304" s="67">
        <v>70855</v>
      </c>
      <c r="F304" s="146">
        <v>0</v>
      </c>
      <c r="G304" s="146">
        <v>0</v>
      </c>
      <c r="H304" s="91">
        <v>70855</v>
      </c>
      <c r="I304" s="67">
        <v>0</v>
      </c>
      <c r="J304" s="739">
        <v>70855</v>
      </c>
      <c r="K304" s="132" t="s">
        <v>621</v>
      </c>
      <c r="L304" s="740">
        <v>0</v>
      </c>
      <c r="M304" s="741">
        <v>582.38</v>
      </c>
      <c r="N304" s="67">
        <v>1108</v>
      </c>
      <c r="O304" s="67">
        <v>71963</v>
      </c>
      <c r="Q304" s="674">
        <v>0</v>
      </c>
      <c r="R304" s="674">
        <v>0</v>
      </c>
      <c r="S304" s="798" t="s">
        <v>644</v>
      </c>
      <c r="T304" s="798">
        <v>0</v>
      </c>
      <c r="U304" s="88">
        <v>71963</v>
      </c>
      <c r="V304" s="71">
        <v>123.5670867818263</v>
      </c>
      <c r="W304" s="449">
        <v>71963</v>
      </c>
      <c r="X304" s="67">
        <v>0</v>
      </c>
      <c r="Y304" s="163">
        <v>71963</v>
      </c>
      <c r="Z304" s="166">
        <v>0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167.38</v>
      </c>
      <c r="E305" s="67">
        <v>20364</v>
      </c>
      <c r="F305" s="146">
        <v>0</v>
      </c>
      <c r="G305" s="146">
        <v>0</v>
      </c>
      <c r="H305" s="91">
        <v>20364</v>
      </c>
      <c r="I305" s="67">
        <v>0</v>
      </c>
      <c r="J305" s="739">
        <v>20364</v>
      </c>
      <c r="K305" s="132" t="s">
        <v>621</v>
      </c>
      <c r="L305" s="740">
        <v>0</v>
      </c>
      <c r="M305" s="741">
        <v>167.38</v>
      </c>
      <c r="N305" s="67">
        <v>319</v>
      </c>
      <c r="O305" s="67">
        <v>20683</v>
      </c>
      <c r="Q305" s="674">
        <v>0</v>
      </c>
      <c r="R305" s="674">
        <v>0</v>
      </c>
      <c r="S305" s="798" t="s">
        <v>644</v>
      </c>
      <c r="T305" s="798">
        <v>0</v>
      </c>
      <c r="U305" s="88">
        <v>20683</v>
      </c>
      <c r="V305" s="71">
        <v>123.56912414864381</v>
      </c>
      <c r="W305" s="449">
        <v>20683</v>
      </c>
      <c r="X305" s="67">
        <v>0</v>
      </c>
      <c r="Y305" s="163">
        <v>20683</v>
      </c>
      <c r="Z305" s="166">
        <v>0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1658.75</v>
      </c>
      <c r="E306" s="67">
        <v>201812</v>
      </c>
      <c r="F306" s="146">
        <v>0</v>
      </c>
      <c r="G306" s="146">
        <v>0</v>
      </c>
      <c r="H306" s="91">
        <v>201812</v>
      </c>
      <c r="I306" s="67">
        <v>0</v>
      </c>
      <c r="J306" s="739">
        <v>201812</v>
      </c>
      <c r="K306" s="132" t="s">
        <v>621</v>
      </c>
      <c r="L306" s="740">
        <v>0</v>
      </c>
      <c r="M306" s="741">
        <v>1658.75</v>
      </c>
      <c r="N306" s="67">
        <v>3157</v>
      </c>
      <c r="O306" s="67">
        <v>204969</v>
      </c>
      <c r="Q306" s="674">
        <v>0</v>
      </c>
      <c r="R306" s="674">
        <v>0</v>
      </c>
      <c r="S306" s="798" t="s">
        <v>644</v>
      </c>
      <c r="T306" s="798">
        <v>0</v>
      </c>
      <c r="U306" s="88">
        <v>204969</v>
      </c>
      <c r="V306" s="71">
        <v>123.56834966088923</v>
      </c>
      <c r="W306" s="449">
        <v>204969</v>
      </c>
      <c r="X306" s="67">
        <v>0</v>
      </c>
      <c r="Y306" s="163">
        <v>204969</v>
      </c>
      <c r="Z306" s="166">
        <v>0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398.625</v>
      </c>
      <c r="E307" s="67">
        <v>48499</v>
      </c>
      <c r="F307" s="146">
        <v>0</v>
      </c>
      <c r="G307" s="146">
        <v>0</v>
      </c>
      <c r="H307" s="91">
        <v>48499</v>
      </c>
      <c r="I307" s="67">
        <v>0</v>
      </c>
      <c r="J307" s="739">
        <v>48499</v>
      </c>
      <c r="K307" s="132" t="s">
        <v>621</v>
      </c>
      <c r="L307" s="740">
        <v>0</v>
      </c>
      <c r="M307" s="741">
        <v>398.625</v>
      </c>
      <c r="N307" s="67">
        <v>759</v>
      </c>
      <c r="O307" s="67">
        <v>49258</v>
      </c>
      <c r="Q307" s="674">
        <v>0</v>
      </c>
      <c r="R307" s="674">
        <v>0</v>
      </c>
      <c r="S307" s="798" t="s">
        <v>621</v>
      </c>
      <c r="T307" s="798">
        <v>148</v>
      </c>
      <c r="U307" s="88">
        <v>49258</v>
      </c>
      <c r="V307" s="71">
        <v>123.5697710881154</v>
      </c>
      <c r="W307" s="449">
        <v>49258</v>
      </c>
      <c r="X307" s="67">
        <v>0</v>
      </c>
      <c r="Y307" s="163">
        <v>49258</v>
      </c>
      <c r="Z307" s="166">
        <v>0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465</v>
      </c>
      <c r="E308" s="67">
        <v>56574</v>
      </c>
      <c r="F308" s="146">
        <v>0</v>
      </c>
      <c r="G308" s="146">
        <v>0</v>
      </c>
      <c r="H308" s="91">
        <v>56574</v>
      </c>
      <c r="I308" s="67">
        <v>0</v>
      </c>
      <c r="J308" s="739">
        <v>56574</v>
      </c>
      <c r="K308" s="132" t="s">
        <v>621</v>
      </c>
      <c r="L308" s="740">
        <v>0</v>
      </c>
      <c r="M308" s="741">
        <v>465</v>
      </c>
      <c r="N308" s="67">
        <v>885</v>
      </c>
      <c r="O308" s="67">
        <v>57459</v>
      </c>
      <c r="Q308" s="674">
        <v>0</v>
      </c>
      <c r="R308" s="674">
        <v>0</v>
      </c>
      <c r="S308" s="798" t="s">
        <v>621</v>
      </c>
      <c r="T308" s="798">
        <v>178.5</v>
      </c>
      <c r="U308" s="88">
        <v>57459</v>
      </c>
      <c r="V308" s="71">
        <v>123.56774193548387</v>
      </c>
      <c r="W308" s="449">
        <v>57459</v>
      </c>
      <c r="X308" s="67">
        <v>0</v>
      </c>
      <c r="Y308" s="163">
        <v>57459</v>
      </c>
      <c r="Z308" s="166">
        <v>0</v>
      </c>
      <c r="AA308" s="34" t="s">
        <v>621</v>
      </c>
      <c r="AE308" s="452"/>
    </row>
    <row r="309" spans="1:37">
      <c r="A309" s="64" t="s">
        <v>597</v>
      </c>
      <c r="B309" s="36" t="s">
        <v>1659</v>
      </c>
      <c r="C309" s="23" t="s">
        <v>1150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132" t="s">
        <v>724</v>
      </c>
      <c r="L309" s="740">
        <v>0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 t="s">
        <v>723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621</v>
      </c>
      <c r="AE309" s="452"/>
    </row>
    <row r="310" spans="1:37" s="29" customFormat="1">
      <c r="A310" s="64" t="s">
        <v>1666</v>
      </c>
      <c r="B310" s="36" t="s">
        <v>1660</v>
      </c>
      <c r="C310" s="23" t="s">
        <v>1661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724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>
        <v>0</v>
      </c>
      <c r="S310" s="798" t="s">
        <v>723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724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1682</v>
      </c>
      <c r="C311" s="23" t="s">
        <v>1683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>
        <v>0</v>
      </c>
      <c r="S311" s="798" t="s">
        <v>723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724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1684</v>
      </c>
      <c r="C312" s="23" t="s">
        <v>1685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724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>
        <v>0</v>
      </c>
      <c r="S312" s="798" t="s">
        <v>723</v>
      </c>
      <c r="T312" s="798">
        <v>0</v>
      </c>
      <c r="U312" s="88">
        <v>0</v>
      </c>
      <c r="V312" s="71">
        <v>0</v>
      </c>
      <c r="W312" s="449">
        <v>0</v>
      </c>
      <c r="X312" s="67">
        <v>0</v>
      </c>
      <c r="Y312" s="163">
        <v>0</v>
      </c>
      <c r="Z312" s="166">
        <v>0</v>
      </c>
      <c r="AA312" s="34" t="s">
        <v>724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1686</v>
      </c>
      <c r="C313" s="23" t="s">
        <v>1687</v>
      </c>
      <c r="D313" s="134">
        <v>53.75</v>
      </c>
      <c r="E313" s="67">
        <v>6540</v>
      </c>
      <c r="F313" s="146">
        <v>0</v>
      </c>
      <c r="G313" s="146">
        <v>0</v>
      </c>
      <c r="H313" s="91">
        <v>6540</v>
      </c>
      <c r="I313" s="67">
        <v>0</v>
      </c>
      <c r="J313" s="739">
        <v>6540</v>
      </c>
      <c r="K313" s="132" t="s">
        <v>724</v>
      </c>
      <c r="L313" s="740">
        <v>6540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>
        <v>0</v>
      </c>
      <c r="S313" s="798" t="s">
        <v>723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724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802" t="s">
        <v>1689</v>
      </c>
      <c r="C314" s="23" t="s">
        <v>1688</v>
      </c>
      <c r="D314" s="134">
        <v>17.88</v>
      </c>
      <c r="E314" s="67">
        <v>2175</v>
      </c>
      <c r="F314" s="146">
        <v>0</v>
      </c>
      <c r="G314" s="146">
        <v>0</v>
      </c>
      <c r="H314" s="91">
        <v>2175</v>
      </c>
      <c r="I314" s="67">
        <v>0</v>
      </c>
      <c r="J314" s="739">
        <v>2175</v>
      </c>
      <c r="K314" s="132" t="s">
        <v>724</v>
      </c>
      <c r="L314" s="740">
        <v>2175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>
        <v>0</v>
      </c>
      <c r="S314" s="798" t="s">
        <v>723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724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1690</v>
      </c>
      <c r="C315" s="23" t="s">
        <v>1695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132" t="s">
        <v>724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>
        <v>0</v>
      </c>
      <c r="S315" s="798" t="s">
        <v>723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724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36" t="s">
        <v>1691</v>
      </c>
      <c r="C316" s="23" t="s">
        <v>1696</v>
      </c>
      <c r="D316" s="134">
        <v>4</v>
      </c>
      <c r="E316" s="67">
        <v>487</v>
      </c>
      <c r="F316" s="146">
        <v>0</v>
      </c>
      <c r="G316" s="146">
        <v>0</v>
      </c>
      <c r="H316" s="91">
        <v>487</v>
      </c>
      <c r="I316" s="67">
        <v>0</v>
      </c>
      <c r="J316" s="739">
        <v>487</v>
      </c>
      <c r="K316" s="132" t="s">
        <v>724</v>
      </c>
      <c r="L316" s="740">
        <v>487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>
        <v>0</v>
      </c>
      <c r="S316" s="798" t="s">
        <v>723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724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02" t="s">
        <v>1701</v>
      </c>
      <c r="C317" s="23" t="s">
        <v>1697</v>
      </c>
      <c r="D317" s="134">
        <v>9.8800000000000008</v>
      </c>
      <c r="E317" s="67">
        <v>1202</v>
      </c>
      <c r="F317" s="146">
        <v>0</v>
      </c>
      <c r="G317" s="146">
        <v>0</v>
      </c>
      <c r="H317" s="91">
        <v>1202</v>
      </c>
      <c r="I317" s="67">
        <v>0</v>
      </c>
      <c r="J317" s="739">
        <v>1202</v>
      </c>
      <c r="K317" s="132" t="s">
        <v>644</v>
      </c>
      <c r="L317" s="740">
        <v>1202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>
        <v>0</v>
      </c>
      <c r="S317" s="798" t="s">
        <v>723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724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1692</v>
      </c>
      <c r="C318" s="23" t="s">
        <v>1698</v>
      </c>
      <c r="D318" s="134">
        <v>3</v>
      </c>
      <c r="E318" s="67">
        <v>365</v>
      </c>
      <c r="F318" s="146">
        <v>0</v>
      </c>
      <c r="G318" s="146">
        <v>0</v>
      </c>
      <c r="H318" s="91">
        <v>365</v>
      </c>
      <c r="I318" s="67">
        <v>0</v>
      </c>
      <c r="J318" s="739">
        <v>365</v>
      </c>
      <c r="K318" s="132" t="s">
        <v>724</v>
      </c>
      <c r="L318" s="740">
        <v>365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>
        <v>0</v>
      </c>
      <c r="S318" s="798" t="s">
        <v>723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1693</v>
      </c>
      <c r="C319" s="23" t="s">
        <v>1699</v>
      </c>
      <c r="D319" s="134">
        <v>8.6300000000000008</v>
      </c>
      <c r="E319" s="67">
        <v>1050</v>
      </c>
      <c r="F319" s="146">
        <v>0</v>
      </c>
      <c r="G319" s="146">
        <v>0</v>
      </c>
      <c r="H319" s="91">
        <v>1050</v>
      </c>
      <c r="I319" s="67">
        <v>0</v>
      </c>
      <c r="J319" s="739">
        <v>1050</v>
      </c>
      <c r="K319" s="132" t="s">
        <v>724</v>
      </c>
      <c r="L319" s="740">
        <v>1050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>
        <v>0</v>
      </c>
      <c r="S319" s="798" t="s">
        <v>723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724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36" t="s">
        <v>1694</v>
      </c>
      <c r="C320" s="23" t="s">
        <v>1700</v>
      </c>
      <c r="D320" s="134">
        <v>10.5</v>
      </c>
      <c r="E320" s="67">
        <v>1277</v>
      </c>
      <c r="F320" s="146">
        <v>0</v>
      </c>
      <c r="G320" s="146">
        <v>0</v>
      </c>
      <c r="H320" s="91">
        <v>1277</v>
      </c>
      <c r="I320" s="67">
        <v>0</v>
      </c>
      <c r="J320" s="739">
        <v>1277</v>
      </c>
      <c r="K320" s="132" t="s">
        <v>724</v>
      </c>
      <c r="L320" s="740">
        <v>1277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>
        <v>0</v>
      </c>
      <c r="S320" s="798" t="s">
        <v>723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724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36" t="s">
        <v>1662</v>
      </c>
      <c r="C321" s="23" t="s">
        <v>1663</v>
      </c>
      <c r="D321" s="134">
        <v>0</v>
      </c>
      <c r="E321" s="67">
        <v>0</v>
      </c>
      <c r="F321" s="146">
        <v>0</v>
      </c>
      <c r="G321" s="146">
        <v>0</v>
      </c>
      <c r="H321" s="91">
        <v>0</v>
      </c>
      <c r="I321" s="67">
        <v>0</v>
      </c>
      <c r="J321" s="739">
        <v>0</v>
      </c>
      <c r="K321" s="132" t="s">
        <v>724</v>
      </c>
      <c r="L321" s="740">
        <v>0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>
        <v>0</v>
      </c>
      <c r="S321" s="798" t="s">
        <v>723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724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1666</v>
      </c>
      <c r="B322" s="36" t="s">
        <v>1664</v>
      </c>
      <c r="C322" s="23" t="s">
        <v>1665</v>
      </c>
      <c r="D322" s="134">
        <v>0</v>
      </c>
      <c r="E322" s="67">
        <v>0</v>
      </c>
      <c r="F322" s="146">
        <v>0</v>
      </c>
      <c r="G322" s="146">
        <v>0</v>
      </c>
      <c r="H322" s="91">
        <v>0</v>
      </c>
      <c r="I322" s="67">
        <v>0</v>
      </c>
      <c r="J322" s="739">
        <v>0</v>
      </c>
      <c r="K322" s="132" t="s">
        <v>724</v>
      </c>
      <c r="L322" s="740">
        <v>0</v>
      </c>
      <c r="M322" s="741">
        <v>0</v>
      </c>
      <c r="N322" s="67">
        <v>0</v>
      </c>
      <c r="O322" s="67">
        <v>0</v>
      </c>
      <c r="P322" s="674"/>
      <c r="Q322" s="674">
        <v>0</v>
      </c>
      <c r="R322" s="674">
        <v>0</v>
      </c>
      <c r="S322" s="798" t="s">
        <v>723</v>
      </c>
      <c r="T322" s="798">
        <v>0</v>
      </c>
      <c r="U322" s="88">
        <v>0</v>
      </c>
      <c r="V322" s="71">
        <v>0</v>
      </c>
      <c r="W322" s="449">
        <v>0</v>
      </c>
      <c r="X322" s="67">
        <v>0</v>
      </c>
      <c r="Y322" s="163">
        <v>0</v>
      </c>
      <c r="Z322" s="166">
        <v>0</v>
      </c>
      <c r="AA322" s="34" t="s">
        <v>724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23"/>
      <c r="B323" s="23"/>
      <c r="C323" s="23" t="s">
        <v>1667</v>
      </c>
      <c r="D323" s="134">
        <v>126110.69750000026</v>
      </c>
      <c r="E323" s="134">
        <v>15343279</v>
      </c>
      <c r="F323" s="134">
        <v>0</v>
      </c>
      <c r="G323" s="134">
        <v>0</v>
      </c>
      <c r="H323" s="134">
        <v>15343283</v>
      </c>
      <c r="I323" s="134">
        <v>0</v>
      </c>
      <c r="J323" s="134">
        <v>15343283</v>
      </c>
      <c r="K323" s="134">
        <v>0</v>
      </c>
      <c r="L323" s="134">
        <v>236335</v>
      </c>
      <c r="M323" s="134">
        <v>124168.17250000018</v>
      </c>
      <c r="N323" s="134">
        <v>236332</v>
      </c>
      <c r="O323" s="134">
        <v>15343280</v>
      </c>
      <c r="P323" s="134">
        <v>0.82</v>
      </c>
      <c r="Q323" s="134">
        <v>0</v>
      </c>
      <c r="R323" s="134"/>
      <c r="S323" s="134"/>
      <c r="T323" s="134"/>
      <c r="U323" s="134">
        <v>15343280</v>
      </c>
      <c r="V323" s="134">
        <v>18535.264466354543</v>
      </c>
      <c r="W323" s="134">
        <v>15343280</v>
      </c>
      <c r="X323" s="134">
        <v>15648376</v>
      </c>
      <c r="Y323" s="134">
        <v>-305096</v>
      </c>
      <c r="Z323" s="134">
        <v>-11.341482304339742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</sheetData>
  <autoFilter ref="A8:AK323" xr:uid="{00000000-0009-0000-0000-000009000000}"/>
  <mergeCells count="4">
    <mergeCell ref="E2:H2"/>
    <mergeCell ref="I2:J2"/>
    <mergeCell ref="K2:O2"/>
    <mergeCell ref="R2:T2"/>
  </mergeCells>
  <conditionalFormatting sqref="L9:L322">
    <cfRule type="expression" dxfId="40" priority="20">
      <formula>AND($L9&gt;0,$K9="Yes")</formula>
    </cfRule>
  </conditionalFormatting>
  <conditionalFormatting sqref="C9:C310 C321:C322">
    <cfRule type="expression" dxfId="39" priority="19">
      <formula>AND($O9&lt;10000,$O9&gt;0,$K9="Y")</formula>
    </cfRule>
  </conditionalFormatting>
  <conditionalFormatting sqref="C311:C320">
    <cfRule type="expression" dxfId="38" priority="18">
      <formula>AND($O311&lt;10000,$O311&gt;0,$K311="Y")</formula>
    </cfRule>
  </conditionalFormatting>
  <conditionalFormatting sqref="AD9">
    <cfRule type="expression" dxfId="37" priority="17">
      <formula>AND(#REF!&lt;10000,#REF!&gt;0,$E10="Y")</formula>
    </cfRule>
  </conditionalFormatting>
  <conditionalFormatting sqref="AD10">
    <cfRule type="expression" dxfId="36" priority="16">
      <formula>AND(#REF!&lt;10000,#REF!&gt;0,$E20="Y")</formula>
    </cfRule>
  </conditionalFormatting>
  <conditionalFormatting sqref="AD11">
    <cfRule type="expression" dxfId="35" priority="15">
      <formula>AND(#REF!&lt;10000,#REF!&gt;0,$E37="Y")</formula>
    </cfRule>
  </conditionalFormatting>
  <conditionalFormatting sqref="AD12">
    <cfRule type="expression" dxfId="34" priority="14">
      <formula>AND(#REF!&lt;10000,#REF!&gt;0,$E39="Y")</formula>
    </cfRule>
  </conditionalFormatting>
  <conditionalFormatting sqref="AD13">
    <cfRule type="expression" dxfId="33" priority="13">
      <formula>AND(#REF!&lt;10000,#REF!&gt;0,$E44="Y")</formula>
    </cfRule>
  </conditionalFormatting>
  <conditionalFormatting sqref="AD14">
    <cfRule type="expression" dxfId="32" priority="12">
      <formula>AND(#REF!&lt;10000,#REF!&gt;0,$E51="Y")</formula>
    </cfRule>
  </conditionalFormatting>
  <conditionalFormatting sqref="AD15">
    <cfRule type="expression" dxfId="31" priority="11">
      <formula>AND(#REF!&lt;10000,#REF!&gt;0,$E66="Y")</formula>
    </cfRule>
  </conditionalFormatting>
  <conditionalFormatting sqref="AD16:AD17">
    <cfRule type="expression" dxfId="30" priority="10">
      <formula>AND(#REF!&lt;10000,#REF!&gt;0,$E69="Y")</formula>
    </cfRule>
  </conditionalFormatting>
  <conditionalFormatting sqref="AD18:AD19">
    <cfRule type="expression" dxfId="29" priority="9">
      <formula>AND(#REF!&lt;10000,#REF!&gt;0,$E72="Y")</formula>
    </cfRule>
  </conditionalFormatting>
  <conditionalFormatting sqref="AD20:AD21">
    <cfRule type="expression" dxfId="28" priority="8">
      <formula>AND(#REF!&lt;10000,#REF!&gt;0,$E76="Y")</formula>
    </cfRule>
  </conditionalFormatting>
  <conditionalFormatting sqref="AD22">
    <cfRule type="expression" dxfId="27" priority="7">
      <formula>AND(#REF!&lt;10000,#REF!&gt;0,$E83="Y")</formula>
    </cfRule>
  </conditionalFormatting>
  <conditionalFormatting sqref="AD23">
    <cfRule type="expression" dxfId="26" priority="6">
      <formula>AND(#REF!&lt;10000,#REF!&gt;0,#REF!="Y")</formula>
    </cfRule>
  </conditionalFormatting>
  <conditionalFormatting sqref="AD24">
    <cfRule type="expression" dxfId="25" priority="5">
      <formula>AND(#REF!&lt;10000,#REF!&gt;0,$E87="Y")</formula>
    </cfRule>
  </conditionalFormatting>
  <conditionalFormatting sqref="AD25">
    <cfRule type="expression" dxfId="24" priority="4">
      <formula>AND(#REF!&lt;10000,#REF!&gt;0,$E97="Y")</formula>
    </cfRule>
  </conditionalFormatting>
  <conditionalFormatting sqref="AD26">
    <cfRule type="expression" dxfId="23" priority="3">
      <formula>AND(#REF!&lt;10000,#REF!&gt;0,$E106="Y")</formula>
    </cfRule>
  </conditionalFormatting>
  <conditionalFormatting sqref="AD27:AD28">
    <cfRule type="expression" dxfId="22" priority="2">
      <formula>AND(#REF!&lt;10000,#REF!&gt;0,$E131="Y")</formula>
    </cfRule>
  </conditionalFormatting>
  <conditionalFormatting sqref="AD29">
    <cfRule type="expression" dxfId="21" priority="1">
      <formula>AND($O29&lt;10000,$O29&gt;0,$K29="Y")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K323"/>
  <sheetViews>
    <sheetView workbookViewId="0">
      <selection activeCell="T15" sqref="T15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5.57031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672">
        <v>16</v>
      </c>
      <c r="R1" s="672">
        <v>17</v>
      </c>
      <c r="S1" s="672">
        <v>18</v>
      </c>
      <c r="T1" s="672">
        <v>19</v>
      </c>
      <c r="U1" s="672">
        <v>20</v>
      </c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f>L7</f>
        <v>214808</v>
      </c>
      <c r="O3" s="67">
        <f>Assumptions!N18</f>
        <v>16071477</v>
      </c>
      <c r="Q3" s="67"/>
      <c r="R3" s="67"/>
      <c r="S3" s="67"/>
      <c r="T3" s="67"/>
      <c r="U3" s="67"/>
      <c r="V3" s="151"/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X4" s="795" t="s">
        <v>738</v>
      </c>
      <c r="Y4" s="795" t="s">
        <v>770</v>
      </c>
      <c r="Z4" s="794" t="s">
        <v>733</v>
      </c>
      <c r="AA4" s="796"/>
      <c r="AC4" s="797"/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16071477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S6" s="67"/>
      <c r="T6" s="67"/>
      <c r="U6" s="67"/>
      <c r="AA6" s="27"/>
      <c r="AB6" s="26"/>
    </row>
    <row r="7" spans="1:37">
      <c r="A7" s="46"/>
      <c r="B7" s="47"/>
      <c r="C7" s="47" t="s">
        <v>620</v>
      </c>
      <c r="D7" s="67">
        <v>116088.9207142857</v>
      </c>
      <c r="E7" s="88">
        <v>138.44109240669573</v>
      </c>
      <c r="F7" s="72">
        <v>0</v>
      </c>
      <c r="G7" s="72">
        <v>0</v>
      </c>
      <c r="H7" s="161">
        <v>16071477</v>
      </c>
      <c r="I7" s="73">
        <v>0</v>
      </c>
      <c r="J7" s="73">
        <v>16071477</v>
      </c>
      <c r="K7" s="72"/>
      <c r="L7" s="88">
        <v>214808</v>
      </c>
      <c r="M7" s="67">
        <v>114537.29499999998</v>
      </c>
      <c r="N7" s="88">
        <v>214809</v>
      </c>
      <c r="O7" s="88">
        <v>16071477</v>
      </c>
      <c r="P7" s="677"/>
      <c r="Q7" s="88">
        <v>0</v>
      </c>
      <c r="R7" s="88">
        <v>841704</v>
      </c>
      <c r="S7" s="88"/>
      <c r="T7" s="88">
        <v>15015.625</v>
      </c>
      <c r="U7" s="88">
        <v>16913181</v>
      </c>
      <c r="X7" s="91">
        <v>15732463</v>
      </c>
      <c r="Y7" s="163">
        <v>339014</v>
      </c>
      <c r="Z7" s="166">
        <v>-9.02630022938577E-3</v>
      </c>
      <c r="AA7" s="27"/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116088.9207142857</v>
      </c>
      <c r="E8" s="529">
        <v>16071478</v>
      </c>
      <c r="F8" s="529">
        <v>0</v>
      </c>
      <c r="G8" s="529">
        <v>0</v>
      </c>
      <c r="H8" s="529">
        <v>16071477</v>
      </c>
      <c r="I8" s="529">
        <v>0</v>
      </c>
      <c r="J8" s="529">
        <v>16071477</v>
      </c>
      <c r="K8" s="529">
        <v>0</v>
      </c>
      <c r="L8" s="529">
        <v>214808</v>
      </c>
      <c r="M8" s="529">
        <v>114537.29499999998</v>
      </c>
      <c r="N8" s="529">
        <v>214809</v>
      </c>
      <c r="O8" s="529">
        <v>16071477</v>
      </c>
      <c r="P8" s="529"/>
      <c r="Q8" s="529">
        <v>0</v>
      </c>
      <c r="R8" s="529"/>
      <c r="S8" s="529"/>
      <c r="T8" s="529"/>
      <c r="U8" s="529">
        <v>16913181</v>
      </c>
      <c r="V8" s="531"/>
      <c r="W8" s="532"/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132" t="s">
        <v>724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 t="s">
        <v>723</v>
      </c>
      <c r="T9" s="798">
        <v>0</v>
      </c>
      <c r="U9" s="88">
        <v>0</v>
      </c>
      <c r="V9" s="71">
        <v>0</v>
      </c>
      <c r="W9" s="449"/>
      <c r="X9" s="67">
        <v>0</v>
      </c>
      <c r="Y9" s="163">
        <v>0</v>
      </c>
      <c r="Z9" s="166">
        <v>0</v>
      </c>
      <c r="AC9" s="67"/>
      <c r="AD9" s="451"/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724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 t="s">
        <v>723</v>
      </c>
      <c r="T10" s="798">
        <v>0</v>
      </c>
      <c r="U10" s="88">
        <v>0</v>
      </c>
      <c r="V10" s="71">
        <v>0</v>
      </c>
      <c r="W10" s="450"/>
      <c r="X10" s="67">
        <v>0</v>
      </c>
      <c r="Y10" s="163">
        <v>0</v>
      </c>
      <c r="Z10" s="166">
        <v>0</v>
      </c>
      <c r="AA10" s="31"/>
      <c r="AC10" s="67"/>
      <c r="AD10" s="451"/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1706.0550000000001</v>
      </c>
      <c r="E11" s="67">
        <v>236188</v>
      </c>
      <c r="F11" s="146">
        <v>0</v>
      </c>
      <c r="G11" s="146">
        <v>0</v>
      </c>
      <c r="H11" s="91">
        <v>236188</v>
      </c>
      <c r="I11" s="67">
        <v>0</v>
      </c>
      <c r="J11" s="739">
        <v>236188</v>
      </c>
      <c r="K11" s="132" t="s">
        <v>621</v>
      </c>
      <c r="L11" s="740">
        <v>0</v>
      </c>
      <c r="M11" s="741">
        <v>1706.0550000000001</v>
      </c>
      <c r="N11" s="67">
        <v>3200</v>
      </c>
      <c r="O11" s="67">
        <v>239388</v>
      </c>
      <c r="Q11" s="674">
        <v>0</v>
      </c>
      <c r="R11" s="674">
        <v>26016.623950052028</v>
      </c>
      <c r="S11" s="798" t="s">
        <v>621</v>
      </c>
      <c r="T11" s="798">
        <v>464.125</v>
      </c>
      <c r="U11" s="88">
        <v>265404.62395005202</v>
      </c>
      <c r="V11" s="71">
        <v>140.3166955344347</v>
      </c>
      <c r="W11" s="448"/>
      <c r="X11" s="67">
        <v>232139</v>
      </c>
      <c r="Y11" s="163">
        <v>7249</v>
      </c>
      <c r="Z11" s="166">
        <v>3.1226980386751042E-2</v>
      </c>
      <c r="AA11" s="34"/>
      <c r="AC11" s="67"/>
      <c r="AD11" s="451"/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31.14</v>
      </c>
      <c r="E12" s="67">
        <v>4311</v>
      </c>
      <c r="F12" s="146">
        <v>0</v>
      </c>
      <c r="G12" s="146">
        <v>0</v>
      </c>
      <c r="H12" s="91">
        <v>4311</v>
      </c>
      <c r="I12" s="67">
        <v>0</v>
      </c>
      <c r="J12" s="739">
        <v>4311</v>
      </c>
      <c r="K12" s="132" t="s">
        <v>644</v>
      </c>
      <c r="L12" s="740">
        <v>4311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 t="s">
        <v>723</v>
      </c>
      <c r="T12" s="798">
        <v>0</v>
      </c>
      <c r="U12" s="88">
        <v>0</v>
      </c>
      <c r="V12" s="71">
        <v>0</v>
      </c>
      <c r="W12" s="449"/>
      <c r="X12" s="67">
        <v>3270</v>
      </c>
      <c r="Y12" s="163">
        <v>-3270</v>
      </c>
      <c r="Z12" s="166">
        <v>-1</v>
      </c>
      <c r="AA12" s="113"/>
      <c r="AC12" s="67"/>
      <c r="AD12" s="451"/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724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 t="s">
        <v>723</v>
      </c>
      <c r="T13" s="798">
        <v>0</v>
      </c>
      <c r="U13" s="88">
        <v>0</v>
      </c>
      <c r="V13" s="71">
        <v>0</v>
      </c>
      <c r="W13" s="449"/>
      <c r="X13" s="67">
        <v>0</v>
      </c>
      <c r="Y13" s="163">
        <v>0</v>
      </c>
      <c r="Z13" s="166">
        <v>0</v>
      </c>
      <c r="AA13" s="61"/>
      <c r="AC13" s="67"/>
      <c r="AD13" s="451"/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32.43</v>
      </c>
      <c r="E14" s="67">
        <v>4490</v>
      </c>
      <c r="F14" s="146">
        <v>0</v>
      </c>
      <c r="G14" s="146">
        <v>0</v>
      </c>
      <c r="H14" s="91">
        <v>4490</v>
      </c>
      <c r="I14" s="67">
        <v>0</v>
      </c>
      <c r="J14" s="739">
        <v>4490</v>
      </c>
      <c r="K14" s="132" t="s">
        <v>644</v>
      </c>
      <c r="L14" s="740">
        <v>4490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 t="s">
        <v>723</v>
      </c>
      <c r="T14" s="798">
        <v>0</v>
      </c>
      <c r="U14" s="88">
        <v>0</v>
      </c>
      <c r="V14" s="71">
        <v>0</v>
      </c>
      <c r="W14" s="449"/>
      <c r="X14" s="67">
        <v>4991</v>
      </c>
      <c r="Y14" s="163">
        <v>-4991</v>
      </c>
      <c r="Z14" s="166">
        <v>-1</v>
      </c>
      <c r="AA14" s="61"/>
      <c r="AC14" s="67"/>
      <c r="AD14" s="451"/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724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 t="s">
        <v>723</v>
      </c>
      <c r="T15" s="798">
        <v>0</v>
      </c>
      <c r="U15" s="88">
        <v>0</v>
      </c>
      <c r="V15" s="71">
        <v>0</v>
      </c>
      <c r="W15" s="449"/>
      <c r="X15" s="67">
        <v>0</v>
      </c>
      <c r="Y15" s="163">
        <v>0</v>
      </c>
      <c r="Z15" s="166">
        <v>0</v>
      </c>
      <c r="AA15" s="61"/>
      <c r="AC15" s="67"/>
      <c r="AD15" s="451"/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2489.5700000000002</v>
      </c>
      <c r="E16" s="67">
        <v>344659</v>
      </c>
      <c r="F16" s="146">
        <v>0</v>
      </c>
      <c r="G16" s="146">
        <v>0</v>
      </c>
      <c r="H16" s="91">
        <v>344659</v>
      </c>
      <c r="I16" s="67">
        <v>0</v>
      </c>
      <c r="J16" s="739">
        <v>344659</v>
      </c>
      <c r="K16" s="132" t="s">
        <v>621</v>
      </c>
      <c r="L16" s="740">
        <v>0</v>
      </c>
      <c r="M16" s="741">
        <v>2489.5700000000002</v>
      </c>
      <c r="N16" s="67">
        <v>4669</v>
      </c>
      <c r="O16" s="67">
        <v>349328</v>
      </c>
      <c r="Q16" s="674">
        <v>0</v>
      </c>
      <c r="R16" s="674">
        <v>0</v>
      </c>
      <c r="S16" s="798" t="s">
        <v>644</v>
      </c>
      <c r="T16" s="798">
        <v>0</v>
      </c>
      <c r="U16" s="88">
        <v>349328</v>
      </c>
      <c r="V16" s="71">
        <v>140.31660085878283</v>
      </c>
      <c r="W16" s="449"/>
      <c r="X16" s="67">
        <v>340270</v>
      </c>
      <c r="Y16" s="163">
        <v>9058</v>
      </c>
      <c r="Z16" s="166">
        <v>2.6620037029417815E-2</v>
      </c>
      <c r="AA16" s="61"/>
      <c r="AC16" s="67"/>
      <c r="AD16" s="451"/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34.43</v>
      </c>
      <c r="E17" s="67">
        <v>4767</v>
      </c>
      <c r="F17" s="146">
        <v>0</v>
      </c>
      <c r="G17" s="146">
        <v>0</v>
      </c>
      <c r="H17" s="91">
        <v>4767</v>
      </c>
      <c r="I17" s="67">
        <v>0</v>
      </c>
      <c r="J17" s="739">
        <v>4767</v>
      </c>
      <c r="K17" s="132" t="s">
        <v>724</v>
      </c>
      <c r="L17" s="740">
        <v>4767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 t="s">
        <v>723</v>
      </c>
      <c r="T17" s="798">
        <v>0</v>
      </c>
      <c r="U17" s="88">
        <v>0</v>
      </c>
      <c r="V17" s="71">
        <v>0</v>
      </c>
      <c r="W17" s="449"/>
      <c r="X17" s="67">
        <v>5572</v>
      </c>
      <c r="Y17" s="163">
        <v>-5572</v>
      </c>
      <c r="Z17" s="166">
        <v>-1</v>
      </c>
      <c r="AA17" s="61"/>
      <c r="AC17" s="67"/>
      <c r="AD17" s="451"/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296.29000000000002</v>
      </c>
      <c r="E18" s="67">
        <v>41019</v>
      </c>
      <c r="F18" s="146">
        <v>0</v>
      </c>
      <c r="G18" s="146">
        <v>0</v>
      </c>
      <c r="H18" s="91">
        <v>41019</v>
      </c>
      <c r="I18" s="67">
        <v>0</v>
      </c>
      <c r="J18" s="739">
        <v>41019</v>
      </c>
      <c r="K18" s="132" t="s">
        <v>621</v>
      </c>
      <c r="L18" s="740">
        <v>0</v>
      </c>
      <c r="M18" s="741">
        <v>296.29000000000002</v>
      </c>
      <c r="N18" s="67">
        <v>556</v>
      </c>
      <c r="O18" s="67">
        <v>41575</v>
      </c>
      <c r="Q18" s="674">
        <v>0</v>
      </c>
      <c r="R18" s="674">
        <v>0</v>
      </c>
      <c r="S18" s="798" t="s">
        <v>644</v>
      </c>
      <c r="T18" s="798">
        <v>0</v>
      </c>
      <c r="U18" s="88">
        <v>41575</v>
      </c>
      <c r="V18" s="71">
        <v>140.31860677039387</v>
      </c>
      <c r="W18" s="449"/>
      <c r="X18" s="67">
        <v>34638</v>
      </c>
      <c r="Y18" s="163">
        <v>6937</v>
      </c>
      <c r="Z18" s="166">
        <v>0.20027137825509556</v>
      </c>
      <c r="AA18" s="61"/>
      <c r="AC18" s="67"/>
      <c r="AD18" s="451"/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132.57</v>
      </c>
      <c r="E19" s="67">
        <v>18353</v>
      </c>
      <c r="F19" s="146">
        <v>0</v>
      </c>
      <c r="G19" s="146">
        <v>0</v>
      </c>
      <c r="H19" s="91">
        <v>18353</v>
      </c>
      <c r="I19" s="67">
        <v>0</v>
      </c>
      <c r="J19" s="739">
        <v>18353</v>
      </c>
      <c r="K19" s="132" t="s">
        <v>621</v>
      </c>
      <c r="L19" s="740">
        <v>0</v>
      </c>
      <c r="M19" s="741">
        <v>132.57</v>
      </c>
      <c r="N19" s="67">
        <v>249</v>
      </c>
      <c r="O19" s="67">
        <v>18602</v>
      </c>
      <c r="Q19" s="674">
        <v>0</v>
      </c>
      <c r="R19" s="674">
        <v>2529.4913132154006</v>
      </c>
      <c r="S19" s="798" t="s">
        <v>621</v>
      </c>
      <c r="T19" s="798">
        <v>45.125</v>
      </c>
      <c r="U19" s="88">
        <v>21131.4913132154</v>
      </c>
      <c r="V19" s="71">
        <v>140.31832239571548</v>
      </c>
      <c r="W19" s="449"/>
      <c r="X19" s="67">
        <v>19406</v>
      </c>
      <c r="Y19" s="163">
        <v>-804</v>
      </c>
      <c r="Z19" s="166">
        <v>-4.143048541688138E-2</v>
      </c>
      <c r="AA19" s="61"/>
      <c r="AC19" s="67"/>
      <c r="AD19" s="451"/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647.86</v>
      </c>
      <c r="E20" s="67">
        <v>89690</v>
      </c>
      <c r="F20" s="146">
        <v>0</v>
      </c>
      <c r="G20" s="146">
        <v>0</v>
      </c>
      <c r="H20" s="91">
        <v>89690</v>
      </c>
      <c r="I20" s="67">
        <v>0</v>
      </c>
      <c r="J20" s="739">
        <v>89690</v>
      </c>
      <c r="K20" s="132" t="s">
        <v>621</v>
      </c>
      <c r="L20" s="740">
        <v>0</v>
      </c>
      <c r="M20" s="741">
        <v>647.86</v>
      </c>
      <c r="N20" s="67">
        <v>1215</v>
      </c>
      <c r="O20" s="67">
        <v>90905</v>
      </c>
      <c r="Q20" s="674">
        <v>0</v>
      </c>
      <c r="R20" s="674">
        <v>0</v>
      </c>
      <c r="S20" s="798" t="s">
        <v>644</v>
      </c>
      <c r="T20" s="798">
        <v>0</v>
      </c>
      <c r="U20" s="88">
        <v>90905</v>
      </c>
      <c r="V20" s="71">
        <v>140.31580897107401</v>
      </c>
      <c r="W20" s="449"/>
      <c r="X20" s="67">
        <v>92468</v>
      </c>
      <c r="Y20" s="163">
        <v>-1563</v>
      </c>
      <c r="Z20" s="166">
        <v>-1.6903144871739412E-2</v>
      </c>
      <c r="AA20" s="61"/>
      <c r="AC20" s="67"/>
      <c r="AD20" s="451"/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545.29</v>
      </c>
      <c r="E21" s="67">
        <v>75491</v>
      </c>
      <c r="F21" s="146">
        <v>0</v>
      </c>
      <c r="G21" s="146">
        <v>0</v>
      </c>
      <c r="H21" s="91">
        <v>75491</v>
      </c>
      <c r="I21" s="67">
        <v>0</v>
      </c>
      <c r="J21" s="739">
        <v>75491</v>
      </c>
      <c r="K21" s="132" t="s">
        <v>621</v>
      </c>
      <c r="L21" s="740">
        <v>0</v>
      </c>
      <c r="M21" s="741">
        <v>545.29</v>
      </c>
      <c r="N21" s="67">
        <v>1023</v>
      </c>
      <c r="O21" s="67">
        <v>76514</v>
      </c>
      <c r="Q21" s="674">
        <v>0</v>
      </c>
      <c r="R21" s="674">
        <v>0</v>
      </c>
      <c r="S21" s="798" t="s">
        <v>644</v>
      </c>
      <c r="T21" s="798">
        <v>0</v>
      </c>
      <c r="U21" s="88">
        <v>76514</v>
      </c>
      <c r="V21" s="71">
        <v>140.31799592877186</v>
      </c>
      <c r="W21" s="449"/>
      <c r="X21" s="67">
        <v>58562</v>
      </c>
      <c r="Y21" s="163">
        <v>17952</v>
      </c>
      <c r="Z21" s="166">
        <v>0.30654690755097164</v>
      </c>
      <c r="AA21" s="61"/>
      <c r="AC21" s="67"/>
      <c r="AD21" s="451"/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286.14</v>
      </c>
      <c r="E22" s="67">
        <v>39614</v>
      </c>
      <c r="F22" s="146">
        <v>0</v>
      </c>
      <c r="G22" s="146">
        <v>0</v>
      </c>
      <c r="H22" s="91">
        <v>39614</v>
      </c>
      <c r="I22" s="67">
        <v>0</v>
      </c>
      <c r="J22" s="739">
        <v>39614</v>
      </c>
      <c r="K22" s="132" t="s">
        <v>621</v>
      </c>
      <c r="L22" s="740">
        <v>0</v>
      </c>
      <c r="M22" s="741">
        <v>286.14</v>
      </c>
      <c r="N22" s="67">
        <v>537</v>
      </c>
      <c r="O22" s="67">
        <v>40151</v>
      </c>
      <c r="Q22" s="674">
        <v>0</v>
      </c>
      <c r="R22" s="674">
        <v>5423.3414859521326</v>
      </c>
      <c r="S22" s="798" t="s">
        <v>621</v>
      </c>
      <c r="T22" s="798">
        <v>96.75</v>
      </c>
      <c r="U22" s="88">
        <v>45574.341485952129</v>
      </c>
      <c r="V22" s="71">
        <v>140.31942405815334</v>
      </c>
      <c r="W22" s="449"/>
      <c r="X22" s="67">
        <v>36466</v>
      </c>
      <c r="Y22" s="163">
        <v>3685</v>
      </c>
      <c r="Z22" s="166">
        <v>0.10105303570449185</v>
      </c>
      <c r="AA22" s="61"/>
      <c r="AC22" s="67"/>
      <c r="AD22" s="451"/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724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 t="s">
        <v>723</v>
      </c>
      <c r="T23" s="798">
        <v>0</v>
      </c>
      <c r="U23" s="88">
        <v>0</v>
      </c>
      <c r="V23" s="71">
        <v>0</v>
      </c>
      <c r="W23" s="449"/>
      <c r="X23" s="67">
        <v>0</v>
      </c>
      <c r="Y23" s="163">
        <v>0</v>
      </c>
      <c r="Z23" s="166">
        <v>0</v>
      </c>
      <c r="AA23" s="61"/>
      <c r="AC23" s="67"/>
      <c r="AD23" s="451"/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86.86</v>
      </c>
      <c r="E24" s="67">
        <v>12025</v>
      </c>
      <c r="F24" s="146">
        <v>0</v>
      </c>
      <c r="G24" s="146">
        <v>0</v>
      </c>
      <c r="H24" s="91">
        <v>12025</v>
      </c>
      <c r="I24" s="67">
        <v>0</v>
      </c>
      <c r="J24" s="739">
        <v>12025</v>
      </c>
      <c r="K24" s="132" t="s">
        <v>644</v>
      </c>
      <c r="L24" s="740">
        <v>12025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644</v>
      </c>
      <c r="T24" s="798">
        <v>0</v>
      </c>
      <c r="U24" s="88">
        <v>0</v>
      </c>
      <c r="V24" s="71">
        <v>0</v>
      </c>
      <c r="W24" s="449"/>
      <c r="X24" s="67">
        <v>7272</v>
      </c>
      <c r="Y24" s="163">
        <v>-7272</v>
      </c>
      <c r="Z24" s="166">
        <v>-1</v>
      </c>
      <c r="AA24" s="61"/>
      <c r="AC24" s="67"/>
      <c r="AD24" s="451"/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390.43</v>
      </c>
      <c r="E25" s="67">
        <v>54052</v>
      </c>
      <c r="F25" s="146">
        <v>0</v>
      </c>
      <c r="G25" s="146">
        <v>0</v>
      </c>
      <c r="H25" s="91">
        <v>54052</v>
      </c>
      <c r="I25" s="67">
        <v>0</v>
      </c>
      <c r="J25" s="739">
        <v>54052</v>
      </c>
      <c r="K25" s="132" t="s">
        <v>621</v>
      </c>
      <c r="L25" s="740">
        <v>0</v>
      </c>
      <c r="M25" s="741">
        <v>390.43</v>
      </c>
      <c r="N25" s="67">
        <v>732</v>
      </c>
      <c r="O25" s="67">
        <v>54784</v>
      </c>
      <c r="Q25" s="674">
        <v>0</v>
      </c>
      <c r="R25" s="674">
        <v>0</v>
      </c>
      <c r="S25" s="798" t="s">
        <v>644</v>
      </c>
      <c r="T25" s="798">
        <v>0</v>
      </c>
      <c r="U25" s="88">
        <v>54784</v>
      </c>
      <c r="V25" s="71">
        <v>140.3170862894757</v>
      </c>
      <c r="W25" s="449"/>
      <c r="X25" s="67">
        <v>55314</v>
      </c>
      <c r="Y25" s="163">
        <v>-530</v>
      </c>
      <c r="Z25" s="166">
        <v>-9.5816610622988761E-3</v>
      </c>
      <c r="AA25" s="61"/>
      <c r="AC25" s="67"/>
      <c r="AD25" s="451"/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241.29</v>
      </c>
      <c r="E26" s="67">
        <v>33404</v>
      </c>
      <c r="F26" s="146">
        <v>0</v>
      </c>
      <c r="G26" s="146">
        <v>0</v>
      </c>
      <c r="H26" s="91">
        <v>33404</v>
      </c>
      <c r="I26" s="67">
        <v>0</v>
      </c>
      <c r="J26" s="739">
        <v>33404</v>
      </c>
      <c r="K26" s="132" t="s">
        <v>621</v>
      </c>
      <c r="L26" s="740">
        <v>0</v>
      </c>
      <c r="M26" s="741">
        <v>241.29</v>
      </c>
      <c r="N26" s="67">
        <v>453</v>
      </c>
      <c r="O26" s="67">
        <v>33857</v>
      </c>
      <c r="Q26" s="674">
        <v>0</v>
      </c>
      <c r="R26" s="674">
        <v>0</v>
      </c>
      <c r="S26" s="798" t="s">
        <v>644</v>
      </c>
      <c r="T26" s="798">
        <v>0</v>
      </c>
      <c r="U26" s="88">
        <v>33857</v>
      </c>
      <c r="V26" s="71">
        <v>140.31663143934685</v>
      </c>
      <c r="W26" s="449"/>
      <c r="X26" s="67">
        <v>37349</v>
      </c>
      <c r="Y26" s="163">
        <v>-3492</v>
      </c>
      <c r="Z26" s="166">
        <v>-9.3496479156068429E-2</v>
      </c>
      <c r="AA26" s="61"/>
      <c r="AC26" s="67"/>
      <c r="AD26" s="451"/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189</v>
      </c>
      <c r="E27" s="67">
        <v>26165</v>
      </c>
      <c r="F27" s="146">
        <v>0</v>
      </c>
      <c r="G27" s="146">
        <v>0</v>
      </c>
      <c r="H27" s="91">
        <v>26165</v>
      </c>
      <c r="I27" s="67">
        <v>0</v>
      </c>
      <c r="J27" s="739">
        <v>26165</v>
      </c>
      <c r="K27" s="132" t="s">
        <v>621</v>
      </c>
      <c r="L27" s="740">
        <v>0</v>
      </c>
      <c r="M27" s="741">
        <v>189</v>
      </c>
      <c r="N27" s="67">
        <v>354</v>
      </c>
      <c r="O27" s="67">
        <v>26519</v>
      </c>
      <c r="Q27" s="674">
        <v>0</v>
      </c>
      <c r="R27" s="674">
        <v>0</v>
      </c>
      <c r="S27" s="798" t="s">
        <v>644</v>
      </c>
      <c r="T27" s="798">
        <v>0</v>
      </c>
      <c r="U27" s="88">
        <v>26519</v>
      </c>
      <c r="V27" s="71">
        <v>140.31216931216932</v>
      </c>
      <c r="W27" s="449"/>
      <c r="X27" s="67">
        <v>25688</v>
      </c>
      <c r="Y27" s="163">
        <v>831</v>
      </c>
      <c r="Z27" s="166">
        <v>3.2349735284957958E-2</v>
      </c>
      <c r="AA27" s="61"/>
      <c r="AC27" s="67"/>
      <c r="AD27" s="451"/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1895.335</v>
      </c>
      <c r="E28" s="67">
        <v>262392</v>
      </c>
      <c r="F28" s="146">
        <v>0</v>
      </c>
      <c r="G28" s="146">
        <v>0</v>
      </c>
      <c r="H28" s="91">
        <v>262392</v>
      </c>
      <c r="I28" s="67">
        <v>0</v>
      </c>
      <c r="J28" s="739">
        <v>262392</v>
      </c>
      <c r="K28" s="132" t="s">
        <v>621</v>
      </c>
      <c r="L28" s="740">
        <v>0</v>
      </c>
      <c r="M28" s="741">
        <v>1895.335</v>
      </c>
      <c r="N28" s="67">
        <v>3555</v>
      </c>
      <c r="O28" s="67">
        <v>265947</v>
      </c>
      <c r="Q28" s="674">
        <v>0</v>
      </c>
      <c r="R28" s="674">
        <v>29905.454085327783</v>
      </c>
      <c r="S28" s="798" t="s">
        <v>621</v>
      </c>
      <c r="T28" s="798">
        <v>533.5</v>
      </c>
      <c r="U28" s="88">
        <v>295852.4540853278</v>
      </c>
      <c r="V28" s="71">
        <v>140.31661948943062</v>
      </c>
      <c r="W28" s="449"/>
      <c r="X28" s="67">
        <v>261119</v>
      </c>
      <c r="Y28" s="163">
        <v>4828</v>
      </c>
      <c r="Z28" s="166">
        <v>1.8489654142364208E-2</v>
      </c>
      <c r="AA28" s="61"/>
      <c r="AC28" s="67"/>
      <c r="AD28" s="451"/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40.43</v>
      </c>
      <c r="E29" s="67">
        <v>5597</v>
      </c>
      <c r="F29" s="146">
        <v>0</v>
      </c>
      <c r="G29" s="146">
        <v>0</v>
      </c>
      <c r="H29" s="91">
        <v>5597</v>
      </c>
      <c r="I29" s="67">
        <v>0</v>
      </c>
      <c r="J29" s="739">
        <v>5597</v>
      </c>
      <c r="K29" s="132" t="s">
        <v>1306</v>
      </c>
      <c r="L29" s="740">
        <v>0</v>
      </c>
      <c r="M29" s="741">
        <v>40.43</v>
      </c>
      <c r="N29" s="67">
        <v>76</v>
      </c>
      <c r="O29" s="67">
        <v>5673</v>
      </c>
      <c r="Q29" s="674">
        <v>0</v>
      </c>
      <c r="R29" s="674">
        <v>735.72462018730482</v>
      </c>
      <c r="S29" s="798" t="s">
        <v>723</v>
      </c>
      <c r="T29" s="798">
        <v>13.125</v>
      </c>
      <c r="U29" s="88">
        <v>6408.7246201873049</v>
      </c>
      <c r="V29" s="71">
        <v>140.31659658669304</v>
      </c>
      <c r="W29" s="449"/>
      <c r="X29" s="67">
        <v>6519</v>
      </c>
      <c r="Y29" s="163">
        <v>-846</v>
      </c>
      <c r="Z29" s="166">
        <v>-0.12977450529222273</v>
      </c>
      <c r="AA29" s="61"/>
      <c r="AC29" s="67"/>
      <c r="AD29" s="451"/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724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 t="s">
        <v>723</v>
      </c>
      <c r="T30" s="798">
        <v>0</v>
      </c>
      <c r="U30" s="88">
        <v>0</v>
      </c>
      <c r="V30" s="71">
        <v>0</v>
      </c>
      <c r="W30" s="449"/>
      <c r="X30" s="67">
        <v>0</v>
      </c>
      <c r="Y30" s="163">
        <v>0</v>
      </c>
      <c r="Z30" s="166">
        <v>0</v>
      </c>
      <c r="AA30" s="61"/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44.14</v>
      </c>
      <c r="E31" s="67">
        <v>6111</v>
      </c>
      <c r="F31" s="146">
        <v>0</v>
      </c>
      <c r="G31" s="146">
        <v>0</v>
      </c>
      <c r="H31" s="91">
        <v>6111</v>
      </c>
      <c r="I31" s="67">
        <v>0</v>
      </c>
      <c r="J31" s="739">
        <v>6111</v>
      </c>
      <c r="K31" s="132" t="s">
        <v>1306</v>
      </c>
      <c r="L31" s="740">
        <v>0</v>
      </c>
      <c r="M31" s="741">
        <v>44.14</v>
      </c>
      <c r="N31" s="67">
        <v>83</v>
      </c>
      <c r="O31" s="67">
        <v>6194</v>
      </c>
      <c r="Q31" s="674">
        <v>0</v>
      </c>
      <c r="R31" s="674">
        <v>455.44857440166493</v>
      </c>
      <c r="S31" s="798" t="s">
        <v>723</v>
      </c>
      <c r="T31" s="798">
        <v>8.125</v>
      </c>
      <c r="U31" s="88">
        <v>6649.4485744016647</v>
      </c>
      <c r="V31" s="71">
        <v>140.32623470774809</v>
      </c>
      <c r="W31" s="449"/>
      <c r="X31" s="67">
        <v>5852</v>
      </c>
      <c r="Y31" s="163">
        <v>342</v>
      </c>
      <c r="Z31" s="166">
        <v>5.844155844155844E-2</v>
      </c>
      <c r="AA31" s="61"/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724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 t="s">
        <v>723</v>
      </c>
      <c r="T32" s="798">
        <v>0</v>
      </c>
      <c r="U32" s="88">
        <v>0</v>
      </c>
      <c r="V32" s="71">
        <v>0</v>
      </c>
      <c r="W32" s="449"/>
      <c r="X32" s="67">
        <v>0</v>
      </c>
      <c r="Y32" s="163">
        <v>0</v>
      </c>
      <c r="Z32" s="166">
        <v>0</v>
      </c>
      <c r="AA32" s="61"/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122</v>
      </c>
      <c r="E33" s="67">
        <v>16890</v>
      </c>
      <c r="F33" s="146">
        <v>0</v>
      </c>
      <c r="G33" s="146">
        <v>0</v>
      </c>
      <c r="H33" s="91">
        <v>16890</v>
      </c>
      <c r="I33" s="67">
        <v>0</v>
      </c>
      <c r="J33" s="739">
        <v>16890</v>
      </c>
      <c r="K33" s="132" t="s">
        <v>621</v>
      </c>
      <c r="L33" s="740">
        <v>0</v>
      </c>
      <c r="M33" s="741">
        <v>122</v>
      </c>
      <c r="N33" s="67">
        <v>229</v>
      </c>
      <c r="O33" s="67">
        <v>17119</v>
      </c>
      <c r="Q33" s="674">
        <v>0</v>
      </c>
      <c r="R33" s="674">
        <v>3643.5885952133194</v>
      </c>
      <c r="S33" s="798" t="s">
        <v>621</v>
      </c>
      <c r="T33" s="798">
        <v>65</v>
      </c>
      <c r="U33" s="88">
        <v>20762.588595213318</v>
      </c>
      <c r="V33" s="71">
        <v>140.31967213114754</v>
      </c>
      <c r="W33" s="449"/>
      <c r="X33" s="67">
        <v>13941</v>
      </c>
      <c r="Y33" s="163">
        <v>3178</v>
      </c>
      <c r="Z33" s="166">
        <v>0.22796069148554624</v>
      </c>
      <c r="AA33" s="61"/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3032.43</v>
      </c>
      <c r="E34" s="67">
        <v>419813</v>
      </c>
      <c r="F34" s="146">
        <v>0</v>
      </c>
      <c r="G34" s="146">
        <v>0</v>
      </c>
      <c r="H34" s="91">
        <v>419813</v>
      </c>
      <c r="I34" s="67">
        <v>0</v>
      </c>
      <c r="J34" s="739">
        <v>419813</v>
      </c>
      <c r="K34" s="132" t="s">
        <v>621</v>
      </c>
      <c r="L34" s="740">
        <v>0</v>
      </c>
      <c r="M34" s="741">
        <v>3032.43</v>
      </c>
      <c r="N34" s="67">
        <v>5687</v>
      </c>
      <c r="O34" s="67">
        <v>425500</v>
      </c>
      <c r="Q34" s="674">
        <v>0</v>
      </c>
      <c r="R34" s="674">
        <v>0</v>
      </c>
      <c r="S34" s="798" t="s">
        <v>644</v>
      </c>
      <c r="T34" s="798">
        <v>0</v>
      </c>
      <c r="U34" s="88">
        <v>425500</v>
      </c>
      <c r="V34" s="71">
        <v>140.31651184033927</v>
      </c>
      <c r="W34" s="449"/>
      <c r="X34" s="67">
        <v>403522</v>
      </c>
      <c r="Y34" s="163">
        <v>21978</v>
      </c>
      <c r="Z34" s="166">
        <v>5.4465431872363836E-2</v>
      </c>
      <c r="AA34" s="61"/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32.57</v>
      </c>
      <c r="E35" s="67">
        <v>4509</v>
      </c>
      <c r="F35" s="146">
        <v>0</v>
      </c>
      <c r="G35" s="146">
        <v>0</v>
      </c>
      <c r="H35" s="91">
        <v>4509</v>
      </c>
      <c r="I35" s="67">
        <v>0</v>
      </c>
      <c r="J35" s="739">
        <v>4509</v>
      </c>
      <c r="K35" s="132" t="s">
        <v>724</v>
      </c>
      <c r="L35" s="740">
        <v>4509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98" t="s">
        <v>723</v>
      </c>
      <c r="T35" s="798">
        <v>0</v>
      </c>
      <c r="U35" s="88">
        <v>0</v>
      </c>
      <c r="V35" s="71">
        <v>0</v>
      </c>
      <c r="W35" s="449"/>
      <c r="X35" s="67">
        <v>2044</v>
      </c>
      <c r="Y35" s="163">
        <v>-2044</v>
      </c>
      <c r="Z35" s="166">
        <v>-1</v>
      </c>
      <c r="AA35" s="61"/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33.29</v>
      </c>
      <c r="E36" s="67">
        <v>4609</v>
      </c>
      <c r="F36" s="146">
        <v>0</v>
      </c>
      <c r="G36" s="146">
        <v>0</v>
      </c>
      <c r="H36" s="91">
        <v>4609</v>
      </c>
      <c r="I36" s="67">
        <v>0</v>
      </c>
      <c r="J36" s="739">
        <v>4609</v>
      </c>
      <c r="K36" s="132" t="s">
        <v>1306</v>
      </c>
      <c r="L36" s="740">
        <v>0</v>
      </c>
      <c r="M36" s="741">
        <v>33.29</v>
      </c>
      <c r="N36" s="67">
        <v>62</v>
      </c>
      <c r="O36" s="67">
        <v>4671</v>
      </c>
      <c r="Q36" s="674">
        <v>0</v>
      </c>
      <c r="R36" s="674">
        <v>455.44857440166493</v>
      </c>
      <c r="S36" s="798" t="s">
        <v>723</v>
      </c>
      <c r="T36" s="798">
        <v>8.125</v>
      </c>
      <c r="U36" s="88">
        <v>5126.4485744016647</v>
      </c>
      <c r="V36" s="71">
        <v>140.31240612796637</v>
      </c>
      <c r="W36" s="449"/>
      <c r="X36" s="67">
        <v>3851</v>
      </c>
      <c r="Y36" s="163">
        <v>820</v>
      </c>
      <c r="Z36" s="166">
        <v>0.21293170605037653</v>
      </c>
      <c r="AA36" s="61"/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724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 t="s">
        <v>723</v>
      </c>
      <c r="T37" s="798">
        <v>0</v>
      </c>
      <c r="U37" s="88">
        <v>0</v>
      </c>
      <c r="V37" s="71">
        <v>0</v>
      </c>
      <c r="W37" s="449"/>
      <c r="X37" s="67">
        <v>0</v>
      </c>
      <c r="Y37" s="163">
        <v>0</v>
      </c>
      <c r="Z37" s="166">
        <v>0</v>
      </c>
      <c r="AA37" s="61"/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66.430000000000007</v>
      </c>
      <c r="E38" s="67">
        <v>9197</v>
      </c>
      <c r="F38" s="146">
        <v>0</v>
      </c>
      <c r="G38" s="146">
        <v>0</v>
      </c>
      <c r="H38" s="91">
        <v>9197</v>
      </c>
      <c r="I38" s="67">
        <v>0</v>
      </c>
      <c r="J38" s="739">
        <v>9197</v>
      </c>
      <c r="K38" s="132" t="s">
        <v>644</v>
      </c>
      <c r="L38" s="740">
        <v>9197</v>
      </c>
      <c r="M38" s="741">
        <v>0</v>
      </c>
      <c r="N38" s="67">
        <v>0</v>
      </c>
      <c r="O38" s="67">
        <v>0</v>
      </c>
      <c r="Q38" s="674">
        <v>0</v>
      </c>
      <c r="R38" s="674">
        <v>0</v>
      </c>
      <c r="S38" s="798" t="s">
        <v>644</v>
      </c>
      <c r="T38" s="798">
        <v>0</v>
      </c>
      <c r="U38" s="88">
        <v>0</v>
      </c>
      <c r="V38" s="71">
        <v>0</v>
      </c>
      <c r="W38" s="449"/>
      <c r="X38" s="67">
        <v>9682</v>
      </c>
      <c r="Y38" s="163">
        <v>-9682</v>
      </c>
      <c r="Z38" s="166">
        <v>-1</v>
      </c>
      <c r="AA38" s="61"/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3294.375</v>
      </c>
      <c r="E39" s="67">
        <v>456077</v>
      </c>
      <c r="F39" s="146">
        <v>0</v>
      </c>
      <c r="G39" s="146">
        <v>0</v>
      </c>
      <c r="H39" s="91">
        <v>456077</v>
      </c>
      <c r="I39" s="67">
        <v>0</v>
      </c>
      <c r="J39" s="739">
        <v>456077</v>
      </c>
      <c r="K39" s="132" t="s">
        <v>621</v>
      </c>
      <c r="L39" s="740">
        <v>0</v>
      </c>
      <c r="M39" s="741">
        <v>3294.375</v>
      </c>
      <c r="N39" s="67">
        <v>6178</v>
      </c>
      <c r="O39" s="67">
        <v>462255</v>
      </c>
      <c r="Q39" s="674">
        <v>0</v>
      </c>
      <c r="R39" s="674">
        <v>46434.733885535898</v>
      </c>
      <c r="S39" s="798" t="s">
        <v>621</v>
      </c>
      <c r="T39" s="798">
        <v>828.375</v>
      </c>
      <c r="U39" s="88">
        <v>508689.73388553591</v>
      </c>
      <c r="V39" s="71">
        <v>140.31644849174731</v>
      </c>
      <c r="W39" s="449"/>
      <c r="X39" s="67">
        <v>444442</v>
      </c>
      <c r="Y39" s="163">
        <v>17813</v>
      </c>
      <c r="Z39" s="166">
        <v>4.0079470437087407E-2</v>
      </c>
      <c r="AA39" s="61"/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164.29</v>
      </c>
      <c r="E40" s="67">
        <v>22744</v>
      </c>
      <c r="F40" s="146">
        <v>0</v>
      </c>
      <c r="G40" s="146">
        <v>0</v>
      </c>
      <c r="H40" s="91">
        <v>22744</v>
      </c>
      <c r="I40" s="67">
        <v>0</v>
      </c>
      <c r="J40" s="739">
        <v>22744</v>
      </c>
      <c r="K40" s="132" t="s">
        <v>621</v>
      </c>
      <c r="L40" s="740">
        <v>0</v>
      </c>
      <c r="M40" s="741">
        <v>164.29</v>
      </c>
      <c r="N40" s="67">
        <v>308</v>
      </c>
      <c r="O40" s="67">
        <v>23052</v>
      </c>
      <c r="Q40" s="674">
        <v>0</v>
      </c>
      <c r="R40" s="674">
        <v>0</v>
      </c>
      <c r="S40" s="798" t="s">
        <v>644</v>
      </c>
      <c r="T40" s="798">
        <v>0</v>
      </c>
      <c r="U40" s="88">
        <v>23052</v>
      </c>
      <c r="V40" s="71">
        <v>140.31286140361556</v>
      </c>
      <c r="W40" s="449"/>
      <c r="X40" s="67">
        <v>17900</v>
      </c>
      <c r="Y40" s="163">
        <v>5152</v>
      </c>
      <c r="Z40" s="166">
        <v>0.28782122905027935</v>
      </c>
      <c r="AA40" s="61"/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729.71</v>
      </c>
      <c r="E41" s="67">
        <v>101022</v>
      </c>
      <c r="F41" s="146">
        <v>0</v>
      </c>
      <c r="G41" s="146">
        <v>0</v>
      </c>
      <c r="H41" s="91">
        <v>101022</v>
      </c>
      <c r="I41" s="67">
        <v>0</v>
      </c>
      <c r="J41" s="739">
        <v>101022</v>
      </c>
      <c r="K41" s="132" t="s">
        <v>621</v>
      </c>
      <c r="L41" s="740">
        <v>0</v>
      </c>
      <c r="M41" s="741">
        <v>729.71</v>
      </c>
      <c r="N41" s="67">
        <v>1369</v>
      </c>
      <c r="O41" s="67">
        <v>102391</v>
      </c>
      <c r="Q41" s="674">
        <v>0</v>
      </c>
      <c r="R41" s="674">
        <v>11582.407592091571</v>
      </c>
      <c r="S41" s="798" t="s">
        <v>621</v>
      </c>
      <c r="T41" s="798">
        <v>206.625</v>
      </c>
      <c r="U41" s="88">
        <v>113973.40759209156</v>
      </c>
      <c r="V41" s="71">
        <v>140.31738635896451</v>
      </c>
      <c r="W41" s="449"/>
      <c r="X41" s="67">
        <v>110712</v>
      </c>
      <c r="Y41" s="163">
        <v>-8321</v>
      </c>
      <c r="Z41" s="166">
        <v>-7.5158971023917914E-2</v>
      </c>
      <c r="AA41" s="61"/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92.43</v>
      </c>
      <c r="E42" s="67">
        <v>12796</v>
      </c>
      <c r="F42" s="146">
        <v>0</v>
      </c>
      <c r="G42" s="146">
        <v>0</v>
      </c>
      <c r="H42" s="91">
        <v>12796</v>
      </c>
      <c r="I42" s="67">
        <v>0</v>
      </c>
      <c r="J42" s="739">
        <v>12796</v>
      </c>
      <c r="K42" s="132" t="s">
        <v>621</v>
      </c>
      <c r="L42" s="740">
        <v>0</v>
      </c>
      <c r="M42" s="741">
        <v>92.43</v>
      </c>
      <c r="N42" s="67">
        <v>173</v>
      </c>
      <c r="O42" s="67">
        <v>12969</v>
      </c>
      <c r="Q42" s="674">
        <v>0</v>
      </c>
      <c r="R42" s="674">
        <v>1569.5458563995837</v>
      </c>
      <c r="S42" s="798" t="s">
        <v>723</v>
      </c>
      <c r="T42" s="798">
        <v>28</v>
      </c>
      <c r="U42" s="88">
        <v>14538.545856399583</v>
      </c>
      <c r="V42" s="71">
        <v>140.31158714703017</v>
      </c>
      <c r="W42" s="449"/>
      <c r="X42" s="67">
        <v>9940</v>
      </c>
      <c r="Y42" s="163">
        <v>3029</v>
      </c>
      <c r="Z42" s="166">
        <v>0.30472837022132798</v>
      </c>
      <c r="AA42" s="61"/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724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 t="s">
        <v>723</v>
      </c>
      <c r="T43" s="798">
        <v>0</v>
      </c>
      <c r="U43" s="88">
        <v>0</v>
      </c>
      <c r="V43" s="71">
        <v>0</v>
      </c>
      <c r="W43" s="449"/>
      <c r="X43" s="67">
        <v>0</v>
      </c>
      <c r="Y43" s="163">
        <v>0</v>
      </c>
      <c r="Z43" s="166">
        <v>0</v>
      </c>
      <c r="AA43" s="61"/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</v>
      </c>
      <c r="E44" s="67">
        <v>277</v>
      </c>
      <c r="F44" s="146">
        <v>0</v>
      </c>
      <c r="G44" s="146">
        <v>0</v>
      </c>
      <c r="H44" s="91">
        <v>277</v>
      </c>
      <c r="I44" s="67">
        <v>0</v>
      </c>
      <c r="J44" s="739">
        <v>277</v>
      </c>
      <c r="K44" s="132" t="s">
        <v>644</v>
      </c>
      <c r="L44" s="740">
        <v>277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 t="s">
        <v>723</v>
      </c>
      <c r="T44" s="798">
        <v>0</v>
      </c>
      <c r="U44" s="88">
        <v>0</v>
      </c>
      <c r="V44" s="71">
        <v>0</v>
      </c>
      <c r="W44" s="449"/>
      <c r="X44" s="67">
        <v>151</v>
      </c>
      <c r="Y44" s="163">
        <v>-151</v>
      </c>
      <c r="Z44" s="166">
        <v>-1</v>
      </c>
      <c r="AA44" s="61"/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724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 t="s">
        <v>723</v>
      </c>
      <c r="T45" s="798">
        <v>0</v>
      </c>
      <c r="U45" s="88">
        <v>0</v>
      </c>
      <c r="V45" s="71">
        <v>0</v>
      </c>
      <c r="W45" s="449"/>
      <c r="X45" s="67">
        <v>0</v>
      </c>
      <c r="Y45" s="163">
        <v>0</v>
      </c>
      <c r="Z45" s="166">
        <v>0</v>
      </c>
      <c r="AA45" s="61"/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383.91500000000002</v>
      </c>
      <c r="E46" s="67">
        <v>53150</v>
      </c>
      <c r="F46" s="146">
        <v>0</v>
      </c>
      <c r="G46" s="146">
        <v>0</v>
      </c>
      <c r="H46" s="91">
        <v>53150</v>
      </c>
      <c r="I46" s="67">
        <v>0</v>
      </c>
      <c r="J46" s="739">
        <v>53150</v>
      </c>
      <c r="K46" s="132" t="s">
        <v>621</v>
      </c>
      <c r="L46" s="740">
        <v>0</v>
      </c>
      <c r="M46" s="741">
        <v>383.91500000000002</v>
      </c>
      <c r="N46" s="67">
        <v>720</v>
      </c>
      <c r="O46" s="67">
        <v>53870</v>
      </c>
      <c r="Q46" s="674">
        <v>0</v>
      </c>
      <c r="R46" s="674">
        <v>0</v>
      </c>
      <c r="S46" s="798" t="s">
        <v>644</v>
      </c>
      <c r="T46" s="798">
        <v>0</v>
      </c>
      <c r="U46" s="88">
        <v>53870</v>
      </c>
      <c r="V46" s="71">
        <v>140.31751820064338</v>
      </c>
      <c r="W46" s="449"/>
      <c r="X46" s="67">
        <v>54603</v>
      </c>
      <c r="Y46" s="163">
        <v>-733</v>
      </c>
      <c r="Z46" s="166">
        <v>-1.3424170833104408E-2</v>
      </c>
      <c r="AA46" s="61"/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724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 t="s">
        <v>723</v>
      </c>
      <c r="T47" s="798">
        <v>0</v>
      </c>
      <c r="U47" s="88">
        <v>0</v>
      </c>
      <c r="V47" s="71">
        <v>0</v>
      </c>
      <c r="W47" s="449"/>
      <c r="X47" s="67">
        <v>0</v>
      </c>
      <c r="Y47" s="163">
        <v>0</v>
      </c>
      <c r="Z47" s="166">
        <v>0</v>
      </c>
      <c r="AA47" s="61"/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23.43</v>
      </c>
      <c r="E48" s="67">
        <v>3244</v>
      </c>
      <c r="F48" s="146">
        <v>0</v>
      </c>
      <c r="G48" s="146">
        <v>0</v>
      </c>
      <c r="H48" s="91">
        <v>3244</v>
      </c>
      <c r="I48" s="67">
        <v>0</v>
      </c>
      <c r="J48" s="739">
        <v>3244</v>
      </c>
      <c r="K48" s="132" t="s">
        <v>724</v>
      </c>
      <c r="L48" s="740">
        <v>3244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 t="s">
        <v>723</v>
      </c>
      <c r="T48" s="798">
        <v>0</v>
      </c>
      <c r="U48" s="88">
        <v>0</v>
      </c>
      <c r="V48" s="71">
        <v>0</v>
      </c>
      <c r="W48" s="449"/>
      <c r="X48" s="67">
        <v>3313</v>
      </c>
      <c r="Y48" s="163">
        <v>-3313</v>
      </c>
      <c r="Z48" s="166">
        <v>-1</v>
      </c>
      <c r="AA48" s="61"/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16.86</v>
      </c>
      <c r="E49" s="67">
        <v>2334</v>
      </c>
      <c r="F49" s="146">
        <v>0</v>
      </c>
      <c r="G49" s="146">
        <v>0</v>
      </c>
      <c r="H49" s="91">
        <v>2334</v>
      </c>
      <c r="I49" s="67">
        <v>0</v>
      </c>
      <c r="J49" s="739">
        <v>2334</v>
      </c>
      <c r="K49" s="132" t="s">
        <v>724</v>
      </c>
      <c r="L49" s="740">
        <v>2334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 t="s">
        <v>723</v>
      </c>
      <c r="T49" s="798">
        <v>0</v>
      </c>
      <c r="U49" s="88">
        <v>0</v>
      </c>
      <c r="V49" s="71">
        <v>0</v>
      </c>
      <c r="W49" s="449"/>
      <c r="X49" s="67">
        <v>0</v>
      </c>
      <c r="Y49" s="163">
        <v>0</v>
      </c>
      <c r="Z49" s="166">
        <v>0</v>
      </c>
      <c r="AA49" s="61"/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161</v>
      </c>
      <c r="E50" s="67">
        <v>22289</v>
      </c>
      <c r="F50" s="146">
        <v>0</v>
      </c>
      <c r="G50" s="146">
        <v>0</v>
      </c>
      <c r="H50" s="91">
        <v>22289</v>
      </c>
      <c r="I50" s="67">
        <v>0</v>
      </c>
      <c r="J50" s="739">
        <v>22289</v>
      </c>
      <c r="K50" s="132" t="s">
        <v>621</v>
      </c>
      <c r="L50" s="740">
        <v>0</v>
      </c>
      <c r="M50" s="741">
        <v>161</v>
      </c>
      <c r="N50" s="67">
        <v>302</v>
      </c>
      <c r="O50" s="67">
        <v>22591</v>
      </c>
      <c r="Q50" s="674">
        <v>0</v>
      </c>
      <c r="R50" s="674">
        <v>1394.3733277835588</v>
      </c>
      <c r="S50" s="798" t="s">
        <v>621</v>
      </c>
      <c r="T50" s="798">
        <v>24.875</v>
      </c>
      <c r="U50" s="88">
        <v>23985.37332778356</v>
      </c>
      <c r="V50" s="71">
        <v>140.31677018633539</v>
      </c>
      <c r="W50" s="449"/>
      <c r="X50" s="67">
        <v>21256</v>
      </c>
      <c r="Y50" s="163">
        <v>1335</v>
      </c>
      <c r="Z50" s="166">
        <v>6.2805796010538206E-2</v>
      </c>
      <c r="AA50" s="61"/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287.25</v>
      </c>
      <c r="E51" s="67">
        <v>39767</v>
      </c>
      <c r="F51" s="146">
        <v>0</v>
      </c>
      <c r="G51" s="146">
        <v>0</v>
      </c>
      <c r="H51" s="91">
        <v>39767</v>
      </c>
      <c r="I51" s="67">
        <v>0</v>
      </c>
      <c r="J51" s="739">
        <v>39767</v>
      </c>
      <c r="K51" s="132" t="s">
        <v>621</v>
      </c>
      <c r="L51" s="740">
        <v>0</v>
      </c>
      <c r="M51" s="741">
        <v>287.25</v>
      </c>
      <c r="N51" s="67">
        <v>539</v>
      </c>
      <c r="O51" s="67">
        <v>40306</v>
      </c>
      <c r="Q51" s="674">
        <v>0</v>
      </c>
      <c r="R51" s="674">
        <v>0</v>
      </c>
      <c r="S51" s="798" t="s">
        <v>644</v>
      </c>
      <c r="T51" s="798">
        <v>0</v>
      </c>
      <c r="U51" s="88">
        <v>40306</v>
      </c>
      <c r="V51" s="71">
        <v>140.31679721496954</v>
      </c>
      <c r="W51" s="449"/>
      <c r="X51" s="67">
        <v>35477</v>
      </c>
      <c r="Y51" s="163">
        <v>4829</v>
      </c>
      <c r="Z51" s="166">
        <v>0.1361163570764157</v>
      </c>
      <c r="AA51" s="61"/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93.14</v>
      </c>
      <c r="E52" s="67">
        <v>12894</v>
      </c>
      <c r="F52" s="146">
        <v>0</v>
      </c>
      <c r="G52" s="146">
        <v>0</v>
      </c>
      <c r="H52" s="91">
        <v>12894</v>
      </c>
      <c r="I52" s="67">
        <v>0</v>
      </c>
      <c r="J52" s="739">
        <v>12894</v>
      </c>
      <c r="K52" s="132" t="s">
        <v>621</v>
      </c>
      <c r="L52" s="740">
        <v>0</v>
      </c>
      <c r="M52" s="741">
        <v>93.14</v>
      </c>
      <c r="N52" s="67">
        <v>175</v>
      </c>
      <c r="O52" s="67">
        <v>13069</v>
      </c>
      <c r="Q52" s="674">
        <v>0</v>
      </c>
      <c r="R52" s="674">
        <v>0</v>
      </c>
      <c r="S52" s="798" t="s">
        <v>644</v>
      </c>
      <c r="T52" s="798">
        <v>0</v>
      </c>
      <c r="U52" s="88">
        <v>13069</v>
      </c>
      <c r="V52" s="71">
        <v>140.31565385441272</v>
      </c>
      <c r="W52" s="449"/>
      <c r="X52" s="67">
        <v>15748</v>
      </c>
      <c r="Y52" s="163">
        <v>-2679</v>
      </c>
      <c r="Z52" s="166">
        <v>-0.17011684023368046</v>
      </c>
      <c r="AA52" s="61"/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373.43</v>
      </c>
      <c r="E53" s="67">
        <v>51698</v>
      </c>
      <c r="F53" s="146">
        <v>0</v>
      </c>
      <c r="G53" s="146">
        <v>0</v>
      </c>
      <c r="H53" s="91">
        <v>51698</v>
      </c>
      <c r="I53" s="67">
        <v>0</v>
      </c>
      <c r="J53" s="739">
        <v>51698</v>
      </c>
      <c r="K53" s="132" t="s">
        <v>621</v>
      </c>
      <c r="L53" s="740">
        <v>0</v>
      </c>
      <c r="M53" s="741">
        <v>373.43</v>
      </c>
      <c r="N53" s="67">
        <v>700</v>
      </c>
      <c r="O53" s="67">
        <v>52398</v>
      </c>
      <c r="Q53" s="674">
        <v>0</v>
      </c>
      <c r="R53" s="674">
        <v>0</v>
      </c>
      <c r="S53" s="798" t="s">
        <v>644</v>
      </c>
      <c r="T53" s="798">
        <v>0</v>
      </c>
      <c r="U53" s="88">
        <v>52398</v>
      </c>
      <c r="V53" s="71">
        <v>140.31545403422328</v>
      </c>
      <c r="W53" s="449"/>
      <c r="X53" s="67">
        <v>48558</v>
      </c>
      <c r="Y53" s="163">
        <v>3840</v>
      </c>
      <c r="Z53" s="166">
        <v>7.9080687013468431E-2</v>
      </c>
      <c r="AA53" s="61"/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27.43</v>
      </c>
      <c r="E54" s="67">
        <v>3797</v>
      </c>
      <c r="F54" s="146">
        <v>0</v>
      </c>
      <c r="G54" s="146">
        <v>0</v>
      </c>
      <c r="H54" s="91">
        <v>3797</v>
      </c>
      <c r="I54" s="67">
        <v>0</v>
      </c>
      <c r="J54" s="739">
        <v>3797</v>
      </c>
      <c r="K54" s="132" t="s">
        <v>644</v>
      </c>
      <c r="L54" s="740">
        <v>3797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98" t="s">
        <v>723</v>
      </c>
      <c r="T54" s="798">
        <v>0</v>
      </c>
      <c r="U54" s="88">
        <v>0</v>
      </c>
      <c r="V54" s="71">
        <v>0</v>
      </c>
      <c r="W54" s="449"/>
      <c r="X54" s="67">
        <v>1636</v>
      </c>
      <c r="Y54" s="163">
        <v>-1636</v>
      </c>
      <c r="Z54" s="166">
        <v>-1</v>
      </c>
      <c r="AA54" s="61"/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1089</v>
      </c>
      <c r="E55" s="67">
        <v>150762</v>
      </c>
      <c r="F55" s="146">
        <v>0</v>
      </c>
      <c r="G55" s="146">
        <v>0</v>
      </c>
      <c r="H55" s="91">
        <v>150762</v>
      </c>
      <c r="I55" s="67">
        <v>0</v>
      </c>
      <c r="J55" s="739">
        <v>150762</v>
      </c>
      <c r="K55" s="132" t="s">
        <v>621</v>
      </c>
      <c r="L55" s="740">
        <v>0</v>
      </c>
      <c r="M55" s="741">
        <v>1089</v>
      </c>
      <c r="N55" s="67">
        <v>2042</v>
      </c>
      <c r="O55" s="67">
        <v>152804</v>
      </c>
      <c r="Q55" s="674">
        <v>0</v>
      </c>
      <c r="R55" s="674">
        <v>18512.23282414152</v>
      </c>
      <c r="S55" s="798" t="s">
        <v>621</v>
      </c>
      <c r="T55" s="798">
        <v>330.25</v>
      </c>
      <c r="U55" s="88">
        <v>171316.23282414151</v>
      </c>
      <c r="V55" s="71">
        <v>140.31588613406797</v>
      </c>
      <c r="W55" s="449"/>
      <c r="X55" s="67">
        <v>156302</v>
      </c>
      <c r="Y55" s="163">
        <v>-3498</v>
      </c>
      <c r="Z55" s="166">
        <v>-2.2379752018528234E-2</v>
      </c>
      <c r="AA55" s="61"/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3.75</v>
      </c>
      <c r="E56" s="67">
        <v>519</v>
      </c>
      <c r="F56" s="146">
        <v>0</v>
      </c>
      <c r="G56" s="146">
        <v>0</v>
      </c>
      <c r="H56" s="91">
        <v>519</v>
      </c>
      <c r="I56" s="67">
        <v>0</v>
      </c>
      <c r="J56" s="739">
        <v>519</v>
      </c>
      <c r="K56" s="132" t="s">
        <v>724</v>
      </c>
      <c r="L56" s="740">
        <v>519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 t="s">
        <v>723</v>
      </c>
      <c r="T56" s="798">
        <v>0</v>
      </c>
      <c r="U56" s="88">
        <v>0</v>
      </c>
      <c r="V56" s="71">
        <v>0</v>
      </c>
      <c r="W56" s="449"/>
      <c r="X56" s="67">
        <v>602</v>
      </c>
      <c r="Y56" s="163">
        <v>-602</v>
      </c>
      <c r="Z56" s="166">
        <v>-1</v>
      </c>
      <c r="AA56" s="61"/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18.57</v>
      </c>
      <c r="E57" s="67">
        <v>2571</v>
      </c>
      <c r="F57" s="146">
        <v>0</v>
      </c>
      <c r="G57" s="146">
        <v>0</v>
      </c>
      <c r="H57" s="91">
        <v>2571</v>
      </c>
      <c r="I57" s="67">
        <v>0</v>
      </c>
      <c r="J57" s="739">
        <v>2571</v>
      </c>
      <c r="K57" s="132" t="s">
        <v>724</v>
      </c>
      <c r="L57" s="740">
        <v>2571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 t="s">
        <v>723</v>
      </c>
      <c r="T57" s="798">
        <v>0</v>
      </c>
      <c r="U57" s="88">
        <v>0</v>
      </c>
      <c r="V57" s="71">
        <v>0</v>
      </c>
      <c r="W57" s="449"/>
      <c r="X57" s="67">
        <v>2604</v>
      </c>
      <c r="Y57" s="163">
        <v>-2604</v>
      </c>
      <c r="Z57" s="166">
        <v>-1</v>
      </c>
      <c r="AA57" s="61"/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724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 t="s">
        <v>723</v>
      </c>
      <c r="T58" s="798">
        <v>0</v>
      </c>
      <c r="U58" s="88">
        <v>0</v>
      </c>
      <c r="V58" s="71">
        <v>0</v>
      </c>
      <c r="W58" s="449"/>
      <c r="X58" s="67">
        <v>0</v>
      </c>
      <c r="Y58" s="163">
        <v>0</v>
      </c>
      <c r="Z58" s="166">
        <v>0</v>
      </c>
      <c r="AA58" s="61"/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724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 t="s">
        <v>723</v>
      </c>
      <c r="T59" s="798">
        <v>0</v>
      </c>
      <c r="U59" s="88">
        <v>0</v>
      </c>
      <c r="V59" s="71">
        <v>0</v>
      </c>
      <c r="W59" s="449"/>
      <c r="X59" s="67">
        <v>0</v>
      </c>
      <c r="Y59" s="163">
        <v>0</v>
      </c>
      <c r="Z59" s="166">
        <v>0</v>
      </c>
      <c r="AA59" s="61"/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724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 t="s">
        <v>723</v>
      </c>
      <c r="T60" s="798">
        <v>0</v>
      </c>
      <c r="U60" s="88">
        <v>0</v>
      </c>
      <c r="V60" s="71">
        <v>0</v>
      </c>
      <c r="W60" s="449"/>
      <c r="X60" s="67">
        <v>0</v>
      </c>
      <c r="Y60" s="163">
        <v>0</v>
      </c>
      <c r="Z60" s="166">
        <v>0</v>
      </c>
      <c r="AA60" s="61"/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1306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98" t="s">
        <v>723</v>
      </c>
      <c r="T61" s="798">
        <v>0</v>
      </c>
      <c r="U61" s="88">
        <v>0</v>
      </c>
      <c r="V61" s="71">
        <v>0</v>
      </c>
      <c r="W61" s="449"/>
      <c r="X61" s="67">
        <v>0</v>
      </c>
      <c r="Y61" s="163">
        <v>0</v>
      </c>
      <c r="Z61" s="166">
        <v>0</v>
      </c>
      <c r="AA61" s="61"/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724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 t="s">
        <v>723</v>
      </c>
      <c r="T62" s="798">
        <v>0</v>
      </c>
      <c r="U62" s="88">
        <v>0</v>
      </c>
      <c r="V62" s="71">
        <v>0</v>
      </c>
      <c r="W62" s="449"/>
      <c r="X62" s="67">
        <v>0</v>
      </c>
      <c r="Y62" s="163">
        <v>0</v>
      </c>
      <c r="Z62" s="166">
        <v>0</v>
      </c>
      <c r="AA62" s="61"/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5909.57</v>
      </c>
      <c r="E63" s="67">
        <v>818127</v>
      </c>
      <c r="F63" s="146">
        <v>0</v>
      </c>
      <c r="G63" s="146">
        <v>0</v>
      </c>
      <c r="H63" s="91">
        <v>818127</v>
      </c>
      <c r="I63" s="67">
        <v>0</v>
      </c>
      <c r="J63" s="739">
        <v>818127</v>
      </c>
      <c r="K63" s="132" t="s">
        <v>621</v>
      </c>
      <c r="L63" s="740">
        <v>0</v>
      </c>
      <c r="M63" s="741">
        <v>5909.57</v>
      </c>
      <c r="N63" s="67">
        <v>11083</v>
      </c>
      <c r="O63" s="67">
        <v>829210</v>
      </c>
      <c r="Q63" s="674">
        <v>0</v>
      </c>
      <c r="R63" s="674">
        <v>0</v>
      </c>
      <c r="S63" s="798" t="s">
        <v>644</v>
      </c>
      <c r="T63" s="798">
        <v>0</v>
      </c>
      <c r="U63" s="88">
        <v>829210</v>
      </c>
      <c r="V63" s="71">
        <v>140.31646972622374</v>
      </c>
      <c r="W63" s="449"/>
      <c r="X63" s="67">
        <v>874771</v>
      </c>
      <c r="Y63" s="163">
        <v>-45561</v>
      </c>
      <c r="Z63" s="166">
        <v>-5.20833452412117E-2</v>
      </c>
      <c r="AA63" s="61"/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634</v>
      </c>
      <c r="E64" s="67">
        <v>87772</v>
      </c>
      <c r="F64" s="146">
        <v>0</v>
      </c>
      <c r="G64" s="146">
        <v>0</v>
      </c>
      <c r="H64" s="91">
        <v>87772</v>
      </c>
      <c r="I64" s="67">
        <v>0</v>
      </c>
      <c r="J64" s="739">
        <v>87772</v>
      </c>
      <c r="K64" s="132" t="s">
        <v>621</v>
      </c>
      <c r="L64" s="740">
        <v>0</v>
      </c>
      <c r="M64" s="741">
        <v>634</v>
      </c>
      <c r="N64" s="67">
        <v>1189</v>
      </c>
      <c r="O64" s="67">
        <v>88961</v>
      </c>
      <c r="Q64" s="674">
        <v>0</v>
      </c>
      <c r="R64" s="674">
        <v>0</v>
      </c>
      <c r="S64" s="798" t="s">
        <v>644</v>
      </c>
      <c r="T64" s="798">
        <v>0</v>
      </c>
      <c r="U64" s="88">
        <v>88961</v>
      </c>
      <c r="V64" s="71">
        <v>140.31703470031545</v>
      </c>
      <c r="W64" s="449"/>
      <c r="X64" s="67">
        <v>107679</v>
      </c>
      <c r="Y64" s="163">
        <v>-18718</v>
      </c>
      <c r="Z64" s="166">
        <v>-0.17383148060438897</v>
      </c>
      <c r="AA64" s="61"/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724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 t="s">
        <v>723</v>
      </c>
      <c r="T65" s="798">
        <v>0</v>
      </c>
      <c r="U65" s="88">
        <v>0</v>
      </c>
      <c r="V65" s="71">
        <v>0</v>
      </c>
      <c r="W65" s="449"/>
      <c r="X65" s="67">
        <v>0</v>
      </c>
      <c r="Y65" s="163">
        <v>0</v>
      </c>
      <c r="Z65" s="166">
        <v>0</v>
      </c>
      <c r="AA65" s="61"/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724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 t="s">
        <v>723</v>
      </c>
      <c r="T66" s="798">
        <v>0</v>
      </c>
      <c r="U66" s="88">
        <v>0</v>
      </c>
      <c r="V66" s="71">
        <v>0</v>
      </c>
      <c r="W66" s="449"/>
      <c r="X66" s="67">
        <v>0</v>
      </c>
      <c r="Y66" s="163">
        <v>0</v>
      </c>
      <c r="Z66" s="166">
        <v>0</v>
      </c>
      <c r="AA66" s="61"/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5</v>
      </c>
      <c r="E67" s="67">
        <v>692</v>
      </c>
      <c r="F67" s="146">
        <v>0</v>
      </c>
      <c r="G67" s="146">
        <v>0</v>
      </c>
      <c r="H67" s="91">
        <v>692</v>
      </c>
      <c r="I67" s="67">
        <v>0</v>
      </c>
      <c r="J67" s="739">
        <v>692</v>
      </c>
      <c r="K67" s="132" t="s">
        <v>724</v>
      </c>
      <c r="L67" s="740">
        <v>692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 t="s">
        <v>723</v>
      </c>
      <c r="T67" s="798">
        <v>0</v>
      </c>
      <c r="U67" s="88">
        <v>0</v>
      </c>
      <c r="V67" s="71">
        <v>0</v>
      </c>
      <c r="W67" s="449"/>
      <c r="X67" s="67">
        <v>452</v>
      </c>
      <c r="Y67" s="163">
        <v>-452</v>
      </c>
      <c r="Z67" s="166">
        <v>-1</v>
      </c>
      <c r="AA67" s="61"/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1345.29</v>
      </c>
      <c r="E68" s="67">
        <v>186243</v>
      </c>
      <c r="F68" s="146">
        <v>0</v>
      </c>
      <c r="G68" s="146">
        <v>0</v>
      </c>
      <c r="H68" s="91">
        <v>186243</v>
      </c>
      <c r="I68" s="67">
        <v>0</v>
      </c>
      <c r="J68" s="739">
        <v>186243</v>
      </c>
      <c r="K68" s="132" t="s">
        <v>621</v>
      </c>
      <c r="L68" s="740">
        <v>0</v>
      </c>
      <c r="M68" s="741">
        <v>1345.29</v>
      </c>
      <c r="N68" s="67">
        <v>2523</v>
      </c>
      <c r="O68" s="67">
        <v>188766</v>
      </c>
      <c r="Q68" s="674">
        <v>0</v>
      </c>
      <c r="R68" s="674">
        <v>0</v>
      </c>
      <c r="S68" s="798" t="s">
        <v>644</v>
      </c>
      <c r="T68" s="798">
        <v>0</v>
      </c>
      <c r="U68" s="88">
        <v>188766</v>
      </c>
      <c r="V68" s="71">
        <v>140.3162143478358</v>
      </c>
      <c r="W68" s="449"/>
      <c r="X68" s="67">
        <v>198836</v>
      </c>
      <c r="Y68" s="163">
        <v>-10070</v>
      </c>
      <c r="Z68" s="166">
        <v>-5.06447524593132E-2</v>
      </c>
      <c r="AA68" s="61"/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1159</v>
      </c>
      <c r="E69" s="67">
        <v>160453</v>
      </c>
      <c r="F69" s="146">
        <v>0</v>
      </c>
      <c r="G69" s="146">
        <v>0</v>
      </c>
      <c r="H69" s="91">
        <v>160453</v>
      </c>
      <c r="I69" s="67">
        <v>0</v>
      </c>
      <c r="J69" s="739">
        <v>160453</v>
      </c>
      <c r="K69" s="132" t="s">
        <v>621</v>
      </c>
      <c r="L69" s="740">
        <v>0</v>
      </c>
      <c r="M69" s="741">
        <v>1159</v>
      </c>
      <c r="N69" s="67">
        <v>2174</v>
      </c>
      <c r="O69" s="67">
        <v>162627</v>
      </c>
      <c r="Q69" s="674">
        <v>0</v>
      </c>
      <c r="R69" s="674">
        <v>0</v>
      </c>
      <c r="S69" s="798" t="s">
        <v>644</v>
      </c>
      <c r="T69" s="798">
        <v>0</v>
      </c>
      <c r="U69" s="88">
        <v>162627</v>
      </c>
      <c r="V69" s="71">
        <v>140.31665228645383</v>
      </c>
      <c r="W69" s="449"/>
      <c r="X69" s="67">
        <v>163100</v>
      </c>
      <c r="Y69" s="163">
        <v>-473</v>
      </c>
      <c r="Z69" s="166">
        <v>-2.9000613120784796E-3</v>
      </c>
      <c r="AA69" s="61"/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312.86</v>
      </c>
      <c r="E70" s="67">
        <v>43313</v>
      </c>
      <c r="F70" s="146">
        <v>0</v>
      </c>
      <c r="G70" s="146">
        <v>0</v>
      </c>
      <c r="H70" s="91">
        <v>43313</v>
      </c>
      <c r="I70" s="67">
        <v>0</v>
      </c>
      <c r="J70" s="739">
        <v>43313</v>
      </c>
      <c r="K70" s="132" t="s">
        <v>621</v>
      </c>
      <c r="L70" s="740">
        <v>0</v>
      </c>
      <c r="M70" s="741">
        <v>312.86</v>
      </c>
      <c r="N70" s="67">
        <v>587</v>
      </c>
      <c r="O70" s="67">
        <v>43900</v>
      </c>
      <c r="Q70" s="674">
        <v>0</v>
      </c>
      <c r="R70" s="674">
        <v>0</v>
      </c>
      <c r="S70" s="798" t="s">
        <v>644</v>
      </c>
      <c r="T70" s="798">
        <v>0</v>
      </c>
      <c r="U70" s="88">
        <v>43900</v>
      </c>
      <c r="V70" s="71">
        <v>140.31835325704787</v>
      </c>
      <c r="W70" s="449"/>
      <c r="X70" s="67">
        <v>50386</v>
      </c>
      <c r="Y70" s="163">
        <v>-6486</v>
      </c>
      <c r="Z70" s="166">
        <v>-0.1287262334775533</v>
      </c>
      <c r="AA70" s="61"/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724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 t="s">
        <v>723</v>
      </c>
      <c r="T71" s="798">
        <v>0</v>
      </c>
      <c r="U71" s="88">
        <v>0</v>
      </c>
      <c r="V71" s="71">
        <v>0</v>
      </c>
      <c r="W71" s="449"/>
      <c r="X71" s="67">
        <v>0</v>
      </c>
      <c r="Y71" s="163">
        <v>0</v>
      </c>
      <c r="Z71" s="166">
        <v>0</v>
      </c>
      <c r="AA71" s="61"/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75.569999999999993</v>
      </c>
      <c r="E72" s="67">
        <v>10462</v>
      </c>
      <c r="F72" s="146">
        <v>0</v>
      </c>
      <c r="G72" s="146">
        <v>0</v>
      </c>
      <c r="H72" s="91">
        <v>10462</v>
      </c>
      <c r="I72" s="67">
        <v>0</v>
      </c>
      <c r="J72" s="739">
        <v>10462</v>
      </c>
      <c r="K72" s="132" t="s">
        <v>621</v>
      </c>
      <c r="L72" s="740">
        <v>0</v>
      </c>
      <c r="M72" s="741">
        <v>75.569999999999993</v>
      </c>
      <c r="N72" s="67">
        <v>142</v>
      </c>
      <c r="O72" s="67">
        <v>10604</v>
      </c>
      <c r="Q72" s="674">
        <v>0</v>
      </c>
      <c r="R72" s="674">
        <v>0</v>
      </c>
      <c r="S72" s="798" t="s">
        <v>644</v>
      </c>
      <c r="T72" s="798">
        <v>0</v>
      </c>
      <c r="U72" s="88">
        <v>10604</v>
      </c>
      <c r="V72" s="71">
        <v>140.32023289665213</v>
      </c>
      <c r="W72" s="449"/>
      <c r="X72" s="67">
        <v>11188</v>
      </c>
      <c r="Y72" s="163">
        <v>-584</v>
      </c>
      <c r="Z72" s="166">
        <v>-5.2198784411869863E-2</v>
      </c>
      <c r="AA72" s="61"/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764</v>
      </c>
      <c r="E73" s="67">
        <v>105769</v>
      </c>
      <c r="F73" s="146">
        <v>0</v>
      </c>
      <c r="G73" s="146">
        <v>0</v>
      </c>
      <c r="H73" s="91">
        <v>105769</v>
      </c>
      <c r="I73" s="67">
        <v>0</v>
      </c>
      <c r="J73" s="739">
        <v>105769</v>
      </c>
      <c r="K73" s="132" t="s">
        <v>621</v>
      </c>
      <c r="L73" s="740">
        <v>0</v>
      </c>
      <c r="M73" s="741">
        <v>764</v>
      </c>
      <c r="N73" s="67">
        <v>1433</v>
      </c>
      <c r="O73" s="67">
        <v>107202</v>
      </c>
      <c r="Q73" s="674">
        <v>0</v>
      </c>
      <c r="R73" s="674">
        <v>0</v>
      </c>
      <c r="S73" s="798" t="s">
        <v>644</v>
      </c>
      <c r="T73" s="798">
        <v>0</v>
      </c>
      <c r="U73" s="88">
        <v>107202</v>
      </c>
      <c r="V73" s="71">
        <v>140.31675392670158</v>
      </c>
      <c r="W73" s="449"/>
      <c r="X73" s="67">
        <v>107443</v>
      </c>
      <c r="Y73" s="163">
        <v>-241</v>
      </c>
      <c r="Z73" s="166">
        <v>-2.2430498031514386E-3</v>
      </c>
      <c r="AA73" s="61"/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1045.1400000000001</v>
      </c>
      <c r="E74" s="67">
        <v>144690</v>
      </c>
      <c r="F74" s="146">
        <v>0</v>
      </c>
      <c r="G74" s="146">
        <v>0</v>
      </c>
      <c r="H74" s="91">
        <v>144690</v>
      </c>
      <c r="I74" s="67">
        <v>0</v>
      </c>
      <c r="J74" s="739">
        <v>144690</v>
      </c>
      <c r="K74" s="132" t="s">
        <v>621</v>
      </c>
      <c r="L74" s="740">
        <v>0</v>
      </c>
      <c r="M74" s="741">
        <v>1045.1400000000001</v>
      </c>
      <c r="N74" s="67">
        <v>1960</v>
      </c>
      <c r="O74" s="67">
        <v>146650</v>
      </c>
      <c r="Q74" s="674">
        <v>0</v>
      </c>
      <c r="R74" s="674">
        <v>0</v>
      </c>
      <c r="S74" s="798" t="s">
        <v>644</v>
      </c>
      <c r="T74" s="798">
        <v>0</v>
      </c>
      <c r="U74" s="88">
        <v>146650</v>
      </c>
      <c r="V74" s="71">
        <v>140.3161298964732</v>
      </c>
      <c r="W74" s="449"/>
      <c r="X74" s="67">
        <v>123256</v>
      </c>
      <c r="Y74" s="163">
        <v>23394</v>
      </c>
      <c r="Z74" s="166">
        <v>0.18980009086778737</v>
      </c>
      <c r="AA74" s="61"/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251.14</v>
      </c>
      <c r="E75" s="67">
        <v>34768</v>
      </c>
      <c r="F75" s="146">
        <v>0</v>
      </c>
      <c r="G75" s="146">
        <v>0</v>
      </c>
      <c r="H75" s="91">
        <v>34768</v>
      </c>
      <c r="I75" s="67">
        <v>0</v>
      </c>
      <c r="J75" s="739">
        <v>34768</v>
      </c>
      <c r="K75" s="132" t="s">
        <v>621</v>
      </c>
      <c r="L75" s="740">
        <v>0</v>
      </c>
      <c r="M75" s="741">
        <v>251.14</v>
      </c>
      <c r="N75" s="67">
        <v>471</v>
      </c>
      <c r="O75" s="67">
        <v>35239</v>
      </c>
      <c r="Q75" s="674">
        <v>0</v>
      </c>
      <c r="R75" s="674">
        <v>0</v>
      </c>
      <c r="S75" s="798" t="s">
        <v>644</v>
      </c>
      <c r="T75" s="798">
        <v>0</v>
      </c>
      <c r="U75" s="88">
        <v>35239</v>
      </c>
      <c r="V75" s="71">
        <v>140.3161583180696</v>
      </c>
      <c r="W75" s="449"/>
      <c r="X75" s="67">
        <v>34100</v>
      </c>
      <c r="Y75" s="163">
        <v>1139</v>
      </c>
      <c r="Z75" s="166">
        <v>3.3401759530791789E-2</v>
      </c>
      <c r="AA75" s="61"/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1.86</v>
      </c>
      <c r="E76" s="67">
        <v>258</v>
      </c>
      <c r="F76" s="146">
        <v>0</v>
      </c>
      <c r="G76" s="146">
        <v>0</v>
      </c>
      <c r="H76" s="91">
        <v>258</v>
      </c>
      <c r="I76" s="67">
        <v>0</v>
      </c>
      <c r="J76" s="739">
        <v>258</v>
      </c>
      <c r="K76" s="132" t="s">
        <v>724</v>
      </c>
      <c r="L76" s="740">
        <v>258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 t="s">
        <v>723</v>
      </c>
      <c r="T76" s="798">
        <v>0</v>
      </c>
      <c r="U76" s="88">
        <v>0</v>
      </c>
      <c r="V76" s="71">
        <v>0</v>
      </c>
      <c r="W76" s="449"/>
      <c r="X76" s="67">
        <v>0</v>
      </c>
      <c r="Y76" s="163">
        <v>0</v>
      </c>
      <c r="Z76" s="166">
        <v>0</v>
      </c>
      <c r="AA76" s="61"/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724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98" t="s">
        <v>723</v>
      </c>
      <c r="T77" s="798">
        <v>0</v>
      </c>
      <c r="U77" s="88">
        <v>0</v>
      </c>
      <c r="V77" s="71">
        <v>0</v>
      </c>
      <c r="W77" s="449"/>
      <c r="X77" s="67">
        <v>0</v>
      </c>
      <c r="Y77" s="163">
        <v>0</v>
      </c>
      <c r="Z77" s="166">
        <v>0</v>
      </c>
      <c r="AA77" s="61"/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405.25</v>
      </c>
      <c r="E78" s="67">
        <v>56103</v>
      </c>
      <c r="F78" s="146">
        <v>0</v>
      </c>
      <c r="G78" s="146">
        <v>0</v>
      </c>
      <c r="H78" s="91">
        <v>56103</v>
      </c>
      <c r="I78" s="67">
        <v>0</v>
      </c>
      <c r="J78" s="739">
        <v>56103</v>
      </c>
      <c r="K78" s="132" t="s">
        <v>621</v>
      </c>
      <c r="L78" s="740">
        <v>0</v>
      </c>
      <c r="M78" s="741">
        <v>405.25</v>
      </c>
      <c r="N78" s="67">
        <v>760</v>
      </c>
      <c r="O78" s="67">
        <v>56863</v>
      </c>
      <c r="Q78" s="674">
        <v>0</v>
      </c>
      <c r="R78" s="674">
        <v>6712.6112965660768</v>
      </c>
      <c r="S78" s="798" t="s">
        <v>621</v>
      </c>
      <c r="T78" s="798">
        <v>119.75</v>
      </c>
      <c r="U78" s="88">
        <v>63575.61129656608</v>
      </c>
      <c r="V78" s="71">
        <v>140.3158544108575</v>
      </c>
      <c r="W78" s="449"/>
      <c r="X78" s="67">
        <v>55701</v>
      </c>
      <c r="Y78" s="163">
        <v>1162</v>
      </c>
      <c r="Z78" s="166">
        <v>2.08613848943466E-2</v>
      </c>
      <c r="AA78" s="61"/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69</v>
      </c>
      <c r="E79" s="67">
        <v>9552</v>
      </c>
      <c r="F79" s="146">
        <v>0</v>
      </c>
      <c r="G79" s="146">
        <v>0</v>
      </c>
      <c r="H79" s="91">
        <v>9552</v>
      </c>
      <c r="I79" s="67">
        <v>0</v>
      </c>
      <c r="J79" s="739">
        <v>9552</v>
      </c>
      <c r="K79" s="132" t="s">
        <v>644</v>
      </c>
      <c r="L79" s="740">
        <v>9552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 t="s">
        <v>723</v>
      </c>
      <c r="T79" s="798">
        <v>0</v>
      </c>
      <c r="U79" s="88">
        <v>0</v>
      </c>
      <c r="V79" s="71">
        <v>0</v>
      </c>
      <c r="W79" s="449"/>
      <c r="X79" s="67">
        <v>7250</v>
      </c>
      <c r="Y79" s="163">
        <v>-7250</v>
      </c>
      <c r="Z79" s="166">
        <v>-1</v>
      </c>
      <c r="AA79" s="61"/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2.14</v>
      </c>
      <c r="E80" s="67">
        <v>296</v>
      </c>
      <c r="F80" s="146">
        <v>0</v>
      </c>
      <c r="G80" s="146">
        <v>0</v>
      </c>
      <c r="H80" s="91">
        <v>296</v>
      </c>
      <c r="I80" s="67">
        <v>0</v>
      </c>
      <c r="J80" s="739">
        <v>296</v>
      </c>
      <c r="K80" s="132" t="s">
        <v>724</v>
      </c>
      <c r="L80" s="740">
        <v>296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 t="s">
        <v>723</v>
      </c>
      <c r="T80" s="798">
        <v>0</v>
      </c>
      <c r="U80" s="88">
        <v>0</v>
      </c>
      <c r="V80" s="71">
        <v>0</v>
      </c>
      <c r="W80" s="449"/>
      <c r="X80" s="67">
        <v>0</v>
      </c>
      <c r="Y80" s="163">
        <v>0</v>
      </c>
      <c r="Z80" s="166">
        <v>0</v>
      </c>
      <c r="AA80" s="61"/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724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 t="s">
        <v>723</v>
      </c>
      <c r="T81" s="798">
        <v>0</v>
      </c>
      <c r="U81" s="88">
        <v>0</v>
      </c>
      <c r="V81" s="71">
        <v>0</v>
      </c>
      <c r="W81" s="449"/>
      <c r="X81" s="67">
        <v>0</v>
      </c>
      <c r="Y81" s="163">
        <v>0</v>
      </c>
      <c r="Z81" s="166">
        <v>0</v>
      </c>
      <c r="AA81" s="61"/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24</v>
      </c>
      <c r="E82" s="67">
        <v>3323</v>
      </c>
      <c r="F82" s="146">
        <v>0</v>
      </c>
      <c r="G82" s="146">
        <v>0</v>
      </c>
      <c r="H82" s="91">
        <v>3323</v>
      </c>
      <c r="I82" s="67">
        <v>0</v>
      </c>
      <c r="J82" s="739">
        <v>3323</v>
      </c>
      <c r="K82" s="132" t="s">
        <v>644</v>
      </c>
      <c r="L82" s="740">
        <v>3323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 t="s">
        <v>723</v>
      </c>
      <c r="T82" s="798">
        <v>0</v>
      </c>
      <c r="U82" s="88">
        <v>0</v>
      </c>
      <c r="V82" s="71">
        <v>0</v>
      </c>
      <c r="W82" s="449"/>
      <c r="X82" s="67">
        <v>2667</v>
      </c>
      <c r="Y82" s="163">
        <v>-2667</v>
      </c>
      <c r="Z82" s="166">
        <v>-1</v>
      </c>
      <c r="AA82" s="61"/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114</v>
      </c>
      <c r="E83" s="67">
        <v>15782</v>
      </c>
      <c r="F83" s="146">
        <v>0</v>
      </c>
      <c r="G83" s="146">
        <v>0</v>
      </c>
      <c r="H83" s="91">
        <v>15782</v>
      </c>
      <c r="I83" s="67">
        <v>0</v>
      </c>
      <c r="J83" s="739">
        <v>15782</v>
      </c>
      <c r="K83" s="132" t="s">
        <v>621</v>
      </c>
      <c r="L83" s="740">
        <v>0</v>
      </c>
      <c r="M83" s="741">
        <v>114</v>
      </c>
      <c r="N83" s="67">
        <v>214</v>
      </c>
      <c r="O83" s="67">
        <v>15996</v>
      </c>
      <c r="Q83" s="674">
        <v>0</v>
      </c>
      <c r="R83" s="674">
        <v>1352.3319209157128</v>
      </c>
      <c r="S83" s="798" t="s">
        <v>723</v>
      </c>
      <c r="T83" s="798">
        <v>24.125</v>
      </c>
      <c r="U83" s="88">
        <v>17348.331920915713</v>
      </c>
      <c r="V83" s="71">
        <v>140.31578947368422</v>
      </c>
      <c r="W83" s="449"/>
      <c r="X83" s="67">
        <v>15706</v>
      </c>
      <c r="Y83" s="163">
        <v>290</v>
      </c>
      <c r="Z83" s="166">
        <v>1.846428116643321E-2</v>
      </c>
      <c r="AA83" s="61"/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724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 t="s">
        <v>723</v>
      </c>
      <c r="T84" s="798">
        <v>0</v>
      </c>
      <c r="U84" s="88">
        <v>0</v>
      </c>
      <c r="V84" s="71">
        <v>0</v>
      </c>
      <c r="W84" s="449"/>
      <c r="X84" s="67">
        <v>0</v>
      </c>
      <c r="Y84" s="163">
        <v>0</v>
      </c>
      <c r="Z84" s="166">
        <v>0</v>
      </c>
      <c r="AA84" s="61"/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39.71</v>
      </c>
      <c r="E85" s="67">
        <v>5497</v>
      </c>
      <c r="F85" s="146">
        <v>0</v>
      </c>
      <c r="G85" s="146">
        <v>0</v>
      </c>
      <c r="H85" s="91">
        <v>5497</v>
      </c>
      <c r="I85" s="67">
        <v>0</v>
      </c>
      <c r="J85" s="739">
        <v>5497</v>
      </c>
      <c r="K85" s="132" t="s">
        <v>1306</v>
      </c>
      <c r="L85" s="740">
        <v>0</v>
      </c>
      <c r="M85" s="741">
        <v>39.71</v>
      </c>
      <c r="N85" s="67">
        <v>74</v>
      </c>
      <c r="O85" s="67">
        <v>5571</v>
      </c>
      <c r="Q85" s="674">
        <v>0</v>
      </c>
      <c r="R85" s="674">
        <v>1282.2629094693027</v>
      </c>
      <c r="S85" s="798" t="s">
        <v>621</v>
      </c>
      <c r="T85" s="798">
        <v>22.875</v>
      </c>
      <c r="U85" s="88">
        <v>6853.2629094693029</v>
      </c>
      <c r="V85" s="71">
        <v>140.29211785444471</v>
      </c>
      <c r="W85" s="449"/>
      <c r="X85" s="67">
        <v>11425</v>
      </c>
      <c r="Y85" s="163">
        <v>-5854</v>
      </c>
      <c r="Z85" s="166">
        <v>-0.51238512035010941</v>
      </c>
      <c r="AA85" s="61"/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2</v>
      </c>
      <c r="E86" s="67">
        <v>277</v>
      </c>
      <c r="F86" s="146">
        <v>0</v>
      </c>
      <c r="G86" s="146">
        <v>0</v>
      </c>
      <c r="H86" s="91">
        <v>277</v>
      </c>
      <c r="I86" s="67">
        <v>0</v>
      </c>
      <c r="J86" s="739">
        <v>277</v>
      </c>
      <c r="K86" s="132" t="s">
        <v>724</v>
      </c>
      <c r="L86" s="740">
        <v>277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 t="s">
        <v>723</v>
      </c>
      <c r="T86" s="798">
        <v>0</v>
      </c>
      <c r="U86" s="88">
        <v>0</v>
      </c>
      <c r="V86" s="71">
        <v>0</v>
      </c>
      <c r="W86" s="449"/>
      <c r="X86" s="67">
        <v>495</v>
      </c>
      <c r="Y86" s="163">
        <v>-495</v>
      </c>
      <c r="Z86" s="166">
        <v>-1</v>
      </c>
      <c r="AA86" s="61"/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724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 t="s">
        <v>723</v>
      </c>
      <c r="T87" s="798">
        <v>0</v>
      </c>
      <c r="U87" s="88">
        <v>0</v>
      </c>
      <c r="V87" s="71">
        <v>0</v>
      </c>
      <c r="W87" s="449"/>
      <c r="X87" s="67">
        <v>0</v>
      </c>
      <c r="Y87" s="163">
        <v>0</v>
      </c>
      <c r="Z87" s="166">
        <v>0</v>
      </c>
      <c r="AA87" s="61"/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724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 t="s">
        <v>723</v>
      </c>
      <c r="T88" s="798">
        <v>0</v>
      </c>
      <c r="U88" s="88">
        <v>0</v>
      </c>
      <c r="V88" s="71">
        <v>0</v>
      </c>
      <c r="W88" s="449"/>
      <c r="X88" s="67">
        <v>0</v>
      </c>
      <c r="Y88" s="163">
        <v>0</v>
      </c>
      <c r="Z88" s="166">
        <v>0</v>
      </c>
      <c r="AA88" s="61"/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50.43</v>
      </c>
      <c r="E89" s="67">
        <v>6982</v>
      </c>
      <c r="F89" s="146">
        <v>0</v>
      </c>
      <c r="G89" s="146">
        <v>0</v>
      </c>
      <c r="H89" s="91">
        <v>6982</v>
      </c>
      <c r="I89" s="67">
        <v>0</v>
      </c>
      <c r="J89" s="739">
        <v>6982</v>
      </c>
      <c r="K89" s="132" t="s">
        <v>1306</v>
      </c>
      <c r="L89" s="740">
        <v>0</v>
      </c>
      <c r="M89" s="741">
        <v>50.43</v>
      </c>
      <c r="N89" s="67">
        <v>95</v>
      </c>
      <c r="O89" s="67">
        <v>7077</v>
      </c>
      <c r="Q89" s="674">
        <v>0</v>
      </c>
      <c r="R89" s="674">
        <v>882.86954422476583</v>
      </c>
      <c r="S89" s="798" t="s">
        <v>723</v>
      </c>
      <c r="T89" s="798">
        <v>15.75</v>
      </c>
      <c r="U89" s="88">
        <v>7959.8695442247663</v>
      </c>
      <c r="V89" s="71">
        <v>140.33313503866745</v>
      </c>
      <c r="W89" s="449"/>
      <c r="X89" s="67">
        <v>8519</v>
      </c>
      <c r="Y89" s="163">
        <v>-1442</v>
      </c>
      <c r="Z89" s="166">
        <v>-0.16926869350862778</v>
      </c>
      <c r="AA89" s="61"/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724</v>
      </c>
      <c r="L90" s="740">
        <v>0</v>
      </c>
      <c r="M90" s="741">
        <v>0</v>
      </c>
      <c r="N90" s="67">
        <v>0</v>
      </c>
      <c r="O90" s="67">
        <v>0</v>
      </c>
      <c r="P90" s="674">
        <v>0.89</v>
      </c>
      <c r="Q90" s="674">
        <v>0</v>
      </c>
      <c r="R90" s="674">
        <v>0</v>
      </c>
      <c r="S90" s="798" t="s">
        <v>723</v>
      </c>
      <c r="T90" s="798">
        <v>0</v>
      </c>
      <c r="U90" s="88">
        <v>0</v>
      </c>
      <c r="V90" s="71">
        <v>0</v>
      </c>
      <c r="W90" s="449"/>
      <c r="X90" s="67">
        <v>0</v>
      </c>
      <c r="Y90" s="163">
        <v>0</v>
      </c>
      <c r="Z90" s="166">
        <v>0</v>
      </c>
      <c r="AA90" s="61"/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200.80500000000001</v>
      </c>
      <c r="E91" s="67">
        <v>27800</v>
      </c>
      <c r="F91" s="146">
        <v>0</v>
      </c>
      <c r="G91" s="146">
        <v>0</v>
      </c>
      <c r="H91" s="91">
        <v>27800</v>
      </c>
      <c r="I91" s="67">
        <v>0</v>
      </c>
      <c r="J91" s="739">
        <v>27800</v>
      </c>
      <c r="K91" s="132" t="s">
        <v>621</v>
      </c>
      <c r="L91" s="740">
        <v>0</v>
      </c>
      <c r="M91" s="741">
        <v>200.80500000000001</v>
      </c>
      <c r="N91" s="67">
        <v>377</v>
      </c>
      <c r="O91" s="67">
        <v>28177</v>
      </c>
      <c r="Q91" s="674">
        <v>0</v>
      </c>
      <c r="R91" s="674">
        <v>0</v>
      </c>
      <c r="S91" s="798" t="s">
        <v>644</v>
      </c>
      <c r="T91" s="798">
        <v>0</v>
      </c>
      <c r="U91" s="88">
        <v>28177</v>
      </c>
      <c r="V91" s="71">
        <v>140.32021115012077</v>
      </c>
      <c r="W91" s="449"/>
      <c r="X91" s="67">
        <v>31454</v>
      </c>
      <c r="Y91" s="163">
        <v>-3277</v>
      </c>
      <c r="Z91" s="166">
        <v>-0.10418388758186559</v>
      </c>
      <c r="AA91" s="61"/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23.71</v>
      </c>
      <c r="E92" s="67">
        <v>3282</v>
      </c>
      <c r="F92" s="146">
        <v>0</v>
      </c>
      <c r="G92" s="146">
        <v>0</v>
      </c>
      <c r="H92" s="91">
        <v>3282</v>
      </c>
      <c r="I92" s="67">
        <v>0</v>
      </c>
      <c r="J92" s="739">
        <v>3282</v>
      </c>
      <c r="K92" s="132" t="s">
        <v>724</v>
      </c>
      <c r="L92" s="740">
        <v>3282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 t="s">
        <v>723</v>
      </c>
      <c r="T92" s="798">
        <v>0</v>
      </c>
      <c r="U92" s="88">
        <v>0</v>
      </c>
      <c r="V92" s="71">
        <v>0</v>
      </c>
      <c r="W92" s="449"/>
      <c r="X92" s="67">
        <v>3614</v>
      </c>
      <c r="Y92" s="163">
        <v>-3614</v>
      </c>
      <c r="Z92" s="166">
        <v>-1</v>
      </c>
      <c r="AA92" s="61"/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5</v>
      </c>
      <c r="E93" s="67">
        <v>692</v>
      </c>
      <c r="F93" s="146">
        <v>0</v>
      </c>
      <c r="G93" s="146">
        <v>0</v>
      </c>
      <c r="H93" s="91">
        <v>692</v>
      </c>
      <c r="I93" s="67">
        <v>0</v>
      </c>
      <c r="J93" s="739">
        <v>692</v>
      </c>
      <c r="K93" s="132" t="s">
        <v>644</v>
      </c>
      <c r="L93" s="740">
        <v>692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 t="s">
        <v>723</v>
      </c>
      <c r="T93" s="798">
        <v>0</v>
      </c>
      <c r="U93" s="88">
        <v>0</v>
      </c>
      <c r="V93" s="71">
        <v>0</v>
      </c>
      <c r="W93" s="449"/>
      <c r="X93" s="67">
        <v>1205</v>
      </c>
      <c r="Y93" s="163">
        <v>-1205</v>
      </c>
      <c r="Z93" s="166">
        <v>-1</v>
      </c>
      <c r="AA93" s="61"/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724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 t="s">
        <v>723</v>
      </c>
      <c r="T94" s="798">
        <v>0</v>
      </c>
      <c r="U94" s="88">
        <v>0</v>
      </c>
      <c r="V94" s="71">
        <v>0</v>
      </c>
      <c r="W94" s="449"/>
      <c r="X94" s="67">
        <v>0</v>
      </c>
      <c r="Y94" s="163">
        <v>0</v>
      </c>
      <c r="Z94" s="166">
        <v>0</v>
      </c>
      <c r="AA94" s="61"/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724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 t="s">
        <v>723</v>
      </c>
      <c r="T95" s="798">
        <v>0</v>
      </c>
      <c r="U95" s="88">
        <v>0</v>
      </c>
      <c r="V95" s="71">
        <v>0</v>
      </c>
      <c r="W95" s="449"/>
      <c r="X95" s="67">
        <v>0</v>
      </c>
      <c r="Y95" s="163">
        <v>0</v>
      </c>
      <c r="Z95" s="166">
        <v>0</v>
      </c>
      <c r="AA95" s="61"/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724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 t="s">
        <v>723</v>
      </c>
      <c r="T96" s="798">
        <v>0</v>
      </c>
      <c r="U96" s="88">
        <v>0</v>
      </c>
      <c r="V96" s="71">
        <v>0</v>
      </c>
      <c r="W96" s="449"/>
      <c r="X96" s="67">
        <v>0</v>
      </c>
      <c r="Y96" s="163">
        <v>0</v>
      </c>
      <c r="Z96" s="166">
        <v>0</v>
      </c>
      <c r="AA96" s="61"/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12.71</v>
      </c>
      <c r="E97" s="67">
        <v>1760</v>
      </c>
      <c r="F97" s="146">
        <v>0</v>
      </c>
      <c r="G97" s="146">
        <v>0</v>
      </c>
      <c r="H97" s="91">
        <v>1760</v>
      </c>
      <c r="I97" s="67">
        <v>0</v>
      </c>
      <c r="J97" s="739">
        <v>1760</v>
      </c>
      <c r="K97" s="132" t="s">
        <v>724</v>
      </c>
      <c r="L97" s="740">
        <v>1760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 t="s">
        <v>723</v>
      </c>
      <c r="T97" s="798">
        <v>0</v>
      </c>
      <c r="U97" s="88">
        <v>0</v>
      </c>
      <c r="V97" s="71">
        <v>0</v>
      </c>
      <c r="W97" s="449"/>
      <c r="X97" s="67">
        <v>1807</v>
      </c>
      <c r="Y97" s="163">
        <v>-1807</v>
      </c>
      <c r="Z97" s="166">
        <v>-1</v>
      </c>
      <c r="AA97" s="61"/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20</v>
      </c>
      <c r="E98" s="67">
        <v>2769</v>
      </c>
      <c r="F98" s="146">
        <v>0</v>
      </c>
      <c r="G98" s="146">
        <v>0</v>
      </c>
      <c r="H98" s="91">
        <v>2769</v>
      </c>
      <c r="I98" s="67">
        <v>0</v>
      </c>
      <c r="J98" s="739">
        <v>2769</v>
      </c>
      <c r="K98" s="132" t="s">
        <v>1306</v>
      </c>
      <c r="L98" s="740">
        <v>0</v>
      </c>
      <c r="M98" s="741">
        <v>20</v>
      </c>
      <c r="N98" s="67">
        <v>38</v>
      </c>
      <c r="O98" s="67">
        <v>2807</v>
      </c>
      <c r="Q98" s="674">
        <v>0</v>
      </c>
      <c r="R98" s="674">
        <v>350.34505723204995</v>
      </c>
      <c r="S98" s="798" t="s">
        <v>723</v>
      </c>
      <c r="T98" s="798">
        <v>6.25</v>
      </c>
      <c r="U98" s="88">
        <v>3157.3450572320498</v>
      </c>
      <c r="V98" s="71">
        <v>140.35</v>
      </c>
      <c r="W98" s="449"/>
      <c r="X98" s="67">
        <v>1613</v>
      </c>
      <c r="Y98" s="163">
        <v>1194</v>
      </c>
      <c r="Z98" s="166">
        <v>0.74023558586484806</v>
      </c>
      <c r="AA98" s="61"/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6416.93</v>
      </c>
      <c r="E99" s="67">
        <v>888367</v>
      </c>
      <c r="F99" s="146">
        <v>0</v>
      </c>
      <c r="G99" s="146">
        <v>0</v>
      </c>
      <c r="H99" s="91">
        <v>888366</v>
      </c>
      <c r="I99" s="67">
        <v>0</v>
      </c>
      <c r="J99" s="739">
        <v>888366</v>
      </c>
      <c r="K99" s="132" t="s">
        <v>621</v>
      </c>
      <c r="L99" s="740">
        <v>0</v>
      </c>
      <c r="M99" s="741">
        <v>6416.93</v>
      </c>
      <c r="N99" s="67">
        <v>12035</v>
      </c>
      <c r="O99" s="67">
        <v>900400</v>
      </c>
      <c r="Q99" s="674">
        <v>0</v>
      </c>
      <c r="R99" s="674">
        <v>0</v>
      </c>
      <c r="S99" s="798" t="s">
        <v>644</v>
      </c>
      <c r="T99" s="798">
        <v>0</v>
      </c>
      <c r="U99" s="88">
        <v>900400</v>
      </c>
      <c r="V99" s="71">
        <v>140.31631948610939</v>
      </c>
      <c r="W99" s="449"/>
      <c r="X99" s="67">
        <v>893984</v>
      </c>
      <c r="Y99" s="163">
        <v>6416</v>
      </c>
      <c r="Z99" s="166">
        <v>7.1768622257221606E-3</v>
      </c>
      <c r="AA99" s="61"/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3883.415</v>
      </c>
      <c r="E100" s="67">
        <v>537624</v>
      </c>
      <c r="F100" s="146">
        <v>0</v>
      </c>
      <c r="G100" s="146">
        <v>0</v>
      </c>
      <c r="H100" s="91">
        <v>537624</v>
      </c>
      <c r="I100" s="67">
        <v>0</v>
      </c>
      <c r="J100" s="739">
        <v>537624</v>
      </c>
      <c r="K100" s="132" t="s">
        <v>621</v>
      </c>
      <c r="L100" s="740">
        <v>0</v>
      </c>
      <c r="M100" s="741">
        <v>3883.415</v>
      </c>
      <c r="N100" s="67">
        <v>7283</v>
      </c>
      <c r="O100" s="67">
        <v>544907</v>
      </c>
      <c r="Q100" s="674">
        <v>0</v>
      </c>
      <c r="R100" s="674">
        <v>58871.983417273674</v>
      </c>
      <c r="S100" s="798" t="s">
        <v>621</v>
      </c>
      <c r="T100" s="798">
        <v>1050.25</v>
      </c>
      <c r="U100" s="88">
        <v>603778.98341727373</v>
      </c>
      <c r="V100" s="71">
        <v>140.31644828070139</v>
      </c>
      <c r="W100" s="449"/>
      <c r="X100" s="67">
        <v>510534</v>
      </c>
      <c r="Y100" s="163">
        <v>34373</v>
      </c>
      <c r="Z100" s="166">
        <v>6.7327543317389243E-2</v>
      </c>
      <c r="AA100" s="61"/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221.43</v>
      </c>
      <c r="E101" s="67">
        <v>30655</v>
      </c>
      <c r="F101" s="146">
        <v>0</v>
      </c>
      <c r="G101" s="146">
        <v>0</v>
      </c>
      <c r="H101" s="91">
        <v>30655</v>
      </c>
      <c r="I101" s="67">
        <v>0</v>
      </c>
      <c r="J101" s="739">
        <v>30655</v>
      </c>
      <c r="K101" s="132" t="s">
        <v>621</v>
      </c>
      <c r="L101" s="740">
        <v>0</v>
      </c>
      <c r="M101" s="741">
        <v>221.43</v>
      </c>
      <c r="N101" s="67">
        <v>415</v>
      </c>
      <c r="O101" s="67">
        <v>31070</v>
      </c>
      <c r="Q101" s="674">
        <v>0</v>
      </c>
      <c r="R101" s="674">
        <v>3615.5609906347554</v>
      </c>
      <c r="S101" s="798" t="s">
        <v>621</v>
      </c>
      <c r="T101" s="798">
        <v>64.5</v>
      </c>
      <c r="U101" s="88">
        <v>34685.560990634753</v>
      </c>
      <c r="V101" s="71">
        <v>140.31522377274985</v>
      </c>
      <c r="W101" s="449"/>
      <c r="X101" s="67">
        <v>30787</v>
      </c>
      <c r="Y101" s="163">
        <v>283</v>
      </c>
      <c r="Z101" s="166">
        <v>9.1921915094033187E-3</v>
      </c>
      <c r="AA101" s="61"/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114</v>
      </c>
      <c r="E102" s="67">
        <v>15782</v>
      </c>
      <c r="F102" s="146">
        <v>0</v>
      </c>
      <c r="G102" s="146">
        <v>0</v>
      </c>
      <c r="H102" s="91">
        <v>15782</v>
      </c>
      <c r="I102" s="67">
        <v>0</v>
      </c>
      <c r="J102" s="739">
        <v>15782</v>
      </c>
      <c r="K102" s="132" t="s">
        <v>621</v>
      </c>
      <c r="L102" s="740">
        <v>0</v>
      </c>
      <c r="M102" s="741">
        <v>114</v>
      </c>
      <c r="N102" s="67">
        <v>214</v>
      </c>
      <c r="O102" s="67">
        <v>15996</v>
      </c>
      <c r="Q102" s="674">
        <v>0</v>
      </c>
      <c r="R102" s="674">
        <v>0</v>
      </c>
      <c r="S102" s="798" t="s">
        <v>644</v>
      </c>
      <c r="T102" s="798">
        <v>0</v>
      </c>
      <c r="U102" s="88">
        <v>15996</v>
      </c>
      <c r="V102" s="71">
        <v>140.31578947368422</v>
      </c>
      <c r="W102" s="449"/>
      <c r="X102" s="67">
        <v>12543</v>
      </c>
      <c r="Y102" s="163">
        <v>3453</v>
      </c>
      <c r="Z102" s="166">
        <v>0.27529299210715141</v>
      </c>
      <c r="AA102" s="61"/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5154.7349999999997</v>
      </c>
      <c r="E103" s="67">
        <v>713627</v>
      </c>
      <c r="F103" s="146">
        <v>0</v>
      </c>
      <c r="G103" s="146">
        <v>0</v>
      </c>
      <c r="H103" s="91">
        <v>713627</v>
      </c>
      <c r="I103" s="67">
        <v>0</v>
      </c>
      <c r="J103" s="739">
        <v>713627</v>
      </c>
      <c r="K103" s="132" t="s">
        <v>621</v>
      </c>
      <c r="L103" s="740">
        <v>0</v>
      </c>
      <c r="M103" s="741">
        <v>5154.7349999999997</v>
      </c>
      <c r="N103" s="67">
        <v>9667</v>
      </c>
      <c r="O103" s="67">
        <v>723294</v>
      </c>
      <c r="Q103" s="674">
        <v>0</v>
      </c>
      <c r="R103" s="674">
        <v>87929.602464099895</v>
      </c>
      <c r="S103" s="798" t="s">
        <v>621</v>
      </c>
      <c r="T103" s="798">
        <v>1568.625</v>
      </c>
      <c r="U103" s="88">
        <v>811223.60246409988</v>
      </c>
      <c r="V103" s="71">
        <v>140.31642751761245</v>
      </c>
      <c r="W103" s="449"/>
      <c r="X103" s="67">
        <v>663845</v>
      </c>
      <c r="Y103" s="163">
        <v>59449</v>
      </c>
      <c r="Z103" s="166">
        <v>8.9552531087829235E-2</v>
      </c>
      <c r="AA103" s="61"/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49.43</v>
      </c>
      <c r="E104" s="67">
        <v>6843</v>
      </c>
      <c r="F104" s="146">
        <v>0</v>
      </c>
      <c r="G104" s="146">
        <v>0</v>
      </c>
      <c r="H104" s="91">
        <v>6843</v>
      </c>
      <c r="I104" s="67">
        <v>0</v>
      </c>
      <c r="J104" s="739">
        <v>6843</v>
      </c>
      <c r="K104" s="132" t="s">
        <v>644</v>
      </c>
      <c r="L104" s="740">
        <v>6843</v>
      </c>
      <c r="M104" s="741">
        <v>0</v>
      </c>
      <c r="N104" s="67">
        <v>0</v>
      </c>
      <c r="O104" s="67">
        <v>0</v>
      </c>
      <c r="Q104" s="674">
        <v>0</v>
      </c>
      <c r="R104" s="674">
        <v>0</v>
      </c>
      <c r="S104" s="798" t="s">
        <v>723</v>
      </c>
      <c r="T104" s="798">
        <v>0</v>
      </c>
      <c r="U104" s="88">
        <v>0</v>
      </c>
      <c r="V104" s="71">
        <v>0</v>
      </c>
      <c r="W104" s="449"/>
      <c r="X104" s="67">
        <v>5938</v>
      </c>
      <c r="Y104" s="163">
        <v>-5938</v>
      </c>
      <c r="Z104" s="166">
        <v>-1</v>
      </c>
      <c r="AA104" s="61"/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2619.96</v>
      </c>
      <c r="E105" s="67">
        <v>362710</v>
      </c>
      <c r="F105" s="146">
        <v>0</v>
      </c>
      <c r="G105" s="146">
        <v>0</v>
      </c>
      <c r="H105" s="91">
        <v>362710</v>
      </c>
      <c r="I105" s="67">
        <v>0</v>
      </c>
      <c r="J105" s="739">
        <v>362710</v>
      </c>
      <c r="K105" s="132" t="s">
        <v>621</v>
      </c>
      <c r="L105" s="740">
        <v>0</v>
      </c>
      <c r="M105" s="741">
        <v>2619.96</v>
      </c>
      <c r="N105" s="67">
        <v>4914</v>
      </c>
      <c r="O105" s="67">
        <v>367624</v>
      </c>
      <c r="Q105" s="674">
        <v>0</v>
      </c>
      <c r="R105" s="674">
        <v>30164.7094276795</v>
      </c>
      <c r="S105" s="798" t="s">
        <v>621</v>
      </c>
      <c r="T105" s="798">
        <v>538.125</v>
      </c>
      <c r="U105" s="88">
        <v>397788.70942767948</v>
      </c>
      <c r="V105" s="71">
        <v>140.31664605566496</v>
      </c>
      <c r="W105" s="449"/>
      <c r="X105" s="67">
        <v>371294</v>
      </c>
      <c r="Y105" s="163">
        <v>-3670</v>
      </c>
      <c r="Z105" s="166">
        <v>-9.8843504069551346E-3</v>
      </c>
      <c r="AA105" s="61"/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724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 t="s">
        <v>723</v>
      </c>
      <c r="T106" s="798">
        <v>0</v>
      </c>
      <c r="U106" s="88">
        <v>0</v>
      </c>
      <c r="V106" s="71">
        <v>0</v>
      </c>
      <c r="W106" s="449"/>
      <c r="X106" s="67">
        <v>0</v>
      </c>
      <c r="Y106" s="163">
        <v>0</v>
      </c>
      <c r="Z106" s="166">
        <v>0</v>
      </c>
      <c r="AA106" s="61"/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2413.29</v>
      </c>
      <c r="E107" s="67">
        <v>334099</v>
      </c>
      <c r="F107" s="146">
        <v>0</v>
      </c>
      <c r="G107" s="146">
        <v>0</v>
      </c>
      <c r="H107" s="91">
        <v>334099</v>
      </c>
      <c r="I107" s="67">
        <v>0</v>
      </c>
      <c r="J107" s="739">
        <v>334099</v>
      </c>
      <c r="K107" s="132" t="s">
        <v>621</v>
      </c>
      <c r="L107" s="740">
        <v>0</v>
      </c>
      <c r="M107" s="741">
        <v>2413.29</v>
      </c>
      <c r="N107" s="67">
        <v>4526</v>
      </c>
      <c r="O107" s="67">
        <v>338625</v>
      </c>
      <c r="Q107" s="674">
        <v>0</v>
      </c>
      <c r="R107" s="674">
        <v>33633.125494276792</v>
      </c>
      <c r="S107" s="798" t="s">
        <v>621</v>
      </c>
      <c r="T107" s="798">
        <v>600</v>
      </c>
      <c r="U107" s="88">
        <v>372258.12549427681</v>
      </c>
      <c r="V107" s="71">
        <v>140.31674601892024</v>
      </c>
      <c r="W107" s="449"/>
      <c r="X107" s="67">
        <v>288851</v>
      </c>
      <c r="Y107" s="163">
        <v>49774</v>
      </c>
      <c r="Z107" s="166">
        <v>0.17231721545018019</v>
      </c>
      <c r="AA107" s="61"/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1101.29</v>
      </c>
      <c r="E108" s="67">
        <v>152464</v>
      </c>
      <c r="F108" s="146">
        <v>0</v>
      </c>
      <c r="G108" s="146">
        <v>0</v>
      </c>
      <c r="H108" s="91">
        <v>152464</v>
      </c>
      <c r="I108" s="67">
        <v>0</v>
      </c>
      <c r="J108" s="739">
        <v>152464</v>
      </c>
      <c r="K108" s="132" t="s">
        <v>621</v>
      </c>
      <c r="L108" s="740">
        <v>0</v>
      </c>
      <c r="M108" s="741">
        <v>1101.29</v>
      </c>
      <c r="N108" s="67">
        <v>2065</v>
      </c>
      <c r="O108" s="67">
        <v>154529</v>
      </c>
      <c r="Q108" s="674">
        <v>0</v>
      </c>
      <c r="R108" s="674">
        <v>0</v>
      </c>
      <c r="S108" s="798" t="s">
        <v>644</v>
      </c>
      <c r="T108" s="798">
        <v>0</v>
      </c>
      <c r="U108" s="88">
        <v>154529</v>
      </c>
      <c r="V108" s="71">
        <v>140.31635627309791</v>
      </c>
      <c r="W108" s="449"/>
      <c r="X108" s="67">
        <v>172695</v>
      </c>
      <c r="Y108" s="163">
        <v>-18166</v>
      </c>
      <c r="Z108" s="166">
        <v>-0.10519123309881583</v>
      </c>
      <c r="AA108" s="61"/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125.57</v>
      </c>
      <c r="E109" s="67">
        <v>17384</v>
      </c>
      <c r="F109" s="146">
        <v>0</v>
      </c>
      <c r="G109" s="146">
        <v>0</v>
      </c>
      <c r="H109" s="91">
        <v>17384</v>
      </c>
      <c r="I109" s="67">
        <v>0</v>
      </c>
      <c r="J109" s="739">
        <v>17384</v>
      </c>
      <c r="K109" s="132" t="s">
        <v>621</v>
      </c>
      <c r="L109" s="740">
        <v>0</v>
      </c>
      <c r="M109" s="741">
        <v>125.57</v>
      </c>
      <c r="N109" s="67">
        <v>235</v>
      </c>
      <c r="O109" s="67">
        <v>17619</v>
      </c>
      <c r="Q109" s="674">
        <v>0</v>
      </c>
      <c r="R109" s="674">
        <v>0</v>
      </c>
      <c r="S109" s="798" t="s">
        <v>644</v>
      </c>
      <c r="T109" s="798">
        <v>0</v>
      </c>
      <c r="U109" s="88">
        <v>17619</v>
      </c>
      <c r="V109" s="71">
        <v>140.31217647527276</v>
      </c>
      <c r="W109" s="449"/>
      <c r="X109" s="67">
        <v>13296</v>
      </c>
      <c r="Y109" s="163">
        <v>4323</v>
      </c>
      <c r="Z109" s="166">
        <v>0.32513537906137185</v>
      </c>
      <c r="AA109" s="61"/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2585.2350000000001</v>
      </c>
      <c r="E110" s="67">
        <v>357903</v>
      </c>
      <c r="F110" s="146">
        <v>0</v>
      </c>
      <c r="G110" s="146">
        <v>0</v>
      </c>
      <c r="H110" s="91">
        <v>357903</v>
      </c>
      <c r="I110" s="67">
        <v>0</v>
      </c>
      <c r="J110" s="739">
        <v>357903</v>
      </c>
      <c r="K110" s="132" t="s">
        <v>1306</v>
      </c>
      <c r="L110" s="740">
        <v>0</v>
      </c>
      <c r="M110" s="741">
        <v>2585.2350000000001</v>
      </c>
      <c r="N110" s="67">
        <v>4848</v>
      </c>
      <c r="O110" s="67">
        <v>362751</v>
      </c>
      <c r="Q110" s="674">
        <v>0</v>
      </c>
      <c r="R110" s="674">
        <v>41859.227438085327</v>
      </c>
      <c r="S110" s="798" t="s">
        <v>621</v>
      </c>
      <c r="T110" s="798">
        <v>746.75</v>
      </c>
      <c r="U110" s="88">
        <v>404610.22743808531</v>
      </c>
      <c r="V110" s="71">
        <v>140.31645092225656</v>
      </c>
      <c r="W110" s="449"/>
      <c r="X110" s="67">
        <v>326371</v>
      </c>
      <c r="Y110" s="163">
        <v>36380</v>
      </c>
      <c r="Z110" s="166">
        <v>0.11146823706763162</v>
      </c>
      <c r="AA110" s="61"/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167.43</v>
      </c>
      <c r="E111" s="67">
        <v>23179</v>
      </c>
      <c r="F111" s="146">
        <v>0</v>
      </c>
      <c r="G111" s="146">
        <v>0</v>
      </c>
      <c r="H111" s="91">
        <v>23179</v>
      </c>
      <c r="I111" s="67">
        <v>0</v>
      </c>
      <c r="J111" s="739">
        <v>23179</v>
      </c>
      <c r="K111" s="132" t="s">
        <v>621</v>
      </c>
      <c r="L111" s="740">
        <v>0</v>
      </c>
      <c r="M111" s="741">
        <v>167.43</v>
      </c>
      <c r="N111" s="67">
        <v>314</v>
      </c>
      <c r="O111" s="67">
        <v>23493</v>
      </c>
      <c r="Q111" s="674">
        <v>0</v>
      </c>
      <c r="R111" s="674">
        <v>1604.5803621227888</v>
      </c>
      <c r="S111" s="798" t="s">
        <v>621</v>
      </c>
      <c r="T111" s="798">
        <v>28.625</v>
      </c>
      <c r="U111" s="88">
        <v>25097.58036212279</v>
      </c>
      <c r="V111" s="71">
        <v>140.31535567102668</v>
      </c>
      <c r="W111" s="449"/>
      <c r="X111" s="67">
        <v>20438</v>
      </c>
      <c r="Y111" s="163">
        <v>3055</v>
      </c>
      <c r="Z111" s="166">
        <v>0.14947646540757412</v>
      </c>
      <c r="AA111" s="61"/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171.29</v>
      </c>
      <c r="E112" s="67">
        <v>23714</v>
      </c>
      <c r="F112" s="146">
        <v>0</v>
      </c>
      <c r="G112" s="146">
        <v>0</v>
      </c>
      <c r="H112" s="91">
        <v>23714</v>
      </c>
      <c r="I112" s="67">
        <v>0</v>
      </c>
      <c r="J112" s="739">
        <v>23714</v>
      </c>
      <c r="K112" s="132" t="s">
        <v>621</v>
      </c>
      <c r="L112" s="740">
        <v>0</v>
      </c>
      <c r="M112" s="741">
        <v>171.29</v>
      </c>
      <c r="N112" s="67">
        <v>321</v>
      </c>
      <c r="O112" s="67">
        <v>24035</v>
      </c>
      <c r="Q112" s="674">
        <v>0</v>
      </c>
      <c r="R112" s="674">
        <v>0</v>
      </c>
      <c r="S112" s="798" t="s">
        <v>644</v>
      </c>
      <c r="T112" s="798">
        <v>0</v>
      </c>
      <c r="U112" s="88">
        <v>24035</v>
      </c>
      <c r="V112" s="71">
        <v>140.31759005195866</v>
      </c>
      <c r="W112" s="449"/>
      <c r="X112" s="67">
        <v>19448</v>
      </c>
      <c r="Y112" s="163">
        <v>4587</v>
      </c>
      <c r="Z112" s="166">
        <v>0.23585972850678733</v>
      </c>
      <c r="AA112" s="61"/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1114.6949999999999</v>
      </c>
      <c r="E113" s="67">
        <v>154320</v>
      </c>
      <c r="F113" s="146">
        <v>0</v>
      </c>
      <c r="G113" s="146">
        <v>0</v>
      </c>
      <c r="H113" s="91">
        <v>154320</v>
      </c>
      <c r="I113" s="67">
        <v>0</v>
      </c>
      <c r="J113" s="739">
        <v>154320</v>
      </c>
      <c r="K113" s="132" t="s">
        <v>621</v>
      </c>
      <c r="L113" s="740">
        <v>0</v>
      </c>
      <c r="M113" s="741">
        <v>1114.6949999999999</v>
      </c>
      <c r="N113" s="67">
        <v>2091</v>
      </c>
      <c r="O113" s="67">
        <v>156411</v>
      </c>
      <c r="Q113" s="674">
        <v>0</v>
      </c>
      <c r="R113" s="674">
        <v>0</v>
      </c>
      <c r="S113" s="798" t="s">
        <v>644</v>
      </c>
      <c r="T113" s="798">
        <v>0</v>
      </c>
      <c r="U113" s="88">
        <v>156411</v>
      </c>
      <c r="V113" s="71">
        <v>140.31730652779461</v>
      </c>
      <c r="W113" s="449"/>
      <c r="X113" s="67">
        <v>129259</v>
      </c>
      <c r="Y113" s="163">
        <v>27152</v>
      </c>
      <c r="Z113" s="166">
        <v>0.21005887404358692</v>
      </c>
      <c r="AA113" s="61"/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611.92999999999995</v>
      </c>
      <c r="E114" s="67">
        <v>84716</v>
      </c>
      <c r="F114" s="146">
        <v>0</v>
      </c>
      <c r="G114" s="146">
        <v>0</v>
      </c>
      <c r="H114" s="91">
        <v>84716</v>
      </c>
      <c r="I114" s="67">
        <v>0</v>
      </c>
      <c r="J114" s="739">
        <v>84716</v>
      </c>
      <c r="K114" s="132" t="s">
        <v>621</v>
      </c>
      <c r="L114" s="740">
        <v>0</v>
      </c>
      <c r="M114" s="741">
        <v>611.92999999999995</v>
      </c>
      <c r="N114" s="67">
        <v>1148</v>
      </c>
      <c r="O114" s="67">
        <v>85864</v>
      </c>
      <c r="Q114" s="674">
        <v>0</v>
      </c>
      <c r="R114" s="674">
        <v>9963.8134276795008</v>
      </c>
      <c r="S114" s="798" t="s">
        <v>621</v>
      </c>
      <c r="T114" s="798">
        <v>177.75</v>
      </c>
      <c r="U114" s="88">
        <v>95827.813427679503</v>
      </c>
      <c r="V114" s="71">
        <v>140.31670289085355</v>
      </c>
      <c r="W114" s="449"/>
      <c r="X114" s="67">
        <v>85347</v>
      </c>
      <c r="Y114" s="163">
        <v>517</v>
      </c>
      <c r="Z114" s="166">
        <v>6.0576235837229197E-3</v>
      </c>
      <c r="AA114" s="61"/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2471.04</v>
      </c>
      <c r="E115" s="67">
        <v>342093</v>
      </c>
      <c r="F115" s="146">
        <v>0</v>
      </c>
      <c r="G115" s="146">
        <v>0</v>
      </c>
      <c r="H115" s="91">
        <v>342093</v>
      </c>
      <c r="I115" s="67">
        <v>0</v>
      </c>
      <c r="J115" s="739">
        <v>342093</v>
      </c>
      <c r="K115" s="132" t="s">
        <v>621</v>
      </c>
      <c r="L115" s="740">
        <v>0</v>
      </c>
      <c r="M115" s="741">
        <v>2471.04</v>
      </c>
      <c r="N115" s="67">
        <v>4634</v>
      </c>
      <c r="O115" s="67">
        <v>346727</v>
      </c>
      <c r="Q115" s="674">
        <v>0</v>
      </c>
      <c r="R115" s="674">
        <v>22267.931837669094</v>
      </c>
      <c r="S115" s="798" t="s">
        <v>621</v>
      </c>
      <c r="T115" s="798">
        <v>397.25</v>
      </c>
      <c r="U115" s="88">
        <v>368994.93183766911</v>
      </c>
      <c r="V115" s="71">
        <v>140.31622312872312</v>
      </c>
      <c r="W115" s="449"/>
      <c r="X115" s="67">
        <v>265228</v>
      </c>
      <c r="Y115" s="163">
        <v>81499</v>
      </c>
      <c r="Z115" s="166">
        <v>0.30727902031459725</v>
      </c>
      <c r="AA115" s="61"/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5252.39</v>
      </c>
      <c r="E116" s="67">
        <v>727147</v>
      </c>
      <c r="F116" s="146">
        <v>0</v>
      </c>
      <c r="G116" s="146">
        <v>0</v>
      </c>
      <c r="H116" s="91">
        <v>727147</v>
      </c>
      <c r="I116" s="67">
        <v>0</v>
      </c>
      <c r="J116" s="739">
        <v>727147</v>
      </c>
      <c r="K116" s="132" t="s">
        <v>621</v>
      </c>
      <c r="L116" s="740">
        <v>0</v>
      </c>
      <c r="M116" s="741">
        <v>5252.39</v>
      </c>
      <c r="N116" s="67">
        <v>9851</v>
      </c>
      <c r="O116" s="67">
        <v>736998</v>
      </c>
      <c r="Q116" s="674">
        <v>0</v>
      </c>
      <c r="R116" s="674">
        <v>83431.171929240372</v>
      </c>
      <c r="S116" s="798" t="s">
        <v>621</v>
      </c>
      <c r="T116" s="798">
        <v>1488.375</v>
      </c>
      <c r="U116" s="88">
        <v>820429.17192924034</v>
      </c>
      <c r="V116" s="71">
        <v>140.3166939240993</v>
      </c>
      <c r="W116" s="449"/>
      <c r="X116" s="67">
        <v>735100</v>
      </c>
      <c r="Y116" s="163">
        <v>1898</v>
      </c>
      <c r="Z116" s="166">
        <v>2.5819616378723984E-3</v>
      </c>
      <c r="AA116" s="61"/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1431.86</v>
      </c>
      <c r="E117" s="67">
        <v>198228</v>
      </c>
      <c r="F117" s="146">
        <v>0</v>
      </c>
      <c r="G117" s="146">
        <v>0</v>
      </c>
      <c r="H117" s="91">
        <v>198228</v>
      </c>
      <c r="I117" s="67">
        <v>0</v>
      </c>
      <c r="J117" s="739">
        <v>198228</v>
      </c>
      <c r="K117" s="132" t="s">
        <v>621</v>
      </c>
      <c r="L117" s="740">
        <v>0</v>
      </c>
      <c r="M117" s="741">
        <v>1431.86</v>
      </c>
      <c r="N117" s="67">
        <v>2685</v>
      </c>
      <c r="O117" s="67">
        <v>200913</v>
      </c>
      <c r="Q117" s="674">
        <v>0</v>
      </c>
      <c r="R117" s="674">
        <v>0</v>
      </c>
      <c r="S117" s="798" t="s">
        <v>644</v>
      </c>
      <c r="T117" s="798">
        <v>0</v>
      </c>
      <c r="U117" s="88">
        <v>200913</v>
      </c>
      <c r="V117" s="71">
        <v>140.31609235539787</v>
      </c>
      <c r="W117" s="449"/>
      <c r="X117" s="67">
        <v>182441</v>
      </c>
      <c r="Y117" s="163">
        <v>18472</v>
      </c>
      <c r="Z117" s="166">
        <v>0.10124917096485987</v>
      </c>
      <c r="AA117" s="61"/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724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 t="s">
        <v>723</v>
      </c>
      <c r="T118" s="798">
        <v>0</v>
      </c>
      <c r="U118" s="88">
        <v>0</v>
      </c>
      <c r="V118" s="71">
        <v>0</v>
      </c>
      <c r="W118" s="449"/>
      <c r="X118" s="67">
        <v>0</v>
      </c>
      <c r="Y118" s="163">
        <v>0</v>
      </c>
      <c r="Z118" s="166">
        <v>0</v>
      </c>
      <c r="AA118" s="61"/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230.36</v>
      </c>
      <c r="E119" s="67">
        <v>31891</v>
      </c>
      <c r="F119" s="146">
        <v>0</v>
      </c>
      <c r="G119" s="146">
        <v>0</v>
      </c>
      <c r="H119" s="91">
        <v>31891</v>
      </c>
      <c r="I119" s="67">
        <v>0</v>
      </c>
      <c r="J119" s="739">
        <v>31891</v>
      </c>
      <c r="K119" s="132" t="s">
        <v>621</v>
      </c>
      <c r="L119" s="740">
        <v>0</v>
      </c>
      <c r="M119" s="741">
        <v>230.36</v>
      </c>
      <c r="N119" s="67">
        <v>432</v>
      </c>
      <c r="O119" s="67">
        <v>32323</v>
      </c>
      <c r="Q119" s="674">
        <v>0</v>
      </c>
      <c r="R119" s="674">
        <v>0</v>
      </c>
      <c r="S119" s="798" t="s">
        <v>644</v>
      </c>
      <c r="T119" s="798">
        <v>0</v>
      </c>
      <c r="U119" s="88">
        <v>32323</v>
      </c>
      <c r="V119" s="71">
        <v>140.31515888175031</v>
      </c>
      <c r="W119" s="449"/>
      <c r="X119" s="67">
        <v>27043</v>
      </c>
      <c r="Y119" s="163">
        <v>5280</v>
      </c>
      <c r="Z119" s="166">
        <v>0.19524461043523278</v>
      </c>
      <c r="AA119" s="61"/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30.29</v>
      </c>
      <c r="E120" s="67">
        <v>4193</v>
      </c>
      <c r="F120" s="146">
        <v>0</v>
      </c>
      <c r="G120" s="146">
        <v>0</v>
      </c>
      <c r="H120" s="91">
        <v>4193</v>
      </c>
      <c r="I120" s="67">
        <v>0</v>
      </c>
      <c r="J120" s="739">
        <v>4193</v>
      </c>
      <c r="K120" s="132" t="s">
        <v>644</v>
      </c>
      <c r="L120" s="740">
        <v>4193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 t="s">
        <v>723</v>
      </c>
      <c r="T120" s="798">
        <v>0</v>
      </c>
      <c r="U120" s="88">
        <v>0</v>
      </c>
      <c r="V120" s="71">
        <v>0</v>
      </c>
      <c r="W120" s="449"/>
      <c r="X120" s="67">
        <v>4045</v>
      </c>
      <c r="Y120" s="163">
        <v>-4045</v>
      </c>
      <c r="Z120" s="166">
        <v>-1</v>
      </c>
      <c r="AA120" s="61"/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186.14</v>
      </c>
      <c r="E121" s="67">
        <v>25769</v>
      </c>
      <c r="F121" s="146">
        <v>0</v>
      </c>
      <c r="G121" s="146">
        <v>0</v>
      </c>
      <c r="H121" s="91">
        <v>25769</v>
      </c>
      <c r="I121" s="67">
        <v>0</v>
      </c>
      <c r="J121" s="739">
        <v>25769</v>
      </c>
      <c r="K121" s="132" t="s">
        <v>621</v>
      </c>
      <c r="L121" s="740">
        <v>0</v>
      </c>
      <c r="M121" s="741">
        <v>186.14</v>
      </c>
      <c r="N121" s="67">
        <v>349</v>
      </c>
      <c r="O121" s="67">
        <v>26118</v>
      </c>
      <c r="Q121" s="674">
        <v>0</v>
      </c>
      <c r="R121" s="674">
        <v>0</v>
      </c>
      <c r="S121" s="798" t="s">
        <v>644</v>
      </c>
      <c r="T121" s="798">
        <v>0</v>
      </c>
      <c r="U121" s="88">
        <v>26118</v>
      </c>
      <c r="V121" s="71">
        <v>140.3137423444719</v>
      </c>
      <c r="W121" s="449"/>
      <c r="X121" s="67">
        <v>26872</v>
      </c>
      <c r="Y121" s="163">
        <v>-754</v>
      </c>
      <c r="Z121" s="166">
        <v>-2.8058946114915152E-2</v>
      </c>
      <c r="AA121" s="61"/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288.18</v>
      </c>
      <c r="E122" s="67">
        <v>39896</v>
      </c>
      <c r="F122" s="146">
        <v>0</v>
      </c>
      <c r="G122" s="146">
        <v>0</v>
      </c>
      <c r="H122" s="91">
        <v>39896</v>
      </c>
      <c r="I122" s="67">
        <v>0</v>
      </c>
      <c r="J122" s="739">
        <v>39896</v>
      </c>
      <c r="K122" s="132" t="s">
        <v>621</v>
      </c>
      <c r="L122" s="740">
        <v>0</v>
      </c>
      <c r="M122" s="741">
        <v>288.18</v>
      </c>
      <c r="N122" s="67">
        <v>540</v>
      </c>
      <c r="O122" s="67">
        <v>40436</v>
      </c>
      <c r="Q122" s="674">
        <v>0</v>
      </c>
      <c r="R122" s="674">
        <v>5773.6865431841834</v>
      </c>
      <c r="S122" s="798" t="s">
        <v>621</v>
      </c>
      <c r="T122" s="798">
        <v>103</v>
      </c>
      <c r="U122" s="88">
        <v>46209.686543184187</v>
      </c>
      <c r="V122" s="71">
        <v>140.31508085224513</v>
      </c>
      <c r="W122" s="449"/>
      <c r="X122" s="67">
        <v>38231</v>
      </c>
      <c r="Y122" s="163">
        <v>2205</v>
      </c>
      <c r="Z122" s="166">
        <v>5.767570819492035E-2</v>
      </c>
      <c r="AA122" s="61"/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121.64</v>
      </c>
      <c r="E123" s="67">
        <v>16840</v>
      </c>
      <c r="F123" s="146">
        <v>0</v>
      </c>
      <c r="G123" s="146">
        <v>0</v>
      </c>
      <c r="H123" s="91">
        <v>16840</v>
      </c>
      <c r="I123" s="67">
        <v>0</v>
      </c>
      <c r="J123" s="739">
        <v>16840</v>
      </c>
      <c r="K123" s="132" t="s">
        <v>621</v>
      </c>
      <c r="L123" s="740">
        <v>0</v>
      </c>
      <c r="M123" s="741">
        <v>121.64</v>
      </c>
      <c r="N123" s="67">
        <v>228</v>
      </c>
      <c r="O123" s="67">
        <v>17068</v>
      </c>
      <c r="Q123" s="674">
        <v>0</v>
      </c>
      <c r="R123" s="674">
        <v>0</v>
      </c>
      <c r="S123" s="798" t="s">
        <v>644</v>
      </c>
      <c r="T123" s="798">
        <v>0</v>
      </c>
      <c r="U123" s="88">
        <v>17068</v>
      </c>
      <c r="V123" s="71">
        <v>140.31568562972706</v>
      </c>
      <c r="W123" s="449"/>
      <c r="X123" s="67">
        <v>11080</v>
      </c>
      <c r="Y123" s="163">
        <v>5988</v>
      </c>
      <c r="Z123" s="166">
        <v>0.54043321299638991</v>
      </c>
      <c r="AA123" s="61"/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724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 t="s">
        <v>723</v>
      </c>
      <c r="T124" s="798">
        <v>0</v>
      </c>
      <c r="U124" s="88">
        <v>0</v>
      </c>
      <c r="V124" s="71">
        <v>0</v>
      </c>
      <c r="W124" s="449"/>
      <c r="X124" s="67">
        <v>0</v>
      </c>
      <c r="Y124" s="163">
        <v>0</v>
      </c>
      <c r="Z124" s="166">
        <v>0</v>
      </c>
      <c r="AA124" s="61"/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14.14</v>
      </c>
      <c r="E125" s="67">
        <v>1958</v>
      </c>
      <c r="F125" s="146">
        <v>0</v>
      </c>
      <c r="G125" s="146">
        <v>0</v>
      </c>
      <c r="H125" s="91">
        <v>1958</v>
      </c>
      <c r="I125" s="67">
        <v>0</v>
      </c>
      <c r="J125" s="739">
        <v>1958</v>
      </c>
      <c r="K125" s="132" t="s">
        <v>1306</v>
      </c>
      <c r="L125" s="740">
        <v>0</v>
      </c>
      <c r="M125" s="741">
        <v>14.14</v>
      </c>
      <c r="N125" s="67">
        <v>27</v>
      </c>
      <c r="O125" s="67">
        <v>1985</v>
      </c>
      <c r="Q125" s="674">
        <v>0</v>
      </c>
      <c r="R125" s="674">
        <v>175.17252861602498</v>
      </c>
      <c r="S125" s="798" t="s">
        <v>723</v>
      </c>
      <c r="T125" s="798">
        <v>3.125</v>
      </c>
      <c r="U125" s="88">
        <v>2160.1725286160249</v>
      </c>
      <c r="V125" s="71">
        <v>140.38189533239037</v>
      </c>
      <c r="W125" s="449"/>
      <c r="X125" s="67">
        <v>2044</v>
      </c>
      <c r="Y125" s="163">
        <v>-59</v>
      </c>
      <c r="Z125" s="166">
        <v>-2.8864970645792562E-2</v>
      </c>
      <c r="AA125" s="61"/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724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 t="s">
        <v>723</v>
      </c>
      <c r="T126" s="798">
        <v>0</v>
      </c>
      <c r="U126" s="88">
        <v>0</v>
      </c>
      <c r="V126" s="71">
        <v>0</v>
      </c>
      <c r="W126" s="449"/>
      <c r="X126" s="67">
        <v>0</v>
      </c>
      <c r="Y126" s="163">
        <v>0</v>
      </c>
      <c r="Z126" s="166">
        <v>0</v>
      </c>
      <c r="AA126" s="61"/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245.86</v>
      </c>
      <c r="E127" s="67">
        <v>34037</v>
      </c>
      <c r="F127" s="146">
        <v>0</v>
      </c>
      <c r="G127" s="146">
        <v>0</v>
      </c>
      <c r="H127" s="91">
        <v>34037</v>
      </c>
      <c r="I127" s="67">
        <v>0</v>
      </c>
      <c r="J127" s="739">
        <v>34037</v>
      </c>
      <c r="K127" s="132" t="s">
        <v>621</v>
      </c>
      <c r="L127" s="740">
        <v>0</v>
      </c>
      <c r="M127" s="741">
        <v>245.86</v>
      </c>
      <c r="N127" s="67">
        <v>461</v>
      </c>
      <c r="O127" s="67">
        <v>34498</v>
      </c>
      <c r="Q127" s="674">
        <v>0</v>
      </c>
      <c r="R127" s="674">
        <v>4190.1268844953174</v>
      </c>
      <c r="S127" s="798" t="s">
        <v>621</v>
      </c>
      <c r="T127" s="798">
        <v>74.75</v>
      </c>
      <c r="U127" s="88">
        <v>38688.126884495316</v>
      </c>
      <c r="V127" s="71">
        <v>140.31562677946798</v>
      </c>
      <c r="W127" s="449"/>
      <c r="X127" s="67">
        <v>40792</v>
      </c>
      <c r="Y127" s="163">
        <v>-6294</v>
      </c>
      <c r="Z127" s="166">
        <v>-0.15429495979603844</v>
      </c>
      <c r="AA127" s="61"/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7199</v>
      </c>
      <c r="F128" s="146">
        <v>0</v>
      </c>
      <c r="G128" s="146">
        <v>0</v>
      </c>
      <c r="H128" s="91">
        <v>7199</v>
      </c>
      <c r="I128" s="67">
        <v>0</v>
      </c>
      <c r="J128" s="739">
        <v>7199</v>
      </c>
      <c r="K128" s="132" t="s">
        <v>1306</v>
      </c>
      <c r="L128" s="740">
        <v>0</v>
      </c>
      <c r="M128" s="741">
        <v>52</v>
      </c>
      <c r="N128" s="67">
        <v>98</v>
      </c>
      <c r="O128" s="67">
        <v>7297</v>
      </c>
      <c r="Q128" s="674">
        <v>0</v>
      </c>
      <c r="R128" s="674">
        <v>1310.2905140478667</v>
      </c>
      <c r="S128" s="798" t="s">
        <v>723</v>
      </c>
      <c r="T128" s="798">
        <v>23.375</v>
      </c>
      <c r="U128" s="88">
        <v>8607.290514047867</v>
      </c>
      <c r="V128" s="71">
        <v>140.32692307692307</v>
      </c>
      <c r="W128" s="449"/>
      <c r="X128" s="67">
        <v>8413</v>
      </c>
      <c r="Y128" s="163">
        <v>-1116</v>
      </c>
      <c r="Z128" s="166">
        <v>-0.13265184832996552</v>
      </c>
      <c r="AA128" s="61"/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19.14</v>
      </c>
      <c r="E129" s="67">
        <v>2650</v>
      </c>
      <c r="F129" s="146">
        <v>0</v>
      </c>
      <c r="G129" s="146">
        <v>0</v>
      </c>
      <c r="H129" s="91">
        <v>2650</v>
      </c>
      <c r="I129" s="67">
        <v>0</v>
      </c>
      <c r="J129" s="739">
        <v>2650</v>
      </c>
      <c r="K129" s="132" t="s">
        <v>1306</v>
      </c>
      <c r="L129" s="740">
        <v>0</v>
      </c>
      <c r="M129" s="741">
        <v>19.14</v>
      </c>
      <c r="N129" s="67">
        <v>36</v>
      </c>
      <c r="O129" s="67">
        <v>2686</v>
      </c>
      <c r="Q129" s="674">
        <v>0</v>
      </c>
      <c r="R129" s="674">
        <v>560.5520915712799</v>
      </c>
      <c r="S129" s="798" t="s">
        <v>723</v>
      </c>
      <c r="T129" s="798">
        <v>10</v>
      </c>
      <c r="U129" s="88">
        <v>3246.55209157128</v>
      </c>
      <c r="V129" s="71">
        <v>140.33437826541274</v>
      </c>
      <c r="W129" s="449"/>
      <c r="X129" s="67">
        <v>2754</v>
      </c>
      <c r="Y129" s="163">
        <v>-68</v>
      </c>
      <c r="Z129" s="166">
        <v>-2.4691358024691357E-2</v>
      </c>
      <c r="AA129" s="61"/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724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 t="s">
        <v>723</v>
      </c>
      <c r="T130" s="798">
        <v>0</v>
      </c>
      <c r="U130" s="88">
        <v>0</v>
      </c>
      <c r="V130" s="71">
        <v>0</v>
      </c>
      <c r="W130" s="449"/>
      <c r="X130" s="67">
        <v>0</v>
      </c>
      <c r="Y130" s="163">
        <v>0</v>
      </c>
      <c r="Z130" s="166">
        <v>0</v>
      </c>
      <c r="AA130" s="61"/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724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 t="s">
        <v>723</v>
      </c>
      <c r="T131" s="798">
        <v>0</v>
      </c>
      <c r="U131" s="88">
        <v>0</v>
      </c>
      <c r="V131" s="71">
        <v>0</v>
      </c>
      <c r="W131" s="449"/>
      <c r="X131" s="67">
        <v>0</v>
      </c>
      <c r="Y131" s="163">
        <v>0</v>
      </c>
      <c r="Z131" s="166">
        <v>0</v>
      </c>
      <c r="AA131" s="61"/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724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 t="s">
        <v>723</v>
      </c>
      <c r="T132" s="798">
        <v>0</v>
      </c>
      <c r="U132" s="88">
        <v>0</v>
      </c>
      <c r="V132" s="71">
        <v>0</v>
      </c>
      <c r="W132" s="449"/>
      <c r="X132" s="67">
        <v>0</v>
      </c>
      <c r="Y132" s="163">
        <v>0</v>
      </c>
      <c r="Z132" s="166">
        <v>0</v>
      </c>
      <c r="AA132" s="61"/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724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 t="s">
        <v>723</v>
      </c>
      <c r="T133" s="798">
        <v>0</v>
      </c>
      <c r="U133" s="88">
        <v>0</v>
      </c>
      <c r="V133" s="71">
        <v>0</v>
      </c>
      <c r="W133" s="449"/>
      <c r="X133" s="67">
        <v>0</v>
      </c>
      <c r="Y133" s="163">
        <v>0</v>
      </c>
      <c r="Z133" s="166">
        <v>0</v>
      </c>
      <c r="AA133" s="61"/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724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 t="s">
        <v>723</v>
      </c>
      <c r="T134" s="798">
        <v>0</v>
      </c>
      <c r="U134" s="88">
        <v>0</v>
      </c>
      <c r="V134" s="71">
        <v>0</v>
      </c>
      <c r="W134" s="449"/>
      <c r="X134" s="67">
        <v>0</v>
      </c>
      <c r="Y134" s="163">
        <v>0</v>
      </c>
      <c r="Z134" s="166">
        <v>0</v>
      </c>
      <c r="AA134" s="61"/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724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 t="s">
        <v>723</v>
      </c>
      <c r="T135" s="798">
        <v>0</v>
      </c>
      <c r="U135" s="88">
        <v>0</v>
      </c>
      <c r="V135" s="71">
        <v>0</v>
      </c>
      <c r="W135" s="449"/>
      <c r="X135" s="67">
        <v>0</v>
      </c>
      <c r="Y135" s="163">
        <v>0</v>
      </c>
      <c r="Z135" s="166">
        <v>0</v>
      </c>
      <c r="AA135" s="61"/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20.86</v>
      </c>
      <c r="E136" s="67">
        <v>2888</v>
      </c>
      <c r="F136" s="146">
        <v>0</v>
      </c>
      <c r="G136" s="146">
        <v>0</v>
      </c>
      <c r="H136" s="91">
        <v>2888</v>
      </c>
      <c r="I136" s="67">
        <v>0</v>
      </c>
      <c r="J136" s="739">
        <v>2888</v>
      </c>
      <c r="K136" s="132" t="s">
        <v>724</v>
      </c>
      <c r="L136" s="740">
        <v>2888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 t="s">
        <v>723</v>
      </c>
      <c r="T136" s="798">
        <v>0</v>
      </c>
      <c r="U136" s="88">
        <v>0</v>
      </c>
      <c r="V136" s="71">
        <v>0</v>
      </c>
      <c r="W136" s="449"/>
      <c r="X136" s="67">
        <v>1678</v>
      </c>
      <c r="Y136" s="163">
        <v>-1678</v>
      </c>
      <c r="Z136" s="166">
        <v>-1</v>
      </c>
      <c r="AA136" s="61"/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30.14</v>
      </c>
      <c r="E137" s="67">
        <v>4173</v>
      </c>
      <c r="F137" s="146">
        <v>0</v>
      </c>
      <c r="G137" s="146">
        <v>0</v>
      </c>
      <c r="H137" s="91">
        <v>4173</v>
      </c>
      <c r="I137" s="67">
        <v>0</v>
      </c>
      <c r="J137" s="739">
        <v>4173</v>
      </c>
      <c r="K137" s="132" t="s">
        <v>1306</v>
      </c>
      <c r="L137" s="740">
        <v>0</v>
      </c>
      <c r="M137" s="741">
        <v>30.14</v>
      </c>
      <c r="N137" s="67">
        <v>57</v>
      </c>
      <c r="O137" s="67">
        <v>4230</v>
      </c>
      <c r="Q137" s="674">
        <v>0</v>
      </c>
      <c r="R137" s="674">
        <v>1001.9868636836628</v>
      </c>
      <c r="S137" s="798" t="s">
        <v>723</v>
      </c>
      <c r="T137" s="798">
        <v>17.875</v>
      </c>
      <c r="U137" s="88">
        <v>5231.9868636836627</v>
      </c>
      <c r="V137" s="71">
        <v>140.34505640345057</v>
      </c>
      <c r="W137" s="449"/>
      <c r="X137" s="67">
        <v>4367</v>
      </c>
      <c r="Y137" s="163">
        <v>-137</v>
      </c>
      <c r="Z137" s="166">
        <v>-3.1371651019006186E-2</v>
      </c>
      <c r="AA137" s="61"/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185.14</v>
      </c>
      <c r="E138" s="67">
        <v>25631</v>
      </c>
      <c r="F138" s="146">
        <v>0</v>
      </c>
      <c r="G138" s="146">
        <v>0</v>
      </c>
      <c r="H138" s="91">
        <v>25631</v>
      </c>
      <c r="I138" s="67">
        <v>0</v>
      </c>
      <c r="J138" s="739">
        <v>25631</v>
      </c>
      <c r="K138" s="132" t="s">
        <v>621</v>
      </c>
      <c r="L138" s="740">
        <v>0</v>
      </c>
      <c r="M138" s="741">
        <v>185.14</v>
      </c>
      <c r="N138" s="67">
        <v>347</v>
      </c>
      <c r="O138" s="67">
        <v>25978</v>
      </c>
      <c r="Q138" s="674">
        <v>0</v>
      </c>
      <c r="R138" s="674">
        <v>3167.1193173777315</v>
      </c>
      <c r="S138" s="798" t="s">
        <v>621</v>
      </c>
      <c r="T138" s="798">
        <v>56.5</v>
      </c>
      <c r="U138" s="88">
        <v>29145.119317377732</v>
      </c>
      <c r="V138" s="71">
        <v>140.31543696661987</v>
      </c>
      <c r="W138" s="449"/>
      <c r="X138" s="67">
        <v>29497</v>
      </c>
      <c r="Y138" s="163">
        <v>-3519</v>
      </c>
      <c r="Z138" s="166">
        <v>-0.11930026782384649</v>
      </c>
      <c r="AA138" s="61"/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724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 t="s">
        <v>723</v>
      </c>
      <c r="T139" s="798">
        <v>0</v>
      </c>
      <c r="U139" s="88">
        <v>0</v>
      </c>
      <c r="V139" s="71">
        <v>0</v>
      </c>
      <c r="W139" s="449"/>
      <c r="X139" s="67">
        <v>0</v>
      </c>
      <c r="Y139" s="163">
        <v>0</v>
      </c>
      <c r="Z139" s="166">
        <v>0</v>
      </c>
      <c r="AA139" s="61"/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3323</v>
      </c>
      <c r="F140" s="146">
        <v>0</v>
      </c>
      <c r="G140" s="146">
        <v>0</v>
      </c>
      <c r="H140" s="91">
        <v>3323</v>
      </c>
      <c r="I140" s="67">
        <v>0</v>
      </c>
      <c r="J140" s="739">
        <v>3323</v>
      </c>
      <c r="K140" s="132" t="s">
        <v>644</v>
      </c>
      <c r="L140" s="740">
        <v>3323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 t="s">
        <v>723</v>
      </c>
      <c r="T140" s="798">
        <v>0</v>
      </c>
      <c r="U140" s="88">
        <v>0</v>
      </c>
      <c r="V140" s="71">
        <v>0</v>
      </c>
      <c r="W140" s="449"/>
      <c r="X140" s="67">
        <v>2754</v>
      </c>
      <c r="Y140" s="163">
        <v>-2754</v>
      </c>
      <c r="Z140" s="166">
        <v>-1</v>
      </c>
      <c r="AA140" s="61"/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0</v>
      </c>
      <c r="E141" s="67">
        <v>0</v>
      </c>
      <c r="F141" s="146">
        <v>0</v>
      </c>
      <c r="G141" s="146">
        <v>0</v>
      </c>
      <c r="H141" s="91">
        <v>0</v>
      </c>
      <c r="I141" s="67">
        <v>0</v>
      </c>
      <c r="J141" s="739">
        <v>0</v>
      </c>
      <c r="K141" s="132" t="s">
        <v>724</v>
      </c>
      <c r="L141" s="740">
        <v>0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 t="s">
        <v>723</v>
      </c>
      <c r="T141" s="798">
        <v>0</v>
      </c>
      <c r="U141" s="88">
        <v>0</v>
      </c>
      <c r="V141" s="71">
        <v>0</v>
      </c>
      <c r="W141" s="449"/>
      <c r="X141" s="67">
        <v>0</v>
      </c>
      <c r="Y141" s="163">
        <v>0</v>
      </c>
      <c r="Z141" s="166">
        <v>0</v>
      </c>
      <c r="AA141" s="61"/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61.86</v>
      </c>
      <c r="E142" s="67">
        <v>8564</v>
      </c>
      <c r="F142" s="146">
        <v>0</v>
      </c>
      <c r="G142" s="146">
        <v>0</v>
      </c>
      <c r="H142" s="91">
        <v>8564</v>
      </c>
      <c r="I142" s="67">
        <v>0</v>
      </c>
      <c r="J142" s="739">
        <v>8564</v>
      </c>
      <c r="K142" s="132" t="s">
        <v>1306</v>
      </c>
      <c r="L142" s="740">
        <v>0</v>
      </c>
      <c r="M142" s="741">
        <v>61.86</v>
      </c>
      <c r="N142" s="67">
        <v>116</v>
      </c>
      <c r="O142" s="67">
        <v>8680</v>
      </c>
      <c r="Q142" s="674">
        <v>0</v>
      </c>
      <c r="R142" s="674">
        <v>504.49688241415191</v>
      </c>
      <c r="S142" s="798" t="s">
        <v>621</v>
      </c>
      <c r="T142" s="798">
        <v>9</v>
      </c>
      <c r="U142" s="88">
        <v>9184.4968824141524</v>
      </c>
      <c r="V142" s="71">
        <v>140.31684448755254</v>
      </c>
      <c r="W142" s="449"/>
      <c r="X142" s="67">
        <v>9122</v>
      </c>
      <c r="Y142" s="163">
        <v>-442</v>
      </c>
      <c r="Z142" s="166">
        <v>-4.8454286340714754E-2</v>
      </c>
      <c r="AA142" s="61"/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724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 t="s">
        <v>723</v>
      </c>
      <c r="T143" s="798">
        <v>0</v>
      </c>
      <c r="U143" s="88">
        <v>0</v>
      </c>
      <c r="V143" s="71">
        <v>0</v>
      </c>
      <c r="W143" s="449"/>
      <c r="X143" s="67">
        <v>0</v>
      </c>
      <c r="Y143" s="163">
        <v>0</v>
      </c>
      <c r="Z143" s="166">
        <v>0</v>
      </c>
      <c r="AA143" s="61"/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724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 t="s">
        <v>723</v>
      </c>
      <c r="T144" s="798">
        <v>0</v>
      </c>
      <c r="U144" s="88">
        <v>0</v>
      </c>
      <c r="V144" s="71">
        <v>0</v>
      </c>
      <c r="W144" s="449"/>
      <c r="X144" s="67">
        <v>0</v>
      </c>
      <c r="Y144" s="163">
        <v>0</v>
      </c>
      <c r="Z144" s="166">
        <v>0</v>
      </c>
      <c r="AA144" s="61"/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99.46</v>
      </c>
      <c r="E145" s="88">
        <v>13769</v>
      </c>
      <c r="F145" s="146">
        <v>0</v>
      </c>
      <c r="G145" s="146">
        <v>0</v>
      </c>
      <c r="H145" s="91">
        <v>13769</v>
      </c>
      <c r="I145" s="67">
        <v>0</v>
      </c>
      <c r="J145" s="739">
        <v>13769</v>
      </c>
      <c r="K145" s="132" t="s">
        <v>621</v>
      </c>
      <c r="L145" s="740">
        <v>0</v>
      </c>
      <c r="M145" s="741">
        <v>99.46</v>
      </c>
      <c r="N145" s="67">
        <v>187</v>
      </c>
      <c r="O145" s="67">
        <v>13956</v>
      </c>
      <c r="Q145" s="674">
        <v>0</v>
      </c>
      <c r="R145" s="674">
        <v>0</v>
      </c>
      <c r="S145" s="798" t="s">
        <v>644</v>
      </c>
      <c r="T145" s="798">
        <v>0</v>
      </c>
      <c r="U145" s="88">
        <v>13956</v>
      </c>
      <c r="V145" s="71">
        <v>140.31771566458877</v>
      </c>
      <c r="W145" s="449"/>
      <c r="X145" s="67">
        <v>12543</v>
      </c>
      <c r="Y145" s="163">
        <v>1413</v>
      </c>
      <c r="Z145" s="166">
        <v>0.11265247548433389</v>
      </c>
      <c r="AA145" s="61"/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1.57</v>
      </c>
      <c r="E146" s="67">
        <v>217</v>
      </c>
      <c r="F146" s="146">
        <v>0</v>
      </c>
      <c r="G146" s="146">
        <v>0</v>
      </c>
      <c r="H146" s="91">
        <v>217</v>
      </c>
      <c r="I146" s="67">
        <v>0</v>
      </c>
      <c r="J146" s="739">
        <v>217</v>
      </c>
      <c r="K146" s="132" t="s">
        <v>724</v>
      </c>
      <c r="L146" s="740">
        <v>217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 t="s">
        <v>723</v>
      </c>
      <c r="T146" s="798">
        <v>0</v>
      </c>
      <c r="U146" s="88">
        <v>0</v>
      </c>
      <c r="V146" s="71">
        <v>0</v>
      </c>
      <c r="W146" s="449"/>
      <c r="X146" s="67">
        <v>0</v>
      </c>
      <c r="Y146" s="163">
        <v>0</v>
      </c>
      <c r="Z146" s="166">
        <v>0</v>
      </c>
      <c r="AA146" s="61"/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14.86</v>
      </c>
      <c r="E147" s="67">
        <v>2057</v>
      </c>
      <c r="F147" s="146">
        <v>0</v>
      </c>
      <c r="G147" s="146">
        <v>0</v>
      </c>
      <c r="H147" s="91">
        <v>2057</v>
      </c>
      <c r="I147" s="67">
        <v>0</v>
      </c>
      <c r="J147" s="739">
        <v>2057</v>
      </c>
      <c r="K147" s="132" t="s">
        <v>724</v>
      </c>
      <c r="L147" s="740">
        <v>2057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 t="s">
        <v>723</v>
      </c>
      <c r="T147" s="798">
        <v>0</v>
      </c>
      <c r="U147" s="88">
        <v>0</v>
      </c>
      <c r="V147" s="71">
        <v>0</v>
      </c>
      <c r="W147" s="449"/>
      <c r="X147" s="67">
        <v>2431</v>
      </c>
      <c r="Y147" s="163">
        <v>-2431</v>
      </c>
      <c r="Z147" s="166">
        <v>-1</v>
      </c>
      <c r="AA147" s="61"/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28.86</v>
      </c>
      <c r="E148" s="67">
        <v>3995</v>
      </c>
      <c r="F148" s="146">
        <v>0</v>
      </c>
      <c r="G148" s="146">
        <v>0</v>
      </c>
      <c r="H148" s="91">
        <v>3995</v>
      </c>
      <c r="I148" s="67">
        <v>0</v>
      </c>
      <c r="J148" s="739">
        <v>3995</v>
      </c>
      <c r="K148" s="132" t="s">
        <v>1306</v>
      </c>
      <c r="L148" s="740">
        <v>0</v>
      </c>
      <c r="M148" s="741">
        <v>28.86</v>
      </c>
      <c r="N148" s="67">
        <v>54</v>
      </c>
      <c r="O148" s="67">
        <v>4049</v>
      </c>
      <c r="Q148" s="674">
        <v>0</v>
      </c>
      <c r="R148" s="674">
        <v>511.50378355879292</v>
      </c>
      <c r="S148" s="798" t="s">
        <v>723</v>
      </c>
      <c r="T148" s="798">
        <v>9.125</v>
      </c>
      <c r="U148" s="88">
        <v>4560.5037835587927</v>
      </c>
      <c r="V148" s="71">
        <v>140.29799029799031</v>
      </c>
      <c r="W148" s="449"/>
      <c r="X148" s="67">
        <v>3872</v>
      </c>
      <c r="Y148" s="163">
        <v>177</v>
      </c>
      <c r="Z148" s="166">
        <v>4.5712809917355372E-2</v>
      </c>
      <c r="AA148" s="61"/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724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 t="s">
        <v>723</v>
      </c>
      <c r="T149" s="798">
        <v>0</v>
      </c>
      <c r="U149" s="88">
        <v>0</v>
      </c>
      <c r="V149" s="71">
        <v>0</v>
      </c>
      <c r="W149" s="449"/>
      <c r="X149" s="67">
        <v>0</v>
      </c>
      <c r="Y149" s="163">
        <v>0</v>
      </c>
      <c r="Z149" s="166">
        <v>0</v>
      </c>
      <c r="AA149" s="61"/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127.57</v>
      </c>
      <c r="E150" s="67">
        <v>17661</v>
      </c>
      <c r="F150" s="146">
        <v>0</v>
      </c>
      <c r="G150" s="146">
        <v>0</v>
      </c>
      <c r="H150" s="91">
        <v>17661</v>
      </c>
      <c r="I150" s="67">
        <v>0</v>
      </c>
      <c r="J150" s="739">
        <v>17661</v>
      </c>
      <c r="K150" s="132" t="s">
        <v>621</v>
      </c>
      <c r="L150" s="740">
        <v>0</v>
      </c>
      <c r="M150" s="741">
        <v>127.57</v>
      </c>
      <c r="N150" s="67">
        <v>239</v>
      </c>
      <c r="O150" s="67">
        <v>17900</v>
      </c>
      <c r="Q150" s="674">
        <v>0</v>
      </c>
      <c r="R150" s="674">
        <v>0</v>
      </c>
      <c r="S150" s="798" t="s">
        <v>644</v>
      </c>
      <c r="T150" s="798">
        <v>0</v>
      </c>
      <c r="U150" s="88">
        <v>17900</v>
      </c>
      <c r="V150" s="71">
        <v>140.31512110997883</v>
      </c>
      <c r="W150" s="449"/>
      <c r="X150" s="67">
        <v>15577</v>
      </c>
      <c r="Y150" s="163">
        <v>2323</v>
      </c>
      <c r="Z150" s="166">
        <v>0.14913012775245554</v>
      </c>
      <c r="AA150" s="61"/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724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 t="s">
        <v>723</v>
      </c>
      <c r="T151" s="798">
        <v>0</v>
      </c>
      <c r="U151" s="88">
        <v>0</v>
      </c>
      <c r="V151" s="71">
        <v>0</v>
      </c>
      <c r="W151" s="449"/>
      <c r="X151" s="67">
        <v>0</v>
      </c>
      <c r="Y151" s="163">
        <v>0</v>
      </c>
      <c r="Z151" s="166">
        <v>0</v>
      </c>
      <c r="AA151" s="61"/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362.86</v>
      </c>
      <c r="E152" s="67">
        <v>50235</v>
      </c>
      <c r="F152" s="146">
        <v>0</v>
      </c>
      <c r="G152" s="146">
        <v>0</v>
      </c>
      <c r="H152" s="91">
        <v>50235</v>
      </c>
      <c r="I152" s="67">
        <v>0</v>
      </c>
      <c r="J152" s="739">
        <v>50235</v>
      </c>
      <c r="K152" s="132" t="s">
        <v>621</v>
      </c>
      <c r="L152" s="740">
        <v>0</v>
      </c>
      <c r="M152" s="741">
        <v>362.86</v>
      </c>
      <c r="N152" s="67">
        <v>681</v>
      </c>
      <c r="O152" s="67">
        <v>50916</v>
      </c>
      <c r="Q152" s="674">
        <v>0</v>
      </c>
      <c r="R152" s="674">
        <v>0</v>
      </c>
      <c r="S152" s="798" t="s">
        <v>644</v>
      </c>
      <c r="T152" s="798">
        <v>0</v>
      </c>
      <c r="U152" s="88">
        <v>50916</v>
      </c>
      <c r="V152" s="71">
        <v>140.31858016866008</v>
      </c>
      <c r="W152" s="449"/>
      <c r="X152" s="67">
        <v>47504</v>
      </c>
      <c r="Y152" s="163">
        <v>3412</v>
      </c>
      <c r="Z152" s="166">
        <v>7.1825530481643654E-2</v>
      </c>
      <c r="AA152" s="61"/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724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 t="s">
        <v>723</v>
      </c>
      <c r="T153" s="798">
        <v>0</v>
      </c>
      <c r="U153" s="88">
        <v>0</v>
      </c>
      <c r="V153" s="71">
        <v>0</v>
      </c>
      <c r="W153" s="449"/>
      <c r="X153" s="67">
        <v>0</v>
      </c>
      <c r="Y153" s="163">
        <v>0</v>
      </c>
      <c r="Z153" s="166">
        <v>0</v>
      </c>
      <c r="AA153" s="61"/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18</v>
      </c>
      <c r="E154" s="67">
        <v>2492</v>
      </c>
      <c r="F154" s="146">
        <v>0</v>
      </c>
      <c r="G154" s="146">
        <v>0</v>
      </c>
      <c r="H154" s="91">
        <v>2492</v>
      </c>
      <c r="I154" s="67">
        <v>0</v>
      </c>
      <c r="J154" s="739">
        <v>2492</v>
      </c>
      <c r="K154" s="132" t="s">
        <v>724</v>
      </c>
      <c r="L154" s="740">
        <v>2492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 t="s">
        <v>723</v>
      </c>
      <c r="T154" s="798">
        <v>0</v>
      </c>
      <c r="U154" s="88">
        <v>0</v>
      </c>
      <c r="V154" s="71">
        <v>0</v>
      </c>
      <c r="W154" s="449"/>
      <c r="X154" s="67">
        <v>3916</v>
      </c>
      <c r="Y154" s="163">
        <v>-3916</v>
      </c>
      <c r="Z154" s="166">
        <v>-1</v>
      </c>
      <c r="AA154" s="61"/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724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 t="s">
        <v>723</v>
      </c>
      <c r="T155" s="798">
        <v>0</v>
      </c>
      <c r="U155" s="88">
        <v>0</v>
      </c>
      <c r="V155" s="71">
        <v>0</v>
      </c>
      <c r="W155" s="449"/>
      <c r="X155" s="67">
        <v>0</v>
      </c>
      <c r="Y155" s="163">
        <v>0</v>
      </c>
      <c r="Z155" s="166">
        <v>0</v>
      </c>
      <c r="AA155" s="61"/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724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 t="s">
        <v>723</v>
      </c>
      <c r="T156" s="798">
        <v>0</v>
      </c>
      <c r="U156" s="88">
        <v>0</v>
      </c>
      <c r="V156" s="71">
        <v>0</v>
      </c>
      <c r="W156" s="449"/>
      <c r="X156" s="67">
        <v>0</v>
      </c>
      <c r="Y156" s="163">
        <v>0</v>
      </c>
      <c r="Z156" s="166">
        <v>0</v>
      </c>
      <c r="AA156" s="61"/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724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 t="s">
        <v>723</v>
      </c>
      <c r="T157" s="798">
        <v>0</v>
      </c>
      <c r="U157" s="88">
        <v>0</v>
      </c>
      <c r="V157" s="71">
        <v>0</v>
      </c>
      <c r="W157" s="449"/>
      <c r="X157" s="67">
        <v>0</v>
      </c>
      <c r="Y157" s="163">
        <v>0</v>
      </c>
      <c r="Z157" s="166">
        <v>0</v>
      </c>
      <c r="AA157" s="61"/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724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 t="s">
        <v>723</v>
      </c>
      <c r="T158" s="798">
        <v>0</v>
      </c>
      <c r="U158" s="88">
        <v>0</v>
      </c>
      <c r="V158" s="71">
        <v>0</v>
      </c>
      <c r="W158" s="449"/>
      <c r="X158" s="67">
        <v>0</v>
      </c>
      <c r="Y158" s="163">
        <v>0</v>
      </c>
      <c r="Z158" s="166">
        <v>0</v>
      </c>
      <c r="AA158" s="61"/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724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 t="s">
        <v>723</v>
      </c>
      <c r="T159" s="798">
        <v>0</v>
      </c>
      <c r="U159" s="88">
        <v>0</v>
      </c>
      <c r="V159" s="71">
        <v>0</v>
      </c>
      <c r="W159" s="449"/>
      <c r="X159" s="67">
        <v>0</v>
      </c>
      <c r="Y159" s="163">
        <v>0</v>
      </c>
      <c r="Z159" s="166">
        <v>0</v>
      </c>
      <c r="AA159" s="61"/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724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 t="s">
        <v>723</v>
      </c>
      <c r="T160" s="798">
        <v>0</v>
      </c>
      <c r="U160" s="88">
        <v>0</v>
      </c>
      <c r="V160" s="71">
        <v>0</v>
      </c>
      <c r="W160" s="449"/>
      <c r="X160" s="67">
        <v>0</v>
      </c>
      <c r="Y160" s="163">
        <v>0</v>
      </c>
      <c r="Z160" s="166">
        <v>0</v>
      </c>
      <c r="AA160" s="61"/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1</v>
      </c>
      <c r="E161" s="67">
        <v>138</v>
      </c>
      <c r="F161" s="146">
        <v>0</v>
      </c>
      <c r="G161" s="146">
        <v>0</v>
      </c>
      <c r="H161" s="91">
        <v>138</v>
      </c>
      <c r="I161" s="67">
        <v>0</v>
      </c>
      <c r="J161" s="739">
        <v>138</v>
      </c>
      <c r="K161" s="132" t="s">
        <v>724</v>
      </c>
      <c r="L161" s="740">
        <v>138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 t="s">
        <v>723</v>
      </c>
      <c r="T161" s="798">
        <v>0</v>
      </c>
      <c r="U161" s="88">
        <v>0</v>
      </c>
      <c r="V161" s="71">
        <v>0</v>
      </c>
      <c r="W161" s="449"/>
      <c r="X161" s="67">
        <v>345</v>
      </c>
      <c r="Y161" s="163">
        <v>-345</v>
      </c>
      <c r="Z161" s="166">
        <v>-1</v>
      </c>
      <c r="AA161" s="61"/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724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 t="s">
        <v>723</v>
      </c>
      <c r="T162" s="798">
        <v>0</v>
      </c>
      <c r="U162" s="88">
        <v>0</v>
      </c>
      <c r="V162" s="71">
        <v>0</v>
      </c>
      <c r="W162" s="449"/>
      <c r="X162" s="67">
        <v>0</v>
      </c>
      <c r="Y162" s="163">
        <v>0</v>
      </c>
      <c r="Z162" s="166">
        <v>0</v>
      </c>
      <c r="AA162" s="61"/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521.71</v>
      </c>
      <c r="E163" s="67">
        <v>72226</v>
      </c>
      <c r="F163" s="146">
        <v>0</v>
      </c>
      <c r="G163" s="146">
        <v>0</v>
      </c>
      <c r="H163" s="91">
        <v>72226</v>
      </c>
      <c r="I163" s="67">
        <v>0</v>
      </c>
      <c r="J163" s="739">
        <v>72226</v>
      </c>
      <c r="K163" s="132" t="s">
        <v>621</v>
      </c>
      <c r="L163" s="740">
        <v>0</v>
      </c>
      <c r="M163" s="741">
        <v>521.71</v>
      </c>
      <c r="N163" s="67">
        <v>978</v>
      </c>
      <c r="O163" s="67">
        <v>73204</v>
      </c>
      <c r="Q163" s="674">
        <v>0</v>
      </c>
      <c r="R163" s="674">
        <v>0</v>
      </c>
      <c r="S163" s="798" t="s">
        <v>644</v>
      </c>
      <c r="T163" s="798">
        <v>0</v>
      </c>
      <c r="U163" s="88">
        <v>73204</v>
      </c>
      <c r="V163" s="71">
        <v>140.31550094880296</v>
      </c>
      <c r="W163" s="449"/>
      <c r="X163" s="67">
        <v>58734</v>
      </c>
      <c r="Y163" s="163">
        <v>14470</v>
      </c>
      <c r="Z163" s="166">
        <v>0.24636496748050532</v>
      </c>
      <c r="AA163" s="61"/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724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 t="s">
        <v>723</v>
      </c>
      <c r="T164" s="798">
        <v>0</v>
      </c>
      <c r="U164" s="88">
        <v>0</v>
      </c>
      <c r="V164" s="71">
        <v>0</v>
      </c>
      <c r="W164" s="449"/>
      <c r="X164" s="67">
        <v>0</v>
      </c>
      <c r="Y164" s="163">
        <v>0</v>
      </c>
      <c r="Z164" s="166">
        <v>0</v>
      </c>
      <c r="AA164" s="61"/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14.43</v>
      </c>
      <c r="E165" s="67">
        <v>1998</v>
      </c>
      <c r="F165" s="146">
        <v>0</v>
      </c>
      <c r="G165" s="146">
        <v>0</v>
      </c>
      <c r="H165" s="91">
        <v>1998</v>
      </c>
      <c r="I165" s="67">
        <v>0</v>
      </c>
      <c r="J165" s="739">
        <v>1998</v>
      </c>
      <c r="K165" s="132" t="s">
        <v>644</v>
      </c>
      <c r="L165" s="740">
        <v>1998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 t="s">
        <v>723</v>
      </c>
      <c r="T165" s="798">
        <v>0</v>
      </c>
      <c r="U165" s="88">
        <v>0</v>
      </c>
      <c r="V165" s="71">
        <v>0</v>
      </c>
      <c r="W165" s="449"/>
      <c r="X165" s="67">
        <v>0</v>
      </c>
      <c r="Y165" s="163">
        <v>0</v>
      </c>
      <c r="Z165" s="166">
        <v>0</v>
      </c>
      <c r="AA165" s="61"/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195</v>
      </c>
      <c r="E166" s="67">
        <v>26996</v>
      </c>
      <c r="F166" s="146">
        <v>0</v>
      </c>
      <c r="G166" s="146">
        <v>0</v>
      </c>
      <c r="H166" s="91">
        <v>26996</v>
      </c>
      <c r="I166" s="67">
        <v>0</v>
      </c>
      <c r="J166" s="739">
        <v>26996</v>
      </c>
      <c r="K166" s="132" t="s">
        <v>621</v>
      </c>
      <c r="L166" s="740">
        <v>0</v>
      </c>
      <c r="M166" s="741">
        <v>195</v>
      </c>
      <c r="N166" s="67">
        <v>366</v>
      </c>
      <c r="O166" s="67">
        <v>27362</v>
      </c>
      <c r="Q166" s="674">
        <v>0</v>
      </c>
      <c r="R166" s="674">
        <v>0</v>
      </c>
      <c r="S166" s="798" t="s">
        <v>644</v>
      </c>
      <c r="T166" s="798">
        <v>0</v>
      </c>
      <c r="U166" s="88">
        <v>27362</v>
      </c>
      <c r="V166" s="71">
        <v>140.31794871794872</v>
      </c>
      <c r="W166" s="449"/>
      <c r="X166" s="67">
        <v>21235</v>
      </c>
      <c r="Y166" s="163">
        <v>6127</v>
      </c>
      <c r="Z166" s="166">
        <v>0.28853308217565338</v>
      </c>
      <c r="AA166" s="61"/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8.57</v>
      </c>
      <c r="E167" s="67">
        <v>1186</v>
      </c>
      <c r="F167" s="146">
        <v>0</v>
      </c>
      <c r="G167" s="146">
        <v>0</v>
      </c>
      <c r="H167" s="91">
        <v>1186</v>
      </c>
      <c r="I167" s="67">
        <v>0</v>
      </c>
      <c r="J167" s="739">
        <v>1186</v>
      </c>
      <c r="K167" s="132" t="s">
        <v>724</v>
      </c>
      <c r="L167" s="740">
        <v>1186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 t="s">
        <v>723</v>
      </c>
      <c r="T167" s="798">
        <v>0</v>
      </c>
      <c r="U167" s="88">
        <v>0</v>
      </c>
      <c r="V167" s="71">
        <v>0</v>
      </c>
      <c r="W167" s="449"/>
      <c r="X167" s="67">
        <v>0</v>
      </c>
      <c r="Y167" s="163">
        <v>0</v>
      </c>
      <c r="Z167" s="166">
        <v>0</v>
      </c>
      <c r="AA167" s="61"/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80.125</v>
      </c>
      <c r="E168" s="67">
        <v>11093</v>
      </c>
      <c r="F168" s="146">
        <v>0</v>
      </c>
      <c r="G168" s="146">
        <v>0</v>
      </c>
      <c r="H168" s="91">
        <v>11093</v>
      </c>
      <c r="I168" s="67">
        <v>0</v>
      </c>
      <c r="J168" s="739">
        <v>11093</v>
      </c>
      <c r="K168" s="132" t="s">
        <v>621</v>
      </c>
      <c r="L168" s="740">
        <v>0</v>
      </c>
      <c r="M168" s="741">
        <v>80.125</v>
      </c>
      <c r="N168" s="67">
        <v>150</v>
      </c>
      <c r="O168" s="67">
        <v>11243</v>
      </c>
      <c r="Q168" s="674">
        <v>0</v>
      </c>
      <c r="R168" s="674">
        <v>0</v>
      </c>
      <c r="S168" s="798" t="s">
        <v>644</v>
      </c>
      <c r="T168" s="798">
        <v>0</v>
      </c>
      <c r="U168" s="88">
        <v>11243</v>
      </c>
      <c r="V168" s="71">
        <v>140.31825273010921</v>
      </c>
      <c r="W168" s="449"/>
      <c r="X168" s="67">
        <v>12048</v>
      </c>
      <c r="Y168" s="163">
        <v>-805</v>
      </c>
      <c r="Z168" s="166">
        <v>-6.681606905710491E-2</v>
      </c>
      <c r="AA168" s="61"/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142.86000000000001</v>
      </c>
      <c r="E169" s="67">
        <v>19778</v>
      </c>
      <c r="F169" s="146">
        <v>0</v>
      </c>
      <c r="G169" s="146">
        <v>0</v>
      </c>
      <c r="H169" s="91">
        <v>19778</v>
      </c>
      <c r="I169" s="67">
        <v>0</v>
      </c>
      <c r="J169" s="739">
        <v>19778</v>
      </c>
      <c r="K169" s="132" t="s">
        <v>621</v>
      </c>
      <c r="L169" s="740">
        <v>0</v>
      </c>
      <c r="M169" s="741">
        <v>142.86000000000001</v>
      </c>
      <c r="N169" s="67">
        <v>268</v>
      </c>
      <c r="O169" s="67">
        <v>20046</v>
      </c>
      <c r="Q169" s="674">
        <v>0</v>
      </c>
      <c r="R169" s="674">
        <v>2109.0772445369407</v>
      </c>
      <c r="S169" s="798" t="s">
        <v>621</v>
      </c>
      <c r="T169" s="798">
        <v>37.625</v>
      </c>
      <c r="U169" s="88">
        <v>22155.07724453694</v>
      </c>
      <c r="V169" s="71">
        <v>140.31919361612768</v>
      </c>
      <c r="W169" s="449"/>
      <c r="X169" s="67">
        <v>16007</v>
      </c>
      <c r="Y169" s="163">
        <v>4039</v>
      </c>
      <c r="Z169" s="166">
        <v>0.25232710689073529</v>
      </c>
      <c r="AA169" s="61"/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96.14</v>
      </c>
      <c r="E170" s="67">
        <v>13310</v>
      </c>
      <c r="F170" s="146">
        <v>0</v>
      </c>
      <c r="G170" s="146">
        <v>0</v>
      </c>
      <c r="H170" s="91">
        <v>13310</v>
      </c>
      <c r="I170" s="67">
        <v>0</v>
      </c>
      <c r="J170" s="739">
        <v>13310</v>
      </c>
      <c r="K170" s="132" t="s">
        <v>621</v>
      </c>
      <c r="L170" s="740">
        <v>0</v>
      </c>
      <c r="M170" s="741">
        <v>96.14</v>
      </c>
      <c r="N170" s="67">
        <v>180</v>
      </c>
      <c r="O170" s="67">
        <v>13490</v>
      </c>
      <c r="Q170" s="674">
        <v>0</v>
      </c>
      <c r="R170" s="674">
        <v>0</v>
      </c>
      <c r="S170" s="798" t="s">
        <v>644</v>
      </c>
      <c r="T170" s="798">
        <v>0</v>
      </c>
      <c r="U170" s="88">
        <v>13490</v>
      </c>
      <c r="V170" s="71">
        <v>140.31620553359684</v>
      </c>
      <c r="W170" s="449"/>
      <c r="X170" s="67">
        <v>14242</v>
      </c>
      <c r="Y170" s="163">
        <v>-752</v>
      </c>
      <c r="Z170" s="166">
        <v>-5.2801572812807188E-2</v>
      </c>
      <c r="AA170" s="61"/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438.86</v>
      </c>
      <c r="E171" s="67">
        <v>60756</v>
      </c>
      <c r="F171" s="146">
        <v>0</v>
      </c>
      <c r="G171" s="146">
        <v>0</v>
      </c>
      <c r="H171" s="91">
        <v>60756</v>
      </c>
      <c r="I171" s="67">
        <v>0</v>
      </c>
      <c r="J171" s="739">
        <v>60756</v>
      </c>
      <c r="K171" s="132" t="s">
        <v>621</v>
      </c>
      <c r="L171" s="740">
        <v>0</v>
      </c>
      <c r="M171" s="741">
        <v>438.86</v>
      </c>
      <c r="N171" s="67">
        <v>823</v>
      </c>
      <c r="O171" s="67">
        <v>61579</v>
      </c>
      <c r="Q171" s="674">
        <v>0</v>
      </c>
      <c r="R171" s="674">
        <v>0</v>
      </c>
      <c r="S171" s="798" t="s">
        <v>644</v>
      </c>
      <c r="T171" s="798">
        <v>0</v>
      </c>
      <c r="U171" s="88">
        <v>61579</v>
      </c>
      <c r="V171" s="71">
        <v>140.31581825639157</v>
      </c>
      <c r="W171" s="449"/>
      <c r="X171" s="67">
        <v>67297</v>
      </c>
      <c r="Y171" s="163">
        <v>-5718</v>
      </c>
      <c r="Z171" s="166">
        <v>-8.4966640414877337E-2</v>
      </c>
      <c r="AA171" s="61"/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28.29</v>
      </c>
      <c r="E172" s="67">
        <v>3916</v>
      </c>
      <c r="F172" s="146">
        <v>0</v>
      </c>
      <c r="G172" s="146">
        <v>0</v>
      </c>
      <c r="H172" s="91">
        <v>3916</v>
      </c>
      <c r="I172" s="67">
        <v>0</v>
      </c>
      <c r="J172" s="739">
        <v>3916</v>
      </c>
      <c r="K172" s="132" t="s">
        <v>644</v>
      </c>
      <c r="L172" s="740">
        <v>3916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98" t="s">
        <v>723</v>
      </c>
      <c r="T172" s="798">
        <v>0</v>
      </c>
      <c r="U172" s="88">
        <v>0</v>
      </c>
      <c r="V172" s="71">
        <v>0</v>
      </c>
      <c r="W172" s="449"/>
      <c r="X172" s="67">
        <v>5099</v>
      </c>
      <c r="Y172" s="163">
        <v>-5099</v>
      </c>
      <c r="Z172" s="166">
        <v>-1</v>
      </c>
      <c r="AA172" s="61"/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8.7100000000000009</v>
      </c>
      <c r="E173" s="67">
        <v>1206</v>
      </c>
      <c r="F173" s="146">
        <v>0</v>
      </c>
      <c r="G173" s="146">
        <v>0</v>
      </c>
      <c r="H173" s="91">
        <v>1206</v>
      </c>
      <c r="I173" s="67">
        <v>0</v>
      </c>
      <c r="J173" s="739">
        <v>1206</v>
      </c>
      <c r="K173" s="132" t="s">
        <v>644</v>
      </c>
      <c r="L173" s="740">
        <v>1206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 t="s">
        <v>723</v>
      </c>
      <c r="T173" s="798">
        <v>0</v>
      </c>
      <c r="U173" s="88">
        <v>0</v>
      </c>
      <c r="V173" s="71">
        <v>0</v>
      </c>
      <c r="W173" s="449"/>
      <c r="X173" s="67">
        <v>797</v>
      </c>
      <c r="Y173" s="163">
        <v>-797</v>
      </c>
      <c r="Z173" s="166">
        <v>-1</v>
      </c>
      <c r="AA173" s="61"/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175.43</v>
      </c>
      <c r="E174" s="67">
        <v>24287</v>
      </c>
      <c r="F174" s="146">
        <v>0</v>
      </c>
      <c r="G174" s="146">
        <v>0</v>
      </c>
      <c r="H174" s="91">
        <v>24287</v>
      </c>
      <c r="I174" s="67">
        <v>0</v>
      </c>
      <c r="J174" s="739">
        <v>24287</v>
      </c>
      <c r="K174" s="132" t="s">
        <v>621</v>
      </c>
      <c r="L174" s="740">
        <v>0</v>
      </c>
      <c r="M174" s="741">
        <v>175.43</v>
      </c>
      <c r="N174" s="67">
        <v>329</v>
      </c>
      <c r="O174" s="67">
        <v>24616</v>
      </c>
      <c r="Q174" s="674">
        <v>0</v>
      </c>
      <c r="R174" s="674">
        <v>0</v>
      </c>
      <c r="S174" s="798" t="s">
        <v>644</v>
      </c>
      <c r="T174" s="798">
        <v>0</v>
      </c>
      <c r="U174" s="88">
        <v>24616</v>
      </c>
      <c r="V174" s="71">
        <v>140.3180755857037</v>
      </c>
      <c r="W174" s="449"/>
      <c r="X174" s="67">
        <v>26161</v>
      </c>
      <c r="Y174" s="163">
        <v>-1545</v>
      </c>
      <c r="Z174" s="166">
        <v>-5.9057375482588589E-2</v>
      </c>
      <c r="AA174" s="61"/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75.709999999999994</v>
      </c>
      <c r="E175" s="67">
        <v>10481</v>
      </c>
      <c r="F175" s="146">
        <v>0</v>
      </c>
      <c r="G175" s="146">
        <v>0</v>
      </c>
      <c r="H175" s="91">
        <v>10481</v>
      </c>
      <c r="I175" s="67">
        <v>0</v>
      </c>
      <c r="J175" s="739">
        <v>10481</v>
      </c>
      <c r="K175" s="132" t="s">
        <v>621</v>
      </c>
      <c r="L175" s="740">
        <v>0</v>
      </c>
      <c r="M175" s="741">
        <v>75.709999999999994</v>
      </c>
      <c r="N175" s="67">
        <v>142</v>
      </c>
      <c r="O175" s="67">
        <v>10623</v>
      </c>
      <c r="Q175" s="674">
        <v>0</v>
      </c>
      <c r="R175" s="674">
        <v>1142.1248865764828</v>
      </c>
      <c r="S175" s="798" t="s">
        <v>621</v>
      </c>
      <c r="T175" s="798">
        <v>20.375</v>
      </c>
      <c r="U175" s="88">
        <v>11765.124886576483</v>
      </c>
      <c r="V175" s="71">
        <v>140.3117157574957</v>
      </c>
      <c r="W175" s="449"/>
      <c r="X175" s="67">
        <v>13748</v>
      </c>
      <c r="Y175" s="163">
        <v>-3125</v>
      </c>
      <c r="Z175" s="166">
        <v>-0.22730578993308118</v>
      </c>
      <c r="AA175" s="61"/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60.14</v>
      </c>
      <c r="E176" s="67">
        <v>8326</v>
      </c>
      <c r="F176" s="146">
        <v>0</v>
      </c>
      <c r="G176" s="146">
        <v>0</v>
      </c>
      <c r="H176" s="91">
        <v>8326</v>
      </c>
      <c r="I176" s="67">
        <v>0</v>
      </c>
      <c r="J176" s="739">
        <v>8326</v>
      </c>
      <c r="K176" s="132" t="s">
        <v>1306</v>
      </c>
      <c r="L176" s="740">
        <v>0</v>
      </c>
      <c r="M176" s="741">
        <v>60.14</v>
      </c>
      <c r="N176" s="67">
        <v>113</v>
      </c>
      <c r="O176" s="67">
        <v>8439</v>
      </c>
      <c r="Q176" s="674">
        <v>0</v>
      </c>
      <c r="R176" s="674">
        <v>0</v>
      </c>
      <c r="S176" s="798" t="s">
        <v>644</v>
      </c>
      <c r="T176" s="798">
        <v>0</v>
      </c>
      <c r="U176" s="88">
        <v>8439</v>
      </c>
      <c r="V176" s="71">
        <v>140.32258064516128</v>
      </c>
      <c r="W176" s="449"/>
      <c r="X176" s="67">
        <v>9036</v>
      </c>
      <c r="Y176" s="163">
        <v>-597</v>
      </c>
      <c r="Z176" s="166">
        <v>-6.6069057104913675E-2</v>
      </c>
      <c r="AA176" s="61"/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83.57</v>
      </c>
      <c r="E177" s="67">
        <v>11570</v>
      </c>
      <c r="F177" s="146">
        <v>0</v>
      </c>
      <c r="G177" s="146">
        <v>0</v>
      </c>
      <c r="H177" s="91">
        <v>11570</v>
      </c>
      <c r="I177" s="67">
        <v>0</v>
      </c>
      <c r="J177" s="739">
        <v>11570</v>
      </c>
      <c r="K177" s="132" t="s">
        <v>1306</v>
      </c>
      <c r="L177" s="740">
        <v>0</v>
      </c>
      <c r="M177" s="741">
        <v>83.57</v>
      </c>
      <c r="N177" s="67">
        <v>157</v>
      </c>
      <c r="O177" s="67">
        <v>11727</v>
      </c>
      <c r="Q177" s="674">
        <v>0</v>
      </c>
      <c r="R177" s="674">
        <v>1793.7666930280957</v>
      </c>
      <c r="S177" s="798" t="s">
        <v>723</v>
      </c>
      <c r="T177" s="798">
        <v>32</v>
      </c>
      <c r="U177" s="88">
        <v>13520.766693028096</v>
      </c>
      <c r="V177" s="71">
        <v>140.3254756491564</v>
      </c>
      <c r="W177" s="449"/>
      <c r="X177" s="67">
        <v>10563</v>
      </c>
      <c r="Y177" s="163">
        <v>1164</v>
      </c>
      <c r="Z177" s="166">
        <v>0.11019596705481398</v>
      </c>
      <c r="AA177" s="61"/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97.29</v>
      </c>
      <c r="E178" s="67">
        <v>13469</v>
      </c>
      <c r="F178" s="146">
        <v>0</v>
      </c>
      <c r="G178" s="146">
        <v>0</v>
      </c>
      <c r="H178" s="91">
        <v>13469</v>
      </c>
      <c r="I178" s="67">
        <v>0</v>
      </c>
      <c r="J178" s="739">
        <v>13469</v>
      </c>
      <c r="K178" s="132" t="s">
        <v>621</v>
      </c>
      <c r="L178" s="740">
        <v>0</v>
      </c>
      <c r="M178" s="741">
        <v>97.29</v>
      </c>
      <c r="N178" s="67">
        <v>182</v>
      </c>
      <c r="O178" s="67">
        <v>13651</v>
      </c>
      <c r="Q178" s="674">
        <v>0</v>
      </c>
      <c r="R178" s="674">
        <v>1275.2560083246617</v>
      </c>
      <c r="S178" s="798" t="s">
        <v>621</v>
      </c>
      <c r="T178" s="798">
        <v>22.75</v>
      </c>
      <c r="U178" s="88">
        <v>14926.256008324661</v>
      </c>
      <c r="V178" s="71">
        <v>140.3124678795354</v>
      </c>
      <c r="W178" s="449"/>
      <c r="X178" s="67">
        <v>13360</v>
      </c>
      <c r="Y178" s="163">
        <v>291</v>
      </c>
      <c r="Z178" s="166">
        <v>2.1781437125748503E-2</v>
      </c>
      <c r="AA178" s="61"/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10</v>
      </c>
      <c r="E179" s="67">
        <v>1384</v>
      </c>
      <c r="F179" s="146">
        <v>0</v>
      </c>
      <c r="G179" s="146">
        <v>0</v>
      </c>
      <c r="H179" s="91">
        <v>1384</v>
      </c>
      <c r="I179" s="67">
        <v>0</v>
      </c>
      <c r="J179" s="739">
        <v>1384</v>
      </c>
      <c r="K179" s="132" t="s">
        <v>644</v>
      </c>
      <c r="L179" s="740">
        <v>1384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98" t="s">
        <v>723</v>
      </c>
      <c r="T179" s="798">
        <v>0</v>
      </c>
      <c r="U179" s="88">
        <v>0</v>
      </c>
      <c r="V179" s="71">
        <v>0</v>
      </c>
      <c r="W179" s="449"/>
      <c r="X179" s="67">
        <v>1657</v>
      </c>
      <c r="Y179" s="163">
        <v>-1657</v>
      </c>
      <c r="Z179" s="166">
        <v>-1</v>
      </c>
      <c r="AA179" s="61"/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6.14</v>
      </c>
      <c r="E180" s="67">
        <v>850</v>
      </c>
      <c r="F180" s="146">
        <v>0</v>
      </c>
      <c r="G180" s="146">
        <v>0</v>
      </c>
      <c r="H180" s="91">
        <v>850</v>
      </c>
      <c r="I180" s="67">
        <v>0</v>
      </c>
      <c r="J180" s="739">
        <v>850</v>
      </c>
      <c r="K180" s="132" t="s">
        <v>724</v>
      </c>
      <c r="L180" s="740">
        <v>850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 t="s">
        <v>723</v>
      </c>
      <c r="T180" s="798">
        <v>0</v>
      </c>
      <c r="U180" s="88">
        <v>0</v>
      </c>
      <c r="V180" s="71">
        <v>0</v>
      </c>
      <c r="W180" s="449"/>
      <c r="X180" s="67">
        <v>1033</v>
      </c>
      <c r="Y180" s="163">
        <v>-1033</v>
      </c>
      <c r="Z180" s="166">
        <v>-1</v>
      </c>
      <c r="AA180" s="61"/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724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 t="s">
        <v>723</v>
      </c>
      <c r="T181" s="798">
        <v>0</v>
      </c>
      <c r="U181" s="88">
        <v>0</v>
      </c>
      <c r="V181" s="71">
        <v>0</v>
      </c>
      <c r="W181" s="449"/>
      <c r="X181" s="67">
        <v>0</v>
      </c>
      <c r="Y181" s="163">
        <v>0</v>
      </c>
      <c r="Z181" s="166">
        <v>0</v>
      </c>
      <c r="AA181" s="61"/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5</v>
      </c>
      <c r="E182" s="67">
        <v>692</v>
      </c>
      <c r="F182" s="146">
        <v>0</v>
      </c>
      <c r="G182" s="146">
        <v>0</v>
      </c>
      <c r="H182" s="91">
        <v>692</v>
      </c>
      <c r="I182" s="67">
        <v>0</v>
      </c>
      <c r="J182" s="739">
        <v>692</v>
      </c>
      <c r="K182" s="132" t="s">
        <v>724</v>
      </c>
      <c r="L182" s="740">
        <v>692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 t="s">
        <v>723</v>
      </c>
      <c r="T182" s="798">
        <v>0</v>
      </c>
      <c r="U182" s="88">
        <v>0</v>
      </c>
      <c r="V182" s="71">
        <v>0</v>
      </c>
      <c r="W182" s="449"/>
      <c r="X182" s="67">
        <v>21</v>
      </c>
      <c r="Y182" s="163">
        <v>-21</v>
      </c>
      <c r="Z182" s="166">
        <v>-1</v>
      </c>
      <c r="AA182" s="61"/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724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 t="s">
        <v>723</v>
      </c>
      <c r="T183" s="798">
        <v>0</v>
      </c>
      <c r="U183" s="88">
        <v>0</v>
      </c>
      <c r="V183" s="71">
        <v>0</v>
      </c>
      <c r="W183" s="449"/>
      <c r="X183" s="67">
        <v>0</v>
      </c>
      <c r="Y183" s="163">
        <v>0</v>
      </c>
      <c r="Z183" s="166">
        <v>0</v>
      </c>
      <c r="AA183" s="61"/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724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 t="s">
        <v>723</v>
      </c>
      <c r="T184" s="798">
        <v>0</v>
      </c>
      <c r="U184" s="88">
        <v>0</v>
      </c>
      <c r="V184" s="71">
        <v>0</v>
      </c>
      <c r="W184" s="449"/>
      <c r="X184" s="67">
        <v>0</v>
      </c>
      <c r="Y184" s="163">
        <v>0</v>
      </c>
      <c r="Z184" s="166">
        <v>0</v>
      </c>
      <c r="AA184" s="61"/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97.18</v>
      </c>
      <c r="E185" s="67">
        <v>13454</v>
      </c>
      <c r="F185" s="146">
        <v>0</v>
      </c>
      <c r="G185" s="146">
        <v>0</v>
      </c>
      <c r="H185" s="91">
        <v>13454</v>
      </c>
      <c r="I185" s="67">
        <v>0</v>
      </c>
      <c r="J185" s="739">
        <v>13454</v>
      </c>
      <c r="K185" s="132" t="s">
        <v>621</v>
      </c>
      <c r="L185" s="740">
        <v>0</v>
      </c>
      <c r="M185" s="741">
        <v>97.18</v>
      </c>
      <c r="N185" s="67">
        <v>182</v>
      </c>
      <c r="O185" s="67">
        <v>13636</v>
      </c>
      <c r="Q185" s="674">
        <v>0</v>
      </c>
      <c r="R185" s="674">
        <v>0</v>
      </c>
      <c r="S185" s="798" t="s">
        <v>644</v>
      </c>
      <c r="T185" s="798">
        <v>0</v>
      </c>
      <c r="U185" s="88">
        <v>13636</v>
      </c>
      <c r="V185" s="71">
        <v>140.31693764149</v>
      </c>
      <c r="W185" s="449"/>
      <c r="X185" s="67">
        <v>10477</v>
      </c>
      <c r="Y185" s="163">
        <v>3159</v>
      </c>
      <c r="Z185" s="166">
        <v>0.30151761000286342</v>
      </c>
      <c r="AA185" s="61"/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995.69500000000005</v>
      </c>
      <c r="E186" s="67">
        <v>137845</v>
      </c>
      <c r="F186" s="146">
        <v>0</v>
      </c>
      <c r="G186" s="146">
        <v>0</v>
      </c>
      <c r="H186" s="91">
        <v>137845</v>
      </c>
      <c r="I186" s="67">
        <v>0</v>
      </c>
      <c r="J186" s="739">
        <v>137845</v>
      </c>
      <c r="K186" s="132" t="s">
        <v>621</v>
      </c>
      <c r="L186" s="740">
        <v>0</v>
      </c>
      <c r="M186" s="741">
        <v>995.69500000000005</v>
      </c>
      <c r="N186" s="67">
        <v>1867</v>
      </c>
      <c r="O186" s="67">
        <v>139712</v>
      </c>
      <c r="Q186" s="674">
        <v>0</v>
      </c>
      <c r="R186" s="674">
        <v>16403.15557960458</v>
      </c>
      <c r="S186" s="798" t="s">
        <v>621</v>
      </c>
      <c r="T186" s="798">
        <v>292.625</v>
      </c>
      <c r="U186" s="88">
        <v>156115.15557960459</v>
      </c>
      <c r="V186" s="71">
        <v>140.31606064105975</v>
      </c>
      <c r="W186" s="449"/>
      <c r="X186" s="67">
        <v>123729</v>
      </c>
      <c r="Y186" s="163">
        <v>15983</v>
      </c>
      <c r="Z186" s="166">
        <v>0.12917747658188461</v>
      </c>
      <c r="AA186" s="61"/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2726.0549999999998</v>
      </c>
      <c r="E187" s="67">
        <v>377398</v>
      </c>
      <c r="F187" s="146">
        <v>0</v>
      </c>
      <c r="G187" s="146">
        <v>0</v>
      </c>
      <c r="H187" s="91">
        <v>377398</v>
      </c>
      <c r="I187" s="67">
        <v>0</v>
      </c>
      <c r="J187" s="739">
        <v>377398</v>
      </c>
      <c r="K187" s="132" t="s">
        <v>621</v>
      </c>
      <c r="L187" s="740">
        <v>0</v>
      </c>
      <c r="M187" s="741">
        <v>2726.0549999999998</v>
      </c>
      <c r="N187" s="67">
        <v>5113</v>
      </c>
      <c r="O187" s="67">
        <v>382511</v>
      </c>
      <c r="Q187" s="674">
        <v>0</v>
      </c>
      <c r="R187" s="674">
        <v>0</v>
      </c>
      <c r="S187" s="798" t="s">
        <v>644</v>
      </c>
      <c r="T187" s="798">
        <v>0</v>
      </c>
      <c r="U187" s="88">
        <v>382511</v>
      </c>
      <c r="V187" s="71">
        <v>140.31668473306667</v>
      </c>
      <c r="W187" s="449"/>
      <c r="X187" s="67">
        <v>391215</v>
      </c>
      <c r="Y187" s="163">
        <v>-8704</v>
      </c>
      <c r="Z187" s="166">
        <v>-2.2248635660698082E-2</v>
      </c>
      <c r="AA187" s="61"/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724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 t="s">
        <v>723</v>
      </c>
      <c r="T188" s="798">
        <v>0</v>
      </c>
      <c r="U188" s="88">
        <v>0</v>
      </c>
      <c r="V188" s="71">
        <v>0</v>
      </c>
      <c r="W188" s="449"/>
      <c r="X188" s="67">
        <v>0</v>
      </c>
      <c r="Y188" s="163">
        <v>0</v>
      </c>
      <c r="Z188" s="166">
        <v>0</v>
      </c>
      <c r="AA188" s="61"/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210.29</v>
      </c>
      <c r="E189" s="67">
        <v>29113</v>
      </c>
      <c r="F189" s="146">
        <v>0</v>
      </c>
      <c r="G189" s="146">
        <v>0</v>
      </c>
      <c r="H189" s="91">
        <v>29113</v>
      </c>
      <c r="I189" s="67">
        <v>0</v>
      </c>
      <c r="J189" s="739">
        <v>29113</v>
      </c>
      <c r="K189" s="132" t="s">
        <v>621</v>
      </c>
      <c r="L189" s="740">
        <v>0</v>
      </c>
      <c r="M189" s="741">
        <v>210.29</v>
      </c>
      <c r="N189" s="67">
        <v>394</v>
      </c>
      <c r="O189" s="67">
        <v>29507</v>
      </c>
      <c r="Q189" s="674">
        <v>0</v>
      </c>
      <c r="R189" s="674">
        <v>4904.8308012486996</v>
      </c>
      <c r="S189" s="798" t="s">
        <v>621</v>
      </c>
      <c r="T189" s="798">
        <v>87.5</v>
      </c>
      <c r="U189" s="88">
        <v>34411.830801248696</v>
      </c>
      <c r="V189" s="71">
        <v>140.31575443435256</v>
      </c>
      <c r="W189" s="449"/>
      <c r="X189" s="67">
        <v>27560</v>
      </c>
      <c r="Y189" s="163">
        <v>1947</v>
      </c>
      <c r="Z189" s="166">
        <v>7.0645863570391876E-2</v>
      </c>
      <c r="AA189" s="61"/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320.79000000000002</v>
      </c>
      <c r="E190" s="67">
        <v>44411</v>
      </c>
      <c r="F190" s="146">
        <v>0</v>
      </c>
      <c r="G190" s="146">
        <v>0</v>
      </c>
      <c r="H190" s="91">
        <v>44411</v>
      </c>
      <c r="I190" s="67">
        <v>0</v>
      </c>
      <c r="J190" s="739">
        <v>44411</v>
      </c>
      <c r="K190" s="132" t="s">
        <v>621</v>
      </c>
      <c r="L190" s="740">
        <v>0</v>
      </c>
      <c r="M190" s="741">
        <v>320.79000000000002</v>
      </c>
      <c r="N190" s="67">
        <v>602</v>
      </c>
      <c r="O190" s="67">
        <v>45013</v>
      </c>
      <c r="Q190" s="674">
        <v>0</v>
      </c>
      <c r="R190" s="674">
        <v>4925.8515046826224</v>
      </c>
      <c r="S190" s="798" t="s">
        <v>621</v>
      </c>
      <c r="T190" s="798">
        <v>87.875</v>
      </c>
      <c r="U190" s="88">
        <v>49938.851504682621</v>
      </c>
      <c r="V190" s="71">
        <v>140.31921194550952</v>
      </c>
      <c r="W190" s="449"/>
      <c r="X190" s="67">
        <v>45029</v>
      </c>
      <c r="Y190" s="163">
        <v>-16</v>
      </c>
      <c r="Z190" s="166">
        <v>-3.5532656732328058E-4</v>
      </c>
      <c r="AA190" s="61"/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41.57</v>
      </c>
      <c r="E191" s="67">
        <v>5755</v>
      </c>
      <c r="F191" s="146">
        <v>0</v>
      </c>
      <c r="G191" s="146">
        <v>0</v>
      </c>
      <c r="H191" s="91">
        <v>5755</v>
      </c>
      <c r="I191" s="67">
        <v>0</v>
      </c>
      <c r="J191" s="739">
        <v>5755</v>
      </c>
      <c r="K191" s="132" t="s">
        <v>1306</v>
      </c>
      <c r="L191" s="740">
        <v>0</v>
      </c>
      <c r="M191" s="741">
        <v>41.57</v>
      </c>
      <c r="N191" s="67">
        <v>78</v>
      </c>
      <c r="O191" s="67">
        <v>5833</v>
      </c>
      <c r="Q191" s="674">
        <v>0</v>
      </c>
      <c r="R191" s="674">
        <v>273.26914464099895</v>
      </c>
      <c r="S191" s="798" t="s">
        <v>723</v>
      </c>
      <c r="T191" s="798">
        <v>4.875</v>
      </c>
      <c r="U191" s="88">
        <v>6106.269144640999</v>
      </c>
      <c r="V191" s="71">
        <v>140.31753668510945</v>
      </c>
      <c r="W191" s="449"/>
      <c r="X191" s="67">
        <v>4001</v>
      </c>
      <c r="Y191" s="163">
        <v>1832</v>
      </c>
      <c r="Z191" s="166">
        <v>0.45788552861784554</v>
      </c>
      <c r="AA191" s="61"/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38.29</v>
      </c>
      <c r="E192" s="67">
        <v>5301</v>
      </c>
      <c r="F192" s="146">
        <v>0</v>
      </c>
      <c r="G192" s="146">
        <v>0</v>
      </c>
      <c r="H192" s="91">
        <v>5301</v>
      </c>
      <c r="I192" s="67">
        <v>0</v>
      </c>
      <c r="J192" s="739">
        <v>5301</v>
      </c>
      <c r="K192" s="132" t="s">
        <v>724</v>
      </c>
      <c r="L192" s="740">
        <v>5301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 t="s">
        <v>723</v>
      </c>
      <c r="T192" s="798">
        <v>0</v>
      </c>
      <c r="U192" s="88">
        <v>0</v>
      </c>
      <c r="V192" s="71">
        <v>0</v>
      </c>
      <c r="W192" s="449"/>
      <c r="X192" s="67">
        <v>6003</v>
      </c>
      <c r="Y192" s="163">
        <v>-6003</v>
      </c>
      <c r="Z192" s="166">
        <v>-1</v>
      </c>
      <c r="AA192" s="61"/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1392</v>
      </c>
      <c r="E193" s="67">
        <v>192710</v>
      </c>
      <c r="F193" s="146">
        <v>0</v>
      </c>
      <c r="G193" s="146">
        <v>0</v>
      </c>
      <c r="H193" s="91">
        <v>192710</v>
      </c>
      <c r="I193" s="67">
        <v>0</v>
      </c>
      <c r="J193" s="739">
        <v>192710</v>
      </c>
      <c r="K193" s="132" t="s">
        <v>621</v>
      </c>
      <c r="L193" s="740">
        <v>0</v>
      </c>
      <c r="M193" s="741">
        <v>1392</v>
      </c>
      <c r="N193" s="67">
        <v>2611</v>
      </c>
      <c r="O193" s="67">
        <v>195321</v>
      </c>
      <c r="Q193" s="674">
        <v>0</v>
      </c>
      <c r="R193" s="674">
        <v>0</v>
      </c>
      <c r="S193" s="798" t="s">
        <v>644</v>
      </c>
      <c r="T193" s="798">
        <v>0</v>
      </c>
      <c r="U193" s="88">
        <v>195321</v>
      </c>
      <c r="V193" s="71">
        <v>140.31681034482759</v>
      </c>
      <c r="W193" s="449"/>
      <c r="X193" s="67">
        <v>201890</v>
      </c>
      <c r="Y193" s="163">
        <v>-6569</v>
      </c>
      <c r="Z193" s="166">
        <v>-3.2537520431918369E-2</v>
      </c>
      <c r="AA193" s="61"/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98.29</v>
      </c>
      <c r="E194" s="67">
        <v>13607</v>
      </c>
      <c r="F194" s="146">
        <v>0</v>
      </c>
      <c r="G194" s="146">
        <v>0</v>
      </c>
      <c r="H194" s="91">
        <v>13607</v>
      </c>
      <c r="I194" s="67">
        <v>0</v>
      </c>
      <c r="J194" s="739">
        <v>13607</v>
      </c>
      <c r="K194" s="132" t="s">
        <v>621</v>
      </c>
      <c r="L194" s="740">
        <v>0</v>
      </c>
      <c r="M194" s="741">
        <v>98.29</v>
      </c>
      <c r="N194" s="67">
        <v>184</v>
      </c>
      <c r="O194" s="67">
        <v>13791</v>
      </c>
      <c r="Q194" s="674">
        <v>0</v>
      </c>
      <c r="R194" s="674">
        <v>1485.4630426638917</v>
      </c>
      <c r="S194" s="798" t="s">
        <v>621</v>
      </c>
      <c r="T194" s="798">
        <v>26.5</v>
      </c>
      <c r="U194" s="88">
        <v>15276.463042663892</v>
      </c>
      <c r="V194" s="71">
        <v>140.30928883914945</v>
      </c>
      <c r="W194" s="449"/>
      <c r="X194" s="67">
        <v>11682</v>
      </c>
      <c r="Y194" s="163">
        <v>2109</v>
      </c>
      <c r="Z194" s="166">
        <v>0.18053415511042631</v>
      </c>
      <c r="AA194" s="61"/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663.29</v>
      </c>
      <c r="E195" s="67">
        <v>91827</v>
      </c>
      <c r="F195" s="146">
        <v>0</v>
      </c>
      <c r="G195" s="146">
        <v>0</v>
      </c>
      <c r="H195" s="91">
        <v>91827</v>
      </c>
      <c r="I195" s="67">
        <v>0</v>
      </c>
      <c r="J195" s="739">
        <v>91827</v>
      </c>
      <c r="K195" s="132" t="s">
        <v>621</v>
      </c>
      <c r="L195" s="740">
        <v>0</v>
      </c>
      <c r="M195" s="741">
        <v>663.29</v>
      </c>
      <c r="N195" s="67">
        <v>1244</v>
      </c>
      <c r="O195" s="67">
        <v>93071</v>
      </c>
      <c r="Q195" s="674">
        <v>0</v>
      </c>
      <c r="R195" s="674">
        <v>0</v>
      </c>
      <c r="S195" s="798" t="s">
        <v>644</v>
      </c>
      <c r="T195" s="798">
        <v>0</v>
      </c>
      <c r="U195" s="88">
        <v>93071</v>
      </c>
      <c r="V195" s="71">
        <v>140.31720665169081</v>
      </c>
      <c r="W195" s="449"/>
      <c r="X195" s="67">
        <v>87994</v>
      </c>
      <c r="Y195" s="163">
        <v>5077</v>
      </c>
      <c r="Z195" s="166">
        <v>5.7697115712434938E-2</v>
      </c>
      <c r="AA195" s="61"/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487.96</v>
      </c>
      <c r="E196" s="67">
        <v>67554</v>
      </c>
      <c r="F196" s="146">
        <v>0</v>
      </c>
      <c r="G196" s="146">
        <v>0</v>
      </c>
      <c r="H196" s="91">
        <v>67554</v>
      </c>
      <c r="I196" s="67">
        <v>0</v>
      </c>
      <c r="J196" s="739">
        <v>67554</v>
      </c>
      <c r="K196" s="132" t="s">
        <v>621</v>
      </c>
      <c r="L196" s="740">
        <v>0</v>
      </c>
      <c r="M196" s="741">
        <v>487.96</v>
      </c>
      <c r="N196" s="67">
        <v>915</v>
      </c>
      <c r="O196" s="67">
        <v>68469</v>
      </c>
      <c r="Q196" s="674">
        <v>0</v>
      </c>
      <c r="R196" s="674">
        <v>7714.5981602497395</v>
      </c>
      <c r="S196" s="798" t="s">
        <v>621</v>
      </c>
      <c r="T196" s="798">
        <v>137.625</v>
      </c>
      <c r="U196" s="88">
        <v>76183.598160249734</v>
      </c>
      <c r="V196" s="71">
        <v>140.31682924829906</v>
      </c>
      <c r="W196" s="449"/>
      <c r="X196" s="67">
        <v>41760</v>
      </c>
      <c r="Y196" s="163">
        <v>26709</v>
      </c>
      <c r="Z196" s="166">
        <v>0.63958333333333328</v>
      </c>
      <c r="AA196" s="61"/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10.57</v>
      </c>
      <c r="E197" s="67">
        <v>1463</v>
      </c>
      <c r="F197" s="146">
        <v>0</v>
      </c>
      <c r="G197" s="146">
        <v>0</v>
      </c>
      <c r="H197" s="91">
        <v>1463</v>
      </c>
      <c r="I197" s="67">
        <v>0</v>
      </c>
      <c r="J197" s="739">
        <v>1463</v>
      </c>
      <c r="K197" s="132" t="s">
        <v>724</v>
      </c>
      <c r="L197" s="740">
        <v>1463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 t="s">
        <v>723</v>
      </c>
      <c r="T197" s="798">
        <v>0</v>
      </c>
      <c r="U197" s="88">
        <v>0</v>
      </c>
      <c r="V197" s="71">
        <v>0</v>
      </c>
      <c r="W197" s="449"/>
      <c r="X197" s="67">
        <v>1054</v>
      </c>
      <c r="Y197" s="163">
        <v>-1054</v>
      </c>
      <c r="Z197" s="166">
        <v>-1</v>
      </c>
      <c r="AA197" s="61"/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72.709999999999994</v>
      </c>
      <c r="E198" s="67">
        <v>10066</v>
      </c>
      <c r="F198" s="146">
        <v>0</v>
      </c>
      <c r="G198" s="146">
        <v>0</v>
      </c>
      <c r="H198" s="91">
        <v>10066</v>
      </c>
      <c r="I198" s="67">
        <v>0</v>
      </c>
      <c r="J198" s="739">
        <v>10066</v>
      </c>
      <c r="K198" s="132" t="s">
        <v>621</v>
      </c>
      <c r="L198" s="740">
        <v>0</v>
      </c>
      <c r="M198" s="741">
        <v>72.709999999999994</v>
      </c>
      <c r="N198" s="67">
        <v>136</v>
      </c>
      <c r="O198" s="67">
        <v>10202</v>
      </c>
      <c r="Q198" s="674">
        <v>0</v>
      </c>
      <c r="R198" s="674">
        <v>952.93855567117589</v>
      </c>
      <c r="S198" s="798" t="s">
        <v>723</v>
      </c>
      <c r="T198" s="798">
        <v>17</v>
      </c>
      <c r="U198" s="88">
        <v>11154.938555671175</v>
      </c>
      <c r="V198" s="71">
        <v>140.31082382065742</v>
      </c>
      <c r="W198" s="449"/>
      <c r="X198" s="67">
        <v>9703</v>
      </c>
      <c r="Y198" s="163">
        <v>499</v>
      </c>
      <c r="Z198" s="166">
        <v>5.1427393589611459E-2</v>
      </c>
      <c r="AA198" s="61"/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387.29</v>
      </c>
      <c r="E199" s="67">
        <v>53617</v>
      </c>
      <c r="F199" s="146">
        <v>0</v>
      </c>
      <c r="G199" s="146">
        <v>0</v>
      </c>
      <c r="H199" s="91">
        <v>53617</v>
      </c>
      <c r="I199" s="67">
        <v>0</v>
      </c>
      <c r="J199" s="739">
        <v>53617</v>
      </c>
      <c r="K199" s="132" t="s">
        <v>621</v>
      </c>
      <c r="L199" s="740">
        <v>0</v>
      </c>
      <c r="M199" s="741">
        <v>387.29</v>
      </c>
      <c r="N199" s="67">
        <v>726</v>
      </c>
      <c r="O199" s="67">
        <v>54343</v>
      </c>
      <c r="Q199" s="674">
        <v>0</v>
      </c>
      <c r="R199" s="674">
        <v>7322.2116961498441</v>
      </c>
      <c r="S199" s="798" t="s">
        <v>621</v>
      </c>
      <c r="T199" s="798">
        <v>130.625</v>
      </c>
      <c r="U199" s="88">
        <v>61665.211696149847</v>
      </c>
      <c r="V199" s="71">
        <v>140.31604224224739</v>
      </c>
      <c r="W199" s="449"/>
      <c r="X199" s="67">
        <v>56109</v>
      </c>
      <c r="Y199" s="163">
        <v>-1766</v>
      </c>
      <c r="Z199" s="166">
        <v>-3.1474451514017357E-2</v>
      </c>
      <c r="AA199" s="61"/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724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 t="s">
        <v>723</v>
      </c>
      <c r="T200" s="798">
        <v>0</v>
      </c>
      <c r="U200" s="88">
        <v>0</v>
      </c>
      <c r="V200" s="71">
        <v>0</v>
      </c>
      <c r="W200" s="449"/>
      <c r="X200" s="67">
        <v>0</v>
      </c>
      <c r="Y200" s="163">
        <v>0</v>
      </c>
      <c r="Z200" s="166">
        <v>0</v>
      </c>
      <c r="AA200" s="61"/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724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 t="s">
        <v>723</v>
      </c>
      <c r="T201" s="798">
        <v>0</v>
      </c>
      <c r="U201" s="88">
        <v>0</v>
      </c>
      <c r="V201" s="71">
        <v>0</v>
      </c>
      <c r="W201" s="449"/>
      <c r="X201" s="67">
        <v>0</v>
      </c>
      <c r="Y201" s="163">
        <v>0</v>
      </c>
      <c r="Z201" s="166">
        <v>0</v>
      </c>
      <c r="AA201" s="61"/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724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 t="s">
        <v>723</v>
      </c>
      <c r="T202" s="798">
        <v>0</v>
      </c>
      <c r="U202" s="88">
        <v>0</v>
      </c>
      <c r="V202" s="71">
        <v>0</v>
      </c>
      <c r="W202" s="449"/>
      <c r="X202" s="67">
        <v>0</v>
      </c>
      <c r="Y202" s="163">
        <v>0</v>
      </c>
      <c r="Z202" s="166">
        <v>0</v>
      </c>
      <c r="AA202" s="61"/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44.29</v>
      </c>
      <c r="E203" s="67">
        <v>6132</v>
      </c>
      <c r="F203" s="146">
        <v>0</v>
      </c>
      <c r="G203" s="146">
        <v>0</v>
      </c>
      <c r="H203" s="91">
        <v>6132</v>
      </c>
      <c r="I203" s="67">
        <v>0</v>
      </c>
      <c r="J203" s="739">
        <v>6132</v>
      </c>
      <c r="K203" s="132" t="s">
        <v>1306</v>
      </c>
      <c r="L203" s="740">
        <v>0</v>
      </c>
      <c r="M203" s="741">
        <v>44.29</v>
      </c>
      <c r="N203" s="67">
        <v>83</v>
      </c>
      <c r="O203" s="67">
        <v>6215</v>
      </c>
      <c r="Q203" s="674">
        <v>0</v>
      </c>
      <c r="R203" s="674">
        <v>1065.0489739854318</v>
      </c>
      <c r="S203" s="798" t="s">
        <v>723</v>
      </c>
      <c r="T203" s="798">
        <v>19</v>
      </c>
      <c r="U203" s="88">
        <v>7280.048973985432</v>
      </c>
      <c r="V203" s="71">
        <v>140.32512982614585</v>
      </c>
      <c r="W203" s="449"/>
      <c r="X203" s="67">
        <v>3786</v>
      </c>
      <c r="Y203" s="163">
        <v>2429</v>
      </c>
      <c r="Z203" s="166">
        <v>0.64157422081352355</v>
      </c>
      <c r="AA203" s="61"/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23</v>
      </c>
      <c r="E204" s="67">
        <v>3184</v>
      </c>
      <c r="F204" s="146">
        <v>0</v>
      </c>
      <c r="G204" s="146">
        <v>0</v>
      </c>
      <c r="H204" s="91">
        <v>3184</v>
      </c>
      <c r="I204" s="67">
        <v>0</v>
      </c>
      <c r="J204" s="739">
        <v>3184</v>
      </c>
      <c r="K204" s="132" t="s">
        <v>1306</v>
      </c>
      <c r="L204" s="740">
        <v>0</v>
      </c>
      <c r="M204" s="741">
        <v>23</v>
      </c>
      <c r="N204" s="67">
        <v>43</v>
      </c>
      <c r="O204" s="67">
        <v>3227</v>
      </c>
      <c r="Q204" s="674">
        <v>0</v>
      </c>
      <c r="R204" s="674">
        <v>168.16562747138397</v>
      </c>
      <c r="S204" s="798" t="s">
        <v>723</v>
      </c>
      <c r="T204" s="798">
        <v>3</v>
      </c>
      <c r="U204" s="88">
        <v>3395.1656274713841</v>
      </c>
      <c r="V204" s="71">
        <v>140.30434782608697</v>
      </c>
      <c r="W204" s="449"/>
      <c r="X204" s="67">
        <v>2410</v>
      </c>
      <c r="Y204" s="163">
        <v>817</v>
      </c>
      <c r="Z204" s="166">
        <v>0.33900414937759338</v>
      </c>
      <c r="AA204" s="61"/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26.29</v>
      </c>
      <c r="E205" s="67">
        <v>3640</v>
      </c>
      <c r="F205" s="146">
        <v>0</v>
      </c>
      <c r="G205" s="146">
        <v>0</v>
      </c>
      <c r="H205" s="91">
        <v>3640</v>
      </c>
      <c r="I205" s="67">
        <v>0</v>
      </c>
      <c r="J205" s="739">
        <v>3640</v>
      </c>
      <c r="K205" s="132" t="s">
        <v>1306</v>
      </c>
      <c r="L205" s="740">
        <v>0</v>
      </c>
      <c r="M205" s="741">
        <v>26.29</v>
      </c>
      <c r="N205" s="67">
        <v>49</v>
      </c>
      <c r="O205" s="67">
        <v>3689</v>
      </c>
      <c r="Q205" s="674">
        <v>0</v>
      </c>
      <c r="R205" s="674">
        <v>322.31745265348593</v>
      </c>
      <c r="S205" s="798" t="s">
        <v>621</v>
      </c>
      <c r="T205" s="798">
        <v>5.75</v>
      </c>
      <c r="U205" s="88">
        <v>4011.3174526534858</v>
      </c>
      <c r="V205" s="71">
        <v>140.3195131228604</v>
      </c>
      <c r="W205" s="449"/>
      <c r="X205" s="67">
        <v>5056</v>
      </c>
      <c r="Y205" s="163">
        <v>-1367</v>
      </c>
      <c r="Z205" s="166">
        <v>-0.270371835443038</v>
      </c>
      <c r="AA205" s="61"/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724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 t="s">
        <v>723</v>
      </c>
      <c r="T206" s="798">
        <v>0</v>
      </c>
      <c r="U206" s="88">
        <v>0</v>
      </c>
      <c r="V206" s="71">
        <v>0</v>
      </c>
      <c r="W206" s="449"/>
      <c r="X206" s="67">
        <v>0</v>
      </c>
      <c r="Y206" s="163">
        <v>0</v>
      </c>
      <c r="Z206" s="166">
        <v>0</v>
      </c>
      <c r="AA206" s="61"/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722.86</v>
      </c>
      <c r="E207" s="67">
        <v>100074</v>
      </c>
      <c r="F207" s="146">
        <v>0</v>
      </c>
      <c r="G207" s="146">
        <v>0</v>
      </c>
      <c r="H207" s="91">
        <v>100074</v>
      </c>
      <c r="I207" s="67">
        <v>0</v>
      </c>
      <c r="J207" s="739">
        <v>100074</v>
      </c>
      <c r="K207" s="132" t="s">
        <v>621</v>
      </c>
      <c r="L207" s="740">
        <v>0</v>
      </c>
      <c r="M207" s="741">
        <v>722.86</v>
      </c>
      <c r="N207" s="67">
        <v>1356</v>
      </c>
      <c r="O207" s="67">
        <v>101430</v>
      </c>
      <c r="Q207" s="674">
        <v>0</v>
      </c>
      <c r="R207" s="674">
        <v>12815.622193548386</v>
      </c>
      <c r="S207" s="798" t="s">
        <v>621</v>
      </c>
      <c r="T207" s="798">
        <v>228.625</v>
      </c>
      <c r="U207" s="88">
        <v>114245.62219354839</v>
      </c>
      <c r="V207" s="71">
        <v>140.31762720305454</v>
      </c>
      <c r="W207" s="449"/>
      <c r="X207" s="67">
        <v>105614</v>
      </c>
      <c r="Y207" s="163">
        <v>-4184</v>
      </c>
      <c r="Z207" s="166">
        <v>-3.9615960005302327E-2</v>
      </c>
      <c r="AA207" s="61"/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305.94499999999999</v>
      </c>
      <c r="E208" s="67">
        <v>42355</v>
      </c>
      <c r="F208" s="146">
        <v>0</v>
      </c>
      <c r="G208" s="146">
        <v>0</v>
      </c>
      <c r="H208" s="91">
        <v>42355</v>
      </c>
      <c r="I208" s="67">
        <v>0</v>
      </c>
      <c r="J208" s="739">
        <v>42355</v>
      </c>
      <c r="K208" s="132" t="s">
        <v>621</v>
      </c>
      <c r="L208" s="740">
        <v>0</v>
      </c>
      <c r="M208" s="741">
        <v>305.94499999999999</v>
      </c>
      <c r="N208" s="67">
        <v>574</v>
      </c>
      <c r="O208" s="67">
        <v>42929</v>
      </c>
      <c r="Q208" s="674">
        <v>0</v>
      </c>
      <c r="R208" s="674">
        <v>5416.3345848074923</v>
      </c>
      <c r="S208" s="798" t="s">
        <v>621</v>
      </c>
      <c r="T208" s="798">
        <v>96.625</v>
      </c>
      <c r="U208" s="88">
        <v>48345.33458480749</v>
      </c>
      <c r="V208" s="71">
        <v>140.31606988184151</v>
      </c>
      <c r="W208" s="449"/>
      <c r="X208" s="67">
        <v>37908</v>
      </c>
      <c r="Y208" s="163">
        <v>5021</v>
      </c>
      <c r="Z208" s="166">
        <v>0.13245225282262318</v>
      </c>
      <c r="AA208" s="61"/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62.71</v>
      </c>
      <c r="E209" s="67">
        <v>8682</v>
      </c>
      <c r="F209" s="146">
        <v>0</v>
      </c>
      <c r="G209" s="146">
        <v>0</v>
      </c>
      <c r="H209" s="91">
        <v>8682</v>
      </c>
      <c r="I209" s="67">
        <v>0</v>
      </c>
      <c r="J209" s="739">
        <v>8682</v>
      </c>
      <c r="K209" s="132" t="s">
        <v>644</v>
      </c>
      <c r="L209" s="740">
        <v>8682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 t="s">
        <v>723</v>
      </c>
      <c r="T209" s="798">
        <v>0</v>
      </c>
      <c r="U209" s="88">
        <v>0</v>
      </c>
      <c r="V209" s="71">
        <v>0</v>
      </c>
      <c r="W209" s="449"/>
      <c r="X209" s="67">
        <v>8132</v>
      </c>
      <c r="Y209" s="163">
        <v>-8132</v>
      </c>
      <c r="Z209" s="166">
        <v>-1</v>
      </c>
      <c r="AA209" s="61"/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77.789999999999992</v>
      </c>
      <c r="E210" s="67">
        <v>10769</v>
      </c>
      <c r="F210" s="146">
        <v>0</v>
      </c>
      <c r="G210" s="146">
        <v>0</v>
      </c>
      <c r="H210" s="91">
        <v>10769</v>
      </c>
      <c r="I210" s="67">
        <v>0</v>
      </c>
      <c r="J210" s="739">
        <v>10769</v>
      </c>
      <c r="K210" s="132" t="s">
        <v>621</v>
      </c>
      <c r="L210" s="740">
        <v>0</v>
      </c>
      <c r="M210" s="741">
        <v>77.789999999999992</v>
      </c>
      <c r="N210" s="67">
        <v>146</v>
      </c>
      <c r="O210" s="67">
        <v>10915</v>
      </c>
      <c r="Q210" s="674">
        <v>0</v>
      </c>
      <c r="R210" s="674">
        <v>1401.3802289281998</v>
      </c>
      <c r="S210" s="798" t="s">
        <v>723</v>
      </c>
      <c r="T210" s="798">
        <v>25</v>
      </c>
      <c r="U210" s="88">
        <v>12316.380228928199</v>
      </c>
      <c r="V210" s="71">
        <v>140.31366499550072</v>
      </c>
      <c r="W210" s="449"/>
      <c r="X210" s="67">
        <v>0</v>
      </c>
      <c r="Y210" s="163">
        <v>10915</v>
      </c>
      <c r="Z210" s="166">
        <v>0</v>
      </c>
      <c r="AA210" s="61"/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24</v>
      </c>
      <c r="E211" s="67">
        <v>3323</v>
      </c>
      <c r="F211" s="146">
        <v>0</v>
      </c>
      <c r="G211" s="146">
        <v>0</v>
      </c>
      <c r="H211" s="91">
        <v>3323</v>
      </c>
      <c r="I211" s="67">
        <v>0</v>
      </c>
      <c r="J211" s="739">
        <v>3323</v>
      </c>
      <c r="K211" s="132" t="s">
        <v>724</v>
      </c>
      <c r="L211" s="740">
        <v>3323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 t="s">
        <v>723</v>
      </c>
      <c r="T211" s="798">
        <v>0</v>
      </c>
      <c r="U211" s="88">
        <v>0</v>
      </c>
      <c r="V211" s="71">
        <v>0</v>
      </c>
      <c r="W211" s="449"/>
      <c r="X211" s="67">
        <v>4324</v>
      </c>
      <c r="Y211" s="163">
        <v>-4324</v>
      </c>
      <c r="Z211" s="166">
        <v>-1</v>
      </c>
      <c r="AA211" s="61"/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1645.375</v>
      </c>
      <c r="E212" s="67">
        <v>227788</v>
      </c>
      <c r="F212" s="146">
        <v>0</v>
      </c>
      <c r="G212" s="146">
        <v>0</v>
      </c>
      <c r="H212" s="91">
        <v>227788</v>
      </c>
      <c r="I212" s="67">
        <v>0</v>
      </c>
      <c r="J212" s="739">
        <v>227788</v>
      </c>
      <c r="K212" s="132" t="s">
        <v>621</v>
      </c>
      <c r="L212" s="740">
        <v>0</v>
      </c>
      <c r="M212" s="741">
        <v>1645.375</v>
      </c>
      <c r="N212" s="67">
        <v>3086</v>
      </c>
      <c r="O212" s="67">
        <v>230874</v>
      </c>
      <c r="Q212" s="674">
        <v>0</v>
      </c>
      <c r="R212" s="674">
        <v>0</v>
      </c>
      <c r="S212" s="798" t="s">
        <v>644</v>
      </c>
      <c r="T212" s="798">
        <v>0</v>
      </c>
      <c r="U212" s="88">
        <v>230874</v>
      </c>
      <c r="V212" s="71">
        <v>140.31694902377876</v>
      </c>
      <c r="W212" s="449"/>
      <c r="X212" s="67">
        <v>239540</v>
      </c>
      <c r="Y212" s="163">
        <v>-8666</v>
      </c>
      <c r="Z212" s="166">
        <v>-3.6177673874926944E-2</v>
      </c>
      <c r="AA212" s="61"/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724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 t="s">
        <v>723</v>
      </c>
      <c r="T213" s="798">
        <v>0</v>
      </c>
      <c r="U213" s="88">
        <v>0</v>
      </c>
      <c r="V213" s="71">
        <v>0</v>
      </c>
      <c r="W213" s="449"/>
      <c r="X213" s="67">
        <v>0</v>
      </c>
      <c r="Y213" s="163">
        <v>0</v>
      </c>
      <c r="Z213" s="166">
        <v>0</v>
      </c>
      <c r="AA213" s="61"/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724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 t="s">
        <v>723</v>
      </c>
      <c r="T214" s="798">
        <v>0</v>
      </c>
      <c r="U214" s="88">
        <v>0</v>
      </c>
      <c r="V214" s="71">
        <v>0</v>
      </c>
      <c r="W214" s="449"/>
      <c r="X214" s="67">
        <v>0</v>
      </c>
      <c r="Y214" s="163">
        <v>0</v>
      </c>
      <c r="Z214" s="166">
        <v>0</v>
      </c>
      <c r="AA214" s="61"/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724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 t="s">
        <v>723</v>
      </c>
      <c r="T215" s="798">
        <v>0</v>
      </c>
      <c r="U215" s="88">
        <v>0</v>
      </c>
      <c r="V215" s="71">
        <v>0</v>
      </c>
      <c r="W215" s="449"/>
      <c r="X215" s="67">
        <v>0</v>
      </c>
      <c r="Y215" s="163">
        <v>0</v>
      </c>
      <c r="Z215" s="166">
        <v>0</v>
      </c>
      <c r="AA215" s="61"/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15.86</v>
      </c>
      <c r="E216" s="67">
        <v>2196</v>
      </c>
      <c r="F216" s="146">
        <v>0</v>
      </c>
      <c r="G216" s="146">
        <v>0</v>
      </c>
      <c r="H216" s="91">
        <v>2196</v>
      </c>
      <c r="I216" s="67">
        <v>0</v>
      </c>
      <c r="J216" s="739">
        <v>2196</v>
      </c>
      <c r="K216" s="132" t="s">
        <v>724</v>
      </c>
      <c r="L216" s="740">
        <v>2196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 t="s">
        <v>723</v>
      </c>
      <c r="T216" s="798">
        <v>0</v>
      </c>
      <c r="U216" s="88">
        <v>0</v>
      </c>
      <c r="V216" s="71">
        <v>0</v>
      </c>
      <c r="W216" s="449"/>
      <c r="X216" s="67">
        <v>3550</v>
      </c>
      <c r="Y216" s="163">
        <v>-3550</v>
      </c>
      <c r="Z216" s="166">
        <v>-1</v>
      </c>
      <c r="AA216" s="61"/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2556.0149999999999</v>
      </c>
      <c r="E217" s="67">
        <v>353858</v>
      </c>
      <c r="F217" s="146">
        <v>0</v>
      </c>
      <c r="G217" s="146">
        <v>0</v>
      </c>
      <c r="H217" s="91">
        <v>353858</v>
      </c>
      <c r="I217" s="67">
        <v>0</v>
      </c>
      <c r="J217" s="739">
        <v>353858</v>
      </c>
      <c r="K217" s="132" t="s">
        <v>621</v>
      </c>
      <c r="L217" s="740">
        <v>0</v>
      </c>
      <c r="M217" s="741">
        <v>2556.0149999999999</v>
      </c>
      <c r="N217" s="67">
        <v>4794</v>
      </c>
      <c r="O217" s="67">
        <v>358652</v>
      </c>
      <c r="Q217" s="674">
        <v>0</v>
      </c>
      <c r="R217" s="674">
        <v>35314.781768990637</v>
      </c>
      <c r="S217" s="798" t="s">
        <v>621</v>
      </c>
      <c r="T217" s="798">
        <v>630</v>
      </c>
      <c r="U217" s="88">
        <v>393966.78176899062</v>
      </c>
      <c r="V217" s="71">
        <v>140.31686042531049</v>
      </c>
      <c r="W217" s="449"/>
      <c r="X217" s="67">
        <v>323274</v>
      </c>
      <c r="Y217" s="163">
        <v>35378</v>
      </c>
      <c r="Z217" s="166">
        <v>0.1094365770213503</v>
      </c>
      <c r="AA217" s="61"/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326.14</v>
      </c>
      <c r="E218" s="67">
        <v>45151</v>
      </c>
      <c r="F218" s="146">
        <v>0</v>
      </c>
      <c r="G218" s="146">
        <v>0</v>
      </c>
      <c r="H218" s="91">
        <v>45151</v>
      </c>
      <c r="I218" s="67">
        <v>0</v>
      </c>
      <c r="J218" s="739">
        <v>45151</v>
      </c>
      <c r="K218" s="132" t="s">
        <v>621</v>
      </c>
      <c r="L218" s="740">
        <v>0</v>
      </c>
      <c r="M218" s="741">
        <v>326.14</v>
      </c>
      <c r="N218" s="67">
        <v>612</v>
      </c>
      <c r="O218" s="67">
        <v>45763</v>
      </c>
      <c r="Q218" s="674">
        <v>0</v>
      </c>
      <c r="R218" s="674">
        <v>0</v>
      </c>
      <c r="S218" s="798" t="s">
        <v>644</v>
      </c>
      <c r="T218" s="798">
        <v>0</v>
      </c>
      <c r="U218" s="88">
        <v>45763</v>
      </c>
      <c r="V218" s="71">
        <v>140.31704176120684</v>
      </c>
      <c r="W218" s="449"/>
      <c r="X218" s="67">
        <v>43588</v>
      </c>
      <c r="Y218" s="163">
        <v>2175</v>
      </c>
      <c r="Z218" s="166">
        <v>4.9899054785720841E-2</v>
      </c>
      <c r="AA218" s="61"/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2971.71</v>
      </c>
      <c r="E219" s="67">
        <v>411407</v>
      </c>
      <c r="F219" s="146">
        <v>0</v>
      </c>
      <c r="G219" s="146">
        <v>0</v>
      </c>
      <c r="H219" s="91">
        <v>411407</v>
      </c>
      <c r="I219" s="67">
        <v>0</v>
      </c>
      <c r="J219" s="739">
        <v>411407</v>
      </c>
      <c r="K219" s="132" t="s">
        <v>621</v>
      </c>
      <c r="L219" s="740">
        <v>0</v>
      </c>
      <c r="M219" s="741">
        <v>2971.71</v>
      </c>
      <c r="N219" s="67">
        <v>5573</v>
      </c>
      <c r="O219" s="67">
        <v>416980</v>
      </c>
      <c r="Q219" s="674">
        <v>0</v>
      </c>
      <c r="R219" s="674">
        <v>40766.150859521331</v>
      </c>
      <c r="S219" s="798" t="s">
        <v>621</v>
      </c>
      <c r="T219" s="798">
        <v>727.25</v>
      </c>
      <c r="U219" s="88">
        <v>457746.15085952135</v>
      </c>
      <c r="V219" s="71">
        <v>140.31651809900697</v>
      </c>
      <c r="W219" s="449"/>
      <c r="X219" s="67">
        <v>389172</v>
      </c>
      <c r="Y219" s="163">
        <v>27808</v>
      </c>
      <c r="Z219" s="166">
        <v>7.1454267007903957E-2</v>
      </c>
      <c r="AA219" s="61"/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2559</v>
      </c>
      <c r="E220" s="67">
        <v>354271</v>
      </c>
      <c r="F220" s="146">
        <v>0</v>
      </c>
      <c r="G220" s="146">
        <v>0</v>
      </c>
      <c r="H220" s="91">
        <v>354271</v>
      </c>
      <c r="I220" s="67">
        <v>0</v>
      </c>
      <c r="J220" s="739">
        <v>354271</v>
      </c>
      <c r="K220" s="132" t="s">
        <v>621</v>
      </c>
      <c r="L220" s="740">
        <v>0</v>
      </c>
      <c r="M220" s="741">
        <v>2559</v>
      </c>
      <c r="N220" s="67">
        <v>4799</v>
      </c>
      <c r="O220" s="67">
        <v>359070</v>
      </c>
      <c r="Q220" s="674">
        <v>0</v>
      </c>
      <c r="R220" s="674">
        <v>43022.373028095732</v>
      </c>
      <c r="S220" s="798" t="s">
        <v>621</v>
      </c>
      <c r="T220" s="798">
        <v>767.5</v>
      </c>
      <c r="U220" s="88">
        <v>402092.37302809575</v>
      </c>
      <c r="V220" s="71">
        <v>140.31652989449003</v>
      </c>
      <c r="W220" s="449"/>
      <c r="X220" s="67">
        <v>337043</v>
      </c>
      <c r="Y220" s="163">
        <v>22027</v>
      </c>
      <c r="Z220" s="166">
        <v>6.5353678907439108E-2</v>
      </c>
      <c r="AA220" s="61"/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273.80500000000001</v>
      </c>
      <c r="E221" s="67">
        <v>37906</v>
      </c>
      <c r="F221" s="146">
        <v>0</v>
      </c>
      <c r="G221" s="146">
        <v>0</v>
      </c>
      <c r="H221" s="91">
        <v>37906</v>
      </c>
      <c r="I221" s="67">
        <v>0</v>
      </c>
      <c r="J221" s="739">
        <v>37906</v>
      </c>
      <c r="K221" s="132" t="s">
        <v>621</v>
      </c>
      <c r="L221" s="740">
        <v>0</v>
      </c>
      <c r="M221" s="741">
        <v>273.80500000000001</v>
      </c>
      <c r="N221" s="67">
        <v>514</v>
      </c>
      <c r="O221" s="67">
        <v>38420</v>
      </c>
      <c r="Q221" s="674">
        <v>0</v>
      </c>
      <c r="R221" s="674">
        <v>4470.4029302809577</v>
      </c>
      <c r="S221" s="798" t="s">
        <v>621</v>
      </c>
      <c r="T221" s="798">
        <v>79.75</v>
      </c>
      <c r="U221" s="88">
        <v>42890.402930280958</v>
      </c>
      <c r="V221" s="71">
        <v>140.31884005040084</v>
      </c>
      <c r="W221" s="449"/>
      <c r="X221" s="67">
        <v>38016</v>
      </c>
      <c r="Y221" s="163">
        <v>404</v>
      </c>
      <c r="Z221" s="166">
        <v>1.0627104377104377E-2</v>
      </c>
      <c r="AA221" s="61"/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1133.25</v>
      </c>
      <c r="E222" s="67">
        <v>156888</v>
      </c>
      <c r="F222" s="146">
        <v>0</v>
      </c>
      <c r="G222" s="146">
        <v>0</v>
      </c>
      <c r="H222" s="91">
        <v>156888</v>
      </c>
      <c r="I222" s="67">
        <v>0</v>
      </c>
      <c r="J222" s="739">
        <v>156888</v>
      </c>
      <c r="K222" s="132" t="s">
        <v>621</v>
      </c>
      <c r="L222" s="740">
        <v>0</v>
      </c>
      <c r="M222" s="741">
        <v>1133.25</v>
      </c>
      <c r="N222" s="67">
        <v>2125</v>
      </c>
      <c r="O222" s="67">
        <v>159013</v>
      </c>
      <c r="Q222" s="674">
        <v>0</v>
      </c>
      <c r="R222" s="674">
        <v>0</v>
      </c>
      <c r="S222" s="798" t="s">
        <v>644</v>
      </c>
      <c r="T222" s="798">
        <v>0</v>
      </c>
      <c r="U222" s="88">
        <v>159013</v>
      </c>
      <c r="V222" s="71">
        <v>140.31590558129275</v>
      </c>
      <c r="W222" s="449"/>
      <c r="X222" s="67">
        <v>178139</v>
      </c>
      <c r="Y222" s="163">
        <v>-19126</v>
      </c>
      <c r="Z222" s="166">
        <v>-0.10736559652855354</v>
      </c>
      <c r="AA222" s="61"/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724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 t="s">
        <v>723</v>
      </c>
      <c r="T223" s="798">
        <v>0</v>
      </c>
      <c r="U223" s="88">
        <v>0</v>
      </c>
      <c r="V223" s="71">
        <v>0</v>
      </c>
      <c r="W223" s="449"/>
      <c r="X223" s="67">
        <v>0</v>
      </c>
      <c r="Y223" s="163">
        <v>0</v>
      </c>
      <c r="Z223" s="166">
        <v>0</v>
      </c>
      <c r="AA223" s="61"/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530.71</v>
      </c>
      <c r="E224" s="67">
        <v>73472</v>
      </c>
      <c r="F224" s="146">
        <v>0</v>
      </c>
      <c r="G224" s="146">
        <v>0</v>
      </c>
      <c r="H224" s="91">
        <v>73472</v>
      </c>
      <c r="I224" s="67">
        <v>0</v>
      </c>
      <c r="J224" s="739">
        <v>73472</v>
      </c>
      <c r="K224" s="132" t="s">
        <v>621</v>
      </c>
      <c r="L224" s="740">
        <v>0</v>
      </c>
      <c r="M224" s="741">
        <v>530.71</v>
      </c>
      <c r="N224" s="67">
        <v>995</v>
      </c>
      <c r="O224" s="67">
        <v>74467</v>
      </c>
      <c r="Q224" s="674">
        <v>0</v>
      </c>
      <c r="R224" s="674">
        <v>6831.7286160249741</v>
      </c>
      <c r="S224" s="798" t="s">
        <v>621</v>
      </c>
      <c r="T224" s="798">
        <v>121.875</v>
      </c>
      <c r="U224" s="88">
        <v>81298.728616024979</v>
      </c>
      <c r="V224" s="71">
        <v>140.31580335776601</v>
      </c>
      <c r="W224" s="449"/>
      <c r="X224" s="67">
        <v>81991</v>
      </c>
      <c r="Y224" s="163">
        <v>-7524</v>
      </c>
      <c r="Z224" s="166">
        <v>-9.1766169457623392E-2</v>
      </c>
      <c r="AA224" s="61"/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322.70999999999998</v>
      </c>
      <c r="E225" s="67">
        <v>44676</v>
      </c>
      <c r="F225" s="146">
        <v>0</v>
      </c>
      <c r="G225" s="146">
        <v>0</v>
      </c>
      <c r="H225" s="91">
        <v>44676</v>
      </c>
      <c r="I225" s="67">
        <v>0</v>
      </c>
      <c r="J225" s="739">
        <v>44676</v>
      </c>
      <c r="K225" s="132" t="s">
        <v>621</v>
      </c>
      <c r="L225" s="740">
        <v>0</v>
      </c>
      <c r="M225" s="741">
        <v>322.70999999999998</v>
      </c>
      <c r="N225" s="67">
        <v>605</v>
      </c>
      <c r="O225" s="67">
        <v>45281</v>
      </c>
      <c r="Q225" s="674">
        <v>0</v>
      </c>
      <c r="R225" s="674">
        <v>0</v>
      </c>
      <c r="S225" s="798" t="s">
        <v>644</v>
      </c>
      <c r="T225" s="798">
        <v>0</v>
      </c>
      <c r="U225" s="88">
        <v>45281</v>
      </c>
      <c r="V225" s="71">
        <v>140.31483375166559</v>
      </c>
      <c r="W225" s="449"/>
      <c r="X225" s="67">
        <v>46944</v>
      </c>
      <c r="Y225" s="163">
        <v>-1663</v>
      </c>
      <c r="Z225" s="166">
        <v>-3.5425187457396048E-2</v>
      </c>
      <c r="AA225" s="61"/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118</v>
      </c>
      <c r="E226" s="67">
        <v>16336</v>
      </c>
      <c r="F226" s="146">
        <v>0</v>
      </c>
      <c r="G226" s="146">
        <v>0</v>
      </c>
      <c r="H226" s="91">
        <v>16336</v>
      </c>
      <c r="I226" s="67">
        <v>0</v>
      </c>
      <c r="J226" s="739">
        <v>16336</v>
      </c>
      <c r="K226" s="132" t="s">
        <v>621</v>
      </c>
      <c r="L226" s="740">
        <v>0</v>
      </c>
      <c r="M226" s="741">
        <v>118</v>
      </c>
      <c r="N226" s="67">
        <v>221</v>
      </c>
      <c r="O226" s="67">
        <v>16557</v>
      </c>
      <c r="Q226" s="674">
        <v>0</v>
      </c>
      <c r="R226" s="674">
        <v>0</v>
      </c>
      <c r="S226" s="798" t="s">
        <v>644</v>
      </c>
      <c r="T226" s="798">
        <v>0</v>
      </c>
      <c r="U226" s="88">
        <v>16557</v>
      </c>
      <c r="V226" s="71">
        <v>140.31355932203391</v>
      </c>
      <c r="W226" s="449"/>
      <c r="X226" s="67">
        <v>15813</v>
      </c>
      <c r="Y226" s="163">
        <v>744</v>
      </c>
      <c r="Z226" s="166">
        <v>4.7049895655473344E-2</v>
      </c>
      <c r="AA226" s="61"/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138.57</v>
      </c>
      <c r="E227" s="67">
        <v>19184</v>
      </c>
      <c r="F227" s="146">
        <v>0</v>
      </c>
      <c r="G227" s="146">
        <v>0</v>
      </c>
      <c r="H227" s="91">
        <v>19184</v>
      </c>
      <c r="I227" s="67">
        <v>0</v>
      </c>
      <c r="J227" s="739">
        <v>19184</v>
      </c>
      <c r="K227" s="132" t="s">
        <v>621</v>
      </c>
      <c r="L227" s="740">
        <v>0</v>
      </c>
      <c r="M227" s="741">
        <v>138.57</v>
      </c>
      <c r="N227" s="67">
        <v>260</v>
      </c>
      <c r="O227" s="67">
        <v>19444</v>
      </c>
      <c r="Q227" s="674">
        <v>0</v>
      </c>
      <c r="R227" s="674">
        <v>0</v>
      </c>
      <c r="S227" s="798" t="s">
        <v>644</v>
      </c>
      <c r="T227" s="798">
        <v>0</v>
      </c>
      <c r="U227" s="88">
        <v>19444</v>
      </c>
      <c r="V227" s="71">
        <v>140.31897236053982</v>
      </c>
      <c r="W227" s="449"/>
      <c r="X227" s="67">
        <v>19578</v>
      </c>
      <c r="Y227" s="163">
        <v>-134</v>
      </c>
      <c r="Z227" s="166">
        <v>-6.8444172029829397E-3</v>
      </c>
      <c r="AA227" s="61"/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2.71</v>
      </c>
      <c r="E228" s="67">
        <v>375</v>
      </c>
      <c r="F228" s="146">
        <v>0</v>
      </c>
      <c r="G228" s="146">
        <v>0</v>
      </c>
      <c r="H228" s="91">
        <v>375</v>
      </c>
      <c r="I228" s="67">
        <v>0</v>
      </c>
      <c r="J228" s="739">
        <v>375</v>
      </c>
      <c r="K228" s="132" t="s">
        <v>724</v>
      </c>
      <c r="L228" s="740">
        <v>375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 t="s">
        <v>723</v>
      </c>
      <c r="T228" s="798">
        <v>0</v>
      </c>
      <c r="U228" s="88">
        <v>0</v>
      </c>
      <c r="V228" s="71">
        <v>0</v>
      </c>
      <c r="W228" s="449"/>
      <c r="X228" s="67">
        <v>0</v>
      </c>
      <c r="Y228" s="163">
        <v>0</v>
      </c>
      <c r="Z228" s="166">
        <v>0</v>
      </c>
      <c r="AA228" s="61"/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39.57</v>
      </c>
      <c r="E229" s="67">
        <v>5478</v>
      </c>
      <c r="F229" s="146">
        <v>0</v>
      </c>
      <c r="G229" s="146">
        <v>0</v>
      </c>
      <c r="H229" s="91">
        <v>5478</v>
      </c>
      <c r="I229" s="67">
        <v>0</v>
      </c>
      <c r="J229" s="739">
        <v>5478</v>
      </c>
      <c r="K229" s="132" t="s">
        <v>644</v>
      </c>
      <c r="L229" s="740">
        <v>5478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 t="s">
        <v>723</v>
      </c>
      <c r="T229" s="798">
        <v>0</v>
      </c>
      <c r="U229" s="88">
        <v>0</v>
      </c>
      <c r="V229" s="71">
        <v>0</v>
      </c>
      <c r="W229" s="449"/>
      <c r="X229" s="67">
        <v>5056</v>
      </c>
      <c r="Y229" s="163">
        <v>-5056</v>
      </c>
      <c r="Z229" s="166">
        <v>-1</v>
      </c>
      <c r="AA229" s="61"/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109.625</v>
      </c>
      <c r="E230" s="67">
        <v>15177</v>
      </c>
      <c r="F230" s="146">
        <v>0</v>
      </c>
      <c r="G230" s="146">
        <v>0</v>
      </c>
      <c r="H230" s="91">
        <v>15177</v>
      </c>
      <c r="I230" s="67">
        <v>0</v>
      </c>
      <c r="J230" s="739">
        <v>15177</v>
      </c>
      <c r="K230" s="132" t="s">
        <v>621</v>
      </c>
      <c r="L230" s="740">
        <v>0</v>
      </c>
      <c r="M230" s="741">
        <v>109.625</v>
      </c>
      <c r="N230" s="67">
        <v>206</v>
      </c>
      <c r="O230" s="67">
        <v>15383</v>
      </c>
      <c r="P230" s="674"/>
      <c r="Q230" s="674">
        <v>0</v>
      </c>
      <c r="R230" s="674">
        <v>0</v>
      </c>
      <c r="S230" s="798" t="s">
        <v>644</v>
      </c>
      <c r="T230" s="798">
        <v>0</v>
      </c>
      <c r="U230" s="88">
        <v>15383</v>
      </c>
      <c r="V230" s="71">
        <v>140.32383124287344</v>
      </c>
      <c r="W230" s="449"/>
      <c r="X230" s="67">
        <v>14135</v>
      </c>
      <c r="Y230" s="163">
        <v>1248</v>
      </c>
      <c r="Z230" s="166">
        <v>8.8291475061903074E-2</v>
      </c>
      <c r="AA230" s="115"/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1623.14</v>
      </c>
      <c r="E231" s="67">
        <v>224709</v>
      </c>
      <c r="F231" s="146">
        <v>0</v>
      </c>
      <c r="G231" s="146">
        <v>0</v>
      </c>
      <c r="H231" s="91">
        <v>224709</v>
      </c>
      <c r="I231" s="67">
        <v>0</v>
      </c>
      <c r="J231" s="739">
        <v>224709</v>
      </c>
      <c r="K231" s="132" t="s">
        <v>621</v>
      </c>
      <c r="L231" s="740">
        <v>0</v>
      </c>
      <c r="M231" s="741">
        <v>1623.14</v>
      </c>
      <c r="N231" s="67">
        <v>3044</v>
      </c>
      <c r="O231" s="67">
        <v>227753</v>
      </c>
      <c r="Q231" s="674">
        <v>0</v>
      </c>
      <c r="R231" s="674">
        <v>0</v>
      </c>
      <c r="S231" s="798" t="s">
        <v>644</v>
      </c>
      <c r="T231" s="798">
        <v>0</v>
      </c>
      <c r="U231" s="88">
        <v>227753</v>
      </c>
      <c r="V231" s="71">
        <v>140.31630050396146</v>
      </c>
      <c r="W231" s="449"/>
      <c r="X231" s="67">
        <v>215659</v>
      </c>
      <c r="Y231" s="163">
        <v>12094</v>
      </c>
      <c r="Z231" s="166">
        <v>5.6079273297196038E-2</v>
      </c>
      <c r="AA231" s="61"/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724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 t="s">
        <v>723</v>
      </c>
      <c r="T232" s="798">
        <v>0</v>
      </c>
      <c r="U232" s="88">
        <v>0</v>
      </c>
      <c r="V232" s="71">
        <v>0</v>
      </c>
      <c r="W232" s="449"/>
      <c r="X232" s="67">
        <v>0</v>
      </c>
      <c r="Y232" s="163">
        <v>0</v>
      </c>
      <c r="Z232" s="166">
        <v>0</v>
      </c>
      <c r="AA232" s="61"/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724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 t="s">
        <v>723</v>
      </c>
      <c r="T233" s="798">
        <v>0</v>
      </c>
      <c r="U233" s="88">
        <v>0</v>
      </c>
      <c r="V233" s="71">
        <v>0</v>
      </c>
      <c r="W233" s="449"/>
      <c r="X233" s="67">
        <v>0</v>
      </c>
      <c r="Y233" s="163">
        <v>0</v>
      </c>
      <c r="Z233" s="166">
        <v>0</v>
      </c>
      <c r="AA233" s="61"/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724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 t="s">
        <v>723</v>
      </c>
      <c r="T234" s="798">
        <v>0</v>
      </c>
      <c r="U234" s="88">
        <v>0</v>
      </c>
      <c r="V234" s="71">
        <v>0</v>
      </c>
      <c r="W234" s="449"/>
      <c r="X234" s="67">
        <v>0</v>
      </c>
      <c r="Y234" s="163">
        <v>0</v>
      </c>
      <c r="Z234" s="166">
        <v>0</v>
      </c>
      <c r="AA234" s="61"/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12.86</v>
      </c>
      <c r="E235" s="67">
        <v>1780</v>
      </c>
      <c r="F235" s="146">
        <v>0</v>
      </c>
      <c r="G235" s="146">
        <v>0</v>
      </c>
      <c r="H235" s="91">
        <v>1780</v>
      </c>
      <c r="I235" s="67">
        <v>0</v>
      </c>
      <c r="J235" s="739">
        <v>1780</v>
      </c>
      <c r="K235" s="132" t="s">
        <v>644</v>
      </c>
      <c r="L235" s="740">
        <v>1780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 t="s">
        <v>723</v>
      </c>
      <c r="T235" s="798">
        <v>0</v>
      </c>
      <c r="U235" s="88">
        <v>0</v>
      </c>
      <c r="V235" s="71">
        <v>0</v>
      </c>
      <c r="W235" s="449"/>
      <c r="X235" s="67">
        <v>1119</v>
      </c>
      <c r="Y235" s="163">
        <v>-1119</v>
      </c>
      <c r="Z235" s="166">
        <v>-1</v>
      </c>
      <c r="AA235" s="61"/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315.29000000000002</v>
      </c>
      <c r="E236" s="67">
        <v>43649</v>
      </c>
      <c r="F236" s="146">
        <v>0</v>
      </c>
      <c r="G236" s="146">
        <v>0</v>
      </c>
      <c r="H236" s="91">
        <v>43649</v>
      </c>
      <c r="I236" s="67">
        <v>0</v>
      </c>
      <c r="J236" s="739">
        <v>43649</v>
      </c>
      <c r="K236" s="132" t="s">
        <v>621</v>
      </c>
      <c r="L236" s="740">
        <v>0</v>
      </c>
      <c r="M236" s="741">
        <v>315.29000000000002</v>
      </c>
      <c r="N236" s="67">
        <v>591</v>
      </c>
      <c r="O236" s="67">
        <v>44240</v>
      </c>
      <c r="Q236" s="674">
        <v>0</v>
      </c>
      <c r="R236" s="674">
        <v>6838.7355171696145</v>
      </c>
      <c r="S236" s="798" t="s">
        <v>621</v>
      </c>
      <c r="T236" s="798">
        <v>122</v>
      </c>
      <c r="U236" s="88">
        <v>51078.735517169611</v>
      </c>
      <c r="V236" s="71">
        <v>140.31526531130069</v>
      </c>
      <c r="W236" s="449"/>
      <c r="X236" s="67">
        <v>41436</v>
      </c>
      <c r="Y236" s="163">
        <v>2804</v>
      </c>
      <c r="Z236" s="166">
        <v>6.7670624577661931E-2</v>
      </c>
      <c r="AA236" s="61"/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410.71</v>
      </c>
      <c r="E237" s="67">
        <v>56859</v>
      </c>
      <c r="F237" s="146">
        <v>0</v>
      </c>
      <c r="G237" s="146">
        <v>0</v>
      </c>
      <c r="H237" s="91">
        <v>56859</v>
      </c>
      <c r="I237" s="67">
        <v>0</v>
      </c>
      <c r="J237" s="739">
        <v>56859</v>
      </c>
      <c r="K237" s="132" t="s">
        <v>621</v>
      </c>
      <c r="L237" s="740">
        <v>0</v>
      </c>
      <c r="M237" s="741">
        <v>410.71</v>
      </c>
      <c r="N237" s="67">
        <v>770</v>
      </c>
      <c r="O237" s="67">
        <v>57629</v>
      </c>
      <c r="Q237" s="674">
        <v>0</v>
      </c>
      <c r="R237" s="674">
        <v>0</v>
      </c>
      <c r="S237" s="798" t="s">
        <v>644</v>
      </c>
      <c r="T237" s="798">
        <v>0</v>
      </c>
      <c r="U237" s="88">
        <v>57629</v>
      </c>
      <c r="V237" s="71">
        <v>140.3155511187943</v>
      </c>
      <c r="W237" s="449"/>
      <c r="X237" s="67">
        <v>50882</v>
      </c>
      <c r="Y237" s="163">
        <v>6747</v>
      </c>
      <c r="Z237" s="166">
        <v>0.13260091977516608</v>
      </c>
      <c r="AA237" s="61"/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724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 t="s">
        <v>723</v>
      </c>
      <c r="T238" s="798">
        <v>0</v>
      </c>
      <c r="U238" s="88">
        <v>0</v>
      </c>
      <c r="V238" s="71">
        <v>0</v>
      </c>
      <c r="W238" s="449"/>
      <c r="X238" s="67">
        <v>0</v>
      </c>
      <c r="Y238" s="163">
        <v>0</v>
      </c>
      <c r="Z238" s="166">
        <v>0</v>
      </c>
      <c r="AA238" s="61"/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124.29</v>
      </c>
      <c r="E239" s="67">
        <v>17207</v>
      </c>
      <c r="F239" s="146">
        <v>0</v>
      </c>
      <c r="G239" s="146">
        <v>0</v>
      </c>
      <c r="H239" s="91">
        <v>17207</v>
      </c>
      <c r="I239" s="67">
        <v>0</v>
      </c>
      <c r="J239" s="739">
        <v>17207</v>
      </c>
      <c r="K239" s="132" t="s">
        <v>621</v>
      </c>
      <c r="L239" s="740">
        <v>0</v>
      </c>
      <c r="M239" s="741">
        <v>124.29</v>
      </c>
      <c r="N239" s="67">
        <v>233</v>
      </c>
      <c r="O239" s="67">
        <v>17440</v>
      </c>
      <c r="Q239" s="674">
        <v>0</v>
      </c>
      <c r="R239" s="674">
        <v>1905.8771113423518</v>
      </c>
      <c r="S239" s="798" t="s">
        <v>621</v>
      </c>
      <c r="T239" s="798">
        <v>34</v>
      </c>
      <c r="U239" s="88">
        <v>19345.87711134235</v>
      </c>
      <c r="V239" s="71">
        <v>140.31700056319897</v>
      </c>
      <c r="W239" s="449"/>
      <c r="X239" s="67">
        <v>14565</v>
      </c>
      <c r="Y239" s="163">
        <v>2875</v>
      </c>
      <c r="Z239" s="166">
        <v>0.19739100583590799</v>
      </c>
      <c r="AA239" s="61"/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124</v>
      </c>
      <c r="E240" s="67">
        <v>17167</v>
      </c>
      <c r="F240" s="146">
        <v>0</v>
      </c>
      <c r="G240" s="146">
        <v>0</v>
      </c>
      <c r="H240" s="91">
        <v>17167</v>
      </c>
      <c r="I240" s="67">
        <v>0</v>
      </c>
      <c r="J240" s="739">
        <v>17167</v>
      </c>
      <c r="K240" s="132" t="s">
        <v>621</v>
      </c>
      <c r="L240" s="740">
        <v>0</v>
      </c>
      <c r="M240" s="741">
        <v>124</v>
      </c>
      <c r="N240" s="67">
        <v>233</v>
      </c>
      <c r="O240" s="67">
        <v>17400</v>
      </c>
      <c r="Q240" s="674">
        <v>0</v>
      </c>
      <c r="R240" s="674">
        <v>0</v>
      </c>
      <c r="S240" s="798" t="s">
        <v>644</v>
      </c>
      <c r="T240" s="798">
        <v>0</v>
      </c>
      <c r="U240" s="88">
        <v>17400</v>
      </c>
      <c r="V240" s="71">
        <v>140.32258064516128</v>
      </c>
      <c r="W240" s="449"/>
      <c r="X240" s="67">
        <v>18028</v>
      </c>
      <c r="Y240" s="163">
        <v>-628</v>
      </c>
      <c r="Z240" s="166">
        <v>-3.4834701575327268E-2</v>
      </c>
      <c r="AA240" s="61"/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0.28999999999999998</v>
      </c>
      <c r="E241" s="67">
        <v>40</v>
      </c>
      <c r="F241" s="146">
        <v>0</v>
      </c>
      <c r="G241" s="146">
        <v>0</v>
      </c>
      <c r="H241" s="91">
        <v>40</v>
      </c>
      <c r="I241" s="67">
        <v>0</v>
      </c>
      <c r="J241" s="739">
        <v>40</v>
      </c>
      <c r="K241" s="132" t="s">
        <v>724</v>
      </c>
      <c r="L241" s="740">
        <v>40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 t="s">
        <v>723</v>
      </c>
      <c r="T241" s="798">
        <v>0</v>
      </c>
      <c r="U241" s="88">
        <v>0</v>
      </c>
      <c r="V241" s="71">
        <v>0</v>
      </c>
      <c r="W241" s="449"/>
      <c r="X241" s="67">
        <v>0</v>
      </c>
      <c r="Y241" s="163">
        <v>0</v>
      </c>
      <c r="Z241" s="166">
        <v>0</v>
      </c>
      <c r="AA241" s="61"/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146.43</v>
      </c>
      <c r="E242" s="67">
        <v>20272</v>
      </c>
      <c r="F242" s="146">
        <v>0</v>
      </c>
      <c r="G242" s="146">
        <v>0</v>
      </c>
      <c r="H242" s="91">
        <v>20272</v>
      </c>
      <c r="I242" s="67">
        <v>0</v>
      </c>
      <c r="J242" s="739">
        <v>20272</v>
      </c>
      <c r="K242" s="132" t="s">
        <v>621</v>
      </c>
      <c r="L242" s="740">
        <v>0</v>
      </c>
      <c r="M242" s="741">
        <v>146.43</v>
      </c>
      <c r="N242" s="67">
        <v>275</v>
      </c>
      <c r="O242" s="67">
        <v>20547</v>
      </c>
      <c r="Q242" s="674">
        <v>0</v>
      </c>
      <c r="R242" s="674">
        <v>1765.7390884495317</v>
      </c>
      <c r="S242" s="798" t="s">
        <v>621</v>
      </c>
      <c r="T242" s="798">
        <v>31.5</v>
      </c>
      <c r="U242" s="88">
        <v>22312.739088449533</v>
      </c>
      <c r="V242" s="71">
        <v>140.31960663798401</v>
      </c>
      <c r="W242" s="449"/>
      <c r="X242" s="67">
        <v>16286</v>
      </c>
      <c r="Y242" s="163">
        <v>4261</v>
      </c>
      <c r="Z242" s="166">
        <v>0.26163576077612671</v>
      </c>
      <c r="AA242" s="61"/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12</v>
      </c>
      <c r="E243" s="67">
        <v>1661</v>
      </c>
      <c r="F243" s="146">
        <v>0</v>
      </c>
      <c r="G243" s="146">
        <v>0</v>
      </c>
      <c r="H243" s="91">
        <v>1661</v>
      </c>
      <c r="I243" s="67">
        <v>0</v>
      </c>
      <c r="J243" s="739">
        <v>1661</v>
      </c>
      <c r="K243" s="132" t="s">
        <v>644</v>
      </c>
      <c r="L243" s="740">
        <v>1661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 t="s">
        <v>723</v>
      </c>
      <c r="T243" s="798">
        <v>0</v>
      </c>
      <c r="U243" s="88">
        <v>0</v>
      </c>
      <c r="V243" s="71">
        <v>0</v>
      </c>
      <c r="W243" s="449"/>
      <c r="X243" s="67">
        <v>1119</v>
      </c>
      <c r="Y243" s="163">
        <v>-1119</v>
      </c>
      <c r="Z243" s="166">
        <v>-1</v>
      </c>
      <c r="AA243" s="61"/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11.57</v>
      </c>
      <c r="E244" s="67">
        <v>1602</v>
      </c>
      <c r="F244" s="146">
        <v>0</v>
      </c>
      <c r="G244" s="146">
        <v>0</v>
      </c>
      <c r="H244" s="91">
        <v>1602</v>
      </c>
      <c r="I244" s="67">
        <v>0</v>
      </c>
      <c r="J244" s="739">
        <v>1602</v>
      </c>
      <c r="K244" s="132" t="s">
        <v>644</v>
      </c>
      <c r="L244" s="740">
        <v>1602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 t="s">
        <v>723</v>
      </c>
      <c r="T244" s="798">
        <v>0</v>
      </c>
      <c r="U244" s="88">
        <v>0</v>
      </c>
      <c r="V244" s="71">
        <v>0</v>
      </c>
      <c r="W244" s="449"/>
      <c r="X244" s="67">
        <v>2023</v>
      </c>
      <c r="Y244" s="163">
        <v>-2023</v>
      </c>
      <c r="Z244" s="166">
        <v>-1</v>
      </c>
      <c r="AA244" s="61"/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724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 t="s">
        <v>723</v>
      </c>
      <c r="T245" s="798">
        <v>0</v>
      </c>
      <c r="U245" s="88">
        <v>0</v>
      </c>
      <c r="V245" s="71">
        <v>0</v>
      </c>
      <c r="W245" s="449"/>
      <c r="X245" s="67">
        <v>0</v>
      </c>
      <c r="Y245" s="163">
        <v>0</v>
      </c>
      <c r="Z245" s="166">
        <v>0</v>
      </c>
      <c r="AA245" s="61"/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724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 t="s">
        <v>723</v>
      </c>
      <c r="T246" s="798">
        <v>0</v>
      </c>
      <c r="U246" s="88">
        <v>0</v>
      </c>
      <c r="V246" s="71">
        <v>0</v>
      </c>
      <c r="W246" s="449"/>
      <c r="X246" s="67">
        <v>774</v>
      </c>
      <c r="Y246" s="163">
        <v>-774</v>
      </c>
      <c r="Z246" s="166">
        <v>-1</v>
      </c>
      <c r="AA246" s="61"/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142.625</v>
      </c>
      <c r="E247" s="67">
        <v>19745</v>
      </c>
      <c r="F247" s="146">
        <v>0</v>
      </c>
      <c r="G247" s="146">
        <v>0</v>
      </c>
      <c r="H247" s="91">
        <v>19745</v>
      </c>
      <c r="I247" s="67">
        <v>0</v>
      </c>
      <c r="J247" s="739">
        <v>19745</v>
      </c>
      <c r="K247" s="132" t="s">
        <v>621</v>
      </c>
      <c r="L247" s="740">
        <v>0</v>
      </c>
      <c r="M247" s="741">
        <v>142.625</v>
      </c>
      <c r="N247" s="67">
        <v>267</v>
      </c>
      <c r="O247" s="67">
        <v>20012</v>
      </c>
      <c r="Q247" s="674">
        <v>0</v>
      </c>
      <c r="R247" s="674">
        <v>0</v>
      </c>
      <c r="S247" s="798" t="s">
        <v>644</v>
      </c>
      <c r="T247" s="798">
        <v>0</v>
      </c>
      <c r="U247" s="88">
        <v>20012</v>
      </c>
      <c r="V247" s="71">
        <v>140.31200701139352</v>
      </c>
      <c r="W247" s="449"/>
      <c r="X247" s="67">
        <v>24096</v>
      </c>
      <c r="Y247" s="163">
        <v>-4084</v>
      </c>
      <c r="Z247" s="166">
        <v>-0.1694887118193891</v>
      </c>
      <c r="AA247" s="61"/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2.29</v>
      </c>
      <c r="E248" s="67">
        <v>317</v>
      </c>
      <c r="F248" s="146">
        <v>0</v>
      </c>
      <c r="G248" s="146">
        <v>0</v>
      </c>
      <c r="H248" s="91">
        <v>317</v>
      </c>
      <c r="I248" s="67">
        <v>0</v>
      </c>
      <c r="J248" s="739">
        <v>317</v>
      </c>
      <c r="K248" s="132" t="s">
        <v>724</v>
      </c>
      <c r="L248" s="740">
        <v>317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 t="s">
        <v>723</v>
      </c>
      <c r="T248" s="798">
        <v>0</v>
      </c>
      <c r="U248" s="88">
        <v>0</v>
      </c>
      <c r="V248" s="71">
        <v>0</v>
      </c>
      <c r="W248" s="449"/>
      <c r="X248" s="67">
        <v>0</v>
      </c>
      <c r="Y248" s="163">
        <v>0</v>
      </c>
      <c r="Z248" s="166">
        <v>0</v>
      </c>
      <c r="AA248" s="61"/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23</v>
      </c>
      <c r="E249" s="67">
        <v>3184</v>
      </c>
      <c r="F249" s="146">
        <v>0</v>
      </c>
      <c r="G249" s="146">
        <v>0</v>
      </c>
      <c r="H249" s="91">
        <v>3184</v>
      </c>
      <c r="I249" s="67">
        <v>0</v>
      </c>
      <c r="J249" s="739">
        <v>3184</v>
      </c>
      <c r="K249" s="132" t="s">
        <v>724</v>
      </c>
      <c r="L249" s="740">
        <v>3184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 t="s">
        <v>723</v>
      </c>
      <c r="T249" s="798">
        <v>0</v>
      </c>
      <c r="U249" s="88">
        <v>0</v>
      </c>
      <c r="V249" s="71">
        <v>0</v>
      </c>
      <c r="W249" s="449"/>
      <c r="X249" s="67">
        <v>4776</v>
      </c>
      <c r="Y249" s="163">
        <v>-4776</v>
      </c>
      <c r="Z249" s="166">
        <v>-1</v>
      </c>
      <c r="AA249" s="61"/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724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 t="s">
        <v>723</v>
      </c>
      <c r="T250" s="798">
        <v>0</v>
      </c>
      <c r="U250" s="88">
        <v>0</v>
      </c>
      <c r="V250" s="71">
        <v>0</v>
      </c>
      <c r="W250" s="449"/>
      <c r="X250" s="67">
        <v>0</v>
      </c>
      <c r="Y250" s="163">
        <v>0</v>
      </c>
      <c r="Z250" s="166">
        <v>0</v>
      </c>
      <c r="AA250" s="61"/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724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 t="s">
        <v>723</v>
      </c>
      <c r="T251" s="798">
        <v>0</v>
      </c>
      <c r="U251" s="88">
        <v>0</v>
      </c>
      <c r="V251" s="71">
        <v>0</v>
      </c>
      <c r="W251" s="449"/>
      <c r="X251" s="67">
        <v>0</v>
      </c>
      <c r="Y251" s="163">
        <v>0</v>
      </c>
      <c r="Z251" s="166">
        <v>0</v>
      </c>
      <c r="AA251" s="61"/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724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 t="s">
        <v>723</v>
      </c>
      <c r="T252" s="798">
        <v>0</v>
      </c>
      <c r="U252" s="88">
        <v>0</v>
      </c>
      <c r="V252" s="71">
        <v>0</v>
      </c>
      <c r="W252" s="449"/>
      <c r="X252" s="67">
        <v>0</v>
      </c>
      <c r="Y252" s="163">
        <v>0</v>
      </c>
      <c r="Z252" s="166">
        <v>0</v>
      </c>
      <c r="AA252" s="61"/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724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 t="s">
        <v>723</v>
      </c>
      <c r="T253" s="798">
        <v>0</v>
      </c>
      <c r="U253" s="88">
        <v>0</v>
      </c>
      <c r="V253" s="71">
        <v>0</v>
      </c>
      <c r="W253" s="449"/>
      <c r="X253" s="67">
        <v>0</v>
      </c>
      <c r="Y253" s="163">
        <v>0</v>
      </c>
      <c r="Z253" s="166">
        <v>0</v>
      </c>
      <c r="AA253" s="61"/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31</v>
      </c>
      <c r="E254" s="67">
        <v>4292</v>
      </c>
      <c r="F254" s="146">
        <v>0</v>
      </c>
      <c r="G254" s="146">
        <v>0</v>
      </c>
      <c r="H254" s="91">
        <v>4292</v>
      </c>
      <c r="I254" s="67">
        <v>0</v>
      </c>
      <c r="J254" s="739">
        <v>4292</v>
      </c>
      <c r="K254" s="132" t="s">
        <v>724</v>
      </c>
      <c r="L254" s="740">
        <v>4292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 t="s">
        <v>723</v>
      </c>
      <c r="T254" s="798">
        <v>0</v>
      </c>
      <c r="U254" s="88">
        <v>0</v>
      </c>
      <c r="V254" s="71">
        <v>0</v>
      </c>
      <c r="W254" s="449"/>
      <c r="X254" s="67">
        <v>0</v>
      </c>
      <c r="Y254" s="163">
        <v>0</v>
      </c>
      <c r="Z254" s="166">
        <v>0</v>
      </c>
      <c r="AA254" s="61"/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724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 t="s">
        <v>723</v>
      </c>
      <c r="T255" s="798">
        <v>0</v>
      </c>
      <c r="U255" s="88">
        <v>0</v>
      </c>
      <c r="V255" s="71">
        <v>0</v>
      </c>
      <c r="W255" s="449"/>
      <c r="X255" s="67">
        <v>0</v>
      </c>
      <c r="Y255" s="163">
        <v>0</v>
      </c>
      <c r="Z255" s="166">
        <v>0</v>
      </c>
      <c r="AA255" s="61"/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0.43</v>
      </c>
      <c r="E256" s="67">
        <v>60</v>
      </c>
      <c r="F256" s="146">
        <v>0</v>
      </c>
      <c r="G256" s="146">
        <v>0</v>
      </c>
      <c r="H256" s="91">
        <v>60</v>
      </c>
      <c r="I256" s="67">
        <v>0</v>
      </c>
      <c r="J256" s="739">
        <v>60</v>
      </c>
      <c r="K256" s="132" t="s">
        <v>724</v>
      </c>
      <c r="L256" s="740">
        <v>60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 t="s">
        <v>723</v>
      </c>
      <c r="T256" s="798">
        <v>0</v>
      </c>
      <c r="U256" s="88">
        <v>0</v>
      </c>
      <c r="V256" s="71">
        <v>0</v>
      </c>
      <c r="W256" s="449"/>
      <c r="X256" s="67">
        <v>0</v>
      </c>
      <c r="Y256" s="163">
        <v>0</v>
      </c>
      <c r="Z256" s="166">
        <v>0</v>
      </c>
      <c r="AA256" s="61"/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120.28571428571429</v>
      </c>
      <c r="E257" s="67">
        <v>16652</v>
      </c>
      <c r="F257" s="146">
        <v>0</v>
      </c>
      <c r="G257" s="146">
        <v>0</v>
      </c>
      <c r="H257" s="91">
        <v>16652</v>
      </c>
      <c r="I257" s="67">
        <v>0</v>
      </c>
      <c r="J257" s="739">
        <v>16652</v>
      </c>
      <c r="K257" s="132" t="s">
        <v>644</v>
      </c>
      <c r="L257" s="740">
        <v>16652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 t="s">
        <v>723</v>
      </c>
      <c r="T257" s="798">
        <v>0</v>
      </c>
      <c r="U257" s="88">
        <v>0</v>
      </c>
      <c r="V257" s="71">
        <v>0</v>
      </c>
      <c r="W257" s="449"/>
      <c r="X257" s="67">
        <v>14824</v>
      </c>
      <c r="Y257" s="163">
        <v>-14824</v>
      </c>
      <c r="Z257" s="166">
        <v>-1</v>
      </c>
      <c r="AA257" s="61"/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697.23500000000001</v>
      </c>
      <c r="E258" s="67">
        <v>96526</v>
      </c>
      <c r="F258" s="146">
        <v>0</v>
      </c>
      <c r="G258" s="146">
        <v>0</v>
      </c>
      <c r="H258" s="91">
        <v>96526</v>
      </c>
      <c r="I258" s="67">
        <v>0</v>
      </c>
      <c r="J258" s="739">
        <v>96526</v>
      </c>
      <c r="K258" s="132" t="s">
        <v>621</v>
      </c>
      <c r="L258" s="740">
        <v>0</v>
      </c>
      <c r="M258" s="741">
        <v>697.23500000000001</v>
      </c>
      <c r="N258" s="67">
        <v>1308</v>
      </c>
      <c r="O258" s="67">
        <v>97834</v>
      </c>
      <c r="Q258" s="674">
        <v>0</v>
      </c>
      <c r="R258" s="674">
        <v>0</v>
      </c>
      <c r="S258" s="798" t="s">
        <v>644</v>
      </c>
      <c r="T258" s="798">
        <v>0</v>
      </c>
      <c r="U258" s="88">
        <v>97834</v>
      </c>
      <c r="V258" s="71">
        <v>140.31710972627593</v>
      </c>
      <c r="W258" s="449"/>
      <c r="X258" s="67">
        <v>91500</v>
      </c>
      <c r="Y258" s="163">
        <v>6334</v>
      </c>
      <c r="Z258" s="166">
        <v>6.9224043715846992E-2</v>
      </c>
      <c r="AA258" s="61"/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113.71</v>
      </c>
      <c r="E259" s="67">
        <v>15742</v>
      </c>
      <c r="F259" s="146">
        <v>0</v>
      </c>
      <c r="G259" s="146">
        <v>0</v>
      </c>
      <c r="H259" s="91">
        <v>15742</v>
      </c>
      <c r="I259" s="67">
        <v>0</v>
      </c>
      <c r="J259" s="739">
        <v>15742</v>
      </c>
      <c r="K259" s="132" t="s">
        <v>621</v>
      </c>
      <c r="L259" s="740">
        <v>0</v>
      </c>
      <c r="M259" s="741">
        <v>113.71</v>
      </c>
      <c r="N259" s="67">
        <v>213</v>
      </c>
      <c r="O259" s="67">
        <v>15955</v>
      </c>
      <c r="Q259" s="674">
        <v>0</v>
      </c>
      <c r="R259" s="674">
        <v>1877.8495067637878</v>
      </c>
      <c r="S259" s="798" t="s">
        <v>723</v>
      </c>
      <c r="T259" s="798">
        <v>33.5</v>
      </c>
      <c r="U259" s="88">
        <v>17832.849506763789</v>
      </c>
      <c r="V259" s="71">
        <v>140.31307712602234</v>
      </c>
      <c r="W259" s="449"/>
      <c r="X259" s="67">
        <v>13232</v>
      </c>
      <c r="Y259" s="163">
        <v>2723</v>
      </c>
      <c r="Z259" s="166">
        <v>0.20578899637243048</v>
      </c>
      <c r="AA259" s="61"/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231.71</v>
      </c>
      <c r="E260" s="67">
        <v>32078</v>
      </c>
      <c r="F260" s="146">
        <v>0</v>
      </c>
      <c r="G260" s="146">
        <v>0</v>
      </c>
      <c r="H260" s="91">
        <v>32078</v>
      </c>
      <c r="I260" s="67">
        <v>0</v>
      </c>
      <c r="J260" s="739">
        <v>32078</v>
      </c>
      <c r="K260" s="132" t="s">
        <v>621</v>
      </c>
      <c r="L260" s="740">
        <v>0</v>
      </c>
      <c r="M260" s="741">
        <v>231.71</v>
      </c>
      <c r="N260" s="67">
        <v>435</v>
      </c>
      <c r="O260" s="67">
        <v>32513</v>
      </c>
      <c r="Q260" s="674">
        <v>0</v>
      </c>
      <c r="R260" s="674">
        <v>0</v>
      </c>
      <c r="S260" s="798" t="s">
        <v>644</v>
      </c>
      <c r="T260" s="798">
        <v>0</v>
      </c>
      <c r="U260" s="88">
        <v>32513</v>
      </c>
      <c r="V260" s="71">
        <v>140.31763842734452</v>
      </c>
      <c r="W260" s="449"/>
      <c r="X260" s="67">
        <v>30099</v>
      </c>
      <c r="Y260" s="163">
        <v>2414</v>
      </c>
      <c r="Z260" s="166">
        <v>8.0202000066447385E-2</v>
      </c>
      <c r="AA260" s="61"/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 t="s">
        <v>723</v>
      </c>
      <c r="T261" s="798">
        <v>0</v>
      </c>
      <c r="U261" s="88">
        <v>0</v>
      </c>
      <c r="V261" s="71">
        <v>0</v>
      </c>
      <c r="W261" s="449"/>
      <c r="X261" s="67">
        <v>0</v>
      </c>
      <c r="Y261" s="163">
        <v>0</v>
      </c>
      <c r="Z261" s="166">
        <v>0</v>
      </c>
      <c r="AA261" s="61"/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4.1399999999999997</v>
      </c>
      <c r="E262" s="67">
        <v>573</v>
      </c>
      <c r="F262" s="146">
        <v>0</v>
      </c>
      <c r="G262" s="146">
        <v>0</v>
      </c>
      <c r="H262" s="91">
        <v>573</v>
      </c>
      <c r="I262" s="67">
        <v>0</v>
      </c>
      <c r="J262" s="739">
        <v>573</v>
      </c>
      <c r="K262" s="132" t="s">
        <v>724</v>
      </c>
      <c r="L262" s="740">
        <v>573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 t="s">
        <v>723</v>
      </c>
      <c r="T262" s="798">
        <v>0</v>
      </c>
      <c r="U262" s="88">
        <v>0</v>
      </c>
      <c r="V262" s="71">
        <v>0</v>
      </c>
      <c r="W262" s="449"/>
      <c r="X262" s="67">
        <v>753</v>
      </c>
      <c r="Y262" s="163">
        <v>-753</v>
      </c>
      <c r="Z262" s="166">
        <v>-1</v>
      </c>
      <c r="AA262" s="61"/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134.69499999999999</v>
      </c>
      <c r="E263" s="67">
        <v>18647</v>
      </c>
      <c r="F263" s="146">
        <v>0</v>
      </c>
      <c r="G263" s="146">
        <v>0</v>
      </c>
      <c r="H263" s="91">
        <v>18647</v>
      </c>
      <c r="I263" s="67">
        <v>0</v>
      </c>
      <c r="J263" s="739">
        <v>18647</v>
      </c>
      <c r="K263" s="132" t="s">
        <v>621</v>
      </c>
      <c r="L263" s="740">
        <v>0</v>
      </c>
      <c r="M263" s="741">
        <v>134.69499999999999</v>
      </c>
      <c r="N263" s="67">
        <v>253</v>
      </c>
      <c r="O263" s="67">
        <v>18900</v>
      </c>
      <c r="Q263" s="674">
        <v>0</v>
      </c>
      <c r="R263" s="674">
        <v>0</v>
      </c>
      <c r="S263" s="798" t="s">
        <v>644</v>
      </c>
      <c r="T263" s="798">
        <v>0</v>
      </c>
      <c r="U263" s="88">
        <v>18900</v>
      </c>
      <c r="V263" s="71">
        <v>140.31701250974425</v>
      </c>
      <c r="W263" s="449"/>
      <c r="X263" s="67">
        <v>18695</v>
      </c>
      <c r="Y263" s="163">
        <v>205</v>
      </c>
      <c r="Z263" s="166">
        <v>1.0965498796469644E-2</v>
      </c>
      <c r="AA263" s="61"/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11.86</v>
      </c>
      <c r="E264" s="67">
        <v>1642</v>
      </c>
      <c r="F264" s="146">
        <v>0</v>
      </c>
      <c r="G264" s="146">
        <v>0</v>
      </c>
      <c r="H264" s="91">
        <v>1642</v>
      </c>
      <c r="I264" s="67">
        <v>0</v>
      </c>
      <c r="J264" s="739">
        <v>1642</v>
      </c>
      <c r="K264" s="132" t="s">
        <v>1306</v>
      </c>
      <c r="L264" s="740">
        <v>0</v>
      </c>
      <c r="M264" s="741">
        <v>11.86</v>
      </c>
      <c r="N264" s="67">
        <v>22</v>
      </c>
      <c r="O264" s="67">
        <v>1664</v>
      </c>
      <c r="Q264" s="674">
        <v>0</v>
      </c>
      <c r="R264" s="674">
        <v>203.20013319458897</v>
      </c>
      <c r="S264" s="798" t="s">
        <v>723</v>
      </c>
      <c r="T264" s="798">
        <v>3.625</v>
      </c>
      <c r="U264" s="88">
        <v>1867.2001331945889</v>
      </c>
      <c r="V264" s="71">
        <v>140.30354131534571</v>
      </c>
      <c r="W264" s="449"/>
      <c r="X264" s="67">
        <v>1979</v>
      </c>
      <c r="Y264" s="163">
        <v>-315</v>
      </c>
      <c r="Z264" s="166">
        <v>-0.15917129863567459</v>
      </c>
      <c r="AA264" s="61"/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724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 t="s">
        <v>723</v>
      </c>
      <c r="T265" s="798">
        <v>0</v>
      </c>
      <c r="U265" s="88">
        <v>0</v>
      </c>
      <c r="V265" s="71">
        <v>0</v>
      </c>
      <c r="W265" s="449"/>
      <c r="X265" s="67">
        <v>0</v>
      </c>
      <c r="Y265" s="163">
        <v>0</v>
      </c>
      <c r="Z265" s="166">
        <v>0</v>
      </c>
      <c r="AA265" s="61"/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18</v>
      </c>
      <c r="E266" s="67">
        <v>2492</v>
      </c>
      <c r="F266" s="146">
        <v>0</v>
      </c>
      <c r="G266" s="146">
        <v>0</v>
      </c>
      <c r="H266" s="91">
        <v>2492</v>
      </c>
      <c r="I266" s="67">
        <v>0</v>
      </c>
      <c r="J266" s="739">
        <v>2492</v>
      </c>
      <c r="K266" s="132" t="s">
        <v>724</v>
      </c>
      <c r="L266" s="740">
        <v>2492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 t="s">
        <v>723</v>
      </c>
      <c r="T266" s="798">
        <v>0</v>
      </c>
      <c r="U266" s="88">
        <v>0</v>
      </c>
      <c r="V266" s="71">
        <v>0</v>
      </c>
      <c r="W266" s="449"/>
      <c r="X266" s="67">
        <v>2108</v>
      </c>
      <c r="Y266" s="163">
        <v>-2108</v>
      </c>
      <c r="Z266" s="166">
        <v>-1</v>
      </c>
      <c r="AA266" s="61"/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724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 t="s">
        <v>723</v>
      </c>
      <c r="T267" s="798">
        <v>0</v>
      </c>
      <c r="U267" s="88">
        <v>0</v>
      </c>
      <c r="V267" s="71">
        <v>0</v>
      </c>
      <c r="W267" s="449"/>
      <c r="X267" s="67">
        <v>0</v>
      </c>
      <c r="Y267" s="163">
        <v>0</v>
      </c>
      <c r="Z267" s="166">
        <v>0</v>
      </c>
      <c r="AA267" s="61"/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787.71</v>
      </c>
      <c r="E268" s="67">
        <v>109051</v>
      </c>
      <c r="F268" s="146">
        <v>0</v>
      </c>
      <c r="G268" s="146">
        <v>0</v>
      </c>
      <c r="H268" s="91">
        <v>109051</v>
      </c>
      <c r="I268" s="67">
        <v>0</v>
      </c>
      <c r="J268" s="739">
        <v>109051</v>
      </c>
      <c r="K268" s="132" t="s">
        <v>621</v>
      </c>
      <c r="L268" s="740">
        <v>0</v>
      </c>
      <c r="M268" s="741">
        <v>787.71</v>
      </c>
      <c r="N268" s="67">
        <v>1477</v>
      </c>
      <c r="O268" s="67">
        <v>110528</v>
      </c>
      <c r="Q268" s="674">
        <v>0</v>
      </c>
      <c r="R268" s="674">
        <v>0</v>
      </c>
      <c r="S268" s="798" t="s">
        <v>644</v>
      </c>
      <c r="T268" s="798">
        <v>0</v>
      </c>
      <c r="U268" s="88">
        <v>110528</v>
      </c>
      <c r="V268" s="71">
        <v>140.31559838011449</v>
      </c>
      <c r="W268" s="449"/>
      <c r="X268" s="67">
        <v>117037</v>
      </c>
      <c r="Y268" s="163">
        <v>-6509</v>
      </c>
      <c r="Z268" s="166">
        <v>-5.5614891017370577E-2</v>
      </c>
      <c r="AA268" s="61"/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274.43</v>
      </c>
      <c r="E269" s="67">
        <v>37992</v>
      </c>
      <c r="F269" s="146">
        <v>0</v>
      </c>
      <c r="G269" s="146">
        <v>0</v>
      </c>
      <c r="H269" s="91">
        <v>37992</v>
      </c>
      <c r="I269" s="67">
        <v>0</v>
      </c>
      <c r="J269" s="739">
        <v>37992</v>
      </c>
      <c r="K269" s="132" t="s">
        <v>621</v>
      </c>
      <c r="L269" s="740">
        <v>0</v>
      </c>
      <c r="M269" s="741">
        <v>274.43</v>
      </c>
      <c r="N269" s="67">
        <v>515</v>
      </c>
      <c r="O269" s="67">
        <v>38507</v>
      </c>
      <c r="Q269" s="674">
        <v>0</v>
      </c>
      <c r="R269" s="674">
        <v>0</v>
      </c>
      <c r="S269" s="798" t="s">
        <v>644</v>
      </c>
      <c r="T269" s="798">
        <v>0</v>
      </c>
      <c r="U269" s="88">
        <v>38507</v>
      </c>
      <c r="V269" s="71">
        <v>140.31629195058849</v>
      </c>
      <c r="W269" s="449"/>
      <c r="X269" s="67">
        <v>28378</v>
      </c>
      <c r="Y269" s="163">
        <v>10129</v>
      </c>
      <c r="Z269" s="166">
        <v>0.35693142575234338</v>
      </c>
      <c r="AA269" s="61"/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28</v>
      </c>
      <c r="E270" s="67">
        <v>3876</v>
      </c>
      <c r="F270" s="146">
        <v>0</v>
      </c>
      <c r="G270" s="146">
        <v>0</v>
      </c>
      <c r="H270" s="91">
        <v>3876</v>
      </c>
      <c r="I270" s="67">
        <v>0</v>
      </c>
      <c r="J270" s="739">
        <v>3876</v>
      </c>
      <c r="K270" s="132" t="s">
        <v>644</v>
      </c>
      <c r="L270" s="740">
        <v>3876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 t="s">
        <v>723</v>
      </c>
      <c r="T270" s="798">
        <v>0</v>
      </c>
      <c r="U270" s="88">
        <v>0</v>
      </c>
      <c r="V270" s="71">
        <v>0</v>
      </c>
      <c r="W270" s="449"/>
      <c r="X270" s="67">
        <v>4669</v>
      </c>
      <c r="Y270" s="163">
        <v>-4669</v>
      </c>
      <c r="Z270" s="166">
        <v>-1</v>
      </c>
      <c r="AA270" s="61"/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106.14</v>
      </c>
      <c r="E271" s="67">
        <v>14694</v>
      </c>
      <c r="F271" s="146">
        <v>0</v>
      </c>
      <c r="G271" s="146">
        <v>0</v>
      </c>
      <c r="H271" s="91">
        <v>14694</v>
      </c>
      <c r="I271" s="67">
        <v>0</v>
      </c>
      <c r="J271" s="739">
        <v>14694</v>
      </c>
      <c r="K271" s="132" t="s">
        <v>621</v>
      </c>
      <c r="L271" s="740">
        <v>0</v>
      </c>
      <c r="M271" s="741">
        <v>106.14</v>
      </c>
      <c r="N271" s="67">
        <v>199</v>
      </c>
      <c r="O271" s="67">
        <v>14893</v>
      </c>
      <c r="Q271" s="674">
        <v>0</v>
      </c>
      <c r="R271" s="674">
        <v>2284.2497731529656</v>
      </c>
      <c r="S271" s="798" t="s">
        <v>621</v>
      </c>
      <c r="T271" s="798">
        <v>40.75</v>
      </c>
      <c r="U271" s="88">
        <v>17177.249773152966</v>
      </c>
      <c r="V271" s="71">
        <v>140.31467872621067</v>
      </c>
      <c r="W271" s="449"/>
      <c r="X271" s="67">
        <v>16545</v>
      </c>
      <c r="Y271" s="163">
        <v>-1652</v>
      </c>
      <c r="Z271" s="166">
        <v>-9.9848896947718341E-2</v>
      </c>
      <c r="AA271" s="61"/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3</v>
      </c>
      <c r="E272" s="67">
        <v>415</v>
      </c>
      <c r="F272" s="146">
        <v>0</v>
      </c>
      <c r="G272" s="146">
        <v>0</v>
      </c>
      <c r="H272" s="91">
        <v>415</v>
      </c>
      <c r="I272" s="67">
        <v>0</v>
      </c>
      <c r="J272" s="739">
        <v>415</v>
      </c>
      <c r="K272" s="132" t="s">
        <v>644</v>
      </c>
      <c r="L272" s="740">
        <v>415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 t="s">
        <v>723</v>
      </c>
      <c r="T272" s="798">
        <v>0</v>
      </c>
      <c r="U272" s="88">
        <v>0</v>
      </c>
      <c r="V272" s="71">
        <v>0</v>
      </c>
      <c r="W272" s="449"/>
      <c r="X272" s="67">
        <v>0</v>
      </c>
      <c r="Y272" s="163">
        <v>0</v>
      </c>
      <c r="Z272" s="166">
        <v>0</v>
      </c>
      <c r="AA272" s="61"/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141.13999999999999</v>
      </c>
      <c r="E273" s="67">
        <v>19540</v>
      </c>
      <c r="F273" s="146">
        <v>0</v>
      </c>
      <c r="G273" s="146">
        <v>0</v>
      </c>
      <c r="H273" s="91">
        <v>19540</v>
      </c>
      <c r="I273" s="67">
        <v>0</v>
      </c>
      <c r="J273" s="739">
        <v>19540</v>
      </c>
      <c r="K273" s="132" t="s">
        <v>621</v>
      </c>
      <c r="L273" s="740">
        <v>0</v>
      </c>
      <c r="M273" s="741">
        <v>141.13999999999999</v>
      </c>
      <c r="N273" s="67">
        <v>265</v>
      </c>
      <c r="O273" s="67">
        <v>19805</v>
      </c>
      <c r="Q273" s="674">
        <v>0</v>
      </c>
      <c r="R273" s="674">
        <v>0</v>
      </c>
      <c r="S273" s="798" t="s">
        <v>644</v>
      </c>
      <c r="T273" s="798">
        <v>0</v>
      </c>
      <c r="U273" s="88">
        <v>19805</v>
      </c>
      <c r="V273" s="71">
        <v>140.32166643049456</v>
      </c>
      <c r="W273" s="449"/>
      <c r="X273" s="67">
        <v>18137</v>
      </c>
      <c r="Y273" s="163">
        <v>1668</v>
      </c>
      <c r="Z273" s="166">
        <v>9.1966697910349005E-2</v>
      </c>
      <c r="AA273" s="61"/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736.05499999999995</v>
      </c>
      <c r="E274" s="67">
        <v>101900</v>
      </c>
      <c r="F274" s="146">
        <v>0</v>
      </c>
      <c r="G274" s="146">
        <v>0</v>
      </c>
      <c r="H274" s="91">
        <v>101900</v>
      </c>
      <c r="I274" s="67">
        <v>0</v>
      </c>
      <c r="J274" s="739">
        <v>101900</v>
      </c>
      <c r="K274" s="132" t="s">
        <v>621</v>
      </c>
      <c r="L274" s="740">
        <v>0</v>
      </c>
      <c r="M274" s="741">
        <v>736.05499999999995</v>
      </c>
      <c r="N274" s="67">
        <v>1380</v>
      </c>
      <c r="O274" s="67">
        <v>103280</v>
      </c>
      <c r="P274" s="674"/>
      <c r="Q274" s="674">
        <v>0</v>
      </c>
      <c r="R274" s="674">
        <v>12388.201223725286</v>
      </c>
      <c r="S274" s="798" t="s">
        <v>621</v>
      </c>
      <c r="T274" s="798">
        <v>221</v>
      </c>
      <c r="U274" s="88">
        <v>115668.20122372528</v>
      </c>
      <c r="V274" s="71">
        <v>140.3156014156551</v>
      </c>
      <c r="W274" s="449"/>
      <c r="X274" s="67">
        <v>98514</v>
      </c>
      <c r="Y274" s="163">
        <v>4766</v>
      </c>
      <c r="Z274" s="166">
        <v>4.837891061168971E-2</v>
      </c>
      <c r="AA274" s="115"/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278.43</v>
      </c>
      <c r="E275" s="67">
        <v>38546</v>
      </c>
      <c r="F275" s="146">
        <v>0</v>
      </c>
      <c r="G275" s="146">
        <v>0</v>
      </c>
      <c r="H275" s="91">
        <v>38546</v>
      </c>
      <c r="I275" s="67">
        <v>0</v>
      </c>
      <c r="J275" s="739">
        <v>38546</v>
      </c>
      <c r="K275" s="132" t="s">
        <v>644</v>
      </c>
      <c r="L275" s="740">
        <v>38546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98" t="s">
        <v>723</v>
      </c>
      <c r="T275" s="798">
        <v>0</v>
      </c>
      <c r="U275" s="88">
        <v>0</v>
      </c>
      <c r="V275" s="71">
        <v>0</v>
      </c>
      <c r="W275" s="449"/>
      <c r="X275" s="67">
        <v>35197</v>
      </c>
      <c r="Y275" s="163">
        <v>-35197</v>
      </c>
      <c r="Z275" s="166">
        <v>-1</v>
      </c>
      <c r="AA275" s="61"/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81.430000000000007</v>
      </c>
      <c r="E276" s="67">
        <v>11273</v>
      </c>
      <c r="F276" s="146">
        <v>0</v>
      </c>
      <c r="G276" s="146">
        <v>0</v>
      </c>
      <c r="H276" s="91">
        <v>11273</v>
      </c>
      <c r="I276" s="67">
        <v>0</v>
      </c>
      <c r="J276" s="739">
        <v>11273</v>
      </c>
      <c r="K276" s="132" t="s">
        <v>621</v>
      </c>
      <c r="L276" s="740">
        <v>0</v>
      </c>
      <c r="M276" s="741">
        <v>81.430000000000007</v>
      </c>
      <c r="N276" s="67">
        <v>153</v>
      </c>
      <c r="O276" s="67">
        <v>11426</v>
      </c>
      <c r="Q276" s="674">
        <v>0</v>
      </c>
      <c r="R276" s="674">
        <v>1247.2284037460977</v>
      </c>
      <c r="S276" s="798" t="s">
        <v>621</v>
      </c>
      <c r="T276" s="798">
        <v>22.25</v>
      </c>
      <c r="U276" s="88">
        <v>12673.228403746098</v>
      </c>
      <c r="V276" s="71">
        <v>140.31683654672725</v>
      </c>
      <c r="W276" s="449"/>
      <c r="X276" s="67">
        <v>12456</v>
      </c>
      <c r="Y276" s="163">
        <v>-1030</v>
      </c>
      <c r="Z276" s="166">
        <v>-8.2691072575465638E-2</v>
      </c>
      <c r="AA276" s="61"/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295.29000000000002</v>
      </c>
      <c r="E277" s="67">
        <v>40880</v>
      </c>
      <c r="F277" s="146">
        <v>0</v>
      </c>
      <c r="G277" s="146">
        <v>0</v>
      </c>
      <c r="H277" s="91">
        <v>40880</v>
      </c>
      <c r="I277" s="67">
        <v>0</v>
      </c>
      <c r="J277" s="739">
        <v>40880</v>
      </c>
      <c r="K277" s="132" t="s">
        <v>621</v>
      </c>
      <c r="L277" s="740">
        <v>0</v>
      </c>
      <c r="M277" s="741">
        <v>295.29000000000002</v>
      </c>
      <c r="N277" s="67">
        <v>554</v>
      </c>
      <c r="O277" s="67">
        <v>41434</v>
      </c>
      <c r="P277" s="674"/>
      <c r="Q277" s="674">
        <v>0</v>
      </c>
      <c r="R277" s="674">
        <v>4260.195895941727</v>
      </c>
      <c r="S277" s="798" t="s">
        <v>621</v>
      </c>
      <c r="T277" s="798">
        <v>76</v>
      </c>
      <c r="U277" s="88">
        <v>45694.195895941724</v>
      </c>
      <c r="V277" s="71">
        <v>140.31629923126417</v>
      </c>
      <c r="W277" s="449"/>
      <c r="X277" s="67">
        <v>36359</v>
      </c>
      <c r="Y277" s="163">
        <v>5075</v>
      </c>
      <c r="Z277" s="166">
        <v>0.13958029648780221</v>
      </c>
      <c r="AA277" s="115"/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149</v>
      </c>
      <c r="E278" s="67">
        <v>20628</v>
      </c>
      <c r="F278" s="146">
        <v>0</v>
      </c>
      <c r="G278" s="146">
        <v>0</v>
      </c>
      <c r="H278" s="91">
        <v>20628</v>
      </c>
      <c r="I278" s="67">
        <v>0</v>
      </c>
      <c r="J278" s="739">
        <v>20628</v>
      </c>
      <c r="K278" s="132" t="s">
        <v>621</v>
      </c>
      <c r="L278" s="740">
        <v>0</v>
      </c>
      <c r="M278" s="741">
        <v>149</v>
      </c>
      <c r="N278" s="67">
        <v>279</v>
      </c>
      <c r="O278" s="67">
        <v>20907</v>
      </c>
      <c r="Q278" s="674">
        <v>0</v>
      </c>
      <c r="R278" s="674">
        <v>2991.9467887617066</v>
      </c>
      <c r="S278" s="798" t="s">
        <v>621</v>
      </c>
      <c r="T278" s="798">
        <v>53.375</v>
      </c>
      <c r="U278" s="88">
        <v>23898.946788761707</v>
      </c>
      <c r="V278" s="71">
        <v>140.31543624161074</v>
      </c>
      <c r="W278" s="449"/>
      <c r="X278" s="67">
        <v>15769</v>
      </c>
      <c r="Y278" s="163">
        <v>5138</v>
      </c>
      <c r="Z278" s="166">
        <v>0.32582915847548988</v>
      </c>
      <c r="AA278" s="61"/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224.71</v>
      </c>
      <c r="E279" s="67">
        <v>31109</v>
      </c>
      <c r="F279" s="146">
        <v>0</v>
      </c>
      <c r="G279" s="146">
        <v>0</v>
      </c>
      <c r="H279" s="91">
        <v>31109</v>
      </c>
      <c r="I279" s="67">
        <v>0</v>
      </c>
      <c r="J279" s="739">
        <v>31109</v>
      </c>
      <c r="K279" s="132" t="s">
        <v>621</v>
      </c>
      <c r="L279" s="740">
        <v>0</v>
      </c>
      <c r="M279" s="741">
        <v>224.71</v>
      </c>
      <c r="N279" s="67">
        <v>421</v>
      </c>
      <c r="O279" s="67">
        <v>31530</v>
      </c>
      <c r="Q279" s="674">
        <v>0</v>
      </c>
      <c r="R279" s="674">
        <v>0</v>
      </c>
      <c r="S279" s="798" t="s">
        <v>644</v>
      </c>
      <c r="T279" s="798">
        <v>0</v>
      </c>
      <c r="U279" s="88">
        <v>31530</v>
      </c>
      <c r="V279" s="71">
        <v>140.31418272440033</v>
      </c>
      <c r="W279" s="449"/>
      <c r="X279" s="67">
        <v>31519</v>
      </c>
      <c r="Y279" s="163">
        <v>11</v>
      </c>
      <c r="Z279" s="166">
        <v>3.4899584377676959E-4</v>
      </c>
      <c r="AA279" s="61"/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94</v>
      </c>
      <c r="E280" s="67">
        <v>13013</v>
      </c>
      <c r="F280" s="146">
        <v>0</v>
      </c>
      <c r="G280" s="146">
        <v>0</v>
      </c>
      <c r="H280" s="91">
        <v>13013</v>
      </c>
      <c r="I280" s="67">
        <v>0</v>
      </c>
      <c r="J280" s="739">
        <v>13013</v>
      </c>
      <c r="K280" s="132" t="s">
        <v>621</v>
      </c>
      <c r="L280" s="740">
        <v>0</v>
      </c>
      <c r="M280" s="741">
        <v>94</v>
      </c>
      <c r="N280" s="67">
        <v>176</v>
      </c>
      <c r="O280" s="67">
        <v>13189</v>
      </c>
      <c r="Q280" s="674">
        <v>0</v>
      </c>
      <c r="R280" s="674">
        <v>0</v>
      </c>
      <c r="S280" s="798" t="s">
        <v>644</v>
      </c>
      <c r="T280" s="798">
        <v>0</v>
      </c>
      <c r="U280" s="88">
        <v>13189</v>
      </c>
      <c r="V280" s="71">
        <v>140.30851063829786</v>
      </c>
      <c r="W280" s="449"/>
      <c r="X280" s="67">
        <v>14177</v>
      </c>
      <c r="Y280" s="163">
        <v>-988</v>
      </c>
      <c r="Z280" s="166">
        <v>-6.9690343514142619E-2</v>
      </c>
      <c r="AA280" s="61"/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724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 t="s">
        <v>723</v>
      </c>
      <c r="T281" s="798">
        <v>0</v>
      </c>
      <c r="U281" s="88">
        <v>0</v>
      </c>
      <c r="V281" s="71">
        <v>0</v>
      </c>
      <c r="W281" s="449"/>
      <c r="X281" s="67">
        <v>0</v>
      </c>
      <c r="Y281" s="163">
        <v>0</v>
      </c>
      <c r="Z281" s="166">
        <v>0</v>
      </c>
      <c r="AA281" s="61"/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724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 t="s">
        <v>723</v>
      </c>
      <c r="T282" s="798">
        <v>0</v>
      </c>
      <c r="U282" s="88">
        <v>0</v>
      </c>
      <c r="V282" s="71">
        <v>0</v>
      </c>
      <c r="W282" s="449"/>
      <c r="X282" s="67">
        <v>0</v>
      </c>
      <c r="Y282" s="163">
        <v>0</v>
      </c>
      <c r="Z282" s="166">
        <v>0</v>
      </c>
      <c r="AA282" s="61"/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1.1399999999999999</v>
      </c>
      <c r="E283" s="67">
        <v>158</v>
      </c>
      <c r="F283" s="146">
        <v>0</v>
      </c>
      <c r="G283" s="146">
        <v>0</v>
      </c>
      <c r="H283" s="91">
        <v>158</v>
      </c>
      <c r="I283" s="67">
        <v>0</v>
      </c>
      <c r="J283" s="739">
        <v>158</v>
      </c>
      <c r="K283" s="132" t="s">
        <v>724</v>
      </c>
      <c r="L283" s="740">
        <v>158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 t="s">
        <v>723</v>
      </c>
      <c r="T283" s="798">
        <v>0</v>
      </c>
      <c r="U283" s="88">
        <v>0</v>
      </c>
      <c r="V283" s="71">
        <v>0</v>
      </c>
      <c r="W283" s="449"/>
      <c r="X283" s="67">
        <v>0</v>
      </c>
      <c r="Y283" s="163">
        <v>0</v>
      </c>
      <c r="Z283" s="166">
        <v>0</v>
      </c>
      <c r="AA283" s="61"/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178</v>
      </c>
      <c r="E284" s="67">
        <v>24643</v>
      </c>
      <c r="F284" s="146">
        <v>0</v>
      </c>
      <c r="G284" s="146">
        <v>0</v>
      </c>
      <c r="H284" s="91">
        <v>24643</v>
      </c>
      <c r="I284" s="67">
        <v>0</v>
      </c>
      <c r="J284" s="739">
        <v>24643</v>
      </c>
      <c r="K284" s="132" t="s">
        <v>621</v>
      </c>
      <c r="L284" s="740">
        <v>0</v>
      </c>
      <c r="M284" s="741">
        <v>178</v>
      </c>
      <c r="N284" s="67">
        <v>334</v>
      </c>
      <c r="O284" s="67">
        <v>24977</v>
      </c>
      <c r="Q284" s="674">
        <v>0</v>
      </c>
      <c r="R284" s="674">
        <v>1254.2353048907387</v>
      </c>
      <c r="S284" s="798" t="s">
        <v>621</v>
      </c>
      <c r="T284" s="798">
        <v>22.375</v>
      </c>
      <c r="U284" s="88">
        <v>26231.235304890739</v>
      </c>
      <c r="V284" s="71">
        <v>140.32022471910113</v>
      </c>
      <c r="W284" s="449"/>
      <c r="X284" s="67">
        <v>17641</v>
      </c>
      <c r="Y284" s="163">
        <v>7336</v>
      </c>
      <c r="Z284" s="166">
        <v>0.41584944164163029</v>
      </c>
      <c r="AA284" s="61"/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724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 t="s">
        <v>723</v>
      </c>
      <c r="T285" s="798">
        <v>0</v>
      </c>
      <c r="U285" s="88">
        <v>0</v>
      </c>
      <c r="V285" s="71">
        <v>0</v>
      </c>
      <c r="W285" s="449"/>
      <c r="X285" s="67">
        <v>0</v>
      </c>
      <c r="Y285" s="163">
        <v>0</v>
      </c>
      <c r="Z285" s="166">
        <v>0</v>
      </c>
      <c r="AA285" s="61"/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724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 t="s">
        <v>723</v>
      </c>
      <c r="T286" s="798">
        <v>0</v>
      </c>
      <c r="U286" s="88">
        <v>0</v>
      </c>
      <c r="V286" s="71">
        <v>0</v>
      </c>
      <c r="W286" s="449"/>
      <c r="X286" s="67">
        <v>0</v>
      </c>
      <c r="Y286" s="163">
        <v>0</v>
      </c>
      <c r="Z286" s="166">
        <v>0</v>
      </c>
      <c r="AA286" s="61"/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724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 t="s">
        <v>723</v>
      </c>
      <c r="T287" s="798">
        <v>0</v>
      </c>
      <c r="U287" s="88">
        <v>0</v>
      </c>
      <c r="V287" s="71">
        <v>0</v>
      </c>
      <c r="W287" s="449"/>
      <c r="X287" s="67">
        <v>0</v>
      </c>
      <c r="Y287" s="163">
        <v>0</v>
      </c>
      <c r="Z287" s="166">
        <v>0</v>
      </c>
      <c r="AA287" s="61"/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724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 t="s">
        <v>723</v>
      </c>
      <c r="T288" s="798">
        <v>0</v>
      </c>
      <c r="U288" s="88">
        <v>0</v>
      </c>
      <c r="V288" s="71">
        <v>0</v>
      </c>
      <c r="W288" s="449"/>
      <c r="X288" s="67">
        <v>0</v>
      </c>
      <c r="Y288" s="163">
        <v>0</v>
      </c>
      <c r="Z288" s="166">
        <v>0</v>
      </c>
      <c r="AA288" s="61"/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724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 t="s">
        <v>723</v>
      </c>
      <c r="T289" s="798">
        <v>0</v>
      </c>
      <c r="U289" s="88">
        <v>0</v>
      </c>
      <c r="V289" s="71">
        <v>0</v>
      </c>
      <c r="W289" s="449"/>
      <c r="X289" s="67">
        <v>0</v>
      </c>
      <c r="Y289" s="163">
        <v>0</v>
      </c>
      <c r="Z289" s="166">
        <v>0</v>
      </c>
      <c r="AA289" s="61"/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724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 t="s">
        <v>723</v>
      </c>
      <c r="T290" s="798">
        <v>0</v>
      </c>
      <c r="U290" s="88">
        <v>0</v>
      </c>
      <c r="V290" s="71">
        <v>0</v>
      </c>
      <c r="W290" s="449"/>
      <c r="X290" s="67">
        <v>0</v>
      </c>
      <c r="Y290" s="163">
        <v>0</v>
      </c>
      <c r="Z290" s="166">
        <v>0</v>
      </c>
      <c r="AA290" s="61"/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724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 t="s">
        <v>723</v>
      </c>
      <c r="T291" s="798">
        <v>0</v>
      </c>
      <c r="U291" s="88">
        <v>0</v>
      </c>
      <c r="V291" s="71">
        <v>0</v>
      </c>
      <c r="W291" s="449"/>
      <c r="X291" s="67">
        <v>0</v>
      </c>
      <c r="Y291" s="163">
        <v>0</v>
      </c>
      <c r="Z291" s="166">
        <v>0</v>
      </c>
      <c r="AA291" s="61"/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724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 t="s">
        <v>723</v>
      </c>
      <c r="T292" s="798">
        <v>0</v>
      </c>
      <c r="U292" s="88">
        <v>0</v>
      </c>
      <c r="V292" s="71">
        <v>0</v>
      </c>
      <c r="W292" s="449"/>
      <c r="X292" s="67">
        <v>0</v>
      </c>
      <c r="Y292" s="163">
        <v>0</v>
      </c>
      <c r="Z292" s="166">
        <v>0</v>
      </c>
      <c r="AA292" s="61"/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724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 t="s">
        <v>723</v>
      </c>
      <c r="T293" s="798">
        <v>0</v>
      </c>
      <c r="U293" s="88">
        <v>0</v>
      </c>
      <c r="V293" s="71">
        <v>0</v>
      </c>
      <c r="W293" s="449"/>
      <c r="X293" s="67">
        <v>0</v>
      </c>
      <c r="Y293" s="163">
        <v>0</v>
      </c>
      <c r="Z293" s="166">
        <v>0</v>
      </c>
      <c r="AA293" s="61"/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174.29</v>
      </c>
      <c r="E294" s="67">
        <v>24129</v>
      </c>
      <c r="F294" s="146">
        <v>0</v>
      </c>
      <c r="G294" s="146">
        <v>0</v>
      </c>
      <c r="H294" s="91">
        <v>24129</v>
      </c>
      <c r="I294" s="67">
        <v>0</v>
      </c>
      <c r="J294" s="739">
        <v>24129</v>
      </c>
      <c r="K294" s="132" t="s">
        <v>621</v>
      </c>
      <c r="L294" s="740">
        <v>0</v>
      </c>
      <c r="M294" s="741">
        <v>174.29</v>
      </c>
      <c r="N294" s="67">
        <v>327</v>
      </c>
      <c r="O294" s="67">
        <v>24456</v>
      </c>
      <c r="Q294" s="674">
        <v>0</v>
      </c>
      <c r="R294" s="674">
        <v>0</v>
      </c>
      <c r="S294" s="798" t="s">
        <v>644</v>
      </c>
      <c r="T294" s="798">
        <v>0</v>
      </c>
      <c r="U294" s="88">
        <v>24456</v>
      </c>
      <c r="V294" s="71">
        <v>140.31786103620402</v>
      </c>
      <c r="W294" s="449"/>
      <c r="X294" s="67">
        <v>25882</v>
      </c>
      <c r="Y294" s="163">
        <v>-1426</v>
      </c>
      <c r="Z294" s="166">
        <v>-5.5096205857352601E-2</v>
      </c>
      <c r="AA294" s="61"/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89.43</v>
      </c>
      <c r="E295" s="67">
        <v>12381</v>
      </c>
      <c r="F295" s="146">
        <v>0</v>
      </c>
      <c r="G295" s="146">
        <v>0</v>
      </c>
      <c r="H295" s="91">
        <v>12381</v>
      </c>
      <c r="I295" s="67">
        <v>0</v>
      </c>
      <c r="J295" s="739">
        <v>12381</v>
      </c>
      <c r="K295" s="132" t="s">
        <v>1306</v>
      </c>
      <c r="L295" s="740">
        <v>0</v>
      </c>
      <c r="M295" s="741">
        <v>89.43</v>
      </c>
      <c r="N295" s="67">
        <v>168</v>
      </c>
      <c r="O295" s="67">
        <v>12549</v>
      </c>
      <c r="Q295" s="674">
        <v>0</v>
      </c>
      <c r="R295" s="674">
        <v>1366.3457232049948</v>
      </c>
      <c r="S295" s="798" t="s">
        <v>723</v>
      </c>
      <c r="T295" s="798">
        <v>24.375</v>
      </c>
      <c r="U295" s="88">
        <v>13915.345723204995</v>
      </c>
      <c r="V295" s="71">
        <v>140.32203958403218</v>
      </c>
      <c r="W295" s="449"/>
      <c r="X295" s="67">
        <v>11596</v>
      </c>
      <c r="Y295" s="163">
        <v>953</v>
      </c>
      <c r="Z295" s="166">
        <v>8.2183511555708869E-2</v>
      </c>
      <c r="AA295" s="61"/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5366.9449999999997</v>
      </c>
      <c r="E296" s="67">
        <v>743006</v>
      </c>
      <c r="F296" s="146">
        <v>0</v>
      </c>
      <c r="G296" s="146">
        <v>0</v>
      </c>
      <c r="H296" s="91">
        <v>743006</v>
      </c>
      <c r="I296" s="67">
        <v>0</v>
      </c>
      <c r="J296" s="739">
        <v>743006</v>
      </c>
      <c r="K296" s="132" t="s">
        <v>621</v>
      </c>
      <c r="L296" s="740">
        <v>0</v>
      </c>
      <c r="M296" s="741">
        <v>5366.9449999999997</v>
      </c>
      <c r="N296" s="67">
        <v>10065</v>
      </c>
      <c r="O296" s="67">
        <v>753071</v>
      </c>
      <c r="Q296" s="674">
        <v>0</v>
      </c>
      <c r="R296" s="674">
        <v>0</v>
      </c>
      <c r="S296" s="798" t="s">
        <v>644</v>
      </c>
      <c r="T296" s="798">
        <v>0</v>
      </c>
      <c r="U296" s="88">
        <v>753071</v>
      </c>
      <c r="V296" s="71">
        <v>140.31651153496077</v>
      </c>
      <c r="W296" s="449"/>
      <c r="X296" s="67">
        <v>759648</v>
      </c>
      <c r="Y296" s="163">
        <v>-6577</v>
      </c>
      <c r="Z296" s="166">
        <v>-8.657957369729137E-3</v>
      </c>
      <c r="AA296" s="61"/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395.29</v>
      </c>
      <c r="E297" s="67">
        <v>54724</v>
      </c>
      <c r="F297" s="146">
        <v>0</v>
      </c>
      <c r="G297" s="146">
        <v>0</v>
      </c>
      <c r="H297" s="91">
        <v>54724</v>
      </c>
      <c r="I297" s="67">
        <v>0</v>
      </c>
      <c r="J297" s="739">
        <v>54724</v>
      </c>
      <c r="K297" s="132" t="s">
        <v>621</v>
      </c>
      <c r="L297" s="740">
        <v>0</v>
      </c>
      <c r="M297" s="741">
        <v>395.29</v>
      </c>
      <c r="N297" s="67">
        <v>741</v>
      </c>
      <c r="O297" s="67">
        <v>55465</v>
      </c>
      <c r="Q297" s="674">
        <v>0</v>
      </c>
      <c r="R297" s="674">
        <v>0</v>
      </c>
      <c r="S297" s="798" t="s">
        <v>644</v>
      </c>
      <c r="T297" s="798">
        <v>0</v>
      </c>
      <c r="U297" s="88">
        <v>55465</v>
      </c>
      <c r="V297" s="71">
        <v>140.31470565913634</v>
      </c>
      <c r="W297" s="449"/>
      <c r="X297" s="67">
        <v>52840</v>
      </c>
      <c r="Y297" s="163">
        <v>2625</v>
      </c>
      <c r="Z297" s="166">
        <v>4.9678274034822105E-2</v>
      </c>
      <c r="AA297" s="60"/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237.83500000000001</v>
      </c>
      <c r="E298" s="67">
        <v>32926</v>
      </c>
      <c r="F298" s="146">
        <v>0</v>
      </c>
      <c r="G298" s="146">
        <v>0</v>
      </c>
      <c r="H298" s="91">
        <v>32926</v>
      </c>
      <c r="I298" s="67">
        <v>0</v>
      </c>
      <c r="J298" s="739">
        <v>32926</v>
      </c>
      <c r="K298" s="132" t="s">
        <v>621</v>
      </c>
      <c r="L298" s="740">
        <v>0</v>
      </c>
      <c r="M298" s="741">
        <v>237.83500000000001</v>
      </c>
      <c r="N298" s="67">
        <v>446</v>
      </c>
      <c r="O298" s="67">
        <v>33372</v>
      </c>
      <c r="Q298" s="674">
        <v>0</v>
      </c>
      <c r="R298" s="674">
        <v>0</v>
      </c>
      <c r="S298" s="798" t="s">
        <v>644</v>
      </c>
      <c r="T298" s="798">
        <v>0</v>
      </c>
      <c r="U298" s="88">
        <v>33372</v>
      </c>
      <c r="V298" s="71">
        <v>140.31576513128849</v>
      </c>
      <c r="W298" s="449"/>
      <c r="X298" s="67">
        <v>27905</v>
      </c>
      <c r="Y298" s="163">
        <v>5467</v>
      </c>
      <c r="Z298" s="166">
        <v>0.19591471062533597</v>
      </c>
      <c r="AA298" s="62"/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425.71</v>
      </c>
      <c r="E299" s="67">
        <v>58936</v>
      </c>
      <c r="F299" s="146">
        <v>0</v>
      </c>
      <c r="G299" s="146">
        <v>0</v>
      </c>
      <c r="H299" s="91">
        <v>58936</v>
      </c>
      <c r="I299" s="67">
        <v>0</v>
      </c>
      <c r="J299" s="739">
        <v>58936</v>
      </c>
      <c r="K299" s="132" t="s">
        <v>621</v>
      </c>
      <c r="L299" s="740">
        <v>0</v>
      </c>
      <c r="M299" s="741">
        <v>425.71</v>
      </c>
      <c r="N299" s="67">
        <v>798</v>
      </c>
      <c r="O299" s="67">
        <v>59734</v>
      </c>
      <c r="Q299" s="674">
        <v>0</v>
      </c>
      <c r="R299" s="674">
        <v>7721.6050613943808</v>
      </c>
      <c r="S299" s="798" t="s">
        <v>621</v>
      </c>
      <c r="T299" s="798">
        <v>137.75</v>
      </c>
      <c r="U299" s="88">
        <v>67455.605061394381</v>
      </c>
      <c r="V299" s="71">
        <v>140.31617767964107</v>
      </c>
      <c r="W299" s="449"/>
      <c r="X299" s="67">
        <v>52603</v>
      </c>
      <c r="Y299" s="163">
        <v>7131</v>
      </c>
      <c r="Z299" s="166">
        <v>0.13556261049750015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1284.1400000000001</v>
      </c>
      <c r="E300" s="67">
        <v>177778</v>
      </c>
      <c r="F300" s="146">
        <v>0</v>
      </c>
      <c r="G300" s="146">
        <v>0</v>
      </c>
      <c r="H300" s="91">
        <v>177778</v>
      </c>
      <c r="I300" s="67">
        <v>0</v>
      </c>
      <c r="J300" s="739">
        <v>177778</v>
      </c>
      <c r="K300" s="132" t="s">
        <v>621</v>
      </c>
      <c r="L300" s="740">
        <v>0</v>
      </c>
      <c r="M300" s="741">
        <v>1284.1400000000001</v>
      </c>
      <c r="N300" s="67">
        <v>2408</v>
      </c>
      <c r="O300" s="67">
        <v>180186</v>
      </c>
      <c r="Q300" s="674">
        <v>0</v>
      </c>
      <c r="R300" s="674">
        <v>22828.483929240374</v>
      </c>
      <c r="S300" s="798" t="s">
        <v>621</v>
      </c>
      <c r="T300" s="798">
        <v>407.25</v>
      </c>
      <c r="U300" s="88">
        <v>203014.48392924038</v>
      </c>
      <c r="V300" s="71">
        <v>140.31647639665456</v>
      </c>
      <c r="W300" s="449"/>
      <c r="X300" s="67">
        <v>180935</v>
      </c>
      <c r="Y300" s="163">
        <v>-749</v>
      </c>
      <c r="Z300" s="166">
        <v>-4.1396081465719737E-3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2075.5700000000002</v>
      </c>
      <c r="E301" s="67">
        <v>287344</v>
      </c>
      <c r="F301" s="146">
        <v>0</v>
      </c>
      <c r="G301" s="146">
        <v>0</v>
      </c>
      <c r="H301" s="91">
        <v>287344</v>
      </c>
      <c r="I301" s="67">
        <v>0</v>
      </c>
      <c r="J301" s="739">
        <v>287344</v>
      </c>
      <c r="K301" s="132" t="s">
        <v>621</v>
      </c>
      <c r="L301" s="740">
        <v>0</v>
      </c>
      <c r="M301" s="741">
        <v>2075.5700000000002</v>
      </c>
      <c r="N301" s="67">
        <v>3893</v>
      </c>
      <c r="O301" s="67">
        <v>291237</v>
      </c>
      <c r="Q301" s="674">
        <v>0</v>
      </c>
      <c r="R301" s="674">
        <v>0</v>
      </c>
      <c r="S301" s="798" t="s">
        <v>644</v>
      </c>
      <c r="T301" s="798">
        <v>0</v>
      </c>
      <c r="U301" s="88">
        <v>291237</v>
      </c>
      <c r="V301" s="71">
        <v>140.31663591206271</v>
      </c>
      <c r="W301" s="449"/>
      <c r="X301" s="67">
        <v>316969</v>
      </c>
      <c r="Y301" s="163">
        <v>-25732</v>
      </c>
      <c r="Z301" s="166">
        <v>-8.1181440456322224E-2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1546.79</v>
      </c>
      <c r="E302" s="67">
        <v>214139</v>
      </c>
      <c r="F302" s="146">
        <v>0</v>
      </c>
      <c r="G302" s="146">
        <v>0</v>
      </c>
      <c r="H302" s="91">
        <v>214139</v>
      </c>
      <c r="I302" s="67">
        <v>0</v>
      </c>
      <c r="J302" s="739">
        <v>214139</v>
      </c>
      <c r="K302" s="132" t="s">
        <v>621</v>
      </c>
      <c r="L302" s="740">
        <v>0</v>
      </c>
      <c r="M302" s="741">
        <v>1546.79</v>
      </c>
      <c r="N302" s="67">
        <v>2901</v>
      </c>
      <c r="O302" s="67">
        <v>217040</v>
      </c>
      <c r="Q302" s="674">
        <v>0</v>
      </c>
      <c r="R302" s="674">
        <v>0</v>
      </c>
      <c r="S302" s="798" t="s">
        <v>644</v>
      </c>
      <c r="T302" s="798">
        <v>0</v>
      </c>
      <c r="U302" s="88">
        <v>217040</v>
      </c>
      <c r="V302" s="71">
        <v>140.31639718384525</v>
      </c>
      <c r="W302" s="449"/>
      <c r="X302" s="67">
        <v>203331</v>
      </c>
      <c r="Y302" s="163">
        <v>13709</v>
      </c>
      <c r="Z302" s="166">
        <v>6.7422085171469179E-2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319.70999999999998</v>
      </c>
      <c r="E303" s="67">
        <v>44261</v>
      </c>
      <c r="F303" s="146">
        <v>0</v>
      </c>
      <c r="G303" s="146">
        <v>0</v>
      </c>
      <c r="H303" s="91">
        <v>44261</v>
      </c>
      <c r="I303" s="67">
        <v>0</v>
      </c>
      <c r="J303" s="739">
        <v>44261</v>
      </c>
      <c r="K303" s="132" t="s">
        <v>621</v>
      </c>
      <c r="L303" s="740">
        <v>0</v>
      </c>
      <c r="M303" s="741">
        <v>319.70999999999998</v>
      </c>
      <c r="N303" s="67">
        <v>600</v>
      </c>
      <c r="O303" s="67">
        <v>44861</v>
      </c>
      <c r="Q303" s="674">
        <v>0</v>
      </c>
      <c r="R303" s="674">
        <v>4666.5961623309049</v>
      </c>
      <c r="S303" s="798" t="s">
        <v>621</v>
      </c>
      <c r="T303" s="798">
        <v>83.25</v>
      </c>
      <c r="U303" s="88">
        <v>49527.596162330905</v>
      </c>
      <c r="V303" s="71">
        <v>140.31778799537082</v>
      </c>
      <c r="W303" s="449"/>
      <c r="X303" s="67">
        <v>44019</v>
      </c>
      <c r="Y303" s="163">
        <v>842</v>
      </c>
      <c r="Z303" s="166">
        <v>1.912810377337059E-2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594.73500000000001</v>
      </c>
      <c r="E304" s="67">
        <v>82336</v>
      </c>
      <c r="F304" s="146">
        <v>0</v>
      </c>
      <c r="G304" s="146">
        <v>0</v>
      </c>
      <c r="H304" s="91">
        <v>82336</v>
      </c>
      <c r="I304" s="67">
        <v>0</v>
      </c>
      <c r="J304" s="739">
        <v>82336</v>
      </c>
      <c r="K304" s="132" t="s">
        <v>621</v>
      </c>
      <c r="L304" s="740">
        <v>0</v>
      </c>
      <c r="M304" s="741">
        <v>594.73500000000001</v>
      </c>
      <c r="N304" s="67">
        <v>1115</v>
      </c>
      <c r="O304" s="67">
        <v>83451</v>
      </c>
      <c r="Q304" s="674">
        <v>0</v>
      </c>
      <c r="R304" s="674">
        <v>0</v>
      </c>
      <c r="S304" s="798" t="s">
        <v>644</v>
      </c>
      <c r="T304" s="798">
        <v>0</v>
      </c>
      <c r="U304" s="88">
        <v>83451</v>
      </c>
      <c r="V304" s="71">
        <v>140.316275315897</v>
      </c>
      <c r="X304" s="67">
        <v>89371</v>
      </c>
      <c r="Y304" s="163">
        <v>-5920</v>
      </c>
      <c r="Z304" s="166">
        <v>-6.6240726857705517E-2</v>
      </c>
      <c r="AA304" s="72"/>
      <c r="AB304" s="72"/>
      <c r="AC304" s="72"/>
    </row>
    <row r="305" spans="1:37">
      <c r="A305" s="64" t="s">
        <v>605</v>
      </c>
      <c r="B305" s="36" t="s">
        <v>565</v>
      </c>
      <c r="C305" s="23" t="s">
        <v>1629</v>
      </c>
      <c r="D305" s="134">
        <v>150.05500000000001</v>
      </c>
      <c r="E305" s="67">
        <v>20774</v>
      </c>
      <c r="F305" s="146">
        <v>0</v>
      </c>
      <c r="G305" s="146">
        <v>0</v>
      </c>
      <c r="H305" s="91">
        <v>20774</v>
      </c>
      <c r="I305" s="67">
        <v>0</v>
      </c>
      <c r="J305" s="739">
        <v>20774</v>
      </c>
      <c r="K305" s="132" t="s">
        <v>621</v>
      </c>
      <c r="L305" s="740">
        <v>0</v>
      </c>
      <c r="M305" s="741">
        <v>150.05500000000001</v>
      </c>
      <c r="N305" s="67">
        <v>281</v>
      </c>
      <c r="O305" s="67">
        <v>21055</v>
      </c>
      <c r="Q305" s="674">
        <v>0</v>
      </c>
      <c r="R305" s="674">
        <v>0</v>
      </c>
      <c r="S305" s="798" t="s">
        <v>644</v>
      </c>
      <c r="T305" s="798">
        <v>0</v>
      </c>
      <c r="U305" s="88">
        <v>21055</v>
      </c>
      <c r="V305" s="71">
        <v>140.31521775349037</v>
      </c>
      <c r="X305" s="67">
        <v>19622</v>
      </c>
      <c r="Y305" s="163">
        <v>1433</v>
      </c>
      <c r="Z305" s="166">
        <v>7.303027214351239E-2</v>
      </c>
    </row>
    <row r="306" spans="1:37">
      <c r="A306" s="64" t="s">
        <v>605</v>
      </c>
      <c r="B306" s="36" t="s">
        <v>567</v>
      </c>
      <c r="C306" s="23" t="s">
        <v>1630</v>
      </c>
      <c r="D306" s="134">
        <v>1574.39</v>
      </c>
      <c r="E306" s="67">
        <v>217960</v>
      </c>
      <c r="F306" s="146">
        <v>0</v>
      </c>
      <c r="G306" s="146">
        <v>0</v>
      </c>
      <c r="H306" s="91">
        <v>217960</v>
      </c>
      <c r="I306" s="67">
        <v>0</v>
      </c>
      <c r="J306" s="739">
        <v>217960</v>
      </c>
      <c r="K306" s="132" t="s">
        <v>621</v>
      </c>
      <c r="L306" s="740">
        <v>0</v>
      </c>
      <c r="M306" s="741">
        <v>1574.39</v>
      </c>
      <c r="N306" s="67">
        <v>2953</v>
      </c>
      <c r="O306" s="67">
        <v>220913</v>
      </c>
      <c r="Q306" s="674">
        <v>0</v>
      </c>
      <c r="R306" s="674">
        <v>0</v>
      </c>
      <c r="S306" s="798" t="s">
        <v>644</v>
      </c>
      <c r="T306" s="798">
        <v>0</v>
      </c>
      <c r="U306" s="88">
        <v>220913</v>
      </c>
      <c r="V306" s="71">
        <v>140.31656705136592</v>
      </c>
      <c r="X306" s="67">
        <v>218994</v>
      </c>
      <c r="Y306" s="163">
        <v>1919</v>
      </c>
      <c r="Z306" s="166">
        <v>8.7627971542599339E-3</v>
      </c>
    </row>
    <row r="307" spans="1:37">
      <c r="A307" s="64" t="s">
        <v>605</v>
      </c>
      <c r="B307" s="36" t="s">
        <v>569</v>
      </c>
      <c r="C307" s="23" t="s">
        <v>1631</v>
      </c>
      <c r="D307" s="134">
        <v>386.19499999999999</v>
      </c>
      <c r="E307" s="67">
        <v>53465</v>
      </c>
      <c r="F307" s="146">
        <v>0</v>
      </c>
      <c r="G307" s="146">
        <v>0</v>
      </c>
      <c r="H307" s="91">
        <v>53465</v>
      </c>
      <c r="I307" s="67">
        <v>0</v>
      </c>
      <c r="J307" s="739">
        <v>53465</v>
      </c>
      <c r="K307" s="132" t="s">
        <v>621</v>
      </c>
      <c r="L307" s="740">
        <v>0</v>
      </c>
      <c r="M307" s="741">
        <v>386.19499999999999</v>
      </c>
      <c r="N307" s="67">
        <v>724</v>
      </c>
      <c r="O307" s="67">
        <v>54189</v>
      </c>
      <c r="Q307" s="674">
        <v>0</v>
      </c>
      <c r="R307" s="674">
        <v>7154.04606867846</v>
      </c>
      <c r="S307" s="798" t="s">
        <v>621</v>
      </c>
      <c r="T307" s="798">
        <v>127.625</v>
      </c>
      <c r="U307" s="88">
        <v>61343.046068678457</v>
      </c>
      <c r="V307" s="71">
        <v>140.31512577842801</v>
      </c>
      <c r="X307" s="67">
        <v>64070</v>
      </c>
      <c r="Y307" s="163">
        <v>-9881</v>
      </c>
      <c r="Z307" s="166">
        <v>-0.15422194474793194</v>
      </c>
    </row>
    <row r="308" spans="1:37">
      <c r="A308" s="64" t="s">
        <v>605</v>
      </c>
      <c r="B308" s="36" t="s">
        <v>571</v>
      </c>
      <c r="C308" s="23" t="s">
        <v>1632</v>
      </c>
      <c r="D308" s="134">
        <v>430.30500000000001</v>
      </c>
      <c r="E308" s="67">
        <v>59572</v>
      </c>
      <c r="F308" s="146">
        <v>0</v>
      </c>
      <c r="G308" s="146">
        <v>0</v>
      </c>
      <c r="H308" s="91">
        <v>59572</v>
      </c>
      <c r="I308" s="67">
        <v>0</v>
      </c>
      <c r="J308" s="739">
        <v>59572</v>
      </c>
      <c r="K308" s="132" t="s">
        <v>621</v>
      </c>
      <c r="L308" s="740">
        <v>0</v>
      </c>
      <c r="M308" s="741">
        <v>430.30500000000001</v>
      </c>
      <c r="N308" s="67">
        <v>807</v>
      </c>
      <c r="O308" s="67">
        <v>60379</v>
      </c>
      <c r="Q308" s="674">
        <v>0</v>
      </c>
      <c r="R308" s="674">
        <v>9277.1371155046818</v>
      </c>
      <c r="S308" s="798" t="s">
        <v>621</v>
      </c>
      <c r="T308" s="798">
        <v>165.5</v>
      </c>
      <c r="U308" s="88">
        <v>69656.13711550468</v>
      </c>
      <c r="V308" s="71">
        <v>140.31675207120531</v>
      </c>
      <c r="X308" s="67">
        <v>43889</v>
      </c>
      <c r="Y308" s="163">
        <v>16490</v>
      </c>
      <c r="Z308" s="166">
        <v>0.37572056779603091</v>
      </c>
    </row>
    <row r="309" spans="1:37">
      <c r="A309" s="64" t="s">
        <v>597</v>
      </c>
      <c r="B309" s="36" t="s">
        <v>1659</v>
      </c>
      <c r="C309" s="23" t="s">
        <v>1150</v>
      </c>
      <c r="D309" s="134">
        <v>6.29</v>
      </c>
      <c r="E309" s="67">
        <v>871</v>
      </c>
      <c r="F309" s="146">
        <v>0</v>
      </c>
      <c r="G309" s="146">
        <v>0</v>
      </c>
      <c r="H309" s="91">
        <v>871</v>
      </c>
      <c r="I309" s="67">
        <v>0</v>
      </c>
      <c r="J309" s="739">
        <v>871</v>
      </c>
      <c r="K309" s="132" t="s">
        <v>724</v>
      </c>
      <c r="L309" s="740">
        <v>871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 t="s">
        <v>723</v>
      </c>
      <c r="T309" s="798">
        <v>0</v>
      </c>
      <c r="U309" s="88">
        <v>0</v>
      </c>
      <c r="V309" s="71">
        <v>0</v>
      </c>
      <c r="X309" s="67">
        <v>0</v>
      </c>
      <c r="Y309" s="163">
        <v>0</v>
      </c>
      <c r="Z309" s="166">
        <v>0</v>
      </c>
    </row>
    <row r="310" spans="1:37" s="29" customFormat="1">
      <c r="A310" s="64" t="s">
        <v>1666</v>
      </c>
      <c r="B310" s="36" t="s">
        <v>1660</v>
      </c>
      <c r="C310" s="23" t="s">
        <v>1661</v>
      </c>
      <c r="D310" s="134">
        <v>20</v>
      </c>
      <c r="E310" s="67">
        <v>2769</v>
      </c>
      <c r="F310" s="146">
        <v>0</v>
      </c>
      <c r="G310" s="146">
        <v>0</v>
      </c>
      <c r="H310" s="91">
        <v>2769</v>
      </c>
      <c r="I310" s="67">
        <v>0</v>
      </c>
      <c r="J310" s="739">
        <v>2769</v>
      </c>
      <c r="K310" s="132" t="s">
        <v>724</v>
      </c>
      <c r="L310" s="740">
        <v>2769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>
        <v>0</v>
      </c>
      <c r="S310" s="798" t="s">
        <v>723</v>
      </c>
      <c r="T310" s="798">
        <v>0</v>
      </c>
      <c r="U310" s="88">
        <v>0</v>
      </c>
      <c r="V310" s="71">
        <v>0</v>
      </c>
      <c r="W310" s="23"/>
      <c r="X310" s="67">
        <v>0</v>
      </c>
      <c r="Y310" s="163">
        <v>0</v>
      </c>
      <c r="Z310" s="166">
        <v>0</v>
      </c>
      <c r="AB310" s="23"/>
      <c r="AC310" s="28"/>
      <c r="AD310" s="23"/>
      <c r="AE310" s="23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1682</v>
      </c>
      <c r="C311" s="23" t="s">
        <v>1683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>
        <v>0</v>
      </c>
      <c r="S311" s="798" t="s">
        <v>723</v>
      </c>
      <c r="T311" s="798">
        <v>0</v>
      </c>
      <c r="U311" s="88">
        <v>0</v>
      </c>
      <c r="V311" s="71">
        <v>0</v>
      </c>
      <c r="W311" s="23"/>
      <c r="X311" s="67">
        <v>0</v>
      </c>
      <c r="Y311" s="163">
        <v>0</v>
      </c>
      <c r="Z311" s="166">
        <v>0</v>
      </c>
      <c r="AB311" s="23"/>
      <c r="AC311" s="28"/>
      <c r="AD311" s="23"/>
      <c r="AE311" s="23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1684</v>
      </c>
      <c r="C312" s="23" t="s">
        <v>1685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724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>
        <v>0</v>
      </c>
      <c r="S312" s="798" t="s">
        <v>723</v>
      </c>
      <c r="T312" s="798">
        <v>0</v>
      </c>
      <c r="U312" s="88">
        <v>0</v>
      </c>
      <c r="V312" s="71">
        <v>0</v>
      </c>
      <c r="W312" s="23"/>
      <c r="X312" s="67">
        <v>0</v>
      </c>
      <c r="Y312" s="163">
        <v>0</v>
      </c>
      <c r="Z312" s="166">
        <v>0</v>
      </c>
      <c r="AB312" s="23"/>
      <c r="AC312" s="28"/>
      <c r="AD312" s="23"/>
      <c r="AE312" s="23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1686</v>
      </c>
      <c r="C313" s="23" t="s">
        <v>1687</v>
      </c>
      <c r="D313" s="134">
        <v>8.86</v>
      </c>
      <c r="E313" s="67">
        <v>1227</v>
      </c>
      <c r="F313" s="146">
        <v>0</v>
      </c>
      <c r="G313" s="146">
        <v>0</v>
      </c>
      <c r="H313" s="91">
        <v>1227</v>
      </c>
      <c r="I313" s="67">
        <v>0</v>
      </c>
      <c r="J313" s="739">
        <v>1227</v>
      </c>
      <c r="K313" s="132" t="s">
        <v>724</v>
      </c>
      <c r="L313" s="740">
        <v>1227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>
        <v>0</v>
      </c>
      <c r="S313" s="798" t="s">
        <v>723</v>
      </c>
      <c r="T313" s="798">
        <v>0</v>
      </c>
      <c r="U313" s="88">
        <v>0</v>
      </c>
      <c r="V313" s="71">
        <v>0</v>
      </c>
      <c r="W313" s="23"/>
      <c r="X313" s="67">
        <v>0</v>
      </c>
      <c r="Y313" s="163">
        <v>0</v>
      </c>
      <c r="Z313" s="166">
        <v>0</v>
      </c>
      <c r="AB313" s="23"/>
      <c r="AC313" s="28"/>
      <c r="AD313" s="23"/>
      <c r="AE313" s="23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802" t="s">
        <v>1689</v>
      </c>
      <c r="C314" s="23" t="s">
        <v>1688</v>
      </c>
      <c r="D314" s="134">
        <v>4.8600000000000003</v>
      </c>
      <c r="E314" s="67">
        <v>673</v>
      </c>
      <c r="F314" s="146">
        <v>0</v>
      </c>
      <c r="G314" s="146">
        <v>0</v>
      </c>
      <c r="H314" s="91">
        <v>673</v>
      </c>
      <c r="I314" s="67">
        <v>0</v>
      </c>
      <c r="J314" s="739">
        <v>673</v>
      </c>
      <c r="K314" s="132" t="s">
        <v>724</v>
      </c>
      <c r="L314" s="740">
        <v>673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>
        <v>0</v>
      </c>
      <c r="S314" s="798" t="s">
        <v>723</v>
      </c>
      <c r="T314" s="798">
        <v>0</v>
      </c>
      <c r="U314" s="88">
        <v>0</v>
      </c>
      <c r="V314" s="71">
        <v>0</v>
      </c>
      <c r="W314" s="23"/>
      <c r="X314" s="67">
        <v>0</v>
      </c>
      <c r="Y314" s="163">
        <v>0</v>
      </c>
      <c r="Z314" s="166">
        <v>0</v>
      </c>
      <c r="AB314" s="23"/>
      <c r="AC314" s="28"/>
      <c r="AD314" s="23"/>
      <c r="AE314" s="23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1690</v>
      </c>
      <c r="C315" s="23" t="s">
        <v>1695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132" t="s">
        <v>724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>
        <v>0</v>
      </c>
      <c r="S315" s="798" t="s">
        <v>723</v>
      </c>
      <c r="T315" s="798">
        <v>0</v>
      </c>
      <c r="U315" s="88">
        <v>0</v>
      </c>
      <c r="V315" s="71">
        <v>0</v>
      </c>
      <c r="W315" s="23"/>
      <c r="X315" s="67">
        <v>0</v>
      </c>
      <c r="Y315" s="163">
        <v>0</v>
      </c>
      <c r="Z315" s="166">
        <v>0</v>
      </c>
      <c r="AB315" s="23"/>
      <c r="AC315" s="28"/>
      <c r="AD315" s="23"/>
      <c r="AE315" s="23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36" t="s">
        <v>1691</v>
      </c>
      <c r="C316" s="23" t="s">
        <v>1696</v>
      </c>
      <c r="D316" s="134">
        <v>0.86</v>
      </c>
      <c r="E316" s="67">
        <v>119</v>
      </c>
      <c r="F316" s="146">
        <v>0</v>
      </c>
      <c r="G316" s="146">
        <v>0</v>
      </c>
      <c r="H316" s="91">
        <v>119</v>
      </c>
      <c r="I316" s="67">
        <v>0</v>
      </c>
      <c r="J316" s="739">
        <v>119</v>
      </c>
      <c r="K316" s="132" t="s">
        <v>724</v>
      </c>
      <c r="L316" s="740">
        <v>119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>
        <v>0</v>
      </c>
      <c r="S316" s="798" t="s">
        <v>723</v>
      </c>
      <c r="T316" s="798">
        <v>0</v>
      </c>
      <c r="U316" s="88">
        <v>0</v>
      </c>
      <c r="V316" s="71">
        <v>0</v>
      </c>
      <c r="W316" s="23"/>
      <c r="X316" s="67">
        <v>0</v>
      </c>
      <c r="Y316" s="163">
        <v>0</v>
      </c>
      <c r="Z316" s="166">
        <v>0</v>
      </c>
      <c r="AB316" s="23"/>
      <c r="AC316" s="28"/>
      <c r="AD316" s="23"/>
      <c r="AE316" s="23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02" t="s">
        <v>1701</v>
      </c>
      <c r="C317" s="23" t="s">
        <v>1697</v>
      </c>
      <c r="D317" s="134">
        <v>2</v>
      </c>
      <c r="E317" s="67">
        <v>277</v>
      </c>
      <c r="F317" s="146">
        <v>0</v>
      </c>
      <c r="G317" s="146">
        <v>0</v>
      </c>
      <c r="H317" s="91">
        <v>277</v>
      </c>
      <c r="I317" s="67">
        <v>0</v>
      </c>
      <c r="J317" s="739">
        <v>277</v>
      </c>
      <c r="K317" s="132" t="s">
        <v>644</v>
      </c>
      <c r="L317" s="740">
        <v>277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>
        <v>0</v>
      </c>
      <c r="S317" s="798" t="s">
        <v>723</v>
      </c>
      <c r="T317" s="798">
        <v>0</v>
      </c>
      <c r="U317" s="88">
        <v>0</v>
      </c>
      <c r="V317" s="71">
        <v>0</v>
      </c>
      <c r="W317" s="23"/>
      <c r="X317" s="67">
        <v>0</v>
      </c>
      <c r="Y317" s="163">
        <v>0</v>
      </c>
      <c r="Z317" s="166">
        <v>0</v>
      </c>
      <c r="AB317" s="23"/>
      <c r="AC317" s="28"/>
      <c r="AD317" s="23"/>
      <c r="AE317" s="23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1692</v>
      </c>
      <c r="C318" s="23" t="s">
        <v>1698</v>
      </c>
      <c r="D318" s="134">
        <v>0</v>
      </c>
      <c r="E318" s="67">
        <v>0</v>
      </c>
      <c r="F318" s="146">
        <v>0</v>
      </c>
      <c r="G318" s="146">
        <v>0</v>
      </c>
      <c r="H318" s="91">
        <v>0</v>
      </c>
      <c r="I318" s="67">
        <v>0</v>
      </c>
      <c r="J318" s="739">
        <v>0</v>
      </c>
      <c r="K318" s="132" t="s">
        <v>724</v>
      </c>
      <c r="L318" s="740">
        <v>0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>
        <v>0</v>
      </c>
      <c r="S318" s="798" t="s">
        <v>723</v>
      </c>
      <c r="T318" s="798">
        <v>0</v>
      </c>
      <c r="U318" s="88">
        <v>0</v>
      </c>
      <c r="V318" s="71">
        <v>0</v>
      </c>
      <c r="W318" s="23"/>
      <c r="X318" s="67">
        <v>0</v>
      </c>
      <c r="Y318" s="163">
        <v>0</v>
      </c>
      <c r="Z318" s="166">
        <v>0</v>
      </c>
      <c r="AB318" s="23"/>
      <c r="AC318" s="28"/>
      <c r="AD318" s="23"/>
      <c r="AE318" s="23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1693</v>
      </c>
      <c r="C319" s="23" t="s">
        <v>1699</v>
      </c>
      <c r="D319" s="134">
        <v>2.4300000000000002</v>
      </c>
      <c r="E319" s="67">
        <v>336</v>
      </c>
      <c r="F319" s="146">
        <v>0</v>
      </c>
      <c r="G319" s="146">
        <v>0</v>
      </c>
      <c r="H319" s="91">
        <v>336</v>
      </c>
      <c r="I319" s="67">
        <v>0</v>
      </c>
      <c r="J319" s="739">
        <v>336</v>
      </c>
      <c r="K319" s="132" t="s">
        <v>724</v>
      </c>
      <c r="L319" s="740">
        <v>336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>
        <v>0</v>
      </c>
      <c r="S319" s="798" t="s">
        <v>723</v>
      </c>
      <c r="T319" s="798">
        <v>0</v>
      </c>
      <c r="U319" s="88">
        <v>0</v>
      </c>
      <c r="V319" s="71">
        <v>0</v>
      </c>
      <c r="W319" s="23"/>
      <c r="X319" s="67">
        <v>0</v>
      </c>
      <c r="Y319" s="163">
        <v>0</v>
      </c>
      <c r="Z319" s="166">
        <v>0</v>
      </c>
      <c r="AB319" s="23"/>
      <c r="AC319" s="28"/>
      <c r="AD319" s="23"/>
      <c r="AE319" s="23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36" t="s">
        <v>1694</v>
      </c>
      <c r="C320" s="23" t="s">
        <v>1700</v>
      </c>
      <c r="D320" s="134">
        <v>3.71</v>
      </c>
      <c r="E320" s="67">
        <v>514</v>
      </c>
      <c r="F320" s="146">
        <v>0</v>
      </c>
      <c r="G320" s="146">
        <v>0</v>
      </c>
      <c r="H320" s="91">
        <v>514</v>
      </c>
      <c r="I320" s="67">
        <v>0</v>
      </c>
      <c r="J320" s="739">
        <v>514</v>
      </c>
      <c r="K320" s="132" t="s">
        <v>724</v>
      </c>
      <c r="L320" s="740">
        <v>514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>
        <v>0</v>
      </c>
      <c r="S320" s="798" t="s">
        <v>723</v>
      </c>
      <c r="T320" s="798">
        <v>0</v>
      </c>
      <c r="U320" s="88">
        <v>0</v>
      </c>
      <c r="V320" s="71">
        <v>0</v>
      </c>
      <c r="W320" s="23"/>
      <c r="X320" s="67">
        <v>0</v>
      </c>
      <c r="Y320" s="163">
        <v>0</v>
      </c>
      <c r="Z320" s="166">
        <v>0</v>
      </c>
      <c r="AB320" s="23"/>
      <c r="AC320" s="28"/>
      <c r="AD320" s="23"/>
      <c r="AE320" s="23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36" t="s">
        <v>1662</v>
      </c>
      <c r="C321" s="23" t="s">
        <v>1663</v>
      </c>
      <c r="D321" s="134">
        <v>0</v>
      </c>
      <c r="E321" s="67">
        <v>0</v>
      </c>
      <c r="F321" s="146">
        <v>0</v>
      </c>
      <c r="G321" s="146">
        <v>0</v>
      </c>
      <c r="H321" s="91">
        <v>0</v>
      </c>
      <c r="I321" s="67">
        <v>0</v>
      </c>
      <c r="J321" s="739">
        <v>0</v>
      </c>
      <c r="K321" s="132" t="s">
        <v>724</v>
      </c>
      <c r="L321" s="740">
        <v>0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>
        <v>0</v>
      </c>
      <c r="S321" s="798" t="s">
        <v>723</v>
      </c>
      <c r="T321" s="798">
        <v>0</v>
      </c>
      <c r="U321" s="88">
        <v>0</v>
      </c>
      <c r="V321" s="71">
        <v>0</v>
      </c>
      <c r="W321" s="23"/>
      <c r="X321" s="67">
        <v>0</v>
      </c>
      <c r="Y321" s="163">
        <v>0</v>
      </c>
      <c r="Z321" s="166">
        <v>0</v>
      </c>
      <c r="AB321" s="23"/>
      <c r="AC321" s="28"/>
      <c r="AD321" s="23"/>
      <c r="AE321" s="23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1666</v>
      </c>
      <c r="B322" s="36" t="s">
        <v>1664</v>
      </c>
      <c r="C322" s="23" t="s">
        <v>1665</v>
      </c>
      <c r="D322" s="134">
        <v>0</v>
      </c>
      <c r="E322" s="67">
        <v>0</v>
      </c>
      <c r="F322" s="146">
        <v>0</v>
      </c>
      <c r="G322" s="146">
        <v>0</v>
      </c>
      <c r="H322" s="91">
        <v>0</v>
      </c>
      <c r="I322" s="67">
        <v>0</v>
      </c>
      <c r="J322" s="739">
        <v>0</v>
      </c>
      <c r="K322" s="132" t="s">
        <v>724</v>
      </c>
      <c r="L322" s="740">
        <v>0</v>
      </c>
      <c r="M322" s="741">
        <v>0</v>
      </c>
      <c r="N322" s="67">
        <v>0</v>
      </c>
      <c r="O322" s="67">
        <v>0</v>
      </c>
      <c r="P322" s="674"/>
      <c r="Q322" s="674">
        <v>0</v>
      </c>
      <c r="R322" s="674">
        <v>0</v>
      </c>
      <c r="S322" s="798" t="s">
        <v>723</v>
      </c>
      <c r="T322" s="798">
        <v>0</v>
      </c>
      <c r="U322" s="88">
        <v>0</v>
      </c>
      <c r="V322" s="71">
        <v>0</v>
      </c>
      <c r="W322" s="23"/>
      <c r="X322" s="67">
        <v>0</v>
      </c>
      <c r="Y322" s="163">
        <v>0</v>
      </c>
      <c r="Z322" s="166">
        <v>0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  <row r="323" spans="1:37" s="29" customFormat="1">
      <c r="A323" s="23"/>
      <c r="B323" s="23"/>
      <c r="C323" s="23" t="s">
        <v>1667</v>
      </c>
      <c r="D323" s="134">
        <v>116088.9207142857</v>
      </c>
      <c r="E323" s="134">
        <v>16071478</v>
      </c>
      <c r="F323" s="134">
        <v>0</v>
      </c>
      <c r="G323" s="134">
        <v>0</v>
      </c>
      <c r="H323" s="134">
        <v>16071477</v>
      </c>
      <c r="I323" s="134">
        <v>0</v>
      </c>
      <c r="J323" s="134">
        <v>16071477</v>
      </c>
      <c r="K323" s="134">
        <v>0</v>
      </c>
      <c r="L323" s="134">
        <v>214808</v>
      </c>
      <c r="M323" s="134">
        <v>114537.29499999998</v>
      </c>
      <c r="N323" s="134">
        <v>214809</v>
      </c>
      <c r="O323" s="134">
        <v>16071477</v>
      </c>
      <c r="P323" s="134">
        <v>0.89</v>
      </c>
      <c r="Q323" s="134">
        <v>0</v>
      </c>
      <c r="R323" s="134"/>
      <c r="S323" s="134"/>
      <c r="T323" s="134"/>
      <c r="U323" s="134">
        <v>16913181</v>
      </c>
      <c r="V323" s="134">
        <v>21328.231372096259</v>
      </c>
      <c r="W323" s="134">
        <v>0</v>
      </c>
      <c r="X323" s="134">
        <v>15732463</v>
      </c>
      <c r="Y323" s="134">
        <v>339014</v>
      </c>
      <c r="Z323" s="134">
        <v>-36.518460273078709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</sheetData>
  <autoFilter ref="A8:AK323" xr:uid="{00000000-0009-0000-0000-00000A000000}"/>
  <mergeCells count="4">
    <mergeCell ref="E2:H2"/>
    <mergeCell ref="I2:J2"/>
    <mergeCell ref="K2:O2"/>
    <mergeCell ref="R2:T2"/>
  </mergeCells>
  <conditionalFormatting sqref="L9:L322">
    <cfRule type="expression" dxfId="20" priority="4">
      <formula>AND($L9&gt;0,$K9="Yes")</formula>
    </cfRule>
  </conditionalFormatting>
  <conditionalFormatting sqref="C9:C310 C321:C322">
    <cfRule type="expression" dxfId="19" priority="3">
      <formula>AND($O9&lt;10000,$O9&gt;0,$K9="Y")</formula>
    </cfRule>
  </conditionalFormatting>
  <conditionalFormatting sqref="C311:C320">
    <cfRule type="expression" dxfId="18" priority="1">
      <formula>AND($O311&lt;10000,$O311&gt;0,$K311="Y")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313"/>
  <sheetViews>
    <sheetView workbookViewId="0">
      <selection activeCell="J26" sqref="J26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0.5703125" style="674" customWidth="1"/>
    <col min="19" max="19" width="9.140625" style="674" customWidth="1"/>
    <col min="20" max="20" width="10" style="674" bestFit="1" customWidth="1"/>
    <col min="21" max="21" width="13.57031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/>
      <c r="T1" s="23"/>
      <c r="U1" s="23"/>
      <c r="V1" s="23">
        <v>16</v>
      </c>
      <c r="W1" s="23">
        <v>20</v>
      </c>
      <c r="X1" s="40">
        <v>21</v>
      </c>
      <c r="Y1" s="40">
        <v>22</v>
      </c>
      <c r="Z1" s="40">
        <v>23</v>
      </c>
      <c r="AA1" s="23">
        <v>24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673"/>
      <c r="Q2" s="70"/>
      <c r="R2" s="890" t="s">
        <v>1671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243450</v>
      </c>
      <c r="O3" s="67">
        <v>15677056</v>
      </c>
      <c r="Q3" s="67"/>
      <c r="R3" s="67"/>
      <c r="S3" s="67"/>
      <c r="T3" s="67"/>
      <c r="U3" s="67"/>
      <c r="V3" s="151"/>
    </row>
    <row r="4" spans="1:37" s="794" customFormat="1" ht="60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1670</v>
      </c>
      <c r="U4" s="791" t="s">
        <v>1342</v>
      </c>
      <c r="V4" s="791"/>
      <c r="X4" s="795" t="s">
        <v>738</v>
      </c>
      <c r="Y4" s="795" t="s">
        <v>770</v>
      </c>
      <c r="Z4" s="794" t="s">
        <v>733</v>
      </c>
      <c r="AA4" s="796"/>
      <c r="AC4" s="797"/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15678840</v>
      </c>
      <c r="H6" s="133" t="s">
        <v>1679</v>
      </c>
      <c r="I6" s="68">
        <v>0</v>
      </c>
      <c r="J6" s="73"/>
      <c r="K6" s="220"/>
      <c r="L6" s="87">
        <v>0</v>
      </c>
      <c r="M6" s="71"/>
      <c r="N6" s="69"/>
      <c r="O6" s="399" t="s">
        <v>1680</v>
      </c>
      <c r="Q6" s="67"/>
      <c r="R6" s="67"/>
      <c r="S6" s="67"/>
      <c r="T6" s="67"/>
      <c r="U6" s="67"/>
      <c r="AA6" s="27"/>
      <c r="AB6" s="26"/>
    </row>
    <row r="7" spans="1:37">
      <c r="A7" s="46"/>
      <c r="B7" s="47"/>
      <c r="C7" s="47" t="s">
        <v>620</v>
      </c>
      <c r="D7" s="67">
        <v>113091.12999999998</v>
      </c>
      <c r="E7" s="88">
        <v>138.63898963605726</v>
      </c>
      <c r="F7" s="72">
        <v>0</v>
      </c>
      <c r="G7" s="72">
        <v>0</v>
      </c>
      <c r="H7" s="161">
        <v>15678836</v>
      </c>
      <c r="I7" s="73">
        <v>0</v>
      </c>
      <c r="J7" s="73">
        <v>15678836</v>
      </c>
      <c r="K7" s="72"/>
      <c r="L7" s="88">
        <v>243450</v>
      </c>
      <c r="M7" s="67">
        <v>111335.11999999998</v>
      </c>
      <c r="N7" s="88">
        <v>243451</v>
      </c>
      <c r="O7" s="88">
        <v>15678834</v>
      </c>
      <c r="P7" s="677"/>
      <c r="Q7" s="88">
        <v>0</v>
      </c>
      <c r="R7" s="88">
        <v>363000</v>
      </c>
      <c r="S7" s="88"/>
      <c r="T7" s="88">
        <v>50787.200000000019</v>
      </c>
      <c r="U7" s="88">
        <v>16041834</v>
      </c>
      <c r="X7" s="91">
        <v>15732463</v>
      </c>
      <c r="Y7" s="163">
        <v>-53629</v>
      </c>
      <c r="Z7" s="166">
        <v>-9.02630022938577E-3</v>
      </c>
      <c r="AA7" s="27"/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113091.12999999998</v>
      </c>
      <c r="E8" s="529">
        <v>15678836</v>
      </c>
      <c r="F8" s="529">
        <v>0</v>
      </c>
      <c r="G8" s="529">
        <v>0</v>
      </c>
      <c r="H8" s="529">
        <v>15678836</v>
      </c>
      <c r="I8" s="529">
        <v>0</v>
      </c>
      <c r="J8" s="529">
        <v>15678836</v>
      </c>
      <c r="K8" s="529">
        <v>0</v>
      </c>
      <c r="L8" s="529">
        <v>243450</v>
      </c>
      <c r="M8" s="529">
        <v>111335.11999999998</v>
      </c>
      <c r="N8" s="529">
        <v>243451</v>
      </c>
      <c r="O8" s="529">
        <v>15678834</v>
      </c>
      <c r="P8" s="529"/>
      <c r="Q8" s="529">
        <v>0</v>
      </c>
      <c r="R8" s="529"/>
      <c r="S8" s="529"/>
      <c r="T8" s="529"/>
      <c r="U8" s="529">
        <v>16041833.999999998</v>
      </c>
      <c r="V8" s="531"/>
      <c r="W8" s="532"/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0.67</v>
      </c>
      <c r="E9" s="67">
        <v>93</v>
      </c>
      <c r="F9" s="146">
        <v>0</v>
      </c>
      <c r="G9" s="146">
        <v>0</v>
      </c>
      <c r="H9" s="91">
        <v>93</v>
      </c>
      <c r="I9" s="67">
        <v>0</v>
      </c>
      <c r="J9" s="739">
        <v>93</v>
      </c>
      <c r="K9" s="132" t="s">
        <v>644</v>
      </c>
      <c r="L9" s="740">
        <v>93</v>
      </c>
      <c r="M9" s="741">
        <v>0</v>
      </c>
      <c r="N9" s="67">
        <v>0</v>
      </c>
      <c r="O9" s="67">
        <v>0</v>
      </c>
      <c r="Q9" s="674">
        <v>0</v>
      </c>
      <c r="R9" s="674">
        <v>0</v>
      </c>
      <c r="S9" s="798">
        <v>0</v>
      </c>
      <c r="T9" s="798">
        <v>0</v>
      </c>
      <c r="U9" s="88">
        <v>0</v>
      </c>
      <c r="V9" s="71">
        <v>0</v>
      </c>
      <c r="W9" s="449"/>
      <c r="X9" s="67">
        <v>0</v>
      </c>
      <c r="Y9" s="163">
        <v>0</v>
      </c>
      <c r="Z9" s="166">
        <v>0</v>
      </c>
      <c r="AC9" s="67"/>
      <c r="AD9" s="451"/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98">
        <v>0</v>
      </c>
      <c r="T10" s="798">
        <v>0</v>
      </c>
      <c r="U10" s="88">
        <v>0</v>
      </c>
      <c r="V10" s="71">
        <v>0</v>
      </c>
      <c r="W10" s="450"/>
      <c r="X10" s="67">
        <v>0</v>
      </c>
      <c r="Y10" s="163">
        <v>0</v>
      </c>
      <c r="Z10" s="166">
        <v>0</v>
      </c>
      <c r="AA10" s="31"/>
      <c r="AC10" s="67"/>
      <c r="AD10" s="451"/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1634</v>
      </c>
      <c r="E11" s="67">
        <v>226536</v>
      </c>
      <c r="F11" s="146">
        <v>0</v>
      </c>
      <c r="G11" s="146">
        <v>0</v>
      </c>
      <c r="H11" s="91">
        <v>226536</v>
      </c>
      <c r="I11" s="67">
        <v>0</v>
      </c>
      <c r="J11" s="739">
        <v>226536</v>
      </c>
      <c r="K11" s="132" t="s">
        <v>621</v>
      </c>
      <c r="L11" s="740">
        <v>0</v>
      </c>
      <c r="M11" s="741">
        <v>1634</v>
      </c>
      <c r="N11" s="67">
        <v>3573</v>
      </c>
      <c r="O11" s="67">
        <v>230109</v>
      </c>
      <c r="Q11" s="674">
        <v>0</v>
      </c>
      <c r="R11" s="674">
        <v>11678.966353726919</v>
      </c>
      <c r="S11" s="798" t="s">
        <v>725</v>
      </c>
      <c r="T11" s="798">
        <v>1634</v>
      </c>
      <c r="U11" s="88">
        <v>241787.96635372692</v>
      </c>
      <c r="V11" s="71">
        <v>140.82558139534885</v>
      </c>
      <c r="W11" s="448"/>
      <c r="X11" s="67">
        <v>232139</v>
      </c>
      <c r="Y11" s="163">
        <v>-2030</v>
      </c>
      <c r="Z11" s="166">
        <v>-8.7447606821774888E-3</v>
      </c>
      <c r="AA11" s="34"/>
      <c r="AC11" s="67"/>
      <c r="AD11" s="451"/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25.11</v>
      </c>
      <c r="E12" s="67">
        <v>3481</v>
      </c>
      <c r="F12" s="146">
        <v>0</v>
      </c>
      <c r="G12" s="146">
        <v>0</v>
      </c>
      <c r="H12" s="91">
        <v>3481</v>
      </c>
      <c r="I12" s="67">
        <v>0</v>
      </c>
      <c r="J12" s="739">
        <v>3481</v>
      </c>
      <c r="K12" s="132" t="s">
        <v>723</v>
      </c>
      <c r="L12" s="740">
        <v>3481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98">
        <v>0</v>
      </c>
      <c r="T12" s="798">
        <v>0</v>
      </c>
      <c r="U12" s="88">
        <v>0</v>
      </c>
      <c r="V12" s="71">
        <v>0</v>
      </c>
      <c r="W12" s="449"/>
      <c r="X12" s="67">
        <v>3270</v>
      </c>
      <c r="Y12" s="163">
        <v>-3270</v>
      </c>
      <c r="Z12" s="166">
        <v>-1</v>
      </c>
      <c r="AA12" s="113"/>
      <c r="AC12" s="67"/>
      <c r="AD12" s="451"/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132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>
        <v>0</v>
      </c>
      <c r="S13" s="798">
        <v>0</v>
      </c>
      <c r="T13" s="798">
        <v>0</v>
      </c>
      <c r="U13" s="88">
        <v>0</v>
      </c>
      <c r="V13" s="71">
        <v>0</v>
      </c>
      <c r="W13" s="449"/>
      <c r="X13" s="67">
        <v>0</v>
      </c>
      <c r="Y13" s="163">
        <v>0</v>
      </c>
      <c r="Z13" s="166">
        <v>0</v>
      </c>
      <c r="AA13" s="61"/>
      <c r="AC13" s="67"/>
      <c r="AD13" s="451"/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38.11</v>
      </c>
      <c r="E14" s="67">
        <v>5284</v>
      </c>
      <c r="F14" s="146">
        <v>0</v>
      </c>
      <c r="G14" s="146">
        <v>0</v>
      </c>
      <c r="H14" s="91">
        <v>5284</v>
      </c>
      <c r="I14" s="67">
        <v>0</v>
      </c>
      <c r="J14" s="739">
        <v>5284</v>
      </c>
      <c r="K14" s="132" t="s">
        <v>644</v>
      </c>
      <c r="L14" s="740">
        <v>5284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98">
        <v>0</v>
      </c>
      <c r="T14" s="798">
        <v>0</v>
      </c>
      <c r="U14" s="88">
        <v>0</v>
      </c>
      <c r="V14" s="71">
        <v>0</v>
      </c>
      <c r="W14" s="449"/>
      <c r="X14" s="67">
        <v>4991</v>
      </c>
      <c r="Y14" s="163">
        <v>-4991</v>
      </c>
      <c r="Z14" s="166">
        <v>-1</v>
      </c>
      <c r="AA14" s="61"/>
      <c r="AC14" s="67"/>
      <c r="AD14" s="451"/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132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>
        <v>0</v>
      </c>
      <c r="S15" s="798">
        <v>0</v>
      </c>
      <c r="T15" s="798">
        <v>0</v>
      </c>
      <c r="U15" s="88">
        <v>0</v>
      </c>
      <c r="V15" s="71">
        <v>0</v>
      </c>
      <c r="W15" s="449"/>
      <c r="X15" s="67">
        <v>0</v>
      </c>
      <c r="Y15" s="163">
        <v>0</v>
      </c>
      <c r="Z15" s="166">
        <v>0</v>
      </c>
      <c r="AA15" s="61"/>
      <c r="AC15" s="67"/>
      <c r="AD15" s="451"/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2466.56</v>
      </c>
      <c r="E16" s="67">
        <v>341961</v>
      </c>
      <c r="F16" s="146">
        <v>0</v>
      </c>
      <c r="G16" s="146">
        <v>0</v>
      </c>
      <c r="H16" s="91">
        <v>341961</v>
      </c>
      <c r="I16" s="67">
        <v>0</v>
      </c>
      <c r="J16" s="739">
        <v>341961</v>
      </c>
      <c r="K16" s="132" t="s">
        <v>621</v>
      </c>
      <c r="L16" s="740">
        <v>0</v>
      </c>
      <c r="M16" s="741">
        <v>2466.56</v>
      </c>
      <c r="N16" s="67">
        <v>5393</v>
      </c>
      <c r="O16" s="67">
        <v>347354</v>
      </c>
      <c r="Q16" s="674">
        <v>0</v>
      </c>
      <c r="R16" s="674">
        <v>0</v>
      </c>
      <c r="S16" s="798" t="s">
        <v>1674</v>
      </c>
      <c r="T16" s="798">
        <v>0</v>
      </c>
      <c r="U16" s="88">
        <v>347354</v>
      </c>
      <c r="V16" s="71">
        <v>140.8252789309808</v>
      </c>
      <c r="W16" s="449"/>
      <c r="X16" s="67">
        <v>340270</v>
      </c>
      <c r="Y16" s="163">
        <v>7084</v>
      </c>
      <c r="Z16" s="166">
        <v>2.0818761571693066E-2</v>
      </c>
      <c r="AA16" s="61"/>
      <c r="AC16" s="67"/>
      <c r="AD16" s="451"/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39.11</v>
      </c>
      <c r="E17" s="67">
        <v>5422</v>
      </c>
      <c r="F17" s="146">
        <v>0</v>
      </c>
      <c r="G17" s="146">
        <v>0</v>
      </c>
      <c r="H17" s="91">
        <v>5422</v>
      </c>
      <c r="I17" s="67">
        <v>0</v>
      </c>
      <c r="J17" s="739">
        <v>5422</v>
      </c>
      <c r="K17" s="132" t="s">
        <v>644</v>
      </c>
      <c r="L17" s="740">
        <v>5422</v>
      </c>
      <c r="M17" s="741">
        <v>0</v>
      </c>
      <c r="N17" s="67">
        <v>0</v>
      </c>
      <c r="O17" s="67">
        <v>0</v>
      </c>
      <c r="Q17" s="674">
        <v>0</v>
      </c>
      <c r="R17" s="674">
        <v>0</v>
      </c>
      <c r="S17" s="798">
        <v>0</v>
      </c>
      <c r="T17" s="798">
        <v>0</v>
      </c>
      <c r="U17" s="88">
        <v>0</v>
      </c>
      <c r="V17" s="71">
        <v>0</v>
      </c>
      <c r="W17" s="449"/>
      <c r="X17" s="67">
        <v>5572</v>
      </c>
      <c r="Y17" s="163">
        <v>-5572</v>
      </c>
      <c r="Z17" s="166">
        <v>-1</v>
      </c>
      <c r="AA17" s="61"/>
      <c r="AC17" s="67"/>
      <c r="AD17" s="451"/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294.33</v>
      </c>
      <c r="E18" s="67">
        <v>40806</v>
      </c>
      <c r="F18" s="146">
        <v>0</v>
      </c>
      <c r="G18" s="146">
        <v>0</v>
      </c>
      <c r="H18" s="91">
        <v>40806</v>
      </c>
      <c r="I18" s="67">
        <v>0</v>
      </c>
      <c r="J18" s="739">
        <v>40806</v>
      </c>
      <c r="K18" s="132" t="s">
        <v>621</v>
      </c>
      <c r="L18" s="740">
        <v>0</v>
      </c>
      <c r="M18" s="741">
        <v>294.33</v>
      </c>
      <c r="N18" s="67">
        <v>644</v>
      </c>
      <c r="O18" s="67">
        <v>41450</v>
      </c>
      <c r="Q18" s="674">
        <v>0</v>
      </c>
      <c r="R18" s="674">
        <v>0</v>
      </c>
      <c r="S18" s="798" t="s">
        <v>1674</v>
      </c>
      <c r="T18" s="798">
        <v>0</v>
      </c>
      <c r="U18" s="88">
        <v>41450</v>
      </c>
      <c r="V18" s="71">
        <v>140.82832195155098</v>
      </c>
      <c r="W18" s="449"/>
      <c r="X18" s="67">
        <v>34638</v>
      </c>
      <c r="Y18" s="163">
        <v>6812</v>
      </c>
      <c r="Z18" s="166">
        <v>0.19666262486286737</v>
      </c>
      <c r="AA18" s="61"/>
      <c r="AC18" s="67"/>
      <c r="AD18" s="451"/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130.11000000000001</v>
      </c>
      <c r="E19" s="67">
        <v>18038</v>
      </c>
      <c r="F19" s="146">
        <v>0</v>
      </c>
      <c r="G19" s="146">
        <v>0</v>
      </c>
      <c r="H19" s="91">
        <v>18038</v>
      </c>
      <c r="I19" s="67">
        <v>0</v>
      </c>
      <c r="J19" s="739">
        <v>18038</v>
      </c>
      <c r="K19" s="132" t="s">
        <v>621</v>
      </c>
      <c r="L19" s="740">
        <v>0</v>
      </c>
      <c r="M19" s="741">
        <v>130.11000000000001</v>
      </c>
      <c r="N19" s="67">
        <v>285</v>
      </c>
      <c r="O19" s="67">
        <v>18323</v>
      </c>
      <c r="Q19" s="674">
        <v>0</v>
      </c>
      <c r="R19" s="674">
        <v>929.957351458635</v>
      </c>
      <c r="S19" s="798" t="s">
        <v>725</v>
      </c>
      <c r="T19" s="798">
        <v>130.11000000000001</v>
      </c>
      <c r="U19" s="88">
        <v>19252.957351458634</v>
      </c>
      <c r="V19" s="71">
        <v>140.82699254476981</v>
      </c>
      <c r="W19" s="449"/>
      <c r="X19" s="67">
        <v>19406</v>
      </c>
      <c r="Y19" s="163">
        <v>-1083</v>
      </c>
      <c r="Z19" s="166">
        <v>-5.58074822219932E-2</v>
      </c>
      <c r="AA19" s="61"/>
      <c r="AC19" s="67"/>
      <c r="AD19" s="451"/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657.11</v>
      </c>
      <c r="E20" s="67">
        <v>91101</v>
      </c>
      <c r="F20" s="146">
        <v>0</v>
      </c>
      <c r="G20" s="146">
        <v>0</v>
      </c>
      <c r="H20" s="91">
        <v>91101</v>
      </c>
      <c r="I20" s="67">
        <v>0</v>
      </c>
      <c r="J20" s="739">
        <v>91101</v>
      </c>
      <c r="K20" s="132" t="s">
        <v>621</v>
      </c>
      <c r="L20" s="740">
        <v>0</v>
      </c>
      <c r="M20" s="741">
        <v>657.11</v>
      </c>
      <c r="N20" s="67">
        <v>1437</v>
      </c>
      <c r="O20" s="67">
        <v>92538</v>
      </c>
      <c r="Q20" s="674">
        <v>0</v>
      </c>
      <c r="R20" s="674">
        <v>0</v>
      </c>
      <c r="S20" s="798" t="s">
        <v>1674</v>
      </c>
      <c r="T20" s="798">
        <v>0</v>
      </c>
      <c r="U20" s="88">
        <v>92538</v>
      </c>
      <c r="V20" s="71">
        <v>140.82573693902086</v>
      </c>
      <c r="W20" s="449"/>
      <c r="X20" s="67">
        <v>92468</v>
      </c>
      <c r="Y20" s="163">
        <v>70</v>
      </c>
      <c r="Z20" s="166">
        <v>7.5701864428775361E-4</v>
      </c>
      <c r="AA20" s="61"/>
      <c r="AC20" s="67"/>
      <c r="AD20" s="451"/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477.89</v>
      </c>
      <c r="E21" s="67">
        <v>66254</v>
      </c>
      <c r="F21" s="146">
        <v>0</v>
      </c>
      <c r="G21" s="146">
        <v>0</v>
      </c>
      <c r="H21" s="91">
        <v>66254</v>
      </c>
      <c r="I21" s="67">
        <v>0</v>
      </c>
      <c r="J21" s="739">
        <v>66254</v>
      </c>
      <c r="K21" s="132" t="s">
        <v>621</v>
      </c>
      <c r="L21" s="740">
        <v>0</v>
      </c>
      <c r="M21" s="741">
        <v>477.89</v>
      </c>
      <c r="N21" s="67">
        <v>1045</v>
      </c>
      <c r="O21" s="67">
        <v>67299</v>
      </c>
      <c r="Q21" s="674">
        <v>0</v>
      </c>
      <c r="R21" s="674">
        <v>0</v>
      </c>
      <c r="S21" s="798" t="s">
        <v>1674</v>
      </c>
      <c r="T21" s="798">
        <v>0</v>
      </c>
      <c r="U21" s="88">
        <v>67299</v>
      </c>
      <c r="V21" s="71">
        <v>140.82529452384441</v>
      </c>
      <c r="W21" s="449"/>
      <c r="X21" s="67">
        <v>58562</v>
      </c>
      <c r="Y21" s="163">
        <v>8737</v>
      </c>
      <c r="Z21" s="166">
        <v>0.14919230900583996</v>
      </c>
      <c r="AA21" s="61"/>
      <c r="AC21" s="67"/>
      <c r="AD21" s="451"/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259.22000000000003</v>
      </c>
      <c r="E22" s="67">
        <v>35938</v>
      </c>
      <c r="F22" s="146">
        <v>0</v>
      </c>
      <c r="G22" s="146">
        <v>0</v>
      </c>
      <c r="H22" s="91">
        <v>35938</v>
      </c>
      <c r="I22" s="67">
        <v>0</v>
      </c>
      <c r="J22" s="739">
        <v>35938</v>
      </c>
      <c r="K22" s="132" t="s">
        <v>644</v>
      </c>
      <c r="L22" s="740">
        <v>35938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98" t="s">
        <v>1674</v>
      </c>
      <c r="T22" s="798">
        <v>0</v>
      </c>
      <c r="U22" s="88">
        <v>0</v>
      </c>
      <c r="V22" s="71">
        <v>0</v>
      </c>
      <c r="W22" s="449"/>
      <c r="X22" s="67">
        <v>36466</v>
      </c>
      <c r="Y22" s="163">
        <v>-36466</v>
      </c>
      <c r="Z22" s="166">
        <v>-1</v>
      </c>
      <c r="AA22" s="61"/>
      <c r="AC22" s="67"/>
      <c r="AD22" s="451"/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132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>
        <v>0</v>
      </c>
      <c r="S23" s="798">
        <v>0</v>
      </c>
      <c r="T23" s="798">
        <v>0</v>
      </c>
      <c r="U23" s="88">
        <v>0</v>
      </c>
      <c r="V23" s="71">
        <v>0</v>
      </c>
      <c r="W23" s="449"/>
      <c r="X23" s="67">
        <v>0</v>
      </c>
      <c r="Y23" s="163">
        <v>0</v>
      </c>
      <c r="Z23" s="166">
        <v>0</v>
      </c>
      <c r="AA23" s="61"/>
      <c r="AC23" s="67"/>
      <c r="AD23" s="451"/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43.67</v>
      </c>
      <c r="E24" s="67">
        <v>6054</v>
      </c>
      <c r="F24" s="146">
        <v>0</v>
      </c>
      <c r="G24" s="146">
        <v>0</v>
      </c>
      <c r="H24" s="91">
        <v>6054</v>
      </c>
      <c r="I24" s="67">
        <v>0</v>
      </c>
      <c r="J24" s="739">
        <v>6054</v>
      </c>
      <c r="K24" s="132" t="s">
        <v>723</v>
      </c>
      <c r="L24" s="740">
        <v>6054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98" t="s">
        <v>1674</v>
      </c>
      <c r="T24" s="798">
        <v>0</v>
      </c>
      <c r="U24" s="88">
        <v>0</v>
      </c>
      <c r="V24" s="71">
        <v>0</v>
      </c>
      <c r="W24" s="449"/>
      <c r="X24" s="67">
        <v>7272</v>
      </c>
      <c r="Y24" s="163">
        <v>-7272</v>
      </c>
      <c r="Z24" s="166">
        <v>-1</v>
      </c>
      <c r="AA24" s="61"/>
      <c r="AC24" s="67"/>
      <c r="AD24" s="451"/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399.56</v>
      </c>
      <c r="E25" s="67">
        <v>55395</v>
      </c>
      <c r="F25" s="146">
        <v>0</v>
      </c>
      <c r="G25" s="146">
        <v>0</v>
      </c>
      <c r="H25" s="91">
        <v>55395</v>
      </c>
      <c r="I25" s="67">
        <v>0</v>
      </c>
      <c r="J25" s="739">
        <v>55395</v>
      </c>
      <c r="K25" s="132" t="s">
        <v>621</v>
      </c>
      <c r="L25" s="740">
        <v>0</v>
      </c>
      <c r="M25" s="741">
        <v>399.56</v>
      </c>
      <c r="N25" s="67">
        <v>874</v>
      </c>
      <c r="O25" s="67">
        <v>56269</v>
      </c>
      <c r="Q25" s="674">
        <v>0</v>
      </c>
      <c r="R25" s="674">
        <v>0</v>
      </c>
      <c r="S25" s="798" t="s">
        <v>1674</v>
      </c>
      <c r="T25" s="798">
        <v>0</v>
      </c>
      <c r="U25" s="88">
        <v>56269</v>
      </c>
      <c r="V25" s="71">
        <v>140.82741015116628</v>
      </c>
      <c r="W25" s="449"/>
      <c r="X25" s="67">
        <v>55314</v>
      </c>
      <c r="Y25" s="163">
        <v>955</v>
      </c>
      <c r="Z25" s="166">
        <v>1.7265068517915899E-2</v>
      </c>
      <c r="AA25" s="61"/>
      <c r="AC25" s="67"/>
      <c r="AD25" s="451"/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251.78</v>
      </c>
      <c r="E26" s="67">
        <v>34907</v>
      </c>
      <c r="F26" s="146">
        <v>0</v>
      </c>
      <c r="G26" s="146">
        <v>0</v>
      </c>
      <c r="H26" s="91">
        <v>34907</v>
      </c>
      <c r="I26" s="67">
        <v>0</v>
      </c>
      <c r="J26" s="739">
        <v>34907</v>
      </c>
      <c r="K26" s="132" t="s">
        <v>621</v>
      </c>
      <c r="L26" s="740">
        <v>0</v>
      </c>
      <c r="M26" s="741">
        <v>251.78</v>
      </c>
      <c r="N26" s="67">
        <v>551</v>
      </c>
      <c r="O26" s="67">
        <v>35458</v>
      </c>
      <c r="Q26" s="674">
        <v>0</v>
      </c>
      <c r="R26" s="674">
        <v>1799.5900541868812</v>
      </c>
      <c r="S26" s="798" t="s">
        <v>725</v>
      </c>
      <c r="T26" s="798">
        <v>251.78</v>
      </c>
      <c r="U26" s="88">
        <v>37257.590054186883</v>
      </c>
      <c r="V26" s="71">
        <v>140.82929541663356</v>
      </c>
      <c r="W26" s="449"/>
      <c r="X26" s="67">
        <v>37349</v>
      </c>
      <c r="Y26" s="163">
        <v>-1891</v>
      </c>
      <c r="Z26" s="166">
        <v>-5.0630538970253554E-2</v>
      </c>
      <c r="AA26" s="61"/>
      <c r="AC26" s="67"/>
      <c r="AD26" s="451"/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185.11</v>
      </c>
      <c r="E27" s="67">
        <v>25663</v>
      </c>
      <c r="F27" s="146">
        <v>0</v>
      </c>
      <c r="G27" s="146">
        <v>0</v>
      </c>
      <c r="H27" s="91">
        <v>25663</v>
      </c>
      <c r="I27" s="67">
        <v>0</v>
      </c>
      <c r="J27" s="739">
        <v>25663</v>
      </c>
      <c r="K27" s="132" t="s">
        <v>621</v>
      </c>
      <c r="L27" s="740">
        <v>0</v>
      </c>
      <c r="M27" s="741">
        <v>185.11</v>
      </c>
      <c r="N27" s="67">
        <v>405</v>
      </c>
      <c r="O27" s="67">
        <v>26068</v>
      </c>
      <c r="Q27" s="674">
        <v>0</v>
      </c>
      <c r="R27" s="674">
        <v>0</v>
      </c>
      <c r="S27" s="798" t="s">
        <v>1674</v>
      </c>
      <c r="T27" s="798">
        <v>0</v>
      </c>
      <c r="U27" s="88">
        <v>26068</v>
      </c>
      <c r="V27" s="71">
        <v>140.82437469612663</v>
      </c>
      <c r="W27" s="449"/>
      <c r="X27" s="67">
        <v>25688</v>
      </c>
      <c r="Y27" s="163">
        <v>380</v>
      </c>
      <c r="Z27" s="166">
        <v>1.4792899408284023E-2</v>
      </c>
      <c r="AA27" s="61"/>
      <c r="AC27" s="67"/>
      <c r="AD27" s="451"/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1836.22</v>
      </c>
      <c r="E28" s="67">
        <v>254572</v>
      </c>
      <c r="F28" s="146">
        <v>0</v>
      </c>
      <c r="G28" s="146">
        <v>0</v>
      </c>
      <c r="H28" s="91">
        <v>254572</v>
      </c>
      <c r="I28" s="67">
        <v>0</v>
      </c>
      <c r="J28" s="739">
        <v>254572</v>
      </c>
      <c r="K28" s="132" t="s">
        <v>621</v>
      </c>
      <c r="L28" s="740">
        <v>0</v>
      </c>
      <c r="M28" s="741">
        <v>1836.22</v>
      </c>
      <c r="N28" s="67">
        <v>4015</v>
      </c>
      <c r="O28" s="67">
        <v>258587</v>
      </c>
      <c r="Q28" s="674">
        <v>0</v>
      </c>
      <c r="R28" s="674">
        <v>13124.327783378485</v>
      </c>
      <c r="S28" s="798" t="s">
        <v>725</v>
      </c>
      <c r="T28" s="798">
        <v>1836.22</v>
      </c>
      <c r="U28" s="88">
        <v>271711.32778337848</v>
      </c>
      <c r="V28" s="71">
        <v>140.8257180512139</v>
      </c>
      <c r="W28" s="449"/>
      <c r="X28" s="67">
        <v>261119</v>
      </c>
      <c r="Y28" s="163">
        <v>-2532</v>
      </c>
      <c r="Z28" s="166">
        <v>-9.696728311612713E-3</v>
      </c>
      <c r="AA28" s="61"/>
      <c r="AC28" s="67"/>
      <c r="AD28" s="451"/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50.67</v>
      </c>
      <c r="E29" s="67">
        <v>7025</v>
      </c>
      <c r="F29" s="146">
        <v>0</v>
      </c>
      <c r="G29" s="146">
        <v>0</v>
      </c>
      <c r="H29" s="91">
        <v>7025</v>
      </c>
      <c r="I29" s="67">
        <v>0</v>
      </c>
      <c r="J29" s="739">
        <v>7025</v>
      </c>
      <c r="K29" s="132" t="s">
        <v>723</v>
      </c>
      <c r="L29" s="740">
        <v>7025</v>
      </c>
      <c r="M29" s="741">
        <v>0</v>
      </c>
      <c r="N29" s="67">
        <v>0</v>
      </c>
      <c r="O29" s="67">
        <v>0</v>
      </c>
      <c r="Q29" s="674">
        <v>0</v>
      </c>
      <c r="R29" s="674">
        <v>0</v>
      </c>
      <c r="S29" s="798">
        <v>0</v>
      </c>
      <c r="T29" s="798">
        <v>0</v>
      </c>
      <c r="U29" s="88">
        <v>0</v>
      </c>
      <c r="V29" s="71">
        <v>0</v>
      </c>
      <c r="W29" s="449"/>
      <c r="X29" s="67">
        <v>6519</v>
      </c>
      <c r="Y29" s="163">
        <v>-6519</v>
      </c>
      <c r="Z29" s="166">
        <v>-1</v>
      </c>
      <c r="AA29" s="61"/>
      <c r="AC29" s="67"/>
      <c r="AD29" s="451"/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132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>
        <v>0</v>
      </c>
      <c r="S30" s="798">
        <v>0</v>
      </c>
      <c r="T30" s="798">
        <v>0</v>
      </c>
      <c r="U30" s="88">
        <v>0</v>
      </c>
      <c r="V30" s="71">
        <v>0</v>
      </c>
      <c r="W30" s="449"/>
      <c r="X30" s="67">
        <v>0</v>
      </c>
      <c r="Y30" s="163">
        <v>0</v>
      </c>
      <c r="Z30" s="166">
        <v>0</v>
      </c>
      <c r="AA30" s="61"/>
      <c r="AC30" s="67"/>
      <c r="AD30" s="451"/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44.67</v>
      </c>
      <c r="E31" s="67">
        <v>6193</v>
      </c>
      <c r="F31" s="146">
        <v>0</v>
      </c>
      <c r="G31" s="146">
        <v>0</v>
      </c>
      <c r="H31" s="91">
        <v>6193</v>
      </c>
      <c r="I31" s="67">
        <v>0</v>
      </c>
      <c r="J31" s="739">
        <v>6193</v>
      </c>
      <c r="K31" s="132" t="s">
        <v>723</v>
      </c>
      <c r="L31" s="740">
        <v>6193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98">
        <v>0</v>
      </c>
      <c r="T31" s="798">
        <v>0</v>
      </c>
      <c r="U31" s="88">
        <v>0</v>
      </c>
      <c r="V31" s="71">
        <v>0</v>
      </c>
      <c r="W31" s="449"/>
      <c r="X31" s="67">
        <v>5852</v>
      </c>
      <c r="Y31" s="163">
        <v>-5852</v>
      </c>
      <c r="Z31" s="166">
        <v>-1</v>
      </c>
      <c r="AA31" s="61"/>
      <c r="AC31" s="67"/>
      <c r="AD31" s="451"/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98">
        <v>0</v>
      </c>
      <c r="T32" s="798">
        <v>0</v>
      </c>
      <c r="U32" s="88">
        <v>0</v>
      </c>
      <c r="V32" s="71">
        <v>0</v>
      </c>
      <c r="W32" s="449"/>
      <c r="X32" s="67">
        <v>0</v>
      </c>
      <c r="Y32" s="163">
        <v>0</v>
      </c>
      <c r="Z32" s="166">
        <v>0</v>
      </c>
      <c r="AA32" s="61"/>
      <c r="AC32" s="67"/>
      <c r="AD32" s="451"/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100.78</v>
      </c>
      <c r="E33" s="67">
        <v>13972</v>
      </c>
      <c r="F33" s="146">
        <v>0</v>
      </c>
      <c r="G33" s="146">
        <v>0</v>
      </c>
      <c r="H33" s="91">
        <v>13972</v>
      </c>
      <c r="I33" s="67">
        <v>0</v>
      </c>
      <c r="J33" s="739">
        <v>13972</v>
      </c>
      <c r="K33" s="132" t="s">
        <v>621</v>
      </c>
      <c r="L33" s="740">
        <v>0</v>
      </c>
      <c r="M33" s="741">
        <v>100.78</v>
      </c>
      <c r="N33" s="67">
        <v>220</v>
      </c>
      <c r="O33" s="67">
        <v>14192</v>
      </c>
      <c r="Q33" s="674">
        <v>0</v>
      </c>
      <c r="R33" s="674">
        <v>720.3220496503053</v>
      </c>
      <c r="S33" s="798" t="s">
        <v>725</v>
      </c>
      <c r="T33" s="798">
        <v>100.78</v>
      </c>
      <c r="U33" s="88">
        <v>14912.322049650305</v>
      </c>
      <c r="V33" s="71">
        <v>140.82159158563206</v>
      </c>
      <c r="W33" s="449"/>
      <c r="X33" s="67">
        <v>13941</v>
      </c>
      <c r="Y33" s="163">
        <v>251</v>
      </c>
      <c r="Z33" s="166">
        <v>1.8004447313679076E-2</v>
      </c>
      <c r="AA33" s="61"/>
      <c r="AC33" s="67"/>
      <c r="AD33" s="451"/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3025.11</v>
      </c>
      <c r="E34" s="67">
        <v>419398</v>
      </c>
      <c r="F34" s="146">
        <v>0</v>
      </c>
      <c r="G34" s="146">
        <v>0</v>
      </c>
      <c r="H34" s="91">
        <v>419398</v>
      </c>
      <c r="I34" s="67">
        <v>0</v>
      </c>
      <c r="J34" s="739">
        <v>419398</v>
      </c>
      <c r="K34" s="132" t="s">
        <v>621</v>
      </c>
      <c r="L34" s="740">
        <v>0</v>
      </c>
      <c r="M34" s="741">
        <v>3025.11</v>
      </c>
      <c r="N34" s="67">
        <v>6615</v>
      </c>
      <c r="O34" s="67">
        <v>426013</v>
      </c>
      <c r="Q34" s="674">
        <v>0</v>
      </c>
      <c r="R34" s="674">
        <v>0</v>
      </c>
      <c r="S34" s="798" t="s">
        <v>1674</v>
      </c>
      <c r="T34" s="798">
        <v>0</v>
      </c>
      <c r="U34" s="88">
        <v>426013</v>
      </c>
      <c r="V34" s="71">
        <v>140.82562286991217</v>
      </c>
      <c r="W34" s="449"/>
      <c r="X34" s="67">
        <v>403522</v>
      </c>
      <c r="Y34" s="163">
        <v>22491</v>
      </c>
      <c r="Z34" s="166">
        <v>5.5736738021718767E-2</v>
      </c>
      <c r="AA34" s="61"/>
      <c r="AC34" s="67"/>
      <c r="AD34" s="451"/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19.559999999999999</v>
      </c>
      <c r="E35" s="67">
        <v>2712</v>
      </c>
      <c r="F35" s="146">
        <v>0</v>
      </c>
      <c r="G35" s="146">
        <v>0</v>
      </c>
      <c r="H35" s="91">
        <v>2712</v>
      </c>
      <c r="I35" s="67">
        <v>0</v>
      </c>
      <c r="J35" s="739">
        <v>2712</v>
      </c>
      <c r="K35" s="132" t="s">
        <v>1306</v>
      </c>
      <c r="L35" s="740">
        <v>0</v>
      </c>
      <c r="M35" s="741">
        <v>19.559999999999999</v>
      </c>
      <c r="N35" s="67">
        <v>43</v>
      </c>
      <c r="O35" s="67">
        <v>2755</v>
      </c>
      <c r="Q35" s="674">
        <v>0</v>
      </c>
      <c r="R35" s="674">
        <v>0</v>
      </c>
      <c r="S35" s="798">
        <v>0</v>
      </c>
      <c r="T35" s="798">
        <v>0</v>
      </c>
      <c r="U35" s="88">
        <v>2755</v>
      </c>
      <c r="V35" s="71">
        <v>140.84867075664621</v>
      </c>
      <c r="W35" s="449"/>
      <c r="X35" s="67">
        <v>2044</v>
      </c>
      <c r="Y35" s="163">
        <v>711</v>
      </c>
      <c r="Z35" s="166">
        <v>0.34784735812133072</v>
      </c>
      <c r="AA35" s="61"/>
      <c r="AC35" s="67"/>
      <c r="AD35" s="451"/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28.33</v>
      </c>
      <c r="E36" s="67">
        <v>3928</v>
      </c>
      <c r="F36" s="146">
        <v>0</v>
      </c>
      <c r="G36" s="146">
        <v>0</v>
      </c>
      <c r="H36" s="91">
        <v>3928</v>
      </c>
      <c r="I36" s="67">
        <v>0</v>
      </c>
      <c r="J36" s="739">
        <v>3928</v>
      </c>
      <c r="K36" s="132" t="s">
        <v>644</v>
      </c>
      <c r="L36" s="740">
        <v>3928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98">
        <v>0</v>
      </c>
      <c r="T36" s="798">
        <v>0</v>
      </c>
      <c r="U36" s="88">
        <v>0</v>
      </c>
      <c r="V36" s="71">
        <v>0</v>
      </c>
      <c r="W36" s="449"/>
      <c r="X36" s="67">
        <v>3851</v>
      </c>
      <c r="Y36" s="163">
        <v>-3851</v>
      </c>
      <c r="Z36" s="166">
        <v>-1</v>
      </c>
      <c r="AA36" s="61"/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132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>
        <v>0</v>
      </c>
      <c r="S37" s="798">
        <v>0</v>
      </c>
      <c r="T37" s="798">
        <v>0</v>
      </c>
      <c r="U37" s="88">
        <v>0</v>
      </c>
      <c r="V37" s="71">
        <v>0</v>
      </c>
      <c r="W37" s="449"/>
      <c r="X37" s="67">
        <v>0</v>
      </c>
      <c r="Y37" s="163">
        <v>0</v>
      </c>
      <c r="Z37" s="166">
        <v>0</v>
      </c>
      <c r="AA37" s="61"/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72.89</v>
      </c>
      <c r="E38" s="67">
        <v>10105</v>
      </c>
      <c r="F38" s="146">
        <v>0</v>
      </c>
      <c r="G38" s="146">
        <v>0</v>
      </c>
      <c r="H38" s="91">
        <v>10105</v>
      </c>
      <c r="I38" s="67">
        <v>0</v>
      </c>
      <c r="J38" s="739">
        <v>10105</v>
      </c>
      <c r="K38" s="132" t="s">
        <v>1306</v>
      </c>
      <c r="L38" s="740">
        <v>0</v>
      </c>
      <c r="M38" s="741">
        <v>72.89</v>
      </c>
      <c r="N38" s="67">
        <v>159</v>
      </c>
      <c r="O38" s="67">
        <v>10264</v>
      </c>
      <c r="Q38" s="674">
        <v>0</v>
      </c>
      <c r="R38" s="674">
        <v>0</v>
      </c>
      <c r="S38" s="798" t="s">
        <v>1674</v>
      </c>
      <c r="T38" s="798">
        <v>0</v>
      </c>
      <c r="U38" s="88">
        <v>10264</v>
      </c>
      <c r="V38" s="71">
        <v>140.81492660172864</v>
      </c>
      <c r="W38" s="449"/>
      <c r="X38" s="67">
        <v>9682</v>
      </c>
      <c r="Y38" s="163">
        <v>582</v>
      </c>
      <c r="Z38" s="166">
        <v>6.011154720099153E-2</v>
      </c>
      <c r="AA38" s="61"/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3170.22</v>
      </c>
      <c r="E39" s="67">
        <v>439516</v>
      </c>
      <c r="F39" s="146">
        <v>0</v>
      </c>
      <c r="G39" s="146">
        <v>0</v>
      </c>
      <c r="H39" s="91">
        <v>439516</v>
      </c>
      <c r="I39" s="67">
        <v>0</v>
      </c>
      <c r="J39" s="739">
        <v>439516</v>
      </c>
      <c r="K39" s="132" t="s">
        <v>621</v>
      </c>
      <c r="L39" s="740">
        <v>0</v>
      </c>
      <c r="M39" s="741">
        <v>3170.22</v>
      </c>
      <c r="N39" s="67">
        <v>6932</v>
      </c>
      <c r="O39" s="67">
        <v>446448</v>
      </c>
      <c r="Q39" s="674">
        <v>0</v>
      </c>
      <c r="R39" s="674">
        <v>22659.053068489688</v>
      </c>
      <c r="S39" s="798" t="s">
        <v>725</v>
      </c>
      <c r="T39" s="798">
        <v>3170.22</v>
      </c>
      <c r="U39" s="88">
        <v>469107.05306848971</v>
      </c>
      <c r="V39" s="71">
        <v>140.82555784772035</v>
      </c>
      <c r="W39" s="449"/>
      <c r="X39" s="67">
        <v>444442</v>
      </c>
      <c r="Y39" s="163">
        <v>2006</v>
      </c>
      <c r="Z39" s="166">
        <v>4.5135248243865344E-3</v>
      </c>
      <c r="AA39" s="61"/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154.22</v>
      </c>
      <c r="E40" s="67">
        <v>21381</v>
      </c>
      <c r="F40" s="146">
        <v>0</v>
      </c>
      <c r="G40" s="146">
        <v>0</v>
      </c>
      <c r="H40" s="91">
        <v>21381</v>
      </c>
      <c r="I40" s="67">
        <v>0</v>
      </c>
      <c r="J40" s="739">
        <v>21381</v>
      </c>
      <c r="K40" s="132" t="s">
        <v>621</v>
      </c>
      <c r="L40" s="740">
        <v>0</v>
      </c>
      <c r="M40" s="741">
        <v>154.22</v>
      </c>
      <c r="N40" s="67">
        <v>337</v>
      </c>
      <c r="O40" s="67">
        <v>21718</v>
      </c>
      <c r="Q40" s="674">
        <v>0</v>
      </c>
      <c r="R40" s="674">
        <v>1102.2828586730511</v>
      </c>
      <c r="S40" s="798" t="s">
        <v>725</v>
      </c>
      <c r="T40" s="798">
        <v>154.22</v>
      </c>
      <c r="U40" s="88">
        <v>22820.28285867305</v>
      </c>
      <c r="V40" s="71">
        <v>140.82479574633641</v>
      </c>
      <c r="W40" s="449"/>
      <c r="X40" s="67">
        <v>17900</v>
      </c>
      <c r="Y40" s="163">
        <v>3818</v>
      </c>
      <c r="Z40" s="166">
        <v>0.21329608938547487</v>
      </c>
      <c r="AA40" s="61"/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760.22</v>
      </c>
      <c r="E41" s="67">
        <v>105396</v>
      </c>
      <c r="F41" s="146">
        <v>0</v>
      </c>
      <c r="G41" s="146">
        <v>0</v>
      </c>
      <c r="H41" s="91">
        <v>105396</v>
      </c>
      <c r="I41" s="67">
        <v>0</v>
      </c>
      <c r="J41" s="739">
        <v>105396</v>
      </c>
      <c r="K41" s="132" t="s">
        <v>621</v>
      </c>
      <c r="L41" s="740">
        <v>0</v>
      </c>
      <c r="M41" s="741">
        <v>760.22</v>
      </c>
      <c r="N41" s="67">
        <v>1662</v>
      </c>
      <c r="O41" s="67">
        <v>107058</v>
      </c>
      <c r="Q41" s="674">
        <v>0</v>
      </c>
      <c r="R41" s="674">
        <v>5433.6498172767924</v>
      </c>
      <c r="S41" s="798" t="s">
        <v>725</v>
      </c>
      <c r="T41" s="798">
        <v>760.22</v>
      </c>
      <c r="U41" s="88">
        <v>112491.64981727679</v>
      </c>
      <c r="V41" s="71">
        <v>140.8250243350609</v>
      </c>
      <c r="W41" s="449"/>
      <c r="X41" s="67">
        <v>110712</v>
      </c>
      <c r="Y41" s="163">
        <v>-3654</v>
      </c>
      <c r="Z41" s="166">
        <v>-3.3004552352048556E-2</v>
      </c>
      <c r="AA41" s="61"/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78.78</v>
      </c>
      <c r="E42" s="67">
        <v>10922</v>
      </c>
      <c r="F42" s="146">
        <v>0</v>
      </c>
      <c r="G42" s="146">
        <v>0</v>
      </c>
      <c r="H42" s="91">
        <v>10922</v>
      </c>
      <c r="I42" s="67">
        <v>0</v>
      </c>
      <c r="J42" s="739">
        <v>10922</v>
      </c>
      <c r="K42" s="132" t="s">
        <v>621</v>
      </c>
      <c r="L42" s="740">
        <v>0</v>
      </c>
      <c r="M42" s="741">
        <v>78.78</v>
      </c>
      <c r="N42" s="67">
        <v>172</v>
      </c>
      <c r="O42" s="67">
        <v>11094</v>
      </c>
      <c r="Q42" s="674">
        <v>0</v>
      </c>
      <c r="R42" s="674">
        <v>0</v>
      </c>
      <c r="S42" s="798">
        <v>0</v>
      </c>
      <c r="T42" s="798">
        <v>0</v>
      </c>
      <c r="U42" s="88">
        <v>11094</v>
      </c>
      <c r="V42" s="71">
        <v>140.82254379284083</v>
      </c>
      <c r="W42" s="449"/>
      <c r="X42" s="67">
        <v>9940</v>
      </c>
      <c r="Y42" s="163">
        <v>1154</v>
      </c>
      <c r="Z42" s="166">
        <v>0.11609657947686117</v>
      </c>
      <c r="AA42" s="61"/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132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98">
        <v>0</v>
      </c>
      <c r="T43" s="798">
        <v>0</v>
      </c>
      <c r="U43" s="88">
        <v>0</v>
      </c>
      <c r="V43" s="71">
        <v>0</v>
      </c>
      <c r="W43" s="449"/>
      <c r="X43" s="67">
        <v>0</v>
      </c>
      <c r="Y43" s="163">
        <v>0</v>
      </c>
      <c r="Z43" s="166">
        <v>0</v>
      </c>
      <c r="AA43" s="61"/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3.78</v>
      </c>
      <c r="E44" s="67">
        <v>524</v>
      </c>
      <c r="F44" s="146">
        <v>0</v>
      </c>
      <c r="G44" s="146">
        <v>0</v>
      </c>
      <c r="H44" s="91">
        <v>524</v>
      </c>
      <c r="I44" s="67">
        <v>0</v>
      </c>
      <c r="J44" s="739">
        <v>524</v>
      </c>
      <c r="K44" s="132" t="s">
        <v>723</v>
      </c>
      <c r="L44" s="740">
        <v>524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98">
        <v>0</v>
      </c>
      <c r="T44" s="798">
        <v>0</v>
      </c>
      <c r="U44" s="88">
        <v>0</v>
      </c>
      <c r="V44" s="71">
        <v>0</v>
      </c>
      <c r="W44" s="449"/>
      <c r="X44" s="67">
        <v>151</v>
      </c>
      <c r="Y44" s="163">
        <v>-151</v>
      </c>
      <c r="Z44" s="166">
        <v>-1</v>
      </c>
      <c r="AA44" s="61"/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132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>
        <v>0</v>
      </c>
      <c r="S45" s="798">
        <v>0</v>
      </c>
      <c r="T45" s="798">
        <v>0</v>
      </c>
      <c r="U45" s="88">
        <v>0</v>
      </c>
      <c r="V45" s="71">
        <v>0</v>
      </c>
      <c r="W45" s="449"/>
      <c r="X45" s="67">
        <v>0</v>
      </c>
      <c r="Y45" s="163">
        <v>0</v>
      </c>
      <c r="Z45" s="166">
        <v>0</v>
      </c>
      <c r="AA45" s="61"/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380.11</v>
      </c>
      <c r="E46" s="67">
        <v>52698</v>
      </c>
      <c r="F46" s="146">
        <v>0</v>
      </c>
      <c r="G46" s="146">
        <v>0</v>
      </c>
      <c r="H46" s="91">
        <v>52698</v>
      </c>
      <c r="I46" s="67">
        <v>0</v>
      </c>
      <c r="J46" s="739">
        <v>52698</v>
      </c>
      <c r="K46" s="132" t="s">
        <v>621</v>
      </c>
      <c r="L46" s="740">
        <v>0</v>
      </c>
      <c r="M46" s="741">
        <v>380.11</v>
      </c>
      <c r="N46" s="67">
        <v>831</v>
      </c>
      <c r="O46" s="67">
        <v>53529</v>
      </c>
      <c r="Q46" s="674">
        <v>0</v>
      </c>
      <c r="R46" s="674">
        <v>0</v>
      </c>
      <c r="S46" s="798" t="s">
        <v>1674</v>
      </c>
      <c r="T46" s="798">
        <v>0</v>
      </c>
      <c r="U46" s="88">
        <v>53529</v>
      </c>
      <c r="V46" s="71">
        <v>140.8250243350609</v>
      </c>
      <c r="W46" s="449"/>
      <c r="X46" s="67">
        <v>54603</v>
      </c>
      <c r="Y46" s="163">
        <v>-1074</v>
      </c>
      <c r="Z46" s="166">
        <v>-1.9669248942365804E-2</v>
      </c>
      <c r="AA46" s="61"/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98">
        <v>0</v>
      </c>
      <c r="T47" s="798">
        <v>0</v>
      </c>
      <c r="U47" s="88">
        <v>0</v>
      </c>
      <c r="V47" s="71">
        <v>0</v>
      </c>
      <c r="W47" s="449"/>
      <c r="X47" s="67">
        <v>0</v>
      </c>
      <c r="Y47" s="163">
        <v>0</v>
      </c>
      <c r="Z47" s="166">
        <v>0</v>
      </c>
      <c r="AA47" s="61"/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25.11</v>
      </c>
      <c r="E48" s="67">
        <v>3481</v>
      </c>
      <c r="F48" s="146">
        <v>0</v>
      </c>
      <c r="G48" s="146">
        <v>0</v>
      </c>
      <c r="H48" s="91">
        <v>3481</v>
      </c>
      <c r="I48" s="67">
        <v>0</v>
      </c>
      <c r="J48" s="739">
        <v>3481</v>
      </c>
      <c r="K48" s="132" t="s">
        <v>723</v>
      </c>
      <c r="L48" s="740">
        <v>3481</v>
      </c>
      <c r="M48" s="741">
        <v>0</v>
      </c>
      <c r="N48" s="67">
        <v>0</v>
      </c>
      <c r="O48" s="67">
        <v>0</v>
      </c>
      <c r="Q48" s="674">
        <v>0</v>
      </c>
      <c r="R48" s="674">
        <v>0</v>
      </c>
      <c r="S48" s="798">
        <v>0</v>
      </c>
      <c r="T48" s="798">
        <v>0</v>
      </c>
      <c r="U48" s="88">
        <v>0</v>
      </c>
      <c r="V48" s="71">
        <v>0</v>
      </c>
      <c r="W48" s="449"/>
      <c r="X48" s="67">
        <v>3313</v>
      </c>
      <c r="Y48" s="163">
        <v>-3313</v>
      </c>
      <c r="Z48" s="166">
        <v>-1</v>
      </c>
      <c r="AA48" s="61"/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11.33</v>
      </c>
      <c r="E49" s="67">
        <v>1571</v>
      </c>
      <c r="F49" s="146">
        <v>0</v>
      </c>
      <c r="G49" s="146">
        <v>0</v>
      </c>
      <c r="H49" s="91">
        <v>1571</v>
      </c>
      <c r="I49" s="67">
        <v>0</v>
      </c>
      <c r="J49" s="739">
        <v>1571</v>
      </c>
      <c r="K49" s="132" t="s">
        <v>644</v>
      </c>
      <c r="L49" s="740">
        <v>1571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98">
        <v>0</v>
      </c>
      <c r="T49" s="798">
        <v>0</v>
      </c>
      <c r="U49" s="88">
        <v>0</v>
      </c>
      <c r="V49" s="71">
        <v>0</v>
      </c>
      <c r="W49" s="449"/>
      <c r="X49" s="67">
        <v>0</v>
      </c>
      <c r="Y49" s="163">
        <v>0</v>
      </c>
      <c r="Z49" s="166">
        <v>0</v>
      </c>
      <c r="AA49" s="61"/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159.66999999999999</v>
      </c>
      <c r="E50" s="67">
        <v>22136</v>
      </c>
      <c r="F50" s="146">
        <v>0</v>
      </c>
      <c r="G50" s="146">
        <v>0</v>
      </c>
      <c r="H50" s="91">
        <v>22136</v>
      </c>
      <c r="I50" s="67">
        <v>0</v>
      </c>
      <c r="J50" s="739">
        <v>22136</v>
      </c>
      <c r="K50" s="132" t="s">
        <v>621</v>
      </c>
      <c r="L50" s="740">
        <v>0</v>
      </c>
      <c r="M50" s="741">
        <v>159.66999999999999</v>
      </c>
      <c r="N50" s="67">
        <v>349</v>
      </c>
      <c r="O50" s="67">
        <v>22485</v>
      </c>
      <c r="Q50" s="674">
        <v>0</v>
      </c>
      <c r="R50" s="674">
        <v>1141.2365714195698</v>
      </c>
      <c r="S50" s="798" t="s">
        <v>725</v>
      </c>
      <c r="T50" s="798">
        <v>159.66999999999999</v>
      </c>
      <c r="U50" s="88">
        <v>23626.236571419569</v>
      </c>
      <c r="V50" s="71">
        <v>140.82169474541243</v>
      </c>
      <c r="W50" s="449"/>
      <c r="X50" s="67">
        <v>21256</v>
      </c>
      <c r="Y50" s="163">
        <v>1229</v>
      </c>
      <c r="Z50" s="166">
        <v>5.7818968761761388E-2</v>
      </c>
      <c r="AA50" s="61"/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263.44</v>
      </c>
      <c r="E51" s="67">
        <v>36523</v>
      </c>
      <c r="F51" s="146">
        <v>0</v>
      </c>
      <c r="G51" s="146">
        <v>0</v>
      </c>
      <c r="H51" s="91">
        <v>36523</v>
      </c>
      <c r="I51" s="67">
        <v>0</v>
      </c>
      <c r="J51" s="739">
        <v>36523</v>
      </c>
      <c r="K51" s="132" t="s">
        <v>621</v>
      </c>
      <c r="L51" s="740">
        <v>0</v>
      </c>
      <c r="M51" s="741">
        <v>263.44</v>
      </c>
      <c r="N51" s="67">
        <v>576</v>
      </c>
      <c r="O51" s="67">
        <v>37099</v>
      </c>
      <c r="Q51" s="674">
        <v>0</v>
      </c>
      <c r="R51" s="674">
        <v>0</v>
      </c>
      <c r="S51" s="798" t="s">
        <v>1674</v>
      </c>
      <c r="T51" s="798">
        <v>0</v>
      </c>
      <c r="U51" s="88">
        <v>37099</v>
      </c>
      <c r="V51" s="71">
        <v>140.82523534770726</v>
      </c>
      <c r="W51" s="449"/>
      <c r="X51" s="67">
        <v>35477</v>
      </c>
      <c r="Y51" s="163">
        <v>1622</v>
      </c>
      <c r="Z51" s="166">
        <v>4.5719762099388335E-2</v>
      </c>
      <c r="AA51" s="61"/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119.44</v>
      </c>
      <c r="E52" s="67">
        <v>16559</v>
      </c>
      <c r="F52" s="146">
        <v>0</v>
      </c>
      <c r="G52" s="146">
        <v>0</v>
      </c>
      <c r="H52" s="91">
        <v>16559</v>
      </c>
      <c r="I52" s="67">
        <v>0</v>
      </c>
      <c r="J52" s="739">
        <v>16559</v>
      </c>
      <c r="K52" s="132" t="s">
        <v>621</v>
      </c>
      <c r="L52" s="740">
        <v>0</v>
      </c>
      <c r="M52" s="741">
        <v>119.44</v>
      </c>
      <c r="N52" s="67">
        <v>261</v>
      </c>
      <c r="O52" s="67">
        <v>16820</v>
      </c>
      <c r="Q52" s="674">
        <v>0</v>
      </c>
      <c r="R52" s="674">
        <v>0</v>
      </c>
      <c r="S52" s="798" t="s">
        <v>1674</v>
      </c>
      <c r="T52" s="798">
        <v>0</v>
      </c>
      <c r="U52" s="88">
        <v>16820</v>
      </c>
      <c r="V52" s="71">
        <v>140.82384460817147</v>
      </c>
      <c r="W52" s="449"/>
      <c r="X52" s="67">
        <v>15748</v>
      </c>
      <c r="Y52" s="163">
        <v>1072</v>
      </c>
      <c r="Z52" s="166">
        <v>6.8072136144272294E-2</v>
      </c>
      <c r="AA52" s="61"/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350.67</v>
      </c>
      <c r="E53" s="67">
        <v>48617</v>
      </c>
      <c r="F53" s="146">
        <v>0</v>
      </c>
      <c r="G53" s="146">
        <v>0</v>
      </c>
      <c r="H53" s="91">
        <v>48617</v>
      </c>
      <c r="I53" s="67">
        <v>0</v>
      </c>
      <c r="J53" s="739">
        <v>48617</v>
      </c>
      <c r="K53" s="132" t="s">
        <v>621</v>
      </c>
      <c r="L53" s="740">
        <v>0</v>
      </c>
      <c r="M53" s="741">
        <v>350.67</v>
      </c>
      <c r="N53" s="67">
        <v>767</v>
      </c>
      <c r="O53" s="67">
        <v>49384</v>
      </c>
      <c r="Q53" s="674">
        <v>0</v>
      </c>
      <c r="R53" s="674">
        <v>2506.4033851049076</v>
      </c>
      <c r="S53" s="798" t="s">
        <v>725</v>
      </c>
      <c r="T53" s="798">
        <v>350.67</v>
      </c>
      <c r="U53" s="88">
        <v>51890.40338510491</v>
      </c>
      <c r="V53" s="71">
        <v>140.82755867339662</v>
      </c>
      <c r="W53" s="449"/>
      <c r="X53" s="67">
        <v>48558</v>
      </c>
      <c r="Y53" s="163">
        <v>826</v>
      </c>
      <c r="Z53" s="166">
        <v>1.7010585279459617E-2</v>
      </c>
      <c r="AA53" s="61"/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12.67</v>
      </c>
      <c r="E54" s="67">
        <v>1757</v>
      </c>
      <c r="F54" s="146">
        <v>0</v>
      </c>
      <c r="G54" s="146">
        <v>0</v>
      </c>
      <c r="H54" s="91">
        <v>1757</v>
      </c>
      <c r="I54" s="67">
        <v>0</v>
      </c>
      <c r="J54" s="739">
        <v>1757</v>
      </c>
      <c r="K54" s="132" t="s">
        <v>1306</v>
      </c>
      <c r="L54" s="740">
        <v>0</v>
      </c>
      <c r="M54" s="741">
        <v>12.67</v>
      </c>
      <c r="N54" s="67">
        <v>28</v>
      </c>
      <c r="O54" s="67">
        <v>1785</v>
      </c>
      <c r="Q54" s="674">
        <v>0</v>
      </c>
      <c r="R54" s="674">
        <v>0</v>
      </c>
      <c r="S54" s="798">
        <v>0</v>
      </c>
      <c r="T54" s="798">
        <v>0</v>
      </c>
      <c r="U54" s="88">
        <v>1785</v>
      </c>
      <c r="V54" s="71">
        <v>140.88397790055248</v>
      </c>
      <c r="W54" s="449"/>
      <c r="X54" s="67">
        <v>1636</v>
      </c>
      <c r="Y54" s="163">
        <v>149</v>
      </c>
      <c r="Z54" s="166">
        <v>9.1075794621026898E-2</v>
      </c>
      <c r="AA54" s="61"/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1125.78</v>
      </c>
      <c r="E55" s="67">
        <v>156077</v>
      </c>
      <c r="F55" s="146">
        <v>0</v>
      </c>
      <c r="G55" s="146">
        <v>0</v>
      </c>
      <c r="H55" s="91">
        <v>156077</v>
      </c>
      <c r="I55" s="67">
        <v>0</v>
      </c>
      <c r="J55" s="739">
        <v>156077</v>
      </c>
      <c r="K55" s="132" t="s">
        <v>621</v>
      </c>
      <c r="L55" s="740">
        <v>0</v>
      </c>
      <c r="M55" s="741">
        <v>1125.78</v>
      </c>
      <c r="N55" s="67">
        <v>2462</v>
      </c>
      <c r="O55" s="67">
        <v>158539</v>
      </c>
      <c r="Q55" s="674">
        <v>0</v>
      </c>
      <c r="R55" s="674">
        <v>8046.479034087326</v>
      </c>
      <c r="S55" s="798" t="s">
        <v>725</v>
      </c>
      <c r="T55" s="798">
        <v>1125.78</v>
      </c>
      <c r="U55" s="88">
        <v>166585.47903408733</v>
      </c>
      <c r="V55" s="71">
        <v>140.82591625361971</v>
      </c>
      <c r="W55" s="449"/>
      <c r="X55" s="67">
        <v>156302</v>
      </c>
      <c r="Y55" s="163">
        <v>2237</v>
      </c>
      <c r="Z55" s="166">
        <v>1.4312036954101675E-2</v>
      </c>
      <c r="AA55" s="61"/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644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98">
        <v>0</v>
      </c>
      <c r="T56" s="798">
        <v>0</v>
      </c>
      <c r="U56" s="88">
        <v>0</v>
      </c>
      <c r="V56" s="71">
        <v>0</v>
      </c>
      <c r="W56" s="449"/>
      <c r="X56" s="67">
        <v>602</v>
      </c>
      <c r="Y56" s="163">
        <v>-602</v>
      </c>
      <c r="Z56" s="166">
        <v>-1</v>
      </c>
      <c r="AA56" s="61"/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18.22</v>
      </c>
      <c r="E57" s="67">
        <v>2526</v>
      </c>
      <c r="F57" s="146">
        <v>0</v>
      </c>
      <c r="G57" s="146">
        <v>0</v>
      </c>
      <c r="H57" s="91">
        <v>2526</v>
      </c>
      <c r="I57" s="67">
        <v>0</v>
      </c>
      <c r="J57" s="739">
        <v>2526</v>
      </c>
      <c r="K57" s="132" t="s">
        <v>644</v>
      </c>
      <c r="L57" s="740">
        <v>2526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98">
        <v>0</v>
      </c>
      <c r="T57" s="798">
        <v>0</v>
      </c>
      <c r="U57" s="88">
        <v>0</v>
      </c>
      <c r="V57" s="71">
        <v>0</v>
      </c>
      <c r="W57" s="449"/>
      <c r="X57" s="67">
        <v>2604</v>
      </c>
      <c r="Y57" s="163">
        <v>-2604</v>
      </c>
      <c r="Z57" s="166">
        <v>-1</v>
      </c>
      <c r="AA57" s="61"/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98">
        <v>0</v>
      </c>
      <c r="T58" s="798">
        <v>0</v>
      </c>
      <c r="U58" s="88">
        <v>0</v>
      </c>
      <c r="V58" s="71">
        <v>0</v>
      </c>
      <c r="W58" s="449"/>
      <c r="X58" s="67">
        <v>0</v>
      </c>
      <c r="Y58" s="163">
        <v>0</v>
      </c>
      <c r="Z58" s="166">
        <v>0</v>
      </c>
      <c r="AA58" s="61"/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98">
        <v>0</v>
      </c>
      <c r="T59" s="798">
        <v>0</v>
      </c>
      <c r="U59" s="88">
        <v>0</v>
      </c>
      <c r="V59" s="71">
        <v>0</v>
      </c>
      <c r="W59" s="449"/>
      <c r="X59" s="67">
        <v>0</v>
      </c>
      <c r="Y59" s="163">
        <v>0</v>
      </c>
      <c r="Z59" s="166">
        <v>0</v>
      </c>
      <c r="AA59" s="61"/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98">
        <v>0</v>
      </c>
      <c r="T60" s="798">
        <v>0</v>
      </c>
      <c r="U60" s="88">
        <v>0</v>
      </c>
      <c r="V60" s="71">
        <v>0</v>
      </c>
      <c r="W60" s="449"/>
      <c r="X60" s="67">
        <v>0</v>
      </c>
      <c r="Y60" s="163">
        <v>0</v>
      </c>
      <c r="Z60" s="166">
        <v>0</v>
      </c>
      <c r="AA60" s="61"/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98">
        <v>0</v>
      </c>
      <c r="T61" s="798">
        <v>0</v>
      </c>
      <c r="U61" s="88">
        <v>0</v>
      </c>
      <c r="V61" s="71">
        <v>0</v>
      </c>
      <c r="W61" s="449"/>
      <c r="X61" s="67">
        <v>0</v>
      </c>
      <c r="Y61" s="163">
        <v>0</v>
      </c>
      <c r="Z61" s="166">
        <v>0</v>
      </c>
      <c r="AA61" s="61"/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98">
        <v>0</v>
      </c>
      <c r="T62" s="798">
        <v>0</v>
      </c>
      <c r="U62" s="88">
        <v>0</v>
      </c>
      <c r="V62" s="71">
        <v>0</v>
      </c>
      <c r="W62" s="449"/>
      <c r="X62" s="67">
        <v>0</v>
      </c>
      <c r="Y62" s="163">
        <v>0</v>
      </c>
      <c r="Z62" s="166">
        <v>0</v>
      </c>
      <c r="AA62" s="61"/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6063.44</v>
      </c>
      <c r="E63" s="67">
        <v>840629</v>
      </c>
      <c r="F63" s="146">
        <v>0</v>
      </c>
      <c r="G63" s="146">
        <v>0</v>
      </c>
      <c r="H63" s="91">
        <v>840629</v>
      </c>
      <c r="I63" s="67">
        <v>0</v>
      </c>
      <c r="J63" s="739">
        <v>840629</v>
      </c>
      <c r="K63" s="132" t="s">
        <v>621</v>
      </c>
      <c r="L63" s="740">
        <v>0</v>
      </c>
      <c r="M63" s="741">
        <v>6063.44</v>
      </c>
      <c r="N63" s="67">
        <v>13259</v>
      </c>
      <c r="O63" s="67">
        <v>853888</v>
      </c>
      <c r="Q63" s="674">
        <v>0</v>
      </c>
      <c r="R63" s="674">
        <v>0</v>
      </c>
      <c r="S63" s="798" t="s">
        <v>1674</v>
      </c>
      <c r="T63" s="798">
        <v>0</v>
      </c>
      <c r="U63" s="88">
        <v>853888</v>
      </c>
      <c r="V63" s="71">
        <v>140.82566991674693</v>
      </c>
      <c r="W63" s="449"/>
      <c r="X63" s="67">
        <v>874771</v>
      </c>
      <c r="Y63" s="163">
        <v>-20883</v>
      </c>
      <c r="Z63" s="166">
        <v>-2.3872533497338162E-2</v>
      </c>
      <c r="AA63" s="61"/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736.89</v>
      </c>
      <c r="E64" s="67">
        <v>102162</v>
      </c>
      <c r="F64" s="146">
        <v>0</v>
      </c>
      <c r="G64" s="146">
        <v>0</v>
      </c>
      <c r="H64" s="91">
        <v>102162</v>
      </c>
      <c r="I64" s="67">
        <v>0</v>
      </c>
      <c r="J64" s="739">
        <v>102162</v>
      </c>
      <c r="K64" s="132" t="s">
        <v>621</v>
      </c>
      <c r="L64" s="740">
        <v>0</v>
      </c>
      <c r="M64" s="741">
        <v>736.89</v>
      </c>
      <c r="N64" s="67">
        <v>1611</v>
      </c>
      <c r="O64" s="67">
        <v>103773</v>
      </c>
      <c r="Q64" s="674">
        <v>0</v>
      </c>
      <c r="R64" s="674">
        <v>0</v>
      </c>
      <c r="S64" s="798" t="s">
        <v>1674</v>
      </c>
      <c r="T64" s="798">
        <v>0</v>
      </c>
      <c r="U64" s="88">
        <v>103773</v>
      </c>
      <c r="V64" s="71">
        <v>140.82563204820258</v>
      </c>
      <c r="W64" s="449"/>
      <c r="X64" s="67">
        <v>107679</v>
      </c>
      <c r="Y64" s="163">
        <v>-3906</v>
      </c>
      <c r="Z64" s="166">
        <v>-3.627448248962193E-2</v>
      </c>
      <c r="AA64" s="61"/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132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98">
        <v>0</v>
      </c>
      <c r="T65" s="798">
        <v>0</v>
      </c>
      <c r="U65" s="88">
        <v>0</v>
      </c>
      <c r="V65" s="71">
        <v>0</v>
      </c>
      <c r="W65" s="449"/>
      <c r="X65" s="67">
        <v>0</v>
      </c>
      <c r="Y65" s="163">
        <v>0</v>
      </c>
      <c r="Z65" s="166">
        <v>0</v>
      </c>
      <c r="AA65" s="61"/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132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98">
        <v>0</v>
      </c>
      <c r="T66" s="798">
        <v>0</v>
      </c>
      <c r="U66" s="88">
        <v>0</v>
      </c>
      <c r="V66" s="71">
        <v>0</v>
      </c>
      <c r="W66" s="449"/>
      <c r="X66" s="67">
        <v>0</v>
      </c>
      <c r="Y66" s="163">
        <v>0</v>
      </c>
      <c r="Z66" s="166">
        <v>0</v>
      </c>
      <c r="AA66" s="61"/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5</v>
      </c>
      <c r="E67" s="67">
        <v>693</v>
      </c>
      <c r="F67" s="146">
        <v>0</v>
      </c>
      <c r="G67" s="146">
        <v>0</v>
      </c>
      <c r="H67" s="91">
        <v>693</v>
      </c>
      <c r="I67" s="67">
        <v>0</v>
      </c>
      <c r="J67" s="739">
        <v>693</v>
      </c>
      <c r="K67" s="132" t="s">
        <v>723</v>
      </c>
      <c r="L67" s="740">
        <v>693</v>
      </c>
      <c r="M67" s="741">
        <v>0</v>
      </c>
      <c r="N67" s="67">
        <v>0</v>
      </c>
      <c r="O67" s="67">
        <v>0</v>
      </c>
      <c r="Q67" s="674">
        <v>0</v>
      </c>
      <c r="R67" s="674">
        <v>0</v>
      </c>
      <c r="S67" s="798">
        <v>0</v>
      </c>
      <c r="T67" s="798">
        <v>0</v>
      </c>
      <c r="U67" s="88">
        <v>0</v>
      </c>
      <c r="V67" s="71">
        <v>0</v>
      </c>
      <c r="W67" s="449"/>
      <c r="X67" s="67">
        <v>452</v>
      </c>
      <c r="Y67" s="163">
        <v>-452</v>
      </c>
      <c r="Z67" s="166">
        <v>-1</v>
      </c>
      <c r="AA67" s="61"/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1355.89</v>
      </c>
      <c r="E68" s="67">
        <v>187979</v>
      </c>
      <c r="F68" s="146">
        <v>0</v>
      </c>
      <c r="G68" s="146">
        <v>0</v>
      </c>
      <c r="H68" s="91">
        <v>187979</v>
      </c>
      <c r="I68" s="67">
        <v>0</v>
      </c>
      <c r="J68" s="739">
        <v>187979</v>
      </c>
      <c r="K68" s="132" t="s">
        <v>621</v>
      </c>
      <c r="L68" s="740">
        <v>0</v>
      </c>
      <c r="M68" s="741">
        <v>1355.89</v>
      </c>
      <c r="N68" s="67">
        <v>2965</v>
      </c>
      <c r="O68" s="67">
        <v>190944</v>
      </c>
      <c r="Q68" s="674">
        <v>0</v>
      </c>
      <c r="R68" s="674">
        <v>0</v>
      </c>
      <c r="S68" s="798" t="s">
        <v>1674</v>
      </c>
      <c r="T68" s="798">
        <v>0</v>
      </c>
      <c r="U68" s="88">
        <v>190944</v>
      </c>
      <c r="V68" s="71">
        <v>140.82558319627697</v>
      </c>
      <c r="W68" s="449"/>
      <c r="X68" s="67">
        <v>198836</v>
      </c>
      <c r="Y68" s="163">
        <v>-7892</v>
      </c>
      <c r="Z68" s="166">
        <v>-3.9691001629483594E-2</v>
      </c>
      <c r="AA68" s="61"/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1172.44</v>
      </c>
      <c r="E69" s="67">
        <v>162546</v>
      </c>
      <c r="F69" s="146">
        <v>0</v>
      </c>
      <c r="G69" s="146">
        <v>0</v>
      </c>
      <c r="H69" s="91">
        <v>162546</v>
      </c>
      <c r="I69" s="67">
        <v>0</v>
      </c>
      <c r="J69" s="739">
        <v>162546</v>
      </c>
      <c r="K69" s="132" t="s">
        <v>621</v>
      </c>
      <c r="L69" s="740">
        <v>0</v>
      </c>
      <c r="M69" s="741">
        <v>1172.44</v>
      </c>
      <c r="N69" s="67">
        <v>2564</v>
      </c>
      <c r="O69" s="67">
        <v>165110</v>
      </c>
      <c r="Q69" s="674">
        <v>0</v>
      </c>
      <c r="R69" s="674">
        <v>0</v>
      </c>
      <c r="S69" s="798" t="s">
        <v>1674</v>
      </c>
      <c r="T69" s="798">
        <v>0</v>
      </c>
      <c r="U69" s="88">
        <v>165110</v>
      </c>
      <c r="V69" s="71">
        <v>140.82596977244037</v>
      </c>
      <c r="W69" s="449"/>
      <c r="X69" s="67">
        <v>163100</v>
      </c>
      <c r="Y69" s="163">
        <v>2010</v>
      </c>
      <c r="Z69" s="166">
        <v>1.2323727774371551E-2</v>
      </c>
      <c r="AA69" s="61"/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314.11</v>
      </c>
      <c r="E70" s="67">
        <v>43548</v>
      </c>
      <c r="F70" s="146">
        <v>0</v>
      </c>
      <c r="G70" s="146">
        <v>0</v>
      </c>
      <c r="H70" s="91">
        <v>43548</v>
      </c>
      <c r="I70" s="67">
        <v>0</v>
      </c>
      <c r="J70" s="739">
        <v>43548</v>
      </c>
      <c r="K70" s="132" t="s">
        <v>621</v>
      </c>
      <c r="L70" s="740">
        <v>0</v>
      </c>
      <c r="M70" s="741">
        <v>314.11</v>
      </c>
      <c r="N70" s="67">
        <v>687</v>
      </c>
      <c r="O70" s="67">
        <v>44235</v>
      </c>
      <c r="Q70" s="674">
        <v>0</v>
      </c>
      <c r="R70" s="674">
        <v>0</v>
      </c>
      <c r="S70" s="798" t="s">
        <v>1674</v>
      </c>
      <c r="T70" s="798">
        <v>0</v>
      </c>
      <c r="U70" s="88">
        <v>44235</v>
      </c>
      <c r="V70" s="71">
        <v>140.82646206742859</v>
      </c>
      <c r="W70" s="449"/>
      <c r="X70" s="67">
        <v>50386</v>
      </c>
      <c r="Y70" s="163">
        <v>-6151</v>
      </c>
      <c r="Z70" s="166">
        <v>-0.12207756122732505</v>
      </c>
      <c r="AA70" s="61"/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132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>
        <v>0</v>
      </c>
      <c r="S71" s="798">
        <v>0</v>
      </c>
      <c r="T71" s="798">
        <v>0</v>
      </c>
      <c r="U71" s="88">
        <v>0</v>
      </c>
      <c r="V71" s="71">
        <v>0</v>
      </c>
      <c r="W71" s="449"/>
      <c r="X71" s="67">
        <v>0</v>
      </c>
      <c r="Y71" s="163">
        <v>0</v>
      </c>
      <c r="Z71" s="166">
        <v>0</v>
      </c>
      <c r="AA71" s="61"/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53.89</v>
      </c>
      <c r="E72" s="67">
        <v>7471</v>
      </c>
      <c r="F72" s="146">
        <v>0</v>
      </c>
      <c r="G72" s="146">
        <v>0</v>
      </c>
      <c r="H72" s="91">
        <v>7471</v>
      </c>
      <c r="I72" s="67">
        <v>0</v>
      </c>
      <c r="J72" s="739">
        <v>7471</v>
      </c>
      <c r="K72" s="132" t="s">
        <v>621</v>
      </c>
      <c r="L72" s="740">
        <v>0</v>
      </c>
      <c r="M72" s="741">
        <v>53.89</v>
      </c>
      <c r="N72" s="67">
        <v>118</v>
      </c>
      <c r="O72" s="67">
        <v>7589</v>
      </c>
      <c r="Q72" s="674">
        <v>0</v>
      </c>
      <c r="R72" s="674">
        <v>385.17717062566931</v>
      </c>
      <c r="S72" s="798" t="s">
        <v>725</v>
      </c>
      <c r="T72" s="798">
        <v>53.89</v>
      </c>
      <c r="U72" s="88">
        <v>7974.1771706256695</v>
      </c>
      <c r="V72" s="71">
        <v>140.82390053813324</v>
      </c>
      <c r="W72" s="449"/>
      <c r="X72" s="67">
        <v>11188</v>
      </c>
      <c r="Y72" s="163">
        <v>-3599</v>
      </c>
      <c r="Z72" s="166">
        <v>-0.32168394708616377</v>
      </c>
      <c r="AA72" s="61"/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771</v>
      </c>
      <c r="E73" s="67">
        <v>106891</v>
      </c>
      <c r="F73" s="146">
        <v>0</v>
      </c>
      <c r="G73" s="146">
        <v>0</v>
      </c>
      <c r="H73" s="91">
        <v>106891</v>
      </c>
      <c r="I73" s="67">
        <v>0</v>
      </c>
      <c r="J73" s="739">
        <v>106891</v>
      </c>
      <c r="K73" s="132" t="s">
        <v>621</v>
      </c>
      <c r="L73" s="740">
        <v>0</v>
      </c>
      <c r="M73" s="741">
        <v>771</v>
      </c>
      <c r="N73" s="67">
        <v>1686</v>
      </c>
      <c r="O73" s="67">
        <v>108577</v>
      </c>
      <c r="Q73" s="674">
        <v>0</v>
      </c>
      <c r="R73" s="674">
        <v>0</v>
      </c>
      <c r="S73" s="798" t="s">
        <v>1674</v>
      </c>
      <c r="T73" s="798">
        <v>0</v>
      </c>
      <c r="U73" s="88">
        <v>108577</v>
      </c>
      <c r="V73" s="71">
        <v>140.82619974059662</v>
      </c>
      <c r="W73" s="449"/>
      <c r="X73" s="67">
        <v>107443</v>
      </c>
      <c r="Y73" s="163">
        <v>1134</v>
      </c>
      <c r="Z73" s="166">
        <v>1.0554433513583946E-2</v>
      </c>
      <c r="AA73" s="61"/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918</v>
      </c>
      <c r="E74" s="67">
        <v>127271</v>
      </c>
      <c r="F74" s="146">
        <v>0</v>
      </c>
      <c r="G74" s="146">
        <v>0</v>
      </c>
      <c r="H74" s="91">
        <v>127271</v>
      </c>
      <c r="I74" s="67">
        <v>0</v>
      </c>
      <c r="J74" s="739">
        <v>127271</v>
      </c>
      <c r="K74" s="132" t="s">
        <v>621</v>
      </c>
      <c r="L74" s="740">
        <v>0</v>
      </c>
      <c r="M74" s="741">
        <v>918</v>
      </c>
      <c r="N74" s="67">
        <v>2007</v>
      </c>
      <c r="O74" s="67">
        <v>129278</v>
      </c>
      <c r="Q74" s="674">
        <v>0</v>
      </c>
      <c r="R74" s="674">
        <v>0</v>
      </c>
      <c r="S74" s="798" t="s">
        <v>1674</v>
      </c>
      <c r="T74" s="798">
        <v>0</v>
      </c>
      <c r="U74" s="88">
        <v>129278</v>
      </c>
      <c r="V74" s="71">
        <v>140.82570806100219</v>
      </c>
      <c r="W74" s="449"/>
      <c r="X74" s="67">
        <v>123256</v>
      </c>
      <c r="Y74" s="163">
        <v>6022</v>
      </c>
      <c r="Z74" s="166">
        <v>4.8857662101642108E-2</v>
      </c>
      <c r="AA74" s="61"/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251.89</v>
      </c>
      <c r="E75" s="67">
        <v>34922</v>
      </c>
      <c r="F75" s="146">
        <v>0</v>
      </c>
      <c r="G75" s="146">
        <v>0</v>
      </c>
      <c r="H75" s="91">
        <v>34922</v>
      </c>
      <c r="I75" s="67">
        <v>0</v>
      </c>
      <c r="J75" s="739">
        <v>34922</v>
      </c>
      <c r="K75" s="132" t="s">
        <v>621</v>
      </c>
      <c r="L75" s="740">
        <v>0</v>
      </c>
      <c r="M75" s="741">
        <v>251.89</v>
      </c>
      <c r="N75" s="67">
        <v>551</v>
      </c>
      <c r="O75" s="67">
        <v>35473</v>
      </c>
      <c r="Q75" s="674">
        <v>0</v>
      </c>
      <c r="R75" s="674">
        <v>0</v>
      </c>
      <c r="S75" s="798" t="s">
        <v>1674</v>
      </c>
      <c r="T75" s="798">
        <v>0</v>
      </c>
      <c r="U75" s="88">
        <v>35473</v>
      </c>
      <c r="V75" s="71">
        <v>140.82734526976063</v>
      </c>
      <c r="W75" s="449"/>
      <c r="X75" s="67">
        <v>34100</v>
      </c>
      <c r="Y75" s="163">
        <v>1373</v>
      </c>
      <c r="Z75" s="166">
        <v>4.0263929618768325E-2</v>
      </c>
      <c r="AA75" s="61"/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0</v>
      </c>
      <c r="E76" s="67">
        <v>0</v>
      </c>
      <c r="F76" s="146">
        <v>0</v>
      </c>
      <c r="G76" s="146">
        <v>0</v>
      </c>
      <c r="H76" s="91">
        <v>0</v>
      </c>
      <c r="I76" s="67">
        <v>0</v>
      </c>
      <c r="J76" s="739">
        <v>0</v>
      </c>
      <c r="K76" s="132" t="s">
        <v>644</v>
      </c>
      <c r="L76" s="740">
        <v>0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98">
        <v>0</v>
      </c>
      <c r="T76" s="798">
        <v>0</v>
      </c>
      <c r="U76" s="88">
        <v>0</v>
      </c>
      <c r="V76" s="71">
        <v>0</v>
      </c>
      <c r="W76" s="449"/>
      <c r="X76" s="67">
        <v>0</v>
      </c>
      <c r="Y76" s="163">
        <v>0</v>
      </c>
      <c r="Z76" s="166">
        <v>0</v>
      </c>
      <c r="AA76" s="61"/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644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98">
        <v>0</v>
      </c>
      <c r="T77" s="798">
        <v>0</v>
      </c>
      <c r="U77" s="88">
        <v>0</v>
      </c>
      <c r="V77" s="71">
        <v>0</v>
      </c>
      <c r="W77" s="449"/>
      <c r="X77" s="67">
        <v>0</v>
      </c>
      <c r="Y77" s="163">
        <v>0</v>
      </c>
      <c r="Z77" s="166">
        <v>0</v>
      </c>
      <c r="AA77" s="61"/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372.44</v>
      </c>
      <c r="E78" s="67">
        <v>51635</v>
      </c>
      <c r="F78" s="146">
        <v>0</v>
      </c>
      <c r="G78" s="146">
        <v>0</v>
      </c>
      <c r="H78" s="91">
        <v>51635</v>
      </c>
      <c r="I78" s="67">
        <v>0</v>
      </c>
      <c r="J78" s="739">
        <v>51635</v>
      </c>
      <c r="K78" s="132" t="s">
        <v>621</v>
      </c>
      <c r="L78" s="740">
        <v>0</v>
      </c>
      <c r="M78" s="741">
        <v>372.44</v>
      </c>
      <c r="N78" s="67">
        <v>814</v>
      </c>
      <c r="O78" s="67">
        <v>52449</v>
      </c>
      <c r="Q78" s="674">
        <v>0</v>
      </c>
      <c r="R78" s="674">
        <v>2662.0038119841211</v>
      </c>
      <c r="S78" s="798" t="s">
        <v>725</v>
      </c>
      <c r="T78" s="798">
        <v>372.44</v>
      </c>
      <c r="U78" s="88">
        <v>55111.003811984119</v>
      </c>
      <c r="V78" s="71">
        <v>140.82536784448502</v>
      </c>
      <c r="W78" s="449"/>
      <c r="X78" s="67">
        <v>55701</v>
      </c>
      <c r="Y78" s="163">
        <v>-3252</v>
      </c>
      <c r="Z78" s="166">
        <v>-5.8383152905692896E-2</v>
      </c>
      <c r="AA78" s="61"/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67.89</v>
      </c>
      <c r="E79" s="67">
        <v>9412</v>
      </c>
      <c r="F79" s="146">
        <v>0</v>
      </c>
      <c r="G79" s="146">
        <v>0</v>
      </c>
      <c r="H79" s="91">
        <v>9412</v>
      </c>
      <c r="I79" s="67">
        <v>0</v>
      </c>
      <c r="J79" s="739">
        <v>9412</v>
      </c>
      <c r="K79" s="132" t="s">
        <v>644</v>
      </c>
      <c r="L79" s="740">
        <v>9412</v>
      </c>
      <c r="M79" s="741">
        <v>0</v>
      </c>
      <c r="N79" s="67">
        <v>0</v>
      </c>
      <c r="O79" s="67">
        <v>0</v>
      </c>
      <c r="Q79" s="674">
        <v>0</v>
      </c>
      <c r="R79" s="674">
        <v>0</v>
      </c>
      <c r="S79" s="798">
        <v>0</v>
      </c>
      <c r="T79" s="798">
        <v>0</v>
      </c>
      <c r="U79" s="88">
        <v>0</v>
      </c>
      <c r="V79" s="71">
        <v>0</v>
      </c>
      <c r="W79" s="449"/>
      <c r="X79" s="67">
        <v>7250</v>
      </c>
      <c r="Y79" s="163">
        <v>-7250</v>
      </c>
      <c r="Z79" s="166">
        <v>-1</v>
      </c>
      <c r="AA79" s="61"/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0</v>
      </c>
      <c r="E80" s="67">
        <v>0</v>
      </c>
      <c r="F80" s="146">
        <v>0</v>
      </c>
      <c r="G80" s="146">
        <v>0</v>
      </c>
      <c r="H80" s="91">
        <v>0</v>
      </c>
      <c r="I80" s="67">
        <v>0</v>
      </c>
      <c r="J80" s="739">
        <v>0</v>
      </c>
      <c r="K80" s="132" t="s">
        <v>644</v>
      </c>
      <c r="L80" s="740">
        <v>0</v>
      </c>
      <c r="M80" s="741">
        <v>0</v>
      </c>
      <c r="N80" s="67">
        <v>0</v>
      </c>
      <c r="O80" s="67">
        <v>0</v>
      </c>
      <c r="Q80" s="674">
        <v>0</v>
      </c>
      <c r="R80" s="674">
        <v>0</v>
      </c>
      <c r="S80" s="798">
        <v>0</v>
      </c>
      <c r="T80" s="798">
        <v>0</v>
      </c>
      <c r="U80" s="88">
        <v>0</v>
      </c>
      <c r="V80" s="71">
        <v>0</v>
      </c>
      <c r="W80" s="449"/>
      <c r="X80" s="67">
        <v>0</v>
      </c>
      <c r="Y80" s="163">
        <v>0</v>
      </c>
      <c r="Z80" s="166">
        <v>0</v>
      </c>
      <c r="AA80" s="61"/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98">
        <v>0</v>
      </c>
      <c r="T81" s="798">
        <v>0</v>
      </c>
      <c r="U81" s="88">
        <v>0</v>
      </c>
      <c r="V81" s="71">
        <v>0</v>
      </c>
      <c r="W81" s="449"/>
      <c r="X81" s="67">
        <v>0</v>
      </c>
      <c r="Y81" s="163">
        <v>0</v>
      </c>
      <c r="Z81" s="166">
        <v>0</v>
      </c>
      <c r="AA81" s="61"/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16.89</v>
      </c>
      <c r="E82" s="67">
        <v>2342</v>
      </c>
      <c r="F82" s="146">
        <v>0</v>
      </c>
      <c r="G82" s="146">
        <v>0</v>
      </c>
      <c r="H82" s="91">
        <v>2342</v>
      </c>
      <c r="I82" s="67">
        <v>0</v>
      </c>
      <c r="J82" s="739">
        <v>2342</v>
      </c>
      <c r="K82" s="132" t="s">
        <v>644</v>
      </c>
      <c r="L82" s="740">
        <v>2342</v>
      </c>
      <c r="M82" s="741">
        <v>0</v>
      </c>
      <c r="N82" s="67">
        <v>0</v>
      </c>
      <c r="O82" s="67">
        <v>0</v>
      </c>
      <c r="Q82" s="674">
        <v>0</v>
      </c>
      <c r="R82" s="674">
        <v>0</v>
      </c>
      <c r="S82" s="798">
        <v>0</v>
      </c>
      <c r="T82" s="798">
        <v>0</v>
      </c>
      <c r="U82" s="88">
        <v>0</v>
      </c>
      <c r="V82" s="71">
        <v>0</v>
      </c>
      <c r="W82" s="449"/>
      <c r="X82" s="67">
        <v>2667</v>
      </c>
      <c r="Y82" s="163">
        <v>-2667</v>
      </c>
      <c r="Z82" s="166">
        <v>-1</v>
      </c>
      <c r="AA82" s="61"/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105.22</v>
      </c>
      <c r="E83" s="67">
        <v>14588</v>
      </c>
      <c r="F83" s="146">
        <v>0</v>
      </c>
      <c r="G83" s="146">
        <v>0</v>
      </c>
      <c r="H83" s="91">
        <v>14588</v>
      </c>
      <c r="I83" s="67">
        <v>0</v>
      </c>
      <c r="J83" s="739">
        <v>14588</v>
      </c>
      <c r="K83" s="132" t="s">
        <v>644</v>
      </c>
      <c r="L83" s="740">
        <v>14588</v>
      </c>
      <c r="M83" s="741">
        <v>0</v>
      </c>
      <c r="N83" s="67">
        <v>0</v>
      </c>
      <c r="O83" s="67">
        <v>0</v>
      </c>
      <c r="Q83" s="674">
        <v>0</v>
      </c>
      <c r="R83" s="674">
        <v>0</v>
      </c>
      <c r="S83" s="798">
        <v>0</v>
      </c>
      <c r="T83" s="798">
        <v>0</v>
      </c>
      <c r="U83" s="88">
        <v>0</v>
      </c>
      <c r="V83" s="71">
        <v>0</v>
      </c>
      <c r="W83" s="449"/>
      <c r="X83" s="67">
        <v>15706</v>
      </c>
      <c r="Y83" s="163">
        <v>-15706</v>
      </c>
      <c r="Z83" s="166">
        <v>-1</v>
      </c>
      <c r="AA83" s="61"/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98">
        <v>0</v>
      </c>
      <c r="T84" s="798">
        <v>0</v>
      </c>
      <c r="U84" s="88">
        <v>0</v>
      </c>
      <c r="V84" s="71">
        <v>0</v>
      </c>
      <c r="W84" s="449"/>
      <c r="X84" s="67">
        <v>0</v>
      </c>
      <c r="Y84" s="163">
        <v>0</v>
      </c>
      <c r="Z84" s="166">
        <v>0</v>
      </c>
      <c r="AA84" s="61"/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41.22</v>
      </c>
      <c r="E85" s="67">
        <v>5715</v>
      </c>
      <c r="F85" s="146">
        <v>0</v>
      </c>
      <c r="G85" s="146">
        <v>0</v>
      </c>
      <c r="H85" s="91">
        <v>5715</v>
      </c>
      <c r="I85" s="67">
        <v>0</v>
      </c>
      <c r="J85" s="739">
        <v>5715</v>
      </c>
      <c r="K85" s="132" t="s">
        <v>1306</v>
      </c>
      <c r="L85" s="740">
        <v>0</v>
      </c>
      <c r="M85" s="741">
        <v>41.22</v>
      </c>
      <c r="N85" s="67">
        <v>90</v>
      </c>
      <c r="O85" s="67">
        <v>5805</v>
      </c>
      <c r="Q85" s="674">
        <v>0</v>
      </c>
      <c r="R85" s="674">
        <v>0</v>
      </c>
      <c r="S85" s="798" t="s">
        <v>1674</v>
      </c>
      <c r="T85" s="798">
        <v>0</v>
      </c>
      <c r="U85" s="88">
        <v>5805</v>
      </c>
      <c r="V85" s="71">
        <v>140.82969432314411</v>
      </c>
      <c r="W85" s="449"/>
      <c r="X85" s="67">
        <v>11425</v>
      </c>
      <c r="Y85" s="163">
        <v>-5620</v>
      </c>
      <c r="Z85" s="166">
        <v>-0.49190371991247267</v>
      </c>
      <c r="AA85" s="61"/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3.22</v>
      </c>
      <c r="E86" s="67">
        <v>446</v>
      </c>
      <c r="F86" s="146">
        <v>0</v>
      </c>
      <c r="G86" s="146">
        <v>0</v>
      </c>
      <c r="H86" s="91">
        <v>446</v>
      </c>
      <c r="I86" s="67">
        <v>0</v>
      </c>
      <c r="J86" s="739">
        <v>446</v>
      </c>
      <c r="K86" s="132" t="s">
        <v>644</v>
      </c>
      <c r="L86" s="740">
        <v>446</v>
      </c>
      <c r="M86" s="741">
        <v>0</v>
      </c>
      <c r="N86" s="67">
        <v>0</v>
      </c>
      <c r="O86" s="67">
        <v>0</v>
      </c>
      <c r="Q86" s="674">
        <v>0</v>
      </c>
      <c r="R86" s="674">
        <v>0</v>
      </c>
      <c r="S86" s="798">
        <v>0</v>
      </c>
      <c r="T86" s="798">
        <v>0</v>
      </c>
      <c r="U86" s="88">
        <v>0</v>
      </c>
      <c r="V86" s="71">
        <v>0</v>
      </c>
      <c r="W86" s="449"/>
      <c r="X86" s="67">
        <v>495</v>
      </c>
      <c r="Y86" s="163">
        <v>-495</v>
      </c>
      <c r="Z86" s="166">
        <v>-1</v>
      </c>
      <c r="AA86" s="61"/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132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>
        <v>0</v>
      </c>
      <c r="S87" s="798">
        <v>0</v>
      </c>
      <c r="T87" s="798">
        <v>0</v>
      </c>
      <c r="U87" s="88">
        <v>0</v>
      </c>
      <c r="V87" s="71">
        <v>0</v>
      </c>
      <c r="W87" s="449"/>
      <c r="X87" s="67">
        <v>0</v>
      </c>
      <c r="Y87" s="163">
        <v>0</v>
      </c>
      <c r="Z87" s="166">
        <v>0</v>
      </c>
      <c r="AA87" s="61"/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132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>
        <v>0</v>
      </c>
      <c r="S88" s="798">
        <v>0</v>
      </c>
      <c r="T88" s="798">
        <v>0</v>
      </c>
      <c r="U88" s="88">
        <v>0</v>
      </c>
      <c r="V88" s="71">
        <v>0</v>
      </c>
      <c r="W88" s="449"/>
      <c r="X88" s="67">
        <v>0</v>
      </c>
      <c r="Y88" s="163">
        <v>0</v>
      </c>
      <c r="Z88" s="166">
        <v>0</v>
      </c>
      <c r="AA88" s="61"/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59.33</v>
      </c>
      <c r="E89" s="67">
        <v>8225</v>
      </c>
      <c r="F89" s="146">
        <v>0</v>
      </c>
      <c r="G89" s="146">
        <v>0</v>
      </c>
      <c r="H89" s="91">
        <v>8225</v>
      </c>
      <c r="I89" s="67">
        <v>0</v>
      </c>
      <c r="J89" s="739">
        <v>8225</v>
      </c>
      <c r="K89" s="132" t="s">
        <v>1306</v>
      </c>
      <c r="L89" s="740">
        <v>0</v>
      </c>
      <c r="M89" s="741">
        <v>59.33</v>
      </c>
      <c r="N89" s="67">
        <v>130</v>
      </c>
      <c r="O89" s="67">
        <v>8355</v>
      </c>
      <c r="Q89" s="674">
        <v>0</v>
      </c>
      <c r="R89" s="674">
        <v>0</v>
      </c>
      <c r="S89" s="798">
        <v>0</v>
      </c>
      <c r="T89" s="798">
        <v>0</v>
      </c>
      <c r="U89" s="88">
        <v>8355</v>
      </c>
      <c r="V89" s="71">
        <v>140.82251811899545</v>
      </c>
      <c r="W89" s="449"/>
      <c r="X89" s="67">
        <v>8519</v>
      </c>
      <c r="Y89" s="163">
        <v>-164</v>
      </c>
      <c r="Z89" s="166">
        <v>-1.9251085808193451E-2</v>
      </c>
      <c r="AA89" s="61"/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644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98">
        <v>0</v>
      </c>
      <c r="T90" s="798">
        <v>0</v>
      </c>
      <c r="U90" s="88">
        <v>0</v>
      </c>
      <c r="V90" s="71">
        <v>0</v>
      </c>
      <c r="W90" s="449"/>
      <c r="X90" s="67">
        <v>0</v>
      </c>
      <c r="Y90" s="163">
        <v>0</v>
      </c>
      <c r="Z90" s="166">
        <v>0</v>
      </c>
      <c r="AA90" s="61"/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203.11</v>
      </c>
      <c r="E91" s="67">
        <v>28159</v>
      </c>
      <c r="F91" s="146">
        <v>0</v>
      </c>
      <c r="G91" s="146">
        <v>0</v>
      </c>
      <c r="H91" s="91">
        <v>28159</v>
      </c>
      <c r="I91" s="67">
        <v>0</v>
      </c>
      <c r="J91" s="739">
        <v>28159</v>
      </c>
      <c r="K91" s="132" t="s">
        <v>621</v>
      </c>
      <c r="L91" s="740">
        <v>0</v>
      </c>
      <c r="M91" s="741">
        <v>203.11</v>
      </c>
      <c r="N91" s="67">
        <v>444</v>
      </c>
      <c r="O91" s="67">
        <v>28603</v>
      </c>
      <c r="Q91" s="674">
        <v>0</v>
      </c>
      <c r="R91" s="674">
        <v>0</v>
      </c>
      <c r="S91" s="798" t="s">
        <v>1674</v>
      </c>
      <c r="T91" s="798">
        <v>0</v>
      </c>
      <c r="U91" s="88">
        <v>28603</v>
      </c>
      <c r="V91" s="71">
        <v>140.82516862783712</v>
      </c>
      <c r="W91" s="449"/>
      <c r="X91" s="67">
        <v>31454</v>
      </c>
      <c r="Y91" s="163">
        <v>-2851</v>
      </c>
      <c r="Z91" s="166">
        <v>-9.064030012081134E-2</v>
      </c>
      <c r="AA91" s="61"/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21.44</v>
      </c>
      <c r="E92" s="67">
        <v>2972</v>
      </c>
      <c r="F92" s="146">
        <v>0</v>
      </c>
      <c r="G92" s="146">
        <v>0</v>
      </c>
      <c r="H92" s="91">
        <v>2972</v>
      </c>
      <c r="I92" s="67">
        <v>0</v>
      </c>
      <c r="J92" s="739">
        <v>2972</v>
      </c>
      <c r="K92" s="132" t="s">
        <v>723</v>
      </c>
      <c r="L92" s="740">
        <v>2972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98">
        <v>0</v>
      </c>
      <c r="T92" s="798">
        <v>0</v>
      </c>
      <c r="U92" s="88">
        <v>0</v>
      </c>
      <c r="V92" s="71">
        <v>0</v>
      </c>
      <c r="W92" s="449"/>
      <c r="X92" s="67">
        <v>3614</v>
      </c>
      <c r="Y92" s="163">
        <v>-3614</v>
      </c>
      <c r="Z92" s="166">
        <v>-1</v>
      </c>
      <c r="AA92" s="61"/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8.7799999999999994</v>
      </c>
      <c r="E93" s="67">
        <v>1217</v>
      </c>
      <c r="F93" s="146">
        <v>0</v>
      </c>
      <c r="G93" s="146">
        <v>0</v>
      </c>
      <c r="H93" s="91">
        <v>1217</v>
      </c>
      <c r="I93" s="67">
        <v>0</v>
      </c>
      <c r="J93" s="739">
        <v>1217</v>
      </c>
      <c r="K93" s="132" t="s">
        <v>644</v>
      </c>
      <c r="L93" s="740">
        <v>1217</v>
      </c>
      <c r="M93" s="741">
        <v>0</v>
      </c>
      <c r="N93" s="67">
        <v>0</v>
      </c>
      <c r="O93" s="67">
        <v>0</v>
      </c>
      <c r="Q93" s="674">
        <v>0</v>
      </c>
      <c r="R93" s="674">
        <v>0</v>
      </c>
      <c r="S93" s="798">
        <v>0</v>
      </c>
      <c r="T93" s="798">
        <v>0</v>
      </c>
      <c r="U93" s="88">
        <v>0</v>
      </c>
      <c r="V93" s="71">
        <v>0</v>
      </c>
      <c r="W93" s="449"/>
      <c r="X93" s="67">
        <v>1205</v>
      </c>
      <c r="Y93" s="163">
        <v>-1205</v>
      </c>
      <c r="Z93" s="166">
        <v>-1</v>
      </c>
      <c r="AA93" s="61"/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98">
        <v>0</v>
      </c>
      <c r="T94" s="798">
        <v>0</v>
      </c>
      <c r="U94" s="88">
        <v>0</v>
      </c>
      <c r="V94" s="71">
        <v>0</v>
      </c>
      <c r="W94" s="449"/>
      <c r="X94" s="67">
        <v>0</v>
      </c>
      <c r="Y94" s="163">
        <v>0</v>
      </c>
      <c r="Z94" s="166">
        <v>0</v>
      </c>
      <c r="AA94" s="61"/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132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>
        <v>0</v>
      </c>
      <c r="S95" s="798">
        <v>0</v>
      </c>
      <c r="T95" s="798">
        <v>0</v>
      </c>
      <c r="U95" s="88">
        <v>0</v>
      </c>
      <c r="V95" s="71">
        <v>0</v>
      </c>
      <c r="W95" s="449"/>
      <c r="X95" s="67">
        <v>0</v>
      </c>
      <c r="Y95" s="163">
        <v>0</v>
      </c>
      <c r="Z95" s="166">
        <v>0</v>
      </c>
      <c r="AA95" s="61"/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132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>
        <v>0</v>
      </c>
      <c r="S96" s="798">
        <v>0</v>
      </c>
      <c r="T96" s="798">
        <v>0</v>
      </c>
      <c r="U96" s="88">
        <v>0</v>
      </c>
      <c r="V96" s="71">
        <v>0</v>
      </c>
      <c r="W96" s="449"/>
      <c r="X96" s="67">
        <v>0</v>
      </c>
      <c r="Y96" s="163">
        <v>0</v>
      </c>
      <c r="Z96" s="166">
        <v>0</v>
      </c>
      <c r="AA96" s="61"/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11.11</v>
      </c>
      <c r="E97" s="67">
        <v>1540</v>
      </c>
      <c r="F97" s="146">
        <v>0</v>
      </c>
      <c r="G97" s="146">
        <v>0</v>
      </c>
      <c r="H97" s="91">
        <v>1540</v>
      </c>
      <c r="I97" s="67">
        <v>0</v>
      </c>
      <c r="J97" s="739">
        <v>1540</v>
      </c>
      <c r="K97" s="132" t="s">
        <v>644</v>
      </c>
      <c r="L97" s="740">
        <v>1540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98">
        <v>0</v>
      </c>
      <c r="T97" s="798">
        <v>0</v>
      </c>
      <c r="U97" s="88">
        <v>0</v>
      </c>
      <c r="V97" s="71">
        <v>0</v>
      </c>
      <c r="W97" s="449"/>
      <c r="X97" s="67">
        <v>1807</v>
      </c>
      <c r="Y97" s="163">
        <v>-1807</v>
      </c>
      <c r="Z97" s="166">
        <v>-1</v>
      </c>
      <c r="AA97" s="61"/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13.89</v>
      </c>
      <c r="E98" s="67">
        <v>1926</v>
      </c>
      <c r="F98" s="146">
        <v>0</v>
      </c>
      <c r="G98" s="146">
        <v>0</v>
      </c>
      <c r="H98" s="91">
        <v>1926</v>
      </c>
      <c r="I98" s="67">
        <v>0</v>
      </c>
      <c r="J98" s="739">
        <v>1926</v>
      </c>
      <c r="K98" s="132" t="s">
        <v>723</v>
      </c>
      <c r="L98" s="740">
        <v>1926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98">
        <v>0</v>
      </c>
      <c r="T98" s="798">
        <v>0</v>
      </c>
      <c r="U98" s="88">
        <v>0</v>
      </c>
      <c r="V98" s="71">
        <v>0</v>
      </c>
      <c r="W98" s="449"/>
      <c r="X98" s="67">
        <v>1613</v>
      </c>
      <c r="Y98" s="163">
        <v>-1613</v>
      </c>
      <c r="Z98" s="166">
        <v>-1</v>
      </c>
      <c r="AA98" s="61"/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6258.22</v>
      </c>
      <c r="E99" s="67">
        <v>867633</v>
      </c>
      <c r="F99" s="146">
        <v>0</v>
      </c>
      <c r="G99" s="146">
        <v>0</v>
      </c>
      <c r="H99" s="91">
        <v>867633</v>
      </c>
      <c r="I99" s="67">
        <v>0</v>
      </c>
      <c r="J99" s="739">
        <v>867633</v>
      </c>
      <c r="K99" s="132" t="s">
        <v>621</v>
      </c>
      <c r="L99" s="740">
        <v>0</v>
      </c>
      <c r="M99" s="741">
        <v>6258.22</v>
      </c>
      <c r="N99" s="67">
        <v>13684</v>
      </c>
      <c r="O99" s="67">
        <v>881313</v>
      </c>
      <c r="Q99" s="674">
        <v>0</v>
      </c>
      <c r="R99" s="674">
        <v>0</v>
      </c>
      <c r="S99" s="798" t="s">
        <v>1674</v>
      </c>
      <c r="T99" s="798">
        <v>0</v>
      </c>
      <c r="U99" s="88">
        <v>881313</v>
      </c>
      <c r="V99" s="71">
        <v>140.82486713474438</v>
      </c>
      <c r="W99" s="449"/>
      <c r="X99" s="67">
        <v>893984</v>
      </c>
      <c r="Y99" s="163">
        <v>-12671</v>
      </c>
      <c r="Z99" s="166">
        <v>-1.4173631742849984E-2</v>
      </c>
      <c r="AA99" s="61"/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3675.11</v>
      </c>
      <c r="E100" s="67">
        <v>509514</v>
      </c>
      <c r="F100" s="146">
        <v>0</v>
      </c>
      <c r="G100" s="146">
        <v>0</v>
      </c>
      <c r="H100" s="91">
        <v>509514</v>
      </c>
      <c r="I100" s="67">
        <v>0</v>
      </c>
      <c r="J100" s="739">
        <v>509514</v>
      </c>
      <c r="K100" s="132" t="s">
        <v>621</v>
      </c>
      <c r="L100" s="740">
        <v>0</v>
      </c>
      <c r="M100" s="741">
        <v>3675.11</v>
      </c>
      <c r="N100" s="67">
        <v>8036</v>
      </c>
      <c r="O100" s="67">
        <v>517550</v>
      </c>
      <c r="Q100" s="674">
        <v>0</v>
      </c>
      <c r="R100" s="674">
        <v>26267.739312267651</v>
      </c>
      <c r="S100" s="798" t="s">
        <v>725</v>
      </c>
      <c r="T100" s="798">
        <v>3675.11</v>
      </c>
      <c r="U100" s="88">
        <v>543817.73931226763</v>
      </c>
      <c r="V100" s="71">
        <v>140.82571678126641</v>
      </c>
      <c r="W100" s="449"/>
      <c r="X100" s="67">
        <v>510534</v>
      </c>
      <c r="Y100" s="163">
        <v>7016</v>
      </c>
      <c r="Z100" s="166">
        <v>1.3742473566892704E-2</v>
      </c>
      <c r="AA100" s="61"/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220</v>
      </c>
      <c r="E101" s="67">
        <v>30501</v>
      </c>
      <c r="F101" s="146">
        <v>0</v>
      </c>
      <c r="G101" s="146">
        <v>0</v>
      </c>
      <c r="H101" s="91">
        <v>30501</v>
      </c>
      <c r="I101" s="67">
        <v>0</v>
      </c>
      <c r="J101" s="739">
        <v>30501</v>
      </c>
      <c r="K101" s="132" t="s">
        <v>621</v>
      </c>
      <c r="L101" s="740">
        <v>0</v>
      </c>
      <c r="M101" s="741">
        <v>220</v>
      </c>
      <c r="N101" s="67">
        <v>481</v>
      </c>
      <c r="O101" s="67">
        <v>30982</v>
      </c>
      <c r="Q101" s="674">
        <v>0</v>
      </c>
      <c r="R101" s="674">
        <v>0</v>
      </c>
      <c r="S101" s="798" t="s">
        <v>1674</v>
      </c>
      <c r="T101" s="798">
        <v>0</v>
      </c>
      <c r="U101" s="88">
        <v>30982</v>
      </c>
      <c r="V101" s="71">
        <v>140.82727272727271</v>
      </c>
      <c r="W101" s="449"/>
      <c r="X101" s="67">
        <v>30787</v>
      </c>
      <c r="Y101" s="163">
        <v>195</v>
      </c>
      <c r="Z101" s="166">
        <v>6.3338422061259619E-3</v>
      </c>
      <c r="AA101" s="61"/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111</v>
      </c>
      <c r="E102" s="67">
        <v>15389</v>
      </c>
      <c r="F102" s="146">
        <v>0</v>
      </c>
      <c r="G102" s="146">
        <v>0</v>
      </c>
      <c r="H102" s="91">
        <v>15389</v>
      </c>
      <c r="I102" s="67">
        <v>0</v>
      </c>
      <c r="J102" s="739">
        <v>15389</v>
      </c>
      <c r="K102" s="132" t="s">
        <v>621</v>
      </c>
      <c r="L102" s="740">
        <v>0</v>
      </c>
      <c r="M102" s="741">
        <v>111</v>
      </c>
      <c r="N102" s="67">
        <v>243</v>
      </c>
      <c r="O102" s="67">
        <v>15632</v>
      </c>
      <c r="Q102" s="674">
        <v>0</v>
      </c>
      <c r="R102" s="674">
        <v>0</v>
      </c>
      <c r="S102" s="798" t="s">
        <v>1674</v>
      </c>
      <c r="T102" s="798">
        <v>0</v>
      </c>
      <c r="U102" s="88">
        <v>15632</v>
      </c>
      <c r="V102" s="71">
        <v>140.82882882882882</v>
      </c>
      <c r="W102" s="449"/>
      <c r="X102" s="67">
        <v>12543</v>
      </c>
      <c r="Y102" s="163">
        <v>3089</v>
      </c>
      <c r="Z102" s="166">
        <v>0.24627282149406043</v>
      </c>
      <c r="AA102" s="61"/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4990.78</v>
      </c>
      <c r="E103" s="67">
        <v>691917</v>
      </c>
      <c r="F103" s="146">
        <v>0</v>
      </c>
      <c r="G103" s="146">
        <v>0</v>
      </c>
      <c r="H103" s="91">
        <v>691917</v>
      </c>
      <c r="I103" s="67">
        <v>0</v>
      </c>
      <c r="J103" s="739">
        <v>691917</v>
      </c>
      <c r="K103" s="132" t="s">
        <v>621</v>
      </c>
      <c r="L103" s="740">
        <v>0</v>
      </c>
      <c r="M103" s="741">
        <v>4990.78</v>
      </c>
      <c r="N103" s="67">
        <v>10913</v>
      </c>
      <c r="O103" s="67">
        <v>702830</v>
      </c>
      <c r="Q103" s="674">
        <v>0</v>
      </c>
      <c r="R103" s="674">
        <v>35671.45146808643</v>
      </c>
      <c r="S103" s="798" t="s">
        <v>725</v>
      </c>
      <c r="T103" s="798">
        <v>4990.78</v>
      </c>
      <c r="U103" s="88">
        <v>738501.45146808645</v>
      </c>
      <c r="V103" s="71">
        <v>140.82568255863814</v>
      </c>
      <c r="W103" s="449"/>
      <c r="X103" s="67">
        <v>663845</v>
      </c>
      <c r="Y103" s="163">
        <v>38985</v>
      </c>
      <c r="Z103" s="166">
        <v>5.872605804065708E-2</v>
      </c>
      <c r="AA103" s="61"/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40.11</v>
      </c>
      <c r="E104" s="67">
        <v>5561</v>
      </c>
      <c r="F104" s="146">
        <v>0</v>
      </c>
      <c r="G104" s="146">
        <v>0</v>
      </c>
      <c r="H104" s="91">
        <v>5561</v>
      </c>
      <c r="I104" s="67">
        <v>0</v>
      </c>
      <c r="J104" s="739">
        <v>5561</v>
      </c>
      <c r="K104" s="132" t="s">
        <v>1306</v>
      </c>
      <c r="L104" s="740">
        <v>0</v>
      </c>
      <c r="M104" s="741">
        <v>40.11</v>
      </c>
      <c r="N104" s="67">
        <v>88</v>
      </c>
      <c r="O104" s="67">
        <v>5649</v>
      </c>
      <c r="Q104" s="674">
        <v>0</v>
      </c>
      <c r="R104" s="674">
        <v>0</v>
      </c>
      <c r="S104" s="798">
        <v>0</v>
      </c>
      <c r="T104" s="798">
        <v>0</v>
      </c>
      <c r="U104" s="88">
        <v>5649</v>
      </c>
      <c r="V104" s="71">
        <v>140.83769633507853</v>
      </c>
      <c r="W104" s="449"/>
      <c r="X104" s="67">
        <v>5938</v>
      </c>
      <c r="Y104" s="163">
        <v>-289</v>
      </c>
      <c r="Z104" s="166">
        <v>-4.8669585719097339E-2</v>
      </c>
      <c r="AA104" s="61"/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2574.67</v>
      </c>
      <c r="E105" s="67">
        <v>356950</v>
      </c>
      <c r="F105" s="146">
        <v>0</v>
      </c>
      <c r="G105" s="146">
        <v>0</v>
      </c>
      <c r="H105" s="91">
        <v>356950</v>
      </c>
      <c r="I105" s="67">
        <v>0</v>
      </c>
      <c r="J105" s="739">
        <v>356950</v>
      </c>
      <c r="K105" s="132" t="s">
        <v>621</v>
      </c>
      <c r="L105" s="740">
        <v>0</v>
      </c>
      <c r="M105" s="741">
        <v>2574.67</v>
      </c>
      <c r="N105" s="67">
        <v>5630</v>
      </c>
      <c r="O105" s="67">
        <v>362580</v>
      </c>
      <c r="Q105" s="674">
        <v>0</v>
      </c>
      <c r="R105" s="674">
        <v>18402.377173776065</v>
      </c>
      <c r="S105" s="798" t="s">
        <v>725</v>
      </c>
      <c r="T105" s="798">
        <v>2574.67</v>
      </c>
      <c r="U105" s="88">
        <v>380982.37717377604</v>
      </c>
      <c r="V105" s="71">
        <v>140.82581457041096</v>
      </c>
      <c r="W105" s="449"/>
      <c r="X105" s="67">
        <v>371294</v>
      </c>
      <c r="Y105" s="163">
        <v>-8714</v>
      </c>
      <c r="Z105" s="166">
        <v>-2.346927232866677E-2</v>
      </c>
      <c r="AA105" s="61"/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98">
        <v>0</v>
      </c>
      <c r="T106" s="798">
        <v>0</v>
      </c>
      <c r="U106" s="88">
        <v>0</v>
      </c>
      <c r="V106" s="71">
        <v>0</v>
      </c>
      <c r="W106" s="449"/>
      <c r="X106" s="67">
        <v>0</v>
      </c>
      <c r="Y106" s="163">
        <v>0</v>
      </c>
      <c r="Z106" s="166">
        <v>0</v>
      </c>
      <c r="AA106" s="61"/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2232.11</v>
      </c>
      <c r="E107" s="67">
        <v>309457</v>
      </c>
      <c r="F107" s="146">
        <v>0</v>
      </c>
      <c r="G107" s="146">
        <v>0</v>
      </c>
      <c r="H107" s="91">
        <v>309457</v>
      </c>
      <c r="I107" s="67">
        <v>0</v>
      </c>
      <c r="J107" s="739">
        <v>309457</v>
      </c>
      <c r="K107" s="132" t="s">
        <v>621</v>
      </c>
      <c r="L107" s="740">
        <v>0</v>
      </c>
      <c r="M107" s="741">
        <v>2232.11</v>
      </c>
      <c r="N107" s="67">
        <v>4881</v>
      </c>
      <c r="O107" s="67">
        <v>314338</v>
      </c>
      <c r="Q107" s="674">
        <v>0</v>
      </c>
      <c r="R107" s="674">
        <v>15953.939772226067</v>
      </c>
      <c r="S107" s="798" t="s">
        <v>725</v>
      </c>
      <c r="T107" s="798">
        <v>2232.11</v>
      </c>
      <c r="U107" s="88">
        <v>330291.93977222609</v>
      </c>
      <c r="V107" s="71">
        <v>140.8254969513151</v>
      </c>
      <c r="W107" s="449"/>
      <c r="X107" s="67">
        <v>288851</v>
      </c>
      <c r="Y107" s="163">
        <v>25487</v>
      </c>
      <c r="Z107" s="166">
        <v>8.8235803234193402E-2</v>
      </c>
      <c r="AA107" s="61"/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1180.78</v>
      </c>
      <c r="E108" s="67">
        <v>163702</v>
      </c>
      <c r="F108" s="146">
        <v>0</v>
      </c>
      <c r="G108" s="146">
        <v>0</v>
      </c>
      <c r="H108" s="91">
        <v>163702</v>
      </c>
      <c r="I108" s="67">
        <v>0</v>
      </c>
      <c r="J108" s="739">
        <v>163702</v>
      </c>
      <c r="K108" s="132" t="s">
        <v>621</v>
      </c>
      <c r="L108" s="740">
        <v>0</v>
      </c>
      <c r="M108" s="741">
        <v>1180.78</v>
      </c>
      <c r="N108" s="67">
        <v>2582</v>
      </c>
      <c r="O108" s="67">
        <v>166284</v>
      </c>
      <c r="Q108" s="674">
        <v>0</v>
      </c>
      <c r="R108" s="674">
        <v>8439.5898966668738</v>
      </c>
      <c r="S108" s="798" t="s">
        <v>725</v>
      </c>
      <c r="T108" s="798">
        <v>1180.78</v>
      </c>
      <c r="U108" s="88">
        <v>174723.58989666688</v>
      </c>
      <c r="V108" s="71">
        <v>140.82555598841444</v>
      </c>
      <c r="W108" s="449"/>
      <c r="X108" s="67">
        <v>172695</v>
      </c>
      <c r="Y108" s="163">
        <v>-6411</v>
      </c>
      <c r="Z108" s="166">
        <v>-3.7123251976027102E-2</v>
      </c>
      <c r="AA108" s="61"/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106.89</v>
      </c>
      <c r="E109" s="67">
        <v>14819</v>
      </c>
      <c r="F109" s="146">
        <v>0</v>
      </c>
      <c r="G109" s="146">
        <v>0</v>
      </c>
      <c r="H109" s="91">
        <v>14819</v>
      </c>
      <c r="I109" s="67">
        <v>0</v>
      </c>
      <c r="J109" s="739">
        <v>14819</v>
      </c>
      <c r="K109" s="132" t="s">
        <v>621</v>
      </c>
      <c r="L109" s="740">
        <v>0</v>
      </c>
      <c r="M109" s="741">
        <v>106.89</v>
      </c>
      <c r="N109" s="67">
        <v>234</v>
      </c>
      <c r="O109" s="67">
        <v>15053</v>
      </c>
      <c r="Q109" s="674">
        <v>0</v>
      </c>
      <c r="R109" s="674">
        <v>0</v>
      </c>
      <c r="S109" s="798" t="s">
        <v>1674</v>
      </c>
      <c r="T109" s="798">
        <v>0</v>
      </c>
      <c r="U109" s="88">
        <v>15053</v>
      </c>
      <c r="V109" s="71">
        <v>140.82701843016184</v>
      </c>
      <c r="W109" s="449"/>
      <c r="X109" s="67">
        <v>13296</v>
      </c>
      <c r="Y109" s="163">
        <v>1757</v>
      </c>
      <c r="Z109" s="166">
        <v>0.13214500601684717</v>
      </c>
      <c r="AA109" s="61"/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2387.2199999999998</v>
      </c>
      <c r="E110" s="67">
        <v>330962</v>
      </c>
      <c r="F110" s="146">
        <v>0</v>
      </c>
      <c r="G110" s="146">
        <v>0</v>
      </c>
      <c r="H110" s="91">
        <v>330962</v>
      </c>
      <c r="I110" s="67">
        <v>0</v>
      </c>
      <c r="J110" s="739">
        <v>330962</v>
      </c>
      <c r="K110" s="132" t="s">
        <v>1306</v>
      </c>
      <c r="L110" s="740">
        <v>0</v>
      </c>
      <c r="M110" s="741">
        <v>2387.2199999999998</v>
      </c>
      <c r="N110" s="67">
        <v>5220</v>
      </c>
      <c r="O110" s="67">
        <v>336182</v>
      </c>
      <c r="Q110" s="674">
        <v>0</v>
      </c>
      <c r="R110" s="674">
        <v>17062.583879402675</v>
      </c>
      <c r="S110" s="798" t="s">
        <v>725</v>
      </c>
      <c r="T110" s="798">
        <v>2387.2199999999998</v>
      </c>
      <c r="U110" s="88">
        <v>353244.58387940266</v>
      </c>
      <c r="V110" s="71">
        <v>140.82573034743342</v>
      </c>
      <c r="W110" s="449"/>
      <c r="X110" s="67">
        <v>326371</v>
      </c>
      <c r="Y110" s="163">
        <v>9811</v>
      </c>
      <c r="Z110" s="166">
        <v>3.0060881634704065E-2</v>
      </c>
      <c r="AA110" s="61"/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150.11000000000001</v>
      </c>
      <c r="E111" s="67">
        <v>20811</v>
      </c>
      <c r="F111" s="146">
        <v>0</v>
      </c>
      <c r="G111" s="146">
        <v>0</v>
      </c>
      <c r="H111" s="91">
        <v>20811</v>
      </c>
      <c r="I111" s="67">
        <v>0</v>
      </c>
      <c r="J111" s="739">
        <v>20811</v>
      </c>
      <c r="K111" s="132" t="s">
        <v>621</v>
      </c>
      <c r="L111" s="740">
        <v>0</v>
      </c>
      <c r="M111" s="741">
        <v>150.11000000000001</v>
      </c>
      <c r="N111" s="67">
        <v>328</v>
      </c>
      <c r="O111" s="67">
        <v>21139</v>
      </c>
      <c r="Q111" s="674">
        <v>0</v>
      </c>
      <c r="R111" s="674">
        <v>1072.9067560330159</v>
      </c>
      <c r="S111" s="798" t="s">
        <v>725</v>
      </c>
      <c r="T111" s="798">
        <v>150.11000000000001</v>
      </c>
      <c r="U111" s="88">
        <v>22211.906756033015</v>
      </c>
      <c r="V111" s="71">
        <v>140.82339617613749</v>
      </c>
      <c r="W111" s="449"/>
      <c r="X111" s="67">
        <v>20438</v>
      </c>
      <c r="Y111" s="163">
        <v>701</v>
      </c>
      <c r="Z111" s="166">
        <v>3.4298855073881987E-2</v>
      </c>
      <c r="AA111" s="61"/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176.44</v>
      </c>
      <c r="E112" s="67">
        <v>24461</v>
      </c>
      <c r="F112" s="146">
        <v>0</v>
      </c>
      <c r="G112" s="146">
        <v>0</v>
      </c>
      <c r="H112" s="91">
        <v>24461</v>
      </c>
      <c r="I112" s="67">
        <v>0</v>
      </c>
      <c r="J112" s="739">
        <v>24461</v>
      </c>
      <c r="K112" s="132" t="s">
        <v>621</v>
      </c>
      <c r="L112" s="740">
        <v>0</v>
      </c>
      <c r="M112" s="741">
        <v>176.44</v>
      </c>
      <c r="N112" s="67">
        <v>386</v>
      </c>
      <c r="O112" s="67">
        <v>24847</v>
      </c>
      <c r="Q112" s="674">
        <v>0</v>
      </c>
      <c r="R112" s="674">
        <v>0</v>
      </c>
      <c r="S112" s="798" t="s">
        <v>1674</v>
      </c>
      <c r="T112" s="798">
        <v>0</v>
      </c>
      <c r="U112" s="88">
        <v>24847</v>
      </c>
      <c r="V112" s="71">
        <v>140.82407617320337</v>
      </c>
      <c r="W112" s="449"/>
      <c r="X112" s="67">
        <v>19448</v>
      </c>
      <c r="Y112" s="163">
        <v>5399</v>
      </c>
      <c r="Z112" s="166">
        <v>0.27761209378856438</v>
      </c>
      <c r="AA112" s="61"/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1031.8899999999999</v>
      </c>
      <c r="E113" s="67">
        <v>143060</v>
      </c>
      <c r="F113" s="146">
        <v>0</v>
      </c>
      <c r="G113" s="146">
        <v>0</v>
      </c>
      <c r="H113" s="91">
        <v>143060</v>
      </c>
      <c r="I113" s="67">
        <v>0</v>
      </c>
      <c r="J113" s="739">
        <v>143060</v>
      </c>
      <c r="K113" s="132" t="s">
        <v>621</v>
      </c>
      <c r="L113" s="740">
        <v>0</v>
      </c>
      <c r="M113" s="741">
        <v>1031.8899999999999</v>
      </c>
      <c r="N113" s="67">
        <v>2256</v>
      </c>
      <c r="O113" s="67">
        <v>145316</v>
      </c>
      <c r="Q113" s="674">
        <v>0</v>
      </c>
      <c r="R113" s="674">
        <v>0</v>
      </c>
      <c r="S113" s="798" t="s">
        <v>1674</v>
      </c>
      <c r="T113" s="798">
        <v>0</v>
      </c>
      <c r="U113" s="88">
        <v>145316</v>
      </c>
      <c r="V113" s="71">
        <v>140.82508794542056</v>
      </c>
      <c r="W113" s="449"/>
      <c r="X113" s="67">
        <v>129259</v>
      </c>
      <c r="Y113" s="163">
        <v>16057</v>
      </c>
      <c r="Z113" s="166">
        <v>0.12422345832785338</v>
      </c>
      <c r="AA113" s="61"/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682.89</v>
      </c>
      <c r="E114" s="67">
        <v>94675</v>
      </c>
      <c r="F114" s="146">
        <v>0</v>
      </c>
      <c r="G114" s="146">
        <v>0</v>
      </c>
      <c r="H114" s="91">
        <v>94675</v>
      </c>
      <c r="I114" s="67">
        <v>0</v>
      </c>
      <c r="J114" s="739">
        <v>94675</v>
      </c>
      <c r="K114" s="132" t="s">
        <v>621</v>
      </c>
      <c r="L114" s="740">
        <v>0</v>
      </c>
      <c r="M114" s="741">
        <v>682.89</v>
      </c>
      <c r="N114" s="67">
        <v>1493</v>
      </c>
      <c r="O114" s="67">
        <v>96168</v>
      </c>
      <c r="Q114" s="674">
        <v>0</v>
      </c>
      <c r="R114" s="674">
        <v>4880.9359444899483</v>
      </c>
      <c r="S114" s="798" t="s">
        <v>725</v>
      </c>
      <c r="T114" s="798">
        <v>682.89</v>
      </c>
      <c r="U114" s="88">
        <v>101048.93594448995</v>
      </c>
      <c r="V114" s="71">
        <v>140.8250230637438</v>
      </c>
      <c r="W114" s="449"/>
      <c r="X114" s="67">
        <v>85347</v>
      </c>
      <c r="Y114" s="163">
        <v>10821</v>
      </c>
      <c r="Z114" s="166">
        <v>0.12678828781327992</v>
      </c>
      <c r="AA114" s="61"/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2188.56</v>
      </c>
      <c r="E115" s="67">
        <v>303420</v>
      </c>
      <c r="F115" s="146">
        <v>0</v>
      </c>
      <c r="G115" s="146">
        <v>0</v>
      </c>
      <c r="H115" s="91">
        <v>303420</v>
      </c>
      <c r="I115" s="67">
        <v>0</v>
      </c>
      <c r="J115" s="739">
        <v>303420</v>
      </c>
      <c r="K115" s="132" t="s">
        <v>621</v>
      </c>
      <c r="L115" s="740">
        <v>0</v>
      </c>
      <c r="M115" s="741">
        <v>2188.56</v>
      </c>
      <c r="N115" s="67">
        <v>4786</v>
      </c>
      <c r="O115" s="67">
        <v>308206</v>
      </c>
      <c r="Q115" s="674">
        <v>0</v>
      </c>
      <c r="R115" s="674">
        <v>0</v>
      </c>
      <c r="S115" s="798" t="s">
        <v>1674</v>
      </c>
      <c r="T115" s="798">
        <v>0</v>
      </c>
      <c r="U115" s="88">
        <v>308206</v>
      </c>
      <c r="V115" s="71">
        <v>140.8259312059071</v>
      </c>
      <c r="W115" s="449"/>
      <c r="X115" s="67">
        <v>265228</v>
      </c>
      <c r="Y115" s="163">
        <v>42978</v>
      </c>
      <c r="Z115" s="166">
        <v>0.16204171505270937</v>
      </c>
      <c r="AA115" s="61"/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5109.8900000000003</v>
      </c>
      <c r="E116" s="67">
        <v>708430</v>
      </c>
      <c r="F116" s="146">
        <v>0</v>
      </c>
      <c r="G116" s="146">
        <v>0</v>
      </c>
      <c r="H116" s="91">
        <v>708430</v>
      </c>
      <c r="I116" s="67">
        <v>0</v>
      </c>
      <c r="J116" s="739">
        <v>708430</v>
      </c>
      <c r="K116" s="132" t="s">
        <v>621</v>
      </c>
      <c r="L116" s="740">
        <v>0</v>
      </c>
      <c r="M116" s="741">
        <v>5109.8900000000003</v>
      </c>
      <c r="N116" s="67">
        <v>11173</v>
      </c>
      <c r="O116" s="67">
        <v>719603</v>
      </c>
      <c r="Q116" s="674">
        <v>0</v>
      </c>
      <c r="R116" s="674">
        <v>36522.786647029163</v>
      </c>
      <c r="S116" s="798" t="s">
        <v>725</v>
      </c>
      <c r="T116" s="798">
        <v>5109.8900000000003</v>
      </c>
      <c r="U116" s="88">
        <v>756125.78664702922</v>
      </c>
      <c r="V116" s="71">
        <v>140.82553636183948</v>
      </c>
      <c r="W116" s="449"/>
      <c r="X116" s="67">
        <v>735100</v>
      </c>
      <c r="Y116" s="163">
        <v>-15497</v>
      </c>
      <c r="Z116" s="166">
        <v>-2.1081485512175216E-2</v>
      </c>
      <c r="AA116" s="61"/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1320</v>
      </c>
      <c r="E117" s="67">
        <v>183003</v>
      </c>
      <c r="F117" s="146">
        <v>0</v>
      </c>
      <c r="G117" s="146">
        <v>0</v>
      </c>
      <c r="H117" s="91">
        <v>183003</v>
      </c>
      <c r="I117" s="67">
        <v>0</v>
      </c>
      <c r="J117" s="739">
        <v>183003</v>
      </c>
      <c r="K117" s="132" t="s">
        <v>621</v>
      </c>
      <c r="L117" s="740">
        <v>0</v>
      </c>
      <c r="M117" s="741">
        <v>1320</v>
      </c>
      <c r="N117" s="67">
        <v>2886</v>
      </c>
      <c r="O117" s="67">
        <v>185889</v>
      </c>
      <c r="Q117" s="674">
        <v>0</v>
      </c>
      <c r="R117" s="674">
        <v>0</v>
      </c>
      <c r="S117" s="798" t="s">
        <v>1674</v>
      </c>
      <c r="T117" s="798">
        <v>0</v>
      </c>
      <c r="U117" s="88">
        <v>185889</v>
      </c>
      <c r="V117" s="71">
        <v>140.82499999999999</v>
      </c>
      <c r="W117" s="449"/>
      <c r="X117" s="67">
        <v>182441</v>
      </c>
      <c r="Y117" s="163">
        <v>3448</v>
      </c>
      <c r="Z117" s="166">
        <v>1.8899260582873369E-2</v>
      </c>
      <c r="AA117" s="61"/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132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>
        <v>0</v>
      </c>
      <c r="S118" s="798">
        <v>0</v>
      </c>
      <c r="T118" s="798">
        <v>0</v>
      </c>
      <c r="U118" s="88">
        <v>0</v>
      </c>
      <c r="V118" s="71">
        <v>0</v>
      </c>
      <c r="W118" s="449"/>
      <c r="X118" s="67">
        <v>0</v>
      </c>
      <c r="Y118" s="163">
        <v>0</v>
      </c>
      <c r="Z118" s="166">
        <v>0</v>
      </c>
      <c r="AA118" s="61"/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212.67</v>
      </c>
      <c r="E119" s="67">
        <v>29484</v>
      </c>
      <c r="F119" s="146">
        <v>0</v>
      </c>
      <c r="G119" s="146">
        <v>0</v>
      </c>
      <c r="H119" s="91">
        <v>29484</v>
      </c>
      <c r="I119" s="67">
        <v>0</v>
      </c>
      <c r="J119" s="739">
        <v>29484</v>
      </c>
      <c r="K119" s="132" t="s">
        <v>621</v>
      </c>
      <c r="L119" s="740">
        <v>0</v>
      </c>
      <c r="M119" s="741">
        <v>212.67</v>
      </c>
      <c r="N119" s="67">
        <v>465</v>
      </c>
      <c r="O119" s="67">
        <v>29949</v>
      </c>
      <c r="Q119" s="674">
        <v>0</v>
      </c>
      <c r="R119" s="674">
        <v>0</v>
      </c>
      <c r="S119" s="798" t="s">
        <v>1674</v>
      </c>
      <c r="T119" s="798">
        <v>0</v>
      </c>
      <c r="U119" s="88">
        <v>29949</v>
      </c>
      <c r="V119" s="71">
        <v>140.82381153900411</v>
      </c>
      <c r="W119" s="449"/>
      <c r="X119" s="67">
        <v>27043</v>
      </c>
      <c r="Y119" s="163">
        <v>2906</v>
      </c>
      <c r="Z119" s="166">
        <v>0.10745849203120955</v>
      </c>
      <c r="AA119" s="61"/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28.11</v>
      </c>
      <c r="E120" s="67">
        <v>3897</v>
      </c>
      <c r="F120" s="146">
        <v>0</v>
      </c>
      <c r="G120" s="146">
        <v>0</v>
      </c>
      <c r="H120" s="91">
        <v>3897</v>
      </c>
      <c r="I120" s="67">
        <v>0</v>
      </c>
      <c r="J120" s="739">
        <v>3897</v>
      </c>
      <c r="K120" s="132" t="s">
        <v>644</v>
      </c>
      <c r="L120" s="740">
        <v>3897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98">
        <v>0</v>
      </c>
      <c r="T120" s="798">
        <v>0</v>
      </c>
      <c r="U120" s="88">
        <v>0</v>
      </c>
      <c r="V120" s="71">
        <v>0</v>
      </c>
      <c r="W120" s="449"/>
      <c r="X120" s="67">
        <v>4045</v>
      </c>
      <c r="Y120" s="163">
        <v>-4045</v>
      </c>
      <c r="Z120" s="166">
        <v>-1</v>
      </c>
      <c r="AA120" s="61"/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190</v>
      </c>
      <c r="E121" s="67">
        <v>26341</v>
      </c>
      <c r="F121" s="146">
        <v>0</v>
      </c>
      <c r="G121" s="146">
        <v>0</v>
      </c>
      <c r="H121" s="91">
        <v>26341</v>
      </c>
      <c r="I121" s="67">
        <v>0</v>
      </c>
      <c r="J121" s="739">
        <v>26341</v>
      </c>
      <c r="K121" s="132" t="s">
        <v>621</v>
      </c>
      <c r="L121" s="740">
        <v>0</v>
      </c>
      <c r="M121" s="741">
        <v>190</v>
      </c>
      <c r="N121" s="67">
        <v>415</v>
      </c>
      <c r="O121" s="67">
        <v>26756</v>
      </c>
      <c r="Q121" s="674">
        <v>0</v>
      </c>
      <c r="R121" s="674">
        <v>1358.0193434566186</v>
      </c>
      <c r="S121" s="798" t="s">
        <v>725</v>
      </c>
      <c r="T121" s="798">
        <v>190</v>
      </c>
      <c r="U121" s="88">
        <v>28114.019343456617</v>
      </c>
      <c r="V121" s="71">
        <v>140.82105263157894</v>
      </c>
      <c r="W121" s="449"/>
      <c r="X121" s="67">
        <v>26872</v>
      </c>
      <c r="Y121" s="163">
        <v>-116</v>
      </c>
      <c r="Z121" s="166">
        <v>-4.3167609407561772E-3</v>
      </c>
      <c r="AA121" s="61"/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283.44</v>
      </c>
      <c r="E122" s="67">
        <v>39296</v>
      </c>
      <c r="F122" s="146">
        <v>0</v>
      </c>
      <c r="G122" s="146">
        <v>0</v>
      </c>
      <c r="H122" s="91">
        <v>39296</v>
      </c>
      <c r="I122" s="67">
        <v>0</v>
      </c>
      <c r="J122" s="739">
        <v>39296</v>
      </c>
      <c r="K122" s="132" t="s">
        <v>621</v>
      </c>
      <c r="L122" s="740">
        <v>0</v>
      </c>
      <c r="M122" s="741">
        <v>283.44</v>
      </c>
      <c r="N122" s="67">
        <v>620</v>
      </c>
      <c r="O122" s="67">
        <v>39916</v>
      </c>
      <c r="Q122" s="674">
        <v>0</v>
      </c>
      <c r="R122" s="674">
        <v>2025.878961628126</v>
      </c>
      <c r="S122" s="798" t="s">
        <v>725</v>
      </c>
      <c r="T122" s="798">
        <v>283.44</v>
      </c>
      <c r="U122" s="88">
        <v>41941.878961628128</v>
      </c>
      <c r="V122" s="71">
        <v>140.82698278295231</v>
      </c>
      <c r="W122" s="449"/>
      <c r="X122" s="67">
        <v>38231</v>
      </c>
      <c r="Y122" s="163">
        <v>1685</v>
      </c>
      <c r="Z122" s="166">
        <v>4.4074180638748663E-2</v>
      </c>
      <c r="AA122" s="61"/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123.56</v>
      </c>
      <c r="E123" s="67">
        <v>17130</v>
      </c>
      <c r="F123" s="146">
        <v>0</v>
      </c>
      <c r="G123" s="146">
        <v>0</v>
      </c>
      <c r="H123" s="91">
        <v>17130</v>
      </c>
      <c r="I123" s="67">
        <v>0</v>
      </c>
      <c r="J123" s="739">
        <v>17130</v>
      </c>
      <c r="K123" s="132" t="s">
        <v>621</v>
      </c>
      <c r="L123" s="740">
        <v>0</v>
      </c>
      <c r="M123" s="741">
        <v>123.56</v>
      </c>
      <c r="N123" s="67">
        <v>270</v>
      </c>
      <c r="O123" s="67">
        <v>17400</v>
      </c>
      <c r="Q123" s="674">
        <v>0</v>
      </c>
      <c r="R123" s="674">
        <v>883.14142146052518</v>
      </c>
      <c r="S123" s="798" t="s">
        <v>725</v>
      </c>
      <c r="T123" s="798">
        <v>123.56</v>
      </c>
      <c r="U123" s="88">
        <v>18283.141421460525</v>
      </c>
      <c r="V123" s="71">
        <v>140.82227258012301</v>
      </c>
      <c r="W123" s="449"/>
      <c r="X123" s="67">
        <v>11080</v>
      </c>
      <c r="Y123" s="163">
        <v>6320</v>
      </c>
      <c r="Z123" s="166">
        <v>0.5703971119133574</v>
      </c>
      <c r="AA123" s="61"/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132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>
        <v>0</v>
      </c>
      <c r="S124" s="798">
        <v>0</v>
      </c>
      <c r="T124" s="798">
        <v>0</v>
      </c>
      <c r="U124" s="88">
        <v>0</v>
      </c>
      <c r="V124" s="71">
        <v>0</v>
      </c>
      <c r="W124" s="449"/>
      <c r="X124" s="67">
        <v>0</v>
      </c>
      <c r="Y124" s="163">
        <v>0</v>
      </c>
      <c r="Z124" s="166">
        <v>0</v>
      </c>
      <c r="AA124" s="61"/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17</v>
      </c>
      <c r="E125" s="67">
        <v>2357</v>
      </c>
      <c r="F125" s="146">
        <v>0</v>
      </c>
      <c r="G125" s="146">
        <v>0</v>
      </c>
      <c r="H125" s="91">
        <v>2357</v>
      </c>
      <c r="I125" s="67">
        <v>0</v>
      </c>
      <c r="J125" s="739">
        <v>2357</v>
      </c>
      <c r="K125" s="132" t="s">
        <v>1306</v>
      </c>
      <c r="L125" s="740">
        <v>0</v>
      </c>
      <c r="M125" s="741">
        <v>17</v>
      </c>
      <c r="N125" s="67">
        <v>37</v>
      </c>
      <c r="O125" s="67">
        <v>2394</v>
      </c>
      <c r="Q125" s="674">
        <v>0</v>
      </c>
      <c r="R125" s="674">
        <v>0</v>
      </c>
      <c r="S125" s="798">
        <v>0</v>
      </c>
      <c r="T125" s="798">
        <v>0</v>
      </c>
      <c r="U125" s="88">
        <v>2394</v>
      </c>
      <c r="V125" s="71">
        <v>140.8235294117647</v>
      </c>
      <c r="W125" s="449"/>
      <c r="X125" s="67">
        <v>2044</v>
      </c>
      <c r="Y125" s="163">
        <v>350</v>
      </c>
      <c r="Z125" s="166">
        <v>0.17123287671232876</v>
      </c>
      <c r="AA125" s="61"/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132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>
        <v>0</v>
      </c>
      <c r="S126" s="798">
        <v>0</v>
      </c>
      <c r="T126" s="798">
        <v>0</v>
      </c>
      <c r="U126" s="88">
        <v>0</v>
      </c>
      <c r="V126" s="71">
        <v>0</v>
      </c>
      <c r="W126" s="449"/>
      <c r="X126" s="67">
        <v>0</v>
      </c>
      <c r="Y126" s="163">
        <v>0</v>
      </c>
      <c r="Z126" s="166">
        <v>0</v>
      </c>
      <c r="AA126" s="61"/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249.56</v>
      </c>
      <c r="E127" s="67">
        <v>34599</v>
      </c>
      <c r="F127" s="146">
        <v>0</v>
      </c>
      <c r="G127" s="146">
        <v>0</v>
      </c>
      <c r="H127" s="91">
        <v>34599</v>
      </c>
      <c r="I127" s="67">
        <v>0</v>
      </c>
      <c r="J127" s="739">
        <v>34599</v>
      </c>
      <c r="K127" s="132" t="s">
        <v>621</v>
      </c>
      <c r="L127" s="740">
        <v>0</v>
      </c>
      <c r="M127" s="741">
        <v>249.56</v>
      </c>
      <c r="N127" s="67">
        <v>546</v>
      </c>
      <c r="O127" s="67">
        <v>35145</v>
      </c>
      <c r="Q127" s="674">
        <v>0</v>
      </c>
      <c r="R127" s="674">
        <v>0</v>
      </c>
      <c r="S127" s="798" t="s">
        <v>1674</v>
      </c>
      <c r="T127" s="798">
        <v>0</v>
      </c>
      <c r="U127" s="88">
        <v>35145</v>
      </c>
      <c r="V127" s="71">
        <v>140.82785702836992</v>
      </c>
      <c r="W127" s="449"/>
      <c r="X127" s="67">
        <v>40792</v>
      </c>
      <c r="Y127" s="163">
        <v>-5647</v>
      </c>
      <c r="Z127" s="166">
        <v>-0.13843400666797412</v>
      </c>
      <c r="AA127" s="61"/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52.89</v>
      </c>
      <c r="E128" s="67">
        <v>7333</v>
      </c>
      <c r="F128" s="146">
        <v>0</v>
      </c>
      <c r="G128" s="146">
        <v>0</v>
      </c>
      <c r="H128" s="91">
        <v>7333</v>
      </c>
      <c r="I128" s="67">
        <v>0</v>
      </c>
      <c r="J128" s="739">
        <v>7333</v>
      </c>
      <c r="K128" s="132" t="s">
        <v>1306</v>
      </c>
      <c r="L128" s="740">
        <v>0</v>
      </c>
      <c r="M128" s="741">
        <v>52.89</v>
      </c>
      <c r="N128" s="67">
        <v>116</v>
      </c>
      <c r="O128" s="67">
        <v>7449</v>
      </c>
      <c r="Q128" s="674">
        <v>0</v>
      </c>
      <c r="R128" s="674">
        <v>0</v>
      </c>
      <c r="S128" s="798">
        <v>0</v>
      </c>
      <c r="T128" s="798">
        <v>0</v>
      </c>
      <c r="U128" s="88">
        <v>7449</v>
      </c>
      <c r="V128" s="71">
        <v>140.83947816222349</v>
      </c>
      <c r="W128" s="449"/>
      <c r="X128" s="67">
        <v>8413</v>
      </c>
      <c r="Y128" s="163">
        <v>-964</v>
      </c>
      <c r="Z128" s="166">
        <v>-0.11458457149649352</v>
      </c>
      <c r="AA128" s="61"/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19.559999999999999</v>
      </c>
      <c r="E129" s="67">
        <v>2712</v>
      </c>
      <c r="F129" s="146">
        <v>0</v>
      </c>
      <c r="G129" s="146">
        <v>0</v>
      </c>
      <c r="H129" s="91">
        <v>2712</v>
      </c>
      <c r="I129" s="67">
        <v>0</v>
      </c>
      <c r="J129" s="739">
        <v>2712</v>
      </c>
      <c r="K129" s="132" t="s">
        <v>1306</v>
      </c>
      <c r="L129" s="740">
        <v>0</v>
      </c>
      <c r="M129" s="741">
        <v>19.559999999999999</v>
      </c>
      <c r="N129" s="67">
        <v>43</v>
      </c>
      <c r="O129" s="67">
        <v>2755</v>
      </c>
      <c r="Q129" s="674">
        <v>0</v>
      </c>
      <c r="R129" s="674">
        <v>0</v>
      </c>
      <c r="S129" s="798">
        <v>0</v>
      </c>
      <c r="T129" s="798">
        <v>0</v>
      </c>
      <c r="U129" s="88">
        <v>2755</v>
      </c>
      <c r="V129" s="71">
        <v>140.84867075664621</v>
      </c>
      <c r="W129" s="449"/>
      <c r="X129" s="67">
        <v>2754</v>
      </c>
      <c r="Y129" s="163">
        <v>1</v>
      </c>
      <c r="Z129" s="166">
        <v>3.6310820624546115E-4</v>
      </c>
      <c r="AA129" s="61"/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132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98">
        <v>0</v>
      </c>
      <c r="T130" s="798">
        <v>0</v>
      </c>
      <c r="U130" s="88">
        <v>0</v>
      </c>
      <c r="V130" s="71">
        <v>0</v>
      </c>
      <c r="W130" s="449"/>
      <c r="X130" s="67">
        <v>0</v>
      </c>
      <c r="Y130" s="163">
        <v>0</v>
      </c>
      <c r="Z130" s="166">
        <v>0</v>
      </c>
      <c r="AA130" s="61"/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132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>
        <v>0</v>
      </c>
      <c r="S131" s="798">
        <v>0</v>
      </c>
      <c r="T131" s="798">
        <v>0</v>
      </c>
      <c r="U131" s="88">
        <v>0</v>
      </c>
      <c r="V131" s="71">
        <v>0</v>
      </c>
      <c r="W131" s="449"/>
      <c r="X131" s="67">
        <v>0</v>
      </c>
      <c r="Y131" s="163">
        <v>0</v>
      </c>
      <c r="Z131" s="166">
        <v>0</v>
      </c>
      <c r="AA131" s="61"/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98">
        <v>0</v>
      </c>
      <c r="T132" s="798">
        <v>0</v>
      </c>
      <c r="U132" s="88">
        <v>0</v>
      </c>
      <c r="V132" s="71">
        <v>0</v>
      </c>
      <c r="W132" s="449"/>
      <c r="X132" s="67">
        <v>0</v>
      </c>
      <c r="Y132" s="163">
        <v>0</v>
      </c>
      <c r="Z132" s="166">
        <v>0</v>
      </c>
      <c r="AA132" s="61"/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739">
        <v>0</v>
      </c>
      <c r="K133" s="132" t="s">
        <v>644</v>
      </c>
      <c r="L133" s="740">
        <v>0</v>
      </c>
      <c r="M133" s="741">
        <v>0</v>
      </c>
      <c r="N133" s="67">
        <v>0</v>
      </c>
      <c r="O133" s="67">
        <v>0</v>
      </c>
      <c r="Q133" s="674">
        <v>0</v>
      </c>
      <c r="R133" s="674">
        <v>0</v>
      </c>
      <c r="S133" s="798">
        <v>0</v>
      </c>
      <c r="T133" s="798">
        <v>0</v>
      </c>
      <c r="U133" s="88">
        <v>0</v>
      </c>
      <c r="V133" s="71">
        <v>0</v>
      </c>
      <c r="W133" s="449"/>
      <c r="X133" s="67">
        <v>0</v>
      </c>
      <c r="Y133" s="163">
        <v>0</v>
      </c>
      <c r="Z133" s="166">
        <v>0</v>
      </c>
      <c r="AA133" s="61"/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98">
        <v>0</v>
      </c>
      <c r="T134" s="798">
        <v>0</v>
      </c>
      <c r="U134" s="88">
        <v>0</v>
      </c>
      <c r="V134" s="71">
        <v>0</v>
      </c>
      <c r="W134" s="449"/>
      <c r="X134" s="67">
        <v>0</v>
      </c>
      <c r="Y134" s="163">
        <v>0</v>
      </c>
      <c r="Z134" s="166">
        <v>0</v>
      </c>
      <c r="AA134" s="61"/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132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>
        <v>0</v>
      </c>
      <c r="S135" s="798">
        <v>0</v>
      </c>
      <c r="T135" s="798">
        <v>0</v>
      </c>
      <c r="U135" s="88">
        <v>0</v>
      </c>
      <c r="V135" s="71">
        <v>0</v>
      </c>
      <c r="W135" s="449"/>
      <c r="X135" s="67">
        <v>0</v>
      </c>
      <c r="Y135" s="163">
        <v>0</v>
      </c>
      <c r="Z135" s="166">
        <v>0</v>
      </c>
      <c r="AA135" s="61"/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18.559999999999999</v>
      </c>
      <c r="E136" s="67">
        <v>2573</v>
      </c>
      <c r="F136" s="146">
        <v>0</v>
      </c>
      <c r="G136" s="146">
        <v>0</v>
      </c>
      <c r="H136" s="91">
        <v>2573</v>
      </c>
      <c r="I136" s="67">
        <v>0</v>
      </c>
      <c r="J136" s="739">
        <v>2573</v>
      </c>
      <c r="K136" s="132" t="s">
        <v>723</v>
      </c>
      <c r="L136" s="740">
        <v>2573</v>
      </c>
      <c r="M136" s="741">
        <v>0</v>
      </c>
      <c r="N136" s="67">
        <v>0</v>
      </c>
      <c r="O136" s="67">
        <v>0</v>
      </c>
      <c r="Q136" s="674">
        <v>0</v>
      </c>
      <c r="R136" s="674">
        <v>0</v>
      </c>
      <c r="S136" s="798">
        <v>0</v>
      </c>
      <c r="T136" s="798">
        <v>0</v>
      </c>
      <c r="U136" s="88">
        <v>0</v>
      </c>
      <c r="V136" s="71">
        <v>0</v>
      </c>
      <c r="W136" s="449"/>
      <c r="X136" s="67">
        <v>1678</v>
      </c>
      <c r="Y136" s="163">
        <v>-1678</v>
      </c>
      <c r="Z136" s="166">
        <v>-1</v>
      </c>
      <c r="AA136" s="61"/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29.78</v>
      </c>
      <c r="E137" s="67">
        <v>4129</v>
      </c>
      <c r="F137" s="146">
        <v>0</v>
      </c>
      <c r="G137" s="146">
        <v>0</v>
      </c>
      <c r="H137" s="91">
        <v>4129</v>
      </c>
      <c r="I137" s="67">
        <v>0</v>
      </c>
      <c r="J137" s="739">
        <v>4129</v>
      </c>
      <c r="K137" s="132" t="s">
        <v>1306</v>
      </c>
      <c r="L137" s="740">
        <v>0</v>
      </c>
      <c r="M137" s="741">
        <v>29.78</v>
      </c>
      <c r="N137" s="67">
        <v>65</v>
      </c>
      <c r="O137" s="67">
        <v>4194</v>
      </c>
      <c r="Q137" s="674">
        <v>0</v>
      </c>
      <c r="R137" s="674">
        <v>0</v>
      </c>
      <c r="S137" s="798">
        <v>0</v>
      </c>
      <c r="T137" s="798">
        <v>0</v>
      </c>
      <c r="U137" s="88">
        <v>4194</v>
      </c>
      <c r="V137" s="71">
        <v>140.83277367360645</v>
      </c>
      <c r="W137" s="449"/>
      <c r="X137" s="67">
        <v>4367</v>
      </c>
      <c r="Y137" s="163">
        <v>-173</v>
      </c>
      <c r="Z137" s="166">
        <v>-3.9615296542248685E-2</v>
      </c>
      <c r="AA137" s="61"/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186.44</v>
      </c>
      <c r="E138" s="67">
        <v>25848</v>
      </c>
      <c r="F138" s="146">
        <v>0</v>
      </c>
      <c r="G138" s="146">
        <v>0</v>
      </c>
      <c r="H138" s="91">
        <v>25848</v>
      </c>
      <c r="I138" s="67">
        <v>0</v>
      </c>
      <c r="J138" s="739">
        <v>25848</v>
      </c>
      <c r="K138" s="132" t="s">
        <v>621</v>
      </c>
      <c r="L138" s="740">
        <v>0</v>
      </c>
      <c r="M138" s="741">
        <v>186.44</v>
      </c>
      <c r="N138" s="67">
        <v>408</v>
      </c>
      <c r="O138" s="67">
        <v>26256</v>
      </c>
      <c r="Q138" s="674">
        <v>0</v>
      </c>
      <c r="R138" s="674">
        <v>1332.5743494423787</v>
      </c>
      <c r="S138" s="798" t="s">
        <v>725</v>
      </c>
      <c r="T138" s="798">
        <v>186.44</v>
      </c>
      <c r="U138" s="88">
        <v>27588.57434944238</v>
      </c>
      <c r="V138" s="71">
        <v>140.82814846599442</v>
      </c>
      <c r="W138" s="449"/>
      <c r="X138" s="67">
        <v>29497</v>
      </c>
      <c r="Y138" s="163">
        <v>-3241</v>
      </c>
      <c r="Z138" s="166">
        <v>-0.10987558056751534</v>
      </c>
      <c r="AA138" s="61"/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644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98">
        <v>0</v>
      </c>
      <c r="T139" s="798">
        <v>0</v>
      </c>
      <c r="U139" s="88">
        <v>0</v>
      </c>
      <c r="V139" s="71">
        <v>0</v>
      </c>
      <c r="W139" s="449"/>
      <c r="X139" s="67">
        <v>0</v>
      </c>
      <c r="Y139" s="163">
        <v>0</v>
      </c>
      <c r="Z139" s="166">
        <v>0</v>
      </c>
      <c r="AA139" s="61"/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24</v>
      </c>
      <c r="E140" s="67">
        <v>3327</v>
      </c>
      <c r="F140" s="146">
        <v>0</v>
      </c>
      <c r="G140" s="146">
        <v>0</v>
      </c>
      <c r="H140" s="91">
        <v>3327</v>
      </c>
      <c r="I140" s="67">
        <v>0</v>
      </c>
      <c r="J140" s="739">
        <v>3327</v>
      </c>
      <c r="K140" s="132" t="s">
        <v>644</v>
      </c>
      <c r="L140" s="740">
        <v>3327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98">
        <v>0</v>
      </c>
      <c r="T140" s="798">
        <v>0</v>
      </c>
      <c r="U140" s="88">
        <v>0</v>
      </c>
      <c r="V140" s="71">
        <v>0</v>
      </c>
      <c r="W140" s="449"/>
      <c r="X140" s="67">
        <v>2754</v>
      </c>
      <c r="Y140" s="163">
        <v>-2754</v>
      </c>
      <c r="Z140" s="166">
        <v>-1</v>
      </c>
      <c r="AA140" s="61"/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0</v>
      </c>
      <c r="E141" s="67">
        <v>0</v>
      </c>
      <c r="F141" s="146">
        <v>0</v>
      </c>
      <c r="G141" s="146">
        <v>0</v>
      </c>
      <c r="H141" s="91">
        <v>0</v>
      </c>
      <c r="I141" s="67">
        <v>0</v>
      </c>
      <c r="J141" s="739">
        <v>0</v>
      </c>
      <c r="K141" s="132" t="s">
        <v>644</v>
      </c>
      <c r="L141" s="740">
        <v>0</v>
      </c>
      <c r="M141" s="741">
        <v>0</v>
      </c>
      <c r="N141" s="67">
        <v>0</v>
      </c>
      <c r="O141" s="67">
        <v>0</v>
      </c>
      <c r="Q141" s="674">
        <v>0</v>
      </c>
      <c r="R141" s="674">
        <v>0</v>
      </c>
      <c r="S141" s="798">
        <v>0</v>
      </c>
      <c r="T141" s="798">
        <v>0</v>
      </c>
      <c r="U141" s="88">
        <v>0</v>
      </c>
      <c r="V141" s="71">
        <v>0</v>
      </c>
      <c r="W141" s="449"/>
      <c r="X141" s="67">
        <v>0</v>
      </c>
      <c r="Y141" s="163">
        <v>0</v>
      </c>
      <c r="Z141" s="166">
        <v>0</v>
      </c>
      <c r="AA141" s="61"/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59.11</v>
      </c>
      <c r="E142" s="67">
        <v>8195</v>
      </c>
      <c r="F142" s="146">
        <v>0</v>
      </c>
      <c r="G142" s="146">
        <v>0</v>
      </c>
      <c r="H142" s="91">
        <v>8195</v>
      </c>
      <c r="I142" s="67">
        <v>0</v>
      </c>
      <c r="J142" s="739">
        <v>8195</v>
      </c>
      <c r="K142" s="132" t="s">
        <v>1306</v>
      </c>
      <c r="L142" s="740">
        <v>0</v>
      </c>
      <c r="M142" s="741">
        <v>59.11</v>
      </c>
      <c r="N142" s="67">
        <v>129</v>
      </c>
      <c r="O142" s="67">
        <v>8324</v>
      </c>
      <c r="Q142" s="674">
        <v>0</v>
      </c>
      <c r="R142" s="674">
        <v>422.48696521958271</v>
      </c>
      <c r="S142" s="798" t="s">
        <v>725</v>
      </c>
      <c r="T142" s="798">
        <v>59.11</v>
      </c>
      <c r="U142" s="88">
        <v>8746.486965219583</v>
      </c>
      <c r="V142" s="71">
        <v>140.82219590593809</v>
      </c>
      <c r="W142" s="449"/>
      <c r="X142" s="67">
        <v>9122</v>
      </c>
      <c r="Y142" s="163">
        <v>-798</v>
      </c>
      <c r="Z142" s="166">
        <v>-8.7480815610611704E-2</v>
      </c>
      <c r="AA142" s="61"/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132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>
        <v>0</v>
      </c>
      <c r="S143" s="798">
        <v>0</v>
      </c>
      <c r="T143" s="798">
        <v>0</v>
      </c>
      <c r="U143" s="88">
        <v>0</v>
      </c>
      <c r="V143" s="71">
        <v>0</v>
      </c>
      <c r="W143" s="449"/>
      <c r="X143" s="67">
        <v>0</v>
      </c>
      <c r="Y143" s="163">
        <v>0</v>
      </c>
      <c r="Z143" s="166">
        <v>0</v>
      </c>
      <c r="AA143" s="61"/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132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98">
        <v>0</v>
      </c>
      <c r="T144" s="798">
        <v>0</v>
      </c>
      <c r="U144" s="88">
        <v>0</v>
      </c>
      <c r="V144" s="71">
        <v>0</v>
      </c>
      <c r="W144" s="449"/>
      <c r="X144" s="67">
        <v>0</v>
      </c>
      <c r="Y144" s="163">
        <v>0</v>
      </c>
      <c r="Z144" s="166">
        <v>0</v>
      </c>
      <c r="AA144" s="61"/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85.67</v>
      </c>
      <c r="E145" s="88">
        <v>11877</v>
      </c>
      <c r="F145" s="146">
        <v>0</v>
      </c>
      <c r="G145" s="146">
        <v>0</v>
      </c>
      <c r="H145" s="91">
        <v>11877</v>
      </c>
      <c r="I145" s="67">
        <v>0</v>
      </c>
      <c r="J145" s="739">
        <v>11877</v>
      </c>
      <c r="K145" s="132" t="s">
        <v>621</v>
      </c>
      <c r="L145" s="740">
        <v>0</v>
      </c>
      <c r="M145" s="741">
        <v>85.67</v>
      </c>
      <c r="N145" s="67">
        <v>187</v>
      </c>
      <c r="O145" s="67">
        <v>12064</v>
      </c>
      <c r="Q145" s="674">
        <v>0</v>
      </c>
      <c r="R145" s="674">
        <v>0</v>
      </c>
      <c r="S145" s="798" t="s">
        <v>1674</v>
      </c>
      <c r="T145" s="798">
        <v>0</v>
      </c>
      <c r="U145" s="88">
        <v>12064</v>
      </c>
      <c r="V145" s="71">
        <v>140.8194233687405</v>
      </c>
      <c r="W145" s="449"/>
      <c r="X145" s="67">
        <v>12543</v>
      </c>
      <c r="Y145" s="163">
        <v>-479</v>
      </c>
      <c r="Z145" s="166">
        <v>-3.8188631108985092E-2</v>
      </c>
      <c r="AA145" s="61"/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0</v>
      </c>
      <c r="E146" s="67">
        <v>0</v>
      </c>
      <c r="F146" s="146">
        <v>0</v>
      </c>
      <c r="G146" s="146">
        <v>0</v>
      </c>
      <c r="H146" s="91">
        <v>0</v>
      </c>
      <c r="I146" s="67">
        <v>0</v>
      </c>
      <c r="J146" s="739">
        <v>0</v>
      </c>
      <c r="K146" s="132" t="s">
        <v>644</v>
      </c>
      <c r="L146" s="740">
        <v>0</v>
      </c>
      <c r="M146" s="741">
        <v>0</v>
      </c>
      <c r="N146" s="67">
        <v>0</v>
      </c>
      <c r="O146" s="67">
        <v>0</v>
      </c>
      <c r="Q146" s="674">
        <v>0</v>
      </c>
      <c r="R146" s="674">
        <v>0</v>
      </c>
      <c r="S146" s="798">
        <v>0</v>
      </c>
      <c r="T146" s="798">
        <v>0</v>
      </c>
      <c r="U146" s="88">
        <v>0</v>
      </c>
      <c r="V146" s="71">
        <v>0</v>
      </c>
      <c r="W146" s="449"/>
      <c r="X146" s="67">
        <v>0</v>
      </c>
      <c r="Y146" s="163">
        <v>0</v>
      </c>
      <c r="Z146" s="166">
        <v>0</v>
      </c>
      <c r="AA146" s="61"/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14</v>
      </c>
      <c r="E147" s="67">
        <v>1941</v>
      </c>
      <c r="F147" s="146">
        <v>0</v>
      </c>
      <c r="G147" s="146">
        <v>0</v>
      </c>
      <c r="H147" s="91">
        <v>1941</v>
      </c>
      <c r="I147" s="67">
        <v>0</v>
      </c>
      <c r="J147" s="739">
        <v>1941</v>
      </c>
      <c r="K147" s="132" t="s">
        <v>723</v>
      </c>
      <c r="L147" s="740">
        <v>1941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98">
        <v>0</v>
      </c>
      <c r="T147" s="798">
        <v>0</v>
      </c>
      <c r="U147" s="88">
        <v>0</v>
      </c>
      <c r="V147" s="71">
        <v>0</v>
      </c>
      <c r="W147" s="449"/>
      <c r="X147" s="67">
        <v>2431</v>
      </c>
      <c r="Y147" s="163">
        <v>-2431</v>
      </c>
      <c r="Z147" s="166">
        <v>-1</v>
      </c>
      <c r="AA147" s="61"/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29.22</v>
      </c>
      <c r="E148" s="67">
        <v>4051</v>
      </c>
      <c r="F148" s="146">
        <v>0</v>
      </c>
      <c r="G148" s="146">
        <v>0</v>
      </c>
      <c r="H148" s="91">
        <v>4051</v>
      </c>
      <c r="I148" s="67">
        <v>0</v>
      </c>
      <c r="J148" s="739">
        <v>4051</v>
      </c>
      <c r="K148" s="132" t="s">
        <v>1306</v>
      </c>
      <c r="L148" s="740">
        <v>0</v>
      </c>
      <c r="M148" s="741">
        <v>29.22</v>
      </c>
      <c r="N148" s="67">
        <v>64</v>
      </c>
      <c r="O148" s="67">
        <v>4115</v>
      </c>
      <c r="Q148" s="674">
        <v>0</v>
      </c>
      <c r="R148" s="674">
        <v>0</v>
      </c>
      <c r="S148" s="798">
        <v>0</v>
      </c>
      <c r="T148" s="798">
        <v>0</v>
      </c>
      <c r="U148" s="88">
        <v>4115</v>
      </c>
      <c r="V148" s="71">
        <v>140.82819986310747</v>
      </c>
      <c r="W148" s="449"/>
      <c r="X148" s="67">
        <v>3872</v>
      </c>
      <c r="Y148" s="163">
        <v>243</v>
      </c>
      <c r="Z148" s="166">
        <v>6.2758264462809923E-2</v>
      </c>
      <c r="AA148" s="61"/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132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>
        <v>0</v>
      </c>
      <c r="S149" s="798">
        <v>0</v>
      </c>
      <c r="T149" s="798">
        <v>0</v>
      </c>
      <c r="U149" s="88">
        <v>0</v>
      </c>
      <c r="V149" s="71">
        <v>0</v>
      </c>
      <c r="W149" s="449"/>
      <c r="X149" s="67">
        <v>0</v>
      </c>
      <c r="Y149" s="163">
        <v>0</v>
      </c>
      <c r="Z149" s="166">
        <v>0</v>
      </c>
      <c r="AA149" s="61"/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107.78</v>
      </c>
      <c r="E150" s="67">
        <v>14943</v>
      </c>
      <c r="F150" s="146">
        <v>0</v>
      </c>
      <c r="G150" s="146">
        <v>0</v>
      </c>
      <c r="H150" s="91">
        <v>14943</v>
      </c>
      <c r="I150" s="67">
        <v>0</v>
      </c>
      <c r="J150" s="739">
        <v>14943</v>
      </c>
      <c r="K150" s="132" t="s">
        <v>621</v>
      </c>
      <c r="L150" s="740">
        <v>0</v>
      </c>
      <c r="M150" s="741">
        <v>107.78</v>
      </c>
      <c r="N150" s="67">
        <v>236</v>
      </c>
      <c r="O150" s="67">
        <v>15179</v>
      </c>
      <c r="Q150" s="674">
        <v>0</v>
      </c>
      <c r="R150" s="674">
        <v>0</v>
      </c>
      <c r="S150" s="798" t="s">
        <v>1674</v>
      </c>
      <c r="T150" s="798">
        <v>0</v>
      </c>
      <c r="U150" s="88">
        <v>15179</v>
      </c>
      <c r="V150" s="71">
        <v>140.83317869734645</v>
      </c>
      <c r="W150" s="449"/>
      <c r="X150" s="67">
        <v>15577</v>
      </c>
      <c r="Y150" s="163">
        <v>-398</v>
      </c>
      <c r="Z150" s="166">
        <v>-2.5550491108685881E-2</v>
      </c>
      <c r="AA150" s="61"/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98">
        <v>0</v>
      </c>
      <c r="T151" s="798">
        <v>0</v>
      </c>
      <c r="U151" s="88">
        <v>0</v>
      </c>
      <c r="V151" s="71">
        <v>0</v>
      </c>
      <c r="W151" s="449"/>
      <c r="X151" s="67">
        <v>0</v>
      </c>
      <c r="Y151" s="163">
        <v>0</v>
      </c>
      <c r="Z151" s="166">
        <v>0</v>
      </c>
      <c r="AA151" s="61"/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349.11</v>
      </c>
      <c r="E152" s="67">
        <v>48400</v>
      </c>
      <c r="F152" s="146">
        <v>0</v>
      </c>
      <c r="G152" s="146">
        <v>0</v>
      </c>
      <c r="H152" s="91">
        <v>48400</v>
      </c>
      <c r="I152" s="67">
        <v>0</v>
      </c>
      <c r="J152" s="739">
        <v>48400</v>
      </c>
      <c r="K152" s="132" t="s">
        <v>621</v>
      </c>
      <c r="L152" s="740">
        <v>0</v>
      </c>
      <c r="M152" s="741">
        <v>349.11</v>
      </c>
      <c r="N152" s="67">
        <v>763</v>
      </c>
      <c r="O152" s="67">
        <v>49163</v>
      </c>
      <c r="Q152" s="674">
        <v>0</v>
      </c>
      <c r="R152" s="674">
        <v>0</v>
      </c>
      <c r="S152" s="798" t="s">
        <v>1674</v>
      </c>
      <c r="T152" s="798">
        <v>0</v>
      </c>
      <c r="U152" s="88">
        <v>49163</v>
      </c>
      <c r="V152" s="71">
        <v>140.82380911460569</v>
      </c>
      <c r="W152" s="449"/>
      <c r="X152" s="67">
        <v>47504</v>
      </c>
      <c r="Y152" s="163">
        <v>1659</v>
      </c>
      <c r="Z152" s="166">
        <v>3.4923374873694846E-2</v>
      </c>
      <c r="AA152" s="61"/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132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>
        <v>0</v>
      </c>
      <c r="S153" s="798">
        <v>0</v>
      </c>
      <c r="T153" s="798">
        <v>0</v>
      </c>
      <c r="U153" s="88">
        <v>0</v>
      </c>
      <c r="V153" s="71">
        <v>0</v>
      </c>
      <c r="W153" s="449"/>
      <c r="X153" s="67">
        <v>0</v>
      </c>
      <c r="Y153" s="163">
        <v>0</v>
      </c>
      <c r="Z153" s="166">
        <v>0</v>
      </c>
      <c r="AA153" s="61"/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21.67</v>
      </c>
      <c r="E154" s="67">
        <v>3004</v>
      </c>
      <c r="F154" s="146">
        <v>0</v>
      </c>
      <c r="G154" s="146">
        <v>0</v>
      </c>
      <c r="H154" s="91">
        <v>3004</v>
      </c>
      <c r="I154" s="67">
        <v>0</v>
      </c>
      <c r="J154" s="739">
        <v>3004</v>
      </c>
      <c r="K154" s="132" t="s">
        <v>644</v>
      </c>
      <c r="L154" s="740">
        <v>3004</v>
      </c>
      <c r="M154" s="741">
        <v>0</v>
      </c>
      <c r="N154" s="67">
        <v>0</v>
      </c>
      <c r="O154" s="67">
        <v>0</v>
      </c>
      <c r="Q154" s="674">
        <v>0</v>
      </c>
      <c r="R154" s="674">
        <v>0</v>
      </c>
      <c r="S154" s="798">
        <v>0</v>
      </c>
      <c r="T154" s="798">
        <v>0</v>
      </c>
      <c r="U154" s="88">
        <v>0</v>
      </c>
      <c r="V154" s="71">
        <v>0</v>
      </c>
      <c r="W154" s="449"/>
      <c r="X154" s="67">
        <v>3916</v>
      </c>
      <c r="Y154" s="163">
        <v>-3916</v>
      </c>
      <c r="Z154" s="166">
        <v>-1</v>
      </c>
      <c r="AA154" s="61"/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132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>
        <v>0</v>
      </c>
      <c r="S155" s="798">
        <v>0</v>
      </c>
      <c r="T155" s="798">
        <v>0</v>
      </c>
      <c r="U155" s="88">
        <v>0</v>
      </c>
      <c r="V155" s="71">
        <v>0</v>
      </c>
      <c r="W155" s="449"/>
      <c r="X155" s="67">
        <v>0</v>
      </c>
      <c r="Y155" s="163">
        <v>0</v>
      </c>
      <c r="Z155" s="166">
        <v>0</v>
      </c>
      <c r="AA155" s="61"/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98">
        <v>0</v>
      </c>
      <c r="T156" s="798">
        <v>0</v>
      </c>
      <c r="U156" s="88">
        <v>0</v>
      </c>
      <c r="V156" s="71">
        <v>0</v>
      </c>
      <c r="W156" s="449"/>
      <c r="X156" s="67">
        <v>0</v>
      </c>
      <c r="Y156" s="163">
        <v>0</v>
      </c>
      <c r="Z156" s="166">
        <v>0</v>
      </c>
      <c r="AA156" s="61"/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132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>
        <v>0</v>
      </c>
      <c r="S157" s="798">
        <v>0</v>
      </c>
      <c r="T157" s="798">
        <v>0</v>
      </c>
      <c r="U157" s="88">
        <v>0</v>
      </c>
      <c r="V157" s="71">
        <v>0</v>
      </c>
      <c r="W157" s="449"/>
      <c r="X157" s="67">
        <v>0</v>
      </c>
      <c r="Y157" s="163">
        <v>0</v>
      </c>
      <c r="Z157" s="166">
        <v>0</v>
      </c>
      <c r="AA157" s="61"/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132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>
        <v>0</v>
      </c>
      <c r="S158" s="798">
        <v>0</v>
      </c>
      <c r="T158" s="798">
        <v>0</v>
      </c>
      <c r="U158" s="88">
        <v>0</v>
      </c>
      <c r="V158" s="71">
        <v>0</v>
      </c>
      <c r="W158" s="449"/>
      <c r="X158" s="67">
        <v>0</v>
      </c>
      <c r="Y158" s="163">
        <v>0</v>
      </c>
      <c r="Z158" s="166">
        <v>0</v>
      </c>
      <c r="AA158" s="61"/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132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>
        <v>0</v>
      </c>
      <c r="S159" s="798">
        <v>0</v>
      </c>
      <c r="T159" s="798">
        <v>0</v>
      </c>
      <c r="U159" s="88">
        <v>0</v>
      </c>
      <c r="V159" s="71">
        <v>0</v>
      </c>
      <c r="W159" s="449"/>
      <c r="X159" s="67">
        <v>0</v>
      </c>
      <c r="Y159" s="163">
        <v>0</v>
      </c>
      <c r="Z159" s="166">
        <v>0</v>
      </c>
      <c r="AA159" s="61"/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132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98">
        <v>0</v>
      </c>
      <c r="T160" s="798">
        <v>0</v>
      </c>
      <c r="U160" s="88">
        <v>0</v>
      </c>
      <c r="V160" s="71">
        <v>0</v>
      </c>
      <c r="W160" s="449"/>
      <c r="X160" s="67">
        <v>0</v>
      </c>
      <c r="Y160" s="163">
        <v>0</v>
      </c>
      <c r="Z160" s="166">
        <v>0</v>
      </c>
      <c r="AA160" s="61"/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2</v>
      </c>
      <c r="E161" s="67">
        <v>277</v>
      </c>
      <c r="F161" s="146">
        <v>0</v>
      </c>
      <c r="G161" s="146">
        <v>0</v>
      </c>
      <c r="H161" s="91">
        <v>277</v>
      </c>
      <c r="I161" s="67">
        <v>0</v>
      </c>
      <c r="J161" s="739">
        <v>277</v>
      </c>
      <c r="K161" s="132" t="s">
        <v>644</v>
      </c>
      <c r="L161" s="740">
        <v>277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98">
        <v>0</v>
      </c>
      <c r="T161" s="798">
        <v>0</v>
      </c>
      <c r="U161" s="88">
        <v>0</v>
      </c>
      <c r="V161" s="71">
        <v>0</v>
      </c>
      <c r="W161" s="449"/>
      <c r="X161" s="67">
        <v>345</v>
      </c>
      <c r="Y161" s="163">
        <v>-345</v>
      </c>
      <c r="Z161" s="166">
        <v>-1</v>
      </c>
      <c r="AA161" s="61"/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132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>
        <v>0</v>
      </c>
      <c r="S162" s="798">
        <v>0</v>
      </c>
      <c r="T162" s="798">
        <v>0</v>
      </c>
      <c r="U162" s="88">
        <v>0</v>
      </c>
      <c r="V162" s="71">
        <v>0</v>
      </c>
      <c r="W162" s="449"/>
      <c r="X162" s="67">
        <v>0</v>
      </c>
      <c r="Y162" s="163">
        <v>0</v>
      </c>
      <c r="Z162" s="166">
        <v>0</v>
      </c>
      <c r="AA162" s="61"/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457</v>
      </c>
      <c r="E163" s="67">
        <v>63358</v>
      </c>
      <c r="F163" s="146">
        <v>0</v>
      </c>
      <c r="G163" s="146">
        <v>0</v>
      </c>
      <c r="H163" s="91">
        <v>63358</v>
      </c>
      <c r="I163" s="67">
        <v>0</v>
      </c>
      <c r="J163" s="739">
        <v>63358</v>
      </c>
      <c r="K163" s="132" t="s">
        <v>621</v>
      </c>
      <c r="L163" s="740">
        <v>0</v>
      </c>
      <c r="M163" s="741">
        <v>457</v>
      </c>
      <c r="N163" s="67">
        <v>999</v>
      </c>
      <c r="O163" s="67">
        <v>64357</v>
      </c>
      <c r="Q163" s="674">
        <v>0</v>
      </c>
      <c r="R163" s="674">
        <v>0</v>
      </c>
      <c r="S163" s="798" t="s">
        <v>1674</v>
      </c>
      <c r="T163" s="798">
        <v>0</v>
      </c>
      <c r="U163" s="88">
        <v>64357</v>
      </c>
      <c r="V163" s="71">
        <v>140.8249452954048</v>
      </c>
      <c r="W163" s="449"/>
      <c r="X163" s="67">
        <v>58734</v>
      </c>
      <c r="Y163" s="163">
        <v>5623</v>
      </c>
      <c r="Z163" s="166">
        <v>9.5736711274559877E-2</v>
      </c>
      <c r="AA163" s="61"/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98">
        <v>0</v>
      </c>
      <c r="T164" s="798">
        <v>0</v>
      </c>
      <c r="U164" s="88">
        <v>0</v>
      </c>
      <c r="V164" s="71">
        <v>0</v>
      </c>
      <c r="W164" s="449"/>
      <c r="X164" s="67">
        <v>0</v>
      </c>
      <c r="Y164" s="163">
        <v>0</v>
      </c>
      <c r="Z164" s="166">
        <v>0</v>
      </c>
      <c r="AA164" s="61"/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0</v>
      </c>
      <c r="E165" s="67">
        <v>0</v>
      </c>
      <c r="F165" s="146">
        <v>0</v>
      </c>
      <c r="G165" s="146">
        <v>0</v>
      </c>
      <c r="H165" s="91">
        <v>0</v>
      </c>
      <c r="I165" s="67">
        <v>0</v>
      </c>
      <c r="J165" s="739">
        <v>0</v>
      </c>
      <c r="K165" s="132" t="s">
        <v>644</v>
      </c>
      <c r="L165" s="740">
        <v>0</v>
      </c>
      <c r="M165" s="741">
        <v>0</v>
      </c>
      <c r="N165" s="67">
        <v>0</v>
      </c>
      <c r="O165" s="67">
        <v>0</v>
      </c>
      <c r="Q165" s="674">
        <v>0</v>
      </c>
      <c r="R165" s="674">
        <v>0</v>
      </c>
      <c r="S165" s="798">
        <v>0</v>
      </c>
      <c r="T165" s="798">
        <v>0</v>
      </c>
      <c r="U165" s="88">
        <v>0</v>
      </c>
      <c r="V165" s="71">
        <v>0</v>
      </c>
      <c r="W165" s="449"/>
      <c r="X165" s="67">
        <v>0</v>
      </c>
      <c r="Y165" s="163">
        <v>0</v>
      </c>
      <c r="Z165" s="166">
        <v>0</v>
      </c>
      <c r="AA165" s="61"/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187.67</v>
      </c>
      <c r="E166" s="67">
        <v>26018</v>
      </c>
      <c r="F166" s="146">
        <v>0</v>
      </c>
      <c r="G166" s="146">
        <v>0</v>
      </c>
      <c r="H166" s="91">
        <v>26018</v>
      </c>
      <c r="I166" s="67">
        <v>0</v>
      </c>
      <c r="J166" s="739">
        <v>26018</v>
      </c>
      <c r="K166" s="132" t="s">
        <v>621</v>
      </c>
      <c r="L166" s="740">
        <v>0</v>
      </c>
      <c r="M166" s="741">
        <v>187.67</v>
      </c>
      <c r="N166" s="67">
        <v>410</v>
      </c>
      <c r="O166" s="67">
        <v>26428</v>
      </c>
      <c r="Q166" s="674">
        <v>0</v>
      </c>
      <c r="R166" s="674">
        <v>0</v>
      </c>
      <c r="S166" s="798" t="s">
        <v>1674</v>
      </c>
      <c r="T166" s="798">
        <v>0</v>
      </c>
      <c r="U166" s="88">
        <v>26428</v>
      </c>
      <c r="V166" s="71">
        <v>140.82165503277031</v>
      </c>
      <c r="W166" s="449"/>
      <c r="X166" s="67">
        <v>21235</v>
      </c>
      <c r="Y166" s="163">
        <v>5193</v>
      </c>
      <c r="Z166" s="166">
        <v>0.244549093477749</v>
      </c>
      <c r="AA166" s="61"/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5.1100000000000003</v>
      </c>
      <c r="E167" s="67">
        <v>708</v>
      </c>
      <c r="F167" s="146">
        <v>0</v>
      </c>
      <c r="G167" s="146">
        <v>0</v>
      </c>
      <c r="H167" s="91">
        <v>708</v>
      </c>
      <c r="I167" s="67">
        <v>0</v>
      </c>
      <c r="J167" s="739">
        <v>708</v>
      </c>
      <c r="K167" s="132" t="s">
        <v>644</v>
      </c>
      <c r="L167" s="740">
        <v>708</v>
      </c>
      <c r="M167" s="741">
        <v>0</v>
      </c>
      <c r="N167" s="67">
        <v>0</v>
      </c>
      <c r="O167" s="67">
        <v>0</v>
      </c>
      <c r="Q167" s="674">
        <v>0</v>
      </c>
      <c r="R167" s="674">
        <v>0</v>
      </c>
      <c r="S167" s="798">
        <v>0</v>
      </c>
      <c r="T167" s="798">
        <v>0</v>
      </c>
      <c r="U167" s="88">
        <v>0</v>
      </c>
      <c r="V167" s="71">
        <v>0</v>
      </c>
      <c r="W167" s="449"/>
      <c r="X167" s="67">
        <v>0</v>
      </c>
      <c r="Y167" s="163">
        <v>0</v>
      </c>
      <c r="Z167" s="166">
        <v>0</v>
      </c>
      <c r="AA167" s="61"/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69</v>
      </c>
      <c r="E168" s="67">
        <v>9566</v>
      </c>
      <c r="F168" s="146">
        <v>0</v>
      </c>
      <c r="G168" s="146">
        <v>0</v>
      </c>
      <c r="H168" s="91">
        <v>9566</v>
      </c>
      <c r="I168" s="67">
        <v>0</v>
      </c>
      <c r="J168" s="739">
        <v>9566</v>
      </c>
      <c r="K168" s="132" t="s">
        <v>1306</v>
      </c>
      <c r="L168" s="740">
        <v>0</v>
      </c>
      <c r="M168" s="741">
        <v>69</v>
      </c>
      <c r="N168" s="67">
        <v>151</v>
      </c>
      <c r="O168" s="67">
        <v>9718</v>
      </c>
      <c r="Q168" s="674">
        <v>0</v>
      </c>
      <c r="R168" s="674">
        <v>0</v>
      </c>
      <c r="S168" s="798" t="s">
        <v>1674</v>
      </c>
      <c r="T168" s="798">
        <v>0</v>
      </c>
      <c r="U168" s="88">
        <v>9718</v>
      </c>
      <c r="V168" s="71">
        <v>140.84057971014494</v>
      </c>
      <c r="W168" s="449"/>
      <c r="X168" s="67">
        <v>12048</v>
      </c>
      <c r="Y168" s="163">
        <v>-2330</v>
      </c>
      <c r="Z168" s="166">
        <v>-0.19339309428950863</v>
      </c>
      <c r="AA168" s="61"/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145.78</v>
      </c>
      <c r="E169" s="67">
        <v>20211</v>
      </c>
      <c r="F169" s="146">
        <v>0</v>
      </c>
      <c r="G169" s="146">
        <v>0</v>
      </c>
      <c r="H169" s="91">
        <v>20211</v>
      </c>
      <c r="I169" s="67">
        <v>0</v>
      </c>
      <c r="J169" s="739">
        <v>20211</v>
      </c>
      <c r="K169" s="132" t="s">
        <v>621</v>
      </c>
      <c r="L169" s="740">
        <v>0</v>
      </c>
      <c r="M169" s="741">
        <v>145.78</v>
      </c>
      <c r="N169" s="67">
        <v>319</v>
      </c>
      <c r="O169" s="67">
        <v>20530</v>
      </c>
      <c r="Q169" s="674">
        <v>0</v>
      </c>
      <c r="R169" s="674">
        <v>1041.9582099426623</v>
      </c>
      <c r="S169" s="798" t="s">
        <v>725</v>
      </c>
      <c r="T169" s="798">
        <v>145.78</v>
      </c>
      <c r="U169" s="88">
        <v>21571.958209942663</v>
      </c>
      <c r="V169" s="71">
        <v>140.82864590478803</v>
      </c>
      <c r="W169" s="449"/>
      <c r="X169" s="67">
        <v>16007</v>
      </c>
      <c r="Y169" s="163">
        <v>4523</v>
      </c>
      <c r="Z169" s="166">
        <v>0.28256387830324231</v>
      </c>
      <c r="AA169" s="61"/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84.67</v>
      </c>
      <c r="E170" s="67">
        <v>11739</v>
      </c>
      <c r="F170" s="146">
        <v>0</v>
      </c>
      <c r="G170" s="146">
        <v>0</v>
      </c>
      <c r="H170" s="91">
        <v>11739</v>
      </c>
      <c r="I170" s="67">
        <v>0</v>
      </c>
      <c r="J170" s="739">
        <v>11739</v>
      </c>
      <c r="K170" s="132" t="s">
        <v>621</v>
      </c>
      <c r="L170" s="740">
        <v>0</v>
      </c>
      <c r="M170" s="741">
        <v>84.67</v>
      </c>
      <c r="N170" s="67">
        <v>185</v>
      </c>
      <c r="O170" s="67">
        <v>11924</v>
      </c>
      <c r="Q170" s="674">
        <v>0</v>
      </c>
      <c r="R170" s="674">
        <v>0</v>
      </c>
      <c r="S170" s="798" t="s">
        <v>1674</v>
      </c>
      <c r="T170" s="798">
        <v>0</v>
      </c>
      <c r="U170" s="88">
        <v>11924</v>
      </c>
      <c r="V170" s="71">
        <v>140.82910121648754</v>
      </c>
      <c r="W170" s="449"/>
      <c r="X170" s="67">
        <v>14242</v>
      </c>
      <c r="Y170" s="163">
        <v>-2318</v>
      </c>
      <c r="Z170" s="166">
        <v>-0.1627580396011796</v>
      </c>
      <c r="AA170" s="61"/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462.67</v>
      </c>
      <c r="E171" s="67">
        <v>64144</v>
      </c>
      <c r="F171" s="146">
        <v>0</v>
      </c>
      <c r="G171" s="146">
        <v>0</v>
      </c>
      <c r="H171" s="91">
        <v>64144</v>
      </c>
      <c r="I171" s="67">
        <v>0</v>
      </c>
      <c r="J171" s="739">
        <v>64144</v>
      </c>
      <c r="K171" s="132" t="s">
        <v>621</v>
      </c>
      <c r="L171" s="740">
        <v>0</v>
      </c>
      <c r="M171" s="741">
        <v>462.67</v>
      </c>
      <c r="N171" s="67">
        <v>1012</v>
      </c>
      <c r="O171" s="67">
        <v>65156</v>
      </c>
      <c r="Q171" s="674">
        <v>0</v>
      </c>
      <c r="R171" s="674">
        <v>0</v>
      </c>
      <c r="S171" s="798" t="s">
        <v>1674</v>
      </c>
      <c r="T171" s="798">
        <v>0</v>
      </c>
      <c r="U171" s="88">
        <v>65156</v>
      </c>
      <c r="V171" s="71">
        <v>140.82607474009552</v>
      </c>
      <c r="W171" s="449"/>
      <c r="X171" s="67">
        <v>67297</v>
      </c>
      <c r="Y171" s="163">
        <v>-2141</v>
      </c>
      <c r="Z171" s="166">
        <v>-3.1814196769543959E-2</v>
      </c>
      <c r="AA171" s="61"/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37.22</v>
      </c>
      <c r="E172" s="67">
        <v>5160</v>
      </c>
      <c r="F172" s="146">
        <v>0</v>
      </c>
      <c r="G172" s="146">
        <v>0</v>
      </c>
      <c r="H172" s="91">
        <v>5160</v>
      </c>
      <c r="I172" s="67">
        <v>0</v>
      </c>
      <c r="J172" s="739">
        <v>5160</v>
      </c>
      <c r="K172" s="132" t="s">
        <v>723</v>
      </c>
      <c r="L172" s="740">
        <v>5160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98">
        <v>0</v>
      </c>
      <c r="T172" s="798">
        <v>0</v>
      </c>
      <c r="U172" s="88">
        <v>0</v>
      </c>
      <c r="V172" s="71">
        <v>0</v>
      </c>
      <c r="W172" s="449"/>
      <c r="X172" s="67">
        <v>5099</v>
      </c>
      <c r="Y172" s="163">
        <v>-5099</v>
      </c>
      <c r="Z172" s="166">
        <v>-1</v>
      </c>
      <c r="AA172" s="61"/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6.78</v>
      </c>
      <c r="E173" s="67">
        <v>940</v>
      </c>
      <c r="F173" s="146">
        <v>0</v>
      </c>
      <c r="G173" s="146">
        <v>0</v>
      </c>
      <c r="H173" s="91">
        <v>940</v>
      </c>
      <c r="I173" s="67">
        <v>0</v>
      </c>
      <c r="J173" s="739">
        <v>940</v>
      </c>
      <c r="K173" s="132" t="s">
        <v>644</v>
      </c>
      <c r="L173" s="740">
        <v>940</v>
      </c>
      <c r="M173" s="741">
        <v>0</v>
      </c>
      <c r="N173" s="67">
        <v>0</v>
      </c>
      <c r="O173" s="67">
        <v>0</v>
      </c>
      <c r="Q173" s="674">
        <v>0</v>
      </c>
      <c r="R173" s="674">
        <v>0</v>
      </c>
      <c r="S173" s="798">
        <v>0</v>
      </c>
      <c r="T173" s="798">
        <v>0</v>
      </c>
      <c r="U173" s="88">
        <v>0</v>
      </c>
      <c r="V173" s="71">
        <v>0</v>
      </c>
      <c r="W173" s="449"/>
      <c r="X173" s="67">
        <v>797</v>
      </c>
      <c r="Y173" s="163">
        <v>-797</v>
      </c>
      <c r="Z173" s="166">
        <v>-1</v>
      </c>
      <c r="AA173" s="61"/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189.44</v>
      </c>
      <c r="E174" s="67">
        <v>26264</v>
      </c>
      <c r="F174" s="146">
        <v>0</v>
      </c>
      <c r="G174" s="146">
        <v>0</v>
      </c>
      <c r="H174" s="91">
        <v>26264</v>
      </c>
      <c r="I174" s="67">
        <v>0</v>
      </c>
      <c r="J174" s="739">
        <v>26264</v>
      </c>
      <c r="K174" s="132" t="s">
        <v>621</v>
      </c>
      <c r="L174" s="740">
        <v>0</v>
      </c>
      <c r="M174" s="741">
        <v>189.44</v>
      </c>
      <c r="N174" s="67">
        <v>414</v>
      </c>
      <c r="O174" s="67">
        <v>26678</v>
      </c>
      <c r="Q174" s="674">
        <v>0</v>
      </c>
      <c r="R174" s="674">
        <v>1354.0167601285359</v>
      </c>
      <c r="S174" s="798" t="s">
        <v>725</v>
      </c>
      <c r="T174" s="798">
        <v>189.44</v>
      </c>
      <c r="U174" s="88">
        <v>28032.016760128536</v>
      </c>
      <c r="V174" s="71">
        <v>140.82559121621622</v>
      </c>
      <c r="W174" s="449"/>
      <c r="X174" s="67">
        <v>26161</v>
      </c>
      <c r="Y174" s="163">
        <v>517</v>
      </c>
      <c r="Z174" s="166">
        <v>1.9762241504529644E-2</v>
      </c>
      <c r="AA174" s="61"/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89.44</v>
      </c>
      <c r="E175" s="67">
        <v>12400</v>
      </c>
      <c r="F175" s="146">
        <v>0</v>
      </c>
      <c r="G175" s="146">
        <v>0</v>
      </c>
      <c r="H175" s="91">
        <v>12400</v>
      </c>
      <c r="I175" s="67">
        <v>0</v>
      </c>
      <c r="J175" s="739">
        <v>12400</v>
      </c>
      <c r="K175" s="132" t="s">
        <v>621</v>
      </c>
      <c r="L175" s="740">
        <v>0</v>
      </c>
      <c r="M175" s="741">
        <v>89.44</v>
      </c>
      <c r="N175" s="67">
        <v>196</v>
      </c>
      <c r="O175" s="67">
        <v>12596</v>
      </c>
      <c r="Q175" s="674">
        <v>0</v>
      </c>
      <c r="R175" s="674">
        <v>639.2697372566314</v>
      </c>
      <c r="S175" s="798" t="s">
        <v>725</v>
      </c>
      <c r="T175" s="798">
        <v>89.44</v>
      </c>
      <c r="U175" s="88">
        <v>13235.269737256631</v>
      </c>
      <c r="V175" s="71">
        <v>140.83184257602863</v>
      </c>
      <c r="W175" s="449"/>
      <c r="X175" s="67">
        <v>13748</v>
      </c>
      <c r="Y175" s="163">
        <v>-1152</v>
      </c>
      <c r="Z175" s="166">
        <v>-8.3794006400931043E-2</v>
      </c>
      <c r="AA175" s="61"/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64.44</v>
      </c>
      <c r="E176" s="67">
        <v>8934</v>
      </c>
      <c r="F176" s="146">
        <v>0</v>
      </c>
      <c r="G176" s="146">
        <v>0</v>
      </c>
      <c r="H176" s="91">
        <v>8934</v>
      </c>
      <c r="I176" s="67">
        <v>0</v>
      </c>
      <c r="J176" s="739">
        <v>8934</v>
      </c>
      <c r="K176" s="132" t="s">
        <v>1306</v>
      </c>
      <c r="L176" s="740">
        <v>0</v>
      </c>
      <c r="M176" s="741">
        <v>64.44</v>
      </c>
      <c r="N176" s="67">
        <v>141</v>
      </c>
      <c r="O176" s="67">
        <v>9075</v>
      </c>
      <c r="Q176" s="674">
        <v>0</v>
      </c>
      <c r="R176" s="674">
        <v>460.58298153865525</v>
      </c>
      <c r="S176" s="798" t="s">
        <v>725</v>
      </c>
      <c r="T176" s="798">
        <v>64.44</v>
      </c>
      <c r="U176" s="88">
        <v>9535.5829815386551</v>
      </c>
      <c r="V176" s="71">
        <v>140.82867783985103</v>
      </c>
      <c r="W176" s="449"/>
      <c r="X176" s="67">
        <v>9036</v>
      </c>
      <c r="Y176" s="163">
        <v>39</v>
      </c>
      <c r="Z176" s="166">
        <v>4.3160690571049133E-3</v>
      </c>
      <c r="AA176" s="61"/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63.44</v>
      </c>
      <c r="E177" s="67">
        <v>8795</v>
      </c>
      <c r="F177" s="146">
        <v>0</v>
      </c>
      <c r="G177" s="146">
        <v>0</v>
      </c>
      <c r="H177" s="91">
        <v>8795</v>
      </c>
      <c r="I177" s="67">
        <v>0</v>
      </c>
      <c r="J177" s="739">
        <v>8795</v>
      </c>
      <c r="K177" s="132" t="s">
        <v>1306</v>
      </c>
      <c r="L177" s="740">
        <v>0</v>
      </c>
      <c r="M177" s="741">
        <v>63.44</v>
      </c>
      <c r="N177" s="67">
        <v>139</v>
      </c>
      <c r="O177" s="67">
        <v>8934</v>
      </c>
      <c r="Q177" s="674">
        <v>0</v>
      </c>
      <c r="R177" s="674">
        <v>0</v>
      </c>
      <c r="S177" s="798">
        <v>0</v>
      </c>
      <c r="T177" s="798">
        <v>0</v>
      </c>
      <c r="U177" s="88">
        <v>8934</v>
      </c>
      <c r="V177" s="71">
        <v>140.82597730138716</v>
      </c>
      <c r="W177" s="449"/>
      <c r="X177" s="67">
        <v>10563</v>
      </c>
      <c r="Y177" s="163">
        <v>-1629</v>
      </c>
      <c r="Z177" s="166">
        <v>-0.15421755183186595</v>
      </c>
      <c r="AA177" s="61"/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94.33</v>
      </c>
      <c r="E178" s="67">
        <v>13078</v>
      </c>
      <c r="F178" s="146">
        <v>0</v>
      </c>
      <c r="G178" s="146">
        <v>0</v>
      </c>
      <c r="H178" s="91">
        <v>13078</v>
      </c>
      <c r="I178" s="67">
        <v>0</v>
      </c>
      <c r="J178" s="739">
        <v>13078</v>
      </c>
      <c r="K178" s="132" t="s">
        <v>621</v>
      </c>
      <c r="L178" s="740">
        <v>0</v>
      </c>
      <c r="M178" s="741">
        <v>94.33</v>
      </c>
      <c r="N178" s="67">
        <v>206</v>
      </c>
      <c r="O178" s="67">
        <v>13284</v>
      </c>
      <c r="Q178" s="674">
        <v>0</v>
      </c>
      <c r="R178" s="674">
        <v>674.22086667506744</v>
      </c>
      <c r="S178" s="798" t="s">
        <v>725</v>
      </c>
      <c r="T178" s="798">
        <v>94.33</v>
      </c>
      <c r="U178" s="88">
        <v>13958.220866675067</v>
      </c>
      <c r="V178" s="71">
        <v>140.82476412594085</v>
      </c>
      <c r="W178" s="449"/>
      <c r="X178" s="67">
        <v>13360</v>
      </c>
      <c r="Y178" s="163">
        <v>-76</v>
      </c>
      <c r="Z178" s="166">
        <v>-5.6886227544910182E-3</v>
      </c>
      <c r="AA178" s="61"/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8.33</v>
      </c>
      <c r="E179" s="67">
        <v>1155</v>
      </c>
      <c r="F179" s="146">
        <v>0</v>
      </c>
      <c r="G179" s="146">
        <v>0</v>
      </c>
      <c r="H179" s="91">
        <v>1155</v>
      </c>
      <c r="I179" s="67">
        <v>0</v>
      </c>
      <c r="J179" s="739">
        <v>1155</v>
      </c>
      <c r="K179" s="132" t="s">
        <v>644</v>
      </c>
      <c r="L179" s="740">
        <v>1155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98">
        <v>0</v>
      </c>
      <c r="T179" s="798">
        <v>0</v>
      </c>
      <c r="U179" s="88">
        <v>0</v>
      </c>
      <c r="V179" s="71">
        <v>0</v>
      </c>
      <c r="W179" s="449"/>
      <c r="X179" s="67">
        <v>1657</v>
      </c>
      <c r="Y179" s="163">
        <v>-1657</v>
      </c>
      <c r="Z179" s="166">
        <v>-1</v>
      </c>
      <c r="AA179" s="61"/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4.67</v>
      </c>
      <c r="E180" s="67">
        <v>647</v>
      </c>
      <c r="F180" s="146">
        <v>0</v>
      </c>
      <c r="G180" s="146">
        <v>0</v>
      </c>
      <c r="H180" s="91">
        <v>647</v>
      </c>
      <c r="I180" s="67">
        <v>0</v>
      </c>
      <c r="J180" s="739">
        <v>647</v>
      </c>
      <c r="K180" s="132" t="s">
        <v>644</v>
      </c>
      <c r="L180" s="740">
        <v>647</v>
      </c>
      <c r="M180" s="741">
        <v>0</v>
      </c>
      <c r="N180" s="67">
        <v>0</v>
      </c>
      <c r="O180" s="67">
        <v>0</v>
      </c>
      <c r="Q180" s="674">
        <v>0</v>
      </c>
      <c r="R180" s="674">
        <v>0</v>
      </c>
      <c r="S180" s="798">
        <v>0</v>
      </c>
      <c r="T180" s="798">
        <v>0</v>
      </c>
      <c r="U180" s="88">
        <v>0</v>
      </c>
      <c r="V180" s="71">
        <v>0</v>
      </c>
      <c r="W180" s="449"/>
      <c r="X180" s="67">
        <v>1033</v>
      </c>
      <c r="Y180" s="163">
        <v>-1033</v>
      </c>
      <c r="Z180" s="166">
        <v>-1</v>
      </c>
      <c r="AA180" s="61"/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132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>
        <v>0</v>
      </c>
      <c r="S181" s="798">
        <v>0</v>
      </c>
      <c r="T181" s="798">
        <v>0</v>
      </c>
      <c r="U181" s="88">
        <v>0</v>
      </c>
      <c r="V181" s="71">
        <v>0</v>
      </c>
      <c r="W181" s="449"/>
      <c r="X181" s="67">
        <v>0</v>
      </c>
      <c r="Y181" s="163">
        <v>0</v>
      </c>
      <c r="Z181" s="166">
        <v>0</v>
      </c>
      <c r="AA181" s="61"/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132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>
        <v>0</v>
      </c>
      <c r="S182" s="798">
        <v>0</v>
      </c>
      <c r="T182" s="798">
        <v>0</v>
      </c>
      <c r="U182" s="88">
        <v>0</v>
      </c>
      <c r="V182" s="71">
        <v>0</v>
      </c>
      <c r="W182" s="449"/>
      <c r="X182" s="67">
        <v>21</v>
      </c>
      <c r="Y182" s="163">
        <v>-21</v>
      </c>
      <c r="Z182" s="166">
        <v>-1</v>
      </c>
      <c r="AA182" s="61"/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132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98">
        <v>0</v>
      </c>
      <c r="T183" s="798">
        <v>0</v>
      </c>
      <c r="U183" s="88">
        <v>0</v>
      </c>
      <c r="V183" s="71">
        <v>0</v>
      </c>
      <c r="W183" s="449"/>
      <c r="X183" s="67">
        <v>0</v>
      </c>
      <c r="Y183" s="163">
        <v>0</v>
      </c>
      <c r="Z183" s="166">
        <v>0</v>
      </c>
      <c r="AA183" s="61"/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98">
        <v>0</v>
      </c>
      <c r="T184" s="798">
        <v>0</v>
      </c>
      <c r="U184" s="88">
        <v>0</v>
      </c>
      <c r="V184" s="71">
        <v>0</v>
      </c>
      <c r="W184" s="449"/>
      <c r="X184" s="67">
        <v>0</v>
      </c>
      <c r="Y184" s="163">
        <v>0</v>
      </c>
      <c r="Z184" s="166">
        <v>0</v>
      </c>
      <c r="AA184" s="61"/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89.67</v>
      </c>
      <c r="E185" s="67">
        <v>12432</v>
      </c>
      <c r="F185" s="146">
        <v>0</v>
      </c>
      <c r="G185" s="146">
        <v>0</v>
      </c>
      <c r="H185" s="91">
        <v>12432</v>
      </c>
      <c r="I185" s="67">
        <v>0</v>
      </c>
      <c r="J185" s="739">
        <v>12432</v>
      </c>
      <c r="K185" s="132" t="s">
        <v>621</v>
      </c>
      <c r="L185" s="740">
        <v>0</v>
      </c>
      <c r="M185" s="741">
        <v>89.67</v>
      </c>
      <c r="N185" s="67">
        <v>196</v>
      </c>
      <c r="O185" s="67">
        <v>12628</v>
      </c>
      <c r="Q185" s="674">
        <v>0</v>
      </c>
      <c r="R185" s="674">
        <v>640.91365540923675</v>
      </c>
      <c r="S185" s="798" t="s">
        <v>725</v>
      </c>
      <c r="T185" s="798">
        <v>89.67</v>
      </c>
      <c r="U185" s="88">
        <v>13268.913655409237</v>
      </c>
      <c r="V185" s="71">
        <v>140.82747853239655</v>
      </c>
      <c r="W185" s="449"/>
      <c r="X185" s="67">
        <v>10477</v>
      </c>
      <c r="Y185" s="163">
        <v>2151</v>
      </c>
      <c r="Z185" s="166">
        <v>0.20530686265152237</v>
      </c>
      <c r="AA185" s="61"/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933.78</v>
      </c>
      <c r="E186" s="67">
        <v>129458</v>
      </c>
      <c r="F186" s="146">
        <v>0</v>
      </c>
      <c r="G186" s="146">
        <v>0</v>
      </c>
      <c r="H186" s="91">
        <v>129458</v>
      </c>
      <c r="I186" s="67">
        <v>0</v>
      </c>
      <c r="J186" s="739">
        <v>129458</v>
      </c>
      <c r="K186" s="132" t="s">
        <v>621</v>
      </c>
      <c r="L186" s="740">
        <v>0</v>
      </c>
      <c r="M186" s="741">
        <v>933.78</v>
      </c>
      <c r="N186" s="67">
        <v>2042</v>
      </c>
      <c r="O186" s="67">
        <v>131500</v>
      </c>
      <c r="Q186" s="674">
        <v>0</v>
      </c>
      <c r="R186" s="674">
        <v>6674.1647501732696</v>
      </c>
      <c r="S186" s="798" t="s">
        <v>725</v>
      </c>
      <c r="T186" s="798">
        <v>933.78</v>
      </c>
      <c r="U186" s="88">
        <v>138174.16475017328</v>
      </c>
      <c r="V186" s="71">
        <v>140.82546210028059</v>
      </c>
      <c r="W186" s="449"/>
      <c r="X186" s="67">
        <v>123729</v>
      </c>
      <c r="Y186" s="163">
        <v>7771</v>
      </c>
      <c r="Z186" s="166">
        <v>6.2806617688658278E-2</v>
      </c>
      <c r="AA186" s="61"/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2856.11</v>
      </c>
      <c r="E187" s="67">
        <v>395968</v>
      </c>
      <c r="F187" s="146">
        <v>0</v>
      </c>
      <c r="G187" s="146">
        <v>0</v>
      </c>
      <c r="H187" s="91">
        <v>395968</v>
      </c>
      <c r="I187" s="67">
        <v>0</v>
      </c>
      <c r="J187" s="739">
        <v>395968</v>
      </c>
      <c r="K187" s="132" t="s">
        <v>1306</v>
      </c>
      <c r="L187" s="740">
        <v>0</v>
      </c>
      <c r="M187" s="741">
        <v>2856.11</v>
      </c>
      <c r="N187" s="67">
        <v>6245</v>
      </c>
      <c r="O187" s="67">
        <v>402213</v>
      </c>
      <c r="Q187" s="674">
        <v>0</v>
      </c>
      <c r="R187" s="674">
        <v>0</v>
      </c>
      <c r="S187" s="798" t="s">
        <v>1674</v>
      </c>
      <c r="T187" s="798">
        <v>0</v>
      </c>
      <c r="U187" s="88">
        <v>402213</v>
      </c>
      <c r="V187" s="71">
        <v>140.82545840321276</v>
      </c>
      <c r="W187" s="449"/>
      <c r="X187" s="67">
        <v>391215</v>
      </c>
      <c r="Y187" s="163">
        <v>10998</v>
      </c>
      <c r="Z187" s="166">
        <v>2.8112419002338868E-2</v>
      </c>
      <c r="AA187" s="61"/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132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>
        <v>0</v>
      </c>
      <c r="S188" s="798">
        <v>0</v>
      </c>
      <c r="T188" s="798">
        <v>0</v>
      </c>
      <c r="U188" s="88">
        <v>0</v>
      </c>
      <c r="V188" s="71">
        <v>0</v>
      </c>
      <c r="W188" s="449"/>
      <c r="X188" s="67">
        <v>0</v>
      </c>
      <c r="Y188" s="163">
        <v>0</v>
      </c>
      <c r="Z188" s="166">
        <v>0</v>
      </c>
      <c r="AA188" s="61"/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215</v>
      </c>
      <c r="E189" s="67">
        <v>29807</v>
      </c>
      <c r="F189" s="146">
        <v>0</v>
      </c>
      <c r="G189" s="146">
        <v>0</v>
      </c>
      <c r="H189" s="91">
        <v>29807</v>
      </c>
      <c r="I189" s="67">
        <v>0</v>
      </c>
      <c r="J189" s="739">
        <v>29807</v>
      </c>
      <c r="K189" s="132" t="s">
        <v>621</v>
      </c>
      <c r="L189" s="740">
        <v>0</v>
      </c>
      <c r="M189" s="741">
        <v>215</v>
      </c>
      <c r="N189" s="67">
        <v>470</v>
      </c>
      <c r="O189" s="67">
        <v>30277</v>
      </c>
      <c r="Q189" s="674">
        <v>0</v>
      </c>
      <c r="R189" s="674">
        <v>0</v>
      </c>
      <c r="S189" s="798" t="s">
        <v>1674</v>
      </c>
      <c r="T189" s="798">
        <v>0</v>
      </c>
      <c r="U189" s="88">
        <v>30277</v>
      </c>
      <c r="V189" s="71">
        <v>140.82325581395349</v>
      </c>
      <c r="W189" s="449"/>
      <c r="X189" s="67">
        <v>27560</v>
      </c>
      <c r="Y189" s="163">
        <v>2717</v>
      </c>
      <c r="Z189" s="166">
        <v>9.8584905660377364E-2</v>
      </c>
      <c r="AA189" s="61"/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310.44</v>
      </c>
      <c r="E190" s="67">
        <v>43039</v>
      </c>
      <c r="F190" s="146">
        <v>0</v>
      </c>
      <c r="G190" s="146">
        <v>0</v>
      </c>
      <c r="H190" s="91">
        <v>43039</v>
      </c>
      <c r="I190" s="67">
        <v>0</v>
      </c>
      <c r="J190" s="739">
        <v>43039</v>
      </c>
      <c r="K190" s="132" t="s">
        <v>621</v>
      </c>
      <c r="L190" s="740">
        <v>0</v>
      </c>
      <c r="M190" s="741">
        <v>310.44</v>
      </c>
      <c r="N190" s="67">
        <v>679</v>
      </c>
      <c r="O190" s="67">
        <v>43718</v>
      </c>
      <c r="Q190" s="674">
        <v>0</v>
      </c>
      <c r="R190" s="674">
        <v>0</v>
      </c>
      <c r="S190" s="798" t="s">
        <v>1674</v>
      </c>
      <c r="T190" s="798">
        <v>0</v>
      </c>
      <c r="U190" s="88">
        <v>43718</v>
      </c>
      <c r="V190" s="71">
        <v>140.82592449426622</v>
      </c>
      <c r="W190" s="449"/>
      <c r="X190" s="67">
        <v>45029</v>
      </c>
      <c r="Y190" s="163">
        <v>-1311</v>
      </c>
      <c r="Z190" s="166">
        <v>-2.91145706100513E-2</v>
      </c>
      <c r="AA190" s="61"/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36.44</v>
      </c>
      <c r="E191" s="67">
        <v>5052</v>
      </c>
      <c r="F191" s="146">
        <v>0</v>
      </c>
      <c r="G191" s="146">
        <v>0</v>
      </c>
      <c r="H191" s="91">
        <v>5052</v>
      </c>
      <c r="I191" s="67">
        <v>0</v>
      </c>
      <c r="J191" s="739">
        <v>5052</v>
      </c>
      <c r="K191" s="132" t="s">
        <v>1306</v>
      </c>
      <c r="L191" s="740">
        <v>0</v>
      </c>
      <c r="M191" s="741">
        <v>36.44</v>
      </c>
      <c r="N191" s="67">
        <v>80</v>
      </c>
      <c r="O191" s="67">
        <v>5132</v>
      </c>
      <c r="Q191" s="674">
        <v>0</v>
      </c>
      <c r="R191" s="674">
        <v>0</v>
      </c>
      <c r="S191" s="798">
        <v>0</v>
      </c>
      <c r="T191" s="798">
        <v>0</v>
      </c>
      <c r="U191" s="88">
        <v>5132</v>
      </c>
      <c r="V191" s="71">
        <v>140.83424807903404</v>
      </c>
      <c r="W191" s="449"/>
      <c r="X191" s="67">
        <v>4001</v>
      </c>
      <c r="Y191" s="163">
        <v>1131</v>
      </c>
      <c r="Z191" s="166">
        <v>0.28267933016745811</v>
      </c>
      <c r="AA191" s="61"/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38.56</v>
      </c>
      <c r="E192" s="67">
        <v>5346</v>
      </c>
      <c r="F192" s="146">
        <v>0</v>
      </c>
      <c r="G192" s="146">
        <v>0</v>
      </c>
      <c r="H192" s="91">
        <v>5346</v>
      </c>
      <c r="I192" s="67">
        <v>0</v>
      </c>
      <c r="J192" s="739">
        <v>5346</v>
      </c>
      <c r="K192" s="132" t="s">
        <v>644</v>
      </c>
      <c r="L192" s="740">
        <v>5346</v>
      </c>
      <c r="M192" s="741">
        <v>0</v>
      </c>
      <c r="N192" s="67">
        <v>0</v>
      </c>
      <c r="O192" s="67">
        <v>0</v>
      </c>
      <c r="Q192" s="674">
        <v>0</v>
      </c>
      <c r="R192" s="674">
        <v>0</v>
      </c>
      <c r="S192" s="798">
        <v>0</v>
      </c>
      <c r="T192" s="798">
        <v>0</v>
      </c>
      <c r="U192" s="88">
        <v>0</v>
      </c>
      <c r="V192" s="71">
        <v>0</v>
      </c>
      <c r="W192" s="449"/>
      <c r="X192" s="67">
        <v>6003</v>
      </c>
      <c r="Y192" s="163">
        <v>-6003</v>
      </c>
      <c r="Z192" s="166">
        <v>-1</v>
      </c>
      <c r="AA192" s="61"/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1441.44</v>
      </c>
      <c r="E193" s="67">
        <v>199840</v>
      </c>
      <c r="F193" s="146">
        <v>0</v>
      </c>
      <c r="G193" s="146">
        <v>0</v>
      </c>
      <c r="H193" s="91">
        <v>199840</v>
      </c>
      <c r="I193" s="67">
        <v>0</v>
      </c>
      <c r="J193" s="739">
        <v>199840</v>
      </c>
      <c r="K193" s="132" t="s">
        <v>621</v>
      </c>
      <c r="L193" s="740">
        <v>0</v>
      </c>
      <c r="M193" s="741">
        <v>1441.44</v>
      </c>
      <c r="N193" s="67">
        <v>3152</v>
      </c>
      <c r="O193" s="67">
        <v>202992</v>
      </c>
      <c r="Q193" s="674">
        <v>0</v>
      </c>
      <c r="R193" s="674">
        <v>10302.649486484781</v>
      </c>
      <c r="S193" s="798" t="s">
        <v>725</v>
      </c>
      <c r="T193" s="798">
        <v>1441.44</v>
      </c>
      <c r="U193" s="88">
        <v>213294.64948648479</v>
      </c>
      <c r="V193" s="71">
        <v>140.82584082584083</v>
      </c>
      <c r="W193" s="449"/>
      <c r="X193" s="67">
        <v>201890</v>
      </c>
      <c r="Y193" s="163">
        <v>1102</v>
      </c>
      <c r="Z193" s="166">
        <v>5.4584179503690128E-3</v>
      </c>
      <c r="AA193" s="61"/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86.11</v>
      </c>
      <c r="E194" s="67">
        <v>11938</v>
      </c>
      <c r="F194" s="146">
        <v>0</v>
      </c>
      <c r="G194" s="146">
        <v>0</v>
      </c>
      <c r="H194" s="91">
        <v>11938</v>
      </c>
      <c r="I194" s="67">
        <v>0</v>
      </c>
      <c r="J194" s="739">
        <v>11938</v>
      </c>
      <c r="K194" s="132" t="s">
        <v>621</v>
      </c>
      <c r="L194" s="740">
        <v>0</v>
      </c>
      <c r="M194" s="741">
        <v>86.11</v>
      </c>
      <c r="N194" s="67">
        <v>188</v>
      </c>
      <c r="O194" s="67">
        <v>12126</v>
      </c>
      <c r="Q194" s="674">
        <v>0</v>
      </c>
      <c r="R194" s="674">
        <v>0</v>
      </c>
      <c r="S194" s="798" t="s">
        <v>1674</v>
      </c>
      <c r="T194" s="798">
        <v>0</v>
      </c>
      <c r="U194" s="88">
        <v>12126</v>
      </c>
      <c r="V194" s="71">
        <v>140.81988154685868</v>
      </c>
      <c r="W194" s="449"/>
      <c r="X194" s="67">
        <v>11682</v>
      </c>
      <c r="Y194" s="163">
        <v>444</v>
      </c>
      <c r="Z194" s="166">
        <v>3.8007190549563433E-2</v>
      </c>
      <c r="AA194" s="61"/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665</v>
      </c>
      <c r="E195" s="67">
        <v>92195</v>
      </c>
      <c r="F195" s="146">
        <v>0</v>
      </c>
      <c r="G195" s="146">
        <v>0</v>
      </c>
      <c r="H195" s="91">
        <v>92195</v>
      </c>
      <c r="I195" s="67">
        <v>0</v>
      </c>
      <c r="J195" s="739">
        <v>92195</v>
      </c>
      <c r="K195" s="132" t="s">
        <v>621</v>
      </c>
      <c r="L195" s="740">
        <v>0</v>
      </c>
      <c r="M195" s="741">
        <v>665</v>
      </c>
      <c r="N195" s="67">
        <v>1454</v>
      </c>
      <c r="O195" s="67">
        <v>93649</v>
      </c>
      <c r="Q195" s="674">
        <v>0</v>
      </c>
      <c r="R195" s="674">
        <v>0</v>
      </c>
      <c r="S195" s="798" t="s">
        <v>1674</v>
      </c>
      <c r="T195" s="798">
        <v>0</v>
      </c>
      <c r="U195" s="88">
        <v>93649</v>
      </c>
      <c r="V195" s="71">
        <v>140.82556390977444</v>
      </c>
      <c r="W195" s="449"/>
      <c r="X195" s="67">
        <v>87994</v>
      </c>
      <c r="Y195" s="163">
        <v>5655</v>
      </c>
      <c r="Z195" s="166">
        <v>6.4265745391731258E-2</v>
      </c>
      <c r="AA195" s="61"/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297.77999999999997</v>
      </c>
      <c r="E196" s="67">
        <v>41284</v>
      </c>
      <c r="F196" s="146">
        <v>0</v>
      </c>
      <c r="G196" s="146">
        <v>0</v>
      </c>
      <c r="H196" s="91">
        <v>41284</v>
      </c>
      <c r="I196" s="67">
        <v>0</v>
      </c>
      <c r="J196" s="739">
        <v>41284</v>
      </c>
      <c r="K196" s="132" t="s">
        <v>621</v>
      </c>
      <c r="L196" s="740">
        <v>0</v>
      </c>
      <c r="M196" s="741">
        <v>297.77999999999997</v>
      </c>
      <c r="N196" s="67">
        <v>651</v>
      </c>
      <c r="O196" s="67">
        <v>41935</v>
      </c>
      <c r="Q196" s="674">
        <v>0</v>
      </c>
      <c r="R196" s="674">
        <v>0</v>
      </c>
      <c r="S196" s="798" t="s">
        <v>1674</v>
      </c>
      <c r="T196" s="798">
        <v>0</v>
      </c>
      <c r="U196" s="88">
        <v>41935</v>
      </c>
      <c r="V196" s="71">
        <v>140.82544160118209</v>
      </c>
      <c r="W196" s="449"/>
      <c r="X196" s="67">
        <v>41760</v>
      </c>
      <c r="Y196" s="163">
        <v>175</v>
      </c>
      <c r="Z196" s="166">
        <v>4.1906130268199232E-3</v>
      </c>
      <c r="AA196" s="61"/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12</v>
      </c>
      <c r="E197" s="67">
        <v>1664</v>
      </c>
      <c r="F197" s="146">
        <v>0</v>
      </c>
      <c r="G197" s="146">
        <v>0</v>
      </c>
      <c r="H197" s="91">
        <v>1664</v>
      </c>
      <c r="I197" s="67">
        <v>0</v>
      </c>
      <c r="J197" s="739">
        <v>1664</v>
      </c>
      <c r="K197" s="132" t="s">
        <v>644</v>
      </c>
      <c r="L197" s="740">
        <v>1664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98">
        <v>0</v>
      </c>
      <c r="T197" s="798">
        <v>0</v>
      </c>
      <c r="U197" s="88">
        <v>0</v>
      </c>
      <c r="V197" s="71">
        <v>0</v>
      </c>
      <c r="W197" s="449"/>
      <c r="X197" s="67">
        <v>1054</v>
      </c>
      <c r="Y197" s="163">
        <v>-1054</v>
      </c>
      <c r="Z197" s="166">
        <v>-1</v>
      </c>
      <c r="AA197" s="61"/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83.67</v>
      </c>
      <c r="E198" s="67">
        <v>11600</v>
      </c>
      <c r="F198" s="146">
        <v>0</v>
      </c>
      <c r="G198" s="146">
        <v>0</v>
      </c>
      <c r="H198" s="91">
        <v>11600</v>
      </c>
      <c r="I198" s="67">
        <v>0</v>
      </c>
      <c r="J198" s="739">
        <v>11600</v>
      </c>
      <c r="K198" s="132" t="s">
        <v>723</v>
      </c>
      <c r="L198" s="740">
        <v>11600</v>
      </c>
      <c r="M198" s="741">
        <v>0</v>
      </c>
      <c r="N198" s="67">
        <v>0</v>
      </c>
      <c r="O198" s="67">
        <v>0</v>
      </c>
      <c r="Q198" s="674">
        <v>0</v>
      </c>
      <c r="R198" s="674">
        <v>0</v>
      </c>
      <c r="S198" s="798">
        <v>0</v>
      </c>
      <c r="T198" s="798">
        <v>0</v>
      </c>
      <c r="U198" s="88">
        <v>0</v>
      </c>
      <c r="V198" s="71">
        <v>0</v>
      </c>
      <c r="W198" s="449"/>
      <c r="X198" s="67">
        <v>9703</v>
      </c>
      <c r="Y198" s="163">
        <v>-9703</v>
      </c>
      <c r="Z198" s="166">
        <v>-1</v>
      </c>
      <c r="AA198" s="61"/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414</v>
      </c>
      <c r="E199" s="67">
        <v>57397</v>
      </c>
      <c r="F199" s="146">
        <v>0</v>
      </c>
      <c r="G199" s="146">
        <v>0</v>
      </c>
      <c r="H199" s="91">
        <v>57397</v>
      </c>
      <c r="I199" s="67">
        <v>0</v>
      </c>
      <c r="J199" s="739">
        <v>57397</v>
      </c>
      <c r="K199" s="132" t="s">
        <v>621</v>
      </c>
      <c r="L199" s="740">
        <v>0</v>
      </c>
      <c r="M199" s="741">
        <v>414</v>
      </c>
      <c r="N199" s="67">
        <v>905</v>
      </c>
      <c r="O199" s="67">
        <v>58302</v>
      </c>
      <c r="Q199" s="674">
        <v>0</v>
      </c>
      <c r="R199" s="674">
        <v>2959.0526746896844</v>
      </c>
      <c r="S199" s="798" t="s">
        <v>725</v>
      </c>
      <c r="T199" s="798">
        <v>414</v>
      </c>
      <c r="U199" s="88">
        <v>61261.052674689687</v>
      </c>
      <c r="V199" s="71">
        <v>140.82608695652175</v>
      </c>
      <c r="W199" s="449"/>
      <c r="X199" s="67">
        <v>56109</v>
      </c>
      <c r="Y199" s="163">
        <v>2193</v>
      </c>
      <c r="Z199" s="166">
        <v>3.908463882799551E-2</v>
      </c>
      <c r="AA199" s="61"/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132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>
        <v>0</v>
      </c>
      <c r="S200" s="798">
        <v>0</v>
      </c>
      <c r="T200" s="798">
        <v>0</v>
      </c>
      <c r="U200" s="88">
        <v>0</v>
      </c>
      <c r="V200" s="71">
        <v>0</v>
      </c>
      <c r="W200" s="449"/>
      <c r="X200" s="67">
        <v>0</v>
      </c>
      <c r="Y200" s="163">
        <v>0</v>
      </c>
      <c r="Z200" s="166">
        <v>0</v>
      </c>
      <c r="AA200" s="61"/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132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98">
        <v>0</v>
      </c>
      <c r="T201" s="798">
        <v>0</v>
      </c>
      <c r="U201" s="88">
        <v>0</v>
      </c>
      <c r="V201" s="71">
        <v>0</v>
      </c>
      <c r="W201" s="449"/>
      <c r="X201" s="67">
        <v>0</v>
      </c>
      <c r="Y201" s="163">
        <v>0</v>
      </c>
      <c r="Z201" s="166">
        <v>0</v>
      </c>
      <c r="AA201" s="61"/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132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>
        <v>0</v>
      </c>
      <c r="S202" s="798">
        <v>0</v>
      </c>
      <c r="T202" s="798">
        <v>0</v>
      </c>
      <c r="U202" s="88">
        <v>0</v>
      </c>
      <c r="V202" s="71">
        <v>0</v>
      </c>
      <c r="W202" s="449"/>
      <c r="X202" s="67">
        <v>0</v>
      </c>
      <c r="Y202" s="163">
        <v>0</v>
      </c>
      <c r="Z202" s="166">
        <v>0</v>
      </c>
      <c r="AA202" s="61"/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38.11</v>
      </c>
      <c r="E203" s="67">
        <v>5284</v>
      </c>
      <c r="F203" s="146">
        <v>0</v>
      </c>
      <c r="G203" s="146">
        <v>0</v>
      </c>
      <c r="H203" s="91">
        <v>5284</v>
      </c>
      <c r="I203" s="67">
        <v>0</v>
      </c>
      <c r="J203" s="739">
        <v>5284</v>
      </c>
      <c r="K203" s="132" t="s">
        <v>1306</v>
      </c>
      <c r="L203" s="740">
        <v>0</v>
      </c>
      <c r="M203" s="741">
        <v>38.11</v>
      </c>
      <c r="N203" s="67">
        <v>83</v>
      </c>
      <c r="O203" s="67">
        <v>5367</v>
      </c>
      <c r="Q203" s="674">
        <v>0</v>
      </c>
      <c r="R203" s="674">
        <v>0</v>
      </c>
      <c r="S203" s="798">
        <v>0</v>
      </c>
      <c r="T203" s="798">
        <v>0</v>
      </c>
      <c r="U203" s="88">
        <v>5367</v>
      </c>
      <c r="V203" s="71">
        <v>140.82917869325635</v>
      </c>
      <c r="W203" s="449"/>
      <c r="X203" s="67">
        <v>3786</v>
      </c>
      <c r="Y203" s="163">
        <v>1581</v>
      </c>
      <c r="Z203" s="166">
        <v>0.41759112519809827</v>
      </c>
      <c r="AA203" s="61"/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21</v>
      </c>
      <c r="E204" s="67">
        <v>2911</v>
      </c>
      <c r="F204" s="146">
        <v>0</v>
      </c>
      <c r="G204" s="146">
        <v>0</v>
      </c>
      <c r="H204" s="91">
        <v>2911</v>
      </c>
      <c r="I204" s="67">
        <v>0</v>
      </c>
      <c r="J204" s="739">
        <v>2911</v>
      </c>
      <c r="K204" s="132" t="s">
        <v>1306</v>
      </c>
      <c r="L204" s="740">
        <v>0</v>
      </c>
      <c r="M204" s="741">
        <v>21</v>
      </c>
      <c r="N204" s="67">
        <v>46</v>
      </c>
      <c r="O204" s="67">
        <v>2957</v>
      </c>
      <c r="Q204" s="674">
        <v>0</v>
      </c>
      <c r="R204" s="674">
        <v>0</v>
      </c>
      <c r="S204" s="798">
        <v>0</v>
      </c>
      <c r="T204" s="798">
        <v>0</v>
      </c>
      <c r="U204" s="88">
        <v>2957</v>
      </c>
      <c r="V204" s="71">
        <v>140.8095238095238</v>
      </c>
      <c r="W204" s="449"/>
      <c r="X204" s="67">
        <v>2410</v>
      </c>
      <c r="Y204" s="163">
        <v>547</v>
      </c>
      <c r="Z204" s="166">
        <v>0.22697095435684647</v>
      </c>
      <c r="AA204" s="61"/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33.22</v>
      </c>
      <c r="E205" s="67">
        <v>4606</v>
      </c>
      <c r="F205" s="146">
        <v>0</v>
      </c>
      <c r="G205" s="146">
        <v>0</v>
      </c>
      <c r="H205" s="91">
        <v>4606</v>
      </c>
      <c r="I205" s="67">
        <v>0</v>
      </c>
      <c r="J205" s="739">
        <v>4606</v>
      </c>
      <c r="K205" s="132" t="s">
        <v>1306</v>
      </c>
      <c r="L205" s="740">
        <v>0</v>
      </c>
      <c r="M205" s="741">
        <v>33.22</v>
      </c>
      <c r="N205" s="67">
        <v>73</v>
      </c>
      <c r="O205" s="67">
        <v>4679</v>
      </c>
      <c r="Q205" s="674">
        <v>0</v>
      </c>
      <c r="R205" s="674">
        <v>237.43896099804667</v>
      </c>
      <c r="S205" s="798" t="s">
        <v>725</v>
      </c>
      <c r="T205" s="798">
        <v>33.22</v>
      </c>
      <c r="U205" s="88">
        <v>4916.4389609980462</v>
      </c>
      <c r="V205" s="71">
        <v>140.84888621312462</v>
      </c>
      <c r="W205" s="449"/>
      <c r="X205" s="67">
        <v>5056</v>
      </c>
      <c r="Y205" s="163">
        <v>-377</v>
      </c>
      <c r="Z205" s="166">
        <v>-7.4564873417721514E-2</v>
      </c>
      <c r="AA205" s="61"/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132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>
        <v>0</v>
      </c>
      <c r="S206" s="798">
        <v>0</v>
      </c>
      <c r="T206" s="798">
        <v>0</v>
      </c>
      <c r="U206" s="88">
        <v>0</v>
      </c>
      <c r="V206" s="71">
        <v>0</v>
      </c>
      <c r="W206" s="449"/>
      <c r="X206" s="67">
        <v>0</v>
      </c>
      <c r="Y206" s="163">
        <v>0</v>
      </c>
      <c r="Z206" s="166">
        <v>0</v>
      </c>
      <c r="AA206" s="61"/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730</v>
      </c>
      <c r="E207" s="67">
        <v>101206</v>
      </c>
      <c r="F207" s="146">
        <v>0</v>
      </c>
      <c r="G207" s="146">
        <v>0</v>
      </c>
      <c r="H207" s="91">
        <v>101206</v>
      </c>
      <c r="I207" s="67">
        <v>0</v>
      </c>
      <c r="J207" s="739">
        <v>101206</v>
      </c>
      <c r="K207" s="132" t="s">
        <v>621</v>
      </c>
      <c r="L207" s="740">
        <v>0</v>
      </c>
      <c r="M207" s="741">
        <v>730</v>
      </c>
      <c r="N207" s="67">
        <v>1596</v>
      </c>
      <c r="O207" s="67">
        <v>102802</v>
      </c>
      <c r="Q207" s="674">
        <v>0</v>
      </c>
      <c r="R207" s="674">
        <v>0</v>
      </c>
      <c r="S207" s="798" t="s">
        <v>1674</v>
      </c>
      <c r="T207" s="798">
        <v>0</v>
      </c>
      <c r="U207" s="88">
        <v>102802</v>
      </c>
      <c r="V207" s="71">
        <v>140.82465753424657</v>
      </c>
      <c r="W207" s="449"/>
      <c r="X207" s="67">
        <v>105614</v>
      </c>
      <c r="Y207" s="163">
        <v>-2812</v>
      </c>
      <c r="Z207" s="166">
        <v>-2.6625258015035885E-2</v>
      </c>
      <c r="AA207" s="61"/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312.67</v>
      </c>
      <c r="E208" s="67">
        <v>43348</v>
      </c>
      <c r="F208" s="146">
        <v>0</v>
      </c>
      <c r="G208" s="146">
        <v>0</v>
      </c>
      <c r="H208" s="91">
        <v>43348</v>
      </c>
      <c r="I208" s="67">
        <v>0</v>
      </c>
      <c r="J208" s="739">
        <v>43348</v>
      </c>
      <c r="K208" s="132" t="s">
        <v>621</v>
      </c>
      <c r="L208" s="740">
        <v>0</v>
      </c>
      <c r="M208" s="741">
        <v>312.67</v>
      </c>
      <c r="N208" s="67">
        <v>684</v>
      </c>
      <c r="O208" s="67">
        <v>44032</v>
      </c>
      <c r="Q208" s="674">
        <v>0</v>
      </c>
      <c r="R208" s="674">
        <v>2234.7995164135837</v>
      </c>
      <c r="S208" s="798" t="s">
        <v>725</v>
      </c>
      <c r="T208" s="798">
        <v>312.67</v>
      </c>
      <c r="U208" s="88">
        <v>46266.799516413586</v>
      </c>
      <c r="V208" s="71">
        <v>140.8257907698212</v>
      </c>
      <c r="W208" s="449"/>
      <c r="X208" s="67">
        <v>37908</v>
      </c>
      <c r="Y208" s="163">
        <v>6124</v>
      </c>
      <c r="Z208" s="166">
        <v>0.16154901340086525</v>
      </c>
      <c r="AA208" s="61"/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61</v>
      </c>
      <c r="E209" s="67">
        <v>8457</v>
      </c>
      <c r="F209" s="146">
        <v>0</v>
      </c>
      <c r="G209" s="146">
        <v>0</v>
      </c>
      <c r="H209" s="91">
        <v>8457</v>
      </c>
      <c r="I209" s="67">
        <v>0</v>
      </c>
      <c r="J209" s="739">
        <v>8457</v>
      </c>
      <c r="K209" s="132" t="s">
        <v>723</v>
      </c>
      <c r="L209" s="740">
        <v>8457</v>
      </c>
      <c r="M209" s="741">
        <v>0</v>
      </c>
      <c r="N209" s="67">
        <v>0</v>
      </c>
      <c r="O209" s="67">
        <v>0</v>
      </c>
      <c r="Q209" s="674">
        <v>0</v>
      </c>
      <c r="R209" s="674">
        <v>0</v>
      </c>
      <c r="S209" s="798">
        <v>0</v>
      </c>
      <c r="T209" s="798">
        <v>0</v>
      </c>
      <c r="U209" s="88">
        <v>0</v>
      </c>
      <c r="V209" s="71">
        <v>0</v>
      </c>
      <c r="W209" s="449"/>
      <c r="X209" s="67">
        <v>8132</v>
      </c>
      <c r="Y209" s="163">
        <v>-8132</v>
      </c>
      <c r="Z209" s="166">
        <v>-1</v>
      </c>
      <c r="AA209" s="61"/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25.11</v>
      </c>
      <c r="E210" s="67">
        <v>3481</v>
      </c>
      <c r="F210" s="146">
        <v>0</v>
      </c>
      <c r="G210" s="146">
        <v>0</v>
      </c>
      <c r="H210" s="91">
        <v>3481</v>
      </c>
      <c r="I210" s="67">
        <v>0</v>
      </c>
      <c r="J210" s="739">
        <v>3481</v>
      </c>
      <c r="K210" s="132" t="s">
        <v>1306</v>
      </c>
      <c r="L210" s="740">
        <v>0</v>
      </c>
      <c r="M210" s="741">
        <v>25.11</v>
      </c>
      <c r="N210" s="67">
        <v>55</v>
      </c>
      <c r="O210" s="67">
        <v>3536</v>
      </c>
      <c r="Q210" s="674">
        <v>0</v>
      </c>
      <c r="R210" s="674">
        <v>0</v>
      </c>
      <c r="S210" s="798">
        <v>0</v>
      </c>
      <c r="T210" s="798">
        <v>0</v>
      </c>
      <c r="U210" s="88">
        <v>3536</v>
      </c>
      <c r="V210" s="71">
        <v>140.82039028275588</v>
      </c>
      <c r="W210" s="449"/>
      <c r="X210" s="67">
        <v>0</v>
      </c>
      <c r="Y210" s="163">
        <v>3536</v>
      </c>
      <c r="Z210" s="166">
        <v>0</v>
      </c>
      <c r="AA210" s="61"/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24.11</v>
      </c>
      <c r="E211" s="67">
        <v>3343</v>
      </c>
      <c r="F211" s="146">
        <v>0</v>
      </c>
      <c r="G211" s="146">
        <v>0</v>
      </c>
      <c r="H211" s="91">
        <v>3343</v>
      </c>
      <c r="I211" s="67">
        <v>0</v>
      </c>
      <c r="J211" s="739">
        <v>3343</v>
      </c>
      <c r="K211" s="132" t="s">
        <v>644</v>
      </c>
      <c r="L211" s="740">
        <v>3343</v>
      </c>
      <c r="M211" s="741">
        <v>0</v>
      </c>
      <c r="N211" s="67">
        <v>0</v>
      </c>
      <c r="O211" s="67">
        <v>0</v>
      </c>
      <c r="Q211" s="674">
        <v>0</v>
      </c>
      <c r="R211" s="674">
        <v>0</v>
      </c>
      <c r="S211" s="798">
        <v>0</v>
      </c>
      <c r="T211" s="798">
        <v>0</v>
      </c>
      <c r="U211" s="88">
        <v>0</v>
      </c>
      <c r="V211" s="71">
        <v>0</v>
      </c>
      <c r="W211" s="449"/>
      <c r="X211" s="67">
        <v>4324</v>
      </c>
      <c r="Y211" s="163">
        <v>-4324</v>
      </c>
      <c r="Z211" s="166">
        <v>-1</v>
      </c>
      <c r="AA211" s="61"/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1646.89</v>
      </c>
      <c r="E212" s="67">
        <v>228323</v>
      </c>
      <c r="F212" s="146">
        <v>0</v>
      </c>
      <c r="G212" s="146">
        <v>0</v>
      </c>
      <c r="H212" s="91">
        <v>228323</v>
      </c>
      <c r="I212" s="67">
        <v>0</v>
      </c>
      <c r="J212" s="739">
        <v>228323</v>
      </c>
      <c r="K212" s="132" t="s">
        <v>1306</v>
      </c>
      <c r="L212" s="740">
        <v>0</v>
      </c>
      <c r="M212" s="741">
        <v>1646.89</v>
      </c>
      <c r="N212" s="67">
        <v>3601</v>
      </c>
      <c r="O212" s="67">
        <v>231924</v>
      </c>
      <c r="Q212" s="674">
        <v>0</v>
      </c>
      <c r="R212" s="674">
        <v>0</v>
      </c>
      <c r="S212" s="798" t="s">
        <v>1674</v>
      </c>
      <c r="T212" s="798">
        <v>0</v>
      </c>
      <c r="U212" s="88">
        <v>231924</v>
      </c>
      <c r="V212" s="71">
        <v>140.82543460704721</v>
      </c>
      <c r="W212" s="449"/>
      <c r="X212" s="67">
        <v>239540</v>
      </c>
      <c r="Y212" s="163">
        <v>-7616</v>
      </c>
      <c r="Z212" s="166">
        <v>-3.179427235534775E-2</v>
      </c>
      <c r="AA212" s="61"/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132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>
        <v>0</v>
      </c>
      <c r="S213" s="798">
        <v>0</v>
      </c>
      <c r="T213" s="798">
        <v>0</v>
      </c>
      <c r="U213" s="88">
        <v>0</v>
      </c>
      <c r="V213" s="71">
        <v>0</v>
      </c>
      <c r="W213" s="449"/>
      <c r="X213" s="67">
        <v>0</v>
      </c>
      <c r="Y213" s="163">
        <v>0</v>
      </c>
      <c r="Z213" s="166">
        <v>0</v>
      </c>
      <c r="AA213" s="61"/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132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98">
        <v>0</v>
      </c>
      <c r="T214" s="798">
        <v>0</v>
      </c>
      <c r="U214" s="88">
        <v>0</v>
      </c>
      <c r="V214" s="71">
        <v>0</v>
      </c>
      <c r="W214" s="449"/>
      <c r="X214" s="67">
        <v>0</v>
      </c>
      <c r="Y214" s="163">
        <v>0</v>
      </c>
      <c r="Z214" s="166">
        <v>0</v>
      </c>
      <c r="AA214" s="61"/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132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>
        <v>0</v>
      </c>
      <c r="S215" s="798">
        <v>0</v>
      </c>
      <c r="T215" s="798">
        <v>0</v>
      </c>
      <c r="U215" s="88">
        <v>0</v>
      </c>
      <c r="V215" s="71">
        <v>0</v>
      </c>
      <c r="W215" s="449"/>
      <c r="X215" s="67">
        <v>0</v>
      </c>
      <c r="Y215" s="163">
        <v>0</v>
      </c>
      <c r="Z215" s="166">
        <v>0</v>
      </c>
      <c r="AA215" s="61"/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25.11</v>
      </c>
      <c r="E216" s="67">
        <v>3481</v>
      </c>
      <c r="F216" s="146">
        <v>0</v>
      </c>
      <c r="G216" s="146">
        <v>0</v>
      </c>
      <c r="H216" s="91">
        <v>3481</v>
      </c>
      <c r="I216" s="67">
        <v>0</v>
      </c>
      <c r="J216" s="739">
        <v>3481</v>
      </c>
      <c r="K216" s="132" t="s">
        <v>644</v>
      </c>
      <c r="L216" s="740">
        <v>3481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98">
        <v>0</v>
      </c>
      <c r="T216" s="798">
        <v>0</v>
      </c>
      <c r="U216" s="88">
        <v>0</v>
      </c>
      <c r="V216" s="71">
        <v>0</v>
      </c>
      <c r="W216" s="449"/>
      <c r="X216" s="67">
        <v>3550</v>
      </c>
      <c r="Y216" s="163">
        <v>-3550</v>
      </c>
      <c r="Z216" s="166">
        <v>-1</v>
      </c>
      <c r="AA216" s="61"/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2447.67</v>
      </c>
      <c r="E217" s="67">
        <v>339342</v>
      </c>
      <c r="F217" s="146">
        <v>0</v>
      </c>
      <c r="G217" s="146">
        <v>0</v>
      </c>
      <c r="H217" s="91">
        <v>339342</v>
      </c>
      <c r="I217" s="67">
        <v>0</v>
      </c>
      <c r="J217" s="739">
        <v>339342</v>
      </c>
      <c r="K217" s="132" t="s">
        <v>621</v>
      </c>
      <c r="L217" s="740">
        <v>0</v>
      </c>
      <c r="M217" s="741">
        <v>2447.67</v>
      </c>
      <c r="N217" s="67">
        <v>5352</v>
      </c>
      <c r="O217" s="67">
        <v>344694</v>
      </c>
      <c r="Q217" s="674">
        <v>0</v>
      </c>
      <c r="R217" s="674">
        <v>0</v>
      </c>
      <c r="S217" s="798" t="s">
        <v>1674</v>
      </c>
      <c r="T217" s="798">
        <v>0</v>
      </c>
      <c r="U217" s="88">
        <v>344694</v>
      </c>
      <c r="V217" s="71">
        <v>140.82535635931313</v>
      </c>
      <c r="W217" s="449"/>
      <c r="X217" s="67">
        <v>323274</v>
      </c>
      <c r="Y217" s="163">
        <v>21420</v>
      </c>
      <c r="Z217" s="166">
        <v>6.625958165519033E-2</v>
      </c>
      <c r="AA217" s="61"/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310.89</v>
      </c>
      <c r="E218" s="67">
        <v>43101</v>
      </c>
      <c r="F218" s="146">
        <v>0</v>
      </c>
      <c r="G218" s="146">
        <v>0</v>
      </c>
      <c r="H218" s="91">
        <v>43101</v>
      </c>
      <c r="I218" s="67">
        <v>0</v>
      </c>
      <c r="J218" s="739">
        <v>43101</v>
      </c>
      <c r="K218" s="132" t="s">
        <v>621</v>
      </c>
      <c r="L218" s="740">
        <v>0</v>
      </c>
      <c r="M218" s="741">
        <v>310.89</v>
      </c>
      <c r="N218" s="67">
        <v>680</v>
      </c>
      <c r="O218" s="67">
        <v>43781</v>
      </c>
      <c r="Q218" s="674">
        <v>0</v>
      </c>
      <c r="R218" s="674">
        <v>0</v>
      </c>
      <c r="S218" s="798" t="s">
        <v>1674</v>
      </c>
      <c r="T218" s="798">
        <v>0</v>
      </c>
      <c r="U218" s="88">
        <v>43781</v>
      </c>
      <c r="V218" s="71">
        <v>140.82472900382771</v>
      </c>
      <c r="W218" s="449"/>
      <c r="X218" s="67">
        <v>43588</v>
      </c>
      <c r="Y218" s="163">
        <v>193</v>
      </c>
      <c r="Z218" s="166">
        <v>4.4278241717904008E-3</v>
      </c>
      <c r="AA218" s="61"/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2764</v>
      </c>
      <c r="E219" s="67">
        <v>383198</v>
      </c>
      <c r="F219" s="146">
        <v>0</v>
      </c>
      <c r="G219" s="146">
        <v>0</v>
      </c>
      <c r="H219" s="91">
        <v>383198</v>
      </c>
      <c r="I219" s="67">
        <v>0</v>
      </c>
      <c r="J219" s="739">
        <v>383198</v>
      </c>
      <c r="K219" s="132" t="s">
        <v>621</v>
      </c>
      <c r="L219" s="740">
        <v>0</v>
      </c>
      <c r="M219" s="741">
        <v>2764</v>
      </c>
      <c r="N219" s="67">
        <v>6044</v>
      </c>
      <c r="O219" s="67">
        <v>389242</v>
      </c>
      <c r="Q219" s="674">
        <v>0</v>
      </c>
      <c r="R219" s="674">
        <v>19755.607712179441</v>
      </c>
      <c r="S219" s="798" t="s">
        <v>725</v>
      </c>
      <c r="T219" s="798">
        <v>2764</v>
      </c>
      <c r="U219" s="88">
        <v>408997.60771217942</v>
      </c>
      <c r="V219" s="71">
        <v>140.82561505065124</v>
      </c>
      <c r="W219" s="449"/>
      <c r="X219" s="67">
        <v>389172</v>
      </c>
      <c r="Y219" s="163">
        <v>70</v>
      </c>
      <c r="Z219" s="166">
        <v>1.7986905532772142E-4</v>
      </c>
      <c r="AA219" s="61"/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2484.67</v>
      </c>
      <c r="E220" s="67">
        <v>344472</v>
      </c>
      <c r="F220" s="146">
        <v>0</v>
      </c>
      <c r="G220" s="146">
        <v>0</v>
      </c>
      <c r="H220" s="91">
        <v>344472</v>
      </c>
      <c r="I220" s="67">
        <v>0</v>
      </c>
      <c r="J220" s="739">
        <v>344472</v>
      </c>
      <c r="K220" s="132" t="s">
        <v>621</v>
      </c>
      <c r="L220" s="740">
        <v>0</v>
      </c>
      <c r="M220" s="741">
        <v>2484.67</v>
      </c>
      <c r="N220" s="67">
        <v>5433</v>
      </c>
      <c r="O220" s="67">
        <v>349905</v>
      </c>
      <c r="Q220" s="674">
        <v>0</v>
      </c>
      <c r="R220" s="674">
        <v>17759.104853191351</v>
      </c>
      <c r="S220" s="798" t="s">
        <v>725</v>
      </c>
      <c r="T220" s="798">
        <v>2484.67</v>
      </c>
      <c r="U220" s="88">
        <v>367664.10485319135</v>
      </c>
      <c r="V220" s="71">
        <v>140.82554222492323</v>
      </c>
      <c r="W220" s="449"/>
      <c r="X220" s="67">
        <v>337043</v>
      </c>
      <c r="Y220" s="163">
        <v>12862</v>
      </c>
      <c r="Z220" s="166">
        <v>3.8161302860465873E-2</v>
      </c>
      <c r="AA220" s="61"/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273.33000000000004</v>
      </c>
      <c r="E221" s="67">
        <v>37894</v>
      </c>
      <c r="F221" s="146">
        <v>0</v>
      </c>
      <c r="G221" s="146">
        <v>0</v>
      </c>
      <c r="H221" s="91">
        <v>37894</v>
      </c>
      <c r="I221" s="67">
        <v>0</v>
      </c>
      <c r="J221" s="739">
        <v>37894</v>
      </c>
      <c r="K221" s="132" t="s">
        <v>621</v>
      </c>
      <c r="L221" s="740">
        <v>0</v>
      </c>
      <c r="M221" s="741">
        <v>273.33000000000004</v>
      </c>
      <c r="N221" s="67">
        <v>598</v>
      </c>
      <c r="O221" s="67">
        <v>38492</v>
      </c>
      <c r="Q221" s="674">
        <v>0</v>
      </c>
      <c r="R221" s="674">
        <v>1953.6180376157768</v>
      </c>
      <c r="S221" s="798" t="s">
        <v>725</v>
      </c>
      <c r="T221" s="798">
        <v>273.33000000000004</v>
      </c>
      <c r="U221" s="88">
        <v>40445.618037615779</v>
      </c>
      <c r="V221" s="71">
        <v>140.82610763545895</v>
      </c>
      <c r="W221" s="449"/>
      <c r="X221" s="67">
        <v>38016</v>
      </c>
      <c r="Y221" s="163">
        <v>476</v>
      </c>
      <c r="Z221" s="166">
        <v>1.2521043771043771E-2</v>
      </c>
      <c r="AA221" s="61"/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1180</v>
      </c>
      <c r="E222" s="67">
        <v>163594</v>
      </c>
      <c r="F222" s="146">
        <v>0</v>
      </c>
      <c r="G222" s="146">
        <v>0</v>
      </c>
      <c r="H222" s="91">
        <v>163594</v>
      </c>
      <c r="I222" s="67">
        <v>0</v>
      </c>
      <c r="J222" s="739">
        <v>163594</v>
      </c>
      <c r="K222" s="132" t="s">
        <v>621</v>
      </c>
      <c r="L222" s="740">
        <v>0</v>
      </c>
      <c r="M222" s="741">
        <v>1180</v>
      </c>
      <c r="N222" s="67">
        <v>2580</v>
      </c>
      <c r="O222" s="67">
        <v>166174</v>
      </c>
      <c r="Q222" s="674">
        <v>0</v>
      </c>
      <c r="R222" s="674">
        <v>0</v>
      </c>
      <c r="S222" s="798" t="s">
        <v>1674</v>
      </c>
      <c r="T222" s="798">
        <v>0</v>
      </c>
      <c r="U222" s="88">
        <v>166174</v>
      </c>
      <c r="V222" s="71">
        <v>140.82542372881355</v>
      </c>
      <c r="W222" s="449"/>
      <c r="X222" s="67">
        <v>178139</v>
      </c>
      <c r="Y222" s="163">
        <v>-11965</v>
      </c>
      <c r="Z222" s="166">
        <v>-6.7166650761484009E-2</v>
      </c>
      <c r="AA222" s="61"/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132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98">
        <v>0</v>
      </c>
      <c r="T223" s="798">
        <v>0</v>
      </c>
      <c r="U223" s="88">
        <v>0</v>
      </c>
      <c r="V223" s="71">
        <v>0</v>
      </c>
      <c r="W223" s="449"/>
      <c r="X223" s="67">
        <v>0</v>
      </c>
      <c r="Y223" s="163">
        <v>0</v>
      </c>
      <c r="Z223" s="166">
        <v>0</v>
      </c>
      <c r="AA223" s="61"/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521</v>
      </c>
      <c r="E224" s="67">
        <v>72231</v>
      </c>
      <c r="F224" s="146">
        <v>0</v>
      </c>
      <c r="G224" s="146">
        <v>0</v>
      </c>
      <c r="H224" s="91">
        <v>72231</v>
      </c>
      <c r="I224" s="67">
        <v>0</v>
      </c>
      <c r="J224" s="739">
        <v>72231</v>
      </c>
      <c r="K224" s="132" t="s">
        <v>621</v>
      </c>
      <c r="L224" s="740">
        <v>0</v>
      </c>
      <c r="M224" s="741">
        <v>521</v>
      </c>
      <c r="N224" s="67">
        <v>1139</v>
      </c>
      <c r="O224" s="67">
        <v>73370</v>
      </c>
      <c r="Q224" s="674">
        <v>0</v>
      </c>
      <c r="R224" s="674">
        <v>3723.8319891626224</v>
      </c>
      <c r="S224" s="798" t="s">
        <v>725</v>
      </c>
      <c r="T224" s="798">
        <v>521</v>
      </c>
      <c r="U224" s="88">
        <v>77093.831989162616</v>
      </c>
      <c r="V224" s="71">
        <v>140.8253358925144</v>
      </c>
      <c r="W224" s="449"/>
      <c r="X224" s="67">
        <v>81991</v>
      </c>
      <c r="Y224" s="163">
        <v>-8621</v>
      </c>
      <c r="Z224" s="166">
        <v>-0.10514568672171336</v>
      </c>
      <c r="AA224" s="61"/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305.22000000000003</v>
      </c>
      <c r="E225" s="67">
        <v>42315</v>
      </c>
      <c r="F225" s="146">
        <v>0</v>
      </c>
      <c r="G225" s="146">
        <v>0</v>
      </c>
      <c r="H225" s="91">
        <v>42315</v>
      </c>
      <c r="I225" s="67">
        <v>0</v>
      </c>
      <c r="J225" s="739">
        <v>42315</v>
      </c>
      <c r="K225" s="132" t="s">
        <v>621</v>
      </c>
      <c r="L225" s="740">
        <v>0</v>
      </c>
      <c r="M225" s="741">
        <v>305.22000000000003</v>
      </c>
      <c r="N225" s="67">
        <v>667</v>
      </c>
      <c r="O225" s="67">
        <v>42982</v>
      </c>
      <c r="Q225" s="674">
        <v>0</v>
      </c>
      <c r="R225" s="674">
        <v>2181.5508632096271</v>
      </c>
      <c r="S225" s="798" t="s">
        <v>725</v>
      </c>
      <c r="T225" s="798">
        <v>305.22000000000003</v>
      </c>
      <c r="U225" s="88">
        <v>45163.550863209624</v>
      </c>
      <c r="V225" s="71">
        <v>140.82301290872155</v>
      </c>
      <c r="W225" s="449"/>
      <c r="X225" s="67">
        <v>46944</v>
      </c>
      <c r="Y225" s="163">
        <v>-3962</v>
      </c>
      <c r="Z225" s="166">
        <v>-8.4398432174505794E-2</v>
      </c>
      <c r="AA225" s="61"/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111.56</v>
      </c>
      <c r="E226" s="67">
        <v>15467</v>
      </c>
      <c r="F226" s="146">
        <v>0</v>
      </c>
      <c r="G226" s="146">
        <v>0</v>
      </c>
      <c r="H226" s="91">
        <v>15467</v>
      </c>
      <c r="I226" s="67">
        <v>0</v>
      </c>
      <c r="J226" s="739">
        <v>15467</v>
      </c>
      <c r="K226" s="132" t="s">
        <v>621</v>
      </c>
      <c r="L226" s="740">
        <v>0</v>
      </c>
      <c r="M226" s="741">
        <v>111.56</v>
      </c>
      <c r="N226" s="67">
        <v>244</v>
      </c>
      <c r="O226" s="67">
        <v>15711</v>
      </c>
      <c r="Q226" s="674">
        <v>0</v>
      </c>
      <c r="R226" s="674">
        <v>0</v>
      </c>
      <c r="S226" s="798" t="s">
        <v>1674</v>
      </c>
      <c r="T226" s="798">
        <v>0</v>
      </c>
      <c r="U226" s="88">
        <v>15711</v>
      </c>
      <c r="V226" s="71">
        <v>140.83004661168877</v>
      </c>
      <c r="W226" s="449"/>
      <c r="X226" s="67">
        <v>15813</v>
      </c>
      <c r="Y226" s="163">
        <v>-102</v>
      </c>
      <c r="Z226" s="166">
        <v>-6.4503889205084425E-3</v>
      </c>
      <c r="AA226" s="61"/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147.56</v>
      </c>
      <c r="E227" s="67">
        <v>20458</v>
      </c>
      <c r="F227" s="146">
        <v>0</v>
      </c>
      <c r="G227" s="146">
        <v>0</v>
      </c>
      <c r="H227" s="91">
        <v>20458</v>
      </c>
      <c r="I227" s="67">
        <v>0</v>
      </c>
      <c r="J227" s="739">
        <v>20458</v>
      </c>
      <c r="K227" s="132" t="s">
        <v>621</v>
      </c>
      <c r="L227" s="740">
        <v>0</v>
      </c>
      <c r="M227" s="741">
        <v>147.56</v>
      </c>
      <c r="N227" s="67">
        <v>323</v>
      </c>
      <c r="O227" s="67">
        <v>20781</v>
      </c>
      <c r="Q227" s="674">
        <v>0</v>
      </c>
      <c r="R227" s="674">
        <v>0</v>
      </c>
      <c r="S227" s="798" t="s">
        <v>1674</v>
      </c>
      <c r="T227" s="798">
        <v>0</v>
      </c>
      <c r="U227" s="88">
        <v>20781</v>
      </c>
      <c r="V227" s="71">
        <v>140.83084846841962</v>
      </c>
      <c r="W227" s="449"/>
      <c r="X227" s="67">
        <v>19578</v>
      </c>
      <c r="Y227" s="163">
        <v>1203</v>
      </c>
      <c r="Z227" s="166">
        <v>6.1446521605884152E-2</v>
      </c>
      <c r="AA227" s="61"/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0</v>
      </c>
      <c r="E228" s="67">
        <v>1</v>
      </c>
      <c r="F228" s="146">
        <v>0</v>
      </c>
      <c r="G228" s="146">
        <v>0</v>
      </c>
      <c r="H228" s="91">
        <v>1</v>
      </c>
      <c r="I228" s="67">
        <v>0</v>
      </c>
      <c r="J228" s="739">
        <v>1</v>
      </c>
      <c r="K228" s="132" t="s">
        <v>644</v>
      </c>
      <c r="L228" s="740">
        <v>1</v>
      </c>
      <c r="M228" s="741">
        <v>0</v>
      </c>
      <c r="N228" s="67">
        <v>0</v>
      </c>
      <c r="O228" s="303">
        <v>0</v>
      </c>
      <c r="Q228" s="674">
        <v>0</v>
      </c>
      <c r="R228" s="674">
        <v>0</v>
      </c>
      <c r="S228" s="798">
        <v>0</v>
      </c>
      <c r="T228" s="798">
        <v>0</v>
      </c>
      <c r="U228" s="88">
        <v>0</v>
      </c>
      <c r="V228" s="71">
        <v>0</v>
      </c>
      <c r="W228" s="449"/>
      <c r="X228" s="67">
        <v>0</v>
      </c>
      <c r="Y228" s="163">
        <v>0</v>
      </c>
      <c r="Z228" s="166">
        <v>0</v>
      </c>
      <c r="AA228" s="61"/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32.56</v>
      </c>
      <c r="E229" s="67">
        <v>4514</v>
      </c>
      <c r="F229" s="146">
        <v>0</v>
      </c>
      <c r="G229" s="146">
        <v>0</v>
      </c>
      <c r="H229" s="91">
        <v>4514</v>
      </c>
      <c r="I229" s="67">
        <v>0</v>
      </c>
      <c r="J229" s="739">
        <v>4514</v>
      </c>
      <c r="K229" s="132" t="s">
        <v>644</v>
      </c>
      <c r="L229" s="740">
        <v>4514</v>
      </c>
      <c r="M229" s="741">
        <v>0</v>
      </c>
      <c r="N229" s="67">
        <v>0</v>
      </c>
      <c r="O229" s="67">
        <v>0</v>
      </c>
      <c r="Q229" s="674">
        <v>0</v>
      </c>
      <c r="R229" s="674">
        <v>0</v>
      </c>
      <c r="S229" s="798">
        <v>0</v>
      </c>
      <c r="T229" s="798">
        <v>0</v>
      </c>
      <c r="U229" s="88">
        <v>0</v>
      </c>
      <c r="V229" s="71">
        <v>0</v>
      </c>
      <c r="W229" s="449"/>
      <c r="X229" s="67">
        <v>5056</v>
      </c>
      <c r="Y229" s="163">
        <v>-5056</v>
      </c>
      <c r="Z229" s="166">
        <v>-1</v>
      </c>
      <c r="AA229" s="61"/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114.67</v>
      </c>
      <c r="E230" s="67">
        <v>15898</v>
      </c>
      <c r="F230" s="146">
        <v>0</v>
      </c>
      <c r="G230" s="146">
        <v>0</v>
      </c>
      <c r="H230" s="91">
        <v>15898</v>
      </c>
      <c r="I230" s="67">
        <v>0</v>
      </c>
      <c r="J230" s="739">
        <v>15898</v>
      </c>
      <c r="K230" s="132" t="s">
        <v>621</v>
      </c>
      <c r="L230" s="740">
        <v>0</v>
      </c>
      <c r="M230" s="741">
        <v>114.67</v>
      </c>
      <c r="N230" s="67">
        <v>251</v>
      </c>
      <c r="O230" s="67">
        <v>16149</v>
      </c>
      <c r="P230" s="674"/>
      <c r="Q230" s="674">
        <v>0</v>
      </c>
      <c r="R230" s="674">
        <v>0</v>
      </c>
      <c r="S230" s="798" t="s">
        <v>1674</v>
      </c>
      <c r="T230" s="798">
        <v>0</v>
      </c>
      <c r="U230" s="88">
        <v>16149</v>
      </c>
      <c r="V230" s="71">
        <v>140.83020842417372</v>
      </c>
      <c r="W230" s="449"/>
      <c r="X230" s="67">
        <v>14135</v>
      </c>
      <c r="Y230" s="163">
        <v>2014</v>
      </c>
      <c r="Z230" s="166">
        <v>0.14248319773611604</v>
      </c>
      <c r="AA230" s="115"/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1574.56</v>
      </c>
      <c r="E231" s="67">
        <v>218295</v>
      </c>
      <c r="F231" s="146">
        <v>0</v>
      </c>
      <c r="G231" s="146">
        <v>0</v>
      </c>
      <c r="H231" s="91">
        <v>218295</v>
      </c>
      <c r="I231" s="67">
        <v>0</v>
      </c>
      <c r="J231" s="739">
        <v>218295</v>
      </c>
      <c r="K231" s="132" t="s">
        <v>621</v>
      </c>
      <c r="L231" s="740">
        <v>0</v>
      </c>
      <c r="M231" s="741">
        <v>1574.56</v>
      </c>
      <c r="N231" s="67">
        <v>3443</v>
      </c>
      <c r="O231" s="67">
        <v>221738</v>
      </c>
      <c r="Q231" s="674">
        <v>0</v>
      </c>
      <c r="R231" s="674">
        <v>11254.120723331858</v>
      </c>
      <c r="S231" s="798" t="s">
        <v>725</v>
      </c>
      <c r="T231" s="798">
        <v>1574.56</v>
      </c>
      <c r="U231" s="88">
        <v>232992.12072333187</v>
      </c>
      <c r="V231" s="71">
        <v>140.82537343765878</v>
      </c>
      <c r="W231" s="449"/>
      <c r="X231" s="67">
        <v>215659</v>
      </c>
      <c r="Y231" s="163">
        <v>6079</v>
      </c>
      <c r="Z231" s="166">
        <v>2.8188019048590598E-2</v>
      </c>
      <c r="AA231" s="61"/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132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98">
        <v>0</v>
      </c>
      <c r="T232" s="798">
        <v>0</v>
      </c>
      <c r="U232" s="88">
        <v>0</v>
      </c>
      <c r="V232" s="71">
        <v>0</v>
      </c>
      <c r="W232" s="449"/>
      <c r="X232" s="67">
        <v>0</v>
      </c>
      <c r="Y232" s="163">
        <v>0</v>
      </c>
      <c r="Z232" s="166">
        <v>0</v>
      </c>
      <c r="AA232" s="61"/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98">
        <v>0</v>
      </c>
      <c r="T233" s="798">
        <v>0</v>
      </c>
      <c r="U233" s="88">
        <v>0</v>
      </c>
      <c r="V233" s="71">
        <v>0</v>
      </c>
      <c r="W233" s="449"/>
      <c r="X233" s="67">
        <v>0</v>
      </c>
      <c r="Y233" s="163">
        <v>0</v>
      </c>
      <c r="Z233" s="166">
        <v>0</v>
      </c>
      <c r="AA233" s="61"/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132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>
        <v>0</v>
      </c>
      <c r="S234" s="798">
        <v>0</v>
      </c>
      <c r="T234" s="798">
        <v>0</v>
      </c>
      <c r="U234" s="88">
        <v>0</v>
      </c>
      <c r="V234" s="71">
        <v>0</v>
      </c>
      <c r="W234" s="449"/>
      <c r="X234" s="67">
        <v>0</v>
      </c>
      <c r="Y234" s="163">
        <v>0</v>
      </c>
      <c r="Z234" s="166">
        <v>0</v>
      </c>
      <c r="AA234" s="61"/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11.67</v>
      </c>
      <c r="E235" s="67">
        <v>1618</v>
      </c>
      <c r="F235" s="146">
        <v>0</v>
      </c>
      <c r="G235" s="146">
        <v>0</v>
      </c>
      <c r="H235" s="91">
        <v>1618</v>
      </c>
      <c r="I235" s="67">
        <v>0</v>
      </c>
      <c r="J235" s="739">
        <v>1618</v>
      </c>
      <c r="K235" s="132" t="s">
        <v>723</v>
      </c>
      <c r="L235" s="740">
        <v>1618</v>
      </c>
      <c r="M235" s="741">
        <v>0</v>
      </c>
      <c r="N235" s="67">
        <v>0</v>
      </c>
      <c r="O235" s="67">
        <v>0</v>
      </c>
      <c r="Q235" s="674">
        <v>0</v>
      </c>
      <c r="R235" s="674">
        <v>0</v>
      </c>
      <c r="S235" s="798">
        <v>0</v>
      </c>
      <c r="T235" s="798">
        <v>0</v>
      </c>
      <c r="U235" s="88">
        <v>0</v>
      </c>
      <c r="V235" s="71">
        <v>0</v>
      </c>
      <c r="W235" s="449"/>
      <c r="X235" s="67">
        <v>1119</v>
      </c>
      <c r="Y235" s="163">
        <v>-1119</v>
      </c>
      <c r="Z235" s="166">
        <v>-1</v>
      </c>
      <c r="AA235" s="61"/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316.22000000000003</v>
      </c>
      <c r="E236" s="67">
        <v>43840</v>
      </c>
      <c r="F236" s="146">
        <v>0</v>
      </c>
      <c r="G236" s="146">
        <v>0</v>
      </c>
      <c r="H236" s="91">
        <v>43840</v>
      </c>
      <c r="I236" s="67">
        <v>0</v>
      </c>
      <c r="J236" s="739">
        <v>43840</v>
      </c>
      <c r="K236" s="132" t="s">
        <v>621</v>
      </c>
      <c r="L236" s="740">
        <v>0</v>
      </c>
      <c r="M236" s="741">
        <v>316.22000000000003</v>
      </c>
      <c r="N236" s="67">
        <v>691</v>
      </c>
      <c r="O236" s="67">
        <v>44531</v>
      </c>
      <c r="Q236" s="674">
        <v>0</v>
      </c>
      <c r="R236" s="674">
        <v>0</v>
      </c>
      <c r="S236" s="798" t="s">
        <v>1674</v>
      </c>
      <c r="T236" s="798">
        <v>0</v>
      </c>
      <c r="U236" s="88">
        <v>44531</v>
      </c>
      <c r="V236" s="71">
        <v>140.82284485484789</v>
      </c>
      <c r="W236" s="449"/>
      <c r="X236" s="67">
        <v>41436</v>
      </c>
      <c r="Y236" s="163">
        <v>3095</v>
      </c>
      <c r="Z236" s="166">
        <v>7.4693503233902891E-2</v>
      </c>
      <c r="AA236" s="61"/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374.78</v>
      </c>
      <c r="E237" s="67">
        <v>51959</v>
      </c>
      <c r="F237" s="146">
        <v>0</v>
      </c>
      <c r="G237" s="146">
        <v>0</v>
      </c>
      <c r="H237" s="91">
        <v>51959</v>
      </c>
      <c r="I237" s="67">
        <v>0</v>
      </c>
      <c r="J237" s="739">
        <v>51959</v>
      </c>
      <c r="K237" s="132" t="s">
        <v>621</v>
      </c>
      <c r="L237" s="740">
        <v>0</v>
      </c>
      <c r="M237" s="741">
        <v>374.78</v>
      </c>
      <c r="N237" s="67">
        <v>820</v>
      </c>
      <c r="O237" s="67">
        <v>52779</v>
      </c>
      <c r="Q237" s="674">
        <v>0</v>
      </c>
      <c r="R237" s="674">
        <v>0</v>
      </c>
      <c r="S237" s="798" t="s">
        <v>1674</v>
      </c>
      <c r="T237" s="798">
        <v>0</v>
      </c>
      <c r="U237" s="88">
        <v>52779</v>
      </c>
      <c r="V237" s="71">
        <v>140.82661828272589</v>
      </c>
      <c r="W237" s="449"/>
      <c r="X237" s="67">
        <v>50882</v>
      </c>
      <c r="Y237" s="163">
        <v>1897</v>
      </c>
      <c r="Z237" s="166">
        <v>3.7282339530678825E-2</v>
      </c>
      <c r="AA237" s="61"/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132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>
        <v>0</v>
      </c>
      <c r="S238" s="798">
        <v>0</v>
      </c>
      <c r="T238" s="798">
        <v>0</v>
      </c>
      <c r="U238" s="88">
        <v>0</v>
      </c>
      <c r="V238" s="71">
        <v>0</v>
      </c>
      <c r="W238" s="449"/>
      <c r="X238" s="67">
        <v>0</v>
      </c>
      <c r="Y238" s="163">
        <v>0</v>
      </c>
      <c r="Z238" s="166">
        <v>0</v>
      </c>
      <c r="AA238" s="61"/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121.78</v>
      </c>
      <c r="E239" s="67">
        <v>16883</v>
      </c>
      <c r="F239" s="146">
        <v>0</v>
      </c>
      <c r="G239" s="146">
        <v>0</v>
      </c>
      <c r="H239" s="91">
        <v>16883</v>
      </c>
      <c r="I239" s="67">
        <v>0</v>
      </c>
      <c r="J239" s="739">
        <v>16883</v>
      </c>
      <c r="K239" s="132" t="s">
        <v>621</v>
      </c>
      <c r="L239" s="740">
        <v>0</v>
      </c>
      <c r="M239" s="741">
        <v>121.78</v>
      </c>
      <c r="N239" s="67">
        <v>266</v>
      </c>
      <c r="O239" s="67">
        <v>17149</v>
      </c>
      <c r="Q239" s="674">
        <v>0</v>
      </c>
      <c r="R239" s="674">
        <v>0</v>
      </c>
      <c r="S239" s="798" t="s">
        <v>1674</v>
      </c>
      <c r="T239" s="798">
        <v>0</v>
      </c>
      <c r="U239" s="88">
        <v>17149</v>
      </c>
      <c r="V239" s="71">
        <v>140.8195105928724</v>
      </c>
      <c r="W239" s="449"/>
      <c r="X239" s="67">
        <v>14565</v>
      </c>
      <c r="Y239" s="163">
        <v>2584</v>
      </c>
      <c r="Z239" s="166">
        <v>0.1774116031582561</v>
      </c>
      <c r="AA239" s="61"/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126.33</v>
      </c>
      <c r="E240" s="67">
        <v>17514</v>
      </c>
      <c r="F240" s="146">
        <v>0</v>
      </c>
      <c r="G240" s="146">
        <v>0</v>
      </c>
      <c r="H240" s="91">
        <v>17514</v>
      </c>
      <c r="I240" s="67">
        <v>0</v>
      </c>
      <c r="J240" s="739">
        <v>17514</v>
      </c>
      <c r="K240" s="132" t="s">
        <v>621</v>
      </c>
      <c r="L240" s="740">
        <v>0</v>
      </c>
      <c r="M240" s="741">
        <v>126.33</v>
      </c>
      <c r="N240" s="67">
        <v>276</v>
      </c>
      <c r="O240" s="67">
        <v>17790</v>
      </c>
      <c r="Q240" s="674">
        <v>0</v>
      </c>
      <c r="R240" s="674">
        <v>0</v>
      </c>
      <c r="S240" s="798" t="s">
        <v>1674</v>
      </c>
      <c r="T240" s="798">
        <v>0</v>
      </c>
      <c r="U240" s="88">
        <v>17790</v>
      </c>
      <c r="V240" s="71">
        <v>140.8216575635241</v>
      </c>
      <c r="W240" s="449"/>
      <c r="X240" s="67">
        <v>18028</v>
      </c>
      <c r="Y240" s="163">
        <v>-238</v>
      </c>
      <c r="Z240" s="166">
        <v>-1.3201686265808742E-2</v>
      </c>
      <c r="AA240" s="61"/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0</v>
      </c>
      <c r="E241" s="67">
        <v>0</v>
      </c>
      <c r="F241" s="146">
        <v>0</v>
      </c>
      <c r="G241" s="146">
        <v>0</v>
      </c>
      <c r="H241" s="91">
        <v>0</v>
      </c>
      <c r="I241" s="67">
        <v>0</v>
      </c>
      <c r="J241" s="739">
        <v>0</v>
      </c>
      <c r="K241" s="132" t="s">
        <v>644</v>
      </c>
      <c r="L241" s="740">
        <v>0</v>
      </c>
      <c r="M241" s="741">
        <v>0</v>
      </c>
      <c r="N241" s="67">
        <v>0</v>
      </c>
      <c r="O241" s="67">
        <v>0</v>
      </c>
      <c r="Q241" s="674">
        <v>0</v>
      </c>
      <c r="R241" s="674">
        <v>0</v>
      </c>
      <c r="S241" s="798">
        <v>0</v>
      </c>
      <c r="T241" s="798">
        <v>0</v>
      </c>
      <c r="U241" s="88">
        <v>0</v>
      </c>
      <c r="V241" s="71">
        <v>0</v>
      </c>
      <c r="W241" s="449"/>
      <c r="X241" s="67">
        <v>0</v>
      </c>
      <c r="Y241" s="163">
        <v>0</v>
      </c>
      <c r="Z241" s="166">
        <v>0</v>
      </c>
      <c r="AA241" s="61"/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119.33</v>
      </c>
      <c r="E242" s="67">
        <v>16544</v>
      </c>
      <c r="F242" s="146">
        <v>0</v>
      </c>
      <c r="G242" s="146">
        <v>0</v>
      </c>
      <c r="H242" s="91">
        <v>16544</v>
      </c>
      <c r="I242" s="67">
        <v>0</v>
      </c>
      <c r="J242" s="739">
        <v>16544</v>
      </c>
      <c r="K242" s="132" t="s">
        <v>621</v>
      </c>
      <c r="L242" s="740">
        <v>0</v>
      </c>
      <c r="M242" s="741">
        <v>119.33</v>
      </c>
      <c r="N242" s="67">
        <v>261</v>
      </c>
      <c r="O242" s="67">
        <v>16805</v>
      </c>
      <c r="Q242" s="674">
        <v>0</v>
      </c>
      <c r="R242" s="674">
        <v>852.90762239304365</v>
      </c>
      <c r="S242" s="798" t="s">
        <v>725</v>
      </c>
      <c r="T242" s="798">
        <v>119.33</v>
      </c>
      <c r="U242" s="88">
        <v>17657.907622393042</v>
      </c>
      <c r="V242" s="71">
        <v>140.82795608815888</v>
      </c>
      <c r="W242" s="449"/>
      <c r="X242" s="67">
        <v>16286</v>
      </c>
      <c r="Y242" s="163">
        <v>519</v>
      </c>
      <c r="Z242" s="166">
        <v>3.1867861967333905E-2</v>
      </c>
      <c r="AA242" s="61"/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4</v>
      </c>
      <c r="E243" s="67">
        <v>555</v>
      </c>
      <c r="F243" s="146">
        <v>0</v>
      </c>
      <c r="G243" s="146">
        <v>0</v>
      </c>
      <c r="H243" s="91">
        <v>555</v>
      </c>
      <c r="I243" s="67">
        <v>0</v>
      </c>
      <c r="J243" s="739">
        <v>555</v>
      </c>
      <c r="K243" s="132" t="s">
        <v>723</v>
      </c>
      <c r="L243" s="740">
        <v>555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98">
        <v>0</v>
      </c>
      <c r="T243" s="798">
        <v>0</v>
      </c>
      <c r="U243" s="88">
        <v>0</v>
      </c>
      <c r="V243" s="71">
        <v>0</v>
      </c>
      <c r="W243" s="449"/>
      <c r="X243" s="67">
        <v>1119</v>
      </c>
      <c r="Y243" s="163">
        <v>-1119</v>
      </c>
      <c r="Z243" s="166">
        <v>-1</v>
      </c>
      <c r="AA243" s="61"/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14.78</v>
      </c>
      <c r="E244" s="67">
        <v>2049</v>
      </c>
      <c r="F244" s="146">
        <v>0</v>
      </c>
      <c r="G244" s="146">
        <v>0</v>
      </c>
      <c r="H244" s="91">
        <v>2049</v>
      </c>
      <c r="I244" s="67">
        <v>0</v>
      </c>
      <c r="J244" s="739">
        <v>2049</v>
      </c>
      <c r="K244" s="132" t="s">
        <v>723</v>
      </c>
      <c r="L244" s="740">
        <v>2049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98">
        <v>0</v>
      </c>
      <c r="T244" s="798">
        <v>0</v>
      </c>
      <c r="U244" s="88">
        <v>0</v>
      </c>
      <c r="V244" s="71">
        <v>0</v>
      </c>
      <c r="W244" s="449"/>
      <c r="X244" s="67">
        <v>2023</v>
      </c>
      <c r="Y244" s="163">
        <v>-2023</v>
      </c>
      <c r="Z244" s="166">
        <v>-1</v>
      </c>
      <c r="AA244" s="61"/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132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>
        <v>0</v>
      </c>
      <c r="S245" s="798">
        <v>0</v>
      </c>
      <c r="T245" s="798">
        <v>0</v>
      </c>
      <c r="U245" s="88">
        <v>0</v>
      </c>
      <c r="V245" s="71">
        <v>0</v>
      </c>
      <c r="W245" s="449"/>
      <c r="X245" s="67">
        <v>0</v>
      </c>
      <c r="Y245" s="163">
        <v>0</v>
      </c>
      <c r="Z245" s="166">
        <v>0</v>
      </c>
      <c r="AA245" s="61"/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1.8900000000000001</v>
      </c>
      <c r="E246" s="67">
        <v>262</v>
      </c>
      <c r="F246" s="146">
        <v>0</v>
      </c>
      <c r="G246" s="146">
        <v>0</v>
      </c>
      <c r="H246" s="91">
        <v>262</v>
      </c>
      <c r="I246" s="67">
        <v>0</v>
      </c>
      <c r="J246" s="739">
        <v>262</v>
      </c>
      <c r="K246" s="132" t="s">
        <v>723</v>
      </c>
      <c r="L246" s="740">
        <v>262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98">
        <v>0</v>
      </c>
      <c r="T246" s="798">
        <v>0</v>
      </c>
      <c r="U246" s="88">
        <v>0</v>
      </c>
      <c r="V246" s="71">
        <v>0</v>
      </c>
      <c r="W246" s="449"/>
      <c r="X246" s="67">
        <v>774</v>
      </c>
      <c r="Y246" s="163">
        <v>-774</v>
      </c>
      <c r="Z246" s="166">
        <v>-1</v>
      </c>
      <c r="AA246" s="61"/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207</v>
      </c>
      <c r="E247" s="67">
        <v>28698</v>
      </c>
      <c r="F247" s="146">
        <v>0</v>
      </c>
      <c r="G247" s="146">
        <v>0</v>
      </c>
      <c r="H247" s="91">
        <v>28698</v>
      </c>
      <c r="I247" s="67">
        <v>0</v>
      </c>
      <c r="J247" s="739">
        <v>28698</v>
      </c>
      <c r="K247" s="132" t="s">
        <v>621</v>
      </c>
      <c r="L247" s="740">
        <v>0</v>
      </c>
      <c r="M247" s="741">
        <v>207</v>
      </c>
      <c r="N247" s="67">
        <v>453</v>
      </c>
      <c r="O247" s="67">
        <v>29151</v>
      </c>
      <c r="Q247" s="674">
        <v>0</v>
      </c>
      <c r="R247" s="674">
        <v>0</v>
      </c>
      <c r="S247" s="798" t="s">
        <v>1674</v>
      </c>
      <c r="T247" s="798">
        <v>0</v>
      </c>
      <c r="U247" s="88">
        <v>29151</v>
      </c>
      <c r="V247" s="71">
        <v>140.82608695652175</v>
      </c>
      <c r="W247" s="449"/>
      <c r="X247" s="67">
        <v>24096</v>
      </c>
      <c r="Y247" s="163">
        <v>5055</v>
      </c>
      <c r="Z247" s="166">
        <v>0.20978585657370519</v>
      </c>
      <c r="AA247" s="61"/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132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>
        <v>0</v>
      </c>
      <c r="S248" s="798">
        <v>0</v>
      </c>
      <c r="T248" s="798">
        <v>0</v>
      </c>
      <c r="U248" s="88">
        <v>0</v>
      </c>
      <c r="V248" s="71">
        <v>0</v>
      </c>
      <c r="W248" s="449"/>
      <c r="X248" s="67">
        <v>0</v>
      </c>
      <c r="Y248" s="163">
        <v>0</v>
      </c>
      <c r="Z248" s="166">
        <v>0</v>
      </c>
      <c r="AA248" s="61"/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32.44</v>
      </c>
      <c r="E249" s="67">
        <v>4497</v>
      </c>
      <c r="F249" s="146">
        <v>0</v>
      </c>
      <c r="G249" s="146">
        <v>0</v>
      </c>
      <c r="H249" s="91">
        <v>4497</v>
      </c>
      <c r="I249" s="67">
        <v>0</v>
      </c>
      <c r="J249" s="739">
        <v>4497</v>
      </c>
      <c r="K249" s="132" t="s">
        <v>723</v>
      </c>
      <c r="L249" s="740">
        <v>4497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98">
        <v>0</v>
      </c>
      <c r="T249" s="798">
        <v>0</v>
      </c>
      <c r="U249" s="88">
        <v>0</v>
      </c>
      <c r="V249" s="71">
        <v>0</v>
      </c>
      <c r="W249" s="449"/>
      <c r="X249" s="67">
        <v>4776</v>
      </c>
      <c r="Y249" s="163">
        <v>-4776</v>
      </c>
      <c r="Z249" s="166">
        <v>-1</v>
      </c>
      <c r="AA249" s="61"/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98">
        <v>0</v>
      </c>
      <c r="T250" s="798">
        <v>0</v>
      </c>
      <c r="U250" s="88">
        <v>0</v>
      </c>
      <c r="V250" s="71">
        <v>0</v>
      </c>
      <c r="W250" s="449"/>
      <c r="X250" s="67">
        <v>0</v>
      </c>
      <c r="Y250" s="163">
        <v>0</v>
      </c>
      <c r="Z250" s="166">
        <v>0</v>
      </c>
      <c r="AA250" s="61"/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98">
        <v>0</v>
      </c>
      <c r="T251" s="798">
        <v>0</v>
      </c>
      <c r="U251" s="88">
        <v>0</v>
      </c>
      <c r="V251" s="71">
        <v>0</v>
      </c>
      <c r="W251" s="449"/>
      <c r="X251" s="67">
        <v>0</v>
      </c>
      <c r="Y251" s="163">
        <v>0</v>
      </c>
      <c r="Z251" s="166">
        <v>0</v>
      </c>
      <c r="AA251" s="61"/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132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>
        <v>0</v>
      </c>
      <c r="S252" s="798">
        <v>0</v>
      </c>
      <c r="T252" s="798">
        <v>0</v>
      </c>
      <c r="U252" s="88">
        <v>0</v>
      </c>
      <c r="V252" s="71">
        <v>0</v>
      </c>
      <c r="W252" s="449"/>
      <c r="X252" s="67">
        <v>0</v>
      </c>
      <c r="Y252" s="163">
        <v>0</v>
      </c>
      <c r="Z252" s="166">
        <v>0</v>
      </c>
      <c r="AA252" s="61"/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98">
        <v>0</v>
      </c>
      <c r="T253" s="798">
        <v>0</v>
      </c>
      <c r="U253" s="88">
        <v>0</v>
      </c>
      <c r="V253" s="71">
        <v>0</v>
      </c>
      <c r="W253" s="449"/>
      <c r="X253" s="67">
        <v>0</v>
      </c>
      <c r="Y253" s="163">
        <v>0</v>
      </c>
      <c r="Z253" s="166">
        <v>0</v>
      </c>
      <c r="AA253" s="61"/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0</v>
      </c>
      <c r="E254" s="67">
        <v>0</v>
      </c>
      <c r="F254" s="146">
        <v>0</v>
      </c>
      <c r="G254" s="146">
        <v>0</v>
      </c>
      <c r="H254" s="91">
        <v>0</v>
      </c>
      <c r="I254" s="67">
        <v>0</v>
      </c>
      <c r="J254" s="739">
        <v>0</v>
      </c>
      <c r="K254" s="132" t="s">
        <v>644</v>
      </c>
      <c r="L254" s="740">
        <v>0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98">
        <v>0</v>
      </c>
      <c r="T254" s="798">
        <v>0</v>
      </c>
      <c r="U254" s="88">
        <v>0</v>
      </c>
      <c r="V254" s="71">
        <v>0</v>
      </c>
      <c r="W254" s="449"/>
      <c r="X254" s="67">
        <v>0</v>
      </c>
      <c r="Y254" s="163">
        <v>0</v>
      </c>
      <c r="Z254" s="166">
        <v>0</v>
      </c>
      <c r="AA254" s="61"/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132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>
        <v>0</v>
      </c>
      <c r="S255" s="798">
        <v>0</v>
      </c>
      <c r="T255" s="798">
        <v>0</v>
      </c>
      <c r="U255" s="88">
        <v>0</v>
      </c>
      <c r="V255" s="71">
        <v>0</v>
      </c>
      <c r="W255" s="449"/>
      <c r="X255" s="67">
        <v>0</v>
      </c>
      <c r="Y255" s="163">
        <v>0</v>
      </c>
      <c r="Z255" s="166">
        <v>0</v>
      </c>
      <c r="AA255" s="61"/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98">
        <v>0</v>
      </c>
      <c r="T256" s="798">
        <v>0</v>
      </c>
      <c r="U256" s="88">
        <v>0</v>
      </c>
      <c r="V256" s="71">
        <v>0</v>
      </c>
      <c r="W256" s="449"/>
      <c r="X256" s="67">
        <v>0</v>
      </c>
      <c r="Y256" s="163">
        <v>0</v>
      </c>
      <c r="Z256" s="166">
        <v>0</v>
      </c>
      <c r="AA256" s="61"/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97.78</v>
      </c>
      <c r="E257" s="67">
        <v>13556</v>
      </c>
      <c r="F257" s="146">
        <v>0</v>
      </c>
      <c r="G257" s="146">
        <v>0</v>
      </c>
      <c r="H257" s="91">
        <v>13556</v>
      </c>
      <c r="I257" s="67">
        <v>0</v>
      </c>
      <c r="J257" s="739">
        <v>13556</v>
      </c>
      <c r="K257" s="132" t="s">
        <v>723</v>
      </c>
      <c r="L257" s="740">
        <v>13556</v>
      </c>
      <c r="M257" s="741">
        <v>0</v>
      </c>
      <c r="N257" s="67">
        <v>0</v>
      </c>
      <c r="O257" s="67">
        <v>0</v>
      </c>
      <c r="Q257" s="674">
        <v>0</v>
      </c>
      <c r="R257" s="674">
        <v>0</v>
      </c>
      <c r="S257" s="798">
        <v>0</v>
      </c>
      <c r="T257" s="798">
        <v>0</v>
      </c>
      <c r="U257" s="88">
        <v>0</v>
      </c>
      <c r="V257" s="71">
        <v>0</v>
      </c>
      <c r="W257" s="449"/>
      <c r="X257" s="67">
        <v>14824</v>
      </c>
      <c r="Y257" s="163">
        <v>-14824</v>
      </c>
      <c r="Z257" s="166">
        <v>-1</v>
      </c>
      <c r="AA257" s="61"/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649.78</v>
      </c>
      <c r="E258" s="67">
        <v>90085</v>
      </c>
      <c r="F258" s="146">
        <v>0</v>
      </c>
      <c r="G258" s="146">
        <v>0</v>
      </c>
      <c r="H258" s="91">
        <v>90085</v>
      </c>
      <c r="I258" s="67">
        <v>0</v>
      </c>
      <c r="J258" s="739">
        <v>90085</v>
      </c>
      <c r="K258" s="132" t="s">
        <v>621</v>
      </c>
      <c r="L258" s="740">
        <v>0</v>
      </c>
      <c r="M258" s="741">
        <v>649.78</v>
      </c>
      <c r="N258" s="67">
        <v>1421</v>
      </c>
      <c r="O258" s="67">
        <v>91506</v>
      </c>
      <c r="Q258" s="674">
        <v>0</v>
      </c>
      <c r="R258" s="674">
        <v>0</v>
      </c>
      <c r="S258" s="798" t="s">
        <v>1674</v>
      </c>
      <c r="T258" s="798">
        <v>0</v>
      </c>
      <c r="U258" s="88">
        <v>91506</v>
      </c>
      <c r="V258" s="71">
        <v>140.82612576564375</v>
      </c>
      <c r="W258" s="449"/>
      <c r="X258" s="67">
        <v>91500</v>
      </c>
      <c r="Y258" s="163">
        <v>6</v>
      </c>
      <c r="Z258" s="166">
        <v>6.5573770491803284E-5</v>
      </c>
      <c r="AA258" s="61"/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94.44</v>
      </c>
      <c r="E259" s="67">
        <v>13093</v>
      </c>
      <c r="F259" s="146">
        <v>0</v>
      </c>
      <c r="G259" s="146">
        <v>0</v>
      </c>
      <c r="H259" s="91">
        <v>13093</v>
      </c>
      <c r="I259" s="67">
        <v>0</v>
      </c>
      <c r="J259" s="739">
        <v>13093</v>
      </c>
      <c r="K259" s="132" t="s">
        <v>621</v>
      </c>
      <c r="L259" s="740">
        <v>0</v>
      </c>
      <c r="M259" s="741">
        <v>94.44</v>
      </c>
      <c r="N259" s="67">
        <v>207</v>
      </c>
      <c r="O259" s="67">
        <v>13300</v>
      </c>
      <c r="Q259" s="674">
        <v>0</v>
      </c>
      <c r="R259" s="674">
        <v>675.00708840022662</v>
      </c>
      <c r="S259" s="798" t="s">
        <v>725</v>
      </c>
      <c r="T259" s="798">
        <v>94.44</v>
      </c>
      <c r="U259" s="88">
        <v>13975.007088400227</v>
      </c>
      <c r="V259" s="71">
        <v>140.83015671325711</v>
      </c>
      <c r="W259" s="449"/>
      <c r="X259" s="67">
        <v>13232</v>
      </c>
      <c r="Y259" s="163">
        <v>68</v>
      </c>
      <c r="Z259" s="166">
        <v>5.1390568319226119E-3</v>
      </c>
      <c r="AA259" s="61"/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235.89</v>
      </c>
      <c r="E260" s="67">
        <v>32704</v>
      </c>
      <c r="F260" s="146">
        <v>0</v>
      </c>
      <c r="G260" s="146">
        <v>0</v>
      </c>
      <c r="H260" s="91">
        <v>32704</v>
      </c>
      <c r="I260" s="67">
        <v>0</v>
      </c>
      <c r="J260" s="739">
        <v>32704</v>
      </c>
      <c r="K260" s="132" t="s">
        <v>621</v>
      </c>
      <c r="L260" s="740">
        <v>0</v>
      </c>
      <c r="M260" s="741">
        <v>235.89</v>
      </c>
      <c r="N260" s="67">
        <v>516</v>
      </c>
      <c r="O260" s="67">
        <v>33220</v>
      </c>
      <c r="Q260" s="674">
        <v>0</v>
      </c>
      <c r="R260" s="674">
        <v>0</v>
      </c>
      <c r="S260" s="798" t="s">
        <v>1674</v>
      </c>
      <c r="T260" s="798">
        <v>0</v>
      </c>
      <c r="U260" s="88">
        <v>33220</v>
      </c>
      <c r="V260" s="71">
        <v>140.82835219805841</v>
      </c>
      <c r="W260" s="449"/>
      <c r="X260" s="67">
        <v>30099</v>
      </c>
      <c r="Y260" s="163">
        <v>3121</v>
      </c>
      <c r="Z260" s="166">
        <v>0.10369115252998438</v>
      </c>
      <c r="AA260" s="61"/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132" t="s">
        <v>723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>
        <v>0</v>
      </c>
      <c r="S261" s="798">
        <v>0</v>
      </c>
      <c r="T261" s="798">
        <v>0</v>
      </c>
      <c r="U261" s="88">
        <v>0</v>
      </c>
      <c r="V261" s="71">
        <v>0</v>
      </c>
      <c r="W261" s="449"/>
      <c r="X261" s="67">
        <v>0</v>
      </c>
      <c r="Y261" s="163">
        <v>0</v>
      </c>
      <c r="Z261" s="166">
        <v>0</v>
      </c>
      <c r="AA261" s="61"/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3.89</v>
      </c>
      <c r="E262" s="67">
        <v>539</v>
      </c>
      <c r="F262" s="146">
        <v>0</v>
      </c>
      <c r="G262" s="146">
        <v>0</v>
      </c>
      <c r="H262" s="91">
        <v>539</v>
      </c>
      <c r="I262" s="67">
        <v>0</v>
      </c>
      <c r="J262" s="739">
        <v>539</v>
      </c>
      <c r="K262" s="132" t="s">
        <v>644</v>
      </c>
      <c r="L262" s="740">
        <v>539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98">
        <v>0</v>
      </c>
      <c r="T262" s="798">
        <v>0</v>
      </c>
      <c r="U262" s="88">
        <v>0</v>
      </c>
      <c r="V262" s="71">
        <v>0</v>
      </c>
      <c r="W262" s="449"/>
      <c r="X262" s="67">
        <v>753</v>
      </c>
      <c r="Y262" s="163">
        <v>-753</v>
      </c>
      <c r="Z262" s="166">
        <v>-1</v>
      </c>
      <c r="AA262" s="61"/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136</v>
      </c>
      <c r="E263" s="67">
        <v>18855</v>
      </c>
      <c r="F263" s="146">
        <v>0</v>
      </c>
      <c r="G263" s="146">
        <v>0</v>
      </c>
      <c r="H263" s="91">
        <v>18855</v>
      </c>
      <c r="I263" s="67">
        <v>0</v>
      </c>
      <c r="J263" s="739">
        <v>18855</v>
      </c>
      <c r="K263" s="132" t="s">
        <v>621</v>
      </c>
      <c r="L263" s="740">
        <v>0</v>
      </c>
      <c r="M263" s="741">
        <v>136</v>
      </c>
      <c r="N263" s="67">
        <v>297</v>
      </c>
      <c r="O263" s="67">
        <v>19152</v>
      </c>
      <c r="Q263" s="674">
        <v>0</v>
      </c>
      <c r="R263" s="674">
        <v>0</v>
      </c>
      <c r="S263" s="798" t="s">
        <v>1674</v>
      </c>
      <c r="T263" s="798">
        <v>0</v>
      </c>
      <c r="U263" s="88">
        <v>19152</v>
      </c>
      <c r="V263" s="71">
        <v>140.8235294117647</v>
      </c>
      <c r="W263" s="449"/>
      <c r="X263" s="67">
        <v>18695</v>
      </c>
      <c r="Y263" s="163">
        <v>457</v>
      </c>
      <c r="Z263" s="166">
        <v>2.4445038780422573E-2</v>
      </c>
      <c r="AA263" s="61"/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10</v>
      </c>
      <c r="E264" s="67">
        <v>1386</v>
      </c>
      <c r="F264" s="146">
        <v>0</v>
      </c>
      <c r="G264" s="146">
        <v>0</v>
      </c>
      <c r="H264" s="91">
        <v>1386</v>
      </c>
      <c r="I264" s="67">
        <v>0</v>
      </c>
      <c r="J264" s="739">
        <v>1386</v>
      </c>
      <c r="K264" s="132" t="s">
        <v>1306</v>
      </c>
      <c r="L264" s="740">
        <v>0</v>
      </c>
      <c r="M264" s="741">
        <v>10</v>
      </c>
      <c r="N264" s="67">
        <v>22</v>
      </c>
      <c r="O264" s="67">
        <v>1408</v>
      </c>
      <c r="Q264" s="674">
        <v>0</v>
      </c>
      <c r="R264" s="674">
        <v>0</v>
      </c>
      <c r="S264" s="798">
        <v>0</v>
      </c>
      <c r="T264" s="798">
        <v>0</v>
      </c>
      <c r="U264" s="88">
        <v>1408</v>
      </c>
      <c r="V264" s="71">
        <v>140.80000000000001</v>
      </c>
      <c r="W264" s="449"/>
      <c r="X264" s="67">
        <v>1979</v>
      </c>
      <c r="Y264" s="163">
        <v>-571</v>
      </c>
      <c r="Z264" s="166">
        <v>-0.28852956038403232</v>
      </c>
      <c r="AA264" s="61"/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132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98">
        <v>0</v>
      </c>
      <c r="T265" s="798">
        <v>0</v>
      </c>
      <c r="U265" s="88">
        <v>0</v>
      </c>
      <c r="V265" s="71">
        <v>0</v>
      </c>
      <c r="W265" s="449"/>
      <c r="X265" s="67">
        <v>0</v>
      </c>
      <c r="Y265" s="163">
        <v>0</v>
      </c>
      <c r="Z265" s="166">
        <v>0</v>
      </c>
      <c r="AA265" s="61"/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15.22</v>
      </c>
      <c r="E266" s="67">
        <v>2110</v>
      </c>
      <c r="F266" s="146">
        <v>0</v>
      </c>
      <c r="G266" s="146">
        <v>0</v>
      </c>
      <c r="H266" s="91">
        <v>2110</v>
      </c>
      <c r="I266" s="67">
        <v>0</v>
      </c>
      <c r="J266" s="739">
        <v>2110</v>
      </c>
      <c r="K266" s="132" t="s">
        <v>723</v>
      </c>
      <c r="L266" s="740">
        <v>2110</v>
      </c>
      <c r="M266" s="741">
        <v>0</v>
      </c>
      <c r="N266" s="67">
        <v>0</v>
      </c>
      <c r="O266" s="67">
        <v>0</v>
      </c>
      <c r="Q266" s="674">
        <v>0</v>
      </c>
      <c r="R266" s="674">
        <v>0</v>
      </c>
      <c r="S266" s="798">
        <v>0</v>
      </c>
      <c r="T266" s="798">
        <v>0</v>
      </c>
      <c r="U266" s="88">
        <v>0</v>
      </c>
      <c r="V266" s="71">
        <v>0</v>
      </c>
      <c r="W266" s="449"/>
      <c r="X266" s="67">
        <v>2108</v>
      </c>
      <c r="Y266" s="163">
        <v>-2108</v>
      </c>
      <c r="Z266" s="166">
        <v>-1</v>
      </c>
      <c r="AA266" s="61"/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132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>
        <v>0</v>
      </c>
      <c r="S267" s="798">
        <v>0</v>
      </c>
      <c r="T267" s="798">
        <v>0</v>
      </c>
      <c r="U267" s="88">
        <v>0</v>
      </c>
      <c r="V267" s="71">
        <v>0</v>
      </c>
      <c r="W267" s="449"/>
      <c r="X267" s="67">
        <v>0</v>
      </c>
      <c r="Y267" s="163">
        <v>0</v>
      </c>
      <c r="Z267" s="166">
        <v>0</v>
      </c>
      <c r="AA267" s="61"/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784.33</v>
      </c>
      <c r="E268" s="67">
        <v>108739</v>
      </c>
      <c r="F268" s="146">
        <v>0</v>
      </c>
      <c r="G268" s="146">
        <v>0</v>
      </c>
      <c r="H268" s="91">
        <v>108739</v>
      </c>
      <c r="I268" s="67">
        <v>0</v>
      </c>
      <c r="J268" s="739">
        <v>108739</v>
      </c>
      <c r="K268" s="132" t="s">
        <v>621</v>
      </c>
      <c r="L268" s="740">
        <v>0</v>
      </c>
      <c r="M268" s="741">
        <v>784.33</v>
      </c>
      <c r="N268" s="67">
        <v>1715</v>
      </c>
      <c r="O268" s="67">
        <v>110454</v>
      </c>
      <c r="Q268" s="674">
        <v>0</v>
      </c>
      <c r="R268" s="674">
        <v>0</v>
      </c>
      <c r="S268" s="798" t="s">
        <v>1674</v>
      </c>
      <c r="T268" s="798">
        <v>0</v>
      </c>
      <c r="U268" s="88">
        <v>110454</v>
      </c>
      <c r="V268" s="71">
        <v>140.82592786199686</v>
      </c>
      <c r="W268" s="449"/>
      <c r="X268" s="67">
        <v>117037</v>
      </c>
      <c r="Y268" s="163">
        <v>-6583</v>
      </c>
      <c r="Z268" s="166">
        <v>-5.6247169698471426E-2</v>
      </c>
      <c r="AA268" s="61"/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219.22</v>
      </c>
      <c r="E269" s="67">
        <v>30392</v>
      </c>
      <c r="F269" s="146">
        <v>0</v>
      </c>
      <c r="G269" s="146">
        <v>0</v>
      </c>
      <c r="H269" s="91">
        <v>30392</v>
      </c>
      <c r="I269" s="67">
        <v>0</v>
      </c>
      <c r="J269" s="739">
        <v>30392</v>
      </c>
      <c r="K269" s="132" t="s">
        <v>621</v>
      </c>
      <c r="L269" s="740">
        <v>0</v>
      </c>
      <c r="M269" s="741">
        <v>219.22</v>
      </c>
      <c r="N269" s="67">
        <v>479</v>
      </c>
      <c r="O269" s="67">
        <v>30871</v>
      </c>
      <c r="Q269" s="674">
        <v>0</v>
      </c>
      <c r="R269" s="674">
        <v>0</v>
      </c>
      <c r="S269" s="798" t="s">
        <v>1674</v>
      </c>
      <c r="T269" s="798">
        <v>0</v>
      </c>
      <c r="U269" s="88">
        <v>30871</v>
      </c>
      <c r="V269" s="71">
        <v>140.82200529148801</v>
      </c>
      <c r="W269" s="449"/>
      <c r="X269" s="67">
        <v>28378</v>
      </c>
      <c r="Y269" s="163">
        <v>2493</v>
      </c>
      <c r="Z269" s="166">
        <v>8.7849742758474875E-2</v>
      </c>
      <c r="AA269" s="61"/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24.89</v>
      </c>
      <c r="E270" s="67">
        <v>3451</v>
      </c>
      <c r="F270" s="146">
        <v>0</v>
      </c>
      <c r="G270" s="146">
        <v>0</v>
      </c>
      <c r="H270" s="91">
        <v>3451</v>
      </c>
      <c r="I270" s="67">
        <v>0</v>
      </c>
      <c r="J270" s="739">
        <v>3451</v>
      </c>
      <c r="K270" s="132" t="s">
        <v>644</v>
      </c>
      <c r="L270" s="740">
        <v>3451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98">
        <v>0</v>
      </c>
      <c r="T270" s="798">
        <v>0</v>
      </c>
      <c r="U270" s="88">
        <v>0</v>
      </c>
      <c r="V270" s="71">
        <v>0</v>
      </c>
      <c r="W270" s="449"/>
      <c r="X270" s="67">
        <v>4669</v>
      </c>
      <c r="Y270" s="163">
        <v>-4669</v>
      </c>
      <c r="Z270" s="166">
        <v>-1</v>
      </c>
      <c r="AA270" s="61"/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105.78</v>
      </c>
      <c r="E271" s="67">
        <v>14665</v>
      </c>
      <c r="F271" s="146">
        <v>0</v>
      </c>
      <c r="G271" s="146">
        <v>0</v>
      </c>
      <c r="H271" s="91">
        <v>14665</v>
      </c>
      <c r="I271" s="67">
        <v>0</v>
      </c>
      <c r="J271" s="739">
        <v>14665</v>
      </c>
      <c r="K271" s="132" t="s">
        <v>621</v>
      </c>
      <c r="L271" s="740">
        <v>0</v>
      </c>
      <c r="M271" s="741">
        <v>105.78</v>
      </c>
      <c r="N271" s="67">
        <v>231</v>
      </c>
      <c r="O271" s="67">
        <v>14896</v>
      </c>
      <c r="Q271" s="674">
        <v>0</v>
      </c>
      <c r="R271" s="674">
        <v>0</v>
      </c>
      <c r="S271" s="798" t="s">
        <v>1674</v>
      </c>
      <c r="T271" s="798">
        <v>0</v>
      </c>
      <c r="U271" s="88">
        <v>14896</v>
      </c>
      <c r="V271" s="71">
        <v>140.82057099640764</v>
      </c>
      <c r="W271" s="449"/>
      <c r="X271" s="67">
        <v>16545</v>
      </c>
      <c r="Y271" s="163">
        <v>-1649</v>
      </c>
      <c r="Z271" s="166">
        <v>-9.9667573284980354E-2</v>
      </c>
      <c r="AA271" s="61"/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0</v>
      </c>
      <c r="E272" s="67">
        <v>0</v>
      </c>
      <c r="F272" s="146">
        <v>0</v>
      </c>
      <c r="G272" s="146">
        <v>0</v>
      </c>
      <c r="H272" s="91">
        <v>0</v>
      </c>
      <c r="I272" s="67">
        <v>0</v>
      </c>
      <c r="J272" s="739">
        <v>0</v>
      </c>
      <c r="K272" s="132" t="s">
        <v>644</v>
      </c>
      <c r="L272" s="740">
        <v>0</v>
      </c>
      <c r="M272" s="741">
        <v>0</v>
      </c>
      <c r="N272" s="67">
        <v>0</v>
      </c>
      <c r="O272" s="67">
        <v>0</v>
      </c>
      <c r="Q272" s="674">
        <v>0</v>
      </c>
      <c r="R272" s="674">
        <v>0</v>
      </c>
      <c r="S272" s="798">
        <v>0</v>
      </c>
      <c r="T272" s="798">
        <v>0</v>
      </c>
      <c r="U272" s="88">
        <v>0</v>
      </c>
      <c r="V272" s="71">
        <v>0</v>
      </c>
      <c r="W272" s="449"/>
      <c r="X272" s="67">
        <v>0</v>
      </c>
      <c r="Y272" s="163">
        <v>0</v>
      </c>
      <c r="Z272" s="166">
        <v>0</v>
      </c>
      <c r="AA272" s="61"/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138.56</v>
      </c>
      <c r="E273" s="67">
        <v>19210</v>
      </c>
      <c r="F273" s="146">
        <v>0</v>
      </c>
      <c r="G273" s="146">
        <v>0</v>
      </c>
      <c r="H273" s="91">
        <v>19210</v>
      </c>
      <c r="I273" s="67">
        <v>0</v>
      </c>
      <c r="J273" s="739">
        <v>19210</v>
      </c>
      <c r="K273" s="132" t="s">
        <v>621</v>
      </c>
      <c r="L273" s="740">
        <v>0</v>
      </c>
      <c r="M273" s="741">
        <v>138.56</v>
      </c>
      <c r="N273" s="67">
        <v>303</v>
      </c>
      <c r="O273" s="67">
        <v>19513</v>
      </c>
      <c r="Q273" s="674">
        <v>0</v>
      </c>
      <c r="R273" s="674">
        <v>0</v>
      </c>
      <c r="S273" s="798" t="s">
        <v>1674</v>
      </c>
      <c r="T273" s="798">
        <v>0</v>
      </c>
      <c r="U273" s="88">
        <v>19513</v>
      </c>
      <c r="V273" s="71">
        <v>140.82707852193994</v>
      </c>
      <c r="W273" s="449"/>
      <c r="X273" s="67">
        <v>18137</v>
      </c>
      <c r="Y273" s="163">
        <v>1376</v>
      </c>
      <c r="Z273" s="166">
        <v>7.5867012185036109E-2</v>
      </c>
      <c r="AA273" s="61"/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735.89</v>
      </c>
      <c r="E274" s="67">
        <v>102023</v>
      </c>
      <c r="F274" s="146">
        <v>0</v>
      </c>
      <c r="G274" s="146">
        <v>0</v>
      </c>
      <c r="H274" s="91">
        <v>102023</v>
      </c>
      <c r="I274" s="67">
        <v>0</v>
      </c>
      <c r="J274" s="739">
        <v>102023</v>
      </c>
      <c r="K274" s="132" t="s">
        <v>621</v>
      </c>
      <c r="L274" s="740">
        <v>0</v>
      </c>
      <c r="M274" s="741">
        <v>735.89</v>
      </c>
      <c r="N274" s="67">
        <v>1609</v>
      </c>
      <c r="O274" s="67">
        <v>103632</v>
      </c>
      <c r="P274" s="674"/>
      <c r="Q274" s="674">
        <v>0</v>
      </c>
      <c r="R274" s="674">
        <v>5259.7518666120577</v>
      </c>
      <c r="S274" s="798" t="s">
        <v>725</v>
      </c>
      <c r="T274" s="798">
        <v>735.89</v>
      </c>
      <c r="U274" s="88">
        <v>108891.75186661206</v>
      </c>
      <c r="V274" s="71">
        <v>140.82539509981112</v>
      </c>
      <c r="W274" s="449"/>
      <c r="X274" s="67">
        <v>98514</v>
      </c>
      <c r="Y274" s="163">
        <v>5118</v>
      </c>
      <c r="Z274" s="166">
        <v>5.1952006821365491E-2</v>
      </c>
      <c r="AA274" s="115"/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259.33</v>
      </c>
      <c r="E275" s="67">
        <v>35953</v>
      </c>
      <c r="F275" s="146">
        <v>0</v>
      </c>
      <c r="G275" s="146">
        <v>0</v>
      </c>
      <c r="H275" s="91">
        <v>35953</v>
      </c>
      <c r="I275" s="67">
        <v>0</v>
      </c>
      <c r="J275" s="739">
        <v>35953</v>
      </c>
      <c r="K275" s="132" t="s">
        <v>644</v>
      </c>
      <c r="L275" s="740">
        <v>35953</v>
      </c>
      <c r="M275" s="741">
        <v>0</v>
      </c>
      <c r="N275" s="67">
        <v>0</v>
      </c>
      <c r="O275" s="67">
        <v>0</v>
      </c>
      <c r="Q275" s="674">
        <v>0</v>
      </c>
      <c r="R275" s="674">
        <v>1853.5534544137097</v>
      </c>
      <c r="S275" s="798" t="s">
        <v>725</v>
      </c>
      <c r="T275" s="798">
        <v>259.33</v>
      </c>
      <c r="U275" s="88">
        <v>1853.5534544137097</v>
      </c>
      <c r="V275" s="71">
        <v>0</v>
      </c>
      <c r="W275" s="449"/>
      <c r="X275" s="67">
        <v>35197</v>
      </c>
      <c r="Y275" s="163">
        <v>-35197</v>
      </c>
      <c r="Z275" s="166">
        <v>-1</v>
      </c>
      <c r="AA275" s="61"/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87.89</v>
      </c>
      <c r="E276" s="67">
        <v>12185</v>
      </c>
      <c r="F276" s="146">
        <v>0</v>
      </c>
      <c r="G276" s="146">
        <v>0</v>
      </c>
      <c r="H276" s="91">
        <v>12185</v>
      </c>
      <c r="I276" s="67">
        <v>0</v>
      </c>
      <c r="J276" s="739">
        <v>12185</v>
      </c>
      <c r="K276" s="132" t="s">
        <v>621</v>
      </c>
      <c r="L276" s="740">
        <v>0</v>
      </c>
      <c r="M276" s="741">
        <v>87.89</v>
      </c>
      <c r="N276" s="67">
        <v>192</v>
      </c>
      <c r="O276" s="67">
        <v>12377</v>
      </c>
      <c r="Q276" s="674">
        <v>0</v>
      </c>
      <c r="R276" s="674">
        <v>628.1911584021168</v>
      </c>
      <c r="S276" s="798" t="s">
        <v>725</v>
      </c>
      <c r="T276" s="798">
        <v>87.89</v>
      </c>
      <c r="U276" s="88">
        <v>13005.191158402116</v>
      </c>
      <c r="V276" s="71">
        <v>140.82375696893845</v>
      </c>
      <c r="W276" s="449"/>
      <c r="X276" s="67">
        <v>12456</v>
      </c>
      <c r="Y276" s="163">
        <v>-79</v>
      </c>
      <c r="Z276" s="166">
        <v>-6.3423249839434813E-3</v>
      </c>
      <c r="AA276" s="61"/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262</v>
      </c>
      <c r="E277" s="67">
        <v>36323</v>
      </c>
      <c r="F277" s="146">
        <v>0</v>
      </c>
      <c r="G277" s="146">
        <v>0</v>
      </c>
      <c r="H277" s="91">
        <v>36323</v>
      </c>
      <c r="I277" s="67">
        <v>0</v>
      </c>
      <c r="J277" s="739">
        <v>36323</v>
      </c>
      <c r="K277" s="132" t="s">
        <v>621</v>
      </c>
      <c r="L277" s="740">
        <v>0</v>
      </c>
      <c r="M277" s="741">
        <v>262</v>
      </c>
      <c r="N277" s="67">
        <v>573</v>
      </c>
      <c r="O277" s="67">
        <v>36896</v>
      </c>
      <c r="P277" s="674"/>
      <c r="Q277" s="674">
        <v>0</v>
      </c>
      <c r="R277" s="674">
        <v>0</v>
      </c>
      <c r="S277" s="798" t="s">
        <v>1674</v>
      </c>
      <c r="T277" s="798">
        <v>0</v>
      </c>
      <c r="U277" s="88">
        <v>36896</v>
      </c>
      <c r="V277" s="71">
        <v>140.82442748091603</v>
      </c>
      <c r="W277" s="449"/>
      <c r="X277" s="67">
        <v>36359</v>
      </c>
      <c r="Y277" s="163">
        <v>537</v>
      </c>
      <c r="Z277" s="166">
        <v>1.4769383096344783E-2</v>
      </c>
      <c r="AA277" s="115"/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121.89</v>
      </c>
      <c r="E278" s="67">
        <v>16899</v>
      </c>
      <c r="F278" s="146">
        <v>0</v>
      </c>
      <c r="G278" s="146">
        <v>0</v>
      </c>
      <c r="H278" s="91">
        <v>16899</v>
      </c>
      <c r="I278" s="67">
        <v>0</v>
      </c>
      <c r="J278" s="739">
        <v>16899</v>
      </c>
      <c r="K278" s="132" t="s">
        <v>621</v>
      </c>
      <c r="L278" s="740">
        <v>0</v>
      </c>
      <c r="M278" s="741">
        <v>121.89</v>
      </c>
      <c r="N278" s="67">
        <v>267</v>
      </c>
      <c r="O278" s="67">
        <v>17166</v>
      </c>
      <c r="Q278" s="674">
        <v>0</v>
      </c>
      <c r="R278" s="674">
        <v>0</v>
      </c>
      <c r="S278" s="798" t="s">
        <v>1674</v>
      </c>
      <c r="T278" s="798">
        <v>0</v>
      </c>
      <c r="U278" s="88">
        <v>17166</v>
      </c>
      <c r="V278" s="71">
        <v>140.83189761260152</v>
      </c>
      <c r="W278" s="449"/>
      <c r="X278" s="67">
        <v>15769</v>
      </c>
      <c r="Y278" s="163">
        <v>1397</v>
      </c>
      <c r="Z278" s="166">
        <v>8.8591540364005322E-2</v>
      </c>
      <c r="AA278" s="61"/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218</v>
      </c>
      <c r="E279" s="67">
        <v>30223</v>
      </c>
      <c r="F279" s="146">
        <v>0</v>
      </c>
      <c r="G279" s="146">
        <v>0</v>
      </c>
      <c r="H279" s="91">
        <v>30223</v>
      </c>
      <c r="I279" s="67">
        <v>0</v>
      </c>
      <c r="J279" s="739">
        <v>30223</v>
      </c>
      <c r="K279" s="132" t="s">
        <v>621</v>
      </c>
      <c r="L279" s="740">
        <v>0</v>
      </c>
      <c r="M279" s="741">
        <v>218</v>
      </c>
      <c r="N279" s="67">
        <v>477</v>
      </c>
      <c r="O279" s="67">
        <v>30700</v>
      </c>
      <c r="Q279" s="674">
        <v>0</v>
      </c>
      <c r="R279" s="674">
        <v>0</v>
      </c>
      <c r="S279" s="798" t="s">
        <v>1674</v>
      </c>
      <c r="T279" s="798">
        <v>0</v>
      </c>
      <c r="U279" s="88">
        <v>30700</v>
      </c>
      <c r="V279" s="71">
        <v>140.8256880733945</v>
      </c>
      <c r="W279" s="449"/>
      <c r="X279" s="67">
        <v>31519</v>
      </c>
      <c r="Y279" s="163">
        <v>-819</v>
      </c>
      <c r="Z279" s="166">
        <v>-2.5984326913924934E-2</v>
      </c>
      <c r="AA279" s="61"/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110</v>
      </c>
      <c r="E280" s="67">
        <v>15250</v>
      </c>
      <c r="F280" s="146">
        <v>0</v>
      </c>
      <c r="G280" s="146">
        <v>0</v>
      </c>
      <c r="H280" s="91">
        <v>15250</v>
      </c>
      <c r="I280" s="67">
        <v>0</v>
      </c>
      <c r="J280" s="739">
        <v>15250</v>
      </c>
      <c r="K280" s="132" t="s">
        <v>621</v>
      </c>
      <c r="L280" s="740">
        <v>0</v>
      </c>
      <c r="M280" s="741">
        <v>110</v>
      </c>
      <c r="N280" s="67">
        <v>241</v>
      </c>
      <c r="O280" s="67">
        <v>15491</v>
      </c>
      <c r="Q280" s="674">
        <v>0</v>
      </c>
      <c r="R280" s="674">
        <v>0</v>
      </c>
      <c r="S280" s="798" t="s">
        <v>1674</v>
      </c>
      <c r="T280" s="798">
        <v>0</v>
      </c>
      <c r="U280" s="88">
        <v>15491</v>
      </c>
      <c r="V280" s="71">
        <v>140.82727272727271</v>
      </c>
      <c r="W280" s="449"/>
      <c r="X280" s="67">
        <v>14177</v>
      </c>
      <c r="Y280" s="163">
        <v>1314</v>
      </c>
      <c r="Z280" s="166">
        <v>9.2685335402412361E-2</v>
      </c>
      <c r="AA280" s="61"/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132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>
        <v>0</v>
      </c>
      <c r="S281" s="798">
        <v>0</v>
      </c>
      <c r="T281" s="798">
        <v>0</v>
      </c>
      <c r="U281" s="88">
        <v>0</v>
      </c>
      <c r="V281" s="71">
        <v>0</v>
      </c>
      <c r="W281" s="449"/>
      <c r="X281" s="67">
        <v>0</v>
      </c>
      <c r="Y281" s="163">
        <v>0</v>
      </c>
      <c r="Z281" s="166">
        <v>0</v>
      </c>
      <c r="AA281" s="61"/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132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>
        <v>0</v>
      </c>
      <c r="S282" s="798">
        <v>0</v>
      </c>
      <c r="T282" s="798">
        <v>0</v>
      </c>
      <c r="U282" s="88">
        <v>0</v>
      </c>
      <c r="V282" s="71">
        <v>0</v>
      </c>
      <c r="W282" s="449"/>
      <c r="X282" s="67">
        <v>0</v>
      </c>
      <c r="Y282" s="163">
        <v>0</v>
      </c>
      <c r="Z282" s="166">
        <v>0</v>
      </c>
      <c r="AA282" s="61"/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739">
        <v>0</v>
      </c>
      <c r="K283" s="132" t="s">
        <v>644</v>
      </c>
      <c r="L283" s="740">
        <v>0</v>
      </c>
      <c r="M283" s="741">
        <v>0</v>
      </c>
      <c r="N283" s="67">
        <v>0</v>
      </c>
      <c r="O283" s="67">
        <v>0</v>
      </c>
      <c r="Q283" s="674">
        <v>0</v>
      </c>
      <c r="R283" s="674">
        <v>0</v>
      </c>
      <c r="S283" s="798">
        <v>0</v>
      </c>
      <c r="T283" s="798">
        <v>0</v>
      </c>
      <c r="U283" s="88">
        <v>0</v>
      </c>
      <c r="V283" s="71">
        <v>0</v>
      </c>
      <c r="W283" s="449"/>
      <c r="X283" s="67">
        <v>0</v>
      </c>
      <c r="Y283" s="163">
        <v>0</v>
      </c>
      <c r="Z283" s="166">
        <v>0</v>
      </c>
      <c r="AA283" s="61"/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149</v>
      </c>
      <c r="E284" s="67">
        <v>20657</v>
      </c>
      <c r="F284" s="146">
        <v>0</v>
      </c>
      <c r="G284" s="146">
        <v>0</v>
      </c>
      <c r="H284" s="91">
        <v>20657</v>
      </c>
      <c r="I284" s="67">
        <v>0</v>
      </c>
      <c r="J284" s="739">
        <v>20657</v>
      </c>
      <c r="K284" s="132" t="s">
        <v>621</v>
      </c>
      <c r="L284" s="740">
        <v>0</v>
      </c>
      <c r="M284" s="741">
        <v>149</v>
      </c>
      <c r="N284" s="67">
        <v>326</v>
      </c>
      <c r="O284" s="67">
        <v>20983</v>
      </c>
      <c r="Q284" s="674">
        <v>0</v>
      </c>
      <c r="R284" s="674">
        <v>0</v>
      </c>
      <c r="S284" s="798" t="s">
        <v>1674</v>
      </c>
      <c r="T284" s="798">
        <v>0</v>
      </c>
      <c r="U284" s="88">
        <v>20983</v>
      </c>
      <c r="V284" s="71">
        <v>140.82550335570471</v>
      </c>
      <c r="W284" s="449"/>
      <c r="X284" s="67">
        <v>17641</v>
      </c>
      <c r="Y284" s="163">
        <v>3342</v>
      </c>
      <c r="Z284" s="166">
        <v>0.18944504279802732</v>
      </c>
      <c r="AA284" s="61"/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98">
        <v>0</v>
      </c>
      <c r="T285" s="798">
        <v>0</v>
      </c>
      <c r="U285" s="88">
        <v>0</v>
      </c>
      <c r="V285" s="71">
        <v>0</v>
      </c>
      <c r="W285" s="449"/>
      <c r="X285" s="67">
        <v>0</v>
      </c>
      <c r="Y285" s="163">
        <v>0</v>
      </c>
      <c r="Z285" s="166">
        <v>0</v>
      </c>
      <c r="AA285" s="61"/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132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>
        <v>0</v>
      </c>
      <c r="S286" s="798">
        <v>0</v>
      </c>
      <c r="T286" s="798">
        <v>0</v>
      </c>
      <c r="U286" s="88">
        <v>0</v>
      </c>
      <c r="V286" s="71">
        <v>0</v>
      </c>
      <c r="W286" s="449"/>
      <c r="X286" s="67">
        <v>0</v>
      </c>
      <c r="Y286" s="163">
        <v>0</v>
      </c>
      <c r="Z286" s="166">
        <v>0</v>
      </c>
      <c r="AA286" s="61"/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132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>
        <v>0</v>
      </c>
      <c r="S287" s="798">
        <v>0</v>
      </c>
      <c r="T287" s="798">
        <v>0</v>
      </c>
      <c r="U287" s="88">
        <v>0</v>
      </c>
      <c r="V287" s="71">
        <v>0</v>
      </c>
      <c r="W287" s="449"/>
      <c r="X287" s="67">
        <v>0</v>
      </c>
      <c r="Y287" s="163">
        <v>0</v>
      </c>
      <c r="Z287" s="166">
        <v>0</v>
      </c>
      <c r="AA287" s="61"/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132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>
        <v>0</v>
      </c>
      <c r="S288" s="798">
        <v>0</v>
      </c>
      <c r="T288" s="798">
        <v>0</v>
      </c>
      <c r="U288" s="88">
        <v>0</v>
      </c>
      <c r="V288" s="71">
        <v>0</v>
      </c>
      <c r="W288" s="449"/>
      <c r="X288" s="67">
        <v>0</v>
      </c>
      <c r="Y288" s="163">
        <v>0</v>
      </c>
      <c r="Z288" s="166">
        <v>0</v>
      </c>
      <c r="AA288" s="61"/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132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>
        <v>0</v>
      </c>
      <c r="S289" s="798">
        <v>0</v>
      </c>
      <c r="T289" s="798">
        <v>0</v>
      </c>
      <c r="U289" s="88">
        <v>0</v>
      </c>
      <c r="V289" s="71">
        <v>0</v>
      </c>
      <c r="W289" s="449"/>
      <c r="X289" s="67">
        <v>0</v>
      </c>
      <c r="Y289" s="163">
        <v>0</v>
      </c>
      <c r="Z289" s="166">
        <v>0</v>
      </c>
      <c r="AA289" s="61"/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132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>
        <v>0</v>
      </c>
      <c r="S290" s="798">
        <v>0</v>
      </c>
      <c r="T290" s="798">
        <v>0</v>
      </c>
      <c r="U290" s="88">
        <v>0</v>
      </c>
      <c r="V290" s="71">
        <v>0</v>
      </c>
      <c r="W290" s="449"/>
      <c r="X290" s="67">
        <v>0</v>
      </c>
      <c r="Y290" s="163">
        <v>0</v>
      </c>
      <c r="Z290" s="166">
        <v>0</v>
      </c>
      <c r="AA290" s="61"/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98">
        <v>0</v>
      </c>
      <c r="T291" s="798">
        <v>0</v>
      </c>
      <c r="U291" s="88">
        <v>0</v>
      </c>
      <c r="V291" s="71">
        <v>0</v>
      </c>
      <c r="W291" s="449"/>
      <c r="X291" s="67">
        <v>0</v>
      </c>
      <c r="Y291" s="163">
        <v>0</v>
      </c>
      <c r="Z291" s="166">
        <v>0</v>
      </c>
      <c r="AA291" s="61"/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132" t="s">
        <v>644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98">
        <v>0</v>
      </c>
      <c r="T292" s="798">
        <v>0</v>
      </c>
      <c r="U292" s="88">
        <v>0</v>
      </c>
      <c r="V292" s="71">
        <v>0</v>
      </c>
      <c r="W292" s="449"/>
      <c r="X292" s="67">
        <v>0</v>
      </c>
      <c r="Y292" s="163">
        <v>0</v>
      </c>
      <c r="Z292" s="166">
        <v>0</v>
      </c>
      <c r="AA292" s="61"/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132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>
        <v>0</v>
      </c>
      <c r="S293" s="798">
        <v>0</v>
      </c>
      <c r="T293" s="798">
        <v>0</v>
      </c>
      <c r="U293" s="88">
        <v>0</v>
      </c>
      <c r="V293" s="71">
        <v>0</v>
      </c>
      <c r="W293" s="449"/>
      <c r="X293" s="67">
        <v>0</v>
      </c>
      <c r="Y293" s="163">
        <v>0</v>
      </c>
      <c r="Z293" s="166">
        <v>0</v>
      </c>
      <c r="AA293" s="61"/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182.78</v>
      </c>
      <c r="E294" s="67">
        <v>25340</v>
      </c>
      <c r="F294" s="146">
        <v>0</v>
      </c>
      <c r="G294" s="146">
        <v>0</v>
      </c>
      <c r="H294" s="91">
        <v>25340</v>
      </c>
      <c r="I294" s="67">
        <v>0</v>
      </c>
      <c r="J294" s="739">
        <v>25340</v>
      </c>
      <c r="K294" s="132" t="s">
        <v>621</v>
      </c>
      <c r="L294" s="740">
        <v>0</v>
      </c>
      <c r="M294" s="741">
        <v>182.78</v>
      </c>
      <c r="N294" s="67">
        <v>400</v>
      </c>
      <c r="O294" s="67">
        <v>25740</v>
      </c>
      <c r="Q294" s="674">
        <v>0</v>
      </c>
      <c r="R294" s="674">
        <v>0</v>
      </c>
      <c r="S294" s="798" t="s">
        <v>1674</v>
      </c>
      <c r="T294" s="798">
        <v>0</v>
      </c>
      <c r="U294" s="88">
        <v>25740</v>
      </c>
      <c r="V294" s="71">
        <v>140.82503556187766</v>
      </c>
      <c r="W294" s="449"/>
      <c r="X294" s="67">
        <v>25882</v>
      </c>
      <c r="Y294" s="163">
        <v>-142</v>
      </c>
      <c r="Z294" s="166">
        <v>-5.4864384514334286E-3</v>
      </c>
      <c r="AA294" s="61"/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82.78</v>
      </c>
      <c r="E295" s="67">
        <v>11477</v>
      </c>
      <c r="F295" s="146">
        <v>0</v>
      </c>
      <c r="G295" s="146">
        <v>0</v>
      </c>
      <c r="H295" s="91">
        <v>11477</v>
      </c>
      <c r="I295" s="67">
        <v>0</v>
      </c>
      <c r="J295" s="739">
        <v>11477</v>
      </c>
      <c r="K295" s="132" t="s">
        <v>1306</v>
      </c>
      <c r="L295" s="740">
        <v>0</v>
      </c>
      <c r="M295" s="741">
        <v>82.78</v>
      </c>
      <c r="N295" s="67">
        <v>181</v>
      </c>
      <c r="O295" s="67">
        <v>11658</v>
      </c>
      <c r="Q295" s="674">
        <v>0</v>
      </c>
      <c r="R295" s="674">
        <v>0</v>
      </c>
      <c r="S295" s="798">
        <v>0</v>
      </c>
      <c r="T295" s="798">
        <v>0</v>
      </c>
      <c r="U295" s="88">
        <v>11658</v>
      </c>
      <c r="V295" s="71">
        <v>140.83111862768786</v>
      </c>
      <c r="W295" s="449"/>
      <c r="X295" s="67">
        <v>11596</v>
      </c>
      <c r="Y295" s="163">
        <v>62</v>
      </c>
      <c r="Z295" s="166">
        <v>5.3466712659537771E-3</v>
      </c>
      <c r="AA295" s="61"/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5323</v>
      </c>
      <c r="E296" s="67">
        <v>737975</v>
      </c>
      <c r="F296" s="146">
        <v>0</v>
      </c>
      <c r="G296" s="146">
        <v>0</v>
      </c>
      <c r="H296" s="91">
        <v>737975</v>
      </c>
      <c r="I296" s="67">
        <v>0</v>
      </c>
      <c r="J296" s="739">
        <v>737975</v>
      </c>
      <c r="K296" s="132" t="s">
        <v>621</v>
      </c>
      <c r="L296" s="740">
        <v>0</v>
      </c>
      <c r="M296" s="741">
        <v>5323</v>
      </c>
      <c r="N296" s="67">
        <v>11639</v>
      </c>
      <c r="O296" s="67">
        <v>749614</v>
      </c>
      <c r="Q296" s="674">
        <v>0</v>
      </c>
      <c r="R296" s="674">
        <v>0</v>
      </c>
      <c r="S296" s="798" t="s">
        <v>1674</v>
      </c>
      <c r="T296" s="798">
        <v>0</v>
      </c>
      <c r="U296" s="88">
        <v>749614</v>
      </c>
      <c r="V296" s="71">
        <v>140.82547435656585</v>
      </c>
      <c r="W296" s="449"/>
      <c r="X296" s="67">
        <v>759648</v>
      </c>
      <c r="Y296" s="163">
        <v>-10034</v>
      </c>
      <c r="Z296" s="166">
        <v>-1.320874931547243E-2</v>
      </c>
      <c r="AA296" s="61"/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382.33</v>
      </c>
      <c r="E297" s="67">
        <v>53006</v>
      </c>
      <c r="F297" s="146">
        <v>0</v>
      </c>
      <c r="G297" s="146">
        <v>0</v>
      </c>
      <c r="H297" s="91">
        <v>53006</v>
      </c>
      <c r="I297" s="67">
        <v>0</v>
      </c>
      <c r="J297" s="739">
        <v>53006</v>
      </c>
      <c r="K297" s="132" t="s">
        <v>621</v>
      </c>
      <c r="L297" s="740">
        <v>0</v>
      </c>
      <c r="M297" s="741">
        <v>382.33</v>
      </c>
      <c r="N297" s="67">
        <v>836</v>
      </c>
      <c r="O297" s="67">
        <v>53842</v>
      </c>
      <c r="Q297" s="674">
        <v>0</v>
      </c>
      <c r="R297" s="674">
        <v>0</v>
      </c>
      <c r="S297" s="798" t="s">
        <v>1674</v>
      </c>
      <c r="T297" s="798">
        <v>0</v>
      </c>
      <c r="U297" s="88">
        <v>53842</v>
      </c>
      <c r="V297" s="71">
        <v>140.82598802081972</v>
      </c>
      <c r="W297" s="449"/>
      <c r="X297" s="67">
        <v>52840</v>
      </c>
      <c r="Y297" s="163">
        <v>1002</v>
      </c>
      <c r="Z297" s="166">
        <v>1.8962906888720665E-2</v>
      </c>
      <c r="AA297" s="60"/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231.56</v>
      </c>
      <c r="E298" s="67">
        <v>32103</v>
      </c>
      <c r="F298" s="146">
        <v>0</v>
      </c>
      <c r="G298" s="146">
        <v>0</v>
      </c>
      <c r="H298" s="91">
        <v>32103</v>
      </c>
      <c r="I298" s="67">
        <v>0</v>
      </c>
      <c r="J298" s="739">
        <v>32103</v>
      </c>
      <c r="K298" s="132" t="s">
        <v>621</v>
      </c>
      <c r="L298" s="740">
        <v>0</v>
      </c>
      <c r="M298" s="741">
        <v>231.56</v>
      </c>
      <c r="N298" s="67">
        <v>506</v>
      </c>
      <c r="O298" s="67">
        <v>32609</v>
      </c>
      <c r="Q298" s="674">
        <v>0</v>
      </c>
      <c r="R298" s="674">
        <v>0</v>
      </c>
      <c r="S298" s="798" t="s">
        <v>1674</v>
      </c>
      <c r="T298" s="798">
        <v>0</v>
      </c>
      <c r="U298" s="88">
        <v>32609</v>
      </c>
      <c r="V298" s="71">
        <v>140.8231128001382</v>
      </c>
      <c r="W298" s="449"/>
      <c r="X298" s="67">
        <v>27905</v>
      </c>
      <c r="Y298" s="163">
        <v>4704</v>
      </c>
      <c r="Z298" s="166">
        <v>0.16857194051245297</v>
      </c>
      <c r="AA298" s="62"/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384.33</v>
      </c>
      <c r="E299" s="67">
        <v>53283</v>
      </c>
      <c r="F299" s="146">
        <v>0</v>
      </c>
      <c r="G299" s="146">
        <v>0</v>
      </c>
      <c r="H299" s="91">
        <v>53283</v>
      </c>
      <c r="I299" s="67">
        <v>0</v>
      </c>
      <c r="J299" s="739">
        <v>53283</v>
      </c>
      <c r="K299" s="132" t="s">
        <v>621</v>
      </c>
      <c r="L299" s="740">
        <v>0</v>
      </c>
      <c r="M299" s="741">
        <v>384.33</v>
      </c>
      <c r="N299" s="67">
        <v>840</v>
      </c>
      <c r="O299" s="67">
        <v>54123</v>
      </c>
      <c r="Q299" s="674">
        <v>0</v>
      </c>
      <c r="R299" s="674">
        <v>0</v>
      </c>
      <c r="S299" s="798" t="s">
        <v>1674</v>
      </c>
      <c r="T299" s="798">
        <v>0</v>
      </c>
      <c r="U299" s="88">
        <v>54123</v>
      </c>
      <c r="V299" s="71">
        <v>140.8242916243853</v>
      </c>
      <c r="W299" s="449"/>
      <c r="X299" s="67">
        <v>52603</v>
      </c>
      <c r="Y299" s="163">
        <v>1520</v>
      </c>
      <c r="Z299" s="166">
        <v>2.8895690359865406E-2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1260.33</v>
      </c>
      <c r="E300" s="67">
        <v>174731</v>
      </c>
      <c r="F300" s="146">
        <v>0</v>
      </c>
      <c r="G300" s="146">
        <v>0</v>
      </c>
      <c r="H300" s="91">
        <v>174731</v>
      </c>
      <c r="I300" s="67">
        <v>0</v>
      </c>
      <c r="J300" s="739">
        <v>174731</v>
      </c>
      <c r="K300" s="132" t="s">
        <v>621</v>
      </c>
      <c r="L300" s="740">
        <v>0</v>
      </c>
      <c r="M300" s="741">
        <v>1260.33</v>
      </c>
      <c r="N300" s="67">
        <v>2756</v>
      </c>
      <c r="O300" s="67">
        <v>177487</v>
      </c>
      <c r="Q300" s="674">
        <v>0</v>
      </c>
      <c r="R300" s="674">
        <v>9008.1711533614725</v>
      </c>
      <c r="S300" s="798" t="s">
        <v>725</v>
      </c>
      <c r="T300" s="798">
        <v>1260.33</v>
      </c>
      <c r="U300" s="88">
        <v>186495.17115336147</v>
      </c>
      <c r="V300" s="71">
        <v>140.82581546103006</v>
      </c>
      <c r="W300" s="449"/>
      <c r="X300" s="67">
        <v>180935</v>
      </c>
      <c r="Y300" s="163">
        <v>-3448</v>
      </c>
      <c r="Z300" s="166">
        <v>-1.9056567275540941E-2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2103</v>
      </c>
      <c r="E301" s="67">
        <v>291558</v>
      </c>
      <c r="F301" s="146">
        <v>0</v>
      </c>
      <c r="G301" s="146">
        <v>0</v>
      </c>
      <c r="H301" s="91">
        <v>291558</v>
      </c>
      <c r="I301" s="67">
        <v>0</v>
      </c>
      <c r="J301" s="739">
        <v>291558</v>
      </c>
      <c r="K301" s="132" t="s">
        <v>621</v>
      </c>
      <c r="L301" s="740">
        <v>0</v>
      </c>
      <c r="M301" s="741">
        <v>2103</v>
      </c>
      <c r="N301" s="67">
        <v>4599</v>
      </c>
      <c r="O301" s="67">
        <v>296157</v>
      </c>
      <c r="Q301" s="674">
        <v>0</v>
      </c>
      <c r="R301" s="674">
        <v>0</v>
      </c>
      <c r="S301" s="798" t="s">
        <v>1674</v>
      </c>
      <c r="T301" s="798">
        <v>0</v>
      </c>
      <c r="U301" s="88">
        <v>296157</v>
      </c>
      <c r="V301" s="71">
        <v>140.8259629101284</v>
      </c>
      <c r="W301" s="449"/>
      <c r="X301" s="67">
        <v>316969</v>
      </c>
      <c r="Y301" s="163">
        <v>-20812</v>
      </c>
      <c r="Z301" s="166">
        <v>-6.5659417797955005E-2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1394.11</v>
      </c>
      <c r="E302" s="67">
        <v>193278</v>
      </c>
      <c r="F302" s="146">
        <v>0</v>
      </c>
      <c r="G302" s="146">
        <v>0</v>
      </c>
      <c r="H302" s="91">
        <v>193278</v>
      </c>
      <c r="I302" s="67">
        <v>0</v>
      </c>
      <c r="J302" s="739">
        <v>193278</v>
      </c>
      <c r="K302" s="132" t="s">
        <v>621</v>
      </c>
      <c r="L302" s="740">
        <v>0</v>
      </c>
      <c r="M302" s="741">
        <v>1394.11</v>
      </c>
      <c r="N302" s="67">
        <v>3048</v>
      </c>
      <c r="O302" s="67">
        <v>196326</v>
      </c>
      <c r="Q302" s="674">
        <v>0</v>
      </c>
      <c r="R302" s="674">
        <v>9964.359720559507</v>
      </c>
      <c r="S302" s="798" t="s">
        <v>725</v>
      </c>
      <c r="T302" s="798">
        <v>1394.11</v>
      </c>
      <c r="U302" s="88">
        <v>206290.3597205595</v>
      </c>
      <c r="V302" s="71">
        <v>140.8253294216382</v>
      </c>
      <c r="W302" s="449"/>
      <c r="X302" s="67">
        <v>203331</v>
      </c>
      <c r="Y302" s="163">
        <v>-7005</v>
      </c>
      <c r="Z302" s="166">
        <v>-3.4451215013942785E-2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305.89</v>
      </c>
      <c r="E303" s="67">
        <v>42408</v>
      </c>
      <c r="F303" s="146">
        <v>0</v>
      </c>
      <c r="G303" s="146">
        <v>0</v>
      </c>
      <c r="H303" s="91">
        <v>42408</v>
      </c>
      <c r="I303" s="67">
        <v>0</v>
      </c>
      <c r="J303" s="739">
        <v>42408</v>
      </c>
      <c r="K303" s="132" t="s">
        <v>621</v>
      </c>
      <c r="L303" s="740">
        <v>0</v>
      </c>
      <c r="M303" s="741">
        <v>305.89</v>
      </c>
      <c r="N303" s="67">
        <v>669</v>
      </c>
      <c r="O303" s="67">
        <v>43077</v>
      </c>
      <c r="Q303" s="674">
        <v>0</v>
      </c>
      <c r="R303" s="674">
        <v>2186.3396682628686</v>
      </c>
      <c r="S303" s="798" t="s">
        <v>725</v>
      </c>
      <c r="T303" s="798">
        <v>305.89</v>
      </c>
      <c r="U303" s="88">
        <v>45263.339668262866</v>
      </c>
      <c r="V303" s="71">
        <v>140.82513321782341</v>
      </c>
      <c r="W303" s="449"/>
      <c r="X303" s="67">
        <v>44019</v>
      </c>
      <c r="Y303" s="163">
        <v>-942</v>
      </c>
      <c r="Z303" s="166">
        <v>-2.139985006474477E-2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615</v>
      </c>
      <c r="E304" s="67">
        <v>85263</v>
      </c>
      <c r="F304" s="146">
        <v>0</v>
      </c>
      <c r="G304" s="146">
        <v>0</v>
      </c>
      <c r="H304" s="91">
        <v>85263</v>
      </c>
      <c r="I304" s="67">
        <v>0</v>
      </c>
      <c r="J304" s="739">
        <v>85263</v>
      </c>
      <c r="K304" s="132" t="s">
        <v>621</v>
      </c>
      <c r="L304" s="740">
        <v>0</v>
      </c>
      <c r="M304" s="741">
        <v>615</v>
      </c>
      <c r="N304" s="67">
        <v>1345</v>
      </c>
      <c r="O304" s="67">
        <v>86608</v>
      </c>
      <c r="Q304" s="674">
        <v>0</v>
      </c>
      <c r="R304" s="674">
        <v>0</v>
      </c>
      <c r="S304" s="798" t="s">
        <v>1674</v>
      </c>
      <c r="T304" s="798">
        <v>0</v>
      </c>
      <c r="U304" s="88">
        <v>86608</v>
      </c>
      <c r="V304" s="71">
        <v>140.82601626016259</v>
      </c>
      <c r="X304" s="67">
        <v>89371</v>
      </c>
      <c r="Y304" s="163">
        <v>-2763</v>
      </c>
      <c r="Z304" s="166">
        <v>-3.0916068970918979E-2</v>
      </c>
      <c r="AA304" s="72"/>
      <c r="AB304" s="72"/>
      <c r="AC304" s="72"/>
    </row>
    <row r="305" spans="1:26">
      <c r="A305" s="64" t="s">
        <v>605</v>
      </c>
      <c r="B305" s="36" t="s">
        <v>565</v>
      </c>
      <c r="C305" s="23" t="s">
        <v>1629</v>
      </c>
      <c r="D305" s="134">
        <v>182.11</v>
      </c>
      <c r="E305" s="67">
        <v>25248</v>
      </c>
      <c r="F305" s="146">
        <v>0</v>
      </c>
      <c r="G305" s="146">
        <v>0</v>
      </c>
      <c r="H305" s="91">
        <v>25248</v>
      </c>
      <c r="I305" s="67">
        <v>0</v>
      </c>
      <c r="J305" s="739">
        <v>25248</v>
      </c>
      <c r="K305" s="132" t="s">
        <v>621</v>
      </c>
      <c r="L305" s="740">
        <v>0</v>
      </c>
      <c r="M305" s="741">
        <v>182.11</v>
      </c>
      <c r="N305" s="67">
        <v>398</v>
      </c>
      <c r="O305" s="67">
        <v>25646</v>
      </c>
      <c r="Q305" s="674">
        <v>0</v>
      </c>
      <c r="R305" s="674">
        <v>0</v>
      </c>
      <c r="S305" s="798" t="s">
        <v>1674</v>
      </c>
      <c r="T305" s="798">
        <v>0</v>
      </c>
      <c r="U305" s="88">
        <v>25646</v>
      </c>
      <c r="V305" s="71">
        <v>140.82697270880237</v>
      </c>
      <c r="X305" s="67">
        <v>19622</v>
      </c>
      <c r="Y305" s="163">
        <v>6024</v>
      </c>
      <c r="Z305" s="166">
        <v>0.30700234430741002</v>
      </c>
    </row>
    <row r="306" spans="1:26">
      <c r="A306" s="64" t="s">
        <v>605</v>
      </c>
      <c r="B306" s="36" t="s">
        <v>567</v>
      </c>
      <c r="C306" s="23" t="s">
        <v>1630</v>
      </c>
      <c r="D306" s="134">
        <v>1522.78</v>
      </c>
      <c r="E306" s="67">
        <v>211117</v>
      </c>
      <c r="F306" s="146">
        <v>0</v>
      </c>
      <c r="G306" s="146">
        <v>0</v>
      </c>
      <c r="H306" s="91">
        <v>211117</v>
      </c>
      <c r="I306" s="67">
        <v>0</v>
      </c>
      <c r="J306" s="739">
        <v>211117</v>
      </c>
      <c r="K306" s="132" t="s">
        <v>621</v>
      </c>
      <c r="L306" s="740">
        <v>0</v>
      </c>
      <c r="M306" s="741">
        <v>1522.78</v>
      </c>
      <c r="N306" s="67">
        <v>3330</v>
      </c>
      <c r="O306" s="67">
        <v>214447</v>
      </c>
      <c r="Q306" s="674">
        <v>0</v>
      </c>
      <c r="R306" s="674">
        <v>0</v>
      </c>
      <c r="S306" s="798" t="s">
        <v>1674</v>
      </c>
      <c r="T306" s="798">
        <v>0</v>
      </c>
      <c r="U306" s="88">
        <v>214447</v>
      </c>
      <c r="V306" s="71">
        <v>140.82598930902691</v>
      </c>
      <c r="X306" s="67">
        <v>218994</v>
      </c>
      <c r="Y306" s="163">
        <v>-4547</v>
      </c>
      <c r="Z306" s="166">
        <v>-2.0763125930390786E-2</v>
      </c>
    </row>
    <row r="307" spans="1:26">
      <c r="A307" s="64" t="s">
        <v>605</v>
      </c>
      <c r="B307" s="36" t="s">
        <v>569</v>
      </c>
      <c r="C307" s="23" t="s">
        <v>1631</v>
      </c>
      <c r="D307" s="134">
        <v>431.33</v>
      </c>
      <c r="E307" s="67">
        <v>59799</v>
      </c>
      <c r="F307" s="146">
        <v>0</v>
      </c>
      <c r="G307" s="146">
        <v>0</v>
      </c>
      <c r="H307" s="91">
        <v>59799</v>
      </c>
      <c r="I307" s="67">
        <v>0</v>
      </c>
      <c r="J307" s="739">
        <v>59799</v>
      </c>
      <c r="K307" s="132" t="s">
        <v>621</v>
      </c>
      <c r="L307" s="740">
        <v>0</v>
      </c>
      <c r="M307" s="741">
        <v>431.33</v>
      </c>
      <c r="N307" s="67">
        <v>943</v>
      </c>
      <c r="O307" s="67">
        <v>60742</v>
      </c>
      <c r="Q307" s="674">
        <v>0</v>
      </c>
      <c r="R307" s="674">
        <v>3082.9183337533855</v>
      </c>
      <c r="S307" s="798" t="s">
        <v>725</v>
      </c>
      <c r="T307" s="798">
        <v>431.33</v>
      </c>
      <c r="U307" s="88">
        <v>63824.918333753383</v>
      </c>
      <c r="V307" s="71">
        <v>140.824890455104</v>
      </c>
      <c r="X307" s="67">
        <v>64070</v>
      </c>
      <c r="Y307" s="163">
        <v>-3328</v>
      </c>
      <c r="Z307" s="166">
        <v>-5.1943187139066649E-2</v>
      </c>
    </row>
    <row r="308" spans="1:26">
      <c r="A308" s="64" t="s">
        <v>605</v>
      </c>
      <c r="B308" s="36" t="s">
        <v>571</v>
      </c>
      <c r="C308" s="23" t="s">
        <v>1632</v>
      </c>
      <c r="D308" s="134">
        <v>441.56</v>
      </c>
      <c r="E308" s="67">
        <v>61217</v>
      </c>
      <c r="F308" s="146">
        <v>0</v>
      </c>
      <c r="G308" s="146">
        <v>0</v>
      </c>
      <c r="H308" s="91">
        <v>61217</v>
      </c>
      <c r="I308" s="67">
        <v>0</v>
      </c>
      <c r="J308" s="739">
        <v>61217</v>
      </c>
      <c r="K308" s="132" t="s">
        <v>621</v>
      </c>
      <c r="L308" s="740">
        <v>0</v>
      </c>
      <c r="M308" s="741">
        <v>441.56</v>
      </c>
      <c r="N308" s="67">
        <v>966</v>
      </c>
      <c r="O308" s="67">
        <v>62183</v>
      </c>
      <c r="Q308" s="674">
        <v>0</v>
      </c>
      <c r="R308" s="674">
        <v>3156.0369541931814</v>
      </c>
      <c r="S308" s="798" t="s">
        <v>725</v>
      </c>
      <c r="T308" s="798">
        <v>441.56</v>
      </c>
      <c r="U308" s="88">
        <v>65339.03695419318</v>
      </c>
      <c r="V308" s="71">
        <v>140.82570885043936</v>
      </c>
      <c r="X308" s="67">
        <v>43889</v>
      </c>
      <c r="Y308" s="163">
        <v>18294</v>
      </c>
      <c r="Z308" s="166">
        <v>0.41682426120440202</v>
      </c>
    </row>
    <row r="309" spans="1:26">
      <c r="A309" s="64" t="s">
        <v>597</v>
      </c>
      <c r="B309" s="36" t="s">
        <v>1659</v>
      </c>
      <c r="C309" s="23" t="s">
        <v>1150</v>
      </c>
      <c r="D309" s="134">
        <v>1.22</v>
      </c>
      <c r="E309" s="67">
        <v>169</v>
      </c>
      <c r="F309" s="146">
        <v>0</v>
      </c>
      <c r="G309" s="146">
        <v>0</v>
      </c>
      <c r="H309" s="91">
        <v>169</v>
      </c>
      <c r="I309" s="67">
        <v>0</v>
      </c>
      <c r="J309" s="739">
        <v>169</v>
      </c>
      <c r="K309" s="132" t="s">
        <v>644</v>
      </c>
      <c r="L309" s="740">
        <v>169</v>
      </c>
      <c r="M309" s="741">
        <v>0</v>
      </c>
      <c r="N309" s="67">
        <v>0</v>
      </c>
      <c r="O309" s="67">
        <v>0</v>
      </c>
      <c r="Q309" s="674">
        <v>0</v>
      </c>
      <c r="R309" s="674">
        <v>0</v>
      </c>
      <c r="S309" s="798">
        <v>0</v>
      </c>
      <c r="T309" s="798">
        <v>0</v>
      </c>
      <c r="U309" s="88">
        <v>0</v>
      </c>
      <c r="V309" s="71">
        <v>0</v>
      </c>
      <c r="X309" s="67">
        <v>0</v>
      </c>
      <c r="Y309" s="163">
        <v>0</v>
      </c>
      <c r="Z309" s="166">
        <v>0</v>
      </c>
    </row>
    <row r="310" spans="1:26">
      <c r="A310" s="64" t="s">
        <v>1666</v>
      </c>
      <c r="B310" s="36" t="s">
        <v>1660</v>
      </c>
      <c r="C310" s="23" t="s">
        <v>1661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132" t="s">
        <v>644</v>
      </c>
      <c r="L310" s="740">
        <v>0</v>
      </c>
      <c r="M310" s="741">
        <v>0</v>
      </c>
      <c r="N310" s="67">
        <v>0</v>
      </c>
      <c r="O310" s="67">
        <v>0</v>
      </c>
      <c r="Q310" s="674">
        <v>0</v>
      </c>
      <c r="R310" s="674">
        <v>0</v>
      </c>
      <c r="S310" s="798">
        <v>0</v>
      </c>
      <c r="T310" s="798">
        <v>0</v>
      </c>
      <c r="U310" s="88">
        <v>0</v>
      </c>
      <c r="V310" s="71">
        <v>0</v>
      </c>
      <c r="X310" s="67">
        <v>0</v>
      </c>
      <c r="Y310" s="163">
        <v>0</v>
      </c>
      <c r="Z310" s="166">
        <v>0</v>
      </c>
    </row>
    <row r="311" spans="1:26">
      <c r="A311" s="64" t="s">
        <v>1666</v>
      </c>
      <c r="B311" s="36" t="s">
        <v>1662</v>
      </c>
      <c r="C311" s="23" t="s">
        <v>1663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132" t="s">
        <v>723</v>
      </c>
      <c r="L311" s="740">
        <v>0</v>
      </c>
      <c r="M311" s="741">
        <v>0</v>
      </c>
      <c r="N311" s="67">
        <v>0</v>
      </c>
      <c r="O311" s="67">
        <v>0</v>
      </c>
      <c r="Q311" s="674">
        <v>0</v>
      </c>
      <c r="R311" s="674">
        <v>0</v>
      </c>
      <c r="S311" s="798">
        <v>0</v>
      </c>
      <c r="T311" s="798">
        <v>0</v>
      </c>
      <c r="U311" s="88">
        <v>0</v>
      </c>
      <c r="V311" s="71">
        <v>0</v>
      </c>
      <c r="X311" s="67">
        <v>0</v>
      </c>
      <c r="Y311" s="163">
        <v>0</v>
      </c>
      <c r="Z311" s="166">
        <v>0</v>
      </c>
    </row>
    <row r="312" spans="1:26">
      <c r="A312" s="64" t="s">
        <v>1666</v>
      </c>
      <c r="B312" s="36" t="s">
        <v>1664</v>
      </c>
      <c r="C312" s="23" t="s">
        <v>1665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132" t="s">
        <v>644</v>
      </c>
      <c r="L312" s="740">
        <v>0</v>
      </c>
      <c r="M312" s="741">
        <v>0</v>
      </c>
      <c r="N312" s="67">
        <v>0</v>
      </c>
      <c r="O312" s="67">
        <v>0</v>
      </c>
      <c r="Q312" s="674">
        <v>0</v>
      </c>
      <c r="R312" s="674">
        <v>0</v>
      </c>
      <c r="S312" s="798">
        <v>0</v>
      </c>
      <c r="T312" s="798">
        <v>0</v>
      </c>
      <c r="U312" s="88">
        <v>0</v>
      </c>
      <c r="V312" s="71">
        <v>0</v>
      </c>
      <c r="X312" s="67">
        <v>0</v>
      </c>
      <c r="Y312" s="163">
        <v>0</v>
      </c>
      <c r="Z312" s="166">
        <v>0</v>
      </c>
    </row>
    <row r="313" spans="1:26">
      <c r="C313" s="23" t="s">
        <v>1667</v>
      </c>
      <c r="D313" s="134">
        <v>113091.12999999998</v>
      </c>
      <c r="E313" s="134">
        <v>15678836</v>
      </c>
      <c r="F313" s="134">
        <v>0</v>
      </c>
      <c r="G313" s="134">
        <v>0</v>
      </c>
      <c r="H313" s="134">
        <v>15678836</v>
      </c>
      <c r="I313" s="134">
        <v>0</v>
      </c>
      <c r="J313" s="134">
        <v>15678836</v>
      </c>
      <c r="K313" s="134">
        <v>0</v>
      </c>
      <c r="L313" s="134">
        <v>243450</v>
      </c>
      <c r="M313" s="134">
        <v>111335.11999999998</v>
      </c>
      <c r="N313" s="134">
        <v>243451</v>
      </c>
      <c r="O313" s="134">
        <v>15678834</v>
      </c>
      <c r="P313" s="134">
        <v>0</v>
      </c>
      <c r="Q313" s="134">
        <v>0</v>
      </c>
      <c r="R313" s="134"/>
      <c r="S313" s="134"/>
      <c r="T313" s="134"/>
      <c r="U313" s="134">
        <v>16041833.999999998</v>
      </c>
      <c r="V313" s="134">
        <v>20983.149485969163</v>
      </c>
      <c r="W313" s="134">
        <v>0</v>
      </c>
      <c r="X313" s="134">
        <v>15732463</v>
      </c>
      <c r="Y313" s="134">
        <v>-53629</v>
      </c>
      <c r="Z313" s="134">
        <v>-44.115636362964004</v>
      </c>
    </row>
  </sheetData>
  <autoFilter ref="A8:AK313" xr:uid="{00000000-0009-0000-0000-00000B000000}"/>
  <mergeCells count="4">
    <mergeCell ref="E2:H2"/>
    <mergeCell ref="I2:J2"/>
    <mergeCell ref="K2:O2"/>
    <mergeCell ref="R2:T2"/>
  </mergeCells>
  <conditionalFormatting sqref="L9:L312">
    <cfRule type="expression" dxfId="17" priority="2">
      <formula>AND($L9&gt;0,$K9="Yes")</formula>
    </cfRule>
  </conditionalFormatting>
  <conditionalFormatting sqref="C9:C312">
    <cfRule type="expression" dxfId="16" priority="1">
      <formula>AND($O9&lt;10000,$O9&gt;0,$K9="Y")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H304"/>
  <sheetViews>
    <sheetView topLeftCell="A4" zoomScaleNormal="100" workbookViewId="0">
      <pane xSplit="3" ySplit="5" topLeftCell="D9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5703125" style="674" bestFit="1" customWidth="1"/>
    <col min="19" max="19" width="12.140625" style="67" customWidth="1"/>
    <col min="20" max="20" width="15.85546875" style="23" customWidth="1"/>
    <col min="21" max="21" width="13.42578125" style="163" customWidth="1"/>
    <col min="22" max="22" width="12.5703125" style="163" customWidth="1"/>
    <col min="23" max="23" width="12.85546875" style="40" customWidth="1"/>
    <col min="24" max="24" width="13" style="29" customWidth="1"/>
    <col min="25" max="25" width="4.5703125" style="23" customWidth="1"/>
    <col min="26" max="26" width="12.85546875" style="28" bestFit="1" customWidth="1"/>
    <col min="27" max="27" width="9.85546875" style="23" bestFit="1" customWidth="1"/>
    <col min="28" max="31" width="9.140625" style="23"/>
    <col min="32" max="32" width="22.42578125" style="23" bestFit="1" customWidth="1"/>
    <col min="33" max="33" width="5.85546875" style="23" bestFit="1" customWidth="1"/>
    <col min="34" max="34" width="10.140625" style="23" bestFit="1" customWidth="1"/>
    <col min="35" max="16384" width="9.140625" style="23"/>
  </cols>
  <sheetData>
    <row r="1" spans="1:34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>
        <v>16</v>
      </c>
      <c r="T1" s="23">
        <v>20</v>
      </c>
      <c r="U1" s="40">
        <v>21</v>
      </c>
      <c r="V1" s="40">
        <v>22</v>
      </c>
      <c r="W1" s="40">
        <v>23</v>
      </c>
      <c r="X1" s="23">
        <v>24</v>
      </c>
    </row>
    <row r="2" spans="1:34">
      <c r="A2" s="149"/>
      <c r="E2" s="884" t="s">
        <v>698</v>
      </c>
      <c r="F2" s="885"/>
      <c r="G2" s="885"/>
      <c r="H2" s="894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70"/>
      <c r="S2" s="70"/>
      <c r="T2" s="90"/>
      <c r="U2" s="162"/>
    </row>
    <row r="3" spans="1:34">
      <c r="I3" s="242" t="s">
        <v>717</v>
      </c>
      <c r="J3" s="243"/>
      <c r="L3" s="87">
        <v>0</v>
      </c>
      <c r="O3" s="67">
        <v>15732463</v>
      </c>
      <c r="Q3" s="67"/>
      <c r="R3" s="67"/>
      <c r="S3" s="151"/>
    </row>
    <row r="4" spans="1:34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675" t="s">
        <v>1340</v>
      </c>
      <c r="Q4" s="262" t="s">
        <v>1341</v>
      </c>
      <c r="R4" s="262" t="s">
        <v>1342</v>
      </c>
      <c r="S4" s="262"/>
      <c r="U4" s="265" t="s">
        <v>738</v>
      </c>
      <c r="V4" s="265" t="s">
        <v>770</v>
      </c>
      <c r="W4" s="264" t="s">
        <v>733</v>
      </c>
      <c r="X4" s="266"/>
      <c r="Z4" s="267"/>
    </row>
    <row r="5" spans="1:34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5"/>
      <c r="U5" s="256"/>
      <c r="V5" s="256"/>
      <c r="X5" s="258"/>
      <c r="Z5" s="259"/>
    </row>
    <row r="6" spans="1:34">
      <c r="A6" s="46"/>
      <c r="B6" s="47"/>
      <c r="C6" s="47"/>
      <c r="E6" s="68">
        <v>15732463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X6" s="27"/>
      <c r="Y6" s="26"/>
    </row>
    <row r="7" spans="1:34">
      <c r="A7" s="46"/>
      <c r="B7" s="47"/>
      <c r="C7" s="47" t="s">
        <v>620</v>
      </c>
      <c r="D7" s="67">
        <v>104465.17</v>
      </c>
      <c r="E7" s="88">
        <v>150.60008039043061</v>
      </c>
      <c r="F7" s="72">
        <v>0</v>
      </c>
      <c r="G7" s="72">
        <v>0</v>
      </c>
      <c r="H7" s="161">
        <v>15732463</v>
      </c>
      <c r="I7" s="73">
        <v>0</v>
      </c>
      <c r="J7" s="73">
        <v>15732463</v>
      </c>
      <c r="K7" s="72"/>
      <c r="L7" s="88">
        <v>0</v>
      </c>
      <c r="M7" s="67">
        <v>104465.17</v>
      </c>
      <c r="N7" s="88">
        <v>0</v>
      </c>
      <c r="O7" s="88">
        <v>15732463</v>
      </c>
      <c r="P7" s="677"/>
      <c r="Q7" s="88">
        <v>241</v>
      </c>
      <c r="R7" s="88">
        <v>15732222</v>
      </c>
      <c r="U7" s="91">
        <v>16266974</v>
      </c>
      <c r="V7" s="163">
        <v>-534511</v>
      </c>
      <c r="W7" s="166">
        <v>-9.02630022938577E-3</v>
      </c>
      <c r="X7" s="27"/>
      <c r="Y7" s="26"/>
    </row>
    <row r="8" spans="1:34" s="534" customFormat="1" ht="11.25">
      <c r="A8" s="526"/>
      <c r="B8" s="527" t="s">
        <v>895</v>
      </c>
      <c r="C8" s="528" t="s">
        <v>896</v>
      </c>
      <c r="D8" s="529">
        <v>104465.17</v>
      </c>
      <c r="E8" s="530">
        <v>15732463</v>
      </c>
      <c r="F8" s="530"/>
      <c r="G8" s="530"/>
      <c r="H8" s="530">
        <v>15732463</v>
      </c>
      <c r="I8" s="530"/>
      <c r="J8" s="530">
        <v>15732463</v>
      </c>
      <c r="K8" s="529"/>
      <c r="L8" s="530">
        <v>0</v>
      </c>
      <c r="M8" s="530">
        <v>104465.17</v>
      </c>
      <c r="N8" s="530">
        <v>0</v>
      </c>
      <c r="O8" s="530">
        <v>15732463</v>
      </c>
      <c r="P8" s="678"/>
      <c r="Q8" s="530">
        <v>241</v>
      </c>
      <c r="R8" s="530">
        <v>15732222</v>
      </c>
      <c r="S8" s="531"/>
      <c r="T8" s="532"/>
      <c r="U8" s="533"/>
      <c r="V8" s="533"/>
      <c r="X8" s="535"/>
      <c r="Z8" s="536"/>
    </row>
    <row r="9" spans="1:34">
      <c r="A9" s="64" t="s">
        <v>594</v>
      </c>
      <c r="B9" s="63" t="s">
        <v>132</v>
      </c>
      <c r="C9" s="63" t="s">
        <v>133</v>
      </c>
      <c r="D9" s="134">
        <v>369.86</v>
      </c>
      <c r="E9" s="67">
        <v>55701</v>
      </c>
      <c r="F9" s="146">
        <v>0</v>
      </c>
      <c r="G9" s="146">
        <v>0</v>
      </c>
      <c r="H9" s="91">
        <v>55701</v>
      </c>
      <c r="I9" s="67">
        <v>0</v>
      </c>
      <c r="J9" s="739">
        <v>55701</v>
      </c>
      <c r="K9" s="132" t="s">
        <v>621</v>
      </c>
      <c r="L9" s="740">
        <v>0</v>
      </c>
      <c r="M9" s="741">
        <v>369.86</v>
      </c>
      <c r="N9" s="67">
        <v>0</v>
      </c>
      <c r="O9" s="67">
        <v>55701</v>
      </c>
      <c r="Q9" s="674">
        <v>0</v>
      </c>
      <c r="R9" s="674">
        <v>55701</v>
      </c>
      <c r="S9" s="71">
        <v>150.60022711296165</v>
      </c>
      <c r="T9" s="449"/>
      <c r="U9" s="67">
        <v>58210</v>
      </c>
      <c r="V9" s="163">
        <v>-2509</v>
      </c>
      <c r="W9" s="166">
        <v>-4.3102559697646453E-2</v>
      </c>
      <c r="Z9" s="67"/>
      <c r="AA9" s="451"/>
      <c r="AB9" s="452"/>
    </row>
    <row r="10" spans="1:34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621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1">
        <v>0</v>
      </c>
      <c r="T10" s="450"/>
      <c r="U10" s="67">
        <v>0</v>
      </c>
      <c r="V10" s="163">
        <v>0</v>
      </c>
      <c r="W10" s="166">
        <v>0</v>
      </c>
      <c r="X10" s="31"/>
      <c r="Z10" s="67"/>
      <c r="AA10" s="451"/>
      <c r="AB10" s="452"/>
      <c r="AE10" s="45"/>
      <c r="AF10" s="45"/>
    </row>
    <row r="11" spans="1:34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132" t="s">
        <v>621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>
        <v>0</v>
      </c>
      <c r="S11" s="71">
        <v>0</v>
      </c>
      <c r="T11" s="448"/>
      <c r="U11" s="67">
        <v>0</v>
      </c>
      <c r="V11" s="163">
        <v>0</v>
      </c>
      <c r="W11" s="166">
        <v>0</v>
      </c>
      <c r="X11" s="34"/>
      <c r="Z11" s="67"/>
      <c r="AA11" s="451"/>
      <c r="AB11" s="452"/>
      <c r="AE11" s="36"/>
      <c r="AF11" s="36"/>
      <c r="AG11" s="36"/>
      <c r="AH11" s="19"/>
    </row>
    <row r="12" spans="1:34" s="112" customFormat="1">
      <c r="A12" s="138" t="s">
        <v>595</v>
      </c>
      <c r="B12" s="139" t="s">
        <v>380</v>
      </c>
      <c r="C12" s="63" t="s">
        <v>381</v>
      </c>
      <c r="D12" s="134">
        <v>54</v>
      </c>
      <c r="E12" s="67">
        <v>8132</v>
      </c>
      <c r="F12" s="146">
        <v>0</v>
      </c>
      <c r="G12" s="146">
        <v>0</v>
      </c>
      <c r="H12" s="91">
        <v>8132</v>
      </c>
      <c r="I12" s="67">
        <v>0</v>
      </c>
      <c r="J12" s="739">
        <v>8132</v>
      </c>
      <c r="K12" s="132" t="s">
        <v>621</v>
      </c>
      <c r="L12" s="740">
        <v>0</v>
      </c>
      <c r="M12" s="741">
        <v>54</v>
      </c>
      <c r="N12" s="67">
        <v>0</v>
      </c>
      <c r="O12" s="67">
        <v>8132</v>
      </c>
      <c r="P12" s="674"/>
      <c r="Q12" s="674">
        <v>0</v>
      </c>
      <c r="R12" s="674">
        <v>8132</v>
      </c>
      <c r="S12" s="71">
        <v>150.59259259259258</v>
      </c>
      <c r="T12" s="449"/>
      <c r="U12" s="67">
        <v>0</v>
      </c>
      <c r="V12" s="163">
        <v>8132</v>
      </c>
      <c r="W12" s="166">
        <v>0</v>
      </c>
      <c r="X12" s="113"/>
      <c r="Z12" s="67"/>
      <c r="AA12" s="451"/>
      <c r="AB12" s="452"/>
    </row>
    <row r="13" spans="1:34">
      <c r="A13" s="64" t="s">
        <v>595</v>
      </c>
      <c r="B13" s="63" t="s">
        <v>403</v>
      </c>
      <c r="C13" s="63" t="s">
        <v>404</v>
      </c>
      <c r="D13" s="134">
        <v>252.43</v>
      </c>
      <c r="E13" s="67">
        <v>38016</v>
      </c>
      <c r="F13" s="146">
        <v>0</v>
      </c>
      <c r="G13" s="146">
        <v>0</v>
      </c>
      <c r="H13" s="91">
        <v>38016</v>
      </c>
      <c r="I13" s="67">
        <v>0</v>
      </c>
      <c r="J13" s="739">
        <v>38016</v>
      </c>
      <c r="K13" s="132" t="s">
        <v>621</v>
      </c>
      <c r="L13" s="740">
        <v>0</v>
      </c>
      <c r="M13" s="741">
        <v>252.43</v>
      </c>
      <c r="N13" s="67">
        <v>0</v>
      </c>
      <c r="O13" s="67">
        <v>38016</v>
      </c>
      <c r="Q13" s="674">
        <v>0</v>
      </c>
      <c r="R13" s="674">
        <v>38016</v>
      </c>
      <c r="S13" s="71">
        <v>150.60016638275957</v>
      </c>
      <c r="T13" s="449"/>
      <c r="U13" s="67">
        <v>31352</v>
      </c>
      <c r="V13" s="163">
        <v>6664</v>
      </c>
      <c r="W13" s="166">
        <v>0.21255422301607552</v>
      </c>
      <c r="X13" s="61"/>
      <c r="Z13" s="67"/>
      <c r="AA13" s="451"/>
      <c r="AB13" s="452"/>
      <c r="AE13" s="36"/>
      <c r="AF13" s="36"/>
      <c r="AG13" s="36"/>
      <c r="AH13" s="19"/>
    </row>
    <row r="14" spans="1:34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739">
        <v>0</v>
      </c>
      <c r="K14" s="132" t="s">
        <v>621</v>
      </c>
      <c r="L14" s="740">
        <v>0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1">
        <v>0</v>
      </c>
      <c r="T14" s="449"/>
      <c r="U14" s="67">
        <v>0</v>
      </c>
      <c r="V14" s="163">
        <v>0</v>
      </c>
      <c r="W14" s="166">
        <v>0</v>
      </c>
      <c r="X14" s="61"/>
      <c r="Z14" s="67"/>
      <c r="AA14" s="451"/>
      <c r="AB14" s="452"/>
      <c r="AE14" s="36"/>
      <c r="AF14" s="36"/>
      <c r="AG14" s="36"/>
      <c r="AH14" s="19"/>
    </row>
    <row r="15" spans="1:34">
      <c r="A15" s="64" t="s">
        <v>597</v>
      </c>
      <c r="B15" s="63" t="s">
        <v>195</v>
      </c>
      <c r="C15" s="63" t="s">
        <v>196</v>
      </c>
      <c r="D15" s="134">
        <v>2167.14</v>
      </c>
      <c r="E15" s="67">
        <v>326371</v>
      </c>
      <c r="F15" s="146">
        <v>0</v>
      </c>
      <c r="G15" s="146">
        <v>0</v>
      </c>
      <c r="H15" s="91">
        <v>326371</v>
      </c>
      <c r="I15" s="67">
        <v>0</v>
      </c>
      <c r="J15" s="739">
        <v>326371</v>
      </c>
      <c r="K15" s="132" t="s">
        <v>621</v>
      </c>
      <c r="L15" s="740">
        <v>0</v>
      </c>
      <c r="M15" s="741">
        <v>2167.14</v>
      </c>
      <c r="N15" s="67">
        <v>0</v>
      </c>
      <c r="O15" s="67">
        <v>326371</v>
      </c>
      <c r="Q15" s="674">
        <v>0</v>
      </c>
      <c r="R15" s="674">
        <v>326371</v>
      </c>
      <c r="S15" s="71">
        <v>150.59986895170596</v>
      </c>
      <c r="T15" s="449"/>
      <c r="U15" s="67">
        <v>334987</v>
      </c>
      <c r="V15" s="163">
        <v>-8616</v>
      </c>
      <c r="W15" s="166">
        <v>-2.5720401090191559E-2</v>
      </c>
      <c r="X15" s="61"/>
      <c r="Z15" s="67"/>
      <c r="AA15" s="451"/>
      <c r="AB15" s="452"/>
      <c r="AE15" s="36"/>
      <c r="AF15" s="36"/>
      <c r="AG15" s="36"/>
      <c r="AH15" s="19"/>
    </row>
    <row r="16" spans="1:34">
      <c r="A16" s="64" t="s">
        <v>597</v>
      </c>
      <c r="B16" s="63" t="s">
        <v>213</v>
      </c>
      <c r="C16" s="63" t="s">
        <v>598</v>
      </c>
      <c r="D16" s="134">
        <v>26.86</v>
      </c>
      <c r="E16" s="67">
        <v>4045</v>
      </c>
      <c r="F16" s="146">
        <v>0</v>
      </c>
      <c r="G16" s="146">
        <v>0</v>
      </c>
      <c r="H16" s="91">
        <v>4045</v>
      </c>
      <c r="I16" s="67">
        <v>0</v>
      </c>
      <c r="J16" s="739">
        <v>4045</v>
      </c>
      <c r="K16" s="132" t="s">
        <v>621</v>
      </c>
      <c r="L16" s="740">
        <v>0</v>
      </c>
      <c r="M16" s="741">
        <v>26.86</v>
      </c>
      <c r="N16" s="67">
        <v>0</v>
      </c>
      <c r="O16" s="67">
        <v>4045</v>
      </c>
      <c r="Q16" s="674">
        <v>0</v>
      </c>
      <c r="R16" s="674">
        <v>4045</v>
      </c>
      <c r="S16" s="71">
        <v>150.59568131049889</v>
      </c>
      <c r="T16" s="449"/>
      <c r="U16" s="67">
        <v>0</v>
      </c>
      <c r="V16" s="163">
        <v>4045</v>
      </c>
      <c r="W16" s="166">
        <v>0</v>
      </c>
      <c r="X16" s="61"/>
      <c r="Z16" s="67"/>
      <c r="AA16" s="451"/>
      <c r="AB16" s="452"/>
      <c r="AE16" s="36"/>
      <c r="AF16" s="36"/>
      <c r="AG16" s="36"/>
      <c r="AH16" s="19"/>
    </row>
    <row r="17" spans="1:34">
      <c r="A17" s="64" t="s">
        <v>599</v>
      </c>
      <c r="B17" s="63" t="s">
        <v>62</v>
      </c>
      <c r="C17" s="63" t="s">
        <v>63</v>
      </c>
      <c r="D17" s="134">
        <v>735.14</v>
      </c>
      <c r="E17" s="67">
        <v>110712</v>
      </c>
      <c r="F17" s="146">
        <v>0</v>
      </c>
      <c r="G17" s="146">
        <v>0</v>
      </c>
      <c r="H17" s="91">
        <v>110712</v>
      </c>
      <c r="I17" s="67">
        <v>0</v>
      </c>
      <c r="J17" s="739">
        <v>110712</v>
      </c>
      <c r="K17" s="132" t="s">
        <v>621</v>
      </c>
      <c r="L17" s="740">
        <v>0</v>
      </c>
      <c r="M17" s="741">
        <v>735.14</v>
      </c>
      <c r="N17" s="67">
        <v>0</v>
      </c>
      <c r="O17" s="67">
        <v>110712</v>
      </c>
      <c r="Q17" s="674">
        <v>0</v>
      </c>
      <c r="R17" s="674">
        <v>110712</v>
      </c>
      <c r="S17" s="71">
        <v>150.59988573605028</v>
      </c>
      <c r="T17" s="449"/>
      <c r="U17" s="67">
        <v>116741</v>
      </c>
      <c r="V17" s="163">
        <v>-6029</v>
      </c>
      <c r="W17" s="166">
        <v>-5.1644238099725029E-2</v>
      </c>
      <c r="X17" s="61"/>
      <c r="Z17" s="67"/>
      <c r="AA17" s="451"/>
      <c r="AB17" s="452"/>
      <c r="AE17" s="36"/>
      <c r="AF17" s="36"/>
      <c r="AG17" s="36"/>
      <c r="AH17" s="19"/>
    </row>
    <row r="18" spans="1:34">
      <c r="A18" s="64" t="s">
        <v>597</v>
      </c>
      <c r="B18" s="63" t="s">
        <v>189</v>
      </c>
      <c r="C18" s="63" t="s">
        <v>190</v>
      </c>
      <c r="D18" s="134">
        <v>1918</v>
      </c>
      <c r="E18" s="67">
        <v>288851</v>
      </c>
      <c r="F18" s="146">
        <v>0</v>
      </c>
      <c r="G18" s="146">
        <v>0</v>
      </c>
      <c r="H18" s="91">
        <v>288851</v>
      </c>
      <c r="I18" s="67">
        <v>0</v>
      </c>
      <c r="J18" s="739">
        <v>288851</v>
      </c>
      <c r="K18" s="132" t="s">
        <v>621</v>
      </c>
      <c r="L18" s="740">
        <v>0</v>
      </c>
      <c r="M18" s="741">
        <v>1918</v>
      </c>
      <c r="N18" s="67">
        <v>0</v>
      </c>
      <c r="O18" s="67">
        <v>288851</v>
      </c>
      <c r="Q18" s="674">
        <v>0</v>
      </c>
      <c r="R18" s="674">
        <v>288851</v>
      </c>
      <c r="S18" s="71">
        <v>150.60010427528675</v>
      </c>
      <c r="T18" s="449"/>
      <c r="U18" s="67">
        <v>324530</v>
      </c>
      <c r="V18" s="163">
        <v>-35679</v>
      </c>
      <c r="W18" s="166">
        <v>-0.10994052938095092</v>
      </c>
      <c r="X18" s="61"/>
      <c r="Z18" s="67"/>
      <c r="AA18" s="451"/>
      <c r="AB18" s="452"/>
      <c r="AE18" s="36"/>
      <c r="AF18" s="36"/>
      <c r="AG18" s="36"/>
      <c r="AH18" s="19"/>
    </row>
    <row r="19" spans="1:34">
      <c r="A19" s="64" t="s">
        <v>595</v>
      </c>
      <c r="B19" s="63" t="s">
        <v>504</v>
      </c>
      <c r="C19" s="63" t="s">
        <v>505</v>
      </c>
      <c r="D19" s="134">
        <v>654.14</v>
      </c>
      <c r="E19" s="67">
        <v>98514</v>
      </c>
      <c r="F19" s="146">
        <v>0</v>
      </c>
      <c r="G19" s="146">
        <v>0</v>
      </c>
      <c r="H19" s="91">
        <v>98514</v>
      </c>
      <c r="I19" s="67">
        <v>0</v>
      </c>
      <c r="J19" s="739">
        <v>98514</v>
      </c>
      <c r="K19" s="132" t="s">
        <v>621</v>
      </c>
      <c r="L19" s="740">
        <v>0</v>
      </c>
      <c r="M19" s="741">
        <v>654.14</v>
      </c>
      <c r="N19" s="67">
        <v>0</v>
      </c>
      <c r="O19" s="67">
        <v>98514</v>
      </c>
      <c r="Q19" s="674">
        <v>0</v>
      </c>
      <c r="R19" s="674">
        <v>98514</v>
      </c>
      <c r="S19" s="71">
        <v>150.60078882196473</v>
      </c>
      <c r="T19" s="449"/>
      <c r="U19" s="67">
        <v>106848</v>
      </c>
      <c r="V19" s="163">
        <v>-8334</v>
      </c>
      <c r="W19" s="166">
        <v>-7.7998652291105128E-2</v>
      </c>
      <c r="X19" s="61"/>
      <c r="Z19" s="67"/>
      <c r="AA19" s="451"/>
      <c r="AB19" s="452"/>
      <c r="AE19" s="36"/>
      <c r="AF19" s="36"/>
      <c r="AG19" s="36"/>
      <c r="AH19" s="19"/>
    </row>
    <row r="20" spans="1:34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132" t="s">
        <v>621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>
        <v>0</v>
      </c>
      <c r="S20" s="71">
        <v>0</v>
      </c>
      <c r="T20" s="449"/>
      <c r="U20" s="67">
        <v>0</v>
      </c>
      <c r="V20" s="163">
        <v>0</v>
      </c>
      <c r="W20" s="166">
        <v>0</v>
      </c>
      <c r="X20" s="61"/>
      <c r="Z20" s="67"/>
      <c r="AA20" s="451"/>
      <c r="AB20" s="452"/>
      <c r="AE20" s="36"/>
      <c r="AF20" s="36"/>
      <c r="AG20" s="36"/>
      <c r="AH20" s="19"/>
    </row>
    <row r="21" spans="1:34">
      <c r="A21" s="64" t="s">
        <v>597</v>
      </c>
      <c r="B21" s="63" t="s">
        <v>363</v>
      </c>
      <c r="C21" s="63" t="s">
        <v>364</v>
      </c>
      <c r="D21" s="134">
        <v>277.29000000000002</v>
      </c>
      <c r="E21" s="67">
        <v>41760</v>
      </c>
      <c r="F21" s="146">
        <v>0</v>
      </c>
      <c r="G21" s="146">
        <v>0</v>
      </c>
      <c r="H21" s="91">
        <v>41760</v>
      </c>
      <c r="I21" s="67">
        <v>0</v>
      </c>
      <c r="J21" s="739">
        <v>41760</v>
      </c>
      <c r="K21" s="132" t="s">
        <v>621</v>
      </c>
      <c r="L21" s="740">
        <v>0</v>
      </c>
      <c r="M21" s="741">
        <v>277.29000000000002</v>
      </c>
      <c r="N21" s="67">
        <v>0</v>
      </c>
      <c r="O21" s="67">
        <v>41760</v>
      </c>
      <c r="Q21" s="674">
        <v>0</v>
      </c>
      <c r="R21" s="674">
        <v>41760</v>
      </c>
      <c r="S21" s="71">
        <v>150.60045439792273</v>
      </c>
      <c r="T21" s="449"/>
      <c r="U21" s="67">
        <v>47414</v>
      </c>
      <c r="V21" s="163">
        <v>-5654</v>
      </c>
      <c r="W21" s="166">
        <v>-0.11924747964736154</v>
      </c>
      <c r="X21" s="61"/>
      <c r="Z21" s="67"/>
      <c r="AA21" s="451"/>
      <c r="AB21" s="452"/>
      <c r="AE21" s="36"/>
      <c r="AF21" s="36"/>
      <c r="AG21" s="36"/>
      <c r="AH21" s="19"/>
    </row>
    <row r="22" spans="1:34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132" t="s">
        <v>621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1">
        <v>0</v>
      </c>
      <c r="T22" s="449"/>
      <c r="U22" s="67">
        <v>0</v>
      </c>
      <c r="V22" s="163">
        <v>0</v>
      </c>
      <c r="W22" s="166">
        <v>0</v>
      </c>
      <c r="X22" s="61"/>
      <c r="Z22" s="67"/>
      <c r="AA22" s="451"/>
      <c r="AB22" s="452"/>
      <c r="AE22" s="36"/>
      <c r="AF22" s="36"/>
      <c r="AG22" s="36"/>
      <c r="AH22" s="19"/>
    </row>
    <row r="23" spans="1:34">
      <c r="A23" s="64" t="s">
        <v>595</v>
      </c>
      <c r="B23" s="63" t="s">
        <v>508</v>
      </c>
      <c r="C23" s="63" t="s">
        <v>509</v>
      </c>
      <c r="D23" s="134">
        <v>82.71</v>
      </c>
      <c r="E23" s="67">
        <v>12456</v>
      </c>
      <c r="F23" s="146">
        <v>0</v>
      </c>
      <c r="G23" s="146">
        <v>0</v>
      </c>
      <c r="H23" s="91">
        <v>12456</v>
      </c>
      <c r="I23" s="67">
        <v>0</v>
      </c>
      <c r="J23" s="739">
        <v>12456</v>
      </c>
      <c r="K23" s="132" t="s">
        <v>621</v>
      </c>
      <c r="L23" s="740">
        <v>0</v>
      </c>
      <c r="M23" s="741">
        <v>82.71</v>
      </c>
      <c r="N23" s="67">
        <v>0</v>
      </c>
      <c r="O23" s="67">
        <v>12456</v>
      </c>
      <c r="Q23" s="674">
        <v>0</v>
      </c>
      <c r="R23" s="674">
        <v>12456</v>
      </c>
      <c r="S23" s="71">
        <v>150.59847660500546</v>
      </c>
      <c r="T23" s="449"/>
      <c r="U23" s="67">
        <v>14030</v>
      </c>
      <c r="V23" s="163">
        <v>-1574</v>
      </c>
      <c r="W23" s="166">
        <v>-0.11218816821097648</v>
      </c>
      <c r="X23" s="61"/>
      <c r="Z23" s="67"/>
      <c r="AA23" s="451"/>
      <c r="AB23" s="452"/>
      <c r="AE23" s="36"/>
      <c r="AF23" s="36"/>
      <c r="AG23" s="36"/>
      <c r="AH23" s="19"/>
    </row>
    <row r="24" spans="1:34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132" t="s">
        <v>621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1">
        <v>0</v>
      </c>
      <c r="T24" s="449"/>
      <c r="U24" s="67">
        <v>0</v>
      </c>
      <c r="V24" s="163">
        <v>0</v>
      </c>
      <c r="W24" s="166">
        <v>0</v>
      </c>
      <c r="X24" s="61"/>
      <c r="Z24" s="67"/>
      <c r="AA24" s="451"/>
      <c r="AB24" s="452"/>
      <c r="AE24" s="36"/>
      <c r="AF24" s="36"/>
      <c r="AG24" s="36"/>
      <c r="AH24" s="19"/>
    </row>
    <row r="25" spans="1:34">
      <c r="A25" s="64" t="s">
        <v>600</v>
      </c>
      <c r="B25" s="63" t="s">
        <v>211</v>
      </c>
      <c r="C25" s="63" t="s">
        <v>212</v>
      </c>
      <c r="D25" s="134">
        <v>179.57</v>
      </c>
      <c r="E25" s="67">
        <v>27043</v>
      </c>
      <c r="F25" s="146">
        <v>0</v>
      </c>
      <c r="G25" s="146">
        <v>0</v>
      </c>
      <c r="H25" s="91">
        <v>27043</v>
      </c>
      <c r="I25" s="67">
        <v>0</v>
      </c>
      <c r="J25" s="739">
        <v>27043</v>
      </c>
      <c r="K25" s="132" t="s">
        <v>621</v>
      </c>
      <c r="L25" s="740">
        <v>0</v>
      </c>
      <c r="M25" s="741">
        <v>179.57</v>
      </c>
      <c r="N25" s="67">
        <v>0</v>
      </c>
      <c r="O25" s="67">
        <v>27043</v>
      </c>
      <c r="Q25" s="674">
        <v>0</v>
      </c>
      <c r="R25" s="674">
        <v>27043</v>
      </c>
      <c r="S25" s="71">
        <v>150.59865233613633</v>
      </c>
      <c r="T25" s="449"/>
      <c r="U25" s="67">
        <v>25353</v>
      </c>
      <c r="V25" s="163">
        <v>1690</v>
      </c>
      <c r="W25" s="166">
        <v>6.6658778053879222E-2</v>
      </c>
      <c r="X25" s="61"/>
      <c r="Z25" s="67"/>
      <c r="AA25" s="451"/>
      <c r="AB25" s="452"/>
      <c r="AE25" s="36"/>
      <c r="AF25" s="36"/>
      <c r="AG25" s="36"/>
      <c r="AH25" s="19"/>
    </row>
    <row r="26" spans="1:34">
      <c r="A26" s="64" t="s">
        <v>601</v>
      </c>
      <c r="B26" s="63" t="s">
        <v>315</v>
      </c>
      <c r="C26" s="63" t="s">
        <v>316</v>
      </c>
      <c r="D26" s="134">
        <v>446.86</v>
      </c>
      <c r="E26" s="67">
        <v>67297</v>
      </c>
      <c r="F26" s="146">
        <v>0</v>
      </c>
      <c r="G26" s="146">
        <v>0</v>
      </c>
      <c r="H26" s="91">
        <v>67297</v>
      </c>
      <c r="I26" s="67">
        <v>0</v>
      </c>
      <c r="J26" s="739">
        <v>67297</v>
      </c>
      <c r="K26" s="132" t="s">
        <v>621</v>
      </c>
      <c r="L26" s="740">
        <v>0</v>
      </c>
      <c r="M26" s="741">
        <v>446.86</v>
      </c>
      <c r="N26" s="67">
        <v>0</v>
      </c>
      <c r="O26" s="67">
        <v>67297</v>
      </c>
      <c r="Q26" s="674">
        <v>0</v>
      </c>
      <c r="R26" s="674">
        <v>67297</v>
      </c>
      <c r="S26" s="71">
        <v>150.59974041086693</v>
      </c>
      <c r="T26" s="449"/>
      <c r="U26" s="67">
        <v>67182</v>
      </c>
      <c r="V26" s="163">
        <v>115</v>
      </c>
      <c r="W26" s="166">
        <v>1.7117680331041052E-3</v>
      </c>
      <c r="X26" s="61"/>
      <c r="Z26" s="67"/>
      <c r="AA26" s="451"/>
      <c r="AB26" s="452"/>
      <c r="AE26" s="36"/>
      <c r="AF26" s="36"/>
      <c r="AG26" s="36"/>
      <c r="AH26" s="19"/>
    </row>
    <row r="27" spans="1:34">
      <c r="A27" s="64" t="s">
        <v>601</v>
      </c>
      <c r="B27" s="63" t="s">
        <v>84</v>
      </c>
      <c r="C27" s="63" t="s">
        <v>85</v>
      </c>
      <c r="D27" s="134">
        <v>322.43</v>
      </c>
      <c r="E27" s="67">
        <v>48558</v>
      </c>
      <c r="F27" s="146">
        <v>0</v>
      </c>
      <c r="G27" s="146">
        <v>0</v>
      </c>
      <c r="H27" s="91">
        <v>48558</v>
      </c>
      <c r="I27" s="67">
        <v>0</v>
      </c>
      <c r="J27" s="739">
        <v>48558</v>
      </c>
      <c r="K27" s="132" t="s">
        <v>621</v>
      </c>
      <c r="L27" s="740">
        <v>0</v>
      </c>
      <c r="M27" s="741">
        <v>322.43</v>
      </c>
      <c r="N27" s="67">
        <v>0</v>
      </c>
      <c r="O27" s="67">
        <v>48558</v>
      </c>
      <c r="Q27" s="674">
        <v>0</v>
      </c>
      <c r="R27" s="674">
        <v>48558</v>
      </c>
      <c r="S27" s="71">
        <v>150.6001302608318</v>
      </c>
      <c r="T27" s="449"/>
      <c r="U27" s="67">
        <v>53453</v>
      </c>
      <c r="V27" s="163">
        <v>-4895</v>
      </c>
      <c r="W27" s="166">
        <v>-9.1575776850691265E-2</v>
      </c>
      <c r="X27" s="61"/>
      <c r="Z27" s="67"/>
      <c r="AA27" s="451"/>
      <c r="AB27" s="452"/>
      <c r="AE27" s="36"/>
      <c r="AF27" s="36"/>
      <c r="AG27" s="36"/>
      <c r="AH27" s="19"/>
    </row>
    <row r="28" spans="1:34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739">
        <v>0</v>
      </c>
      <c r="K28" s="132" t="s">
        <v>621</v>
      </c>
      <c r="L28" s="740">
        <v>0</v>
      </c>
      <c r="M28" s="741">
        <v>0</v>
      </c>
      <c r="N28" s="67">
        <v>0</v>
      </c>
      <c r="O28" s="67">
        <v>0</v>
      </c>
      <c r="Q28" s="674">
        <v>0</v>
      </c>
      <c r="R28" s="674">
        <v>0</v>
      </c>
      <c r="S28" s="71">
        <v>0</v>
      </c>
      <c r="T28" s="449"/>
      <c r="U28" s="67">
        <v>0</v>
      </c>
      <c r="V28" s="163">
        <v>0</v>
      </c>
      <c r="W28" s="166">
        <v>0</v>
      </c>
      <c r="X28" s="61"/>
      <c r="Z28" s="67"/>
      <c r="AA28" s="451"/>
      <c r="AB28" s="452"/>
      <c r="AE28" s="36"/>
      <c r="AF28" s="36"/>
      <c r="AG28" s="36"/>
      <c r="AH28" s="19"/>
    </row>
    <row r="29" spans="1:34">
      <c r="A29" s="64" t="s">
        <v>595</v>
      </c>
      <c r="B29" s="63" t="s">
        <v>378</v>
      </c>
      <c r="C29" s="63" t="s">
        <v>602</v>
      </c>
      <c r="D29" s="134">
        <v>701.29</v>
      </c>
      <c r="E29" s="67">
        <v>105614</v>
      </c>
      <c r="F29" s="146">
        <v>0</v>
      </c>
      <c r="G29" s="146">
        <v>0</v>
      </c>
      <c r="H29" s="91">
        <v>105614</v>
      </c>
      <c r="I29" s="67">
        <v>0</v>
      </c>
      <c r="J29" s="739">
        <v>105614</v>
      </c>
      <c r="K29" s="132" t="s">
        <v>621</v>
      </c>
      <c r="L29" s="740">
        <v>0</v>
      </c>
      <c r="M29" s="741">
        <v>701.29</v>
      </c>
      <c r="N29" s="67">
        <v>0</v>
      </c>
      <c r="O29" s="67">
        <v>105614</v>
      </c>
      <c r="Q29" s="674">
        <v>0</v>
      </c>
      <c r="R29" s="674">
        <v>105614</v>
      </c>
      <c r="S29" s="71">
        <v>150.59960929144862</v>
      </c>
      <c r="T29" s="449"/>
      <c r="U29" s="67">
        <v>111587</v>
      </c>
      <c r="V29" s="163">
        <v>-5973</v>
      </c>
      <c r="W29" s="166">
        <v>-5.3527740686639125E-2</v>
      </c>
      <c r="X29" s="61"/>
      <c r="Z29" s="67"/>
      <c r="AA29" s="451"/>
      <c r="AB29" s="452"/>
      <c r="AE29" s="36"/>
      <c r="AF29" s="36"/>
      <c r="AG29" s="36"/>
      <c r="AH29" s="19"/>
    </row>
    <row r="30" spans="1:34">
      <c r="A30" s="64" t="s">
        <v>599</v>
      </c>
      <c r="B30" s="63" t="s">
        <v>60</v>
      </c>
      <c r="C30" s="63" t="s">
        <v>61</v>
      </c>
      <c r="D30" s="134">
        <v>118.86</v>
      </c>
      <c r="E30" s="67">
        <v>17900</v>
      </c>
      <c r="F30" s="146">
        <v>0</v>
      </c>
      <c r="G30" s="146">
        <v>0</v>
      </c>
      <c r="H30" s="91">
        <v>17900</v>
      </c>
      <c r="I30" s="67">
        <v>0</v>
      </c>
      <c r="J30" s="739">
        <v>17900</v>
      </c>
      <c r="K30" s="132" t="s">
        <v>621</v>
      </c>
      <c r="L30" s="740">
        <v>0</v>
      </c>
      <c r="M30" s="741">
        <v>118.86</v>
      </c>
      <c r="N30" s="67">
        <v>0</v>
      </c>
      <c r="O30" s="67">
        <v>17900</v>
      </c>
      <c r="Q30" s="674">
        <v>0</v>
      </c>
      <c r="R30" s="674">
        <v>17900</v>
      </c>
      <c r="S30" s="71">
        <v>150.59734141006226</v>
      </c>
      <c r="T30" s="449"/>
      <c r="U30" s="67">
        <v>18300</v>
      </c>
      <c r="V30" s="163">
        <v>-400</v>
      </c>
      <c r="W30" s="166">
        <v>-2.185792349726776E-2</v>
      </c>
      <c r="X30" s="61"/>
      <c r="Z30" s="67"/>
      <c r="AA30" s="451"/>
      <c r="AB30" s="452"/>
      <c r="AE30" s="36"/>
      <c r="AF30" s="36"/>
      <c r="AG30" s="36"/>
      <c r="AH30" s="19"/>
    </row>
    <row r="31" spans="1:34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132" t="s">
        <v>621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1">
        <v>0</v>
      </c>
      <c r="T31" s="449"/>
      <c r="U31" s="67">
        <v>0</v>
      </c>
      <c r="V31" s="163">
        <v>0</v>
      </c>
      <c r="W31" s="166">
        <v>0</v>
      </c>
      <c r="X31" s="61"/>
      <c r="Z31" s="67"/>
      <c r="AA31" s="451"/>
      <c r="AB31" s="452"/>
      <c r="AE31" s="36"/>
      <c r="AF31" s="36"/>
      <c r="AG31" s="36"/>
      <c r="AH31" s="19"/>
    </row>
    <row r="32" spans="1:34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621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1">
        <v>0</v>
      </c>
      <c r="T32" s="449"/>
      <c r="U32" s="67">
        <v>0</v>
      </c>
      <c r="V32" s="163">
        <v>0</v>
      </c>
      <c r="W32" s="166">
        <v>0</v>
      </c>
      <c r="X32" s="61"/>
      <c r="Z32" s="67"/>
      <c r="AA32" s="451"/>
      <c r="AB32" s="452"/>
      <c r="AE32" s="36"/>
      <c r="AF32" s="36"/>
      <c r="AG32" s="36"/>
      <c r="AH32" s="19"/>
    </row>
    <row r="33" spans="1:34">
      <c r="A33" s="64" t="s">
        <v>601</v>
      </c>
      <c r="B33" s="63" t="s">
        <v>35</v>
      </c>
      <c r="C33" s="63" t="s">
        <v>36</v>
      </c>
      <c r="D33" s="134">
        <v>170.57</v>
      </c>
      <c r="E33" s="67">
        <v>25688</v>
      </c>
      <c r="F33" s="146">
        <v>0</v>
      </c>
      <c r="G33" s="146">
        <v>0</v>
      </c>
      <c r="H33" s="91">
        <v>25688</v>
      </c>
      <c r="I33" s="67">
        <v>0</v>
      </c>
      <c r="J33" s="739">
        <v>25688</v>
      </c>
      <c r="K33" s="132" t="s">
        <v>621</v>
      </c>
      <c r="L33" s="740">
        <v>0</v>
      </c>
      <c r="M33" s="741">
        <v>170.57</v>
      </c>
      <c r="N33" s="67">
        <v>0</v>
      </c>
      <c r="O33" s="67">
        <v>25688</v>
      </c>
      <c r="Q33" s="674">
        <v>0</v>
      </c>
      <c r="R33" s="674">
        <v>25688</v>
      </c>
      <c r="S33" s="71">
        <v>150.60092630591546</v>
      </c>
      <c r="T33" s="449"/>
      <c r="U33" s="67">
        <v>29379</v>
      </c>
      <c r="V33" s="163">
        <v>-3691</v>
      </c>
      <c r="W33" s="166">
        <v>-0.12563395622723714</v>
      </c>
      <c r="X33" s="61"/>
      <c r="Z33" s="67"/>
      <c r="AA33" s="451"/>
      <c r="AB33" s="452"/>
      <c r="AE33" s="36"/>
      <c r="AF33" s="36"/>
      <c r="AG33" s="36"/>
      <c r="AH33" s="19"/>
    </row>
    <row r="34" spans="1:34">
      <c r="A34" s="64" t="s">
        <v>601</v>
      </c>
      <c r="B34" s="63" t="s">
        <v>33</v>
      </c>
      <c r="C34" s="63" t="s">
        <v>34</v>
      </c>
      <c r="D34" s="134">
        <v>248</v>
      </c>
      <c r="E34" s="67">
        <v>37349</v>
      </c>
      <c r="F34" s="146">
        <v>0</v>
      </c>
      <c r="G34" s="146">
        <v>0</v>
      </c>
      <c r="H34" s="91">
        <v>37349</v>
      </c>
      <c r="I34" s="67">
        <v>0</v>
      </c>
      <c r="J34" s="739">
        <v>37349</v>
      </c>
      <c r="K34" s="132" t="s">
        <v>621</v>
      </c>
      <c r="L34" s="740">
        <v>0</v>
      </c>
      <c r="M34" s="741">
        <v>248</v>
      </c>
      <c r="N34" s="67">
        <v>0</v>
      </c>
      <c r="O34" s="67">
        <v>37349</v>
      </c>
      <c r="Q34" s="674">
        <v>0</v>
      </c>
      <c r="R34" s="674">
        <v>37349</v>
      </c>
      <c r="S34" s="71">
        <v>150.6008064516129</v>
      </c>
      <c r="T34" s="449"/>
      <c r="U34" s="67">
        <v>37353</v>
      </c>
      <c r="V34" s="163">
        <v>-4</v>
      </c>
      <c r="W34" s="166">
        <v>-1.0708644553315664E-4</v>
      </c>
      <c r="X34" s="61"/>
      <c r="Z34" s="67"/>
      <c r="AA34" s="451"/>
      <c r="AB34" s="452"/>
      <c r="AE34" s="36"/>
      <c r="AF34" s="36"/>
      <c r="AG34" s="36"/>
      <c r="AH34" s="19"/>
    </row>
    <row r="35" spans="1:34">
      <c r="A35" s="64" t="s">
        <v>599</v>
      </c>
      <c r="B35" s="63" t="s">
        <v>74</v>
      </c>
      <c r="C35" s="63" t="s">
        <v>75</v>
      </c>
      <c r="D35" s="134">
        <v>22</v>
      </c>
      <c r="E35" s="67">
        <v>3313</v>
      </c>
      <c r="F35" s="146">
        <v>0</v>
      </c>
      <c r="G35" s="146">
        <v>0</v>
      </c>
      <c r="H35" s="91">
        <v>3313</v>
      </c>
      <c r="I35" s="67">
        <v>0</v>
      </c>
      <c r="J35" s="739">
        <v>3313</v>
      </c>
      <c r="K35" s="132" t="s">
        <v>621</v>
      </c>
      <c r="L35" s="740">
        <v>0</v>
      </c>
      <c r="M35" s="741">
        <v>22</v>
      </c>
      <c r="N35" s="67">
        <v>0</v>
      </c>
      <c r="O35" s="67">
        <v>3313</v>
      </c>
      <c r="Q35" s="674">
        <v>0</v>
      </c>
      <c r="R35" s="674">
        <v>3313</v>
      </c>
      <c r="S35" s="71">
        <v>150.59090909090909</v>
      </c>
      <c r="T35" s="449"/>
      <c r="U35" s="67">
        <v>0</v>
      </c>
      <c r="V35" s="163">
        <v>3313</v>
      </c>
      <c r="W35" s="166">
        <v>0</v>
      </c>
      <c r="X35" s="61"/>
      <c r="Z35" s="67"/>
      <c r="AA35" s="451"/>
      <c r="AB35" s="452"/>
      <c r="AE35" s="36"/>
      <c r="AF35" s="36"/>
      <c r="AG35" s="36"/>
      <c r="AH35" s="19"/>
    </row>
    <row r="36" spans="1:34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739">
        <v>0</v>
      </c>
      <c r="K36" s="132" t="s">
        <v>621</v>
      </c>
      <c r="L36" s="740">
        <v>0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1">
        <v>0</v>
      </c>
      <c r="T36" s="449"/>
      <c r="U36" s="67">
        <v>0</v>
      </c>
      <c r="V36" s="163">
        <v>0</v>
      </c>
      <c r="W36" s="166">
        <v>0</v>
      </c>
      <c r="X36" s="61"/>
      <c r="Z36" s="67"/>
      <c r="AA36" s="451"/>
      <c r="AB36" s="452"/>
      <c r="AE36" s="36"/>
      <c r="AF36" s="36"/>
      <c r="AG36" s="36"/>
      <c r="AH36" s="19"/>
    </row>
    <row r="37" spans="1:34">
      <c r="A37" s="64" t="s">
        <v>600</v>
      </c>
      <c r="B37" s="63" t="s">
        <v>216</v>
      </c>
      <c r="C37" s="63" t="s">
        <v>217</v>
      </c>
      <c r="D37" s="134">
        <v>253.86</v>
      </c>
      <c r="E37" s="67">
        <v>38231</v>
      </c>
      <c r="F37" s="146">
        <v>0</v>
      </c>
      <c r="G37" s="146">
        <v>0</v>
      </c>
      <c r="H37" s="91">
        <v>38231</v>
      </c>
      <c r="I37" s="67">
        <v>0</v>
      </c>
      <c r="J37" s="739">
        <v>38231</v>
      </c>
      <c r="K37" s="132" t="s">
        <v>621</v>
      </c>
      <c r="L37" s="740">
        <v>0</v>
      </c>
      <c r="M37" s="741">
        <v>253.86</v>
      </c>
      <c r="N37" s="67">
        <v>0</v>
      </c>
      <c r="O37" s="67">
        <v>38231</v>
      </c>
      <c r="Q37" s="674">
        <v>0</v>
      </c>
      <c r="R37" s="674">
        <v>38231</v>
      </c>
      <c r="S37" s="71">
        <v>150.59875521941225</v>
      </c>
      <c r="T37" s="449"/>
      <c r="U37" s="67">
        <v>38613</v>
      </c>
      <c r="V37" s="163">
        <v>-382</v>
      </c>
      <c r="W37" s="166">
        <v>-9.8930412037396727E-3</v>
      </c>
      <c r="X37" s="61"/>
      <c r="Z37" s="67"/>
      <c r="AA37" s="451"/>
      <c r="AB37" s="452"/>
      <c r="AE37" s="36"/>
      <c r="AF37" s="36"/>
      <c r="AG37" s="36"/>
      <c r="AH37" s="19"/>
    </row>
    <row r="38" spans="1:34">
      <c r="A38" s="64" t="s">
        <v>603</v>
      </c>
      <c r="B38" s="63" t="s">
        <v>434</v>
      </c>
      <c r="C38" s="63" t="s">
        <v>435</v>
      </c>
      <c r="D38" s="134">
        <v>337.86</v>
      </c>
      <c r="E38" s="67">
        <v>50882</v>
      </c>
      <c r="F38" s="146">
        <v>0</v>
      </c>
      <c r="G38" s="146">
        <v>0</v>
      </c>
      <c r="H38" s="91">
        <v>50882</v>
      </c>
      <c r="I38" s="67">
        <v>0</v>
      </c>
      <c r="J38" s="739">
        <v>50882</v>
      </c>
      <c r="K38" s="132" t="s">
        <v>621</v>
      </c>
      <c r="L38" s="740">
        <v>0</v>
      </c>
      <c r="M38" s="741">
        <v>337.86</v>
      </c>
      <c r="N38" s="67">
        <v>0</v>
      </c>
      <c r="O38" s="67">
        <v>50882</v>
      </c>
      <c r="Q38" s="674">
        <v>0</v>
      </c>
      <c r="R38" s="674">
        <v>50882</v>
      </c>
      <c r="S38" s="71">
        <v>150.60084058485762</v>
      </c>
      <c r="T38" s="449"/>
      <c r="U38" s="67">
        <v>51553</v>
      </c>
      <c r="V38" s="163">
        <v>-671</v>
      </c>
      <c r="W38" s="166">
        <v>-1.3015731383236669E-2</v>
      </c>
      <c r="X38" s="61"/>
      <c r="Z38" s="67"/>
      <c r="AA38" s="451"/>
      <c r="AB38" s="452"/>
      <c r="AE38" s="36"/>
      <c r="AF38" s="36"/>
      <c r="AG38" s="36"/>
      <c r="AH38" s="19"/>
    </row>
    <row r="39" spans="1:34">
      <c r="A39" s="64" t="s">
        <v>594</v>
      </c>
      <c r="B39" s="63" t="s">
        <v>278</v>
      </c>
      <c r="C39" s="63" t="s">
        <v>279</v>
      </c>
      <c r="D39" s="134">
        <v>315.43</v>
      </c>
      <c r="E39" s="67">
        <v>47504</v>
      </c>
      <c r="F39" s="146">
        <v>0</v>
      </c>
      <c r="G39" s="146">
        <v>0</v>
      </c>
      <c r="H39" s="91">
        <v>47504</v>
      </c>
      <c r="I39" s="67">
        <v>0</v>
      </c>
      <c r="J39" s="739">
        <v>47504</v>
      </c>
      <c r="K39" s="132" t="s">
        <v>621</v>
      </c>
      <c r="L39" s="740">
        <v>0</v>
      </c>
      <c r="M39" s="741">
        <v>315.43</v>
      </c>
      <c r="N39" s="67">
        <v>0</v>
      </c>
      <c r="O39" s="67">
        <v>47504</v>
      </c>
      <c r="Q39" s="674">
        <v>0</v>
      </c>
      <c r="R39" s="674">
        <v>47504</v>
      </c>
      <c r="S39" s="71">
        <v>150.60076720667027</v>
      </c>
      <c r="T39" s="449"/>
      <c r="U39" s="67">
        <v>50988</v>
      </c>
      <c r="V39" s="163">
        <v>-3484</v>
      </c>
      <c r="W39" s="166">
        <v>-6.8329803090923361E-2</v>
      </c>
      <c r="X39" s="61"/>
      <c r="Z39" s="67"/>
      <c r="AA39" s="451"/>
      <c r="AB39" s="452"/>
      <c r="AE39" s="36"/>
      <c r="AF39" s="36"/>
      <c r="AG39" s="36"/>
      <c r="AH39" s="19"/>
    </row>
    <row r="40" spans="1:34">
      <c r="A40" s="64" t="s">
        <v>594</v>
      </c>
      <c r="B40" s="63" t="s">
        <v>274</v>
      </c>
      <c r="C40" s="63" t="s">
        <v>275</v>
      </c>
      <c r="D40" s="134">
        <v>103.43</v>
      </c>
      <c r="E40" s="67">
        <v>15577</v>
      </c>
      <c r="F40" s="146">
        <v>0</v>
      </c>
      <c r="G40" s="146">
        <v>0</v>
      </c>
      <c r="H40" s="91">
        <v>15577</v>
      </c>
      <c r="I40" s="67">
        <v>0</v>
      </c>
      <c r="J40" s="739">
        <v>15577</v>
      </c>
      <c r="K40" s="132" t="s">
        <v>621</v>
      </c>
      <c r="L40" s="740">
        <v>0</v>
      </c>
      <c r="M40" s="741">
        <v>103.43</v>
      </c>
      <c r="N40" s="67">
        <v>0</v>
      </c>
      <c r="O40" s="67">
        <v>15577</v>
      </c>
      <c r="Q40" s="674">
        <v>0</v>
      </c>
      <c r="R40" s="674">
        <v>15577</v>
      </c>
      <c r="S40" s="71">
        <v>150.6042734216378</v>
      </c>
      <c r="T40" s="449"/>
      <c r="U40" s="67">
        <v>14746</v>
      </c>
      <c r="V40" s="163">
        <v>831</v>
      </c>
      <c r="W40" s="166">
        <v>5.6354265563542658E-2</v>
      </c>
      <c r="X40" s="61"/>
      <c r="Z40" s="67"/>
      <c r="AA40" s="451"/>
      <c r="AB40" s="452"/>
      <c r="AE40" s="36"/>
      <c r="AF40" s="36"/>
      <c r="AG40" s="36"/>
      <c r="AH40" s="19"/>
    </row>
    <row r="41" spans="1:34">
      <c r="A41" s="64" t="s">
        <v>603</v>
      </c>
      <c r="B41" s="63" t="s">
        <v>438</v>
      </c>
      <c r="C41" s="63" t="s">
        <v>439</v>
      </c>
      <c r="D41" s="134">
        <v>96.71</v>
      </c>
      <c r="E41" s="67">
        <v>14565</v>
      </c>
      <c r="F41" s="146">
        <v>0</v>
      </c>
      <c r="G41" s="146">
        <v>0</v>
      </c>
      <c r="H41" s="91">
        <v>14565</v>
      </c>
      <c r="I41" s="67">
        <v>0</v>
      </c>
      <c r="J41" s="739">
        <v>14565</v>
      </c>
      <c r="K41" s="132" t="s">
        <v>621</v>
      </c>
      <c r="L41" s="740">
        <v>0</v>
      </c>
      <c r="M41" s="741">
        <v>96.71</v>
      </c>
      <c r="N41" s="67">
        <v>0</v>
      </c>
      <c r="O41" s="67">
        <v>14565</v>
      </c>
      <c r="Q41" s="674">
        <v>0</v>
      </c>
      <c r="R41" s="674">
        <v>14565</v>
      </c>
      <c r="S41" s="71">
        <v>150.60490125116328</v>
      </c>
      <c r="T41" s="449"/>
      <c r="U41" s="67">
        <v>16136</v>
      </c>
      <c r="V41" s="163">
        <v>-1571</v>
      </c>
      <c r="W41" s="166">
        <v>-9.7359940505701542E-2</v>
      </c>
      <c r="X41" s="61"/>
      <c r="Z41" s="67"/>
      <c r="AA41" s="451"/>
      <c r="AB41" s="452"/>
      <c r="AE41" s="36"/>
      <c r="AF41" s="36"/>
      <c r="AG41" s="36"/>
      <c r="AH41" s="19"/>
    </row>
    <row r="42" spans="1:34">
      <c r="A42" s="64" t="s">
        <v>603</v>
      </c>
      <c r="B42" s="63" t="s">
        <v>450</v>
      </c>
      <c r="C42" s="63" t="s">
        <v>451</v>
      </c>
      <c r="D42" s="134">
        <v>5.14</v>
      </c>
      <c r="E42" s="67">
        <v>774</v>
      </c>
      <c r="F42" s="146">
        <v>0</v>
      </c>
      <c r="G42" s="146">
        <v>0</v>
      </c>
      <c r="H42" s="91">
        <v>774</v>
      </c>
      <c r="I42" s="67">
        <v>0</v>
      </c>
      <c r="J42" s="739">
        <v>774</v>
      </c>
      <c r="K42" s="132" t="s">
        <v>621</v>
      </c>
      <c r="L42" s="740">
        <v>0</v>
      </c>
      <c r="M42" s="741">
        <v>5.14</v>
      </c>
      <c r="N42" s="67">
        <v>0</v>
      </c>
      <c r="O42" s="67">
        <v>774</v>
      </c>
      <c r="Q42" s="674">
        <v>0</v>
      </c>
      <c r="R42" s="674">
        <v>774</v>
      </c>
      <c r="S42" s="71">
        <v>150.58365758754866</v>
      </c>
      <c r="T42" s="449"/>
      <c r="U42" s="67">
        <v>0</v>
      </c>
      <c r="V42" s="163">
        <v>774</v>
      </c>
      <c r="W42" s="166">
        <v>0</v>
      </c>
      <c r="X42" s="61"/>
      <c r="Z42" s="67"/>
      <c r="AA42" s="451"/>
      <c r="AB42" s="452"/>
      <c r="AE42" s="36"/>
      <c r="AF42" s="36"/>
      <c r="AG42" s="36"/>
      <c r="AH42" s="19"/>
    </row>
    <row r="43" spans="1:34">
      <c r="A43" s="64" t="s">
        <v>600</v>
      </c>
      <c r="B43" s="63" t="s">
        <v>169</v>
      </c>
      <c r="C43" s="63" t="s">
        <v>170</v>
      </c>
      <c r="D43" s="134">
        <v>12</v>
      </c>
      <c r="E43" s="67">
        <v>1807</v>
      </c>
      <c r="F43" s="146">
        <v>0</v>
      </c>
      <c r="G43" s="146">
        <v>0</v>
      </c>
      <c r="H43" s="91">
        <v>1807</v>
      </c>
      <c r="I43" s="67">
        <v>0</v>
      </c>
      <c r="J43" s="739">
        <v>1807</v>
      </c>
      <c r="K43" s="132" t="s">
        <v>621</v>
      </c>
      <c r="L43" s="740">
        <v>0</v>
      </c>
      <c r="M43" s="741">
        <v>12</v>
      </c>
      <c r="N43" s="67">
        <v>0</v>
      </c>
      <c r="O43" s="67">
        <v>1807</v>
      </c>
      <c r="Q43" s="674">
        <v>0</v>
      </c>
      <c r="R43" s="674">
        <v>1807</v>
      </c>
      <c r="S43" s="71">
        <v>150.58333333333334</v>
      </c>
      <c r="T43" s="449"/>
      <c r="U43" s="67">
        <v>0</v>
      </c>
      <c r="V43" s="163">
        <v>1807</v>
      </c>
      <c r="W43" s="166">
        <v>0</v>
      </c>
      <c r="X43" s="61"/>
      <c r="Z43" s="67"/>
      <c r="AA43" s="451"/>
      <c r="AB43" s="452"/>
      <c r="AE43" s="36"/>
      <c r="AF43" s="36"/>
      <c r="AG43" s="36"/>
      <c r="AH43" s="19"/>
    </row>
    <row r="44" spans="1:34">
      <c r="A44" s="64" t="s">
        <v>596</v>
      </c>
      <c r="B44" s="63" t="s">
        <v>10</v>
      </c>
      <c r="C44" s="63" t="s">
        <v>11</v>
      </c>
      <c r="D44" s="134">
        <v>33.14</v>
      </c>
      <c r="E44" s="67">
        <v>4991</v>
      </c>
      <c r="F44" s="146">
        <v>0</v>
      </c>
      <c r="G44" s="146">
        <v>0</v>
      </c>
      <c r="H44" s="91">
        <v>4991</v>
      </c>
      <c r="I44" s="67">
        <v>0</v>
      </c>
      <c r="J44" s="739">
        <v>4991</v>
      </c>
      <c r="K44" s="132" t="s">
        <v>621</v>
      </c>
      <c r="L44" s="740">
        <v>0</v>
      </c>
      <c r="M44" s="741">
        <v>33.14</v>
      </c>
      <c r="N44" s="67">
        <v>0</v>
      </c>
      <c r="O44" s="67">
        <v>4991</v>
      </c>
      <c r="Q44" s="674">
        <v>0</v>
      </c>
      <c r="R44" s="674">
        <v>4991</v>
      </c>
      <c r="S44" s="71">
        <v>150.60350030175016</v>
      </c>
      <c r="T44" s="449"/>
      <c r="U44" s="67">
        <v>0</v>
      </c>
      <c r="V44" s="163">
        <v>4991</v>
      </c>
      <c r="W44" s="166">
        <v>0</v>
      </c>
      <c r="X44" s="61"/>
      <c r="Z44" s="67"/>
      <c r="AA44" s="451"/>
      <c r="AB44" s="452"/>
      <c r="AE44" s="36"/>
      <c r="AF44" s="36"/>
      <c r="AG44" s="36"/>
      <c r="AH44" s="19"/>
    </row>
    <row r="45" spans="1:34">
      <c r="A45" s="64" t="s">
        <v>605</v>
      </c>
      <c r="B45" s="63" t="s">
        <v>230</v>
      </c>
      <c r="C45" s="63" t="s">
        <v>231</v>
      </c>
      <c r="D45" s="134">
        <v>18.29</v>
      </c>
      <c r="E45" s="67">
        <v>2754</v>
      </c>
      <c r="F45" s="146">
        <v>0</v>
      </c>
      <c r="G45" s="146">
        <v>0</v>
      </c>
      <c r="H45" s="91">
        <v>2754</v>
      </c>
      <c r="I45" s="67">
        <v>0</v>
      </c>
      <c r="J45" s="739">
        <v>2754</v>
      </c>
      <c r="K45" s="132" t="s">
        <v>621</v>
      </c>
      <c r="L45" s="740">
        <v>0</v>
      </c>
      <c r="M45" s="741">
        <v>18.29</v>
      </c>
      <c r="N45" s="67">
        <v>0</v>
      </c>
      <c r="O45" s="67">
        <v>2754</v>
      </c>
      <c r="Q45" s="674">
        <v>0</v>
      </c>
      <c r="R45" s="674">
        <v>2754</v>
      </c>
      <c r="S45" s="71">
        <v>150.57408419901586</v>
      </c>
      <c r="T45" s="449"/>
      <c r="U45" s="67">
        <v>2483</v>
      </c>
      <c r="V45" s="163">
        <v>271</v>
      </c>
      <c r="W45" s="166">
        <v>0.10914216673378976</v>
      </c>
      <c r="X45" s="61"/>
      <c r="Z45" s="67"/>
      <c r="AA45" s="451"/>
      <c r="AB45" s="452"/>
      <c r="AE45" s="36"/>
      <c r="AF45" s="36"/>
      <c r="AG45" s="36"/>
      <c r="AH45" s="19"/>
    </row>
    <row r="46" spans="1:34">
      <c r="A46" s="64" t="s">
        <v>597</v>
      </c>
      <c r="B46" s="63" t="s">
        <v>357</v>
      </c>
      <c r="C46" s="63" t="s">
        <v>358</v>
      </c>
      <c r="D46" s="134">
        <v>1340.57</v>
      </c>
      <c r="E46" s="67">
        <v>201890</v>
      </c>
      <c r="F46" s="146">
        <v>0</v>
      </c>
      <c r="G46" s="146">
        <v>0</v>
      </c>
      <c r="H46" s="91">
        <v>201890</v>
      </c>
      <c r="I46" s="67">
        <v>0</v>
      </c>
      <c r="J46" s="739">
        <v>201890</v>
      </c>
      <c r="K46" s="132" t="s">
        <v>621</v>
      </c>
      <c r="L46" s="740">
        <v>0</v>
      </c>
      <c r="M46" s="741">
        <v>1340.57</v>
      </c>
      <c r="N46" s="67">
        <v>0</v>
      </c>
      <c r="O46" s="67">
        <v>201890</v>
      </c>
      <c r="Q46" s="674">
        <v>0</v>
      </c>
      <c r="R46" s="674">
        <v>201890</v>
      </c>
      <c r="S46" s="71">
        <v>150.60011786031316</v>
      </c>
      <c r="T46" s="449"/>
      <c r="U46" s="67">
        <v>220711</v>
      </c>
      <c r="V46" s="163">
        <v>-18821</v>
      </c>
      <c r="W46" s="166">
        <v>-8.5274408615791691E-2</v>
      </c>
      <c r="X46" s="61"/>
      <c r="Z46" s="67"/>
      <c r="AA46" s="451"/>
      <c r="AB46" s="452"/>
      <c r="AE46" s="36"/>
      <c r="AF46" s="36"/>
      <c r="AG46" s="36"/>
      <c r="AH46" s="19"/>
    </row>
    <row r="47" spans="1:34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621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1">
        <v>0</v>
      </c>
      <c r="T47" s="449"/>
      <c r="U47" s="67">
        <v>0</v>
      </c>
      <c r="V47" s="163">
        <v>0</v>
      </c>
      <c r="W47" s="166">
        <v>0</v>
      </c>
      <c r="X47" s="61"/>
      <c r="Z47" s="67"/>
      <c r="AA47" s="451"/>
      <c r="AB47" s="452"/>
      <c r="AE47" s="36"/>
      <c r="AF47" s="36"/>
      <c r="AG47" s="36"/>
      <c r="AH47" s="19"/>
    </row>
    <row r="48" spans="1:34">
      <c r="A48" s="64" t="s">
        <v>596</v>
      </c>
      <c r="B48" s="63" t="s">
        <v>494</v>
      </c>
      <c r="C48" s="63" t="s">
        <v>495</v>
      </c>
      <c r="D48" s="134">
        <v>188.43</v>
      </c>
      <c r="E48" s="67">
        <v>28378</v>
      </c>
      <c r="F48" s="146">
        <v>0</v>
      </c>
      <c r="G48" s="146">
        <v>0</v>
      </c>
      <c r="H48" s="91">
        <v>28378</v>
      </c>
      <c r="I48" s="67">
        <v>0</v>
      </c>
      <c r="J48" s="739">
        <v>28378</v>
      </c>
      <c r="K48" s="132" t="s">
        <v>621</v>
      </c>
      <c r="L48" s="740">
        <v>0</v>
      </c>
      <c r="M48" s="741">
        <v>188.43</v>
      </c>
      <c r="N48" s="67">
        <v>0</v>
      </c>
      <c r="O48" s="67">
        <v>28378</v>
      </c>
      <c r="Q48" s="674">
        <v>0</v>
      </c>
      <c r="R48" s="674">
        <v>28378</v>
      </c>
      <c r="S48" s="71">
        <v>150.60234569866793</v>
      </c>
      <c r="T48" s="449"/>
      <c r="U48" s="67">
        <v>31410</v>
      </c>
      <c r="V48" s="163">
        <v>-3032</v>
      </c>
      <c r="W48" s="166">
        <v>-9.6529767589939516E-2</v>
      </c>
      <c r="X48" s="61"/>
      <c r="Z48" s="67"/>
      <c r="AA48" s="451"/>
      <c r="AB48" s="452"/>
      <c r="AE48" s="36"/>
      <c r="AF48" s="36"/>
      <c r="AG48" s="36"/>
      <c r="AH48" s="19"/>
    </row>
    <row r="49" spans="1:34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132" t="s">
        <v>621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1">
        <v>0</v>
      </c>
      <c r="T49" s="449"/>
      <c r="U49" s="67">
        <v>0</v>
      </c>
      <c r="V49" s="163">
        <v>0</v>
      </c>
      <c r="W49" s="166">
        <v>0</v>
      </c>
      <c r="X49" s="61"/>
      <c r="Z49" s="67"/>
      <c r="AA49" s="451"/>
      <c r="AB49" s="452"/>
      <c r="AE49" s="36"/>
      <c r="AF49" s="36"/>
      <c r="AG49" s="36"/>
      <c r="AH49" s="19"/>
    </row>
    <row r="50" spans="1:34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739">
        <v>0</v>
      </c>
      <c r="K50" s="132" t="s">
        <v>621</v>
      </c>
      <c r="L50" s="740">
        <v>0</v>
      </c>
      <c r="M50" s="741">
        <v>0</v>
      </c>
      <c r="N50" s="67">
        <v>0</v>
      </c>
      <c r="O50" s="67">
        <v>0</v>
      </c>
      <c r="Q50" s="674">
        <v>0</v>
      </c>
      <c r="R50" s="674">
        <v>0</v>
      </c>
      <c r="S50" s="71">
        <v>0</v>
      </c>
      <c r="T50" s="449"/>
      <c r="U50" s="67">
        <v>0</v>
      </c>
      <c r="V50" s="163">
        <v>0</v>
      </c>
      <c r="W50" s="166">
        <v>0</v>
      </c>
      <c r="X50" s="61"/>
      <c r="Z50" s="67"/>
      <c r="AA50" s="451"/>
      <c r="AB50" s="452"/>
      <c r="AE50" s="36"/>
      <c r="AF50" s="36"/>
      <c r="AG50" s="36"/>
      <c r="AH50" s="19"/>
    </row>
    <row r="51" spans="1:34">
      <c r="A51" s="64" t="s">
        <v>596</v>
      </c>
      <c r="B51" s="63" t="s">
        <v>498</v>
      </c>
      <c r="C51" s="63" t="s">
        <v>499</v>
      </c>
      <c r="D51" s="134">
        <v>109.86</v>
      </c>
      <c r="E51" s="67">
        <v>16545</v>
      </c>
      <c r="F51" s="146">
        <v>0</v>
      </c>
      <c r="G51" s="146">
        <v>0</v>
      </c>
      <c r="H51" s="91">
        <v>16545</v>
      </c>
      <c r="I51" s="67">
        <v>0</v>
      </c>
      <c r="J51" s="739">
        <v>16545</v>
      </c>
      <c r="K51" s="132" t="s">
        <v>621</v>
      </c>
      <c r="L51" s="740">
        <v>0</v>
      </c>
      <c r="M51" s="741">
        <v>109.86</v>
      </c>
      <c r="N51" s="67">
        <v>0</v>
      </c>
      <c r="O51" s="67">
        <v>16545</v>
      </c>
      <c r="Q51" s="674">
        <v>0</v>
      </c>
      <c r="R51" s="674">
        <v>16545</v>
      </c>
      <c r="S51" s="71">
        <v>150.60076460950302</v>
      </c>
      <c r="T51" s="449"/>
      <c r="U51" s="67">
        <v>19730</v>
      </c>
      <c r="V51" s="163">
        <v>-3185</v>
      </c>
      <c r="W51" s="166">
        <v>-0.1614292954891029</v>
      </c>
      <c r="X51" s="61"/>
      <c r="Z51" s="67"/>
      <c r="AA51" s="451"/>
      <c r="AB51" s="452"/>
      <c r="AE51" s="36"/>
      <c r="AF51" s="36"/>
      <c r="AG51" s="36"/>
      <c r="AH51" s="19"/>
    </row>
    <row r="52" spans="1:34">
      <c r="A52" s="64" t="s">
        <v>603</v>
      </c>
      <c r="B52" s="63" t="s">
        <v>456</v>
      </c>
      <c r="C52" s="63" t="s">
        <v>457</v>
      </c>
      <c r="D52" s="134">
        <v>31.71</v>
      </c>
      <c r="E52" s="67">
        <v>4776</v>
      </c>
      <c r="F52" s="146">
        <v>0</v>
      </c>
      <c r="G52" s="146">
        <v>0</v>
      </c>
      <c r="H52" s="91">
        <v>4776</v>
      </c>
      <c r="I52" s="67">
        <v>0</v>
      </c>
      <c r="J52" s="739">
        <v>4776</v>
      </c>
      <c r="K52" s="132" t="s">
        <v>621</v>
      </c>
      <c r="L52" s="740">
        <v>0</v>
      </c>
      <c r="M52" s="741">
        <v>31.71</v>
      </c>
      <c r="N52" s="67">
        <v>0</v>
      </c>
      <c r="O52" s="67">
        <v>4776</v>
      </c>
      <c r="Q52" s="674">
        <v>0</v>
      </c>
      <c r="R52" s="674">
        <v>4776</v>
      </c>
      <c r="S52" s="71">
        <v>150.61494796594133</v>
      </c>
      <c r="T52" s="449"/>
      <c r="U52" s="67">
        <v>0</v>
      </c>
      <c r="V52" s="163">
        <v>4776</v>
      </c>
      <c r="W52" s="166">
        <v>0</v>
      </c>
      <c r="X52" s="61"/>
      <c r="Z52" s="67"/>
      <c r="AA52" s="451"/>
      <c r="AB52" s="452"/>
      <c r="AE52" s="36"/>
      <c r="AF52" s="36"/>
      <c r="AG52" s="36"/>
      <c r="AH52" s="19"/>
    </row>
    <row r="53" spans="1:34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739">
        <v>0</v>
      </c>
      <c r="K53" s="132" t="s">
        <v>621</v>
      </c>
      <c r="L53" s="740">
        <v>0</v>
      </c>
      <c r="M53" s="741">
        <v>0</v>
      </c>
      <c r="N53" s="67">
        <v>0</v>
      </c>
      <c r="O53" s="67">
        <v>0</v>
      </c>
      <c r="Q53" s="674">
        <v>0</v>
      </c>
      <c r="R53" s="674">
        <v>0</v>
      </c>
      <c r="S53" s="71">
        <v>0</v>
      </c>
      <c r="T53" s="449"/>
      <c r="U53" s="67">
        <v>0</v>
      </c>
      <c r="V53" s="163">
        <v>0</v>
      </c>
      <c r="W53" s="166">
        <v>0</v>
      </c>
      <c r="X53" s="61"/>
      <c r="Z53" s="67"/>
      <c r="AA53" s="451"/>
      <c r="AB53" s="452"/>
      <c r="AE53" s="36"/>
      <c r="AF53" s="36"/>
      <c r="AG53" s="36"/>
      <c r="AH53" s="19"/>
    </row>
    <row r="54" spans="1:34">
      <c r="A54" s="64" t="s">
        <v>595</v>
      </c>
      <c r="B54" s="63" t="s">
        <v>384</v>
      </c>
      <c r="C54" s="63" t="s">
        <v>385</v>
      </c>
      <c r="D54" s="134">
        <v>28.71</v>
      </c>
      <c r="E54" s="67">
        <v>4324</v>
      </c>
      <c r="F54" s="146">
        <v>0</v>
      </c>
      <c r="G54" s="146">
        <v>0</v>
      </c>
      <c r="H54" s="91">
        <v>4324</v>
      </c>
      <c r="I54" s="67">
        <v>0</v>
      </c>
      <c r="J54" s="739">
        <v>4324</v>
      </c>
      <c r="K54" s="132" t="s">
        <v>621</v>
      </c>
      <c r="L54" s="740">
        <v>0</v>
      </c>
      <c r="M54" s="741">
        <v>28.71</v>
      </c>
      <c r="N54" s="67">
        <v>0</v>
      </c>
      <c r="O54" s="67">
        <v>4324</v>
      </c>
      <c r="Q54" s="674">
        <v>0</v>
      </c>
      <c r="R54" s="674">
        <v>4324</v>
      </c>
      <c r="S54" s="71">
        <v>150.60954371299198</v>
      </c>
      <c r="T54" s="449"/>
      <c r="U54" s="67">
        <v>0</v>
      </c>
      <c r="V54" s="163">
        <v>4324</v>
      </c>
      <c r="W54" s="166">
        <v>0</v>
      </c>
      <c r="X54" s="61"/>
      <c r="Z54" s="67"/>
      <c r="AA54" s="451"/>
      <c r="AB54" s="452"/>
      <c r="AE54" s="36"/>
      <c r="AF54" s="36"/>
      <c r="AG54" s="36"/>
      <c r="AH54" s="19"/>
    </row>
    <row r="55" spans="1:34">
      <c r="A55" s="64" t="s">
        <v>594</v>
      </c>
      <c r="B55" s="63" t="s">
        <v>147</v>
      </c>
      <c r="C55" s="63" t="s">
        <v>148</v>
      </c>
      <c r="D55" s="134">
        <v>3.29</v>
      </c>
      <c r="E55" s="67">
        <v>495</v>
      </c>
      <c r="F55" s="146">
        <v>0</v>
      </c>
      <c r="G55" s="146">
        <v>0</v>
      </c>
      <c r="H55" s="91">
        <v>495</v>
      </c>
      <c r="I55" s="67">
        <v>0</v>
      </c>
      <c r="J55" s="739">
        <v>495</v>
      </c>
      <c r="K55" s="132" t="s">
        <v>621</v>
      </c>
      <c r="L55" s="740">
        <v>0</v>
      </c>
      <c r="M55" s="741">
        <v>3.29</v>
      </c>
      <c r="N55" s="67">
        <v>0</v>
      </c>
      <c r="O55" s="67">
        <v>495</v>
      </c>
      <c r="Q55" s="674">
        <v>0</v>
      </c>
      <c r="R55" s="674">
        <v>495</v>
      </c>
      <c r="S55" s="71">
        <v>150.45592705167172</v>
      </c>
      <c r="T55" s="449"/>
      <c r="U55" s="67">
        <v>0</v>
      </c>
      <c r="V55" s="163">
        <v>495</v>
      </c>
      <c r="W55" s="166">
        <v>0</v>
      </c>
      <c r="X55" s="61"/>
      <c r="Z55" s="67"/>
      <c r="AA55" s="451"/>
      <c r="AB55" s="452"/>
      <c r="AE55" s="36"/>
      <c r="AF55" s="36"/>
      <c r="AG55" s="36"/>
      <c r="AH55" s="19"/>
    </row>
    <row r="56" spans="1:34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621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1">
        <v>0</v>
      </c>
      <c r="T56" s="449"/>
      <c r="U56" s="67">
        <v>0</v>
      </c>
      <c r="V56" s="163">
        <v>0</v>
      </c>
      <c r="W56" s="166">
        <v>0</v>
      </c>
      <c r="X56" s="61"/>
      <c r="Z56" s="67"/>
      <c r="AA56" s="451"/>
      <c r="AB56" s="452"/>
      <c r="AE56" s="36"/>
      <c r="AF56" s="36"/>
      <c r="AG56" s="36"/>
      <c r="AH56" s="19"/>
    </row>
    <row r="57" spans="1:34">
      <c r="A57" s="64" t="s">
        <v>595</v>
      </c>
      <c r="B57" s="63" t="s">
        <v>159</v>
      </c>
      <c r="C57" s="63" t="s">
        <v>160</v>
      </c>
      <c r="D57" s="134">
        <v>24</v>
      </c>
      <c r="E57" s="67">
        <v>3614</v>
      </c>
      <c r="F57" s="146">
        <v>0</v>
      </c>
      <c r="G57" s="146">
        <v>0</v>
      </c>
      <c r="H57" s="91">
        <v>3614</v>
      </c>
      <c r="I57" s="67">
        <v>0</v>
      </c>
      <c r="J57" s="739">
        <v>3614</v>
      </c>
      <c r="K57" s="132" t="s">
        <v>621</v>
      </c>
      <c r="L57" s="740">
        <v>0</v>
      </c>
      <c r="M57" s="741">
        <v>24</v>
      </c>
      <c r="N57" s="67">
        <v>0</v>
      </c>
      <c r="O57" s="67">
        <v>3614</v>
      </c>
      <c r="Q57" s="674">
        <v>0</v>
      </c>
      <c r="R57" s="674">
        <v>3614</v>
      </c>
      <c r="S57" s="71">
        <v>150.58333333333334</v>
      </c>
      <c r="T57" s="449"/>
      <c r="U57" s="67">
        <v>0</v>
      </c>
      <c r="V57" s="163">
        <v>3614</v>
      </c>
      <c r="W57" s="166">
        <v>0</v>
      </c>
      <c r="X57" s="61"/>
      <c r="Z57" s="67"/>
      <c r="AA57" s="451"/>
      <c r="AB57" s="452"/>
      <c r="AE57" s="36"/>
      <c r="AF57" s="36"/>
      <c r="AG57" s="36"/>
      <c r="AH57" s="19"/>
    </row>
    <row r="58" spans="1:34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621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1">
        <v>0</v>
      </c>
      <c r="T58" s="449"/>
      <c r="U58" s="67">
        <v>0</v>
      </c>
      <c r="V58" s="163">
        <v>0</v>
      </c>
      <c r="W58" s="166">
        <v>0</v>
      </c>
      <c r="X58" s="61"/>
      <c r="Z58" s="67"/>
      <c r="AA58" s="451"/>
      <c r="AB58" s="452"/>
      <c r="AE58" s="36"/>
      <c r="AF58" s="36"/>
      <c r="AG58" s="36"/>
      <c r="AH58" s="19"/>
    </row>
    <row r="59" spans="1:34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621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1">
        <v>0</v>
      </c>
      <c r="T59" s="449"/>
      <c r="U59" s="67">
        <v>0</v>
      </c>
      <c r="V59" s="163">
        <v>0</v>
      </c>
      <c r="W59" s="166">
        <v>0</v>
      </c>
      <c r="X59" s="61"/>
      <c r="Z59" s="67"/>
      <c r="AA59" s="451"/>
      <c r="AB59" s="452"/>
      <c r="AE59" s="36"/>
      <c r="AF59" s="36"/>
      <c r="AG59" s="36"/>
      <c r="AH59" s="19"/>
    </row>
    <row r="60" spans="1:34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621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1">
        <v>0</v>
      </c>
      <c r="T60" s="449"/>
      <c r="U60" s="67">
        <v>0</v>
      </c>
      <c r="V60" s="163">
        <v>0</v>
      </c>
      <c r="W60" s="166">
        <v>0</v>
      </c>
      <c r="X60" s="61"/>
      <c r="Z60" s="67"/>
      <c r="AA60" s="451"/>
      <c r="AB60" s="452"/>
      <c r="AE60" s="36"/>
      <c r="AF60" s="36"/>
      <c r="AG60" s="36"/>
      <c r="AH60" s="19"/>
    </row>
    <row r="61" spans="1:34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621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1">
        <v>0</v>
      </c>
      <c r="T61" s="449"/>
      <c r="U61" s="67">
        <v>0</v>
      </c>
      <c r="V61" s="163">
        <v>0</v>
      </c>
      <c r="W61" s="166">
        <v>0</v>
      </c>
      <c r="X61" s="61"/>
      <c r="Z61" s="67"/>
      <c r="AA61" s="451"/>
      <c r="AB61" s="452"/>
      <c r="AE61" s="36"/>
      <c r="AF61" s="36"/>
      <c r="AG61" s="36"/>
      <c r="AH61" s="19"/>
    </row>
    <row r="62" spans="1:34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621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1">
        <v>0</v>
      </c>
      <c r="T62" s="449"/>
      <c r="U62" s="67">
        <v>0</v>
      </c>
      <c r="V62" s="163">
        <v>0</v>
      </c>
      <c r="W62" s="166">
        <v>0</v>
      </c>
      <c r="X62" s="61"/>
      <c r="Z62" s="67"/>
      <c r="AA62" s="451"/>
      <c r="AB62" s="452"/>
      <c r="AE62" s="36"/>
      <c r="AF62" s="36"/>
      <c r="AG62" s="36"/>
      <c r="AH62" s="19"/>
    </row>
    <row r="63" spans="1:34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132" t="s">
        <v>621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>
        <v>0</v>
      </c>
      <c r="S63" s="71">
        <v>0</v>
      </c>
      <c r="T63" s="449"/>
      <c r="U63" s="67">
        <v>0</v>
      </c>
      <c r="V63" s="163">
        <v>0</v>
      </c>
      <c r="W63" s="166">
        <v>0</v>
      </c>
      <c r="X63" s="61"/>
      <c r="Z63" s="67"/>
      <c r="AA63" s="451"/>
      <c r="AB63" s="452"/>
      <c r="AE63" s="36"/>
      <c r="AF63" s="36"/>
      <c r="AG63" s="36"/>
      <c r="AH63" s="19"/>
    </row>
    <row r="64" spans="1:34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132" t="s">
        <v>621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>
        <v>0</v>
      </c>
      <c r="S64" s="71">
        <v>0</v>
      </c>
      <c r="T64" s="449"/>
      <c r="U64" s="67">
        <v>0</v>
      </c>
      <c r="V64" s="163">
        <v>0</v>
      </c>
      <c r="W64" s="166">
        <v>0</v>
      </c>
      <c r="X64" s="61"/>
      <c r="Z64" s="67"/>
      <c r="AA64" s="451"/>
      <c r="AB64" s="452"/>
      <c r="AE64" s="36"/>
      <c r="AF64" s="36"/>
      <c r="AG64" s="36"/>
      <c r="AH64" s="19"/>
    </row>
    <row r="65" spans="1:34">
      <c r="A65" s="64" t="s">
        <v>596</v>
      </c>
      <c r="B65" s="63" t="s">
        <v>66</v>
      </c>
      <c r="C65" s="63" t="s">
        <v>67</v>
      </c>
      <c r="D65" s="134">
        <v>1</v>
      </c>
      <c r="E65" s="67">
        <v>151</v>
      </c>
      <c r="F65" s="146">
        <v>0</v>
      </c>
      <c r="G65" s="146">
        <v>0</v>
      </c>
      <c r="H65" s="91">
        <v>151</v>
      </c>
      <c r="I65" s="67">
        <v>0</v>
      </c>
      <c r="J65" s="739">
        <v>151</v>
      </c>
      <c r="K65" s="132" t="s">
        <v>621</v>
      </c>
      <c r="L65" s="740">
        <v>0</v>
      </c>
      <c r="M65" s="741">
        <v>1</v>
      </c>
      <c r="N65" s="67">
        <v>0</v>
      </c>
      <c r="O65" s="67">
        <v>151</v>
      </c>
      <c r="Q65" s="674">
        <v>0</v>
      </c>
      <c r="R65" s="674">
        <v>151</v>
      </c>
      <c r="S65" s="71">
        <v>151</v>
      </c>
      <c r="T65" s="449"/>
      <c r="U65" s="67">
        <v>0</v>
      </c>
      <c r="V65" s="163">
        <v>151</v>
      </c>
      <c r="W65" s="166">
        <v>0</v>
      </c>
      <c r="X65" s="61"/>
      <c r="Z65" s="67"/>
      <c r="AA65" s="451"/>
      <c r="AB65" s="452"/>
      <c r="AE65" s="36"/>
      <c r="AF65" s="36"/>
      <c r="AG65" s="36"/>
      <c r="AH65" s="19"/>
    </row>
    <row r="66" spans="1:34">
      <c r="A66" s="64" t="s">
        <v>603</v>
      </c>
      <c r="B66" s="63" t="s">
        <v>444</v>
      </c>
      <c r="C66" s="63" t="s">
        <v>445</v>
      </c>
      <c r="D66" s="134">
        <v>7.43</v>
      </c>
      <c r="E66" s="67">
        <v>1119</v>
      </c>
      <c r="F66" s="146">
        <v>0</v>
      </c>
      <c r="G66" s="146">
        <v>0</v>
      </c>
      <c r="H66" s="91">
        <v>1119</v>
      </c>
      <c r="I66" s="67">
        <v>0</v>
      </c>
      <c r="J66" s="739">
        <v>1119</v>
      </c>
      <c r="K66" s="132" t="s">
        <v>621</v>
      </c>
      <c r="L66" s="740">
        <v>0</v>
      </c>
      <c r="M66" s="741">
        <v>7.43</v>
      </c>
      <c r="N66" s="67">
        <v>0</v>
      </c>
      <c r="O66" s="67">
        <v>1119</v>
      </c>
      <c r="Q66" s="674">
        <v>0</v>
      </c>
      <c r="R66" s="674">
        <v>1119</v>
      </c>
      <c r="S66" s="71">
        <v>150.60565275908479</v>
      </c>
      <c r="T66" s="449"/>
      <c r="U66" s="67">
        <v>0</v>
      </c>
      <c r="V66" s="163">
        <v>1119</v>
      </c>
      <c r="W66" s="166">
        <v>0</v>
      </c>
      <c r="X66" s="61"/>
      <c r="Z66" s="67"/>
      <c r="AA66" s="451"/>
      <c r="AB66" s="452"/>
      <c r="AE66" s="36"/>
      <c r="AF66" s="36"/>
      <c r="AG66" s="36"/>
      <c r="AH66" s="19"/>
    </row>
    <row r="67" spans="1:34">
      <c r="A67" s="64" t="s">
        <v>597</v>
      </c>
      <c r="B67" s="63" t="s">
        <v>353</v>
      </c>
      <c r="C67" s="63" t="s">
        <v>354</v>
      </c>
      <c r="D67" s="134">
        <v>26.57</v>
      </c>
      <c r="E67" s="67">
        <v>4001</v>
      </c>
      <c r="F67" s="146">
        <v>0</v>
      </c>
      <c r="G67" s="146">
        <v>0</v>
      </c>
      <c r="H67" s="91">
        <v>4001</v>
      </c>
      <c r="I67" s="67">
        <v>0</v>
      </c>
      <c r="J67" s="739">
        <v>4001</v>
      </c>
      <c r="K67" s="132" t="s">
        <v>621</v>
      </c>
      <c r="L67" s="740">
        <v>0</v>
      </c>
      <c r="M67" s="741">
        <v>26.57</v>
      </c>
      <c r="N67" s="67">
        <v>0</v>
      </c>
      <c r="O67" s="67">
        <v>4001</v>
      </c>
      <c r="Q67" s="674">
        <v>0</v>
      </c>
      <c r="R67" s="674">
        <v>4001</v>
      </c>
      <c r="S67" s="71">
        <v>150.58336469702672</v>
      </c>
      <c r="T67" s="449"/>
      <c r="U67" s="67">
        <v>3668</v>
      </c>
      <c r="V67" s="163">
        <v>333</v>
      </c>
      <c r="W67" s="166">
        <v>9.0785169029443835E-2</v>
      </c>
      <c r="X67" s="61"/>
      <c r="Z67" s="67"/>
      <c r="AA67" s="451"/>
      <c r="AB67" s="452"/>
      <c r="AE67" s="36"/>
      <c r="AF67" s="36"/>
      <c r="AG67" s="36"/>
      <c r="AH67" s="19"/>
    </row>
    <row r="68" spans="1:34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739">
        <v>0</v>
      </c>
      <c r="K68" s="132" t="s">
        <v>621</v>
      </c>
      <c r="L68" s="740">
        <v>0</v>
      </c>
      <c r="M68" s="741">
        <v>0</v>
      </c>
      <c r="N68" s="67">
        <v>0</v>
      </c>
      <c r="O68" s="67">
        <v>0</v>
      </c>
      <c r="Q68" s="674">
        <v>0</v>
      </c>
      <c r="R68" s="674">
        <v>0</v>
      </c>
      <c r="S68" s="71">
        <v>0</v>
      </c>
      <c r="T68" s="449"/>
      <c r="U68" s="67">
        <v>0</v>
      </c>
      <c r="V68" s="163">
        <v>0</v>
      </c>
      <c r="W68" s="166">
        <v>0</v>
      </c>
      <c r="X68" s="61"/>
      <c r="Z68" s="67"/>
      <c r="AA68" s="451"/>
      <c r="AB68" s="452"/>
      <c r="AE68" s="36"/>
      <c r="AF68" s="36"/>
      <c r="AG68" s="36"/>
      <c r="AH68" s="19"/>
    </row>
    <row r="69" spans="1:34">
      <c r="A69" s="64" t="s">
        <v>603</v>
      </c>
      <c r="B69" s="63" t="s">
        <v>440</v>
      </c>
      <c r="C69" s="63" t="s">
        <v>674</v>
      </c>
      <c r="D69" s="134">
        <v>119.71</v>
      </c>
      <c r="E69" s="67">
        <v>18028</v>
      </c>
      <c r="F69" s="146">
        <v>0</v>
      </c>
      <c r="G69" s="146">
        <v>0</v>
      </c>
      <c r="H69" s="91">
        <v>18028</v>
      </c>
      <c r="I69" s="67">
        <v>0</v>
      </c>
      <c r="J69" s="739">
        <v>18028</v>
      </c>
      <c r="K69" s="132" t="s">
        <v>621</v>
      </c>
      <c r="L69" s="740">
        <v>0</v>
      </c>
      <c r="M69" s="741">
        <v>119.71</v>
      </c>
      <c r="N69" s="67">
        <v>0</v>
      </c>
      <c r="O69" s="67">
        <v>18028</v>
      </c>
      <c r="Q69" s="674">
        <v>0</v>
      </c>
      <c r="R69" s="674">
        <v>18028</v>
      </c>
      <c r="S69" s="71">
        <v>150.59727675215103</v>
      </c>
      <c r="T69" s="449"/>
      <c r="U69" s="67">
        <v>17266</v>
      </c>
      <c r="V69" s="163">
        <v>762</v>
      </c>
      <c r="W69" s="166">
        <v>4.4132978107262827E-2</v>
      </c>
      <c r="X69" s="61"/>
      <c r="Z69" s="67"/>
      <c r="AA69" s="451"/>
      <c r="AB69" s="452"/>
      <c r="AE69" s="36"/>
      <c r="AF69" s="36"/>
      <c r="AG69" s="36"/>
      <c r="AH69" s="19"/>
    </row>
    <row r="70" spans="1:34">
      <c r="A70" s="64" t="s">
        <v>605</v>
      </c>
      <c r="B70" s="63" t="s">
        <v>549</v>
      </c>
      <c r="C70" s="63" t="s">
        <v>550</v>
      </c>
      <c r="D70" s="134">
        <v>350.86</v>
      </c>
      <c r="E70" s="67">
        <v>52840</v>
      </c>
      <c r="F70" s="146">
        <v>0</v>
      </c>
      <c r="G70" s="146">
        <v>0</v>
      </c>
      <c r="H70" s="91">
        <v>52840</v>
      </c>
      <c r="I70" s="67">
        <v>0</v>
      </c>
      <c r="J70" s="739">
        <v>52840</v>
      </c>
      <c r="K70" s="132" t="s">
        <v>621</v>
      </c>
      <c r="L70" s="740">
        <v>0</v>
      </c>
      <c r="M70" s="741">
        <v>350.86</v>
      </c>
      <c r="N70" s="67">
        <v>0</v>
      </c>
      <c r="O70" s="67">
        <v>52840</v>
      </c>
      <c r="Q70" s="674">
        <v>0</v>
      </c>
      <c r="R70" s="674">
        <v>52840</v>
      </c>
      <c r="S70" s="71">
        <v>150.60137946759392</v>
      </c>
      <c r="T70" s="449"/>
      <c r="U70" s="67">
        <v>54016</v>
      </c>
      <c r="V70" s="163">
        <v>-1176</v>
      </c>
      <c r="W70" s="166">
        <v>-2.1771327014218009E-2</v>
      </c>
      <c r="X70" s="61"/>
      <c r="Z70" s="67"/>
      <c r="AA70" s="451"/>
      <c r="AB70" s="452"/>
      <c r="AE70" s="36"/>
      <c r="AF70" s="36"/>
      <c r="AG70" s="36"/>
      <c r="AH70" s="19"/>
    </row>
    <row r="71" spans="1:34">
      <c r="A71" s="64" t="s">
        <v>601</v>
      </c>
      <c r="B71" s="63" t="s">
        <v>88</v>
      </c>
      <c r="C71" s="63" t="s">
        <v>89</v>
      </c>
      <c r="D71" s="134">
        <v>1037.8599999999999</v>
      </c>
      <c r="E71" s="67">
        <v>156302</v>
      </c>
      <c r="F71" s="146">
        <v>0</v>
      </c>
      <c r="G71" s="146">
        <v>0</v>
      </c>
      <c r="H71" s="91">
        <v>156302</v>
      </c>
      <c r="I71" s="67">
        <v>0</v>
      </c>
      <c r="J71" s="739">
        <v>156302</v>
      </c>
      <c r="K71" s="132" t="s">
        <v>621</v>
      </c>
      <c r="L71" s="740">
        <v>0</v>
      </c>
      <c r="M71" s="741">
        <v>1037.8599999999999</v>
      </c>
      <c r="N71" s="67">
        <v>0</v>
      </c>
      <c r="O71" s="67">
        <v>156302</v>
      </c>
      <c r="Q71" s="674">
        <v>0</v>
      </c>
      <c r="R71" s="674">
        <v>156302</v>
      </c>
      <c r="S71" s="71">
        <v>150.60027363999001</v>
      </c>
      <c r="T71" s="449"/>
      <c r="U71" s="67">
        <v>159847</v>
      </c>
      <c r="V71" s="163">
        <v>-3545</v>
      </c>
      <c r="W71" s="166">
        <v>-2.2177457193441229E-2</v>
      </c>
      <c r="X71" s="61"/>
      <c r="Z71" s="67"/>
      <c r="AA71" s="451"/>
      <c r="AB71" s="452"/>
      <c r="AE71" s="36"/>
      <c r="AF71" s="36"/>
      <c r="AG71" s="36"/>
      <c r="AH71" s="19"/>
    </row>
    <row r="72" spans="1:34">
      <c r="A72" s="64" t="s">
        <v>605</v>
      </c>
      <c r="B72" s="63" t="s">
        <v>222</v>
      </c>
      <c r="C72" s="63" t="s">
        <v>223</v>
      </c>
      <c r="D72" s="134">
        <v>13.57</v>
      </c>
      <c r="E72" s="67">
        <v>2044</v>
      </c>
      <c r="F72" s="146">
        <v>0</v>
      </c>
      <c r="G72" s="146">
        <v>0</v>
      </c>
      <c r="H72" s="91">
        <v>2044</v>
      </c>
      <c r="I72" s="67">
        <v>0</v>
      </c>
      <c r="J72" s="739">
        <v>2044</v>
      </c>
      <c r="K72" s="132" t="s">
        <v>621</v>
      </c>
      <c r="L72" s="740">
        <v>0</v>
      </c>
      <c r="M72" s="741">
        <v>13.57</v>
      </c>
      <c r="N72" s="67">
        <v>0</v>
      </c>
      <c r="O72" s="67">
        <v>2044</v>
      </c>
      <c r="Q72" s="674">
        <v>0</v>
      </c>
      <c r="R72" s="674">
        <v>2044</v>
      </c>
      <c r="S72" s="71">
        <v>150.62638172439205</v>
      </c>
      <c r="T72" s="449"/>
      <c r="U72" s="67">
        <v>1844</v>
      </c>
      <c r="V72" s="163">
        <v>200</v>
      </c>
      <c r="W72" s="166">
        <v>0.10845986984815618</v>
      </c>
      <c r="X72" s="61"/>
      <c r="Z72" s="67"/>
      <c r="AA72" s="451"/>
      <c r="AB72" s="452"/>
      <c r="AE72" s="36"/>
      <c r="AF72" s="36"/>
      <c r="AG72" s="36"/>
      <c r="AH72" s="19"/>
    </row>
    <row r="73" spans="1:34">
      <c r="A73" s="64" t="s">
        <v>597</v>
      </c>
      <c r="B73" s="63" t="s">
        <v>365</v>
      </c>
      <c r="C73" s="63" t="s">
        <v>366</v>
      </c>
      <c r="D73" s="134">
        <v>7</v>
      </c>
      <c r="E73" s="67">
        <v>1054</v>
      </c>
      <c r="F73" s="146">
        <v>0</v>
      </c>
      <c r="G73" s="146">
        <v>0</v>
      </c>
      <c r="H73" s="91">
        <v>1054</v>
      </c>
      <c r="I73" s="67">
        <v>0</v>
      </c>
      <c r="J73" s="739">
        <v>1054</v>
      </c>
      <c r="K73" s="132" t="s">
        <v>621</v>
      </c>
      <c r="L73" s="740">
        <v>0</v>
      </c>
      <c r="M73" s="741">
        <v>7</v>
      </c>
      <c r="N73" s="67">
        <v>0</v>
      </c>
      <c r="O73" s="67">
        <v>1054</v>
      </c>
      <c r="Q73" s="674">
        <v>0</v>
      </c>
      <c r="R73" s="674">
        <v>1054</v>
      </c>
      <c r="S73" s="71">
        <v>150.57142857142858</v>
      </c>
      <c r="T73" s="449"/>
      <c r="U73" s="67">
        <v>0</v>
      </c>
      <c r="V73" s="163">
        <v>1054</v>
      </c>
      <c r="W73" s="166">
        <v>0</v>
      </c>
      <c r="X73" s="61"/>
      <c r="Z73" s="67"/>
      <c r="AA73" s="451"/>
      <c r="AB73" s="452"/>
      <c r="AE73" s="36"/>
      <c r="AF73" s="36"/>
      <c r="AG73" s="36"/>
      <c r="AH73" s="19"/>
    </row>
    <row r="74" spans="1:34">
      <c r="A74" s="64" t="s">
        <v>595</v>
      </c>
      <c r="B74" s="63" t="s">
        <v>401</v>
      </c>
      <c r="C74" s="63" t="s">
        <v>402</v>
      </c>
      <c r="D74" s="134">
        <v>2238</v>
      </c>
      <c r="E74" s="67">
        <v>337043</v>
      </c>
      <c r="F74" s="146">
        <v>0</v>
      </c>
      <c r="G74" s="146">
        <v>0</v>
      </c>
      <c r="H74" s="91">
        <v>337043</v>
      </c>
      <c r="I74" s="67">
        <v>0</v>
      </c>
      <c r="J74" s="739">
        <v>337043</v>
      </c>
      <c r="K74" s="132" t="s">
        <v>621</v>
      </c>
      <c r="L74" s="740">
        <v>0</v>
      </c>
      <c r="M74" s="741">
        <v>2238</v>
      </c>
      <c r="N74" s="67">
        <v>0</v>
      </c>
      <c r="O74" s="67">
        <v>337043</v>
      </c>
      <c r="Q74" s="674">
        <v>0</v>
      </c>
      <c r="R74" s="674">
        <v>337043</v>
      </c>
      <c r="S74" s="71">
        <v>150.60008936550491</v>
      </c>
      <c r="T74" s="449"/>
      <c r="U74" s="67">
        <v>346159</v>
      </c>
      <c r="V74" s="163">
        <v>-9116</v>
      </c>
      <c r="W74" s="166">
        <v>-2.6334719016405755E-2</v>
      </c>
      <c r="X74" s="61"/>
      <c r="Z74" s="67"/>
      <c r="AA74" s="451"/>
      <c r="AB74" s="452"/>
      <c r="AE74" s="36"/>
      <c r="AF74" s="36"/>
      <c r="AG74" s="36"/>
      <c r="AH74" s="19"/>
    </row>
    <row r="75" spans="1:34">
      <c r="A75" s="64" t="s">
        <v>605</v>
      </c>
      <c r="B75" s="63" t="s">
        <v>226</v>
      </c>
      <c r="C75" s="63" t="s">
        <v>227</v>
      </c>
      <c r="D75" s="134">
        <v>270.86</v>
      </c>
      <c r="E75" s="67">
        <v>40792</v>
      </c>
      <c r="F75" s="146">
        <v>0</v>
      </c>
      <c r="G75" s="146">
        <v>0</v>
      </c>
      <c r="H75" s="91">
        <v>40792</v>
      </c>
      <c r="I75" s="67">
        <v>0</v>
      </c>
      <c r="J75" s="739">
        <v>40792</v>
      </c>
      <c r="K75" s="132" t="s">
        <v>621</v>
      </c>
      <c r="L75" s="740">
        <v>0</v>
      </c>
      <c r="M75" s="741">
        <v>270.86</v>
      </c>
      <c r="N75" s="67">
        <v>0</v>
      </c>
      <c r="O75" s="67">
        <v>40792</v>
      </c>
      <c r="Q75" s="674">
        <v>0</v>
      </c>
      <c r="R75" s="674">
        <v>40792</v>
      </c>
      <c r="S75" s="71">
        <v>150.60178690098206</v>
      </c>
      <c r="T75" s="449"/>
      <c r="U75" s="67">
        <v>34737</v>
      </c>
      <c r="V75" s="163">
        <v>6055</v>
      </c>
      <c r="W75" s="166">
        <v>0.17430981374327087</v>
      </c>
      <c r="X75" s="61"/>
      <c r="Z75" s="67"/>
      <c r="AA75" s="451"/>
      <c r="AB75" s="452"/>
      <c r="AE75" s="36"/>
      <c r="AF75" s="36"/>
      <c r="AG75" s="36"/>
      <c r="AH75" s="19"/>
    </row>
    <row r="76" spans="1:34">
      <c r="A76" s="64" t="s">
        <v>594</v>
      </c>
      <c r="B76" s="63" t="s">
        <v>141</v>
      </c>
      <c r="C76" s="63" t="s">
        <v>142</v>
      </c>
      <c r="D76" s="134">
        <v>104.29</v>
      </c>
      <c r="E76" s="67">
        <v>15706</v>
      </c>
      <c r="F76" s="146">
        <v>0</v>
      </c>
      <c r="G76" s="146">
        <v>0</v>
      </c>
      <c r="H76" s="91">
        <v>15706</v>
      </c>
      <c r="I76" s="67">
        <v>0</v>
      </c>
      <c r="J76" s="739">
        <v>15706</v>
      </c>
      <c r="K76" s="132" t="s">
        <v>621</v>
      </c>
      <c r="L76" s="740">
        <v>0</v>
      </c>
      <c r="M76" s="741">
        <v>104.29</v>
      </c>
      <c r="N76" s="67">
        <v>0</v>
      </c>
      <c r="O76" s="67">
        <v>15706</v>
      </c>
      <c r="Q76" s="674">
        <v>0</v>
      </c>
      <c r="R76" s="674">
        <v>15706</v>
      </c>
      <c r="S76" s="71">
        <v>150.59929044011889</v>
      </c>
      <c r="T76" s="449"/>
      <c r="U76" s="67">
        <v>0</v>
      </c>
      <c r="V76" s="163">
        <v>15706</v>
      </c>
      <c r="W76" s="166">
        <v>0</v>
      </c>
      <c r="X76" s="61"/>
      <c r="Z76" s="67"/>
      <c r="AA76" s="451"/>
      <c r="AB76" s="452"/>
      <c r="AE76" s="36"/>
      <c r="AF76" s="36"/>
      <c r="AG76" s="36"/>
      <c r="AH76" s="19"/>
    </row>
    <row r="77" spans="1:34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621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1">
        <v>0</v>
      </c>
      <c r="T77" s="449"/>
      <c r="U77" s="67">
        <v>0</v>
      </c>
      <c r="V77" s="163">
        <v>0</v>
      </c>
      <c r="W77" s="166">
        <v>0</v>
      </c>
      <c r="X77" s="61"/>
      <c r="Z77" s="67"/>
      <c r="AA77" s="451"/>
      <c r="AB77" s="452"/>
      <c r="AE77" s="36"/>
      <c r="AF77" s="36"/>
      <c r="AG77" s="36"/>
      <c r="AH77" s="19"/>
    </row>
    <row r="78" spans="1:34">
      <c r="A78" s="64" t="s">
        <v>601</v>
      </c>
      <c r="B78" s="63" t="s">
        <v>29</v>
      </c>
      <c r="C78" s="63" t="s">
        <v>30</v>
      </c>
      <c r="D78" s="134">
        <v>48.29</v>
      </c>
      <c r="E78" s="67">
        <v>7272</v>
      </c>
      <c r="F78" s="146">
        <v>0</v>
      </c>
      <c r="G78" s="146">
        <v>0</v>
      </c>
      <c r="H78" s="91">
        <v>7272</v>
      </c>
      <c r="I78" s="67">
        <v>0</v>
      </c>
      <c r="J78" s="739">
        <v>7272</v>
      </c>
      <c r="K78" s="132" t="s">
        <v>621</v>
      </c>
      <c r="L78" s="740">
        <v>0</v>
      </c>
      <c r="M78" s="741">
        <v>48.29</v>
      </c>
      <c r="N78" s="67">
        <v>0</v>
      </c>
      <c r="O78" s="67">
        <v>7272</v>
      </c>
      <c r="Q78" s="674">
        <v>0</v>
      </c>
      <c r="R78" s="674">
        <v>7272</v>
      </c>
      <c r="S78" s="71">
        <v>150.59018430316837</v>
      </c>
      <c r="T78" s="449"/>
      <c r="U78" s="67">
        <v>7712</v>
      </c>
      <c r="V78" s="163">
        <v>-440</v>
      </c>
      <c r="W78" s="166">
        <v>-5.7053941908713691E-2</v>
      </c>
      <c r="X78" s="61"/>
      <c r="Z78" s="67"/>
      <c r="AA78" s="451"/>
      <c r="AB78" s="452"/>
      <c r="AE78" s="36"/>
      <c r="AF78" s="36"/>
      <c r="AG78" s="36"/>
      <c r="AH78" s="19"/>
    </row>
    <row r="79" spans="1:34">
      <c r="A79" s="64" t="s">
        <v>597</v>
      </c>
      <c r="B79" s="63" t="s">
        <v>177</v>
      </c>
      <c r="C79" s="63" t="s">
        <v>178</v>
      </c>
      <c r="D79" s="134">
        <v>204.43</v>
      </c>
      <c r="E79" s="67">
        <v>30787</v>
      </c>
      <c r="F79" s="146">
        <v>0</v>
      </c>
      <c r="G79" s="146">
        <v>0</v>
      </c>
      <c r="H79" s="91">
        <v>30787</v>
      </c>
      <c r="I79" s="67">
        <v>0</v>
      </c>
      <c r="J79" s="739">
        <v>30787</v>
      </c>
      <c r="K79" s="132" t="s">
        <v>621</v>
      </c>
      <c r="L79" s="740">
        <v>0</v>
      </c>
      <c r="M79" s="741">
        <v>204.43</v>
      </c>
      <c r="N79" s="67">
        <v>0</v>
      </c>
      <c r="O79" s="67">
        <v>30787</v>
      </c>
      <c r="Q79" s="674">
        <v>0</v>
      </c>
      <c r="R79" s="674">
        <v>30787</v>
      </c>
      <c r="S79" s="71">
        <v>150.59922711930733</v>
      </c>
      <c r="T79" s="449"/>
      <c r="U79" s="67">
        <v>31579</v>
      </c>
      <c r="V79" s="163">
        <v>-792</v>
      </c>
      <c r="W79" s="166">
        <v>-2.5079958200069665E-2</v>
      </c>
      <c r="X79" s="61"/>
      <c r="Z79" s="67"/>
      <c r="AA79" s="451"/>
      <c r="AB79" s="452"/>
      <c r="AE79" s="36"/>
      <c r="AF79" s="36"/>
      <c r="AG79" s="36"/>
      <c r="AH79" s="19"/>
    </row>
    <row r="80" spans="1:34">
      <c r="A80" s="64" t="s">
        <v>601</v>
      </c>
      <c r="B80" s="63" t="s">
        <v>127</v>
      </c>
      <c r="C80" s="63" t="s">
        <v>128</v>
      </c>
      <c r="D80" s="134">
        <v>226.43</v>
      </c>
      <c r="E80" s="67">
        <v>34100</v>
      </c>
      <c r="F80" s="146">
        <v>0</v>
      </c>
      <c r="G80" s="146">
        <v>0</v>
      </c>
      <c r="H80" s="91">
        <v>34100</v>
      </c>
      <c r="I80" s="67">
        <v>0</v>
      </c>
      <c r="J80" s="739">
        <v>34100</v>
      </c>
      <c r="K80" s="132" t="s">
        <v>621</v>
      </c>
      <c r="L80" s="740">
        <v>0</v>
      </c>
      <c r="M80" s="741">
        <v>226.43</v>
      </c>
      <c r="N80" s="67">
        <v>0</v>
      </c>
      <c r="O80" s="67">
        <v>34100</v>
      </c>
      <c r="Q80" s="674">
        <v>0</v>
      </c>
      <c r="R80" s="674">
        <v>34100</v>
      </c>
      <c r="S80" s="71">
        <v>150.59841893741995</v>
      </c>
      <c r="T80" s="449"/>
      <c r="U80" s="67">
        <v>35473</v>
      </c>
      <c r="V80" s="163">
        <v>-1373</v>
      </c>
      <c r="W80" s="166">
        <v>-3.8705494319623376E-2</v>
      </c>
      <c r="X80" s="61"/>
      <c r="Z80" s="67"/>
      <c r="AA80" s="451"/>
      <c r="AB80" s="452"/>
      <c r="AE80" s="36"/>
      <c r="AF80" s="36"/>
      <c r="AG80" s="36"/>
      <c r="AH80" s="19"/>
    </row>
    <row r="81" spans="1:34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621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1">
        <v>0</v>
      </c>
      <c r="T81" s="449"/>
      <c r="U81" s="67">
        <v>0</v>
      </c>
      <c r="V81" s="163">
        <v>0</v>
      </c>
      <c r="W81" s="166">
        <v>0</v>
      </c>
      <c r="X81" s="61"/>
      <c r="Z81" s="67"/>
      <c r="AA81" s="451"/>
      <c r="AB81" s="452"/>
      <c r="AE81" s="36"/>
      <c r="AF81" s="36"/>
      <c r="AG81" s="36"/>
      <c r="AH81" s="19"/>
    </row>
    <row r="82" spans="1:34">
      <c r="A82" s="64" t="s">
        <v>595</v>
      </c>
      <c r="B82" s="63" t="s">
        <v>395</v>
      </c>
      <c r="C82" s="63" t="s">
        <v>396</v>
      </c>
      <c r="D82" s="134">
        <v>2146.5699999999997</v>
      </c>
      <c r="E82" s="67">
        <v>323274</v>
      </c>
      <c r="F82" s="146">
        <v>0</v>
      </c>
      <c r="G82" s="146">
        <v>0</v>
      </c>
      <c r="H82" s="91">
        <v>323274</v>
      </c>
      <c r="I82" s="67">
        <v>0</v>
      </c>
      <c r="J82" s="739">
        <v>323274</v>
      </c>
      <c r="K82" s="132" t="s">
        <v>621</v>
      </c>
      <c r="L82" s="740">
        <v>0</v>
      </c>
      <c r="M82" s="741">
        <v>2146.5699999999997</v>
      </c>
      <c r="N82" s="67">
        <v>0</v>
      </c>
      <c r="O82" s="67">
        <v>323274</v>
      </c>
      <c r="Q82" s="674">
        <v>0</v>
      </c>
      <c r="R82" s="674">
        <v>323274</v>
      </c>
      <c r="S82" s="71">
        <v>150.60025994959403</v>
      </c>
      <c r="T82" s="449"/>
      <c r="U82" s="67">
        <v>334498</v>
      </c>
      <c r="V82" s="163">
        <v>-11224</v>
      </c>
      <c r="W82" s="166">
        <v>-3.3554759669714017E-2</v>
      </c>
      <c r="X82" s="61"/>
      <c r="Z82" s="67"/>
      <c r="AA82" s="451"/>
      <c r="AB82" s="452"/>
      <c r="AE82" s="36"/>
      <c r="AF82" s="36"/>
      <c r="AG82" s="36"/>
      <c r="AH82" s="19"/>
    </row>
    <row r="83" spans="1:34">
      <c r="A83" s="64" t="s">
        <v>599</v>
      </c>
      <c r="B83" s="63" t="s">
        <v>58</v>
      </c>
      <c r="C83" s="63" t="s">
        <v>59</v>
      </c>
      <c r="D83" s="134">
        <v>2951.14</v>
      </c>
      <c r="E83" s="67">
        <v>444442</v>
      </c>
      <c r="F83" s="146">
        <v>0</v>
      </c>
      <c r="G83" s="146">
        <v>0</v>
      </c>
      <c r="H83" s="91">
        <v>444442</v>
      </c>
      <c r="I83" s="67">
        <v>0</v>
      </c>
      <c r="J83" s="739">
        <v>444442</v>
      </c>
      <c r="K83" s="132" t="s">
        <v>621</v>
      </c>
      <c r="L83" s="740">
        <v>0</v>
      </c>
      <c r="M83" s="741">
        <v>2951.14</v>
      </c>
      <c r="N83" s="67">
        <v>0</v>
      </c>
      <c r="O83" s="67">
        <v>444442</v>
      </c>
      <c r="Q83" s="674">
        <v>0</v>
      </c>
      <c r="R83" s="674">
        <v>444442</v>
      </c>
      <c r="S83" s="71">
        <v>150.60010707726505</v>
      </c>
      <c r="T83" s="449"/>
      <c r="U83" s="67">
        <v>462580</v>
      </c>
      <c r="V83" s="163">
        <v>-18138</v>
      </c>
      <c r="W83" s="166">
        <v>-3.9210514937956679E-2</v>
      </c>
      <c r="X83" s="61"/>
      <c r="Z83" s="67"/>
      <c r="AA83" s="451"/>
      <c r="AB83" s="452"/>
      <c r="AE83" s="36"/>
      <c r="AF83" s="36"/>
      <c r="AG83" s="36"/>
      <c r="AH83" s="19"/>
    </row>
    <row r="84" spans="1:34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621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1">
        <v>0</v>
      </c>
      <c r="T84" s="449"/>
      <c r="U84" s="67">
        <v>0</v>
      </c>
      <c r="V84" s="163">
        <v>0</v>
      </c>
      <c r="W84" s="166">
        <v>0</v>
      </c>
      <c r="X84" s="61"/>
      <c r="Z84" s="67"/>
      <c r="AA84" s="451"/>
      <c r="AB84" s="452"/>
      <c r="AE84" s="36"/>
      <c r="AF84" s="36"/>
      <c r="AG84" s="36"/>
      <c r="AH84" s="19"/>
    </row>
    <row r="85" spans="1:34">
      <c r="A85" s="64" t="s">
        <v>597</v>
      </c>
      <c r="B85" s="63" t="s">
        <v>175</v>
      </c>
      <c r="C85" s="63" t="s">
        <v>176</v>
      </c>
      <c r="D85" s="134">
        <v>3390</v>
      </c>
      <c r="E85" s="67">
        <v>510534</v>
      </c>
      <c r="F85" s="146">
        <v>0</v>
      </c>
      <c r="G85" s="146">
        <v>0</v>
      </c>
      <c r="H85" s="91">
        <v>510534</v>
      </c>
      <c r="I85" s="67">
        <v>0</v>
      </c>
      <c r="J85" s="739">
        <v>510534</v>
      </c>
      <c r="K85" s="132" t="s">
        <v>621</v>
      </c>
      <c r="L85" s="740">
        <v>0</v>
      </c>
      <c r="M85" s="741">
        <v>3390</v>
      </c>
      <c r="N85" s="67">
        <v>0</v>
      </c>
      <c r="O85" s="67">
        <v>510534</v>
      </c>
      <c r="Q85" s="674">
        <v>0</v>
      </c>
      <c r="R85" s="674">
        <v>510534</v>
      </c>
      <c r="S85" s="71">
        <v>150.6</v>
      </c>
      <c r="T85" s="449"/>
      <c r="U85" s="67">
        <v>527580</v>
      </c>
      <c r="V85" s="163">
        <v>-17046</v>
      </c>
      <c r="W85" s="166">
        <v>-3.2309791879904466E-2</v>
      </c>
      <c r="X85" s="61"/>
      <c r="Z85" s="67"/>
      <c r="AA85" s="451"/>
      <c r="AB85" s="452"/>
      <c r="AE85" s="36"/>
      <c r="AF85" s="36"/>
      <c r="AG85" s="36"/>
      <c r="AH85" s="19"/>
    </row>
    <row r="86" spans="1:34">
      <c r="A86" s="64" t="s">
        <v>595</v>
      </c>
      <c r="B86" s="63" t="s">
        <v>506</v>
      </c>
      <c r="C86" s="63" t="s">
        <v>507</v>
      </c>
      <c r="D86" s="134">
        <v>233.71</v>
      </c>
      <c r="E86" s="67">
        <v>35197</v>
      </c>
      <c r="F86" s="146">
        <v>0</v>
      </c>
      <c r="G86" s="146">
        <v>0</v>
      </c>
      <c r="H86" s="91">
        <v>35197</v>
      </c>
      <c r="I86" s="67">
        <v>0</v>
      </c>
      <c r="J86" s="739">
        <v>35197</v>
      </c>
      <c r="K86" s="132" t="s">
        <v>621</v>
      </c>
      <c r="L86" s="740">
        <v>0</v>
      </c>
      <c r="M86" s="741">
        <v>233.71</v>
      </c>
      <c r="N86" s="67">
        <v>0</v>
      </c>
      <c r="O86" s="67">
        <v>35197</v>
      </c>
      <c r="Q86" s="674">
        <v>0</v>
      </c>
      <c r="R86" s="674">
        <v>35197</v>
      </c>
      <c r="S86" s="71">
        <v>150.60117239313678</v>
      </c>
      <c r="T86" s="449"/>
      <c r="U86" s="67">
        <v>39459</v>
      </c>
      <c r="V86" s="163">
        <v>-4262</v>
      </c>
      <c r="W86" s="166">
        <v>-0.10801084670163967</v>
      </c>
      <c r="X86" s="61"/>
      <c r="Z86" s="67"/>
      <c r="AA86" s="451"/>
      <c r="AB86" s="452"/>
      <c r="AE86" s="36"/>
      <c r="AF86" s="36"/>
      <c r="AG86" s="36"/>
      <c r="AH86" s="19"/>
    </row>
    <row r="87" spans="1:34">
      <c r="A87" s="64" t="s">
        <v>597</v>
      </c>
      <c r="B87" s="63" t="s">
        <v>369</v>
      </c>
      <c r="C87" s="63" t="s">
        <v>370</v>
      </c>
      <c r="D87" s="134">
        <v>372.57</v>
      </c>
      <c r="E87" s="67">
        <v>56109</v>
      </c>
      <c r="F87" s="146">
        <v>0</v>
      </c>
      <c r="G87" s="146">
        <v>0</v>
      </c>
      <c r="H87" s="91">
        <v>56109</v>
      </c>
      <c r="I87" s="67">
        <v>0</v>
      </c>
      <c r="J87" s="739">
        <v>56109</v>
      </c>
      <c r="K87" s="132" t="s">
        <v>621</v>
      </c>
      <c r="L87" s="740">
        <v>0</v>
      </c>
      <c r="M87" s="741">
        <v>372.57</v>
      </c>
      <c r="N87" s="67">
        <v>0</v>
      </c>
      <c r="O87" s="67">
        <v>56109</v>
      </c>
      <c r="Q87" s="674">
        <v>0</v>
      </c>
      <c r="R87" s="674">
        <v>56109</v>
      </c>
      <c r="S87" s="71">
        <v>150.59988726950641</v>
      </c>
      <c r="T87" s="449"/>
      <c r="U87" s="67">
        <v>59113</v>
      </c>
      <c r="V87" s="163">
        <v>-3004</v>
      </c>
      <c r="W87" s="166">
        <v>-5.0817924991118701E-2</v>
      </c>
      <c r="X87" s="61"/>
      <c r="Z87" s="67"/>
      <c r="AA87" s="451"/>
      <c r="AB87" s="452"/>
      <c r="AE87" s="36"/>
      <c r="AF87" s="36"/>
      <c r="AG87" s="36"/>
      <c r="AH87" s="19"/>
    </row>
    <row r="88" spans="1:34">
      <c r="A88" s="64" t="s">
        <v>596</v>
      </c>
      <c r="B88" s="63" t="s">
        <v>19</v>
      </c>
      <c r="C88" s="63" t="s">
        <v>20</v>
      </c>
      <c r="D88" s="134">
        <v>128.86000000000001</v>
      </c>
      <c r="E88" s="67">
        <v>19406</v>
      </c>
      <c r="F88" s="146">
        <v>0</v>
      </c>
      <c r="G88" s="146">
        <v>0</v>
      </c>
      <c r="H88" s="91">
        <v>19406</v>
      </c>
      <c r="I88" s="67">
        <v>0</v>
      </c>
      <c r="J88" s="739">
        <v>19406</v>
      </c>
      <c r="K88" s="132" t="s">
        <v>621</v>
      </c>
      <c r="L88" s="740">
        <v>0</v>
      </c>
      <c r="M88" s="741">
        <v>128.86000000000001</v>
      </c>
      <c r="N88" s="67">
        <v>0</v>
      </c>
      <c r="O88" s="67">
        <v>19406</v>
      </c>
      <c r="Q88" s="674">
        <v>0</v>
      </c>
      <c r="R88" s="674">
        <v>19406</v>
      </c>
      <c r="S88" s="71">
        <v>150.59754772621449</v>
      </c>
      <c r="T88" s="449"/>
      <c r="U88" s="67">
        <v>22851</v>
      </c>
      <c r="V88" s="163">
        <v>-3445</v>
      </c>
      <c r="W88" s="166">
        <v>-0.1507592665528861</v>
      </c>
      <c r="X88" s="61"/>
      <c r="Z88" s="67"/>
      <c r="AA88" s="451"/>
      <c r="AB88" s="452"/>
      <c r="AE88" s="36"/>
      <c r="AF88" s="36"/>
      <c r="AG88" s="36"/>
      <c r="AH88" s="19"/>
    </row>
    <row r="89" spans="1:34">
      <c r="A89" s="64" t="s">
        <v>597</v>
      </c>
      <c r="B89" s="63" t="s">
        <v>361</v>
      </c>
      <c r="C89" s="63" t="s">
        <v>362</v>
      </c>
      <c r="D89" s="134">
        <v>584.29</v>
      </c>
      <c r="E89" s="67">
        <v>87994</v>
      </c>
      <c r="F89" s="146">
        <v>0</v>
      </c>
      <c r="G89" s="146">
        <v>0</v>
      </c>
      <c r="H89" s="91">
        <v>87994</v>
      </c>
      <c r="I89" s="67">
        <v>0</v>
      </c>
      <c r="J89" s="739">
        <v>87994</v>
      </c>
      <c r="K89" s="132" t="s">
        <v>621</v>
      </c>
      <c r="L89" s="740">
        <v>0</v>
      </c>
      <c r="M89" s="741">
        <v>584.29</v>
      </c>
      <c r="N89" s="67">
        <v>0</v>
      </c>
      <c r="O89" s="67">
        <v>87994</v>
      </c>
      <c r="Q89" s="674">
        <v>0</v>
      </c>
      <c r="R89" s="674">
        <v>87994</v>
      </c>
      <c r="S89" s="71">
        <v>150.59987335056223</v>
      </c>
      <c r="T89" s="449"/>
      <c r="U89" s="67">
        <v>99399</v>
      </c>
      <c r="V89" s="163">
        <v>-11405</v>
      </c>
      <c r="W89" s="166">
        <v>-0.11473958490528073</v>
      </c>
      <c r="X89" s="61"/>
      <c r="Z89" s="67"/>
      <c r="AA89" s="451"/>
      <c r="AB89" s="452"/>
      <c r="AE89" s="36"/>
      <c r="AF89" s="36"/>
      <c r="AG89" s="36"/>
      <c r="AH89" s="19"/>
    </row>
    <row r="90" spans="1:34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621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1">
        <v>0</v>
      </c>
      <c r="T90" s="449"/>
      <c r="U90" s="67">
        <v>0</v>
      </c>
      <c r="V90" s="163">
        <v>0</v>
      </c>
      <c r="W90" s="166">
        <v>0</v>
      </c>
      <c r="X90" s="61"/>
      <c r="Z90" s="67"/>
      <c r="AA90" s="451"/>
      <c r="AB90" s="452"/>
      <c r="AE90" s="36"/>
      <c r="AF90" s="36"/>
      <c r="AG90" s="36"/>
      <c r="AH90" s="19"/>
    </row>
    <row r="91" spans="1:34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739">
        <v>0</v>
      </c>
      <c r="K91" s="132" t="s">
        <v>621</v>
      </c>
      <c r="L91" s="740">
        <v>0</v>
      </c>
      <c r="M91" s="741">
        <v>0</v>
      </c>
      <c r="N91" s="67">
        <v>0</v>
      </c>
      <c r="O91" s="67">
        <v>0</v>
      </c>
      <c r="Q91" s="674">
        <v>0</v>
      </c>
      <c r="R91" s="674">
        <v>0</v>
      </c>
      <c r="S91" s="71">
        <v>0</v>
      </c>
      <c r="T91" s="449"/>
      <c r="U91" s="67">
        <v>0</v>
      </c>
      <c r="V91" s="163">
        <v>0</v>
      </c>
      <c r="W91" s="166">
        <v>0</v>
      </c>
      <c r="X91" s="61"/>
      <c r="Z91" s="67"/>
      <c r="AA91" s="451"/>
      <c r="AB91" s="452"/>
      <c r="AE91" s="36"/>
      <c r="AF91" s="36"/>
      <c r="AG91" s="36"/>
      <c r="AH91" s="19"/>
    </row>
    <row r="92" spans="1:34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739">
        <v>0</v>
      </c>
      <c r="K92" s="132" t="s">
        <v>621</v>
      </c>
      <c r="L92" s="740">
        <v>0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1">
        <v>0</v>
      </c>
      <c r="T92" s="449"/>
      <c r="U92" s="67">
        <v>0</v>
      </c>
      <c r="V92" s="163">
        <v>0</v>
      </c>
      <c r="W92" s="166">
        <v>0</v>
      </c>
      <c r="X92" s="61"/>
      <c r="Z92" s="67"/>
      <c r="AA92" s="451"/>
      <c r="AB92" s="452"/>
      <c r="AE92" s="36"/>
      <c r="AF92" s="36"/>
      <c r="AG92" s="36"/>
      <c r="AH92" s="19"/>
    </row>
    <row r="93" spans="1:34">
      <c r="A93" s="64" t="s">
        <v>605</v>
      </c>
      <c r="B93" s="63" t="s">
        <v>246</v>
      </c>
      <c r="C93" s="63" t="s">
        <v>247</v>
      </c>
      <c r="D93" s="134">
        <v>29</v>
      </c>
      <c r="E93" s="67">
        <v>4367</v>
      </c>
      <c r="F93" s="146">
        <v>0</v>
      </c>
      <c r="G93" s="146">
        <v>0</v>
      </c>
      <c r="H93" s="91">
        <v>4367</v>
      </c>
      <c r="I93" s="67">
        <v>0</v>
      </c>
      <c r="J93" s="739">
        <v>4367</v>
      </c>
      <c r="K93" s="132" t="s">
        <v>621</v>
      </c>
      <c r="L93" s="740">
        <v>0</v>
      </c>
      <c r="M93" s="741">
        <v>29</v>
      </c>
      <c r="N93" s="67">
        <v>0</v>
      </c>
      <c r="O93" s="67">
        <v>4367</v>
      </c>
      <c r="Q93" s="674">
        <v>0</v>
      </c>
      <c r="R93" s="674">
        <v>4367</v>
      </c>
      <c r="S93" s="71">
        <v>150.58620689655172</v>
      </c>
      <c r="T93" s="449"/>
      <c r="U93" s="67">
        <v>4551</v>
      </c>
      <c r="V93" s="163">
        <v>-184</v>
      </c>
      <c r="W93" s="166">
        <v>-4.0430674577016039E-2</v>
      </c>
      <c r="X93" s="61"/>
      <c r="Z93" s="67"/>
      <c r="AA93" s="451"/>
      <c r="AB93" s="452"/>
      <c r="AE93" s="36"/>
      <c r="AF93" s="36"/>
      <c r="AG93" s="36"/>
      <c r="AH93" s="19"/>
    </row>
    <row r="94" spans="1:34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621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1">
        <v>0</v>
      </c>
      <c r="T94" s="449"/>
      <c r="U94" s="67">
        <v>0</v>
      </c>
      <c r="V94" s="163">
        <v>0</v>
      </c>
      <c r="W94" s="166">
        <v>0</v>
      </c>
      <c r="X94" s="61"/>
      <c r="Z94" s="67"/>
      <c r="AA94" s="451"/>
      <c r="AB94" s="452"/>
      <c r="AE94" s="36"/>
      <c r="AF94" s="36"/>
      <c r="AG94" s="36"/>
      <c r="AH94" s="19"/>
    </row>
    <row r="95" spans="1:34">
      <c r="A95" s="64" t="s">
        <v>605</v>
      </c>
      <c r="B95" s="63" t="s">
        <v>555</v>
      </c>
      <c r="C95" s="63" t="s">
        <v>556</v>
      </c>
      <c r="D95" s="134">
        <v>1201.43</v>
      </c>
      <c r="E95" s="67">
        <v>180935</v>
      </c>
      <c r="F95" s="146">
        <v>0</v>
      </c>
      <c r="G95" s="146">
        <v>0</v>
      </c>
      <c r="H95" s="91">
        <v>180935</v>
      </c>
      <c r="I95" s="67">
        <v>0</v>
      </c>
      <c r="J95" s="739">
        <v>180935</v>
      </c>
      <c r="K95" s="132" t="s">
        <v>621</v>
      </c>
      <c r="L95" s="740">
        <v>0</v>
      </c>
      <c r="M95" s="741">
        <v>1201.43</v>
      </c>
      <c r="N95" s="67">
        <v>0</v>
      </c>
      <c r="O95" s="67">
        <v>180935</v>
      </c>
      <c r="Q95" s="674">
        <v>0</v>
      </c>
      <c r="R95" s="674">
        <v>180935</v>
      </c>
      <c r="S95" s="71">
        <v>150.59970202175739</v>
      </c>
      <c r="T95" s="449"/>
      <c r="U95" s="67">
        <v>187026</v>
      </c>
      <c r="V95" s="163">
        <v>-6091</v>
      </c>
      <c r="W95" s="166">
        <v>-3.2567664388908492E-2</v>
      </c>
      <c r="X95" s="61"/>
      <c r="Z95" s="67"/>
      <c r="AA95" s="451"/>
      <c r="AB95" s="452"/>
      <c r="AE95" s="36"/>
      <c r="AF95" s="36"/>
      <c r="AG95" s="36"/>
      <c r="AH95" s="19"/>
    </row>
    <row r="96" spans="1:34">
      <c r="A96" s="64" t="s">
        <v>605</v>
      </c>
      <c r="B96" s="63" t="s">
        <v>563</v>
      </c>
      <c r="C96" s="63" t="s">
        <v>564</v>
      </c>
      <c r="D96" s="134">
        <v>593.42999999999995</v>
      </c>
      <c r="E96" s="67">
        <v>89371</v>
      </c>
      <c r="F96" s="146">
        <v>0</v>
      </c>
      <c r="G96" s="146">
        <v>0</v>
      </c>
      <c r="H96" s="91">
        <v>89371</v>
      </c>
      <c r="I96" s="67">
        <v>0</v>
      </c>
      <c r="J96" s="739">
        <v>89371</v>
      </c>
      <c r="K96" s="132" t="s">
        <v>621</v>
      </c>
      <c r="L96" s="740">
        <v>0</v>
      </c>
      <c r="M96" s="741">
        <v>593.42999999999995</v>
      </c>
      <c r="N96" s="67">
        <v>0</v>
      </c>
      <c r="O96" s="67">
        <v>89371</v>
      </c>
      <c r="Q96" s="674">
        <v>0</v>
      </c>
      <c r="R96" s="674">
        <v>89371</v>
      </c>
      <c r="S96" s="71">
        <v>150.60074482247276</v>
      </c>
      <c r="T96" s="449"/>
      <c r="U96" s="67">
        <v>96448</v>
      </c>
      <c r="V96" s="163">
        <v>-7077</v>
      </c>
      <c r="W96" s="166">
        <v>-7.337632714001327E-2</v>
      </c>
      <c r="X96" s="61"/>
      <c r="Z96" s="67"/>
      <c r="AA96" s="451"/>
      <c r="AB96" s="452"/>
      <c r="AE96" s="36"/>
      <c r="AF96" s="36"/>
      <c r="AG96" s="36"/>
      <c r="AH96" s="19"/>
    </row>
    <row r="97" spans="1:34">
      <c r="A97" s="64" t="s">
        <v>595</v>
      </c>
      <c r="B97" s="63" t="s">
        <v>419</v>
      </c>
      <c r="C97" s="63" t="s">
        <v>420</v>
      </c>
      <c r="D97" s="134">
        <v>33.57</v>
      </c>
      <c r="E97" s="67">
        <v>5056</v>
      </c>
      <c r="F97" s="146">
        <v>0</v>
      </c>
      <c r="G97" s="146">
        <v>0</v>
      </c>
      <c r="H97" s="91">
        <v>5056</v>
      </c>
      <c r="I97" s="67">
        <v>0</v>
      </c>
      <c r="J97" s="739">
        <v>5056</v>
      </c>
      <c r="K97" s="132" t="s">
        <v>621</v>
      </c>
      <c r="L97" s="740">
        <v>0</v>
      </c>
      <c r="M97" s="741">
        <v>33.57</v>
      </c>
      <c r="N97" s="67">
        <v>0</v>
      </c>
      <c r="O97" s="67">
        <v>5056</v>
      </c>
      <c r="Q97" s="674">
        <v>0</v>
      </c>
      <c r="R97" s="674">
        <v>5056</v>
      </c>
      <c r="S97" s="71">
        <v>150.61066428358654</v>
      </c>
      <c r="T97" s="449"/>
      <c r="U97" s="67">
        <v>0</v>
      </c>
      <c r="V97" s="163">
        <v>5056</v>
      </c>
      <c r="W97" s="166">
        <v>0</v>
      </c>
      <c r="X97" s="61"/>
      <c r="Z97" s="67"/>
      <c r="AA97" s="451"/>
      <c r="AB97" s="452"/>
      <c r="AE97" s="36"/>
      <c r="AF97" s="36"/>
      <c r="AG97" s="36"/>
      <c r="AH97" s="19"/>
    </row>
    <row r="98" spans="1:34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739">
        <v>0</v>
      </c>
      <c r="K98" s="132" t="s">
        <v>621</v>
      </c>
      <c r="L98" s="740">
        <v>0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1">
        <v>0</v>
      </c>
      <c r="T98" s="449"/>
      <c r="U98" s="67">
        <v>0</v>
      </c>
      <c r="V98" s="163">
        <v>0</v>
      </c>
      <c r="W98" s="166">
        <v>0</v>
      </c>
      <c r="X98" s="61"/>
      <c r="Z98" s="67"/>
      <c r="AA98" s="451"/>
      <c r="AB98" s="452"/>
      <c r="AE98" s="36"/>
      <c r="AF98" s="36"/>
      <c r="AG98" s="36"/>
      <c r="AH98" s="19"/>
    </row>
    <row r="99" spans="1:34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739">
        <v>0</v>
      </c>
      <c r="K99" s="132" t="s">
        <v>621</v>
      </c>
      <c r="L99" s="740">
        <v>0</v>
      </c>
      <c r="M99" s="741">
        <v>0</v>
      </c>
      <c r="N99" s="67">
        <v>0</v>
      </c>
      <c r="O99" s="67">
        <v>0</v>
      </c>
      <c r="Q99" s="674">
        <v>0</v>
      </c>
      <c r="R99" s="674">
        <v>0</v>
      </c>
      <c r="S99" s="71">
        <v>0</v>
      </c>
      <c r="T99" s="449"/>
      <c r="U99" s="67">
        <v>0</v>
      </c>
      <c r="V99" s="163">
        <v>0</v>
      </c>
      <c r="W99" s="166">
        <v>0</v>
      </c>
      <c r="X99" s="61"/>
      <c r="Z99" s="67"/>
      <c r="AA99" s="451"/>
      <c r="AB99" s="452"/>
      <c r="AE99" s="36"/>
      <c r="AF99" s="36"/>
      <c r="AG99" s="36"/>
      <c r="AH99" s="19"/>
    </row>
    <row r="100" spans="1:34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739">
        <v>0</v>
      </c>
      <c r="K100" s="132" t="s">
        <v>621</v>
      </c>
      <c r="L100" s="740">
        <v>0</v>
      </c>
      <c r="M100" s="741">
        <v>0</v>
      </c>
      <c r="N100" s="67">
        <v>0</v>
      </c>
      <c r="O100" s="67">
        <v>0</v>
      </c>
      <c r="Q100" s="674">
        <v>0</v>
      </c>
      <c r="R100" s="674">
        <v>0</v>
      </c>
      <c r="S100" s="71">
        <v>0</v>
      </c>
      <c r="T100" s="449"/>
      <c r="U100" s="67">
        <v>0</v>
      </c>
      <c r="V100" s="163">
        <v>0</v>
      </c>
      <c r="W100" s="166">
        <v>0</v>
      </c>
      <c r="X100" s="61"/>
      <c r="Z100" s="67"/>
      <c r="AA100" s="451"/>
      <c r="AB100" s="452"/>
      <c r="AE100" s="36"/>
      <c r="AF100" s="36"/>
      <c r="AG100" s="36"/>
      <c r="AH100" s="19"/>
    </row>
    <row r="101" spans="1:34">
      <c r="A101" s="64" t="s">
        <v>594</v>
      </c>
      <c r="B101" s="63" t="s">
        <v>482</v>
      </c>
      <c r="C101" s="63" t="s">
        <v>483</v>
      </c>
      <c r="D101" s="134">
        <v>5</v>
      </c>
      <c r="E101" s="67">
        <v>753</v>
      </c>
      <c r="F101" s="146">
        <v>0</v>
      </c>
      <c r="G101" s="146">
        <v>0</v>
      </c>
      <c r="H101" s="91">
        <v>753</v>
      </c>
      <c r="I101" s="67">
        <v>0</v>
      </c>
      <c r="J101" s="739">
        <v>753</v>
      </c>
      <c r="K101" s="132" t="s">
        <v>621</v>
      </c>
      <c r="L101" s="740">
        <v>0</v>
      </c>
      <c r="M101" s="741">
        <v>5</v>
      </c>
      <c r="N101" s="67">
        <v>0</v>
      </c>
      <c r="O101" s="67">
        <v>753</v>
      </c>
      <c r="Q101" s="674">
        <v>0</v>
      </c>
      <c r="R101" s="674">
        <v>753</v>
      </c>
      <c r="S101" s="71">
        <v>150.6</v>
      </c>
      <c r="T101" s="449"/>
      <c r="U101" s="67">
        <v>0</v>
      </c>
      <c r="V101" s="163">
        <v>753</v>
      </c>
      <c r="W101" s="166">
        <v>0</v>
      </c>
      <c r="X101" s="61"/>
      <c r="Z101" s="67"/>
      <c r="AA101" s="451"/>
      <c r="AB101" s="452"/>
      <c r="AE101" s="36"/>
      <c r="AF101" s="36"/>
      <c r="AG101" s="36"/>
      <c r="AH101" s="19"/>
    </row>
    <row r="102" spans="1:34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739">
        <v>0</v>
      </c>
      <c r="K102" s="132" t="s">
        <v>621</v>
      </c>
      <c r="L102" s="740">
        <v>0</v>
      </c>
      <c r="M102" s="741">
        <v>0</v>
      </c>
      <c r="N102" s="67">
        <v>0</v>
      </c>
      <c r="O102" s="67">
        <v>0</v>
      </c>
      <c r="Q102" s="674">
        <v>0</v>
      </c>
      <c r="R102" s="674">
        <v>0</v>
      </c>
      <c r="S102" s="71">
        <v>0</v>
      </c>
      <c r="T102" s="449"/>
      <c r="U102" s="67">
        <v>0</v>
      </c>
      <c r="V102" s="163">
        <v>0</v>
      </c>
      <c r="W102" s="166">
        <v>0</v>
      </c>
      <c r="X102" s="61"/>
      <c r="Z102" s="67"/>
      <c r="AA102" s="451"/>
      <c r="AB102" s="452"/>
      <c r="AE102" s="36"/>
      <c r="AF102" s="36"/>
      <c r="AG102" s="36"/>
      <c r="AH102" s="19"/>
    </row>
    <row r="103" spans="1:34">
      <c r="A103" s="64" t="s">
        <v>605</v>
      </c>
      <c r="B103" s="63" t="s">
        <v>561</v>
      </c>
      <c r="C103" s="63" t="s">
        <v>562</v>
      </c>
      <c r="D103" s="134">
        <v>292.29000000000002</v>
      </c>
      <c r="E103" s="67">
        <v>44019</v>
      </c>
      <c r="F103" s="146">
        <v>0</v>
      </c>
      <c r="G103" s="146">
        <v>0</v>
      </c>
      <c r="H103" s="91">
        <v>44019</v>
      </c>
      <c r="I103" s="67">
        <v>0</v>
      </c>
      <c r="J103" s="739">
        <v>44019</v>
      </c>
      <c r="K103" s="132" t="s">
        <v>621</v>
      </c>
      <c r="L103" s="740">
        <v>0</v>
      </c>
      <c r="M103" s="741">
        <v>292.29000000000002</v>
      </c>
      <c r="N103" s="67">
        <v>0</v>
      </c>
      <c r="O103" s="67">
        <v>44019</v>
      </c>
      <c r="Q103" s="674">
        <v>0</v>
      </c>
      <c r="R103" s="674">
        <v>44019</v>
      </c>
      <c r="S103" s="71">
        <v>150.60043107872318</v>
      </c>
      <c r="T103" s="449"/>
      <c r="U103" s="67">
        <v>46455</v>
      </c>
      <c r="V103" s="163">
        <v>-2436</v>
      </c>
      <c r="W103" s="166">
        <v>-5.2437843073942524E-2</v>
      </c>
      <c r="X103" s="61"/>
      <c r="Z103" s="67"/>
      <c r="AA103" s="451"/>
      <c r="AB103" s="452"/>
      <c r="AE103" s="36"/>
      <c r="AF103" s="36"/>
      <c r="AG103" s="36"/>
      <c r="AH103" s="19"/>
    </row>
    <row r="104" spans="1:34">
      <c r="A104" s="64" t="s">
        <v>597</v>
      </c>
      <c r="B104" s="63" t="s">
        <v>181</v>
      </c>
      <c r="C104" s="63" t="s">
        <v>182</v>
      </c>
      <c r="D104" s="134">
        <v>4408</v>
      </c>
      <c r="E104" s="67">
        <v>663845</v>
      </c>
      <c r="F104" s="146">
        <v>0</v>
      </c>
      <c r="G104" s="146">
        <v>0</v>
      </c>
      <c r="H104" s="91">
        <v>663845</v>
      </c>
      <c r="I104" s="67">
        <v>0</v>
      </c>
      <c r="J104" s="739">
        <v>663845</v>
      </c>
      <c r="K104" s="132" t="s">
        <v>621</v>
      </c>
      <c r="L104" s="740">
        <v>0</v>
      </c>
      <c r="M104" s="741">
        <v>4408</v>
      </c>
      <c r="N104" s="67">
        <v>0</v>
      </c>
      <c r="O104" s="67">
        <v>663845</v>
      </c>
      <c r="Q104" s="674">
        <v>0</v>
      </c>
      <c r="R104" s="674">
        <v>663845</v>
      </c>
      <c r="S104" s="71">
        <v>150.60004537205083</v>
      </c>
      <c r="T104" s="449"/>
      <c r="U104" s="67">
        <v>705182</v>
      </c>
      <c r="V104" s="163">
        <v>-41337</v>
      </c>
      <c r="W104" s="166">
        <v>-5.8618909728268734E-2</v>
      </c>
      <c r="X104" s="61"/>
      <c r="Z104" s="67"/>
      <c r="AA104" s="451"/>
      <c r="AB104" s="452"/>
      <c r="AE104" s="36"/>
      <c r="AF104" s="36"/>
      <c r="AG104" s="36"/>
      <c r="AH104" s="19"/>
    </row>
    <row r="105" spans="1:34">
      <c r="A105" s="64" t="s">
        <v>599</v>
      </c>
      <c r="B105" s="63" t="s">
        <v>51</v>
      </c>
      <c r="C105" s="63" t="s">
        <v>52</v>
      </c>
      <c r="D105" s="134">
        <v>13.57</v>
      </c>
      <c r="E105" s="67">
        <v>2044</v>
      </c>
      <c r="F105" s="146">
        <v>0</v>
      </c>
      <c r="G105" s="146">
        <v>0</v>
      </c>
      <c r="H105" s="91">
        <v>2044</v>
      </c>
      <c r="I105" s="67">
        <v>0</v>
      </c>
      <c r="J105" s="739">
        <v>2044</v>
      </c>
      <c r="K105" s="132" t="s">
        <v>621</v>
      </c>
      <c r="L105" s="740">
        <v>0</v>
      </c>
      <c r="M105" s="741">
        <v>13.57</v>
      </c>
      <c r="N105" s="67">
        <v>0</v>
      </c>
      <c r="O105" s="67">
        <v>2044</v>
      </c>
      <c r="Q105" s="674">
        <v>0</v>
      </c>
      <c r="R105" s="674">
        <v>2044</v>
      </c>
      <c r="S105" s="71">
        <v>150.62638172439205</v>
      </c>
      <c r="T105" s="449"/>
      <c r="U105" s="67">
        <v>2257</v>
      </c>
      <c r="V105" s="163">
        <v>-213</v>
      </c>
      <c r="W105" s="166">
        <v>-9.4373061586176338E-2</v>
      </c>
      <c r="X105" s="61"/>
      <c r="Z105" s="67"/>
      <c r="AA105" s="451"/>
      <c r="AB105" s="452"/>
      <c r="AE105" s="36"/>
      <c r="AF105" s="36"/>
      <c r="AG105" s="36"/>
      <c r="AH105" s="19"/>
    </row>
    <row r="106" spans="1:34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621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1">
        <v>0</v>
      </c>
      <c r="T106" s="449"/>
      <c r="U106" s="67">
        <v>0</v>
      </c>
      <c r="V106" s="163">
        <v>0</v>
      </c>
      <c r="W106" s="166">
        <v>0</v>
      </c>
      <c r="X106" s="61"/>
      <c r="Z106" s="67"/>
      <c r="AA106" s="451"/>
      <c r="AB106" s="452"/>
      <c r="AE106" s="36"/>
      <c r="AF106" s="36"/>
      <c r="AG106" s="36"/>
      <c r="AH106" s="19"/>
    </row>
    <row r="107" spans="1:34">
      <c r="A107" s="64" t="s">
        <v>594</v>
      </c>
      <c r="B107" s="63" t="s">
        <v>134</v>
      </c>
      <c r="C107" s="63" t="s">
        <v>135</v>
      </c>
      <c r="D107" s="134">
        <v>48.14</v>
      </c>
      <c r="E107" s="67">
        <v>7250</v>
      </c>
      <c r="F107" s="146">
        <v>0</v>
      </c>
      <c r="G107" s="146">
        <v>0</v>
      </c>
      <c r="H107" s="91">
        <v>7250</v>
      </c>
      <c r="I107" s="67">
        <v>0</v>
      </c>
      <c r="J107" s="739">
        <v>7250</v>
      </c>
      <c r="K107" s="132" t="s">
        <v>621</v>
      </c>
      <c r="L107" s="740">
        <v>0</v>
      </c>
      <c r="M107" s="741">
        <v>48.14</v>
      </c>
      <c r="N107" s="67">
        <v>0</v>
      </c>
      <c r="O107" s="67">
        <v>7250</v>
      </c>
      <c r="Q107" s="674">
        <v>0</v>
      </c>
      <c r="R107" s="674">
        <v>7250</v>
      </c>
      <c r="S107" s="71">
        <v>150.60240963855421</v>
      </c>
      <c r="T107" s="449"/>
      <c r="U107" s="67">
        <v>0</v>
      </c>
      <c r="V107" s="163">
        <v>7250</v>
      </c>
      <c r="W107" s="166">
        <v>0</v>
      </c>
      <c r="X107" s="61"/>
      <c r="Z107" s="67"/>
      <c r="AA107" s="451"/>
      <c r="AB107" s="452"/>
      <c r="AE107" s="36"/>
      <c r="AF107" s="36"/>
      <c r="AG107" s="36"/>
      <c r="AH107" s="19"/>
    </row>
    <row r="108" spans="1:34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132" t="s">
        <v>621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>
        <v>0</v>
      </c>
      <c r="S108" s="71">
        <v>0</v>
      </c>
      <c r="T108" s="449"/>
      <c r="U108" s="67">
        <v>0</v>
      </c>
      <c r="V108" s="163">
        <v>0</v>
      </c>
      <c r="W108" s="166">
        <v>0</v>
      </c>
      <c r="X108" s="61"/>
      <c r="Z108" s="67"/>
      <c r="AA108" s="451"/>
      <c r="AB108" s="452"/>
      <c r="AE108" s="36"/>
      <c r="AF108" s="36"/>
      <c r="AG108" s="36"/>
      <c r="AH108" s="19"/>
    </row>
    <row r="109" spans="1:34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739">
        <v>0</v>
      </c>
      <c r="K109" s="132" t="s">
        <v>621</v>
      </c>
      <c r="L109" s="740">
        <v>0</v>
      </c>
      <c r="M109" s="741">
        <v>0</v>
      </c>
      <c r="N109" s="67">
        <v>0</v>
      </c>
      <c r="O109" s="67">
        <v>0</v>
      </c>
      <c r="Q109" s="674">
        <v>0</v>
      </c>
      <c r="R109" s="674">
        <v>0</v>
      </c>
      <c r="S109" s="71">
        <v>0</v>
      </c>
      <c r="T109" s="449"/>
      <c r="U109" s="67">
        <v>0</v>
      </c>
      <c r="V109" s="163">
        <v>0</v>
      </c>
      <c r="W109" s="166">
        <v>0</v>
      </c>
      <c r="X109" s="61"/>
      <c r="Z109" s="67"/>
      <c r="AA109" s="451"/>
      <c r="AB109" s="452"/>
      <c r="AE109" s="36"/>
      <c r="AF109" s="36"/>
      <c r="AG109" s="36"/>
      <c r="AH109" s="19"/>
    </row>
    <row r="110" spans="1:34">
      <c r="A110" s="64" t="s">
        <v>597</v>
      </c>
      <c r="B110" s="63" t="s">
        <v>201</v>
      </c>
      <c r="C110" s="63" t="s">
        <v>202</v>
      </c>
      <c r="D110" s="134">
        <v>858.29</v>
      </c>
      <c r="E110" s="67">
        <v>129259</v>
      </c>
      <c r="F110" s="146">
        <v>0</v>
      </c>
      <c r="G110" s="146">
        <v>0</v>
      </c>
      <c r="H110" s="91">
        <v>129259</v>
      </c>
      <c r="I110" s="67">
        <v>0</v>
      </c>
      <c r="J110" s="739">
        <v>129259</v>
      </c>
      <c r="K110" s="132" t="s">
        <v>621</v>
      </c>
      <c r="L110" s="740">
        <v>0</v>
      </c>
      <c r="M110" s="741">
        <v>858.29</v>
      </c>
      <c r="N110" s="67">
        <v>0</v>
      </c>
      <c r="O110" s="67">
        <v>129259</v>
      </c>
      <c r="Q110" s="674">
        <v>0</v>
      </c>
      <c r="R110" s="674">
        <v>129259</v>
      </c>
      <c r="S110" s="71">
        <v>150.60061284647381</v>
      </c>
      <c r="T110" s="449"/>
      <c r="U110" s="67">
        <v>131111</v>
      </c>
      <c r="V110" s="163">
        <v>-1852</v>
      </c>
      <c r="W110" s="166">
        <v>-1.4125435699521779E-2</v>
      </c>
      <c r="X110" s="61"/>
      <c r="Z110" s="67"/>
      <c r="AA110" s="451"/>
      <c r="AB110" s="452"/>
      <c r="AE110" s="36"/>
      <c r="AF110" s="36"/>
      <c r="AG110" s="36"/>
      <c r="AH110" s="19"/>
    </row>
    <row r="111" spans="1:34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739">
        <v>0</v>
      </c>
      <c r="K111" s="132" t="s">
        <v>621</v>
      </c>
      <c r="L111" s="740">
        <v>0</v>
      </c>
      <c r="M111" s="741">
        <v>0</v>
      </c>
      <c r="N111" s="67">
        <v>0</v>
      </c>
      <c r="O111" s="67">
        <v>0</v>
      </c>
      <c r="Q111" s="674">
        <v>0</v>
      </c>
      <c r="R111" s="674">
        <v>0</v>
      </c>
      <c r="S111" s="71">
        <v>0</v>
      </c>
      <c r="T111" s="449"/>
      <c r="U111" s="67">
        <v>0</v>
      </c>
      <c r="V111" s="163">
        <v>0</v>
      </c>
      <c r="W111" s="166">
        <v>0</v>
      </c>
      <c r="X111" s="61"/>
      <c r="Z111" s="67"/>
      <c r="AA111" s="451"/>
      <c r="AB111" s="452"/>
      <c r="AE111" s="36"/>
      <c r="AF111" s="36"/>
      <c r="AG111" s="36"/>
      <c r="AH111" s="19"/>
    </row>
    <row r="112" spans="1:34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132" t="s">
        <v>621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>
        <v>0</v>
      </c>
      <c r="S112" s="71">
        <v>0</v>
      </c>
      <c r="T112" s="449"/>
      <c r="U112" s="67">
        <v>0</v>
      </c>
      <c r="V112" s="163">
        <v>0</v>
      </c>
      <c r="W112" s="166">
        <v>0</v>
      </c>
      <c r="X112" s="61"/>
      <c r="Z112" s="67"/>
      <c r="AA112" s="451"/>
      <c r="AB112" s="452"/>
      <c r="AE112" s="36"/>
      <c r="AF112" s="36"/>
      <c r="AG112" s="36"/>
      <c r="AH112" s="19"/>
    </row>
    <row r="113" spans="1:34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739">
        <v>0</v>
      </c>
      <c r="K113" s="132" t="s">
        <v>621</v>
      </c>
      <c r="L113" s="740">
        <v>0</v>
      </c>
      <c r="M113" s="741">
        <v>0</v>
      </c>
      <c r="N113" s="67">
        <v>0</v>
      </c>
      <c r="O113" s="67">
        <v>0</v>
      </c>
      <c r="Q113" s="674">
        <v>0</v>
      </c>
      <c r="R113" s="674">
        <v>0</v>
      </c>
      <c r="S113" s="71">
        <v>0</v>
      </c>
      <c r="T113" s="449"/>
      <c r="U113" s="67">
        <v>0</v>
      </c>
      <c r="V113" s="163">
        <v>0</v>
      </c>
      <c r="W113" s="166">
        <v>0</v>
      </c>
      <c r="X113" s="61"/>
      <c r="Z113" s="67"/>
      <c r="AA113" s="451"/>
      <c r="AB113" s="452"/>
      <c r="AE113" s="36"/>
      <c r="AF113" s="36"/>
      <c r="AG113" s="36"/>
      <c r="AH113" s="19"/>
    </row>
    <row r="114" spans="1:34">
      <c r="A114" s="64" t="s">
        <v>599</v>
      </c>
      <c r="B114" s="63" t="s">
        <v>80</v>
      </c>
      <c r="C114" s="63" t="s">
        <v>81</v>
      </c>
      <c r="D114" s="134">
        <v>235.57</v>
      </c>
      <c r="E114" s="67">
        <v>35477</v>
      </c>
      <c r="F114" s="146">
        <v>0</v>
      </c>
      <c r="G114" s="146">
        <v>0</v>
      </c>
      <c r="H114" s="91">
        <v>35477</v>
      </c>
      <c r="I114" s="67">
        <v>0</v>
      </c>
      <c r="J114" s="739">
        <v>35477</v>
      </c>
      <c r="K114" s="132" t="s">
        <v>621</v>
      </c>
      <c r="L114" s="740">
        <v>0</v>
      </c>
      <c r="M114" s="741">
        <v>235.57</v>
      </c>
      <c r="N114" s="67">
        <v>0</v>
      </c>
      <c r="O114" s="67">
        <v>35477</v>
      </c>
      <c r="Q114" s="674">
        <v>0</v>
      </c>
      <c r="R114" s="674">
        <v>35477</v>
      </c>
      <c r="S114" s="71">
        <v>150.60067071358833</v>
      </c>
      <c r="T114" s="449"/>
      <c r="U114" s="67">
        <v>37766</v>
      </c>
      <c r="V114" s="163">
        <v>-2289</v>
      </c>
      <c r="W114" s="166">
        <v>-6.0610072552030929E-2</v>
      </c>
      <c r="X114" s="61"/>
      <c r="Z114" s="67"/>
      <c r="AA114" s="451"/>
      <c r="AB114" s="452"/>
      <c r="AE114" s="36"/>
      <c r="AF114" s="36"/>
      <c r="AG114" s="36"/>
      <c r="AH114" s="19"/>
    </row>
    <row r="115" spans="1:34">
      <c r="A115" s="64" t="s">
        <v>596</v>
      </c>
      <c r="B115" s="63" t="s">
        <v>14</v>
      </c>
      <c r="C115" s="63" t="s">
        <v>15</v>
      </c>
      <c r="D115" s="134">
        <v>2259.4299999999998</v>
      </c>
      <c r="E115" s="67">
        <v>340270</v>
      </c>
      <c r="F115" s="146">
        <v>0</v>
      </c>
      <c r="G115" s="146">
        <v>0</v>
      </c>
      <c r="H115" s="91">
        <v>340270</v>
      </c>
      <c r="I115" s="67">
        <v>0</v>
      </c>
      <c r="J115" s="739">
        <v>340270</v>
      </c>
      <c r="K115" s="132" t="s">
        <v>621</v>
      </c>
      <c r="L115" s="740">
        <v>0</v>
      </c>
      <c r="M115" s="741">
        <v>2259.4299999999998</v>
      </c>
      <c r="N115" s="67">
        <v>0</v>
      </c>
      <c r="O115" s="67">
        <v>340270</v>
      </c>
      <c r="Q115" s="674">
        <v>0</v>
      </c>
      <c r="R115" s="674">
        <v>340270</v>
      </c>
      <c r="S115" s="71">
        <v>150.59993007085859</v>
      </c>
      <c r="T115" s="449"/>
      <c r="U115" s="67">
        <v>356183</v>
      </c>
      <c r="V115" s="163">
        <v>-15913</v>
      </c>
      <c r="W115" s="166">
        <v>-4.4676472487457292E-2</v>
      </c>
      <c r="X115" s="61"/>
      <c r="Z115" s="67"/>
      <c r="AA115" s="451"/>
      <c r="AB115" s="452"/>
      <c r="AE115" s="36"/>
      <c r="AF115" s="36"/>
      <c r="AG115" s="36"/>
      <c r="AH115" s="19"/>
    </row>
    <row r="116" spans="1:34">
      <c r="A116" s="64" t="s">
        <v>597</v>
      </c>
      <c r="B116" s="63" t="s">
        <v>207</v>
      </c>
      <c r="C116" s="63" t="s">
        <v>208</v>
      </c>
      <c r="D116" s="134">
        <v>4881.1400000000003</v>
      </c>
      <c r="E116" s="67">
        <v>735100</v>
      </c>
      <c r="F116" s="146">
        <v>0</v>
      </c>
      <c r="G116" s="146">
        <v>0</v>
      </c>
      <c r="H116" s="91">
        <v>735100</v>
      </c>
      <c r="I116" s="67">
        <v>0</v>
      </c>
      <c r="J116" s="739">
        <v>735100</v>
      </c>
      <c r="K116" s="132" t="s">
        <v>621</v>
      </c>
      <c r="L116" s="740">
        <v>0</v>
      </c>
      <c r="M116" s="741">
        <v>4881.1400000000003</v>
      </c>
      <c r="N116" s="67">
        <v>0</v>
      </c>
      <c r="O116" s="67">
        <v>735100</v>
      </c>
      <c r="Q116" s="674">
        <v>0</v>
      </c>
      <c r="R116" s="674">
        <v>735100</v>
      </c>
      <c r="S116" s="71">
        <v>150.60006473897491</v>
      </c>
      <c r="T116" s="449"/>
      <c r="U116" s="67">
        <v>769241</v>
      </c>
      <c r="V116" s="163">
        <v>-34141</v>
      </c>
      <c r="W116" s="166">
        <v>-4.438270970996086E-2</v>
      </c>
      <c r="X116" s="61"/>
      <c r="Z116" s="67"/>
      <c r="AA116" s="451"/>
      <c r="AB116" s="452"/>
      <c r="AE116" s="36"/>
      <c r="AF116" s="36"/>
      <c r="AG116" s="36"/>
      <c r="AH116" s="19"/>
    </row>
    <row r="117" spans="1:34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132" t="s">
        <v>621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>
        <v>0</v>
      </c>
      <c r="S117" s="71">
        <v>0</v>
      </c>
      <c r="T117" s="449"/>
      <c r="U117" s="67">
        <v>0</v>
      </c>
      <c r="V117" s="163">
        <v>0</v>
      </c>
      <c r="W117" s="166">
        <v>0</v>
      </c>
      <c r="X117" s="61"/>
      <c r="Z117" s="67"/>
      <c r="AA117" s="451"/>
      <c r="AB117" s="452"/>
      <c r="AE117" s="36"/>
      <c r="AF117" s="36"/>
      <c r="AG117" s="36"/>
      <c r="AH117" s="19"/>
    </row>
    <row r="118" spans="1:34">
      <c r="A118" s="64" t="s">
        <v>596</v>
      </c>
      <c r="B118" s="63" t="s">
        <v>18</v>
      </c>
      <c r="C118" s="63" t="s">
        <v>608</v>
      </c>
      <c r="D118" s="134">
        <v>230</v>
      </c>
      <c r="E118" s="67">
        <v>34638</v>
      </c>
      <c r="F118" s="146">
        <v>0</v>
      </c>
      <c r="G118" s="146">
        <v>0</v>
      </c>
      <c r="H118" s="91">
        <v>34638</v>
      </c>
      <c r="I118" s="67">
        <v>0</v>
      </c>
      <c r="J118" s="739">
        <v>34638</v>
      </c>
      <c r="K118" s="132" t="s">
        <v>621</v>
      </c>
      <c r="L118" s="740">
        <v>0</v>
      </c>
      <c r="M118" s="741">
        <v>230</v>
      </c>
      <c r="N118" s="67">
        <v>0</v>
      </c>
      <c r="O118" s="67">
        <v>34638</v>
      </c>
      <c r="Q118" s="674">
        <v>0</v>
      </c>
      <c r="R118" s="674">
        <v>34638</v>
      </c>
      <c r="S118" s="71">
        <v>150.6</v>
      </c>
      <c r="T118" s="449"/>
      <c r="U118" s="67">
        <v>42262</v>
      </c>
      <c r="V118" s="163">
        <v>-7624</v>
      </c>
      <c r="W118" s="166">
        <v>-0.18039846670768067</v>
      </c>
      <c r="X118" s="61"/>
      <c r="Z118" s="67"/>
      <c r="AA118" s="451"/>
      <c r="AB118" s="452"/>
      <c r="AE118" s="36"/>
      <c r="AF118" s="36"/>
      <c r="AG118" s="36"/>
      <c r="AH118" s="19"/>
    </row>
    <row r="119" spans="1:34">
      <c r="A119" s="64" t="s">
        <v>605</v>
      </c>
      <c r="B119" s="63" t="s">
        <v>228</v>
      </c>
      <c r="C119" s="63" t="s">
        <v>229</v>
      </c>
      <c r="D119" s="134">
        <v>55.86</v>
      </c>
      <c r="E119" s="67">
        <v>8413</v>
      </c>
      <c r="F119" s="146">
        <v>0</v>
      </c>
      <c r="G119" s="146">
        <v>0</v>
      </c>
      <c r="H119" s="91">
        <v>8413</v>
      </c>
      <c r="I119" s="67">
        <v>0</v>
      </c>
      <c r="J119" s="739">
        <v>8413</v>
      </c>
      <c r="K119" s="132" t="s">
        <v>621</v>
      </c>
      <c r="L119" s="740">
        <v>0</v>
      </c>
      <c r="M119" s="741">
        <v>55.86</v>
      </c>
      <c r="N119" s="67">
        <v>0</v>
      </c>
      <c r="O119" s="67">
        <v>8413</v>
      </c>
      <c r="Q119" s="674">
        <v>0</v>
      </c>
      <c r="R119" s="674">
        <v>8413</v>
      </c>
      <c r="S119" s="71">
        <v>150.60866451843896</v>
      </c>
      <c r="T119" s="449"/>
      <c r="U119" s="67">
        <v>8389</v>
      </c>
      <c r="V119" s="163">
        <v>24</v>
      </c>
      <c r="W119" s="166">
        <v>2.8608892597449041E-3</v>
      </c>
      <c r="X119" s="61"/>
      <c r="Z119" s="67"/>
      <c r="AA119" s="451"/>
      <c r="AB119" s="452"/>
      <c r="AE119" s="36"/>
      <c r="AF119" s="36"/>
      <c r="AG119" s="36"/>
      <c r="AH119" s="19"/>
    </row>
    <row r="120" spans="1:34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132" t="s">
        <v>621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1">
        <v>0</v>
      </c>
      <c r="T120" s="449"/>
      <c r="U120" s="67">
        <v>0</v>
      </c>
      <c r="V120" s="163">
        <v>0</v>
      </c>
      <c r="W120" s="166">
        <v>0</v>
      </c>
      <c r="X120" s="61"/>
      <c r="Z120" s="67"/>
      <c r="AA120" s="451"/>
      <c r="AB120" s="452"/>
      <c r="AE120" s="36"/>
      <c r="AF120" s="36"/>
      <c r="AG120" s="36"/>
      <c r="AH120" s="19"/>
    </row>
    <row r="121" spans="1:34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132" t="s">
        <v>621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>
        <v>0</v>
      </c>
      <c r="S121" s="71">
        <v>0</v>
      </c>
      <c r="T121" s="449"/>
      <c r="U121" s="67">
        <v>0</v>
      </c>
      <c r="V121" s="163">
        <v>0</v>
      </c>
      <c r="W121" s="166">
        <v>0</v>
      </c>
      <c r="X121" s="61"/>
      <c r="Z121" s="67"/>
      <c r="AA121" s="451"/>
      <c r="AB121" s="452"/>
      <c r="AE121" s="36"/>
      <c r="AF121" s="36"/>
      <c r="AG121" s="36"/>
      <c r="AH121" s="19"/>
    </row>
    <row r="122" spans="1:34">
      <c r="A122" s="64" t="s">
        <v>599</v>
      </c>
      <c r="B122" s="63" t="s">
        <v>53</v>
      </c>
      <c r="C122" s="63" t="s">
        <v>609</v>
      </c>
      <c r="D122" s="134">
        <v>25.57</v>
      </c>
      <c r="E122" s="67">
        <v>3851</v>
      </c>
      <c r="F122" s="146">
        <v>0</v>
      </c>
      <c r="G122" s="146">
        <v>0</v>
      </c>
      <c r="H122" s="91">
        <v>3851</v>
      </c>
      <c r="I122" s="67">
        <v>0</v>
      </c>
      <c r="J122" s="739">
        <v>3851</v>
      </c>
      <c r="K122" s="132" t="s">
        <v>621</v>
      </c>
      <c r="L122" s="740">
        <v>0</v>
      </c>
      <c r="M122" s="741">
        <v>25.57</v>
      </c>
      <c r="N122" s="67">
        <v>0</v>
      </c>
      <c r="O122" s="67">
        <v>3851</v>
      </c>
      <c r="Q122" s="674">
        <v>0</v>
      </c>
      <c r="R122" s="674">
        <v>3851</v>
      </c>
      <c r="S122" s="71">
        <v>150.60617911615174</v>
      </c>
      <c r="T122" s="449"/>
      <c r="U122" s="67">
        <v>0</v>
      </c>
      <c r="V122" s="163">
        <v>3851</v>
      </c>
      <c r="W122" s="166">
        <v>0</v>
      </c>
      <c r="X122" s="61"/>
      <c r="Z122" s="67"/>
      <c r="AA122" s="451"/>
      <c r="AB122" s="452"/>
      <c r="AE122" s="36"/>
      <c r="AF122" s="36"/>
      <c r="AG122" s="36"/>
      <c r="AH122" s="19"/>
    </row>
    <row r="123" spans="1:34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739">
        <v>0</v>
      </c>
      <c r="K123" s="132" t="s">
        <v>621</v>
      </c>
      <c r="L123" s="740">
        <v>0</v>
      </c>
      <c r="M123" s="741">
        <v>0</v>
      </c>
      <c r="N123" s="67">
        <v>0</v>
      </c>
      <c r="O123" s="67">
        <v>0</v>
      </c>
      <c r="Q123" s="674">
        <v>0</v>
      </c>
      <c r="R123" s="674">
        <v>0</v>
      </c>
      <c r="S123" s="71">
        <v>0</v>
      </c>
      <c r="T123" s="449"/>
      <c r="U123" s="67">
        <v>0</v>
      </c>
      <c r="V123" s="163">
        <v>0</v>
      </c>
      <c r="W123" s="166">
        <v>0</v>
      </c>
      <c r="X123" s="61"/>
      <c r="Z123" s="67"/>
      <c r="AA123" s="451"/>
      <c r="AB123" s="452"/>
      <c r="AE123" s="36"/>
      <c r="AF123" s="36"/>
      <c r="AG123" s="36"/>
      <c r="AH123" s="19"/>
    </row>
    <row r="124" spans="1:34">
      <c r="A124" s="64" t="s">
        <v>601</v>
      </c>
      <c r="B124" s="63" t="s">
        <v>31</v>
      </c>
      <c r="C124" s="63" t="s">
        <v>32</v>
      </c>
      <c r="D124" s="134">
        <v>367.29</v>
      </c>
      <c r="E124" s="67">
        <v>55314</v>
      </c>
      <c r="F124" s="146">
        <v>0</v>
      </c>
      <c r="G124" s="146">
        <v>0</v>
      </c>
      <c r="H124" s="91">
        <v>55314</v>
      </c>
      <c r="I124" s="67">
        <v>0</v>
      </c>
      <c r="J124" s="739">
        <v>55314</v>
      </c>
      <c r="K124" s="132" t="s">
        <v>621</v>
      </c>
      <c r="L124" s="740">
        <v>0</v>
      </c>
      <c r="M124" s="741">
        <v>367.29</v>
      </c>
      <c r="N124" s="67">
        <v>0</v>
      </c>
      <c r="O124" s="67">
        <v>55314</v>
      </c>
      <c r="Q124" s="674">
        <v>0</v>
      </c>
      <c r="R124" s="674">
        <v>55314</v>
      </c>
      <c r="S124" s="71">
        <v>150.60034305317325</v>
      </c>
      <c r="T124" s="449"/>
      <c r="U124" s="67">
        <v>56800</v>
      </c>
      <c r="V124" s="163">
        <v>-1486</v>
      </c>
      <c r="W124" s="166">
        <v>-2.6161971830985915E-2</v>
      </c>
      <c r="X124" s="61"/>
      <c r="Z124" s="67"/>
      <c r="AA124" s="451"/>
      <c r="AB124" s="452"/>
      <c r="AE124" s="36"/>
      <c r="AF124" s="36"/>
      <c r="AG124" s="36"/>
      <c r="AH124" s="19"/>
    </row>
    <row r="125" spans="1:34">
      <c r="A125" s="64" t="s">
        <v>595</v>
      </c>
      <c r="B125" s="63" t="s">
        <v>397</v>
      </c>
      <c r="C125" s="63" t="s">
        <v>398</v>
      </c>
      <c r="D125" s="134">
        <v>289.43</v>
      </c>
      <c r="E125" s="67">
        <v>43588</v>
      </c>
      <c r="F125" s="146">
        <v>0</v>
      </c>
      <c r="G125" s="146">
        <v>0</v>
      </c>
      <c r="H125" s="91">
        <v>43588</v>
      </c>
      <c r="I125" s="67">
        <v>0</v>
      </c>
      <c r="J125" s="739">
        <v>43588</v>
      </c>
      <c r="K125" s="132" t="s">
        <v>621</v>
      </c>
      <c r="L125" s="740">
        <v>0</v>
      </c>
      <c r="M125" s="741">
        <v>289.43</v>
      </c>
      <c r="N125" s="67">
        <v>0</v>
      </c>
      <c r="O125" s="67">
        <v>43588</v>
      </c>
      <c r="Q125" s="674">
        <v>0</v>
      </c>
      <c r="R125" s="674">
        <v>43588</v>
      </c>
      <c r="S125" s="71">
        <v>150.59945409943683</v>
      </c>
      <c r="T125" s="449"/>
      <c r="U125" s="67">
        <v>46193</v>
      </c>
      <c r="V125" s="163">
        <v>-2605</v>
      </c>
      <c r="W125" s="166">
        <v>-5.6393825904357806E-2</v>
      </c>
      <c r="X125" s="61"/>
      <c r="Z125" s="67"/>
      <c r="AA125" s="451"/>
      <c r="AB125" s="452"/>
      <c r="AE125" s="36"/>
      <c r="AF125" s="36"/>
      <c r="AG125" s="36"/>
      <c r="AH125" s="19"/>
    </row>
    <row r="126" spans="1:34">
      <c r="A126" s="64" t="s">
        <v>597</v>
      </c>
      <c r="B126" s="63" t="s">
        <v>205</v>
      </c>
      <c r="C126" s="63" t="s">
        <v>206</v>
      </c>
      <c r="D126" s="134">
        <v>1761.14</v>
      </c>
      <c r="E126" s="67">
        <v>265228</v>
      </c>
      <c r="F126" s="146">
        <v>0</v>
      </c>
      <c r="G126" s="146">
        <v>0</v>
      </c>
      <c r="H126" s="91">
        <v>265228</v>
      </c>
      <c r="I126" s="67">
        <v>0</v>
      </c>
      <c r="J126" s="739">
        <v>265228</v>
      </c>
      <c r="K126" s="132" t="s">
        <v>621</v>
      </c>
      <c r="L126" s="740">
        <v>0</v>
      </c>
      <c r="M126" s="741">
        <v>1761.14</v>
      </c>
      <c r="N126" s="67">
        <v>0</v>
      </c>
      <c r="O126" s="67">
        <v>265228</v>
      </c>
      <c r="Q126" s="674">
        <v>0</v>
      </c>
      <c r="R126" s="674">
        <v>265228</v>
      </c>
      <c r="S126" s="71">
        <v>150.60017942923332</v>
      </c>
      <c r="T126" s="449"/>
      <c r="U126" s="67">
        <v>259661</v>
      </c>
      <c r="V126" s="163">
        <v>5567</v>
      </c>
      <c r="W126" s="166">
        <v>2.1439492261063463E-2</v>
      </c>
      <c r="X126" s="61"/>
      <c r="Z126" s="67"/>
      <c r="AA126" s="451"/>
      <c r="AB126" s="452"/>
      <c r="AE126" s="36"/>
      <c r="AF126" s="36"/>
      <c r="AG126" s="36"/>
      <c r="AH126" s="19"/>
    </row>
    <row r="127" spans="1:34">
      <c r="A127" s="64" t="s">
        <v>595</v>
      </c>
      <c r="B127" s="63" t="s">
        <v>413</v>
      </c>
      <c r="C127" s="63" t="s">
        <v>414</v>
      </c>
      <c r="D127" s="134">
        <v>105</v>
      </c>
      <c r="E127" s="67">
        <v>15813</v>
      </c>
      <c r="F127" s="146">
        <v>0</v>
      </c>
      <c r="G127" s="146">
        <v>0</v>
      </c>
      <c r="H127" s="91">
        <v>15813</v>
      </c>
      <c r="I127" s="67">
        <v>0</v>
      </c>
      <c r="J127" s="739">
        <v>15813</v>
      </c>
      <c r="K127" s="132" t="s">
        <v>621</v>
      </c>
      <c r="L127" s="740">
        <v>0</v>
      </c>
      <c r="M127" s="741">
        <v>105</v>
      </c>
      <c r="N127" s="67">
        <v>0</v>
      </c>
      <c r="O127" s="67">
        <v>15813</v>
      </c>
      <c r="Q127" s="674">
        <v>0</v>
      </c>
      <c r="R127" s="674">
        <v>15813</v>
      </c>
      <c r="S127" s="71">
        <v>150.6</v>
      </c>
      <c r="T127" s="449"/>
      <c r="U127" s="67">
        <v>12526</v>
      </c>
      <c r="V127" s="163">
        <v>3287</v>
      </c>
      <c r="W127" s="166">
        <v>0.26241417850870191</v>
      </c>
      <c r="X127" s="61"/>
      <c r="Z127" s="67"/>
      <c r="AA127" s="451"/>
      <c r="AB127" s="452"/>
      <c r="AE127" s="36"/>
      <c r="AF127" s="36"/>
      <c r="AG127" s="36"/>
      <c r="AH127" s="19"/>
    </row>
    <row r="128" spans="1:34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132" t="s">
        <v>621</v>
      </c>
      <c r="L128" s="740">
        <v>0</v>
      </c>
      <c r="M128" s="741">
        <v>0</v>
      </c>
      <c r="N128" s="67">
        <v>0</v>
      </c>
      <c r="O128" s="67">
        <v>0</v>
      </c>
      <c r="P128" s="674">
        <v>0.85</v>
      </c>
      <c r="Q128" s="674">
        <v>0</v>
      </c>
      <c r="R128" s="674">
        <v>0</v>
      </c>
      <c r="S128" s="71">
        <v>0</v>
      </c>
      <c r="T128" s="449"/>
      <c r="U128" s="67">
        <v>0</v>
      </c>
      <c r="V128" s="163">
        <v>0</v>
      </c>
      <c r="W128" s="166">
        <v>0</v>
      </c>
      <c r="X128" s="61"/>
      <c r="Z128" s="67"/>
      <c r="AA128" s="451"/>
      <c r="AB128" s="452"/>
      <c r="AE128" s="36"/>
      <c r="AF128" s="36"/>
      <c r="AG128" s="36"/>
      <c r="AH128" s="19"/>
    </row>
    <row r="129" spans="1:34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739">
        <v>0</v>
      </c>
      <c r="K129" s="132" t="s">
        <v>621</v>
      </c>
      <c r="L129" s="740">
        <v>0</v>
      </c>
      <c r="M129" s="741">
        <v>0</v>
      </c>
      <c r="N129" s="67">
        <v>0</v>
      </c>
      <c r="O129" s="67">
        <v>0</v>
      </c>
      <c r="Q129" s="674">
        <v>0</v>
      </c>
      <c r="R129" s="674">
        <v>0</v>
      </c>
      <c r="S129" s="71">
        <v>0</v>
      </c>
      <c r="T129" s="449"/>
      <c r="U129" s="67">
        <v>0</v>
      </c>
      <c r="V129" s="163">
        <v>0</v>
      </c>
      <c r="W129" s="166">
        <v>0</v>
      </c>
      <c r="X129" s="61"/>
      <c r="Z129" s="67"/>
      <c r="AA129" s="451"/>
      <c r="AB129" s="452"/>
      <c r="AE129" s="36"/>
      <c r="AF129" s="36"/>
      <c r="AG129" s="36"/>
      <c r="AH129" s="19"/>
    </row>
    <row r="130" spans="1:34">
      <c r="A130" s="64" t="s">
        <v>603</v>
      </c>
      <c r="B130" s="63" t="s">
        <v>6</v>
      </c>
      <c r="C130" s="63" t="s">
        <v>7</v>
      </c>
      <c r="D130" s="134">
        <v>21.71</v>
      </c>
      <c r="E130" s="67">
        <v>3270</v>
      </c>
      <c r="F130" s="146">
        <v>0</v>
      </c>
      <c r="G130" s="146">
        <v>0</v>
      </c>
      <c r="H130" s="91">
        <v>3270</v>
      </c>
      <c r="I130" s="67">
        <v>0</v>
      </c>
      <c r="J130" s="739">
        <v>3270</v>
      </c>
      <c r="K130" s="132" t="s">
        <v>621</v>
      </c>
      <c r="L130" s="740">
        <v>0</v>
      </c>
      <c r="M130" s="741">
        <v>21.71</v>
      </c>
      <c r="N130" s="67">
        <v>0</v>
      </c>
      <c r="O130" s="67">
        <v>3270</v>
      </c>
      <c r="Q130" s="674">
        <v>0</v>
      </c>
      <c r="R130" s="674">
        <v>3270</v>
      </c>
      <c r="S130" s="71">
        <v>150.6218332565638</v>
      </c>
      <c r="T130" s="449"/>
      <c r="U130" s="67">
        <v>0</v>
      </c>
      <c r="V130" s="163">
        <v>3270</v>
      </c>
      <c r="W130" s="166">
        <v>0</v>
      </c>
      <c r="X130" s="61"/>
      <c r="Z130" s="67"/>
      <c r="AA130" s="451"/>
      <c r="AB130" s="452"/>
      <c r="AE130" s="36"/>
      <c r="AF130" s="36"/>
      <c r="AG130" s="36"/>
      <c r="AH130" s="19"/>
    </row>
    <row r="131" spans="1:34">
      <c r="A131" s="64" t="s">
        <v>599</v>
      </c>
      <c r="B131" s="63" t="s">
        <v>70</v>
      </c>
      <c r="C131" s="63" t="s">
        <v>71</v>
      </c>
      <c r="D131" s="134">
        <v>362.57</v>
      </c>
      <c r="E131" s="67">
        <v>54603</v>
      </c>
      <c r="F131" s="146">
        <v>0</v>
      </c>
      <c r="G131" s="146">
        <v>0</v>
      </c>
      <c r="H131" s="91">
        <v>54603</v>
      </c>
      <c r="I131" s="67">
        <v>0</v>
      </c>
      <c r="J131" s="739">
        <v>54603</v>
      </c>
      <c r="K131" s="132" t="s">
        <v>621</v>
      </c>
      <c r="L131" s="740">
        <v>0</v>
      </c>
      <c r="M131" s="741">
        <v>362.57</v>
      </c>
      <c r="N131" s="67">
        <v>0</v>
      </c>
      <c r="O131" s="67">
        <v>54603</v>
      </c>
      <c r="Q131" s="674">
        <v>0</v>
      </c>
      <c r="R131" s="674">
        <v>54603</v>
      </c>
      <c r="S131" s="71">
        <v>150.59988416030009</v>
      </c>
      <c r="T131" s="449"/>
      <c r="U131" s="67">
        <v>57590</v>
      </c>
      <c r="V131" s="163">
        <v>-2987</v>
      </c>
      <c r="W131" s="166">
        <v>-5.1866643514499045E-2</v>
      </c>
      <c r="X131" s="61"/>
      <c r="Z131" s="67"/>
      <c r="AA131" s="451"/>
      <c r="AB131" s="452"/>
      <c r="AE131" s="36"/>
      <c r="AF131" s="36"/>
      <c r="AG131" s="36"/>
      <c r="AH131" s="19"/>
    </row>
    <row r="132" spans="1:34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621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1">
        <v>0</v>
      </c>
      <c r="T132" s="449"/>
      <c r="U132" s="67">
        <v>0</v>
      </c>
      <c r="V132" s="163">
        <v>0</v>
      </c>
      <c r="W132" s="166">
        <v>0</v>
      </c>
      <c r="X132" s="61"/>
      <c r="Z132" s="67"/>
      <c r="AA132" s="451"/>
      <c r="AB132" s="452"/>
      <c r="AE132" s="36"/>
      <c r="AF132" s="36"/>
      <c r="AG132" s="36"/>
      <c r="AH132" s="19"/>
    </row>
    <row r="133" spans="1:34">
      <c r="A133" s="64" t="s">
        <v>595</v>
      </c>
      <c r="B133" s="63" t="s">
        <v>373</v>
      </c>
      <c r="C133" s="63" t="s">
        <v>374</v>
      </c>
      <c r="D133" s="134">
        <v>16</v>
      </c>
      <c r="E133" s="67">
        <v>2410</v>
      </c>
      <c r="F133" s="146">
        <v>0</v>
      </c>
      <c r="G133" s="146">
        <v>0</v>
      </c>
      <c r="H133" s="91">
        <v>2410</v>
      </c>
      <c r="I133" s="67">
        <v>0</v>
      </c>
      <c r="J133" s="739">
        <v>2410</v>
      </c>
      <c r="K133" s="132" t="s">
        <v>621</v>
      </c>
      <c r="L133" s="740">
        <v>0</v>
      </c>
      <c r="M133" s="741">
        <v>16</v>
      </c>
      <c r="N133" s="67">
        <v>0</v>
      </c>
      <c r="O133" s="67">
        <v>2410</v>
      </c>
      <c r="Q133" s="674">
        <v>0</v>
      </c>
      <c r="R133" s="674">
        <v>2410</v>
      </c>
      <c r="S133" s="71">
        <v>150.625</v>
      </c>
      <c r="T133" s="449"/>
      <c r="U133" s="67">
        <v>2465</v>
      </c>
      <c r="V133" s="163">
        <v>-55</v>
      </c>
      <c r="W133" s="166">
        <v>-2.231237322515213E-2</v>
      </c>
      <c r="X133" s="61"/>
      <c r="Z133" s="67"/>
      <c r="AA133" s="451"/>
      <c r="AB133" s="452"/>
      <c r="AE133" s="36"/>
      <c r="AF133" s="36"/>
      <c r="AG133" s="36"/>
      <c r="AH133" s="19"/>
    </row>
    <row r="134" spans="1:34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621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1">
        <v>0</v>
      </c>
      <c r="T134" s="449"/>
      <c r="U134" s="67">
        <v>0</v>
      </c>
      <c r="V134" s="163">
        <v>0</v>
      </c>
      <c r="W134" s="166">
        <v>0</v>
      </c>
      <c r="X134" s="61"/>
      <c r="Z134" s="67"/>
      <c r="AA134" s="451"/>
      <c r="AB134" s="452"/>
      <c r="AE134" s="36"/>
      <c r="AF134" s="36"/>
      <c r="AG134" s="36"/>
      <c r="AH134" s="19"/>
    </row>
    <row r="135" spans="1:34">
      <c r="A135" s="64" t="s">
        <v>595</v>
      </c>
      <c r="B135" s="63" t="s">
        <v>510</v>
      </c>
      <c r="C135" s="63" t="s">
        <v>511</v>
      </c>
      <c r="D135" s="134">
        <v>241.43</v>
      </c>
      <c r="E135" s="67">
        <v>36359</v>
      </c>
      <c r="F135" s="146">
        <v>0</v>
      </c>
      <c r="G135" s="146">
        <v>0</v>
      </c>
      <c r="H135" s="91">
        <v>36359</v>
      </c>
      <c r="I135" s="67">
        <v>0</v>
      </c>
      <c r="J135" s="739">
        <v>36359</v>
      </c>
      <c r="K135" s="132" t="s">
        <v>621</v>
      </c>
      <c r="L135" s="740">
        <v>0</v>
      </c>
      <c r="M135" s="741">
        <v>241.43</v>
      </c>
      <c r="N135" s="67">
        <v>0</v>
      </c>
      <c r="O135" s="67">
        <v>36359</v>
      </c>
      <c r="Q135" s="674">
        <v>0</v>
      </c>
      <c r="R135" s="674">
        <v>36359</v>
      </c>
      <c r="S135" s="71">
        <v>150.59851716853746</v>
      </c>
      <c r="T135" s="449"/>
      <c r="U135" s="67">
        <v>39101</v>
      </c>
      <c r="V135" s="163">
        <v>-2742</v>
      </c>
      <c r="W135" s="166">
        <v>-7.0126083731873859E-2</v>
      </c>
      <c r="X135" s="61"/>
      <c r="Z135" s="67"/>
      <c r="AA135" s="451"/>
      <c r="AB135" s="452"/>
      <c r="AE135" s="36"/>
      <c r="AF135" s="36"/>
      <c r="AG135" s="36"/>
      <c r="AH135" s="19"/>
    </row>
    <row r="136" spans="1:34">
      <c r="A136" s="64" t="s">
        <v>605</v>
      </c>
      <c r="B136" s="63" t="s">
        <v>553</v>
      </c>
      <c r="C136" s="63" t="s">
        <v>554</v>
      </c>
      <c r="D136" s="134">
        <v>349.29</v>
      </c>
      <c r="E136" s="67">
        <v>52603</v>
      </c>
      <c r="F136" s="146">
        <v>0</v>
      </c>
      <c r="G136" s="146">
        <v>0</v>
      </c>
      <c r="H136" s="91">
        <v>52603</v>
      </c>
      <c r="I136" s="67">
        <v>0</v>
      </c>
      <c r="J136" s="739">
        <v>52603</v>
      </c>
      <c r="K136" s="132" t="s">
        <v>621</v>
      </c>
      <c r="L136" s="740">
        <v>0</v>
      </c>
      <c r="M136" s="741">
        <v>349.29</v>
      </c>
      <c r="N136" s="67">
        <v>0</v>
      </c>
      <c r="O136" s="67">
        <v>52603</v>
      </c>
      <c r="Q136" s="674">
        <v>0</v>
      </c>
      <c r="R136" s="674">
        <v>52603</v>
      </c>
      <c r="S136" s="71">
        <v>150.59978814165879</v>
      </c>
      <c r="T136" s="449"/>
      <c r="U136" s="67">
        <v>57666</v>
      </c>
      <c r="V136" s="163">
        <v>-5063</v>
      </c>
      <c r="W136" s="166">
        <v>-8.7798702875177742E-2</v>
      </c>
      <c r="X136" s="61"/>
      <c r="Z136" s="67"/>
      <c r="AA136" s="451"/>
      <c r="AB136" s="452"/>
      <c r="AE136" s="36"/>
      <c r="AF136" s="36"/>
      <c r="AG136" s="36"/>
      <c r="AH136" s="19"/>
    </row>
    <row r="137" spans="1:34">
      <c r="A137" s="64" t="s">
        <v>601</v>
      </c>
      <c r="B137" s="63" t="s">
        <v>90</v>
      </c>
      <c r="C137" s="63" t="s">
        <v>91</v>
      </c>
      <c r="D137" s="134">
        <v>4</v>
      </c>
      <c r="E137" s="67">
        <v>602</v>
      </c>
      <c r="F137" s="146">
        <v>0</v>
      </c>
      <c r="G137" s="146">
        <v>0</v>
      </c>
      <c r="H137" s="91">
        <v>602</v>
      </c>
      <c r="I137" s="67">
        <v>0</v>
      </c>
      <c r="J137" s="739">
        <v>602</v>
      </c>
      <c r="K137" s="132" t="s">
        <v>621</v>
      </c>
      <c r="L137" s="740">
        <v>0</v>
      </c>
      <c r="M137" s="741">
        <v>4</v>
      </c>
      <c r="N137" s="67">
        <v>0</v>
      </c>
      <c r="O137" s="67">
        <v>602</v>
      </c>
      <c r="Q137" s="674">
        <v>0</v>
      </c>
      <c r="R137" s="674">
        <v>602</v>
      </c>
      <c r="S137" s="71">
        <v>150.5</v>
      </c>
      <c r="T137" s="449"/>
      <c r="U137" s="67">
        <v>0</v>
      </c>
      <c r="V137" s="163">
        <v>602</v>
      </c>
      <c r="W137" s="166">
        <v>0</v>
      </c>
      <c r="X137" s="61"/>
      <c r="Z137" s="67"/>
      <c r="AA137" s="451"/>
      <c r="AB137" s="452"/>
      <c r="AE137" s="36"/>
      <c r="AF137" s="36"/>
      <c r="AG137" s="36"/>
      <c r="AH137" s="19"/>
    </row>
    <row r="138" spans="1:34">
      <c r="A138" s="64" t="s">
        <v>601</v>
      </c>
      <c r="B138" s="63" t="s">
        <v>25</v>
      </c>
      <c r="C138" s="63" t="s">
        <v>26</v>
      </c>
      <c r="D138" s="134">
        <v>242.14</v>
      </c>
      <c r="E138" s="67">
        <v>36466</v>
      </c>
      <c r="F138" s="146">
        <v>0</v>
      </c>
      <c r="G138" s="146">
        <v>0</v>
      </c>
      <c r="H138" s="91">
        <v>36466</v>
      </c>
      <c r="I138" s="67">
        <v>0</v>
      </c>
      <c r="J138" s="739">
        <v>36466</v>
      </c>
      <c r="K138" s="132" t="s">
        <v>621</v>
      </c>
      <c r="L138" s="740">
        <v>0</v>
      </c>
      <c r="M138" s="741">
        <v>242.14</v>
      </c>
      <c r="N138" s="67">
        <v>0</v>
      </c>
      <c r="O138" s="67">
        <v>36466</v>
      </c>
      <c r="Q138" s="674">
        <v>0</v>
      </c>
      <c r="R138" s="674">
        <v>36466</v>
      </c>
      <c r="S138" s="71">
        <v>150.59882712480385</v>
      </c>
      <c r="T138" s="449"/>
      <c r="U138" s="67">
        <v>36543</v>
      </c>
      <c r="V138" s="163">
        <v>-77</v>
      </c>
      <c r="W138" s="166">
        <v>-2.1071066962208905E-3</v>
      </c>
      <c r="X138" s="61"/>
      <c r="Z138" s="67"/>
      <c r="AA138" s="451"/>
      <c r="AB138" s="452"/>
      <c r="AE138" s="36"/>
      <c r="AF138" s="36"/>
      <c r="AG138" s="36"/>
      <c r="AH138" s="19"/>
    </row>
    <row r="139" spans="1:34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621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1">
        <v>0</v>
      </c>
      <c r="T139" s="449"/>
      <c r="U139" s="67">
        <v>0</v>
      </c>
      <c r="V139" s="163">
        <v>0</v>
      </c>
      <c r="W139" s="166">
        <v>0</v>
      </c>
      <c r="X139" s="61"/>
      <c r="Z139" s="67"/>
      <c r="AA139" s="451"/>
      <c r="AB139" s="452"/>
      <c r="AE139" s="36"/>
      <c r="AF139" s="36"/>
      <c r="AG139" s="36"/>
      <c r="AH139" s="19"/>
    </row>
    <row r="140" spans="1:34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132" t="s">
        <v>621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1">
        <v>0</v>
      </c>
      <c r="T140" s="449"/>
      <c r="U140" s="67">
        <v>0</v>
      </c>
      <c r="V140" s="163">
        <v>0</v>
      </c>
      <c r="W140" s="166">
        <v>0</v>
      </c>
      <c r="X140" s="61"/>
      <c r="Z140" s="67"/>
      <c r="AA140" s="451"/>
      <c r="AB140" s="452"/>
      <c r="AE140" s="36"/>
      <c r="AF140" s="36"/>
      <c r="AG140" s="36"/>
      <c r="AH140" s="19"/>
    </row>
    <row r="141" spans="1:34">
      <c r="A141" s="64" t="s">
        <v>595</v>
      </c>
      <c r="B141" s="63" t="s">
        <v>405</v>
      </c>
      <c r="C141" s="63" t="s">
        <v>406</v>
      </c>
      <c r="D141" s="134">
        <v>1182.8600000000001</v>
      </c>
      <c r="E141" s="67">
        <v>178139</v>
      </c>
      <c r="F141" s="146">
        <v>0</v>
      </c>
      <c r="G141" s="146">
        <v>0</v>
      </c>
      <c r="H141" s="91">
        <v>178139</v>
      </c>
      <c r="I141" s="67">
        <v>0</v>
      </c>
      <c r="J141" s="739">
        <v>178139</v>
      </c>
      <c r="K141" s="132" t="s">
        <v>621</v>
      </c>
      <c r="L141" s="740">
        <v>0</v>
      </c>
      <c r="M141" s="741">
        <v>1182.8600000000001</v>
      </c>
      <c r="N141" s="67">
        <v>0</v>
      </c>
      <c r="O141" s="67">
        <v>178139</v>
      </c>
      <c r="Q141" s="674">
        <v>0</v>
      </c>
      <c r="R141" s="674">
        <v>178139</v>
      </c>
      <c r="S141" s="71">
        <v>150.60024009603839</v>
      </c>
      <c r="T141" s="449"/>
      <c r="U141" s="67">
        <v>123642</v>
      </c>
      <c r="V141" s="163">
        <v>54497</v>
      </c>
      <c r="W141" s="166">
        <v>0.44076446514938289</v>
      </c>
      <c r="X141" s="61"/>
      <c r="Z141" s="67"/>
      <c r="AA141" s="451"/>
      <c r="AB141" s="452"/>
      <c r="AE141" s="36"/>
      <c r="AF141" s="36"/>
      <c r="AG141" s="36"/>
      <c r="AH141" s="19"/>
    </row>
    <row r="142" spans="1:34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132" t="s">
        <v>621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>
        <v>0</v>
      </c>
      <c r="S142" s="71">
        <v>0</v>
      </c>
      <c r="T142" s="449"/>
      <c r="U142" s="67">
        <v>0</v>
      </c>
      <c r="V142" s="163">
        <v>0</v>
      </c>
      <c r="W142" s="166">
        <v>0</v>
      </c>
      <c r="X142" s="61"/>
      <c r="Z142" s="67"/>
      <c r="AA142" s="451"/>
      <c r="AB142" s="452"/>
      <c r="AE142" s="36"/>
      <c r="AF142" s="36"/>
      <c r="AG142" s="36"/>
      <c r="AH142" s="19"/>
    </row>
    <row r="143" spans="1:34">
      <c r="A143" s="64" t="s">
        <v>603</v>
      </c>
      <c r="B143" s="63" t="s">
        <v>432</v>
      </c>
      <c r="C143" s="63" t="s">
        <v>433</v>
      </c>
      <c r="D143" s="134">
        <v>275.14</v>
      </c>
      <c r="E143" s="67">
        <v>41436</v>
      </c>
      <c r="F143" s="146">
        <v>0</v>
      </c>
      <c r="G143" s="146">
        <v>0</v>
      </c>
      <c r="H143" s="91">
        <v>41436</v>
      </c>
      <c r="I143" s="67">
        <v>0</v>
      </c>
      <c r="J143" s="739">
        <v>41436</v>
      </c>
      <c r="K143" s="132" t="s">
        <v>621</v>
      </c>
      <c r="L143" s="740">
        <v>0</v>
      </c>
      <c r="M143" s="741">
        <v>275.14</v>
      </c>
      <c r="N143" s="67">
        <v>0</v>
      </c>
      <c r="O143" s="67">
        <v>41436</v>
      </c>
      <c r="Q143" s="674">
        <v>0</v>
      </c>
      <c r="R143" s="674">
        <v>41436</v>
      </c>
      <c r="S143" s="71">
        <v>150.59969470087955</v>
      </c>
      <c r="T143" s="449"/>
      <c r="U143" s="67">
        <v>40099</v>
      </c>
      <c r="V143" s="163">
        <v>1337</v>
      </c>
      <c r="W143" s="166">
        <v>3.3342477368512931E-2</v>
      </c>
      <c r="X143" s="61"/>
      <c r="Z143" s="67"/>
      <c r="AA143" s="451"/>
      <c r="AB143" s="452"/>
      <c r="AE143" s="36"/>
      <c r="AF143" s="36"/>
      <c r="AG143" s="36"/>
      <c r="AH143" s="19"/>
    </row>
    <row r="144" spans="1:34">
      <c r="A144" s="64" t="s">
        <v>603</v>
      </c>
      <c r="B144" s="63" t="s">
        <v>430</v>
      </c>
      <c r="C144" s="63" t="s">
        <v>431</v>
      </c>
      <c r="D144" s="134">
        <v>7.43</v>
      </c>
      <c r="E144" s="67">
        <v>1119</v>
      </c>
      <c r="F144" s="146">
        <v>0</v>
      </c>
      <c r="G144" s="146">
        <v>0</v>
      </c>
      <c r="H144" s="91">
        <v>1119</v>
      </c>
      <c r="I144" s="67">
        <v>0</v>
      </c>
      <c r="J144" s="739">
        <v>1119</v>
      </c>
      <c r="K144" s="132" t="s">
        <v>621</v>
      </c>
      <c r="L144" s="740">
        <v>0</v>
      </c>
      <c r="M144" s="741">
        <v>7.43</v>
      </c>
      <c r="N144" s="67">
        <v>0</v>
      </c>
      <c r="O144" s="67">
        <v>1119</v>
      </c>
      <c r="Q144" s="674">
        <v>0</v>
      </c>
      <c r="R144" s="674">
        <v>1119</v>
      </c>
      <c r="S144" s="71">
        <v>150.60565275908479</v>
      </c>
      <c r="T144" s="449"/>
      <c r="U144" s="67">
        <v>0</v>
      </c>
      <c r="V144" s="163">
        <v>1119</v>
      </c>
      <c r="W144" s="166">
        <v>0</v>
      </c>
      <c r="X144" s="61"/>
      <c r="Z144" s="67"/>
      <c r="AA144" s="451"/>
      <c r="AB144" s="452"/>
      <c r="AE144" s="36"/>
      <c r="AF144" s="36"/>
      <c r="AG144" s="36"/>
      <c r="AH144" s="19"/>
    </row>
    <row r="145" spans="1:34">
      <c r="A145" s="64" t="s">
        <v>597</v>
      </c>
      <c r="B145" s="63" t="s">
        <v>179</v>
      </c>
      <c r="C145" s="63" t="s">
        <v>180</v>
      </c>
      <c r="D145" s="134">
        <v>83.29</v>
      </c>
      <c r="E145" s="88">
        <v>12543</v>
      </c>
      <c r="F145" s="146">
        <v>0</v>
      </c>
      <c r="G145" s="146">
        <v>0</v>
      </c>
      <c r="H145" s="91">
        <v>12543</v>
      </c>
      <c r="I145" s="67">
        <v>0</v>
      </c>
      <c r="J145" s="739">
        <v>12543</v>
      </c>
      <c r="K145" s="132" t="s">
        <v>621</v>
      </c>
      <c r="L145" s="740">
        <v>0</v>
      </c>
      <c r="M145" s="741">
        <v>83.29</v>
      </c>
      <c r="N145" s="67">
        <v>0</v>
      </c>
      <c r="O145" s="67">
        <v>12543</v>
      </c>
      <c r="Q145" s="674">
        <v>0</v>
      </c>
      <c r="R145" s="674">
        <v>12543</v>
      </c>
      <c r="S145" s="71">
        <v>150.59430904070115</v>
      </c>
      <c r="T145" s="449"/>
      <c r="U145" s="67">
        <v>16456</v>
      </c>
      <c r="V145" s="163">
        <v>-3913</v>
      </c>
      <c r="W145" s="166">
        <v>-0.23778561011181332</v>
      </c>
      <c r="X145" s="61"/>
      <c r="Z145" s="67"/>
      <c r="AA145" s="451"/>
      <c r="AB145" s="452"/>
      <c r="AE145" s="36"/>
      <c r="AF145" s="36"/>
      <c r="AG145" s="36"/>
      <c r="AH145" s="19"/>
    </row>
    <row r="146" spans="1:34">
      <c r="A146" s="64" t="s">
        <v>595</v>
      </c>
      <c r="B146" s="63" t="s">
        <v>512</v>
      </c>
      <c r="C146" s="63" t="s">
        <v>513</v>
      </c>
      <c r="D146" s="134">
        <v>104.71</v>
      </c>
      <c r="E146" s="67">
        <v>15769</v>
      </c>
      <c r="F146" s="146">
        <v>0</v>
      </c>
      <c r="G146" s="146">
        <v>0</v>
      </c>
      <c r="H146" s="91">
        <v>15769</v>
      </c>
      <c r="I146" s="67">
        <v>0</v>
      </c>
      <c r="J146" s="739">
        <v>15769</v>
      </c>
      <c r="K146" s="132" t="s">
        <v>621</v>
      </c>
      <c r="L146" s="740">
        <v>0</v>
      </c>
      <c r="M146" s="741">
        <v>104.71</v>
      </c>
      <c r="N146" s="67">
        <v>0</v>
      </c>
      <c r="O146" s="67">
        <v>15769</v>
      </c>
      <c r="Q146" s="674">
        <v>0</v>
      </c>
      <c r="R146" s="674">
        <v>15769</v>
      </c>
      <c r="S146" s="71">
        <v>150.59688663928947</v>
      </c>
      <c r="T146" s="449"/>
      <c r="U146" s="67">
        <v>18075</v>
      </c>
      <c r="V146" s="163">
        <v>-2306</v>
      </c>
      <c r="W146" s="166">
        <v>-0.1275795297372061</v>
      </c>
      <c r="X146" s="61"/>
      <c r="Z146" s="67"/>
      <c r="AA146" s="451"/>
      <c r="AB146" s="452"/>
      <c r="AE146" s="36"/>
      <c r="AF146" s="36"/>
      <c r="AG146" s="36"/>
      <c r="AH146" s="19"/>
    </row>
    <row r="147" spans="1:34">
      <c r="A147" s="64" t="s">
        <v>601</v>
      </c>
      <c r="B147" s="63" t="s">
        <v>319</v>
      </c>
      <c r="C147" s="63" t="s">
        <v>320</v>
      </c>
      <c r="D147" s="134">
        <v>5.29</v>
      </c>
      <c r="E147" s="67">
        <v>797</v>
      </c>
      <c r="F147" s="146">
        <v>0</v>
      </c>
      <c r="G147" s="146">
        <v>0</v>
      </c>
      <c r="H147" s="91">
        <v>797</v>
      </c>
      <c r="I147" s="67">
        <v>0</v>
      </c>
      <c r="J147" s="739">
        <v>797</v>
      </c>
      <c r="K147" s="132" t="s">
        <v>621</v>
      </c>
      <c r="L147" s="740">
        <v>0</v>
      </c>
      <c r="M147" s="741">
        <v>5.29</v>
      </c>
      <c r="N147" s="67">
        <v>0</v>
      </c>
      <c r="O147" s="67">
        <v>797</v>
      </c>
      <c r="Q147" s="674">
        <v>0</v>
      </c>
      <c r="R147" s="674">
        <v>797</v>
      </c>
      <c r="S147" s="71">
        <v>150.66162570888469</v>
      </c>
      <c r="T147" s="449"/>
      <c r="U147" s="67">
        <v>0</v>
      </c>
      <c r="V147" s="163">
        <v>797</v>
      </c>
      <c r="W147" s="166">
        <v>0</v>
      </c>
      <c r="X147" s="61"/>
      <c r="Z147" s="67"/>
      <c r="AA147" s="451"/>
      <c r="AB147" s="452"/>
      <c r="AE147" s="36"/>
      <c r="AF147" s="36"/>
      <c r="AG147" s="36"/>
      <c r="AH147" s="19"/>
    </row>
    <row r="148" spans="1:34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132" t="s">
        <v>621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>
        <v>0</v>
      </c>
      <c r="S148" s="71">
        <v>0</v>
      </c>
      <c r="T148" s="449"/>
      <c r="U148" s="67">
        <v>0</v>
      </c>
      <c r="V148" s="163">
        <v>0</v>
      </c>
      <c r="W148" s="166">
        <v>0</v>
      </c>
      <c r="X148" s="61"/>
      <c r="Z148" s="67"/>
      <c r="AA148" s="451"/>
      <c r="AB148" s="452"/>
      <c r="AE148" s="36"/>
      <c r="AF148" s="36"/>
      <c r="AG148" s="36"/>
      <c r="AH148" s="19"/>
    </row>
    <row r="149" spans="1:34">
      <c r="A149" s="64" t="s">
        <v>595</v>
      </c>
      <c r="B149" s="63" t="s">
        <v>409</v>
      </c>
      <c r="C149" s="63" t="s">
        <v>410</v>
      </c>
      <c r="D149" s="134">
        <v>544.42999999999995</v>
      </c>
      <c r="E149" s="67">
        <v>81991</v>
      </c>
      <c r="F149" s="146">
        <v>0</v>
      </c>
      <c r="G149" s="146">
        <v>0</v>
      </c>
      <c r="H149" s="91">
        <v>81991</v>
      </c>
      <c r="I149" s="67">
        <v>0</v>
      </c>
      <c r="J149" s="739">
        <v>81991</v>
      </c>
      <c r="K149" s="132" t="s">
        <v>621</v>
      </c>
      <c r="L149" s="740">
        <v>0</v>
      </c>
      <c r="M149" s="741">
        <v>544.42999999999995</v>
      </c>
      <c r="N149" s="67">
        <v>0</v>
      </c>
      <c r="O149" s="67">
        <v>81991</v>
      </c>
      <c r="Q149" s="674">
        <v>0</v>
      </c>
      <c r="R149" s="674">
        <v>81991</v>
      </c>
      <c r="S149" s="71">
        <v>150.59970978821889</v>
      </c>
      <c r="T149" s="449"/>
      <c r="U149" s="67">
        <v>81324</v>
      </c>
      <c r="V149" s="163">
        <v>667</v>
      </c>
      <c r="W149" s="166">
        <v>8.201760857803355E-3</v>
      </c>
      <c r="X149" s="61"/>
      <c r="Z149" s="67"/>
      <c r="AA149" s="451"/>
      <c r="AB149" s="452"/>
      <c r="AE149" s="36"/>
      <c r="AF149" s="36"/>
      <c r="AG149" s="36"/>
      <c r="AH149" s="19"/>
    </row>
    <row r="150" spans="1:34">
      <c r="A150" s="64" t="s">
        <v>594</v>
      </c>
      <c r="B150" s="63" t="s">
        <v>139</v>
      </c>
      <c r="C150" s="63" t="s">
        <v>140</v>
      </c>
      <c r="D150" s="134">
        <v>17.71</v>
      </c>
      <c r="E150" s="67">
        <v>2667</v>
      </c>
      <c r="F150" s="146">
        <v>0</v>
      </c>
      <c r="G150" s="146">
        <v>0</v>
      </c>
      <c r="H150" s="91">
        <v>2667</v>
      </c>
      <c r="I150" s="67">
        <v>0</v>
      </c>
      <c r="J150" s="739">
        <v>2667</v>
      </c>
      <c r="K150" s="132" t="s">
        <v>621</v>
      </c>
      <c r="L150" s="740">
        <v>0</v>
      </c>
      <c r="M150" s="741">
        <v>17.71</v>
      </c>
      <c r="N150" s="67">
        <v>0</v>
      </c>
      <c r="O150" s="67">
        <v>2667</v>
      </c>
      <c r="Q150" s="674">
        <v>0</v>
      </c>
      <c r="R150" s="674">
        <v>2667</v>
      </c>
      <c r="S150" s="71">
        <v>150.59288537549406</v>
      </c>
      <c r="T150" s="449"/>
      <c r="U150" s="67">
        <v>0</v>
      </c>
      <c r="V150" s="163">
        <v>2667</v>
      </c>
      <c r="W150" s="166">
        <v>0</v>
      </c>
      <c r="X150" s="61"/>
      <c r="Z150" s="67"/>
      <c r="AA150" s="451"/>
      <c r="AB150" s="452"/>
      <c r="AE150" s="36"/>
      <c r="AF150" s="36"/>
      <c r="AG150" s="36"/>
      <c r="AH150" s="19"/>
    </row>
    <row r="151" spans="1:34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621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1">
        <v>0</v>
      </c>
      <c r="T151" s="449"/>
      <c r="U151" s="67">
        <v>0</v>
      </c>
      <c r="V151" s="163">
        <v>0</v>
      </c>
      <c r="W151" s="166">
        <v>0</v>
      </c>
      <c r="X151" s="61"/>
      <c r="Z151" s="67"/>
      <c r="AA151" s="451"/>
      <c r="AB151" s="452"/>
      <c r="AE151" s="36"/>
      <c r="AF151" s="36"/>
      <c r="AG151" s="36"/>
      <c r="AH151" s="19"/>
    </row>
    <row r="152" spans="1:34">
      <c r="A152" s="64" t="s">
        <v>601</v>
      </c>
      <c r="B152" s="63" t="s">
        <v>125</v>
      </c>
      <c r="C152" s="63" t="s">
        <v>126</v>
      </c>
      <c r="D152" s="134">
        <v>818.43</v>
      </c>
      <c r="E152" s="67">
        <v>123256</v>
      </c>
      <c r="F152" s="146">
        <v>0</v>
      </c>
      <c r="G152" s="146">
        <v>0</v>
      </c>
      <c r="H152" s="91">
        <v>123256</v>
      </c>
      <c r="I152" s="67">
        <v>0</v>
      </c>
      <c r="J152" s="739">
        <v>123256</v>
      </c>
      <c r="K152" s="132" t="s">
        <v>621</v>
      </c>
      <c r="L152" s="740">
        <v>0</v>
      </c>
      <c r="M152" s="741">
        <v>818.43</v>
      </c>
      <c r="N152" s="67">
        <v>0</v>
      </c>
      <c r="O152" s="67">
        <v>123256</v>
      </c>
      <c r="Q152" s="674">
        <v>0</v>
      </c>
      <c r="R152" s="674">
        <v>123256</v>
      </c>
      <c r="S152" s="71">
        <v>150.6005400584045</v>
      </c>
      <c r="T152" s="449"/>
      <c r="U152" s="67">
        <v>117210</v>
      </c>
      <c r="V152" s="163">
        <v>6046</v>
      </c>
      <c r="W152" s="166">
        <v>5.1582629468475388E-2</v>
      </c>
      <c r="X152" s="61"/>
      <c r="Z152" s="67"/>
      <c r="AA152" s="451"/>
      <c r="AB152" s="452"/>
      <c r="AE152" s="36"/>
      <c r="AF152" s="36"/>
      <c r="AG152" s="36"/>
      <c r="AH152" s="19"/>
    </row>
    <row r="153" spans="1:34">
      <c r="A153" s="64" t="s">
        <v>594</v>
      </c>
      <c r="B153" s="63" t="s">
        <v>258</v>
      </c>
      <c r="C153" s="63" t="s">
        <v>259</v>
      </c>
      <c r="D153" s="134">
        <v>60.57</v>
      </c>
      <c r="E153" s="67">
        <v>9122</v>
      </c>
      <c r="F153" s="146">
        <v>0</v>
      </c>
      <c r="G153" s="146">
        <v>0</v>
      </c>
      <c r="H153" s="91">
        <v>9122</v>
      </c>
      <c r="I153" s="67">
        <v>0</v>
      </c>
      <c r="J153" s="739">
        <v>9122</v>
      </c>
      <c r="K153" s="132" t="s">
        <v>621</v>
      </c>
      <c r="L153" s="740">
        <v>0</v>
      </c>
      <c r="M153" s="741">
        <v>60.57</v>
      </c>
      <c r="N153" s="67">
        <v>0</v>
      </c>
      <c r="O153" s="67">
        <v>9122</v>
      </c>
      <c r="Q153" s="674">
        <v>0</v>
      </c>
      <c r="R153" s="674">
        <v>9122</v>
      </c>
      <c r="S153" s="71">
        <v>150.6026085520885</v>
      </c>
      <c r="T153" s="449"/>
      <c r="U153" s="67">
        <v>9103</v>
      </c>
      <c r="V153" s="163">
        <v>19</v>
      </c>
      <c r="W153" s="166">
        <v>2.0872239920905196E-3</v>
      </c>
      <c r="X153" s="61"/>
      <c r="Z153" s="67"/>
      <c r="AA153" s="451"/>
      <c r="AB153" s="452"/>
      <c r="AE153" s="36"/>
      <c r="AF153" s="36"/>
      <c r="AG153" s="36"/>
      <c r="AH153" s="19"/>
    </row>
    <row r="154" spans="1:34">
      <c r="A154" s="64" t="s">
        <v>605</v>
      </c>
      <c r="B154" s="63" t="s">
        <v>571</v>
      </c>
      <c r="C154" s="63" t="s">
        <v>572</v>
      </c>
      <c r="D154" s="134">
        <v>291.43</v>
      </c>
      <c r="E154" s="67">
        <v>43889</v>
      </c>
      <c r="F154" s="146">
        <v>0</v>
      </c>
      <c r="G154" s="146">
        <v>0</v>
      </c>
      <c r="H154" s="91">
        <v>43889</v>
      </c>
      <c r="I154" s="67">
        <v>0</v>
      </c>
      <c r="J154" s="739">
        <v>43889</v>
      </c>
      <c r="K154" s="132" t="s">
        <v>621</v>
      </c>
      <c r="L154" s="740">
        <v>0</v>
      </c>
      <c r="M154" s="741">
        <v>291.43</v>
      </c>
      <c r="N154" s="67">
        <v>0</v>
      </c>
      <c r="O154" s="67">
        <v>43889</v>
      </c>
      <c r="Q154" s="674">
        <v>0</v>
      </c>
      <c r="R154" s="674">
        <v>43889</v>
      </c>
      <c r="S154" s="71">
        <v>150.59877157464913</v>
      </c>
      <c r="T154" s="449"/>
      <c r="U154" s="67">
        <v>50686</v>
      </c>
      <c r="V154" s="163">
        <v>-6797</v>
      </c>
      <c r="W154" s="166">
        <v>-0.13410014599692222</v>
      </c>
      <c r="X154" s="61"/>
      <c r="Z154" s="67"/>
      <c r="AA154" s="451"/>
      <c r="AB154" s="452"/>
      <c r="AE154" s="36"/>
      <c r="AF154" s="36"/>
      <c r="AG154" s="36"/>
      <c r="AH154" s="19"/>
    </row>
    <row r="155" spans="1:34">
      <c r="A155" s="64" t="s">
        <v>595</v>
      </c>
      <c r="B155" s="63" t="s">
        <v>516</v>
      </c>
      <c r="C155" s="63" t="s">
        <v>517</v>
      </c>
      <c r="D155" s="134">
        <v>94.14</v>
      </c>
      <c r="E155" s="67">
        <v>14177</v>
      </c>
      <c r="F155" s="146">
        <v>0</v>
      </c>
      <c r="G155" s="146">
        <v>0</v>
      </c>
      <c r="H155" s="91">
        <v>14177</v>
      </c>
      <c r="I155" s="67">
        <v>0</v>
      </c>
      <c r="J155" s="739">
        <v>14177</v>
      </c>
      <c r="K155" s="132" t="s">
        <v>621</v>
      </c>
      <c r="L155" s="740">
        <v>0</v>
      </c>
      <c r="M155" s="741">
        <v>94.14</v>
      </c>
      <c r="N155" s="67">
        <v>0</v>
      </c>
      <c r="O155" s="67">
        <v>14177</v>
      </c>
      <c r="Q155" s="674">
        <v>0</v>
      </c>
      <c r="R155" s="674">
        <v>14177</v>
      </c>
      <c r="S155" s="71">
        <v>150.59485872105375</v>
      </c>
      <c r="T155" s="449"/>
      <c r="U155" s="67">
        <v>17059</v>
      </c>
      <c r="V155" s="163">
        <v>-2882</v>
      </c>
      <c r="W155" s="166">
        <v>-0.16894307989917345</v>
      </c>
      <c r="X155" s="61"/>
      <c r="Z155" s="67"/>
      <c r="AA155" s="451"/>
      <c r="AB155" s="452"/>
      <c r="AE155" s="36"/>
      <c r="AF155" s="36"/>
      <c r="AG155" s="36"/>
      <c r="AH155" s="19"/>
    </row>
    <row r="156" spans="1:34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621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>
        <v>0</v>
      </c>
      <c r="S156" s="71">
        <v>0</v>
      </c>
      <c r="T156" s="449"/>
      <c r="U156" s="67">
        <v>0</v>
      </c>
      <c r="V156" s="163">
        <v>0</v>
      </c>
      <c r="W156" s="166">
        <v>0</v>
      </c>
      <c r="X156" s="61"/>
      <c r="Z156" s="67"/>
      <c r="AA156" s="451"/>
      <c r="AB156" s="452"/>
      <c r="AE156" s="36"/>
      <c r="AF156" s="36"/>
      <c r="AG156" s="36"/>
      <c r="AH156" s="19"/>
    </row>
    <row r="157" spans="1:34">
      <c r="A157" s="64" t="s">
        <v>595</v>
      </c>
      <c r="B157" s="63" t="s">
        <v>386</v>
      </c>
      <c r="C157" s="63" t="s">
        <v>610</v>
      </c>
      <c r="D157" s="134">
        <v>1590.57</v>
      </c>
      <c r="E157" s="67">
        <v>239540</v>
      </c>
      <c r="F157" s="146">
        <v>0</v>
      </c>
      <c r="G157" s="146">
        <v>0</v>
      </c>
      <c r="H157" s="91">
        <v>239540</v>
      </c>
      <c r="I157" s="67">
        <v>0</v>
      </c>
      <c r="J157" s="739">
        <v>239540</v>
      </c>
      <c r="K157" s="132" t="s">
        <v>621</v>
      </c>
      <c r="L157" s="740">
        <v>0</v>
      </c>
      <c r="M157" s="741">
        <v>1590.57</v>
      </c>
      <c r="N157" s="67">
        <v>0</v>
      </c>
      <c r="O157" s="67">
        <v>239540</v>
      </c>
      <c r="Q157" s="674">
        <v>0</v>
      </c>
      <c r="R157" s="674">
        <v>239540</v>
      </c>
      <c r="S157" s="71">
        <v>150.60009933545837</v>
      </c>
      <c r="T157" s="449"/>
      <c r="U157" s="67">
        <v>259267</v>
      </c>
      <c r="V157" s="163">
        <v>-19727</v>
      </c>
      <c r="W157" s="166">
        <v>-7.6087585384950654E-2</v>
      </c>
      <c r="X157" s="61"/>
      <c r="Z157" s="67"/>
      <c r="AA157" s="451"/>
      <c r="AB157" s="452"/>
      <c r="AE157" s="36"/>
      <c r="AF157" s="36"/>
      <c r="AG157" s="36"/>
      <c r="AH157" s="19"/>
    </row>
    <row r="158" spans="1:34">
      <c r="A158" s="64" t="s">
        <v>595</v>
      </c>
      <c r="B158" s="63" t="s">
        <v>399</v>
      </c>
      <c r="C158" s="63" t="s">
        <v>400</v>
      </c>
      <c r="D158" s="134">
        <v>2584.14</v>
      </c>
      <c r="E158" s="67">
        <v>389172</v>
      </c>
      <c r="F158" s="146">
        <v>0</v>
      </c>
      <c r="G158" s="146">
        <v>0</v>
      </c>
      <c r="H158" s="91">
        <v>389172</v>
      </c>
      <c r="I158" s="67">
        <v>0</v>
      </c>
      <c r="J158" s="739">
        <v>389172</v>
      </c>
      <c r="K158" s="132" t="s">
        <v>621</v>
      </c>
      <c r="L158" s="740">
        <v>0</v>
      </c>
      <c r="M158" s="741">
        <v>2584.14</v>
      </c>
      <c r="N158" s="67">
        <v>0</v>
      </c>
      <c r="O158" s="67">
        <v>389172</v>
      </c>
      <c r="Q158" s="674">
        <v>0</v>
      </c>
      <c r="R158" s="674">
        <v>389172</v>
      </c>
      <c r="S158" s="71">
        <v>150.60019967958394</v>
      </c>
      <c r="T158" s="449"/>
      <c r="U158" s="67">
        <v>411272</v>
      </c>
      <c r="V158" s="163">
        <v>-22100</v>
      </c>
      <c r="W158" s="166">
        <v>-5.3735727207298335E-2</v>
      </c>
      <c r="X158" s="61"/>
      <c r="Z158" s="67"/>
      <c r="AA158" s="451"/>
      <c r="AB158" s="452"/>
      <c r="AE158" s="36"/>
      <c r="AF158" s="36"/>
      <c r="AG158" s="36"/>
      <c r="AH158" s="19"/>
    </row>
    <row r="159" spans="1:34">
      <c r="A159" s="64" t="s">
        <v>605</v>
      </c>
      <c r="B159" s="63" t="s">
        <v>545</v>
      </c>
      <c r="C159" s="63" t="s">
        <v>546</v>
      </c>
      <c r="D159" s="134">
        <v>77</v>
      </c>
      <c r="E159" s="67">
        <v>11596</v>
      </c>
      <c r="F159" s="146">
        <v>0</v>
      </c>
      <c r="G159" s="146">
        <v>0</v>
      </c>
      <c r="H159" s="91">
        <v>11596</v>
      </c>
      <c r="I159" s="67">
        <v>0</v>
      </c>
      <c r="J159" s="739">
        <v>11596</v>
      </c>
      <c r="K159" s="132" t="s">
        <v>621</v>
      </c>
      <c r="L159" s="740">
        <v>0</v>
      </c>
      <c r="M159" s="741">
        <v>77</v>
      </c>
      <c r="N159" s="67">
        <v>0</v>
      </c>
      <c r="O159" s="67">
        <v>11596</v>
      </c>
      <c r="Q159" s="674">
        <v>0</v>
      </c>
      <c r="R159" s="674">
        <v>11596</v>
      </c>
      <c r="S159" s="71">
        <v>150.59740259740261</v>
      </c>
      <c r="T159" s="449"/>
      <c r="U159" s="67">
        <v>10947</v>
      </c>
      <c r="V159" s="163">
        <v>649</v>
      </c>
      <c r="W159" s="166">
        <v>5.9285649036265646E-2</v>
      </c>
      <c r="X159" s="61"/>
      <c r="Z159" s="67"/>
      <c r="AA159" s="451"/>
      <c r="AB159" s="452"/>
      <c r="AE159" s="36"/>
      <c r="AF159" s="36"/>
      <c r="AG159" s="36"/>
      <c r="AH159" s="19"/>
    </row>
    <row r="160" spans="1:34">
      <c r="A160" s="64" t="s">
        <v>594</v>
      </c>
      <c r="B160" s="63" t="s">
        <v>252</v>
      </c>
      <c r="C160" s="63" t="s">
        <v>253</v>
      </c>
      <c r="D160" s="134">
        <v>18.29</v>
      </c>
      <c r="E160" s="67">
        <v>2754</v>
      </c>
      <c r="F160" s="146">
        <v>0</v>
      </c>
      <c r="G160" s="146">
        <v>0</v>
      </c>
      <c r="H160" s="91">
        <v>2754</v>
      </c>
      <c r="I160" s="67">
        <v>0</v>
      </c>
      <c r="J160" s="739">
        <v>2754</v>
      </c>
      <c r="K160" s="132" t="s">
        <v>621</v>
      </c>
      <c r="L160" s="740">
        <v>0</v>
      </c>
      <c r="M160" s="741">
        <v>18.29</v>
      </c>
      <c r="N160" s="67">
        <v>0</v>
      </c>
      <c r="O160" s="67">
        <v>2754</v>
      </c>
      <c r="Q160" s="674">
        <v>0</v>
      </c>
      <c r="R160" s="674">
        <v>2754</v>
      </c>
      <c r="S160" s="71">
        <v>150.57408419901586</v>
      </c>
      <c r="T160" s="449"/>
      <c r="U160" s="67">
        <v>0</v>
      </c>
      <c r="V160" s="163">
        <v>2754</v>
      </c>
      <c r="W160" s="166">
        <v>0</v>
      </c>
      <c r="X160" s="61"/>
      <c r="Z160" s="67"/>
      <c r="AA160" s="451"/>
      <c r="AB160" s="452"/>
      <c r="AE160" s="36"/>
      <c r="AF160" s="36"/>
      <c r="AG160" s="36"/>
      <c r="AH160" s="19"/>
    </row>
    <row r="161" spans="1:34">
      <c r="A161" s="64" t="s">
        <v>599</v>
      </c>
      <c r="B161" s="63" t="s">
        <v>331</v>
      </c>
      <c r="C161" s="63" t="s">
        <v>611</v>
      </c>
      <c r="D161" s="134">
        <v>11</v>
      </c>
      <c r="E161" s="67">
        <v>1657</v>
      </c>
      <c r="F161" s="146">
        <v>0</v>
      </c>
      <c r="G161" s="146">
        <v>0</v>
      </c>
      <c r="H161" s="91">
        <v>1657</v>
      </c>
      <c r="I161" s="67">
        <v>0</v>
      </c>
      <c r="J161" s="739">
        <v>1657</v>
      </c>
      <c r="K161" s="132" t="s">
        <v>621</v>
      </c>
      <c r="L161" s="740">
        <v>0</v>
      </c>
      <c r="M161" s="741">
        <v>11</v>
      </c>
      <c r="N161" s="67">
        <v>0</v>
      </c>
      <c r="O161" s="67">
        <v>1657</v>
      </c>
      <c r="Q161" s="674">
        <v>0</v>
      </c>
      <c r="R161" s="674">
        <v>1657</v>
      </c>
      <c r="S161" s="71">
        <v>150.63636363636363</v>
      </c>
      <c r="T161" s="449"/>
      <c r="U161" s="67">
        <v>0</v>
      </c>
      <c r="V161" s="163">
        <v>1657</v>
      </c>
      <c r="W161" s="166">
        <v>0</v>
      </c>
      <c r="X161" s="61"/>
      <c r="Z161" s="67"/>
      <c r="AA161" s="451"/>
      <c r="AB161" s="452"/>
      <c r="AE161" s="36"/>
      <c r="AF161" s="36"/>
      <c r="AG161" s="36"/>
      <c r="AH161" s="19"/>
    </row>
    <row r="162" spans="1:34">
      <c r="A162" s="64" t="s">
        <v>601</v>
      </c>
      <c r="B162" s="63" t="s">
        <v>309</v>
      </c>
      <c r="C162" s="63" t="s">
        <v>310</v>
      </c>
      <c r="D162" s="134">
        <v>80</v>
      </c>
      <c r="E162" s="67">
        <v>12048</v>
      </c>
      <c r="F162" s="146">
        <v>0</v>
      </c>
      <c r="G162" s="146">
        <v>0</v>
      </c>
      <c r="H162" s="91">
        <v>12048</v>
      </c>
      <c r="I162" s="67">
        <v>0</v>
      </c>
      <c r="J162" s="739">
        <v>12048</v>
      </c>
      <c r="K162" s="132" t="s">
        <v>621</v>
      </c>
      <c r="L162" s="740">
        <v>0</v>
      </c>
      <c r="M162" s="741">
        <v>80</v>
      </c>
      <c r="N162" s="67">
        <v>0</v>
      </c>
      <c r="O162" s="67">
        <v>12048</v>
      </c>
      <c r="P162" s="674">
        <v>0.88</v>
      </c>
      <c r="Q162" s="674">
        <v>241</v>
      </c>
      <c r="R162" s="674">
        <v>11807</v>
      </c>
      <c r="S162" s="71">
        <v>150.6</v>
      </c>
      <c r="T162" s="449"/>
      <c r="U162" s="67">
        <v>14726</v>
      </c>
      <c r="V162" s="163">
        <v>-2678</v>
      </c>
      <c r="W162" s="166">
        <v>-0.18185522205622709</v>
      </c>
      <c r="X162" s="61"/>
      <c r="Z162" s="67"/>
      <c r="AA162" s="451"/>
      <c r="AB162" s="452"/>
      <c r="AE162" s="36"/>
      <c r="AF162" s="36"/>
      <c r="AG162" s="36"/>
      <c r="AH162" s="19"/>
    </row>
    <row r="163" spans="1:34">
      <c r="A163" s="64" t="s">
        <v>603</v>
      </c>
      <c r="B163" s="63" t="s">
        <v>336</v>
      </c>
      <c r="C163" s="63" t="s">
        <v>337</v>
      </c>
      <c r="D163" s="134">
        <v>0.14000000000000001</v>
      </c>
      <c r="E163" s="67">
        <v>21</v>
      </c>
      <c r="F163" s="146">
        <v>0</v>
      </c>
      <c r="G163" s="146">
        <v>0</v>
      </c>
      <c r="H163" s="91">
        <v>21</v>
      </c>
      <c r="I163" s="67">
        <v>0</v>
      </c>
      <c r="J163" s="739">
        <v>21</v>
      </c>
      <c r="K163" s="132" t="s">
        <v>621</v>
      </c>
      <c r="L163" s="740">
        <v>0</v>
      </c>
      <c r="M163" s="741">
        <v>0.14000000000000001</v>
      </c>
      <c r="N163" s="67">
        <v>0</v>
      </c>
      <c r="O163" s="67">
        <v>21</v>
      </c>
      <c r="Q163" s="674">
        <v>0</v>
      </c>
      <c r="R163" s="674">
        <v>21</v>
      </c>
      <c r="S163" s="71">
        <v>149.99999999999997</v>
      </c>
      <c r="T163" s="449"/>
      <c r="U163" s="67">
        <v>0</v>
      </c>
      <c r="V163" s="163">
        <v>21</v>
      </c>
      <c r="W163" s="166">
        <v>0</v>
      </c>
      <c r="X163" s="61"/>
      <c r="Z163" s="67"/>
      <c r="AA163" s="451"/>
      <c r="AB163" s="452"/>
      <c r="AE163" s="36"/>
      <c r="AF163" s="36"/>
      <c r="AG163" s="36"/>
      <c r="AH163" s="19"/>
    </row>
    <row r="164" spans="1:34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621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1">
        <v>0</v>
      </c>
      <c r="T164" s="449"/>
      <c r="U164" s="67">
        <v>0</v>
      </c>
      <c r="V164" s="163">
        <v>0</v>
      </c>
      <c r="W164" s="166">
        <v>0</v>
      </c>
      <c r="X164" s="61"/>
      <c r="Z164" s="67"/>
      <c r="AA164" s="451"/>
      <c r="AB164" s="452"/>
      <c r="AE164" s="36"/>
      <c r="AF164" s="36"/>
      <c r="AG164" s="36"/>
      <c r="AH164" s="19"/>
    </row>
    <row r="165" spans="1:34">
      <c r="A165" s="64" t="s">
        <v>595</v>
      </c>
      <c r="B165" s="63" t="s">
        <v>514</v>
      </c>
      <c r="C165" s="63" t="s">
        <v>515</v>
      </c>
      <c r="D165" s="134">
        <v>209.29</v>
      </c>
      <c r="E165" s="67">
        <v>31519</v>
      </c>
      <c r="F165" s="146">
        <v>0</v>
      </c>
      <c r="G165" s="146">
        <v>0</v>
      </c>
      <c r="H165" s="91">
        <v>31519</v>
      </c>
      <c r="I165" s="67">
        <v>0</v>
      </c>
      <c r="J165" s="739">
        <v>31519</v>
      </c>
      <c r="K165" s="132" t="s">
        <v>621</v>
      </c>
      <c r="L165" s="740">
        <v>0</v>
      </c>
      <c r="M165" s="741">
        <v>209.29</v>
      </c>
      <c r="N165" s="67">
        <v>0</v>
      </c>
      <c r="O165" s="67">
        <v>31519</v>
      </c>
      <c r="Q165" s="674">
        <v>0</v>
      </c>
      <c r="R165" s="674">
        <v>31519</v>
      </c>
      <c r="S165" s="71">
        <v>150.59964642362274</v>
      </c>
      <c r="T165" s="449"/>
      <c r="U165" s="67">
        <v>32802</v>
      </c>
      <c r="V165" s="163">
        <v>-1283</v>
      </c>
      <c r="W165" s="166">
        <v>-3.9113468690933482E-2</v>
      </c>
      <c r="X165" s="61"/>
      <c r="Z165" s="67"/>
      <c r="AA165" s="451"/>
      <c r="AB165" s="452"/>
      <c r="AE165" s="36"/>
      <c r="AF165" s="36"/>
      <c r="AG165" s="36"/>
      <c r="AH165" s="19"/>
    </row>
    <row r="166" spans="1:34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739">
        <v>0</v>
      </c>
      <c r="K166" s="132" t="s">
        <v>621</v>
      </c>
      <c r="L166" s="740">
        <v>0</v>
      </c>
      <c r="M166" s="741">
        <v>0</v>
      </c>
      <c r="N166" s="67">
        <v>0</v>
      </c>
      <c r="O166" s="67">
        <v>0</v>
      </c>
      <c r="Q166" s="674">
        <v>0</v>
      </c>
      <c r="R166" s="674">
        <v>0</v>
      </c>
      <c r="S166" s="71">
        <v>0</v>
      </c>
      <c r="T166" s="449"/>
      <c r="U166" s="67">
        <v>0</v>
      </c>
      <c r="V166" s="163">
        <v>0</v>
      </c>
      <c r="W166" s="166">
        <v>0</v>
      </c>
      <c r="X166" s="61"/>
      <c r="Z166" s="67"/>
      <c r="AA166" s="451"/>
      <c r="AB166" s="452"/>
      <c r="AE166" s="36"/>
      <c r="AF166" s="36"/>
      <c r="AG166" s="36"/>
      <c r="AH166" s="19"/>
    </row>
    <row r="167" spans="1:34">
      <c r="A167" s="64" t="s">
        <v>596</v>
      </c>
      <c r="B167" s="63" t="s">
        <v>106</v>
      </c>
      <c r="C167" s="63" t="s">
        <v>107</v>
      </c>
      <c r="D167" s="134">
        <v>715</v>
      </c>
      <c r="E167" s="67">
        <v>107679</v>
      </c>
      <c r="F167" s="146">
        <v>0</v>
      </c>
      <c r="G167" s="146">
        <v>0</v>
      </c>
      <c r="H167" s="91">
        <v>107679</v>
      </c>
      <c r="I167" s="67">
        <v>0</v>
      </c>
      <c r="J167" s="739">
        <v>107679</v>
      </c>
      <c r="K167" s="132" t="s">
        <v>621</v>
      </c>
      <c r="L167" s="740">
        <v>0</v>
      </c>
      <c r="M167" s="741">
        <v>715</v>
      </c>
      <c r="N167" s="67">
        <v>0</v>
      </c>
      <c r="O167" s="67">
        <v>107679</v>
      </c>
      <c r="Q167" s="674">
        <v>0</v>
      </c>
      <c r="R167" s="674">
        <v>107679</v>
      </c>
      <c r="S167" s="71">
        <v>150.6</v>
      </c>
      <c r="T167" s="449"/>
      <c r="U167" s="67">
        <v>122270</v>
      </c>
      <c r="V167" s="163">
        <v>-14591</v>
      </c>
      <c r="W167" s="166">
        <v>-0.11933426024372291</v>
      </c>
      <c r="X167" s="61"/>
      <c r="Z167" s="67"/>
      <c r="AA167" s="451"/>
      <c r="AB167" s="452"/>
      <c r="AE167" s="36"/>
      <c r="AF167" s="36"/>
      <c r="AG167" s="36"/>
      <c r="AH167" s="19"/>
    </row>
    <row r="168" spans="1:34">
      <c r="A168" s="64" t="s">
        <v>600</v>
      </c>
      <c r="B168" s="63" t="s">
        <v>214</v>
      </c>
      <c r="C168" s="63" t="s">
        <v>215</v>
      </c>
      <c r="D168" s="134">
        <v>178.43</v>
      </c>
      <c r="E168" s="67">
        <v>26872</v>
      </c>
      <c r="F168" s="146">
        <v>0</v>
      </c>
      <c r="G168" s="146">
        <v>0</v>
      </c>
      <c r="H168" s="91">
        <v>26872</v>
      </c>
      <c r="I168" s="67">
        <v>0</v>
      </c>
      <c r="J168" s="739">
        <v>26872</v>
      </c>
      <c r="K168" s="132" t="s">
        <v>621</v>
      </c>
      <c r="L168" s="740">
        <v>0</v>
      </c>
      <c r="M168" s="741">
        <v>178.43</v>
      </c>
      <c r="N168" s="67">
        <v>0</v>
      </c>
      <c r="O168" s="67">
        <v>26872</v>
      </c>
      <c r="Q168" s="674">
        <v>0</v>
      </c>
      <c r="R168" s="674">
        <v>26872</v>
      </c>
      <c r="S168" s="71">
        <v>150.60247716191222</v>
      </c>
      <c r="T168" s="449"/>
      <c r="U168" s="67">
        <v>28305</v>
      </c>
      <c r="V168" s="163">
        <v>-1433</v>
      </c>
      <c r="W168" s="166">
        <v>-5.0627097685921219E-2</v>
      </c>
      <c r="X168" s="61"/>
      <c r="Z168" s="67"/>
      <c r="AA168" s="451"/>
      <c r="AB168" s="452"/>
      <c r="AE168" s="36"/>
      <c r="AF168" s="36"/>
      <c r="AG168" s="36"/>
      <c r="AH168" s="19"/>
    </row>
    <row r="169" spans="1:34">
      <c r="A169" s="64" t="s">
        <v>600</v>
      </c>
      <c r="B169" s="63" t="s">
        <v>305</v>
      </c>
      <c r="C169" s="63" t="s">
        <v>306</v>
      </c>
      <c r="D169" s="134">
        <v>141</v>
      </c>
      <c r="E169" s="67">
        <v>21235</v>
      </c>
      <c r="F169" s="146">
        <v>0</v>
      </c>
      <c r="G169" s="146">
        <v>0</v>
      </c>
      <c r="H169" s="91">
        <v>21235</v>
      </c>
      <c r="I169" s="67">
        <v>0</v>
      </c>
      <c r="J169" s="739">
        <v>21235</v>
      </c>
      <c r="K169" s="132" t="s">
        <v>621</v>
      </c>
      <c r="L169" s="740">
        <v>0</v>
      </c>
      <c r="M169" s="741">
        <v>141</v>
      </c>
      <c r="N169" s="67">
        <v>0</v>
      </c>
      <c r="O169" s="67">
        <v>21235</v>
      </c>
      <c r="Q169" s="674">
        <v>0</v>
      </c>
      <c r="R169" s="674">
        <v>21235</v>
      </c>
      <c r="S169" s="71">
        <v>150.60283687943263</v>
      </c>
      <c r="T169" s="449"/>
      <c r="U169" s="67">
        <v>21554</v>
      </c>
      <c r="V169" s="163">
        <v>-319</v>
      </c>
      <c r="W169" s="166">
        <v>-1.4800037116080541E-2</v>
      </c>
      <c r="X169" s="61"/>
      <c r="Z169" s="67"/>
      <c r="AA169" s="451"/>
      <c r="AB169" s="452"/>
      <c r="AE169" s="36"/>
      <c r="AF169" s="36"/>
      <c r="AG169" s="36"/>
      <c r="AH169" s="19"/>
    </row>
    <row r="170" spans="1:34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739">
        <v>0</v>
      </c>
      <c r="K170" s="132" t="s">
        <v>621</v>
      </c>
      <c r="L170" s="740">
        <v>0</v>
      </c>
      <c r="M170" s="741">
        <v>0</v>
      </c>
      <c r="N170" s="67">
        <v>0</v>
      </c>
      <c r="O170" s="67">
        <v>0</v>
      </c>
      <c r="Q170" s="674">
        <v>0</v>
      </c>
      <c r="R170" s="674">
        <v>0</v>
      </c>
      <c r="S170" s="71">
        <v>0</v>
      </c>
      <c r="T170" s="449"/>
      <c r="U170" s="67">
        <v>0</v>
      </c>
      <c r="V170" s="163">
        <v>0</v>
      </c>
      <c r="W170" s="166">
        <v>0</v>
      </c>
      <c r="X170" s="61"/>
      <c r="Z170" s="67"/>
      <c r="AA170" s="451"/>
      <c r="AB170" s="452"/>
      <c r="AE170" s="36"/>
      <c r="AF170" s="36"/>
      <c r="AG170" s="36"/>
      <c r="AH170" s="19"/>
    </row>
    <row r="171" spans="1:34">
      <c r="A171" s="64" t="s">
        <v>594</v>
      </c>
      <c r="B171" s="63" t="s">
        <v>474</v>
      </c>
      <c r="C171" s="63" t="s">
        <v>475</v>
      </c>
      <c r="D171" s="134">
        <v>607.57000000000005</v>
      </c>
      <c r="E171" s="67">
        <v>91500</v>
      </c>
      <c r="F171" s="146">
        <v>0</v>
      </c>
      <c r="G171" s="146">
        <v>0</v>
      </c>
      <c r="H171" s="91">
        <v>91500</v>
      </c>
      <c r="I171" s="67">
        <v>0</v>
      </c>
      <c r="J171" s="739">
        <v>91500</v>
      </c>
      <c r="K171" s="132" t="s">
        <v>621</v>
      </c>
      <c r="L171" s="740">
        <v>0</v>
      </c>
      <c r="M171" s="741">
        <v>607.57000000000005</v>
      </c>
      <c r="N171" s="67">
        <v>0</v>
      </c>
      <c r="O171" s="67">
        <v>91500</v>
      </c>
      <c r="Q171" s="674">
        <v>0</v>
      </c>
      <c r="R171" s="674">
        <v>91500</v>
      </c>
      <c r="S171" s="71">
        <v>150.59993087216287</v>
      </c>
      <c r="T171" s="449"/>
      <c r="U171" s="67">
        <v>100058</v>
      </c>
      <c r="V171" s="163">
        <v>-8558</v>
      </c>
      <c r="W171" s="166">
        <v>-8.5530392372423991E-2</v>
      </c>
      <c r="X171" s="61"/>
      <c r="Z171" s="67"/>
      <c r="AA171" s="451"/>
      <c r="AB171" s="452"/>
      <c r="AE171" s="36"/>
      <c r="AF171" s="36"/>
      <c r="AG171" s="36"/>
      <c r="AH171" s="19"/>
    </row>
    <row r="172" spans="1:34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132" t="s">
        <v>621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1">
        <v>0</v>
      </c>
      <c r="T172" s="449"/>
      <c r="U172" s="67">
        <v>0</v>
      </c>
      <c r="V172" s="163">
        <v>0</v>
      </c>
      <c r="W172" s="166">
        <v>0</v>
      </c>
      <c r="X172" s="61"/>
      <c r="Z172" s="67"/>
      <c r="AA172" s="451"/>
      <c r="AB172" s="452"/>
      <c r="AE172" s="36"/>
      <c r="AF172" s="36"/>
      <c r="AG172" s="36"/>
      <c r="AH172" s="19"/>
    </row>
    <row r="173" spans="1:34">
      <c r="A173" s="64" t="s">
        <v>597</v>
      </c>
      <c r="B173" s="63" t="s">
        <v>209</v>
      </c>
      <c r="C173" s="63" t="s">
        <v>210</v>
      </c>
      <c r="D173" s="134">
        <v>1211.43</v>
      </c>
      <c r="E173" s="67">
        <v>182441</v>
      </c>
      <c r="F173" s="146">
        <v>0</v>
      </c>
      <c r="G173" s="146">
        <v>0</v>
      </c>
      <c r="H173" s="91">
        <v>182441</v>
      </c>
      <c r="I173" s="67">
        <v>0</v>
      </c>
      <c r="J173" s="739">
        <v>182441</v>
      </c>
      <c r="K173" s="132" t="s">
        <v>621</v>
      </c>
      <c r="L173" s="740">
        <v>0</v>
      </c>
      <c r="M173" s="741">
        <v>1211.43</v>
      </c>
      <c r="N173" s="67">
        <v>0</v>
      </c>
      <c r="O173" s="67">
        <v>182441</v>
      </c>
      <c r="Q173" s="674">
        <v>0</v>
      </c>
      <c r="R173" s="674">
        <v>182441</v>
      </c>
      <c r="S173" s="71">
        <v>150.59970448148056</v>
      </c>
      <c r="T173" s="449"/>
      <c r="U173" s="67">
        <v>193683</v>
      </c>
      <c r="V173" s="163">
        <v>-11242</v>
      </c>
      <c r="W173" s="166">
        <v>-5.8043297553218402E-2</v>
      </c>
      <c r="X173" s="61"/>
      <c r="Z173" s="67"/>
      <c r="AA173" s="451"/>
      <c r="AB173" s="452"/>
      <c r="AE173" s="36"/>
      <c r="AF173" s="36"/>
      <c r="AG173" s="36"/>
      <c r="AH173" s="19"/>
    </row>
    <row r="174" spans="1:34">
      <c r="A174" s="64" t="s">
        <v>595</v>
      </c>
      <c r="B174" s="63" t="s">
        <v>157</v>
      </c>
      <c r="C174" s="63" t="s">
        <v>158</v>
      </c>
      <c r="D174" s="134">
        <v>208.86</v>
      </c>
      <c r="E174" s="67">
        <v>31454</v>
      </c>
      <c r="F174" s="146">
        <v>0</v>
      </c>
      <c r="G174" s="146">
        <v>0</v>
      </c>
      <c r="H174" s="91">
        <v>31454</v>
      </c>
      <c r="I174" s="67">
        <v>0</v>
      </c>
      <c r="J174" s="739">
        <v>31454</v>
      </c>
      <c r="K174" s="132" t="s">
        <v>621</v>
      </c>
      <c r="L174" s="740">
        <v>0</v>
      </c>
      <c r="M174" s="741">
        <v>208.86</v>
      </c>
      <c r="N174" s="67">
        <v>0</v>
      </c>
      <c r="O174" s="67">
        <v>31454</v>
      </c>
      <c r="Q174" s="674">
        <v>0</v>
      </c>
      <c r="R174" s="674">
        <v>31454</v>
      </c>
      <c r="S174" s="71">
        <v>150.5984870248013</v>
      </c>
      <c r="T174" s="449"/>
      <c r="U174" s="67">
        <v>21799</v>
      </c>
      <c r="V174" s="163">
        <v>9655</v>
      </c>
      <c r="W174" s="166">
        <v>0.44291022523968987</v>
      </c>
      <c r="X174" s="61"/>
      <c r="Z174" s="67"/>
      <c r="AA174" s="451"/>
      <c r="AB174" s="452"/>
      <c r="AE174" s="36"/>
      <c r="AF174" s="36"/>
      <c r="AG174" s="36"/>
      <c r="AH174" s="19"/>
    </row>
    <row r="175" spans="1:34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739">
        <v>0</v>
      </c>
      <c r="K175" s="132" t="s">
        <v>621</v>
      </c>
      <c r="L175" s="740">
        <v>0</v>
      </c>
      <c r="M175" s="741">
        <v>0</v>
      </c>
      <c r="N175" s="67">
        <v>0</v>
      </c>
      <c r="O175" s="67">
        <v>0</v>
      </c>
      <c r="Q175" s="674">
        <v>0</v>
      </c>
      <c r="R175" s="674">
        <v>0</v>
      </c>
      <c r="S175" s="71">
        <v>0</v>
      </c>
      <c r="T175" s="449"/>
      <c r="U175" s="67">
        <v>0</v>
      </c>
      <c r="V175" s="163">
        <v>0</v>
      </c>
      <c r="W175" s="166">
        <v>0</v>
      </c>
      <c r="X175" s="61"/>
      <c r="Z175" s="67"/>
      <c r="AA175" s="451"/>
      <c r="AB175" s="452"/>
      <c r="AE175" s="36"/>
      <c r="AF175" s="36"/>
      <c r="AG175" s="36"/>
      <c r="AH175" s="19"/>
    </row>
    <row r="176" spans="1:34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739">
        <v>0</v>
      </c>
      <c r="K176" s="132" t="s">
        <v>621</v>
      </c>
      <c r="L176" s="740">
        <v>0</v>
      </c>
      <c r="M176" s="741">
        <v>0</v>
      </c>
      <c r="N176" s="67">
        <v>0</v>
      </c>
      <c r="O176" s="67">
        <v>0</v>
      </c>
      <c r="Q176" s="674">
        <v>0</v>
      </c>
      <c r="R176" s="674">
        <v>0</v>
      </c>
      <c r="S176" s="71">
        <v>0</v>
      </c>
      <c r="T176" s="449"/>
      <c r="U176" s="67">
        <v>0</v>
      </c>
      <c r="V176" s="163">
        <v>0</v>
      </c>
      <c r="W176" s="166">
        <v>0</v>
      </c>
      <c r="X176" s="61"/>
      <c r="Z176" s="67"/>
      <c r="AA176" s="451"/>
      <c r="AB176" s="452"/>
      <c r="AE176" s="36"/>
      <c r="AF176" s="36"/>
      <c r="AG176" s="36"/>
      <c r="AH176" s="19"/>
    </row>
    <row r="177" spans="1:34">
      <c r="A177" s="64" t="s">
        <v>599</v>
      </c>
      <c r="B177" s="63" t="s">
        <v>325</v>
      </c>
      <c r="C177" s="63" t="s">
        <v>326</v>
      </c>
      <c r="D177" s="134">
        <v>60</v>
      </c>
      <c r="E177" s="67">
        <v>9036</v>
      </c>
      <c r="F177" s="146">
        <v>0</v>
      </c>
      <c r="G177" s="146">
        <v>0</v>
      </c>
      <c r="H177" s="91">
        <v>9036</v>
      </c>
      <c r="I177" s="67">
        <v>0</v>
      </c>
      <c r="J177" s="739">
        <v>9036</v>
      </c>
      <c r="K177" s="132" t="s">
        <v>621</v>
      </c>
      <c r="L177" s="740">
        <v>0</v>
      </c>
      <c r="M177" s="741">
        <v>60</v>
      </c>
      <c r="N177" s="67">
        <v>0</v>
      </c>
      <c r="O177" s="67">
        <v>9036</v>
      </c>
      <c r="Q177" s="674">
        <v>0</v>
      </c>
      <c r="R177" s="674">
        <v>9036</v>
      </c>
      <c r="S177" s="71">
        <v>150.6</v>
      </c>
      <c r="T177" s="449"/>
      <c r="U177" s="67">
        <v>7466</v>
      </c>
      <c r="V177" s="163">
        <v>1570</v>
      </c>
      <c r="W177" s="166">
        <v>0.21028663273506562</v>
      </c>
      <c r="X177" s="61"/>
      <c r="Z177" s="67"/>
      <c r="AA177" s="451"/>
      <c r="AB177" s="452"/>
      <c r="AE177" s="36"/>
      <c r="AF177" s="36"/>
      <c r="AG177" s="36"/>
      <c r="AH177" s="19"/>
    </row>
    <row r="178" spans="1:34">
      <c r="A178" s="64" t="s">
        <v>594</v>
      </c>
      <c r="B178" s="63" t="s">
        <v>153</v>
      </c>
      <c r="C178" s="63" t="s">
        <v>154</v>
      </c>
      <c r="D178" s="134">
        <v>56.57</v>
      </c>
      <c r="E178" s="67">
        <v>8519</v>
      </c>
      <c r="F178" s="146">
        <v>0</v>
      </c>
      <c r="G178" s="146">
        <v>0</v>
      </c>
      <c r="H178" s="91">
        <v>8519</v>
      </c>
      <c r="I178" s="67">
        <v>0</v>
      </c>
      <c r="J178" s="739">
        <v>8519</v>
      </c>
      <c r="K178" s="132" t="s">
        <v>621</v>
      </c>
      <c r="L178" s="740">
        <v>0</v>
      </c>
      <c r="M178" s="741">
        <v>56.57</v>
      </c>
      <c r="N178" s="67">
        <v>0</v>
      </c>
      <c r="O178" s="67">
        <v>8519</v>
      </c>
      <c r="Q178" s="674">
        <v>0</v>
      </c>
      <c r="R178" s="674">
        <v>8519</v>
      </c>
      <c r="S178" s="71">
        <v>150.5921866713806</v>
      </c>
      <c r="T178" s="449"/>
      <c r="U178" s="67">
        <v>0</v>
      </c>
      <c r="V178" s="163">
        <v>8519</v>
      </c>
      <c r="W178" s="166">
        <v>0</v>
      </c>
      <c r="X178" s="61"/>
      <c r="Z178" s="67"/>
      <c r="AA178" s="451"/>
      <c r="AB178" s="452"/>
      <c r="AE178" s="36"/>
      <c r="AF178" s="36"/>
      <c r="AG178" s="36"/>
      <c r="AH178" s="19"/>
    </row>
    <row r="179" spans="1:34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132" t="s">
        <v>621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1">
        <v>0</v>
      </c>
      <c r="T179" s="449"/>
      <c r="U179" s="67">
        <v>0</v>
      </c>
      <c r="V179" s="163">
        <v>0</v>
      </c>
      <c r="W179" s="166">
        <v>0</v>
      </c>
      <c r="X179" s="61"/>
      <c r="Z179" s="67"/>
      <c r="AA179" s="451"/>
      <c r="AB179" s="452"/>
      <c r="AE179" s="36"/>
      <c r="AF179" s="36"/>
      <c r="AG179" s="36"/>
      <c r="AH179" s="19"/>
    </row>
    <row r="180" spans="1:34">
      <c r="A180" s="64" t="s">
        <v>601</v>
      </c>
      <c r="B180" s="63" t="s">
        <v>313</v>
      </c>
      <c r="C180" s="63" t="s">
        <v>314</v>
      </c>
      <c r="D180" s="134">
        <v>94.57</v>
      </c>
      <c r="E180" s="67">
        <v>14242</v>
      </c>
      <c r="F180" s="146">
        <v>0</v>
      </c>
      <c r="G180" s="146">
        <v>0</v>
      </c>
      <c r="H180" s="91">
        <v>14242</v>
      </c>
      <c r="I180" s="67">
        <v>0</v>
      </c>
      <c r="J180" s="739">
        <v>14242</v>
      </c>
      <c r="K180" s="132" t="s">
        <v>621</v>
      </c>
      <c r="L180" s="740">
        <v>0</v>
      </c>
      <c r="M180" s="741">
        <v>94.57</v>
      </c>
      <c r="N180" s="67">
        <v>0</v>
      </c>
      <c r="O180" s="67">
        <v>14242</v>
      </c>
      <c r="Q180" s="674">
        <v>0</v>
      </c>
      <c r="R180" s="674">
        <v>14242</v>
      </c>
      <c r="S180" s="71">
        <v>150.59744104895844</v>
      </c>
      <c r="T180" s="449"/>
      <c r="U180" s="67">
        <v>15309</v>
      </c>
      <c r="V180" s="163">
        <v>-1067</v>
      </c>
      <c r="W180" s="166">
        <v>-6.9697563524724018E-2</v>
      </c>
      <c r="X180" s="61"/>
      <c r="Z180" s="67"/>
      <c r="AA180" s="451"/>
      <c r="AB180" s="452"/>
      <c r="AE180" s="36"/>
      <c r="AF180" s="36"/>
      <c r="AG180" s="36"/>
      <c r="AH180" s="19"/>
    </row>
    <row r="181" spans="1:34">
      <c r="A181" s="64" t="s">
        <v>594</v>
      </c>
      <c r="B181" s="63" t="s">
        <v>478</v>
      </c>
      <c r="C181" s="63" t="s">
        <v>479</v>
      </c>
      <c r="D181" s="134">
        <v>199.86</v>
      </c>
      <c r="E181" s="67">
        <v>30099</v>
      </c>
      <c r="F181" s="146">
        <v>0</v>
      </c>
      <c r="G181" s="146">
        <v>0</v>
      </c>
      <c r="H181" s="91">
        <v>30099</v>
      </c>
      <c r="I181" s="67">
        <v>0</v>
      </c>
      <c r="J181" s="739">
        <v>30099</v>
      </c>
      <c r="K181" s="132" t="s">
        <v>621</v>
      </c>
      <c r="L181" s="740">
        <v>0</v>
      </c>
      <c r="M181" s="741">
        <v>199.86</v>
      </c>
      <c r="N181" s="67">
        <v>0</v>
      </c>
      <c r="O181" s="67">
        <v>30099</v>
      </c>
      <c r="Q181" s="674">
        <v>0</v>
      </c>
      <c r="R181" s="674">
        <v>30099</v>
      </c>
      <c r="S181" s="71">
        <v>150.60042029420595</v>
      </c>
      <c r="T181" s="449"/>
      <c r="U181" s="67">
        <v>34174</v>
      </c>
      <c r="V181" s="163">
        <v>-4075</v>
      </c>
      <c r="W181" s="166">
        <v>-0.11924269912799204</v>
      </c>
      <c r="X181" s="61"/>
      <c r="Z181" s="67"/>
      <c r="AA181" s="451"/>
      <c r="AB181" s="452"/>
      <c r="AE181" s="36"/>
      <c r="AF181" s="36"/>
      <c r="AG181" s="36"/>
      <c r="AH181" s="19"/>
    </row>
    <row r="182" spans="1:34">
      <c r="A182" s="64" t="s">
        <v>601</v>
      </c>
      <c r="B182" s="63" t="s">
        <v>311</v>
      </c>
      <c r="C182" s="63" t="s">
        <v>312</v>
      </c>
      <c r="D182" s="134">
        <v>106.29</v>
      </c>
      <c r="E182" s="67">
        <v>16007</v>
      </c>
      <c r="F182" s="146">
        <v>0</v>
      </c>
      <c r="G182" s="146">
        <v>0</v>
      </c>
      <c r="H182" s="91">
        <v>16007</v>
      </c>
      <c r="I182" s="67">
        <v>0</v>
      </c>
      <c r="J182" s="739">
        <v>16007</v>
      </c>
      <c r="K182" s="132" t="s">
        <v>621</v>
      </c>
      <c r="L182" s="740">
        <v>0</v>
      </c>
      <c r="M182" s="741">
        <v>106.29</v>
      </c>
      <c r="N182" s="67">
        <v>0</v>
      </c>
      <c r="O182" s="67">
        <v>16007</v>
      </c>
      <c r="Q182" s="674">
        <v>0</v>
      </c>
      <c r="R182" s="674">
        <v>16007</v>
      </c>
      <c r="S182" s="71">
        <v>150.59742214695643</v>
      </c>
      <c r="T182" s="449"/>
      <c r="U182" s="67">
        <v>15687</v>
      </c>
      <c r="V182" s="163">
        <v>320</v>
      </c>
      <c r="W182" s="166">
        <v>2.0399056543634858E-2</v>
      </c>
      <c r="X182" s="61"/>
      <c r="Z182" s="67"/>
      <c r="AA182" s="451"/>
      <c r="AB182" s="452"/>
      <c r="AE182" s="36"/>
      <c r="AF182" s="36"/>
      <c r="AG182" s="36"/>
      <c r="AH182" s="19"/>
    </row>
    <row r="183" spans="1:34">
      <c r="A183" s="64" t="s">
        <v>594</v>
      </c>
      <c r="B183" s="63" t="s">
        <v>270</v>
      </c>
      <c r="C183" s="63" t="s">
        <v>271</v>
      </c>
      <c r="D183" s="134">
        <v>25.71</v>
      </c>
      <c r="E183" s="67">
        <v>3872</v>
      </c>
      <c r="F183" s="146">
        <v>0</v>
      </c>
      <c r="G183" s="146">
        <v>0</v>
      </c>
      <c r="H183" s="91">
        <v>3872</v>
      </c>
      <c r="I183" s="67">
        <v>0</v>
      </c>
      <c r="J183" s="739">
        <v>3872</v>
      </c>
      <c r="K183" s="132" t="s">
        <v>621</v>
      </c>
      <c r="L183" s="740">
        <v>0</v>
      </c>
      <c r="M183" s="741">
        <v>25.71</v>
      </c>
      <c r="N183" s="67">
        <v>0</v>
      </c>
      <c r="O183" s="67">
        <v>3872</v>
      </c>
      <c r="Q183" s="674">
        <v>0</v>
      </c>
      <c r="R183" s="674">
        <v>3872</v>
      </c>
      <c r="S183" s="71">
        <v>150.60287825748736</v>
      </c>
      <c r="T183" s="449"/>
      <c r="U183" s="67">
        <v>0</v>
      </c>
      <c r="V183" s="163">
        <v>3872</v>
      </c>
      <c r="W183" s="166">
        <v>0</v>
      </c>
      <c r="X183" s="61"/>
      <c r="Z183" s="67"/>
      <c r="AA183" s="451"/>
      <c r="AB183" s="452"/>
      <c r="AE183" s="36"/>
      <c r="AF183" s="36"/>
      <c r="AG183" s="36"/>
      <c r="AH183" s="19"/>
    </row>
    <row r="184" spans="1:34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621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1">
        <v>0</v>
      </c>
      <c r="T184" s="449"/>
      <c r="U184" s="67">
        <v>0</v>
      </c>
      <c r="V184" s="163">
        <v>0</v>
      </c>
      <c r="W184" s="166">
        <v>0</v>
      </c>
      <c r="X184" s="61"/>
      <c r="Z184" s="67"/>
      <c r="AA184" s="451"/>
      <c r="AB184" s="452"/>
      <c r="AE184" s="36"/>
      <c r="AF184" s="36"/>
      <c r="AG184" s="36"/>
      <c r="AH184" s="19"/>
    </row>
    <row r="185" spans="1:34">
      <c r="A185" s="64" t="s">
        <v>595</v>
      </c>
      <c r="B185" s="63" t="s">
        <v>372</v>
      </c>
      <c r="C185" s="63" t="s">
        <v>613</v>
      </c>
      <c r="D185" s="134">
        <v>25.14</v>
      </c>
      <c r="E185" s="67">
        <v>3786</v>
      </c>
      <c r="F185" s="146">
        <v>0</v>
      </c>
      <c r="G185" s="146">
        <v>0</v>
      </c>
      <c r="H185" s="91">
        <v>3786</v>
      </c>
      <c r="I185" s="67">
        <v>0</v>
      </c>
      <c r="J185" s="739">
        <v>3786</v>
      </c>
      <c r="K185" s="132" t="s">
        <v>621</v>
      </c>
      <c r="L185" s="740">
        <v>0</v>
      </c>
      <c r="M185" s="741">
        <v>25.14</v>
      </c>
      <c r="N185" s="67">
        <v>0</v>
      </c>
      <c r="O185" s="67">
        <v>3786</v>
      </c>
      <c r="Q185" s="674">
        <v>0</v>
      </c>
      <c r="R185" s="674">
        <v>3786</v>
      </c>
      <c r="S185" s="71">
        <v>150.59665871121717</v>
      </c>
      <c r="T185" s="449"/>
      <c r="U185" s="67">
        <v>3875</v>
      </c>
      <c r="V185" s="163">
        <v>-89</v>
      </c>
      <c r="W185" s="166">
        <v>-2.2967741935483871E-2</v>
      </c>
      <c r="X185" s="61"/>
      <c r="Z185" s="67"/>
      <c r="AA185" s="451"/>
      <c r="AB185" s="452"/>
      <c r="AE185" s="36"/>
      <c r="AF185" s="36"/>
      <c r="AG185" s="36"/>
      <c r="AH185" s="19"/>
    </row>
    <row r="186" spans="1:34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739">
        <v>0</v>
      </c>
      <c r="K186" s="132" t="s">
        <v>621</v>
      </c>
      <c r="L186" s="740">
        <v>0</v>
      </c>
      <c r="M186" s="741">
        <v>0</v>
      </c>
      <c r="N186" s="67">
        <v>0</v>
      </c>
      <c r="O186" s="67">
        <v>0</v>
      </c>
      <c r="Q186" s="674">
        <v>0</v>
      </c>
      <c r="R186" s="674">
        <v>0</v>
      </c>
      <c r="S186" s="71">
        <v>0</v>
      </c>
      <c r="T186" s="449"/>
      <c r="U186" s="67">
        <v>0</v>
      </c>
      <c r="V186" s="163">
        <v>0</v>
      </c>
      <c r="W186" s="166">
        <v>0</v>
      </c>
      <c r="X186" s="61"/>
      <c r="Z186" s="67"/>
      <c r="AA186" s="451"/>
      <c r="AB186" s="452"/>
      <c r="AE186" s="36"/>
      <c r="AF186" s="36"/>
      <c r="AG186" s="36"/>
      <c r="AH186" s="19"/>
    </row>
    <row r="187" spans="1:34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739">
        <v>0</v>
      </c>
      <c r="K187" s="132" t="s">
        <v>621</v>
      </c>
      <c r="L187" s="740">
        <v>0</v>
      </c>
      <c r="M187" s="741">
        <v>0</v>
      </c>
      <c r="N187" s="67">
        <v>0</v>
      </c>
      <c r="O187" s="67">
        <v>0</v>
      </c>
      <c r="Q187" s="674">
        <v>0</v>
      </c>
      <c r="R187" s="674">
        <v>0</v>
      </c>
      <c r="S187" s="71">
        <v>0</v>
      </c>
      <c r="T187" s="449"/>
      <c r="U187" s="67">
        <v>0</v>
      </c>
      <c r="V187" s="163">
        <v>0</v>
      </c>
      <c r="W187" s="166">
        <v>0</v>
      </c>
      <c r="X187" s="61"/>
      <c r="Z187" s="67"/>
      <c r="AA187" s="451"/>
      <c r="AB187" s="452"/>
      <c r="AE187" s="36"/>
      <c r="AF187" s="36"/>
      <c r="AG187" s="36"/>
      <c r="AH187" s="19"/>
    </row>
    <row r="188" spans="1:34">
      <c r="A188" s="64" t="s">
        <v>601</v>
      </c>
      <c r="B188" s="63" t="s">
        <v>82</v>
      </c>
      <c r="C188" s="63" t="s">
        <v>83</v>
      </c>
      <c r="D188" s="134">
        <v>104.57</v>
      </c>
      <c r="E188" s="67">
        <v>15748</v>
      </c>
      <c r="F188" s="146">
        <v>0</v>
      </c>
      <c r="G188" s="146">
        <v>0</v>
      </c>
      <c r="H188" s="91">
        <v>15748</v>
      </c>
      <c r="I188" s="67">
        <v>0</v>
      </c>
      <c r="J188" s="739">
        <v>15748</v>
      </c>
      <c r="K188" s="132" t="s">
        <v>621</v>
      </c>
      <c r="L188" s="740">
        <v>0</v>
      </c>
      <c r="M188" s="741">
        <v>104.57</v>
      </c>
      <c r="N188" s="67">
        <v>0</v>
      </c>
      <c r="O188" s="67">
        <v>15748</v>
      </c>
      <c r="Q188" s="674">
        <v>0</v>
      </c>
      <c r="R188" s="674">
        <v>15748</v>
      </c>
      <c r="S188" s="71">
        <v>150.59768576073444</v>
      </c>
      <c r="T188" s="449"/>
      <c r="U188" s="67">
        <v>17699</v>
      </c>
      <c r="V188" s="163">
        <v>-1951</v>
      </c>
      <c r="W188" s="166">
        <v>-0.11023221650940732</v>
      </c>
      <c r="X188" s="61"/>
      <c r="Z188" s="67"/>
      <c r="AA188" s="451"/>
      <c r="AB188" s="452"/>
      <c r="AE188" s="36"/>
      <c r="AF188" s="36"/>
      <c r="AG188" s="36"/>
      <c r="AH188" s="19"/>
    </row>
    <row r="189" spans="1:34">
      <c r="A189" s="64" t="s">
        <v>601</v>
      </c>
      <c r="B189" s="63" t="s">
        <v>323</v>
      </c>
      <c r="C189" s="63" t="s">
        <v>324</v>
      </c>
      <c r="D189" s="134">
        <v>91.29</v>
      </c>
      <c r="E189" s="67">
        <v>13748</v>
      </c>
      <c r="F189" s="146">
        <v>0</v>
      </c>
      <c r="G189" s="146">
        <v>0</v>
      </c>
      <c r="H189" s="91">
        <v>13748</v>
      </c>
      <c r="I189" s="67">
        <v>0</v>
      </c>
      <c r="J189" s="739">
        <v>13748</v>
      </c>
      <c r="K189" s="132" t="s">
        <v>621</v>
      </c>
      <c r="L189" s="740">
        <v>0</v>
      </c>
      <c r="M189" s="741">
        <v>91.29</v>
      </c>
      <c r="N189" s="67">
        <v>0</v>
      </c>
      <c r="O189" s="67">
        <v>13748</v>
      </c>
      <c r="Q189" s="674">
        <v>0</v>
      </c>
      <c r="R189" s="674">
        <v>13748</v>
      </c>
      <c r="S189" s="71">
        <v>150.59699857596669</v>
      </c>
      <c r="T189" s="449"/>
      <c r="U189" s="67">
        <v>16739</v>
      </c>
      <c r="V189" s="163">
        <v>-2991</v>
      </c>
      <c r="W189" s="166">
        <v>-0.17868450922994206</v>
      </c>
      <c r="X189" s="61"/>
      <c r="Z189" s="67"/>
      <c r="AA189" s="451"/>
      <c r="AB189" s="452"/>
      <c r="AE189" s="36"/>
      <c r="AF189" s="36"/>
      <c r="AG189" s="36"/>
      <c r="AH189" s="19"/>
    </row>
    <row r="190" spans="1:34">
      <c r="A190" s="64" t="s">
        <v>597</v>
      </c>
      <c r="B190" s="63" t="s">
        <v>355</v>
      </c>
      <c r="C190" s="63" t="s">
        <v>356</v>
      </c>
      <c r="D190" s="134">
        <v>39.86</v>
      </c>
      <c r="E190" s="67">
        <v>6003</v>
      </c>
      <c r="F190" s="146">
        <v>0</v>
      </c>
      <c r="G190" s="146">
        <v>0</v>
      </c>
      <c r="H190" s="91">
        <v>6003</v>
      </c>
      <c r="I190" s="67">
        <v>0</v>
      </c>
      <c r="J190" s="739">
        <v>6003</v>
      </c>
      <c r="K190" s="132" t="s">
        <v>621</v>
      </c>
      <c r="L190" s="740">
        <v>0</v>
      </c>
      <c r="M190" s="741">
        <v>39.86</v>
      </c>
      <c r="N190" s="67">
        <v>0</v>
      </c>
      <c r="O190" s="67">
        <v>6003</v>
      </c>
      <c r="Q190" s="674">
        <v>0</v>
      </c>
      <c r="R190" s="674">
        <v>6003</v>
      </c>
      <c r="S190" s="71">
        <v>150.60210737581536</v>
      </c>
      <c r="T190" s="449"/>
      <c r="U190" s="67">
        <v>0</v>
      </c>
      <c r="V190" s="163">
        <v>6003</v>
      </c>
      <c r="W190" s="166">
        <v>0</v>
      </c>
      <c r="X190" s="61"/>
      <c r="Z190" s="67"/>
      <c r="AA190" s="451"/>
      <c r="AB190" s="452"/>
      <c r="AE190" s="36"/>
      <c r="AF190" s="36"/>
      <c r="AG190" s="36"/>
      <c r="AH190" s="19"/>
    </row>
    <row r="191" spans="1:34">
      <c r="A191" s="64" t="s">
        <v>596</v>
      </c>
      <c r="B191" s="63" t="s">
        <v>4</v>
      </c>
      <c r="C191" s="63" t="s">
        <v>5</v>
      </c>
      <c r="D191" s="134">
        <v>1541.43</v>
      </c>
      <c r="E191" s="67">
        <v>232139</v>
      </c>
      <c r="F191" s="146">
        <v>0</v>
      </c>
      <c r="G191" s="146">
        <v>0</v>
      </c>
      <c r="H191" s="91">
        <v>232139</v>
      </c>
      <c r="I191" s="67">
        <v>0</v>
      </c>
      <c r="J191" s="739">
        <v>232139</v>
      </c>
      <c r="K191" s="132" t="s">
        <v>621</v>
      </c>
      <c r="L191" s="740">
        <v>0</v>
      </c>
      <c r="M191" s="741">
        <v>1541.43</v>
      </c>
      <c r="N191" s="67">
        <v>0</v>
      </c>
      <c r="O191" s="67">
        <v>232139</v>
      </c>
      <c r="Q191" s="674">
        <v>0</v>
      </c>
      <c r="R191" s="674">
        <v>232139</v>
      </c>
      <c r="S191" s="71">
        <v>150.59976774812998</v>
      </c>
      <c r="T191" s="449"/>
      <c r="U191" s="67">
        <v>243731</v>
      </c>
      <c r="V191" s="163">
        <v>-11592</v>
      </c>
      <c r="W191" s="166">
        <v>-4.7560630367085022E-2</v>
      </c>
      <c r="X191" s="61"/>
      <c r="Z191" s="67"/>
      <c r="AA191" s="451"/>
      <c r="AB191" s="452"/>
      <c r="AE191" s="36"/>
      <c r="AF191" s="36"/>
      <c r="AG191" s="36"/>
      <c r="AH191" s="19"/>
    </row>
    <row r="192" spans="1:34">
      <c r="A192" s="64" t="s">
        <v>601</v>
      </c>
      <c r="B192" s="63" t="s">
        <v>86</v>
      </c>
      <c r="C192" s="63" t="s">
        <v>87</v>
      </c>
      <c r="D192" s="134">
        <v>10.86</v>
      </c>
      <c r="E192" s="67">
        <v>1636</v>
      </c>
      <c r="F192" s="146">
        <v>0</v>
      </c>
      <c r="G192" s="146">
        <v>0</v>
      </c>
      <c r="H192" s="91">
        <v>1636</v>
      </c>
      <c r="I192" s="67">
        <v>0</v>
      </c>
      <c r="J192" s="739">
        <v>1636</v>
      </c>
      <c r="K192" s="132" t="s">
        <v>621</v>
      </c>
      <c r="L192" s="740">
        <v>0</v>
      </c>
      <c r="M192" s="741">
        <v>10.86</v>
      </c>
      <c r="N192" s="67">
        <v>0</v>
      </c>
      <c r="O192" s="67">
        <v>1636</v>
      </c>
      <c r="Q192" s="674">
        <v>0</v>
      </c>
      <c r="R192" s="674">
        <v>1636</v>
      </c>
      <c r="S192" s="71">
        <v>150.64456721915286</v>
      </c>
      <c r="T192" s="449"/>
      <c r="U192" s="67">
        <v>1655</v>
      </c>
      <c r="V192" s="163">
        <v>-19</v>
      </c>
      <c r="W192" s="166">
        <v>-1.1480362537764351E-2</v>
      </c>
      <c r="X192" s="61"/>
      <c r="Z192" s="67"/>
      <c r="AA192" s="451"/>
      <c r="AB192" s="452"/>
      <c r="AE192" s="36"/>
      <c r="AF192" s="36"/>
      <c r="AG192" s="36"/>
      <c r="AH192" s="19"/>
    </row>
    <row r="193" spans="1:34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132" t="s">
        <v>621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>
        <v>0</v>
      </c>
      <c r="S193" s="71">
        <v>0</v>
      </c>
      <c r="T193" s="449"/>
      <c r="U193" s="67">
        <v>0</v>
      </c>
      <c r="V193" s="163">
        <v>0</v>
      </c>
      <c r="W193" s="166">
        <v>0</v>
      </c>
      <c r="X193" s="61"/>
      <c r="Z193" s="67"/>
      <c r="AA193" s="451"/>
      <c r="AB193" s="452"/>
      <c r="AE193" s="36"/>
      <c r="AF193" s="36"/>
      <c r="AG193" s="36"/>
      <c r="AH193" s="19"/>
    </row>
    <row r="194" spans="1:34">
      <c r="A194" s="64" t="s">
        <v>596</v>
      </c>
      <c r="B194" s="63" t="s">
        <v>104</v>
      </c>
      <c r="C194" s="63" t="s">
        <v>105</v>
      </c>
      <c r="D194" s="134">
        <v>5808.57</v>
      </c>
      <c r="E194" s="67">
        <v>874771</v>
      </c>
      <c r="F194" s="146">
        <v>0</v>
      </c>
      <c r="G194" s="146">
        <v>0</v>
      </c>
      <c r="H194" s="91">
        <v>874771</v>
      </c>
      <c r="I194" s="67">
        <v>0</v>
      </c>
      <c r="J194" s="739">
        <v>874771</v>
      </c>
      <c r="K194" s="132" t="s">
        <v>621</v>
      </c>
      <c r="L194" s="740">
        <v>0</v>
      </c>
      <c r="M194" s="741">
        <v>5808.57</v>
      </c>
      <c r="N194" s="67">
        <v>0</v>
      </c>
      <c r="O194" s="67">
        <v>874771</v>
      </c>
      <c r="Q194" s="674">
        <v>0</v>
      </c>
      <c r="R194" s="674">
        <v>874771</v>
      </c>
      <c r="S194" s="71">
        <v>150.60006163306977</v>
      </c>
      <c r="T194" s="449"/>
      <c r="U194" s="67">
        <v>941616</v>
      </c>
      <c r="V194" s="163">
        <v>-66845</v>
      </c>
      <c r="W194" s="166">
        <v>-7.0989660328626525E-2</v>
      </c>
      <c r="X194" s="61"/>
      <c r="Z194" s="67"/>
      <c r="AA194" s="451"/>
      <c r="AB194" s="452"/>
      <c r="AE194" s="36"/>
      <c r="AF194" s="36"/>
      <c r="AG194" s="36"/>
      <c r="AH194" s="19"/>
    </row>
    <row r="195" spans="1:34">
      <c r="A195" s="64" t="s">
        <v>601</v>
      </c>
      <c r="B195" s="63" t="s">
        <v>317</v>
      </c>
      <c r="C195" s="63" t="s">
        <v>318</v>
      </c>
      <c r="D195" s="134">
        <v>33.86</v>
      </c>
      <c r="E195" s="67">
        <v>5099</v>
      </c>
      <c r="F195" s="146">
        <v>0</v>
      </c>
      <c r="G195" s="146">
        <v>0</v>
      </c>
      <c r="H195" s="91">
        <v>5099</v>
      </c>
      <c r="I195" s="67">
        <v>0</v>
      </c>
      <c r="J195" s="739">
        <v>5099</v>
      </c>
      <c r="K195" s="132" t="s">
        <v>621</v>
      </c>
      <c r="L195" s="740">
        <v>0</v>
      </c>
      <c r="M195" s="741">
        <v>33.86</v>
      </c>
      <c r="N195" s="67">
        <v>0</v>
      </c>
      <c r="O195" s="67">
        <v>5099</v>
      </c>
      <c r="Q195" s="674">
        <v>0</v>
      </c>
      <c r="R195" s="674">
        <v>5099</v>
      </c>
      <c r="S195" s="71">
        <v>150.59066745422328</v>
      </c>
      <c r="T195" s="449"/>
      <c r="U195" s="67">
        <v>5906</v>
      </c>
      <c r="V195" s="163">
        <v>-807</v>
      </c>
      <c r="W195" s="166">
        <v>-0.13664070436843886</v>
      </c>
      <c r="X195" s="61"/>
      <c r="Z195" s="67"/>
      <c r="AA195" s="451"/>
      <c r="AB195" s="452"/>
      <c r="AE195" s="36"/>
      <c r="AF195" s="36"/>
      <c r="AG195" s="36"/>
      <c r="AH195" s="19"/>
    </row>
    <row r="196" spans="1:34">
      <c r="A196" s="64" t="s">
        <v>596</v>
      </c>
      <c r="B196" s="63" t="s">
        <v>16</v>
      </c>
      <c r="C196" s="63" t="s">
        <v>17</v>
      </c>
      <c r="D196" s="134">
        <v>37</v>
      </c>
      <c r="E196" s="67">
        <v>5572</v>
      </c>
      <c r="F196" s="146">
        <v>0</v>
      </c>
      <c r="G196" s="146">
        <v>0</v>
      </c>
      <c r="H196" s="91">
        <v>5572</v>
      </c>
      <c r="I196" s="67">
        <v>0</v>
      </c>
      <c r="J196" s="739">
        <v>5572</v>
      </c>
      <c r="K196" s="132" t="s">
        <v>621</v>
      </c>
      <c r="L196" s="740">
        <v>0</v>
      </c>
      <c r="M196" s="741">
        <v>37</v>
      </c>
      <c r="N196" s="67">
        <v>0</v>
      </c>
      <c r="O196" s="67">
        <v>5572</v>
      </c>
      <c r="Q196" s="674">
        <v>0</v>
      </c>
      <c r="R196" s="674">
        <v>5572</v>
      </c>
      <c r="S196" s="71">
        <v>150.59459459459458</v>
      </c>
      <c r="T196" s="449"/>
      <c r="U196" s="67">
        <v>6112</v>
      </c>
      <c r="V196" s="163">
        <v>-540</v>
      </c>
      <c r="W196" s="166">
        <v>-8.8350785340314139E-2</v>
      </c>
      <c r="X196" s="61"/>
      <c r="Z196" s="67"/>
      <c r="AA196" s="451"/>
      <c r="AB196" s="452"/>
      <c r="AE196" s="36"/>
      <c r="AF196" s="36"/>
      <c r="AG196" s="36"/>
      <c r="AH196" s="19"/>
    </row>
    <row r="197" spans="1:34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739">
        <v>0</v>
      </c>
      <c r="K197" s="132" t="s">
        <v>621</v>
      </c>
      <c r="L197" s="740">
        <v>0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1">
        <v>0</v>
      </c>
      <c r="T197" s="449"/>
      <c r="U197" s="67">
        <v>0</v>
      </c>
      <c r="V197" s="163">
        <v>0</v>
      </c>
      <c r="W197" s="166">
        <v>0</v>
      </c>
      <c r="X197" s="61"/>
      <c r="Z197" s="67"/>
      <c r="AA197" s="451"/>
      <c r="AB197" s="452"/>
      <c r="AE197" s="36"/>
      <c r="AF197" s="36"/>
      <c r="AG197" s="36"/>
      <c r="AH197" s="19"/>
    </row>
    <row r="198" spans="1:34">
      <c r="A198" s="64" t="s">
        <v>597</v>
      </c>
      <c r="B198" s="63" t="s">
        <v>359</v>
      </c>
      <c r="C198" s="63" t="s">
        <v>360</v>
      </c>
      <c r="D198" s="134">
        <v>77.569999999999993</v>
      </c>
      <c r="E198" s="67">
        <v>11682</v>
      </c>
      <c r="F198" s="146">
        <v>0</v>
      </c>
      <c r="G198" s="146">
        <v>0</v>
      </c>
      <c r="H198" s="91">
        <v>11682</v>
      </c>
      <c r="I198" s="67">
        <v>0</v>
      </c>
      <c r="J198" s="739">
        <v>11682</v>
      </c>
      <c r="K198" s="132" t="s">
        <v>621</v>
      </c>
      <c r="L198" s="740">
        <v>0</v>
      </c>
      <c r="M198" s="741">
        <v>77.569999999999993</v>
      </c>
      <c r="N198" s="67">
        <v>0</v>
      </c>
      <c r="O198" s="67">
        <v>11682</v>
      </c>
      <c r="Q198" s="674">
        <v>0</v>
      </c>
      <c r="R198" s="674">
        <v>11682</v>
      </c>
      <c r="S198" s="71">
        <v>150.59945855356455</v>
      </c>
      <c r="T198" s="449"/>
      <c r="U198" s="67">
        <v>12544</v>
      </c>
      <c r="V198" s="163">
        <v>-862</v>
      </c>
      <c r="W198" s="166">
        <v>-6.8718112244897961E-2</v>
      </c>
      <c r="X198" s="61"/>
      <c r="Z198" s="67"/>
      <c r="AA198" s="451"/>
      <c r="AB198" s="452"/>
      <c r="AE198" s="36"/>
      <c r="AF198" s="36"/>
      <c r="AG198" s="36"/>
      <c r="AH198" s="19"/>
    </row>
    <row r="199" spans="1:34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739">
        <v>0</v>
      </c>
      <c r="K199" s="132" t="s">
        <v>621</v>
      </c>
      <c r="L199" s="740">
        <v>0</v>
      </c>
      <c r="M199" s="741">
        <v>0</v>
      </c>
      <c r="N199" s="67">
        <v>0</v>
      </c>
      <c r="O199" s="67">
        <v>0</v>
      </c>
      <c r="Q199" s="674">
        <v>0</v>
      </c>
      <c r="R199" s="674">
        <v>0</v>
      </c>
      <c r="S199" s="71">
        <v>0</v>
      </c>
      <c r="T199" s="449"/>
      <c r="U199" s="67">
        <v>0</v>
      </c>
      <c r="V199" s="163">
        <v>0</v>
      </c>
      <c r="W199" s="166">
        <v>0</v>
      </c>
      <c r="X199" s="61"/>
      <c r="Z199" s="67"/>
      <c r="AA199" s="451"/>
      <c r="AB199" s="452"/>
      <c r="AE199" s="36"/>
      <c r="AF199" s="36"/>
      <c r="AG199" s="36"/>
      <c r="AH199" s="19"/>
    </row>
    <row r="200" spans="1:34">
      <c r="A200" s="64" t="s">
        <v>596</v>
      </c>
      <c r="B200" s="63" t="s">
        <v>112</v>
      </c>
      <c r="C200" s="63" t="s">
        <v>113</v>
      </c>
      <c r="D200" s="134">
        <v>3</v>
      </c>
      <c r="E200" s="67">
        <v>452</v>
      </c>
      <c r="F200" s="146">
        <v>0</v>
      </c>
      <c r="G200" s="146">
        <v>0</v>
      </c>
      <c r="H200" s="91">
        <v>452</v>
      </c>
      <c r="I200" s="67">
        <v>0</v>
      </c>
      <c r="J200" s="739">
        <v>452</v>
      </c>
      <c r="K200" s="132" t="s">
        <v>621</v>
      </c>
      <c r="L200" s="740">
        <v>0</v>
      </c>
      <c r="M200" s="741">
        <v>3</v>
      </c>
      <c r="N200" s="67">
        <v>0</v>
      </c>
      <c r="O200" s="67">
        <v>452</v>
      </c>
      <c r="Q200" s="674">
        <v>0</v>
      </c>
      <c r="R200" s="674">
        <v>452</v>
      </c>
      <c r="S200" s="71">
        <v>150.66666666666666</v>
      </c>
      <c r="T200" s="449"/>
      <c r="U200" s="67">
        <v>452</v>
      </c>
      <c r="V200" s="163">
        <v>0</v>
      </c>
      <c r="W200" s="166">
        <v>0</v>
      </c>
      <c r="X200" s="61"/>
      <c r="Z200" s="67"/>
      <c r="AA200" s="451"/>
      <c r="AB200" s="452"/>
      <c r="AE200" s="36"/>
      <c r="AF200" s="36"/>
      <c r="AG200" s="36"/>
      <c r="AH200" s="19"/>
    </row>
    <row r="201" spans="1:34">
      <c r="A201" s="64" t="s">
        <v>600</v>
      </c>
      <c r="B201" s="63" t="s">
        <v>39</v>
      </c>
      <c r="C201" s="63" t="s">
        <v>40</v>
      </c>
      <c r="D201" s="134">
        <v>43.29</v>
      </c>
      <c r="E201" s="67">
        <v>6519</v>
      </c>
      <c r="F201" s="146">
        <v>0</v>
      </c>
      <c r="G201" s="146">
        <v>0</v>
      </c>
      <c r="H201" s="91">
        <v>6519</v>
      </c>
      <c r="I201" s="67">
        <v>0</v>
      </c>
      <c r="J201" s="739">
        <v>6519</v>
      </c>
      <c r="K201" s="132" t="s">
        <v>621</v>
      </c>
      <c r="L201" s="740">
        <v>0</v>
      </c>
      <c r="M201" s="741">
        <v>43.29</v>
      </c>
      <c r="N201" s="67">
        <v>0</v>
      </c>
      <c r="O201" s="67">
        <v>6519</v>
      </c>
      <c r="Q201" s="674">
        <v>0</v>
      </c>
      <c r="R201" s="674">
        <v>6519</v>
      </c>
      <c r="S201" s="71">
        <v>150.5890505890506</v>
      </c>
      <c r="T201" s="449"/>
      <c r="U201" s="67">
        <v>0</v>
      </c>
      <c r="V201" s="163">
        <v>6519</v>
      </c>
      <c r="W201" s="166">
        <v>0</v>
      </c>
      <c r="X201" s="61"/>
      <c r="Z201" s="67"/>
      <c r="AA201" s="451"/>
      <c r="AB201" s="452"/>
      <c r="AE201" s="36"/>
      <c r="AF201" s="36"/>
      <c r="AG201" s="36"/>
      <c r="AH201" s="19"/>
    </row>
    <row r="202" spans="1:34">
      <c r="A202" s="64" t="s">
        <v>600</v>
      </c>
      <c r="B202" s="63" t="s">
        <v>171</v>
      </c>
      <c r="C202" s="63" t="s">
        <v>172</v>
      </c>
      <c r="D202" s="134">
        <v>10.71</v>
      </c>
      <c r="E202" s="67">
        <v>1613</v>
      </c>
      <c r="F202" s="146">
        <v>0</v>
      </c>
      <c r="G202" s="146">
        <v>0</v>
      </c>
      <c r="H202" s="91">
        <v>1613</v>
      </c>
      <c r="I202" s="67">
        <v>0</v>
      </c>
      <c r="J202" s="739">
        <v>1613</v>
      </c>
      <c r="K202" s="132" t="s">
        <v>621</v>
      </c>
      <c r="L202" s="740">
        <v>0</v>
      </c>
      <c r="M202" s="741">
        <v>10.71</v>
      </c>
      <c r="N202" s="67">
        <v>0</v>
      </c>
      <c r="O202" s="67">
        <v>1613</v>
      </c>
      <c r="Q202" s="674">
        <v>0</v>
      </c>
      <c r="R202" s="674">
        <v>1613</v>
      </c>
      <c r="S202" s="71">
        <v>150.60690943043883</v>
      </c>
      <c r="T202" s="449"/>
      <c r="U202" s="67">
        <v>1748</v>
      </c>
      <c r="V202" s="163">
        <v>-135</v>
      </c>
      <c r="W202" s="166">
        <v>-7.7231121281464532E-2</v>
      </c>
      <c r="X202" s="61"/>
      <c r="Z202" s="67"/>
      <c r="AA202" s="451"/>
      <c r="AB202" s="452"/>
      <c r="AE202" s="36"/>
      <c r="AF202" s="36"/>
      <c r="AG202" s="36"/>
      <c r="AH202" s="19"/>
    </row>
    <row r="203" spans="1:34">
      <c r="A203" s="64" t="s">
        <v>596</v>
      </c>
      <c r="B203" s="63" t="s">
        <v>502</v>
      </c>
      <c r="C203" s="63" t="s">
        <v>503</v>
      </c>
      <c r="D203" s="134">
        <v>120.43</v>
      </c>
      <c r="E203" s="67">
        <v>18137</v>
      </c>
      <c r="F203" s="146">
        <v>0</v>
      </c>
      <c r="G203" s="146">
        <v>0</v>
      </c>
      <c r="H203" s="91">
        <v>18137</v>
      </c>
      <c r="I203" s="67">
        <v>0</v>
      </c>
      <c r="J203" s="739">
        <v>18137</v>
      </c>
      <c r="K203" s="132" t="s">
        <v>621</v>
      </c>
      <c r="L203" s="740">
        <v>0</v>
      </c>
      <c r="M203" s="741">
        <v>120.43</v>
      </c>
      <c r="N203" s="67">
        <v>0</v>
      </c>
      <c r="O203" s="67">
        <v>18137</v>
      </c>
      <c r="Q203" s="674">
        <v>0</v>
      </c>
      <c r="R203" s="674">
        <v>18137</v>
      </c>
      <c r="S203" s="71">
        <v>150.60200946607986</v>
      </c>
      <c r="T203" s="449"/>
      <c r="U203" s="67">
        <v>18038</v>
      </c>
      <c r="V203" s="163">
        <v>99</v>
      </c>
      <c r="W203" s="166">
        <v>5.488413349595299E-3</v>
      </c>
      <c r="X203" s="61"/>
      <c r="Z203" s="67"/>
      <c r="AA203" s="451"/>
      <c r="AB203" s="452"/>
      <c r="AE203" s="36"/>
      <c r="AF203" s="36"/>
      <c r="AG203" s="36"/>
      <c r="AH203" s="19"/>
    </row>
    <row r="204" spans="1:34">
      <c r="A204" s="64" t="s">
        <v>596</v>
      </c>
      <c r="B204" s="63" t="s">
        <v>21</v>
      </c>
      <c r="C204" s="63" t="s">
        <v>22</v>
      </c>
      <c r="D204" s="134">
        <v>614</v>
      </c>
      <c r="E204" s="67">
        <v>92468</v>
      </c>
      <c r="F204" s="146">
        <v>0</v>
      </c>
      <c r="G204" s="146">
        <v>0</v>
      </c>
      <c r="H204" s="91">
        <v>92468</v>
      </c>
      <c r="I204" s="67">
        <v>0</v>
      </c>
      <c r="J204" s="739">
        <v>92468</v>
      </c>
      <c r="K204" s="132" t="s">
        <v>621</v>
      </c>
      <c r="L204" s="740">
        <v>0</v>
      </c>
      <c r="M204" s="741">
        <v>614</v>
      </c>
      <c r="N204" s="67">
        <v>0</v>
      </c>
      <c r="O204" s="67">
        <v>92468</v>
      </c>
      <c r="Q204" s="674">
        <v>0</v>
      </c>
      <c r="R204" s="674">
        <v>92468</v>
      </c>
      <c r="S204" s="71">
        <v>150.59934853420197</v>
      </c>
      <c r="T204" s="449"/>
      <c r="U204" s="67">
        <v>100905</v>
      </c>
      <c r="V204" s="163">
        <v>-8437</v>
      </c>
      <c r="W204" s="166">
        <v>-8.361329963827363E-2</v>
      </c>
      <c r="X204" s="61"/>
      <c r="Z204" s="67"/>
      <c r="AA204" s="451"/>
      <c r="AB204" s="452"/>
      <c r="AE204" s="36"/>
      <c r="AF204" s="36"/>
      <c r="AG204" s="36"/>
      <c r="AH204" s="19"/>
    </row>
    <row r="205" spans="1:34">
      <c r="A205" s="64" t="s">
        <v>603</v>
      </c>
      <c r="B205" s="63" t="s">
        <v>523</v>
      </c>
      <c r="C205" s="63" t="s">
        <v>524</v>
      </c>
      <c r="D205" s="134">
        <v>117.14</v>
      </c>
      <c r="E205" s="67">
        <v>17641</v>
      </c>
      <c r="F205" s="146">
        <v>0</v>
      </c>
      <c r="G205" s="146">
        <v>0</v>
      </c>
      <c r="H205" s="91">
        <v>17641</v>
      </c>
      <c r="I205" s="67">
        <v>0</v>
      </c>
      <c r="J205" s="739">
        <v>17641</v>
      </c>
      <c r="K205" s="132" t="s">
        <v>621</v>
      </c>
      <c r="L205" s="740">
        <v>0</v>
      </c>
      <c r="M205" s="741">
        <v>117.14</v>
      </c>
      <c r="N205" s="67">
        <v>0</v>
      </c>
      <c r="O205" s="67">
        <v>17641</v>
      </c>
      <c r="Q205" s="674">
        <v>0</v>
      </c>
      <c r="R205" s="674">
        <v>17641</v>
      </c>
      <c r="S205" s="71">
        <v>150.59757555062319</v>
      </c>
      <c r="T205" s="449"/>
      <c r="U205" s="67">
        <v>19297</v>
      </c>
      <c r="V205" s="163">
        <v>-1656</v>
      </c>
      <c r="W205" s="166">
        <v>-8.5816448152562577E-2</v>
      </c>
      <c r="X205" s="61"/>
      <c r="Z205" s="67"/>
      <c r="AA205" s="451"/>
      <c r="AB205" s="452"/>
      <c r="AE205" s="36"/>
      <c r="AF205" s="36"/>
      <c r="AG205" s="36"/>
      <c r="AH205" s="19"/>
    </row>
    <row r="206" spans="1:34">
      <c r="A206" s="64" t="s">
        <v>597</v>
      </c>
      <c r="B206" s="63" t="s">
        <v>343</v>
      </c>
      <c r="C206" s="63" t="s">
        <v>344</v>
      </c>
      <c r="D206" s="134">
        <v>821.57</v>
      </c>
      <c r="E206" s="67">
        <v>123729</v>
      </c>
      <c r="F206" s="146">
        <v>0</v>
      </c>
      <c r="G206" s="146">
        <v>0</v>
      </c>
      <c r="H206" s="91">
        <v>123729</v>
      </c>
      <c r="I206" s="67">
        <v>0</v>
      </c>
      <c r="J206" s="739">
        <v>123729</v>
      </c>
      <c r="K206" s="132" t="s">
        <v>621</v>
      </c>
      <c r="L206" s="740">
        <v>0</v>
      </c>
      <c r="M206" s="741">
        <v>821.57</v>
      </c>
      <c r="N206" s="67">
        <v>0</v>
      </c>
      <c r="O206" s="67">
        <v>123729</v>
      </c>
      <c r="Q206" s="674">
        <v>0</v>
      </c>
      <c r="R206" s="674">
        <v>123729</v>
      </c>
      <c r="S206" s="71">
        <v>150.60067918740947</v>
      </c>
      <c r="T206" s="449"/>
      <c r="U206" s="67">
        <v>117418</v>
      </c>
      <c r="V206" s="163">
        <v>6311</v>
      </c>
      <c r="W206" s="166">
        <v>5.3748147643461822E-2</v>
      </c>
      <c r="X206" s="61"/>
      <c r="Z206" s="67"/>
      <c r="AA206" s="451"/>
      <c r="AB206" s="452"/>
      <c r="AE206" s="36"/>
      <c r="AF206" s="36"/>
      <c r="AG206" s="36"/>
      <c r="AH206" s="19"/>
    </row>
    <row r="207" spans="1:34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739">
        <v>0</v>
      </c>
      <c r="K207" s="132" t="s">
        <v>621</v>
      </c>
      <c r="L207" s="740">
        <v>0</v>
      </c>
      <c r="M207" s="741">
        <v>0</v>
      </c>
      <c r="N207" s="67">
        <v>0</v>
      </c>
      <c r="O207" s="67">
        <v>0</v>
      </c>
      <c r="Q207" s="674">
        <v>0</v>
      </c>
      <c r="R207" s="674">
        <v>0</v>
      </c>
      <c r="S207" s="71">
        <v>0</v>
      </c>
      <c r="T207" s="449"/>
      <c r="U207" s="67">
        <v>0</v>
      </c>
      <c r="V207" s="163">
        <v>0</v>
      </c>
      <c r="W207" s="166">
        <v>0</v>
      </c>
      <c r="X207" s="61"/>
      <c r="Z207" s="67"/>
      <c r="AA207" s="451"/>
      <c r="AB207" s="452"/>
      <c r="AE207" s="36"/>
      <c r="AF207" s="36"/>
      <c r="AG207" s="36"/>
      <c r="AH207" s="19"/>
    </row>
    <row r="208" spans="1:34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739">
        <v>0</v>
      </c>
      <c r="K208" s="132" t="s">
        <v>621</v>
      </c>
      <c r="L208" s="740">
        <v>0</v>
      </c>
      <c r="M208" s="741">
        <v>0</v>
      </c>
      <c r="N208" s="67">
        <v>0</v>
      </c>
      <c r="O208" s="67">
        <v>0</v>
      </c>
      <c r="Q208" s="674">
        <v>0</v>
      </c>
      <c r="R208" s="674">
        <v>0</v>
      </c>
      <c r="S208" s="71">
        <v>0</v>
      </c>
      <c r="T208" s="449"/>
      <c r="U208" s="67">
        <v>0</v>
      </c>
      <c r="V208" s="163">
        <v>0</v>
      </c>
      <c r="W208" s="166">
        <v>0</v>
      </c>
      <c r="X208" s="61"/>
      <c r="Z208" s="67"/>
      <c r="AA208" s="451"/>
      <c r="AB208" s="452"/>
      <c r="AE208" s="36"/>
      <c r="AF208" s="36"/>
      <c r="AG208" s="36"/>
      <c r="AH208" s="19"/>
    </row>
    <row r="209" spans="1:34">
      <c r="A209" s="64" t="s">
        <v>600</v>
      </c>
      <c r="B209" s="63" t="s">
        <v>47</v>
      </c>
      <c r="C209" s="63" t="s">
        <v>48</v>
      </c>
      <c r="D209" s="134">
        <v>92.57</v>
      </c>
      <c r="E209" s="67">
        <v>13941</v>
      </c>
      <c r="F209" s="146">
        <v>0</v>
      </c>
      <c r="G209" s="146">
        <v>0</v>
      </c>
      <c r="H209" s="91">
        <v>13941</v>
      </c>
      <c r="I209" s="67">
        <v>0</v>
      </c>
      <c r="J209" s="739">
        <v>13941</v>
      </c>
      <c r="K209" s="132" t="s">
        <v>621</v>
      </c>
      <c r="L209" s="740">
        <v>0</v>
      </c>
      <c r="M209" s="741">
        <v>92.57</v>
      </c>
      <c r="N209" s="67">
        <v>0</v>
      </c>
      <c r="O209" s="67">
        <v>13941</v>
      </c>
      <c r="Q209" s="674">
        <v>0</v>
      </c>
      <c r="R209" s="674">
        <v>13941</v>
      </c>
      <c r="S209" s="71">
        <v>150.59954628929461</v>
      </c>
      <c r="T209" s="449"/>
      <c r="U209" s="67">
        <v>15271</v>
      </c>
      <c r="V209" s="163">
        <v>-1330</v>
      </c>
      <c r="W209" s="166">
        <v>-8.709318315761902E-2</v>
      </c>
      <c r="X209" s="61"/>
      <c r="Z209" s="67"/>
      <c r="AA209" s="451"/>
      <c r="AB209" s="452"/>
      <c r="AE209" s="36"/>
      <c r="AF209" s="36"/>
      <c r="AG209" s="36"/>
      <c r="AH209" s="19"/>
    </row>
    <row r="210" spans="1:34">
      <c r="A210" s="64" t="s">
        <v>594</v>
      </c>
      <c r="B210" s="63" t="s">
        <v>145</v>
      </c>
      <c r="C210" s="63" t="s">
        <v>146</v>
      </c>
      <c r="D210" s="134">
        <v>75.86</v>
      </c>
      <c r="E210" s="67">
        <v>11425</v>
      </c>
      <c r="F210" s="146">
        <v>0</v>
      </c>
      <c r="G210" s="146">
        <v>0</v>
      </c>
      <c r="H210" s="91">
        <v>11425</v>
      </c>
      <c r="I210" s="67">
        <v>0</v>
      </c>
      <c r="J210" s="739">
        <v>11425</v>
      </c>
      <c r="K210" s="132" t="s">
        <v>621</v>
      </c>
      <c r="L210" s="740">
        <v>0</v>
      </c>
      <c r="M210" s="741">
        <v>75.86</v>
      </c>
      <c r="N210" s="67">
        <v>0</v>
      </c>
      <c r="O210" s="67">
        <v>11425</v>
      </c>
      <c r="Q210" s="674">
        <v>0</v>
      </c>
      <c r="R210" s="674">
        <v>11425</v>
      </c>
      <c r="S210" s="71">
        <v>150.60638017400476</v>
      </c>
      <c r="T210" s="449"/>
      <c r="U210" s="67">
        <v>11058</v>
      </c>
      <c r="V210" s="163">
        <v>367</v>
      </c>
      <c r="W210" s="166">
        <v>3.3188641707361188E-2</v>
      </c>
      <c r="X210" s="61"/>
      <c r="Z210" s="67"/>
      <c r="AA210" s="451"/>
      <c r="AB210" s="452"/>
      <c r="AE210" s="36"/>
      <c r="AF210" s="36"/>
      <c r="AG210" s="36"/>
      <c r="AH210" s="19"/>
    </row>
    <row r="211" spans="1:34">
      <c r="A211" s="64" t="s">
        <v>601</v>
      </c>
      <c r="B211" s="63" t="s">
        <v>116</v>
      </c>
      <c r="C211" s="63" t="s">
        <v>117</v>
      </c>
      <c r="D211" s="134">
        <v>1083</v>
      </c>
      <c r="E211" s="67">
        <v>163100</v>
      </c>
      <c r="F211" s="146">
        <v>0</v>
      </c>
      <c r="G211" s="146">
        <v>0</v>
      </c>
      <c r="H211" s="91">
        <v>163100</v>
      </c>
      <c r="I211" s="67">
        <v>0</v>
      </c>
      <c r="J211" s="739">
        <v>163100</v>
      </c>
      <c r="K211" s="132" t="s">
        <v>621</v>
      </c>
      <c r="L211" s="740">
        <v>0</v>
      </c>
      <c r="M211" s="741">
        <v>1083</v>
      </c>
      <c r="N211" s="67">
        <v>0</v>
      </c>
      <c r="O211" s="67">
        <v>163100</v>
      </c>
      <c r="Q211" s="674">
        <v>0</v>
      </c>
      <c r="R211" s="674">
        <v>163100</v>
      </c>
      <c r="S211" s="71">
        <v>150.60018467220684</v>
      </c>
      <c r="T211" s="449"/>
      <c r="U211" s="67">
        <v>168030</v>
      </c>
      <c r="V211" s="163">
        <v>-4930</v>
      </c>
      <c r="W211" s="166">
        <v>-2.9339998809736357E-2</v>
      </c>
      <c r="X211" s="61"/>
      <c r="Z211" s="67"/>
      <c r="AA211" s="451"/>
      <c r="AB211" s="452"/>
      <c r="AE211" s="36"/>
      <c r="AF211" s="36"/>
      <c r="AG211" s="36"/>
      <c r="AH211" s="19"/>
    </row>
    <row r="212" spans="1:34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739">
        <v>0</v>
      </c>
      <c r="K212" s="132" t="s">
        <v>621</v>
      </c>
      <c r="L212" s="740">
        <v>0</v>
      </c>
      <c r="M212" s="741">
        <v>0</v>
      </c>
      <c r="N212" s="67">
        <v>0</v>
      </c>
      <c r="O212" s="67">
        <v>0</v>
      </c>
      <c r="Q212" s="674">
        <v>0</v>
      </c>
      <c r="R212" s="674">
        <v>0</v>
      </c>
      <c r="S212" s="71">
        <v>0</v>
      </c>
      <c r="T212" s="449"/>
      <c r="U212" s="67">
        <v>0</v>
      </c>
      <c r="V212" s="163">
        <v>0</v>
      </c>
      <c r="W212" s="166">
        <v>0</v>
      </c>
      <c r="X212" s="61"/>
      <c r="Z212" s="67"/>
      <c r="AA212" s="451"/>
      <c r="AB212" s="452"/>
      <c r="AE212" s="36"/>
      <c r="AF212" s="36"/>
      <c r="AG212" s="36"/>
      <c r="AH212" s="19"/>
    </row>
    <row r="213" spans="1:34">
      <c r="A213" s="64" t="s">
        <v>594</v>
      </c>
      <c r="B213" s="63" t="s">
        <v>327</v>
      </c>
      <c r="C213" s="63" t="s">
        <v>328</v>
      </c>
      <c r="D213" s="134">
        <v>70.14</v>
      </c>
      <c r="E213" s="67">
        <v>10563</v>
      </c>
      <c r="F213" s="146">
        <v>0</v>
      </c>
      <c r="G213" s="146">
        <v>0</v>
      </c>
      <c r="H213" s="91">
        <v>10563</v>
      </c>
      <c r="I213" s="67">
        <v>0</v>
      </c>
      <c r="J213" s="739">
        <v>10563</v>
      </c>
      <c r="K213" s="132" t="s">
        <v>621</v>
      </c>
      <c r="L213" s="740">
        <v>0</v>
      </c>
      <c r="M213" s="741">
        <v>70.14</v>
      </c>
      <c r="N213" s="67">
        <v>0</v>
      </c>
      <c r="O213" s="67">
        <v>10563</v>
      </c>
      <c r="Q213" s="674">
        <v>0</v>
      </c>
      <c r="R213" s="674">
        <v>10563</v>
      </c>
      <c r="S213" s="71">
        <v>150.59880239520959</v>
      </c>
      <c r="T213" s="449"/>
      <c r="U213" s="67">
        <v>10175</v>
      </c>
      <c r="V213" s="163">
        <v>388</v>
      </c>
      <c r="W213" s="166">
        <v>3.8132678132678136E-2</v>
      </c>
      <c r="X213" s="61"/>
      <c r="Z213" s="67"/>
      <c r="AA213" s="451"/>
      <c r="AB213" s="452"/>
      <c r="AE213" s="36"/>
      <c r="AF213" s="36"/>
      <c r="AG213" s="36"/>
      <c r="AH213" s="19"/>
    </row>
    <row r="214" spans="1:34">
      <c r="A214" s="64" t="s">
        <v>603</v>
      </c>
      <c r="B214" s="63" t="s">
        <v>282</v>
      </c>
      <c r="C214" s="63" t="s">
        <v>665</v>
      </c>
      <c r="D214" s="134">
        <v>26</v>
      </c>
      <c r="E214" s="67">
        <v>3916</v>
      </c>
      <c r="F214" s="146">
        <v>0</v>
      </c>
      <c r="G214" s="146">
        <v>0</v>
      </c>
      <c r="H214" s="91">
        <v>3916</v>
      </c>
      <c r="I214" s="67">
        <v>0</v>
      </c>
      <c r="J214" s="739">
        <v>3916</v>
      </c>
      <c r="K214" s="132" t="s">
        <v>621</v>
      </c>
      <c r="L214" s="740">
        <v>0</v>
      </c>
      <c r="M214" s="741">
        <v>26</v>
      </c>
      <c r="N214" s="67">
        <v>0</v>
      </c>
      <c r="O214" s="67">
        <v>3916</v>
      </c>
      <c r="Q214" s="674">
        <v>0</v>
      </c>
      <c r="R214" s="674">
        <v>3916</v>
      </c>
      <c r="S214" s="71">
        <v>150.61538461538461</v>
      </c>
      <c r="T214" s="449"/>
      <c r="U214" s="67">
        <v>0</v>
      </c>
      <c r="V214" s="163">
        <v>3916</v>
      </c>
      <c r="W214" s="166">
        <v>0</v>
      </c>
      <c r="X214" s="61"/>
      <c r="Z214" s="67"/>
      <c r="AA214" s="451"/>
      <c r="AB214" s="452"/>
      <c r="AE214" s="36"/>
      <c r="AF214" s="36"/>
      <c r="AG214" s="36"/>
      <c r="AH214" s="19"/>
    </row>
    <row r="215" spans="1:34">
      <c r="A215" s="64" t="s">
        <v>597</v>
      </c>
      <c r="B215" s="63" t="s">
        <v>185</v>
      </c>
      <c r="C215" s="63" t="s">
        <v>186</v>
      </c>
      <c r="D215" s="134">
        <v>2465.4299999999998</v>
      </c>
      <c r="E215" s="67">
        <v>371294</v>
      </c>
      <c r="F215" s="146">
        <v>0</v>
      </c>
      <c r="G215" s="146">
        <v>0</v>
      </c>
      <c r="H215" s="91">
        <v>371294</v>
      </c>
      <c r="I215" s="67">
        <v>0</v>
      </c>
      <c r="J215" s="739">
        <v>371294</v>
      </c>
      <c r="K215" s="132" t="s">
        <v>621</v>
      </c>
      <c r="L215" s="740">
        <v>0</v>
      </c>
      <c r="M215" s="741">
        <v>2465.4299999999998</v>
      </c>
      <c r="N215" s="67">
        <v>0</v>
      </c>
      <c r="O215" s="67">
        <v>371294</v>
      </c>
      <c r="Q215" s="674">
        <v>0</v>
      </c>
      <c r="R215" s="674">
        <v>371294</v>
      </c>
      <c r="S215" s="71">
        <v>150.60009815731942</v>
      </c>
      <c r="T215" s="449"/>
      <c r="U215" s="67">
        <v>372660</v>
      </c>
      <c r="V215" s="163">
        <v>-1366</v>
      </c>
      <c r="W215" s="166">
        <v>-3.665539633982719E-3</v>
      </c>
      <c r="X215" s="61"/>
      <c r="Z215" s="67"/>
      <c r="AA215" s="451"/>
      <c r="AB215" s="452"/>
      <c r="AE215" s="36"/>
      <c r="AF215" s="36"/>
      <c r="AG215" s="36"/>
      <c r="AH215" s="19"/>
    </row>
    <row r="216" spans="1:34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739">
        <v>0</v>
      </c>
      <c r="K216" s="132" t="s">
        <v>621</v>
      </c>
      <c r="L216" s="740">
        <v>0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1">
        <v>0</v>
      </c>
      <c r="T216" s="449"/>
      <c r="U216" s="67">
        <v>0</v>
      </c>
      <c r="V216" s="163">
        <v>0</v>
      </c>
      <c r="W216" s="166">
        <v>0</v>
      </c>
      <c r="X216" s="61"/>
      <c r="Z216" s="67"/>
      <c r="AA216" s="451"/>
      <c r="AB216" s="452"/>
      <c r="AE216" s="36"/>
      <c r="AF216" s="36"/>
      <c r="AG216" s="36"/>
      <c r="AH216" s="19"/>
    </row>
    <row r="217" spans="1:34">
      <c r="A217" s="64" t="s">
        <v>596</v>
      </c>
      <c r="B217" s="63" t="s">
        <v>23</v>
      </c>
      <c r="C217" s="63" t="s">
        <v>24</v>
      </c>
      <c r="D217" s="134">
        <v>388.86</v>
      </c>
      <c r="E217" s="67">
        <v>58562</v>
      </c>
      <c r="F217" s="146">
        <v>0</v>
      </c>
      <c r="G217" s="146">
        <v>0</v>
      </c>
      <c r="H217" s="91">
        <v>58562</v>
      </c>
      <c r="I217" s="67">
        <v>0</v>
      </c>
      <c r="J217" s="739">
        <v>58562</v>
      </c>
      <c r="K217" s="132" t="s">
        <v>621</v>
      </c>
      <c r="L217" s="740">
        <v>0</v>
      </c>
      <c r="M217" s="741">
        <v>388.86</v>
      </c>
      <c r="N217" s="67">
        <v>0</v>
      </c>
      <c r="O217" s="67">
        <v>58562</v>
      </c>
      <c r="Q217" s="674">
        <v>0</v>
      </c>
      <c r="R217" s="674">
        <v>58562</v>
      </c>
      <c r="S217" s="71">
        <v>150.5991873682045</v>
      </c>
      <c r="T217" s="449"/>
      <c r="U217" s="67">
        <v>57439</v>
      </c>
      <c r="V217" s="163">
        <v>1123</v>
      </c>
      <c r="W217" s="166">
        <v>1.9551176030223369E-2</v>
      </c>
      <c r="X217" s="61"/>
      <c r="Z217" s="67"/>
      <c r="AA217" s="451"/>
      <c r="AB217" s="452"/>
      <c r="AE217" s="36"/>
      <c r="AF217" s="36"/>
      <c r="AG217" s="36"/>
      <c r="AH217" s="19"/>
    </row>
    <row r="218" spans="1:34">
      <c r="A218" s="64" t="s">
        <v>599</v>
      </c>
      <c r="B218" s="63" t="s">
        <v>64</v>
      </c>
      <c r="C218" s="63" t="s">
        <v>65</v>
      </c>
      <c r="D218" s="134">
        <v>66</v>
      </c>
      <c r="E218" s="67">
        <v>9940</v>
      </c>
      <c r="F218" s="146">
        <v>0</v>
      </c>
      <c r="G218" s="146">
        <v>0</v>
      </c>
      <c r="H218" s="91">
        <v>9940</v>
      </c>
      <c r="I218" s="67">
        <v>0</v>
      </c>
      <c r="J218" s="739">
        <v>9940</v>
      </c>
      <c r="K218" s="132" t="s">
        <v>621</v>
      </c>
      <c r="L218" s="740">
        <v>0</v>
      </c>
      <c r="M218" s="741">
        <v>66</v>
      </c>
      <c r="N218" s="67">
        <v>0</v>
      </c>
      <c r="O218" s="67">
        <v>9940</v>
      </c>
      <c r="Q218" s="674">
        <v>0</v>
      </c>
      <c r="R218" s="674">
        <v>9940</v>
      </c>
      <c r="S218" s="71">
        <v>150.60606060606059</v>
      </c>
      <c r="T218" s="449"/>
      <c r="U218" s="67">
        <v>10082</v>
      </c>
      <c r="V218" s="163">
        <v>-142</v>
      </c>
      <c r="W218" s="166">
        <v>-1.4084507042253521E-2</v>
      </c>
      <c r="X218" s="61"/>
      <c r="Z218" s="67"/>
      <c r="AA218" s="451"/>
      <c r="AB218" s="452"/>
      <c r="AE218" s="36"/>
      <c r="AF218" s="36"/>
      <c r="AG218" s="36"/>
      <c r="AH218" s="19"/>
    </row>
    <row r="219" spans="1:34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739">
        <v>0</v>
      </c>
      <c r="K219" s="132" t="s">
        <v>621</v>
      </c>
      <c r="L219" s="740">
        <v>0</v>
      </c>
      <c r="M219" s="741">
        <v>0</v>
      </c>
      <c r="N219" s="67">
        <v>0</v>
      </c>
      <c r="O219" s="67">
        <v>0</v>
      </c>
      <c r="Q219" s="674">
        <v>0</v>
      </c>
      <c r="R219" s="674">
        <v>0</v>
      </c>
      <c r="S219" s="71">
        <v>0</v>
      </c>
      <c r="T219" s="449"/>
      <c r="U219" s="67">
        <v>0</v>
      </c>
      <c r="V219" s="163">
        <v>0</v>
      </c>
      <c r="W219" s="166">
        <v>0</v>
      </c>
      <c r="X219" s="61"/>
      <c r="Z219" s="67"/>
      <c r="AA219" s="451"/>
      <c r="AB219" s="452"/>
      <c r="AE219" s="36"/>
      <c r="AF219" s="36"/>
      <c r="AG219" s="36"/>
      <c r="AH219" s="19"/>
    </row>
    <row r="220" spans="1:34">
      <c r="A220" s="64" t="s">
        <v>603</v>
      </c>
      <c r="B220" s="63" t="s">
        <v>446</v>
      </c>
      <c r="C220" s="63" t="s">
        <v>447</v>
      </c>
      <c r="D220" s="134">
        <v>13.43</v>
      </c>
      <c r="E220" s="67">
        <v>2023</v>
      </c>
      <c r="F220" s="146">
        <v>0</v>
      </c>
      <c r="G220" s="146">
        <v>0</v>
      </c>
      <c r="H220" s="91">
        <v>2023</v>
      </c>
      <c r="I220" s="67">
        <v>0</v>
      </c>
      <c r="J220" s="739">
        <v>2023</v>
      </c>
      <c r="K220" s="132" t="s">
        <v>621</v>
      </c>
      <c r="L220" s="740">
        <v>0</v>
      </c>
      <c r="M220" s="741">
        <v>13.43</v>
      </c>
      <c r="N220" s="67">
        <v>0</v>
      </c>
      <c r="O220" s="67">
        <v>2023</v>
      </c>
      <c r="Q220" s="674">
        <v>0</v>
      </c>
      <c r="R220" s="674">
        <v>2023</v>
      </c>
      <c r="S220" s="71">
        <v>150.63291139240508</v>
      </c>
      <c r="T220" s="449"/>
      <c r="U220" s="67">
        <v>0</v>
      </c>
      <c r="V220" s="163">
        <v>2023</v>
      </c>
      <c r="W220" s="166">
        <v>0</v>
      </c>
      <c r="X220" s="61"/>
      <c r="Z220" s="67"/>
      <c r="AA220" s="451"/>
      <c r="AB220" s="452"/>
      <c r="AE220" s="36"/>
      <c r="AF220" s="36"/>
      <c r="AG220" s="36"/>
      <c r="AH220" s="19"/>
    </row>
    <row r="221" spans="1:34">
      <c r="A221" s="64" t="s">
        <v>597</v>
      </c>
      <c r="B221" s="63" t="s">
        <v>193</v>
      </c>
      <c r="C221" s="63" t="s">
        <v>194</v>
      </c>
      <c r="D221" s="134">
        <v>88.29</v>
      </c>
      <c r="E221" s="67">
        <v>13296</v>
      </c>
      <c r="F221" s="146">
        <v>0</v>
      </c>
      <c r="G221" s="146">
        <v>0</v>
      </c>
      <c r="H221" s="91">
        <v>13296</v>
      </c>
      <c r="I221" s="67">
        <v>0</v>
      </c>
      <c r="J221" s="739">
        <v>13296</v>
      </c>
      <c r="K221" s="132" t="s">
        <v>621</v>
      </c>
      <c r="L221" s="740">
        <v>0</v>
      </c>
      <c r="M221" s="741">
        <v>88.29</v>
      </c>
      <c r="N221" s="67">
        <v>0</v>
      </c>
      <c r="O221" s="67">
        <v>13296</v>
      </c>
      <c r="Q221" s="674">
        <v>0</v>
      </c>
      <c r="R221" s="674">
        <v>13296</v>
      </c>
      <c r="S221" s="71">
        <v>150.59463132857627</v>
      </c>
      <c r="T221" s="449"/>
      <c r="U221" s="67">
        <v>12375</v>
      </c>
      <c r="V221" s="163">
        <v>921</v>
      </c>
      <c r="W221" s="166">
        <v>7.4424242424242421E-2</v>
      </c>
      <c r="X221" s="61"/>
      <c r="Z221" s="67"/>
      <c r="AA221" s="451"/>
      <c r="AB221" s="452"/>
      <c r="AE221" s="36"/>
      <c r="AF221" s="36"/>
      <c r="AG221" s="36"/>
      <c r="AH221" s="19"/>
    </row>
    <row r="222" spans="1:34">
      <c r="A222" s="64" t="s">
        <v>594</v>
      </c>
      <c r="B222" s="63" t="s">
        <v>484</v>
      </c>
      <c r="C222" s="63" t="s">
        <v>485</v>
      </c>
      <c r="D222" s="134">
        <v>124.14</v>
      </c>
      <c r="E222" s="67">
        <v>18695</v>
      </c>
      <c r="F222" s="146">
        <v>0</v>
      </c>
      <c r="G222" s="146">
        <v>0</v>
      </c>
      <c r="H222" s="91">
        <v>18695</v>
      </c>
      <c r="I222" s="67">
        <v>0</v>
      </c>
      <c r="J222" s="739">
        <v>18695</v>
      </c>
      <c r="K222" s="132" t="s">
        <v>621</v>
      </c>
      <c r="L222" s="740">
        <v>0</v>
      </c>
      <c r="M222" s="741">
        <v>124.14</v>
      </c>
      <c r="N222" s="67">
        <v>0</v>
      </c>
      <c r="O222" s="67">
        <v>18695</v>
      </c>
      <c r="Q222" s="674">
        <v>0</v>
      </c>
      <c r="R222" s="674">
        <v>18695</v>
      </c>
      <c r="S222" s="71">
        <v>150.59610117609151</v>
      </c>
      <c r="T222" s="449"/>
      <c r="U222" s="67">
        <v>21214</v>
      </c>
      <c r="V222" s="163">
        <v>-2519</v>
      </c>
      <c r="W222" s="166">
        <v>-0.1187423399641746</v>
      </c>
      <c r="X222" s="61"/>
      <c r="Z222" s="67"/>
      <c r="AA222" s="451"/>
      <c r="AB222" s="452"/>
      <c r="AE222" s="36"/>
      <c r="AF222" s="36"/>
      <c r="AG222" s="36"/>
      <c r="AH222" s="19"/>
    </row>
    <row r="223" spans="1:34">
      <c r="A223" s="64" t="s">
        <v>599</v>
      </c>
      <c r="B223" s="63" t="s">
        <v>244</v>
      </c>
      <c r="C223" s="63" t="s">
        <v>245</v>
      </c>
      <c r="D223" s="134">
        <v>11.14</v>
      </c>
      <c r="E223" s="67">
        <v>1678</v>
      </c>
      <c r="F223" s="146">
        <v>0</v>
      </c>
      <c r="G223" s="146">
        <v>0</v>
      </c>
      <c r="H223" s="91">
        <v>1678</v>
      </c>
      <c r="I223" s="67">
        <v>0</v>
      </c>
      <c r="J223" s="739">
        <v>1678</v>
      </c>
      <c r="K223" s="132" t="s">
        <v>621</v>
      </c>
      <c r="L223" s="740">
        <v>0</v>
      </c>
      <c r="M223" s="741">
        <v>11.14</v>
      </c>
      <c r="N223" s="67">
        <v>0</v>
      </c>
      <c r="O223" s="67">
        <v>1678</v>
      </c>
      <c r="Q223" s="674">
        <v>0</v>
      </c>
      <c r="R223" s="674">
        <v>1678</v>
      </c>
      <c r="S223" s="71">
        <v>150.62836624775582</v>
      </c>
      <c r="T223" s="449"/>
      <c r="U223" s="67">
        <v>0</v>
      </c>
      <c r="V223" s="163">
        <v>1678</v>
      </c>
      <c r="W223" s="166">
        <v>0</v>
      </c>
      <c r="X223" s="61"/>
      <c r="Z223" s="67"/>
      <c r="AA223" s="451"/>
      <c r="AB223" s="452"/>
      <c r="AE223" s="36"/>
      <c r="AF223" s="36"/>
      <c r="AG223" s="36"/>
      <c r="AH223" s="19"/>
    </row>
    <row r="224" spans="1:34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739">
        <v>0</v>
      </c>
      <c r="K224" s="132" t="s">
        <v>621</v>
      </c>
      <c r="L224" s="740">
        <v>0</v>
      </c>
      <c r="M224" s="741">
        <v>0</v>
      </c>
      <c r="N224" s="67">
        <v>0</v>
      </c>
      <c r="O224" s="67">
        <v>0</v>
      </c>
      <c r="Q224" s="674">
        <v>0</v>
      </c>
      <c r="R224" s="674">
        <v>0</v>
      </c>
      <c r="S224" s="71">
        <v>0</v>
      </c>
      <c r="T224" s="449"/>
      <c r="U224" s="67">
        <v>0</v>
      </c>
      <c r="V224" s="163">
        <v>0</v>
      </c>
      <c r="W224" s="166">
        <v>0</v>
      </c>
      <c r="X224" s="61"/>
      <c r="Z224" s="67"/>
      <c r="AA224" s="451"/>
      <c r="AB224" s="452"/>
      <c r="AE224" s="36"/>
      <c r="AF224" s="36"/>
      <c r="AG224" s="36"/>
      <c r="AH224" s="19"/>
    </row>
    <row r="225" spans="1:34">
      <c r="A225" s="64" t="s">
        <v>605</v>
      </c>
      <c r="B225" s="63" t="s">
        <v>123</v>
      </c>
      <c r="C225" s="63" t="s">
        <v>124</v>
      </c>
      <c r="D225" s="134">
        <v>713.43</v>
      </c>
      <c r="E225" s="67">
        <v>107443</v>
      </c>
      <c r="F225" s="146">
        <v>0</v>
      </c>
      <c r="G225" s="146">
        <v>0</v>
      </c>
      <c r="H225" s="91">
        <v>107443</v>
      </c>
      <c r="I225" s="67">
        <v>0</v>
      </c>
      <c r="J225" s="739">
        <v>107443</v>
      </c>
      <c r="K225" s="132" t="s">
        <v>621</v>
      </c>
      <c r="L225" s="740">
        <v>0</v>
      </c>
      <c r="M225" s="741">
        <v>713.43</v>
      </c>
      <c r="N225" s="67">
        <v>0</v>
      </c>
      <c r="O225" s="67">
        <v>107443</v>
      </c>
      <c r="Q225" s="674">
        <v>0</v>
      </c>
      <c r="R225" s="674">
        <v>107443</v>
      </c>
      <c r="S225" s="71">
        <v>150.60061954221158</v>
      </c>
      <c r="T225" s="449"/>
      <c r="U225" s="67">
        <v>115009</v>
      </c>
      <c r="V225" s="163">
        <v>-7566</v>
      </c>
      <c r="W225" s="166">
        <v>-6.5786155866062651E-2</v>
      </c>
      <c r="X225" s="61"/>
      <c r="Z225" s="67"/>
      <c r="AA225" s="451"/>
      <c r="AB225" s="452"/>
      <c r="AE225" s="36"/>
      <c r="AF225" s="36"/>
      <c r="AG225" s="36"/>
      <c r="AH225" s="19"/>
    </row>
    <row r="226" spans="1:34">
      <c r="A226" s="64" t="s">
        <v>595</v>
      </c>
      <c r="B226" s="63" t="s">
        <v>375</v>
      </c>
      <c r="C226" s="63" t="s">
        <v>614</v>
      </c>
      <c r="D226" s="134">
        <v>33.57</v>
      </c>
      <c r="E226" s="67">
        <v>5056</v>
      </c>
      <c r="F226" s="146">
        <v>0</v>
      </c>
      <c r="G226" s="146">
        <v>0</v>
      </c>
      <c r="H226" s="91">
        <v>5056</v>
      </c>
      <c r="I226" s="67">
        <v>0</v>
      </c>
      <c r="J226" s="739">
        <v>5056</v>
      </c>
      <c r="K226" s="132" t="s">
        <v>621</v>
      </c>
      <c r="L226" s="740">
        <v>0</v>
      </c>
      <c r="M226" s="741">
        <v>33.57</v>
      </c>
      <c r="N226" s="67">
        <v>0</v>
      </c>
      <c r="O226" s="67">
        <v>5056</v>
      </c>
      <c r="Q226" s="674">
        <v>0</v>
      </c>
      <c r="R226" s="674">
        <v>5056</v>
      </c>
      <c r="S226" s="71">
        <v>150.61066428358654</v>
      </c>
      <c r="T226" s="449"/>
      <c r="U226" s="67">
        <v>6697</v>
      </c>
      <c r="V226" s="163">
        <v>-1641</v>
      </c>
      <c r="W226" s="166">
        <v>-0.24503509033895773</v>
      </c>
      <c r="X226" s="61"/>
      <c r="Z226" s="67"/>
      <c r="AA226" s="451"/>
      <c r="AB226" s="452"/>
      <c r="AE226" s="36"/>
      <c r="AF226" s="36"/>
      <c r="AG226" s="36"/>
      <c r="AH226" s="19"/>
    </row>
    <row r="227" spans="1:34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132" t="s">
        <v>621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>
        <v>0</v>
      </c>
      <c r="S227" s="71">
        <v>0</v>
      </c>
      <c r="T227" s="449"/>
      <c r="U227" s="67">
        <v>0</v>
      </c>
      <c r="V227" s="163">
        <v>0</v>
      </c>
      <c r="W227" s="166">
        <v>0</v>
      </c>
      <c r="X227" s="61"/>
      <c r="Z227" s="67"/>
      <c r="AA227" s="451"/>
      <c r="AB227" s="452"/>
      <c r="AE227" s="36"/>
      <c r="AF227" s="36"/>
      <c r="AG227" s="36"/>
      <c r="AH227" s="19"/>
    </row>
    <row r="228" spans="1:34">
      <c r="A228" s="64" t="s">
        <v>597</v>
      </c>
      <c r="B228" s="63" t="s">
        <v>173</v>
      </c>
      <c r="C228" s="63" t="s">
        <v>174</v>
      </c>
      <c r="D228" s="134">
        <v>5936.14</v>
      </c>
      <c r="E228" s="67">
        <v>893984</v>
      </c>
      <c r="F228" s="146">
        <v>0</v>
      </c>
      <c r="G228" s="146">
        <v>0</v>
      </c>
      <c r="H228" s="91">
        <v>893984</v>
      </c>
      <c r="I228" s="67">
        <v>0</v>
      </c>
      <c r="J228" s="739">
        <v>893984</v>
      </c>
      <c r="K228" s="132" t="s">
        <v>621</v>
      </c>
      <c r="L228" s="740">
        <v>0</v>
      </c>
      <c r="M228" s="741">
        <v>5936.14</v>
      </c>
      <c r="N228" s="67">
        <v>0</v>
      </c>
      <c r="O228" s="303">
        <v>893984</v>
      </c>
      <c r="Q228" s="674">
        <v>0</v>
      </c>
      <c r="R228" s="674">
        <v>893984</v>
      </c>
      <c r="S228" s="71">
        <v>150.60022169288459</v>
      </c>
      <c r="T228" s="449"/>
      <c r="U228" s="67">
        <v>1000334</v>
      </c>
      <c r="V228" s="163">
        <v>-106350</v>
      </c>
      <c r="W228" s="166">
        <v>-0.10631449096001935</v>
      </c>
      <c r="X228" s="61"/>
      <c r="Z228" s="303"/>
      <c r="AA228" s="451"/>
      <c r="AB228" s="452"/>
      <c r="AE228" s="36"/>
      <c r="AF228" s="36"/>
      <c r="AG228" s="36"/>
      <c r="AH228" s="19"/>
    </row>
    <row r="229" spans="1:34">
      <c r="A229" s="64" t="s">
        <v>595</v>
      </c>
      <c r="B229" s="63" t="s">
        <v>379</v>
      </c>
      <c r="C229" s="63" t="s">
        <v>615</v>
      </c>
      <c r="D229" s="134">
        <v>251.71</v>
      </c>
      <c r="E229" s="67">
        <v>37908</v>
      </c>
      <c r="F229" s="146">
        <v>0</v>
      </c>
      <c r="G229" s="146">
        <v>0</v>
      </c>
      <c r="H229" s="91">
        <v>37908</v>
      </c>
      <c r="I229" s="67">
        <v>0</v>
      </c>
      <c r="J229" s="739">
        <v>37908</v>
      </c>
      <c r="K229" s="132" t="s">
        <v>621</v>
      </c>
      <c r="L229" s="740">
        <v>0</v>
      </c>
      <c r="M229" s="741">
        <v>251.71</v>
      </c>
      <c r="N229" s="67">
        <v>0</v>
      </c>
      <c r="O229" s="67">
        <v>37908</v>
      </c>
      <c r="Q229" s="674">
        <v>0</v>
      </c>
      <c r="R229" s="674">
        <v>37908</v>
      </c>
      <c r="S229" s="71">
        <v>150.60188311946288</v>
      </c>
      <c r="T229" s="449"/>
      <c r="U229" s="67">
        <v>39196</v>
      </c>
      <c r="V229" s="163">
        <v>-1288</v>
      </c>
      <c r="W229" s="166">
        <v>-3.2860495968976423E-2</v>
      </c>
      <c r="X229" s="61"/>
      <c r="Z229" s="67"/>
      <c r="AA229" s="451"/>
      <c r="AB229" s="452"/>
      <c r="AE229" s="36"/>
      <c r="AF229" s="36"/>
      <c r="AG229" s="36"/>
      <c r="AH229" s="19"/>
    </row>
    <row r="230" spans="1:34" s="112" customFormat="1">
      <c r="A230" s="138" t="s">
        <v>605</v>
      </c>
      <c r="B230" s="139" t="s">
        <v>551</v>
      </c>
      <c r="C230" s="63" t="s">
        <v>552</v>
      </c>
      <c r="D230" s="134">
        <v>185.29</v>
      </c>
      <c r="E230" s="67">
        <v>27905</v>
      </c>
      <c r="F230" s="146">
        <v>0</v>
      </c>
      <c r="G230" s="146">
        <v>0</v>
      </c>
      <c r="H230" s="91">
        <v>27905</v>
      </c>
      <c r="I230" s="67">
        <v>0</v>
      </c>
      <c r="J230" s="739">
        <v>27905</v>
      </c>
      <c r="K230" s="132" t="s">
        <v>621</v>
      </c>
      <c r="L230" s="740">
        <v>0</v>
      </c>
      <c r="M230" s="741">
        <v>185.29</v>
      </c>
      <c r="N230" s="67">
        <v>0</v>
      </c>
      <c r="O230" s="67">
        <v>27905</v>
      </c>
      <c r="P230" s="674"/>
      <c r="Q230" s="674">
        <v>0</v>
      </c>
      <c r="R230" s="674">
        <v>27905</v>
      </c>
      <c r="S230" s="71">
        <v>150.60175940417724</v>
      </c>
      <c r="T230" s="449"/>
      <c r="U230" s="67">
        <v>35171</v>
      </c>
      <c r="V230" s="163">
        <v>-7266</v>
      </c>
      <c r="W230" s="166">
        <v>-0.20659065707543145</v>
      </c>
      <c r="X230" s="115"/>
      <c r="Z230" s="67"/>
      <c r="AA230" s="451"/>
      <c r="AB230" s="452"/>
      <c r="AE230" s="116"/>
      <c r="AF230" s="116"/>
      <c r="AG230" s="116"/>
      <c r="AH230" s="117"/>
    </row>
    <row r="231" spans="1:34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739">
        <v>0</v>
      </c>
      <c r="K231" s="132" t="s">
        <v>621</v>
      </c>
      <c r="L231" s="740">
        <v>0</v>
      </c>
      <c r="M231" s="741">
        <v>0</v>
      </c>
      <c r="N231" s="67">
        <v>0</v>
      </c>
      <c r="O231" s="67">
        <v>0</v>
      </c>
      <c r="Q231" s="674">
        <v>0</v>
      </c>
      <c r="R231" s="674">
        <v>0</v>
      </c>
      <c r="S231" s="71">
        <v>0</v>
      </c>
      <c r="T231" s="449"/>
      <c r="U231" s="67">
        <v>0</v>
      </c>
      <c r="V231" s="163">
        <v>0</v>
      </c>
      <c r="W231" s="166">
        <v>0</v>
      </c>
      <c r="X231" s="61"/>
      <c r="Z231" s="67"/>
      <c r="AA231" s="451"/>
      <c r="AB231" s="452"/>
      <c r="AE231" s="36"/>
      <c r="AF231" s="36"/>
      <c r="AG231" s="36"/>
      <c r="AH231" s="19"/>
    </row>
    <row r="232" spans="1:34">
      <c r="A232" s="64" t="s">
        <v>600</v>
      </c>
      <c r="B232" s="63" t="s">
        <v>43</v>
      </c>
      <c r="C232" s="63" t="s">
        <v>44</v>
      </c>
      <c r="D232" s="134">
        <v>38.86</v>
      </c>
      <c r="E232" s="67">
        <v>5852</v>
      </c>
      <c r="F232" s="146">
        <v>0</v>
      </c>
      <c r="G232" s="146">
        <v>0</v>
      </c>
      <c r="H232" s="91">
        <v>5852</v>
      </c>
      <c r="I232" s="67">
        <v>0</v>
      </c>
      <c r="J232" s="739">
        <v>5852</v>
      </c>
      <c r="K232" s="132" t="s">
        <v>621</v>
      </c>
      <c r="L232" s="740">
        <v>0</v>
      </c>
      <c r="M232" s="741">
        <v>38.86</v>
      </c>
      <c r="N232" s="67">
        <v>0</v>
      </c>
      <c r="O232" s="67">
        <v>5852</v>
      </c>
      <c r="Q232" s="674">
        <v>0</v>
      </c>
      <c r="R232" s="674">
        <v>5852</v>
      </c>
      <c r="S232" s="71">
        <v>150.59186824498198</v>
      </c>
      <c r="T232" s="449"/>
      <c r="U232" s="67">
        <v>0</v>
      </c>
      <c r="V232" s="163">
        <v>5852</v>
      </c>
      <c r="W232" s="166">
        <v>0</v>
      </c>
      <c r="X232" s="61"/>
      <c r="Z232" s="67"/>
      <c r="AA232" s="451"/>
      <c r="AB232" s="452"/>
      <c r="AE232" s="36"/>
      <c r="AF232" s="36"/>
      <c r="AG232" s="36"/>
      <c r="AH232" s="19"/>
    </row>
    <row r="233" spans="1:34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621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1">
        <v>0</v>
      </c>
      <c r="T233" s="449"/>
      <c r="U233" s="67">
        <v>0</v>
      </c>
      <c r="V233" s="163">
        <v>0</v>
      </c>
      <c r="W233" s="166">
        <v>0</v>
      </c>
      <c r="X233" s="61"/>
      <c r="Z233" s="67"/>
      <c r="AA233" s="451"/>
      <c r="AB233" s="452"/>
      <c r="AE233" s="36"/>
      <c r="AF233" s="36"/>
      <c r="AG233" s="36"/>
      <c r="AH233" s="19"/>
    </row>
    <row r="234" spans="1:34">
      <c r="A234" s="64" t="s">
        <v>594</v>
      </c>
      <c r="B234" s="63" t="s">
        <v>299</v>
      </c>
      <c r="C234" s="63" t="s">
        <v>300</v>
      </c>
      <c r="D234" s="134">
        <v>390</v>
      </c>
      <c r="E234" s="67">
        <v>58734</v>
      </c>
      <c r="F234" s="146">
        <v>0</v>
      </c>
      <c r="G234" s="146">
        <v>0</v>
      </c>
      <c r="H234" s="91">
        <v>58734</v>
      </c>
      <c r="I234" s="67">
        <v>0</v>
      </c>
      <c r="J234" s="739">
        <v>58734</v>
      </c>
      <c r="K234" s="132" t="s">
        <v>621</v>
      </c>
      <c r="L234" s="740">
        <v>0</v>
      </c>
      <c r="M234" s="741">
        <v>390</v>
      </c>
      <c r="N234" s="67">
        <v>0</v>
      </c>
      <c r="O234" s="67">
        <v>58734</v>
      </c>
      <c r="Q234" s="674">
        <v>0</v>
      </c>
      <c r="R234" s="674">
        <v>58734</v>
      </c>
      <c r="S234" s="71">
        <v>150.6</v>
      </c>
      <c r="T234" s="449"/>
      <c r="U234" s="67">
        <v>61671</v>
      </c>
      <c r="V234" s="163">
        <v>-2937</v>
      </c>
      <c r="W234" s="166">
        <v>-4.7623680498127159E-2</v>
      </c>
      <c r="X234" s="61"/>
      <c r="Z234" s="67"/>
      <c r="AA234" s="451"/>
      <c r="AB234" s="452"/>
      <c r="AE234" s="36"/>
      <c r="AF234" s="36"/>
      <c r="AG234" s="36"/>
      <c r="AH234" s="19"/>
    </row>
    <row r="235" spans="1:34">
      <c r="A235" s="64" t="s">
        <v>597</v>
      </c>
      <c r="B235" s="63" t="s">
        <v>203</v>
      </c>
      <c r="C235" s="63" t="s">
        <v>204</v>
      </c>
      <c r="D235" s="134">
        <v>566.71</v>
      </c>
      <c r="E235" s="67">
        <v>85347</v>
      </c>
      <c r="F235" s="146">
        <v>0</v>
      </c>
      <c r="G235" s="146">
        <v>0</v>
      </c>
      <c r="H235" s="91">
        <v>85347</v>
      </c>
      <c r="I235" s="67">
        <v>0</v>
      </c>
      <c r="J235" s="739">
        <v>85347</v>
      </c>
      <c r="K235" s="132" t="s">
        <v>621</v>
      </c>
      <c r="L235" s="740">
        <v>0</v>
      </c>
      <c r="M235" s="741">
        <v>566.71</v>
      </c>
      <c r="N235" s="67">
        <v>0</v>
      </c>
      <c r="O235" s="67">
        <v>85347</v>
      </c>
      <c r="Q235" s="674">
        <v>0</v>
      </c>
      <c r="R235" s="674">
        <v>85347</v>
      </c>
      <c r="S235" s="71">
        <v>150.60083640662771</v>
      </c>
      <c r="T235" s="449"/>
      <c r="U235" s="67">
        <v>98892</v>
      </c>
      <c r="V235" s="163">
        <v>-13545</v>
      </c>
      <c r="W235" s="166">
        <v>-0.13696760101929378</v>
      </c>
      <c r="X235" s="61"/>
      <c r="Z235" s="67"/>
      <c r="AA235" s="451"/>
      <c r="AB235" s="452"/>
      <c r="AE235" s="36"/>
      <c r="AF235" s="36"/>
      <c r="AG235" s="36"/>
      <c r="AH235" s="19"/>
    </row>
    <row r="236" spans="1:34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739">
        <v>0</v>
      </c>
      <c r="K236" s="132" t="s">
        <v>621</v>
      </c>
      <c r="L236" s="740">
        <v>0</v>
      </c>
      <c r="M236" s="741">
        <v>0</v>
      </c>
      <c r="N236" s="67">
        <v>0</v>
      </c>
      <c r="O236" s="67">
        <v>0</v>
      </c>
      <c r="Q236" s="674">
        <v>0</v>
      </c>
      <c r="R236" s="674">
        <v>0</v>
      </c>
      <c r="S236" s="71">
        <v>0</v>
      </c>
      <c r="T236" s="449"/>
      <c r="U236" s="67">
        <v>0</v>
      </c>
      <c r="V236" s="163">
        <v>0</v>
      </c>
      <c r="W236" s="166">
        <v>0</v>
      </c>
      <c r="X236" s="61"/>
      <c r="Z236" s="67"/>
      <c r="AA236" s="451"/>
      <c r="AB236" s="452"/>
      <c r="AE236" s="36"/>
      <c r="AF236" s="36"/>
      <c r="AG236" s="36"/>
      <c r="AH236" s="19"/>
    </row>
    <row r="237" spans="1:34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739">
        <v>0</v>
      </c>
      <c r="K237" s="132" t="s">
        <v>621</v>
      </c>
      <c r="L237" s="740">
        <v>0</v>
      </c>
      <c r="M237" s="741">
        <v>0</v>
      </c>
      <c r="N237" s="67">
        <v>0</v>
      </c>
      <c r="O237" s="67">
        <v>0</v>
      </c>
      <c r="Q237" s="674">
        <v>0</v>
      </c>
      <c r="R237" s="674">
        <v>0</v>
      </c>
      <c r="S237" s="71">
        <v>0</v>
      </c>
      <c r="T237" s="449"/>
      <c r="U237" s="67">
        <v>0</v>
      </c>
      <c r="V237" s="163">
        <v>0</v>
      </c>
      <c r="W237" s="166">
        <v>0</v>
      </c>
      <c r="X237" s="61"/>
      <c r="Z237" s="67"/>
      <c r="AA237" s="451"/>
      <c r="AB237" s="452"/>
      <c r="AE237" s="36"/>
      <c r="AF237" s="36"/>
      <c r="AG237" s="36"/>
      <c r="AH237" s="19"/>
    </row>
    <row r="238" spans="1:34">
      <c r="A238" s="64" t="s">
        <v>595</v>
      </c>
      <c r="B238" s="63" t="s">
        <v>411</v>
      </c>
      <c r="C238" s="63" t="s">
        <v>412</v>
      </c>
      <c r="D238" s="134">
        <v>311.70999999999998</v>
      </c>
      <c r="E238" s="67">
        <v>46944</v>
      </c>
      <c r="F238" s="146">
        <v>0</v>
      </c>
      <c r="G238" s="146">
        <v>0</v>
      </c>
      <c r="H238" s="91">
        <v>46944</v>
      </c>
      <c r="I238" s="67">
        <v>0</v>
      </c>
      <c r="J238" s="739">
        <v>46944</v>
      </c>
      <c r="K238" s="132" t="s">
        <v>621</v>
      </c>
      <c r="L238" s="740">
        <v>0</v>
      </c>
      <c r="M238" s="741">
        <v>311.70999999999998</v>
      </c>
      <c r="N238" s="67">
        <v>0</v>
      </c>
      <c r="O238" s="67">
        <v>46944</v>
      </c>
      <c r="Q238" s="674">
        <v>0</v>
      </c>
      <c r="R238" s="674">
        <v>46944</v>
      </c>
      <c r="S238" s="71">
        <v>150.60152064418853</v>
      </c>
      <c r="T238" s="449"/>
      <c r="U238" s="67">
        <v>45497</v>
      </c>
      <c r="V238" s="163">
        <v>1447</v>
      </c>
      <c r="W238" s="166">
        <v>3.1804294788667385E-2</v>
      </c>
      <c r="X238" s="61"/>
      <c r="Z238" s="67"/>
      <c r="AA238" s="451"/>
      <c r="AB238" s="452"/>
      <c r="AE238" s="36"/>
      <c r="AF238" s="36"/>
      <c r="AG238" s="36"/>
      <c r="AH238" s="19"/>
    </row>
    <row r="239" spans="1:34">
      <c r="A239" s="64" t="s">
        <v>597</v>
      </c>
      <c r="B239" s="63" t="s">
        <v>199</v>
      </c>
      <c r="C239" s="63" t="s">
        <v>200</v>
      </c>
      <c r="D239" s="134">
        <v>129.13999999999999</v>
      </c>
      <c r="E239" s="67">
        <v>19448</v>
      </c>
      <c r="F239" s="146">
        <v>0</v>
      </c>
      <c r="G239" s="146">
        <v>0</v>
      </c>
      <c r="H239" s="91">
        <v>19448</v>
      </c>
      <c r="I239" s="67">
        <v>0</v>
      </c>
      <c r="J239" s="739">
        <v>19448</v>
      </c>
      <c r="K239" s="132" t="s">
        <v>621</v>
      </c>
      <c r="L239" s="740">
        <v>0</v>
      </c>
      <c r="M239" s="741">
        <v>129.13999999999999</v>
      </c>
      <c r="N239" s="67">
        <v>0</v>
      </c>
      <c r="O239" s="67">
        <v>19448</v>
      </c>
      <c r="Q239" s="674">
        <v>0</v>
      </c>
      <c r="R239" s="674">
        <v>19448</v>
      </c>
      <c r="S239" s="71">
        <v>150.59625212947191</v>
      </c>
      <c r="T239" s="449"/>
      <c r="U239" s="67">
        <v>21027</v>
      </c>
      <c r="V239" s="163">
        <v>-1579</v>
      </c>
      <c r="W239" s="166">
        <v>-7.509392685594711E-2</v>
      </c>
      <c r="X239" s="61"/>
      <c r="Z239" s="67"/>
      <c r="AA239" s="451"/>
      <c r="AB239" s="452"/>
      <c r="AE239" s="36"/>
      <c r="AF239" s="36"/>
      <c r="AG239" s="36"/>
      <c r="AH239" s="19"/>
    </row>
    <row r="240" spans="1:34">
      <c r="A240" s="64" t="s">
        <v>601</v>
      </c>
      <c r="B240" s="63" t="s">
        <v>121</v>
      </c>
      <c r="C240" s="63" t="s">
        <v>122</v>
      </c>
      <c r="D240" s="134">
        <v>74.290000000000006</v>
      </c>
      <c r="E240" s="67">
        <v>11188</v>
      </c>
      <c r="F240" s="146">
        <v>0</v>
      </c>
      <c r="G240" s="146">
        <v>0</v>
      </c>
      <c r="H240" s="91">
        <v>11188</v>
      </c>
      <c r="I240" s="67">
        <v>0</v>
      </c>
      <c r="J240" s="739">
        <v>11188</v>
      </c>
      <c r="K240" s="132" t="s">
        <v>621</v>
      </c>
      <c r="L240" s="740">
        <v>0</v>
      </c>
      <c r="M240" s="741">
        <v>74.290000000000006</v>
      </c>
      <c r="N240" s="67">
        <v>0</v>
      </c>
      <c r="O240" s="67">
        <v>11188</v>
      </c>
      <c r="Q240" s="674">
        <v>0</v>
      </c>
      <c r="R240" s="674">
        <v>11188</v>
      </c>
      <c r="S240" s="71">
        <v>150.59900390362094</v>
      </c>
      <c r="T240" s="449"/>
      <c r="U240" s="67">
        <v>12996</v>
      </c>
      <c r="V240" s="163">
        <v>-1808</v>
      </c>
      <c r="W240" s="166">
        <v>-0.13911972914742998</v>
      </c>
      <c r="X240" s="61"/>
      <c r="Z240" s="67"/>
      <c r="AA240" s="451"/>
      <c r="AB240" s="452"/>
      <c r="AE240" s="36"/>
      <c r="AF240" s="36"/>
      <c r="AG240" s="36"/>
      <c r="AH240" s="19"/>
    </row>
    <row r="241" spans="1:34">
      <c r="A241" s="64" t="s">
        <v>594</v>
      </c>
      <c r="B241" s="63" t="s">
        <v>329</v>
      </c>
      <c r="C241" s="63" t="s">
        <v>330</v>
      </c>
      <c r="D241" s="134">
        <v>88.71</v>
      </c>
      <c r="E241" s="67">
        <v>13360</v>
      </c>
      <c r="F241" s="146">
        <v>0</v>
      </c>
      <c r="G241" s="146">
        <v>0</v>
      </c>
      <c r="H241" s="91">
        <v>13360</v>
      </c>
      <c r="I241" s="67">
        <v>0</v>
      </c>
      <c r="J241" s="739">
        <v>13360</v>
      </c>
      <c r="K241" s="132" t="s">
        <v>621</v>
      </c>
      <c r="L241" s="740">
        <v>0</v>
      </c>
      <c r="M241" s="741">
        <v>88.71</v>
      </c>
      <c r="N241" s="67">
        <v>0</v>
      </c>
      <c r="O241" s="67">
        <v>13360</v>
      </c>
      <c r="Q241" s="674">
        <v>0</v>
      </c>
      <c r="R241" s="674">
        <v>13360</v>
      </c>
      <c r="S241" s="71">
        <v>150.60308871604104</v>
      </c>
      <c r="T241" s="449"/>
      <c r="U241" s="67">
        <v>15985</v>
      </c>
      <c r="V241" s="163">
        <v>-2625</v>
      </c>
      <c r="W241" s="166">
        <v>-0.16421645292461684</v>
      </c>
      <c r="X241" s="61"/>
      <c r="Z241" s="67"/>
      <c r="AA241" s="451"/>
      <c r="AB241" s="452"/>
      <c r="AE241" s="36"/>
      <c r="AF241" s="36"/>
      <c r="AG241" s="36"/>
      <c r="AH241" s="19"/>
    </row>
    <row r="242" spans="1:34">
      <c r="A242" s="64" t="s">
        <v>600</v>
      </c>
      <c r="B242" s="63" t="s">
        <v>218</v>
      </c>
      <c r="C242" s="63" t="s">
        <v>219</v>
      </c>
      <c r="D242" s="134">
        <v>73.569999999999993</v>
      </c>
      <c r="E242" s="67">
        <v>11080</v>
      </c>
      <c r="F242" s="146">
        <v>0</v>
      </c>
      <c r="G242" s="146">
        <v>0</v>
      </c>
      <c r="H242" s="91">
        <v>11080</v>
      </c>
      <c r="I242" s="67">
        <v>0</v>
      </c>
      <c r="J242" s="739">
        <v>11080</v>
      </c>
      <c r="K242" s="132" t="s">
        <v>621</v>
      </c>
      <c r="L242" s="740">
        <v>0</v>
      </c>
      <c r="M242" s="741">
        <v>73.569999999999993</v>
      </c>
      <c r="N242" s="67">
        <v>0</v>
      </c>
      <c r="O242" s="67">
        <v>11080</v>
      </c>
      <c r="Q242" s="674">
        <v>0</v>
      </c>
      <c r="R242" s="674">
        <v>11080</v>
      </c>
      <c r="S242" s="71">
        <v>150.60486611390513</v>
      </c>
      <c r="T242" s="449"/>
      <c r="U242" s="67">
        <v>11812</v>
      </c>
      <c r="V242" s="163">
        <v>-732</v>
      </c>
      <c r="W242" s="166">
        <v>-6.1970877074161872E-2</v>
      </c>
      <c r="X242" s="61"/>
      <c r="Z242" s="67"/>
      <c r="AA242" s="451"/>
      <c r="AB242" s="452"/>
      <c r="AE242" s="36"/>
      <c r="AF242" s="36"/>
      <c r="AG242" s="36"/>
      <c r="AH242" s="19"/>
    </row>
    <row r="243" spans="1:34">
      <c r="A243" s="64" t="s">
        <v>595</v>
      </c>
      <c r="B243" s="63" t="s">
        <v>161</v>
      </c>
      <c r="C243" s="63" t="s">
        <v>162</v>
      </c>
      <c r="D243" s="134">
        <v>8</v>
      </c>
      <c r="E243" s="67">
        <v>1205</v>
      </c>
      <c r="F243" s="146">
        <v>0</v>
      </c>
      <c r="G243" s="146">
        <v>0</v>
      </c>
      <c r="H243" s="91">
        <v>1205</v>
      </c>
      <c r="I243" s="67">
        <v>0</v>
      </c>
      <c r="J243" s="739">
        <v>1205</v>
      </c>
      <c r="K243" s="132" t="s">
        <v>621</v>
      </c>
      <c r="L243" s="740">
        <v>0</v>
      </c>
      <c r="M243" s="741">
        <v>8</v>
      </c>
      <c r="N243" s="67">
        <v>0</v>
      </c>
      <c r="O243" s="67">
        <v>1205</v>
      </c>
      <c r="Q243" s="674">
        <v>0</v>
      </c>
      <c r="R243" s="674">
        <v>1205</v>
      </c>
      <c r="S243" s="71">
        <v>150.625</v>
      </c>
      <c r="T243" s="449"/>
      <c r="U243" s="67">
        <v>0</v>
      </c>
      <c r="V243" s="163">
        <v>1205</v>
      </c>
      <c r="W243" s="166">
        <v>0</v>
      </c>
      <c r="X243" s="61"/>
      <c r="Z243" s="67"/>
      <c r="AA243" s="451"/>
      <c r="AB243" s="452"/>
      <c r="AE243" s="36"/>
      <c r="AF243" s="36"/>
      <c r="AG243" s="36"/>
      <c r="AH243" s="19"/>
    </row>
    <row r="244" spans="1:34">
      <c r="A244" s="64" t="s">
        <v>594</v>
      </c>
      <c r="B244" s="63" t="s">
        <v>295</v>
      </c>
      <c r="C244" s="63" t="s">
        <v>296</v>
      </c>
      <c r="D244" s="134">
        <v>2.29</v>
      </c>
      <c r="E244" s="67">
        <v>345</v>
      </c>
      <c r="F244" s="146">
        <v>0</v>
      </c>
      <c r="G244" s="146">
        <v>0</v>
      </c>
      <c r="H244" s="91">
        <v>345</v>
      </c>
      <c r="I244" s="67">
        <v>0</v>
      </c>
      <c r="J244" s="739">
        <v>345</v>
      </c>
      <c r="K244" s="132" t="s">
        <v>621</v>
      </c>
      <c r="L244" s="740">
        <v>0</v>
      </c>
      <c r="M244" s="741">
        <v>2.29</v>
      </c>
      <c r="N244" s="67">
        <v>0</v>
      </c>
      <c r="O244" s="67">
        <v>345</v>
      </c>
      <c r="Q244" s="674">
        <v>0</v>
      </c>
      <c r="R244" s="674">
        <v>345</v>
      </c>
      <c r="S244" s="71">
        <v>150.65502183406113</v>
      </c>
      <c r="T244" s="449"/>
      <c r="U244" s="67">
        <v>0</v>
      </c>
      <c r="V244" s="163">
        <v>345</v>
      </c>
      <c r="W244" s="166">
        <v>0</v>
      </c>
      <c r="X244" s="61"/>
      <c r="Z244" s="67"/>
      <c r="AA244" s="451"/>
      <c r="AB244" s="452"/>
      <c r="AE244" s="36"/>
      <c r="AF244" s="36"/>
      <c r="AG244" s="36"/>
      <c r="AH244" s="19"/>
    </row>
    <row r="245" spans="1:34">
      <c r="A245" s="64" t="s">
        <v>603</v>
      </c>
      <c r="B245" s="63" t="s">
        <v>422</v>
      </c>
      <c r="C245" s="63" t="s">
        <v>423</v>
      </c>
      <c r="D245" s="134">
        <v>1432</v>
      </c>
      <c r="E245" s="67">
        <v>215659</v>
      </c>
      <c r="F245" s="146">
        <v>0</v>
      </c>
      <c r="G245" s="146">
        <v>0</v>
      </c>
      <c r="H245" s="91">
        <v>215659</v>
      </c>
      <c r="I245" s="67">
        <v>0</v>
      </c>
      <c r="J245" s="739">
        <v>215659</v>
      </c>
      <c r="K245" s="132" t="s">
        <v>621</v>
      </c>
      <c r="L245" s="740">
        <v>0</v>
      </c>
      <c r="M245" s="741">
        <v>1432</v>
      </c>
      <c r="N245" s="67">
        <v>0</v>
      </c>
      <c r="O245" s="67">
        <v>215659</v>
      </c>
      <c r="Q245" s="674">
        <v>0</v>
      </c>
      <c r="R245" s="674">
        <v>215659</v>
      </c>
      <c r="S245" s="71">
        <v>150.59986033519553</v>
      </c>
      <c r="T245" s="449"/>
      <c r="U245" s="67">
        <v>233932</v>
      </c>
      <c r="V245" s="163">
        <v>-18273</v>
      </c>
      <c r="W245" s="166">
        <v>-7.8112442932134124E-2</v>
      </c>
      <c r="X245" s="61"/>
      <c r="Z245" s="67"/>
      <c r="AA245" s="451"/>
      <c r="AB245" s="452"/>
      <c r="AE245" s="36"/>
      <c r="AF245" s="36"/>
      <c r="AG245" s="36"/>
      <c r="AH245" s="19"/>
    </row>
    <row r="246" spans="1:34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621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1">
        <v>0</v>
      </c>
      <c r="T246" s="449"/>
      <c r="U246" s="67">
        <v>0</v>
      </c>
      <c r="V246" s="163">
        <v>0</v>
      </c>
      <c r="W246" s="166">
        <v>0</v>
      </c>
      <c r="X246" s="61"/>
      <c r="Z246" s="67"/>
      <c r="AA246" s="451"/>
      <c r="AB246" s="452"/>
      <c r="AE246" s="36"/>
      <c r="AF246" s="36"/>
      <c r="AG246" s="36"/>
      <c r="AH246" s="19"/>
    </row>
    <row r="247" spans="1:34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739">
        <v>0</v>
      </c>
      <c r="K247" s="132" t="s">
        <v>621</v>
      </c>
      <c r="L247" s="740">
        <v>0</v>
      </c>
      <c r="M247" s="741">
        <v>0</v>
      </c>
      <c r="N247" s="67">
        <v>0</v>
      </c>
      <c r="O247" s="67">
        <v>0</v>
      </c>
      <c r="Q247" s="674">
        <v>0</v>
      </c>
      <c r="R247" s="674">
        <v>0</v>
      </c>
      <c r="S247" s="71">
        <v>0</v>
      </c>
      <c r="T247" s="449"/>
      <c r="U247" s="67">
        <v>0</v>
      </c>
      <c r="V247" s="163">
        <v>0</v>
      </c>
      <c r="W247" s="166">
        <v>0</v>
      </c>
      <c r="X247" s="61"/>
      <c r="Z247" s="67"/>
      <c r="AA247" s="451"/>
      <c r="AB247" s="452"/>
      <c r="AE247" s="36"/>
      <c r="AF247" s="36"/>
      <c r="AG247" s="36"/>
      <c r="AH247" s="19"/>
    </row>
    <row r="248" spans="1:34">
      <c r="A248" s="64" t="s">
        <v>595</v>
      </c>
      <c r="B248" s="63" t="s">
        <v>421</v>
      </c>
      <c r="C248" s="63" t="s">
        <v>673</v>
      </c>
      <c r="D248" s="134">
        <v>93.86</v>
      </c>
      <c r="E248" s="67">
        <v>14135</v>
      </c>
      <c r="F248" s="146">
        <v>0</v>
      </c>
      <c r="G248" s="146">
        <v>0</v>
      </c>
      <c r="H248" s="91">
        <v>14135</v>
      </c>
      <c r="I248" s="67">
        <v>0</v>
      </c>
      <c r="J248" s="739">
        <v>14135</v>
      </c>
      <c r="K248" s="132" t="s">
        <v>621</v>
      </c>
      <c r="L248" s="740">
        <v>0</v>
      </c>
      <c r="M248" s="741">
        <v>93.86</v>
      </c>
      <c r="N248" s="67">
        <v>0</v>
      </c>
      <c r="O248" s="67">
        <v>14135</v>
      </c>
      <c r="Q248" s="674">
        <v>0</v>
      </c>
      <c r="R248" s="674">
        <v>14135</v>
      </c>
      <c r="S248" s="71">
        <v>150.5966332836139</v>
      </c>
      <c r="T248" s="449"/>
      <c r="U248" s="67">
        <v>12827</v>
      </c>
      <c r="V248" s="163">
        <v>1308</v>
      </c>
      <c r="W248" s="166">
        <v>0.10197240196460591</v>
      </c>
      <c r="X248" s="61"/>
      <c r="Z248" s="67"/>
      <c r="AA248" s="451"/>
      <c r="AB248" s="452"/>
      <c r="AE248" s="36"/>
      <c r="AF248" s="36"/>
      <c r="AG248" s="36"/>
      <c r="AH248" s="19"/>
    </row>
    <row r="249" spans="1:34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132" t="s">
        <v>621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1">
        <v>0</v>
      </c>
      <c r="T249" s="449"/>
      <c r="U249" s="67">
        <v>0</v>
      </c>
      <c r="V249" s="163">
        <v>0</v>
      </c>
      <c r="W249" s="166">
        <v>0</v>
      </c>
      <c r="X249" s="61"/>
      <c r="Z249" s="67"/>
      <c r="AA249" s="451"/>
      <c r="AB249" s="452"/>
      <c r="AE249" s="36"/>
      <c r="AF249" s="36"/>
      <c r="AG249" s="36"/>
      <c r="AH249" s="19"/>
    </row>
    <row r="250" spans="1:34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621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1">
        <v>0</v>
      </c>
      <c r="T250" s="449"/>
      <c r="U250" s="67">
        <v>0</v>
      </c>
      <c r="V250" s="163">
        <v>0</v>
      </c>
      <c r="W250" s="166">
        <v>0</v>
      </c>
      <c r="X250" s="61"/>
      <c r="Z250" s="67"/>
      <c r="AA250" s="451"/>
      <c r="AB250" s="452"/>
      <c r="AE250" s="36"/>
      <c r="AF250" s="36"/>
      <c r="AG250" s="36"/>
      <c r="AH250" s="19"/>
    </row>
    <row r="251" spans="1:34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621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1">
        <v>0</v>
      </c>
      <c r="T251" s="449"/>
      <c r="U251" s="67">
        <v>0</v>
      </c>
      <c r="V251" s="163">
        <v>0</v>
      </c>
      <c r="W251" s="166">
        <v>0</v>
      </c>
      <c r="X251" s="61"/>
      <c r="Z251" s="67"/>
      <c r="AA251" s="451"/>
      <c r="AB251" s="452"/>
      <c r="AE251" s="36"/>
      <c r="AF251" s="36"/>
      <c r="AG251" s="36"/>
      <c r="AH251" s="19"/>
    </row>
    <row r="252" spans="1:34">
      <c r="A252" s="64" t="s">
        <v>597</v>
      </c>
      <c r="B252" s="63" t="s">
        <v>342</v>
      </c>
      <c r="C252" s="63" t="s">
        <v>617</v>
      </c>
      <c r="D252" s="134">
        <v>69.569999999999993</v>
      </c>
      <c r="E252" s="67">
        <v>10477</v>
      </c>
      <c r="F252" s="146">
        <v>0</v>
      </c>
      <c r="G252" s="146">
        <v>0</v>
      </c>
      <c r="H252" s="91">
        <v>10477</v>
      </c>
      <c r="I252" s="67">
        <v>0</v>
      </c>
      <c r="J252" s="739">
        <v>10477</v>
      </c>
      <c r="K252" s="132" t="s">
        <v>621</v>
      </c>
      <c r="L252" s="740">
        <v>0</v>
      </c>
      <c r="M252" s="741">
        <v>69.569999999999993</v>
      </c>
      <c r="N252" s="67">
        <v>0</v>
      </c>
      <c r="O252" s="67">
        <v>10477</v>
      </c>
      <c r="Q252" s="674">
        <v>0</v>
      </c>
      <c r="R252" s="674">
        <v>10477</v>
      </c>
      <c r="S252" s="71">
        <v>150.59652148914765</v>
      </c>
      <c r="T252" s="449"/>
      <c r="U252" s="67">
        <v>10589</v>
      </c>
      <c r="V252" s="163">
        <v>-112</v>
      </c>
      <c r="W252" s="166">
        <v>-1.057701388233072E-2</v>
      </c>
      <c r="X252" s="61"/>
      <c r="Z252" s="67"/>
      <c r="AA252" s="451"/>
      <c r="AB252" s="452"/>
      <c r="AE252" s="36"/>
      <c r="AF252" s="36"/>
      <c r="AG252" s="36"/>
      <c r="AH252" s="19"/>
    </row>
    <row r="253" spans="1:34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621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1">
        <v>0</v>
      </c>
      <c r="T253" s="449"/>
      <c r="U253" s="67">
        <v>0</v>
      </c>
      <c r="V253" s="163">
        <v>0</v>
      </c>
      <c r="W253" s="166">
        <v>0</v>
      </c>
      <c r="X253" s="61"/>
      <c r="Z253" s="67"/>
      <c r="AA253" s="451"/>
      <c r="AB253" s="452"/>
      <c r="AE253" s="36"/>
      <c r="AF253" s="36"/>
      <c r="AG253" s="36"/>
      <c r="AH253" s="19"/>
    </row>
    <row r="254" spans="1:34">
      <c r="A254" s="64" t="s">
        <v>599</v>
      </c>
      <c r="B254" s="63" t="s">
        <v>393</v>
      </c>
      <c r="C254" s="63" t="s">
        <v>394</v>
      </c>
      <c r="D254" s="134">
        <v>23.57</v>
      </c>
      <c r="E254" s="67">
        <v>3550</v>
      </c>
      <c r="F254" s="146">
        <v>0</v>
      </c>
      <c r="G254" s="146">
        <v>0</v>
      </c>
      <c r="H254" s="91">
        <v>3550</v>
      </c>
      <c r="I254" s="67">
        <v>0</v>
      </c>
      <c r="J254" s="739">
        <v>3550</v>
      </c>
      <c r="K254" s="132" t="s">
        <v>621</v>
      </c>
      <c r="L254" s="740">
        <v>0</v>
      </c>
      <c r="M254" s="741">
        <v>23.57</v>
      </c>
      <c r="N254" s="67">
        <v>0</v>
      </c>
      <c r="O254" s="67">
        <v>3550</v>
      </c>
      <c r="Q254" s="674">
        <v>0</v>
      </c>
      <c r="R254" s="674">
        <v>3550</v>
      </c>
      <c r="S254" s="71">
        <v>150.61518879932117</v>
      </c>
      <c r="T254" s="449"/>
      <c r="U254" s="67">
        <v>0</v>
      </c>
      <c r="V254" s="163">
        <v>3550</v>
      </c>
      <c r="W254" s="166">
        <v>0</v>
      </c>
      <c r="X254" s="61"/>
      <c r="Z254" s="67"/>
      <c r="AA254" s="451"/>
      <c r="AB254" s="452"/>
      <c r="AE254" s="36"/>
      <c r="AF254" s="36"/>
      <c r="AG254" s="36"/>
      <c r="AH254" s="19"/>
    </row>
    <row r="255" spans="1:34">
      <c r="A255" s="64" t="s">
        <v>595</v>
      </c>
      <c r="B255" s="63" t="s">
        <v>415</v>
      </c>
      <c r="C255" s="63" t="s">
        <v>416</v>
      </c>
      <c r="D255" s="134">
        <v>130</v>
      </c>
      <c r="E255" s="67">
        <v>19578</v>
      </c>
      <c r="F255" s="146">
        <v>0</v>
      </c>
      <c r="G255" s="146">
        <v>0</v>
      </c>
      <c r="H255" s="91">
        <v>19578</v>
      </c>
      <c r="I255" s="67">
        <v>0</v>
      </c>
      <c r="J255" s="739">
        <v>19578</v>
      </c>
      <c r="K255" s="132" t="s">
        <v>621</v>
      </c>
      <c r="L255" s="740">
        <v>0</v>
      </c>
      <c r="M255" s="741">
        <v>130</v>
      </c>
      <c r="N255" s="67">
        <v>0</v>
      </c>
      <c r="O255" s="67">
        <v>19578</v>
      </c>
      <c r="Q255" s="674">
        <v>0</v>
      </c>
      <c r="R255" s="674">
        <v>19578</v>
      </c>
      <c r="S255" s="71">
        <v>150.6</v>
      </c>
      <c r="T255" s="449"/>
      <c r="U255" s="67">
        <v>20802</v>
      </c>
      <c r="V255" s="163">
        <v>-1224</v>
      </c>
      <c r="W255" s="166">
        <v>-5.8840496106143642E-2</v>
      </c>
      <c r="X255" s="61"/>
      <c r="Z255" s="67"/>
      <c r="AA255" s="451"/>
      <c r="AB255" s="452"/>
      <c r="AE255" s="36"/>
      <c r="AF255" s="36"/>
      <c r="AG255" s="36"/>
      <c r="AH255" s="19"/>
    </row>
    <row r="256" spans="1:34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621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1">
        <v>0</v>
      </c>
      <c r="T256" s="449"/>
      <c r="U256" s="67">
        <v>0</v>
      </c>
      <c r="V256" s="163">
        <v>0</v>
      </c>
      <c r="W256" s="166">
        <v>0</v>
      </c>
      <c r="X256" s="61"/>
      <c r="Z256" s="67"/>
      <c r="AA256" s="451"/>
      <c r="AB256" s="452"/>
      <c r="AE256" s="36"/>
      <c r="AF256" s="36"/>
      <c r="AG256" s="36"/>
      <c r="AH256" s="19"/>
    </row>
    <row r="257" spans="1:34">
      <c r="A257" s="64" t="s">
        <v>597</v>
      </c>
      <c r="B257" s="63" t="s">
        <v>351</v>
      </c>
      <c r="C257" s="63" t="s">
        <v>352</v>
      </c>
      <c r="D257" s="134">
        <v>299</v>
      </c>
      <c r="E257" s="67">
        <v>45029</v>
      </c>
      <c r="F257" s="146">
        <v>0</v>
      </c>
      <c r="G257" s="146">
        <v>0</v>
      </c>
      <c r="H257" s="91">
        <v>45029</v>
      </c>
      <c r="I257" s="67">
        <v>0</v>
      </c>
      <c r="J257" s="739">
        <v>45029</v>
      </c>
      <c r="K257" s="132" t="s">
        <v>621</v>
      </c>
      <c r="L257" s="740">
        <v>0</v>
      </c>
      <c r="M257" s="741">
        <v>299</v>
      </c>
      <c r="N257" s="67">
        <v>0</v>
      </c>
      <c r="O257" s="67">
        <v>45029</v>
      </c>
      <c r="Q257" s="674">
        <v>0</v>
      </c>
      <c r="R257" s="674">
        <v>45029</v>
      </c>
      <c r="S257" s="71">
        <v>150.59866220735785</v>
      </c>
      <c r="T257" s="449"/>
      <c r="U257" s="67">
        <v>48525</v>
      </c>
      <c r="V257" s="163">
        <v>-3496</v>
      </c>
      <c r="W257" s="166">
        <v>-7.2045337454920144E-2</v>
      </c>
      <c r="X257" s="61"/>
      <c r="Z257" s="67"/>
      <c r="AA257" s="451"/>
      <c r="AB257" s="452"/>
      <c r="AE257" s="36"/>
      <c r="AF257" s="36"/>
      <c r="AG257" s="36"/>
      <c r="AH257" s="19"/>
    </row>
    <row r="258" spans="1:34">
      <c r="A258" s="64" t="s">
        <v>605</v>
      </c>
      <c r="B258" s="63" t="s">
        <v>557</v>
      </c>
      <c r="C258" s="63" t="s">
        <v>558</v>
      </c>
      <c r="D258" s="134">
        <v>2104.71</v>
      </c>
      <c r="E258" s="67">
        <v>316969</v>
      </c>
      <c r="F258" s="146">
        <v>0</v>
      </c>
      <c r="G258" s="146">
        <v>0</v>
      </c>
      <c r="H258" s="91">
        <v>316969</v>
      </c>
      <c r="I258" s="67">
        <v>0</v>
      </c>
      <c r="J258" s="739">
        <v>316969</v>
      </c>
      <c r="K258" s="132" t="s">
        <v>621</v>
      </c>
      <c r="L258" s="740">
        <v>0</v>
      </c>
      <c r="M258" s="741">
        <v>2104.71</v>
      </c>
      <c r="N258" s="67">
        <v>0</v>
      </c>
      <c r="O258" s="67">
        <v>316969</v>
      </c>
      <c r="Q258" s="674">
        <v>0</v>
      </c>
      <c r="R258" s="674">
        <v>316969</v>
      </c>
      <c r="S258" s="71">
        <v>150.59984510930246</v>
      </c>
      <c r="T258" s="449"/>
      <c r="U258" s="67">
        <v>353757</v>
      </c>
      <c r="V258" s="163">
        <v>-36788</v>
      </c>
      <c r="W258" s="166">
        <v>-0.10399228849181782</v>
      </c>
      <c r="X258" s="61"/>
      <c r="Z258" s="67"/>
      <c r="AA258" s="451"/>
      <c r="AB258" s="452"/>
      <c r="AE258" s="36"/>
      <c r="AF258" s="36"/>
      <c r="AG258" s="36"/>
      <c r="AH258" s="19"/>
    </row>
    <row r="259" spans="1:34">
      <c r="A259" s="64" t="s">
        <v>597</v>
      </c>
      <c r="B259" s="63" t="s">
        <v>345</v>
      </c>
      <c r="C259" s="63" t="s">
        <v>346</v>
      </c>
      <c r="D259" s="134">
        <v>2597.71</v>
      </c>
      <c r="E259" s="67">
        <v>391215</v>
      </c>
      <c r="F259" s="146">
        <v>0</v>
      </c>
      <c r="G259" s="146">
        <v>0</v>
      </c>
      <c r="H259" s="91">
        <v>391215</v>
      </c>
      <c r="I259" s="67">
        <v>0</v>
      </c>
      <c r="J259" s="739">
        <v>391215</v>
      </c>
      <c r="K259" s="132" t="s">
        <v>621</v>
      </c>
      <c r="L259" s="740">
        <v>0</v>
      </c>
      <c r="M259" s="741">
        <v>2597.71</v>
      </c>
      <c r="N259" s="67">
        <v>0</v>
      </c>
      <c r="O259" s="67">
        <v>391215</v>
      </c>
      <c r="Q259" s="674">
        <v>0</v>
      </c>
      <c r="R259" s="674">
        <v>391215</v>
      </c>
      <c r="S259" s="71">
        <v>150.59995149574047</v>
      </c>
      <c r="T259" s="449"/>
      <c r="U259" s="67">
        <v>410407</v>
      </c>
      <c r="V259" s="163">
        <v>-19192</v>
      </c>
      <c r="W259" s="166">
        <v>-4.6763334933371016E-2</v>
      </c>
      <c r="X259" s="61"/>
      <c r="Z259" s="67"/>
      <c r="AA259" s="451"/>
      <c r="AB259" s="452"/>
      <c r="AE259" s="36"/>
      <c r="AF259" s="36"/>
      <c r="AG259" s="36"/>
      <c r="AH259" s="19"/>
    </row>
    <row r="260" spans="1:34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132" t="s">
        <v>621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>
        <v>0</v>
      </c>
      <c r="S260" s="71">
        <v>0</v>
      </c>
      <c r="T260" s="449"/>
      <c r="U260" s="67">
        <v>0</v>
      </c>
      <c r="V260" s="163">
        <v>0</v>
      </c>
      <c r="W260" s="166">
        <v>0</v>
      </c>
      <c r="X260" s="61"/>
      <c r="Z260" s="67"/>
      <c r="AA260" s="451"/>
      <c r="AB260" s="452"/>
      <c r="AE260" s="36"/>
      <c r="AF260" s="36"/>
      <c r="AG260" s="36"/>
      <c r="AH260" s="19"/>
    </row>
    <row r="261" spans="1:34">
      <c r="A261" s="64" t="s">
        <v>597</v>
      </c>
      <c r="B261" s="63" t="s">
        <v>197</v>
      </c>
      <c r="C261" s="63" t="s">
        <v>198</v>
      </c>
      <c r="D261" s="134">
        <v>135.71</v>
      </c>
      <c r="E261" s="67">
        <v>20438</v>
      </c>
      <c r="F261" s="146">
        <v>0</v>
      </c>
      <c r="G261" s="146">
        <v>0</v>
      </c>
      <c r="H261" s="91">
        <v>20438</v>
      </c>
      <c r="I261" s="67">
        <v>0</v>
      </c>
      <c r="J261" s="739">
        <v>20438</v>
      </c>
      <c r="K261" s="132" t="s">
        <v>621</v>
      </c>
      <c r="L261" s="740">
        <v>0</v>
      </c>
      <c r="M261" s="741">
        <v>135.71</v>
      </c>
      <c r="N261" s="67">
        <v>0</v>
      </c>
      <c r="O261" s="67">
        <v>20438</v>
      </c>
      <c r="Q261" s="674">
        <v>0</v>
      </c>
      <c r="R261" s="674">
        <v>20438</v>
      </c>
      <c r="S261" s="71">
        <v>150.60054528037728</v>
      </c>
      <c r="T261" s="449"/>
      <c r="U261" s="67">
        <v>22965</v>
      </c>
      <c r="V261" s="163">
        <v>-2527</v>
      </c>
      <c r="W261" s="166">
        <v>-0.11003701284563466</v>
      </c>
      <c r="X261" s="61"/>
      <c r="Z261" s="67"/>
      <c r="AA261" s="451"/>
      <c r="AB261" s="452"/>
      <c r="AE261" s="36"/>
      <c r="AF261" s="36"/>
      <c r="AG261" s="36"/>
      <c r="AH261" s="19"/>
    </row>
    <row r="262" spans="1:34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739">
        <v>0</v>
      </c>
      <c r="K262" s="132" t="s">
        <v>621</v>
      </c>
      <c r="L262" s="740">
        <v>0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1">
        <v>0</v>
      </c>
      <c r="T262" s="449"/>
      <c r="U262" s="67">
        <v>0</v>
      </c>
      <c r="V262" s="163">
        <v>0</v>
      </c>
      <c r="W262" s="166">
        <v>0</v>
      </c>
      <c r="X262" s="61"/>
      <c r="Z262" s="67"/>
      <c r="AA262" s="451"/>
      <c r="AB262" s="452"/>
      <c r="AE262" s="36"/>
      <c r="AF262" s="36"/>
      <c r="AG262" s="36"/>
      <c r="AH262" s="19"/>
    </row>
    <row r="263" spans="1:34">
      <c r="A263" s="64" t="s">
        <v>594</v>
      </c>
      <c r="B263" s="63" t="s">
        <v>486</v>
      </c>
      <c r="C263" s="63" t="s">
        <v>487</v>
      </c>
      <c r="D263" s="134">
        <v>13.14</v>
      </c>
      <c r="E263" s="67">
        <v>1979</v>
      </c>
      <c r="F263" s="146">
        <v>0</v>
      </c>
      <c r="G263" s="146">
        <v>0</v>
      </c>
      <c r="H263" s="91">
        <v>1979</v>
      </c>
      <c r="I263" s="67">
        <v>0</v>
      </c>
      <c r="J263" s="739">
        <v>1979</v>
      </c>
      <c r="K263" s="132" t="s">
        <v>621</v>
      </c>
      <c r="L263" s="740">
        <v>0</v>
      </c>
      <c r="M263" s="741">
        <v>13.14</v>
      </c>
      <c r="N263" s="67">
        <v>0</v>
      </c>
      <c r="O263" s="67">
        <v>1979</v>
      </c>
      <c r="Q263" s="674">
        <v>0</v>
      </c>
      <c r="R263" s="674">
        <v>1979</v>
      </c>
      <c r="S263" s="71">
        <v>150.60882800608826</v>
      </c>
      <c r="T263" s="449"/>
      <c r="U263" s="67">
        <v>1693</v>
      </c>
      <c r="V263" s="163">
        <v>286</v>
      </c>
      <c r="W263" s="166">
        <v>0.16893089190785587</v>
      </c>
      <c r="X263" s="61"/>
      <c r="Z263" s="67"/>
      <c r="AA263" s="451"/>
      <c r="AB263" s="452"/>
      <c r="AE263" s="36"/>
      <c r="AF263" s="36"/>
      <c r="AG263" s="36"/>
      <c r="AH263" s="19"/>
    </row>
    <row r="264" spans="1:34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132" t="s">
        <v>621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>
        <v>0</v>
      </c>
      <c r="S264" s="71">
        <v>0</v>
      </c>
      <c r="T264" s="449"/>
      <c r="U264" s="67">
        <v>0</v>
      </c>
      <c r="V264" s="163">
        <v>0</v>
      </c>
      <c r="W264" s="166">
        <v>0</v>
      </c>
      <c r="X264" s="61"/>
      <c r="Z264" s="67"/>
      <c r="AA264" s="451"/>
      <c r="AB264" s="452"/>
      <c r="AE264" s="36"/>
      <c r="AF264" s="36"/>
      <c r="AG264" s="36"/>
      <c r="AH264" s="19"/>
    </row>
    <row r="265" spans="1:34">
      <c r="A265" s="64" t="s">
        <v>594</v>
      </c>
      <c r="B265" s="63" t="s">
        <v>268</v>
      </c>
      <c r="C265" s="63" t="s">
        <v>269</v>
      </c>
      <c r="D265" s="134">
        <v>16.14</v>
      </c>
      <c r="E265" s="67">
        <v>2431</v>
      </c>
      <c r="F265" s="146">
        <v>0</v>
      </c>
      <c r="G265" s="146">
        <v>0</v>
      </c>
      <c r="H265" s="91">
        <v>2431</v>
      </c>
      <c r="I265" s="67">
        <v>0</v>
      </c>
      <c r="J265" s="739">
        <v>2431</v>
      </c>
      <c r="K265" s="132" t="s">
        <v>621</v>
      </c>
      <c r="L265" s="740">
        <v>0</v>
      </c>
      <c r="M265" s="741">
        <v>16.14</v>
      </c>
      <c r="N265" s="67">
        <v>0</v>
      </c>
      <c r="O265" s="67">
        <v>2431</v>
      </c>
      <c r="Q265" s="674">
        <v>0</v>
      </c>
      <c r="R265" s="674">
        <v>2431</v>
      </c>
      <c r="S265" s="71">
        <v>150.61957868649318</v>
      </c>
      <c r="T265" s="449"/>
      <c r="U265" s="67">
        <v>0</v>
      </c>
      <c r="V265" s="163">
        <v>2431</v>
      </c>
      <c r="W265" s="166">
        <v>0</v>
      </c>
      <c r="X265" s="61"/>
      <c r="Z265" s="67"/>
      <c r="AA265" s="451"/>
      <c r="AB265" s="452"/>
      <c r="AE265" s="36"/>
      <c r="AF265" s="36"/>
      <c r="AG265" s="36"/>
      <c r="AH265" s="19"/>
    </row>
    <row r="266" spans="1:34">
      <c r="A266" s="64" t="s">
        <v>601</v>
      </c>
      <c r="B266" s="63" t="s">
        <v>321</v>
      </c>
      <c r="C266" s="63" t="s">
        <v>322</v>
      </c>
      <c r="D266" s="134">
        <v>173.71</v>
      </c>
      <c r="E266" s="67">
        <v>26161</v>
      </c>
      <c r="F266" s="146">
        <v>0</v>
      </c>
      <c r="G266" s="146">
        <v>0</v>
      </c>
      <c r="H266" s="91">
        <v>26161</v>
      </c>
      <c r="I266" s="67">
        <v>0</v>
      </c>
      <c r="J266" s="739">
        <v>26161</v>
      </c>
      <c r="K266" s="132" t="s">
        <v>621</v>
      </c>
      <c r="L266" s="740">
        <v>0</v>
      </c>
      <c r="M266" s="741">
        <v>173.71</v>
      </c>
      <c r="N266" s="67">
        <v>0</v>
      </c>
      <c r="O266" s="67">
        <v>26161</v>
      </c>
      <c r="Q266" s="674">
        <v>0</v>
      </c>
      <c r="R266" s="674">
        <v>26161</v>
      </c>
      <c r="S266" s="71">
        <v>150.60157734154626</v>
      </c>
      <c r="T266" s="449"/>
      <c r="U266" s="67">
        <v>27760</v>
      </c>
      <c r="V266" s="163">
        <v>-1599</v>
      </c>
      <c r="W266" s="166">
        <v>-5.7600864553314118E-2</v>
      </c>
      <c r="X266" s="61"/>
      <c r="Z266" s="67"/>
      <c r="AA266" s="451"/>
      <c r="AB266" s="452"/>
      <c r="AE266" s="36"/>
      <c r="AF266" s="36"/>
      <c r="AG266" s="36"/>
      <c r="AH266" s="19"/>
    </row>
    <row r="267" spans="1:34">
      <c r="A267" s="64" t="s">
        <v>605</v>
      </c>
      <c r="B267" s="63" t="s">
        <v>559</v>
      </c>
      <c r="C267" s="63" t="s">
        <v>560</v>
      </c>
      <c r="D267" s="134">
        <v>1350.14</v>
      </c>
      <c r="E267" s="67">
        <v>203331</v>
      </c>
      <c r="F267" s="146">
        <v>0</v>
      </c>
      <c r="G267" s="146">
        <v>0</v>
      </c>
      <c r="H267" s="91">
        <v>203331</v>
      </c>
      <c r="I267" s="67">
        <v>0</v>
      </c>
      <c r="J267" s="739">
        <v>203331</v>
      </c>
      <c r="K267" s="132" t="s">
        <v>621</v>
      </c>
      <c r="L267" s="740">
        <v>0</v>
      </c>
      <c r="M267" s="741">
        <v>1350.14</v>
      </c>
      <c r="N267" s="67">
        <v>0</v>
      </c>
      <c r="O267" s="67">
        <v>203331</v>
      </c>
      <c r="Q267" s="674">
        <v>0</v>
      </c>
      <c r="R267" s="674">
        <v>203331</v>
      </c>
      <c r="S267" s="71">
        <v>150.59993778422978</v>
      </c>
      <c r="T267" s="449"/>
      <c r="U267" s="67">
        <v>181514</v>
      </c>
      <c r="V267" s="163">
        <v>21817</v>
      </c>
      <c r="W267" s="166">
        <v>0.12019458554161111</v>
      </c>
      <c r="X267" s="61"/>
      <c r="Z267" s="67"/>
      <c r="AA267" s="451"/>
      <c r="AB267" s="452"/>
      <c r="AE267" s="36"/>
      <c r="AF267" s="36"/>
      <c r="AG267" s="36"/>
      <c r="AH267" s="19"/>
    </row>
    <row r="268" spans="1:34">
      <c r="A268" s="64" t="s">
        <v>596</v>
      </c>
      <c r="B268" s="63" t="s">
        <v>496</v>
      </c>
      <c r="C268" s="63" t="s">
        <v>497</v>
      </c>
      <c r="D268" s="134">
        <v>31</v>
      </c>
      <c r="E268" s="67">
        <v>4669</v>
      </c>
      <c r="F268" s="146">
        <v>0</v>
      </c>
      <c r="G268" s="146">
        <v>0</v>
      </c>
      <c r="H268" s="91">
        <v>4669</v>
      </c>
      <c r="I268" s="67">
        <v>0</v>
      </c>
      <c r="J268" s="739">
        <v>4669</v>
      </c>
      <c r="K268" s="132" t="s">
        <v>621</v>
      </c>
      <c r="L268" s="740">
        <v>0</v>
      </c>
      <c r="M268" s="741">
        <v>31</v>
      </c>
      <c r="N268" s="67">
        <v>0</v>
      </c>
      <c r="O268" s="67">
        <v>4669</v>
      </c>
      <c r="Q268" s="674">
        <v>0</v>
      </c>
      <c r="R268" s="674">
        <v>4669</v>
      </c>
      <c r="S268" s="71">
        <v>150.61290322580646</v>
      </c>
      <c r="T268" s="449"/>
      <c r="U268" s="67">
        <v>3629</v>
      </c>
      <c r="V268" s="163">
        <v>1040</v>
      </c>
      <c r="W268" s="166">
        <v>0.28658032515844584</v>
      </c>
      <c r="X268" s="61"/>
      <c r="Z268" s="67"/>
      <c r="AA268" s="451"/>
      <c r="AB268" s="452"/>
      <c r="AE268" s="36"/>
      <c r="AF268" s="36"/>
      <c r="AG268" s="36"/>
      <c r="AH268" s="19"/>
    </row>
    <row r="269" spans="1:34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739">
        <v>0</v>
      </c>
      <c r="K269" s="132" t="s">
        <v>621</v>
      </c>
      <c r="L269" s="740">
        <v>0</v>
      </c>
      <c r="M269" s="741">
        <v>0</v>
      </c>
      <c r="N269" s="67">
        <v>0</v>
      </c>
      <c r="O269" s="67">
        <v>0</v>
      </c>
      <c r="Q269" s="674">
        <v>0</v>
      </c>
      <c r="R269" s="674">
        <v>0</v>
      </c>
      <c r="S269" s="71">
        <v>0</v>
      </c>
      <c r="T269" s="449"/>
      <c r="U269" s="67">
        <v>0</v>
      </c>
      <c r="V269" s="163">
        <v>0</v>
      </c>
      <c r="W269" s="166">
        <v>0</v>
      </c>
      <c r="X269" s="61"/>
      <c r="Z269" s="67"/>
      <c r="AA269" s="451"/>
      <c r="AB269" s="452"/>
      <c r="AE269" s="36"/>
      <c r="AF269" s="36"/>
      <c r="AG269" s="36"/>
      <c r="AH269" s="19"/>
    </row>
    <row r="270" spans="1:34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739">
        <v>0</v>
      </c>
      <c r="K270" s="132" t="s">
        <v>621</v>
      </c>
      <c r="L270" s="740">
        <v>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1">
        <v>0</v>
      </c>
      <c r="T270" s="449"/>
      <c r="U270" s="67">
        <v>0</v>
      </c>
      <c r="V270" s="163">
        <v>0</v>
      </c>
      <c r="W270" s="166">
        <v>0</v>
      </c>
      <c r="X270" s="61"/>
      <c r="Z270" s="67"/>
      <c r="AA270" s="451"/>
      <c r="AB270" s="452"/>
      <c r="AE270" s="36"/>
      <c r="AF270" s="36"/>
      <c r="AG270" s="36"/>
      <c r="AH270" s="19"/>
    </row>
    <row r="271" spans="1:34">
      <c r="A271" s="64" t="s">
        <v>597</v>
      </c>
      <c r="B271" s="63" t="s">
        <v>191</v>
      </c>
      <c r="C271" s="63" t="s">
        <v>192</v>
      </c>
      <c r="D271" s="134">
        <v>1146.71</v>
      </c>
      <c r="E271" s="67">
        <v>172695</v>
      </c>
      <c r="F271" s="146">
        <v>0</v>
      </c>
      <c r="G271" s="146">
        <v>0</v>
      </c>
      <c r="H271" s="91">
        <v>172695</v>
      </c>
      <c r="I271" s="67">
        <v>0</v>
      </c>
      <c r="J271" s="739">
        <v>172695</v>
      </c>
      <c r="K271" s="132" t="s">
        <v>621</v>
      </c>
      <c r="L271" s="740">
        <v>0</v>
      </c>
      <c r="M271" s="741">
        <v>1146.71</v>
      </c>
      <c r="N271" s="67">
        <v>0</v>
      </c>
      <c r="O271" s="67">
        <v>172695</v>
      </c>
      <c r="Q271" s="674">
        <v>0</v>
      </c>
      <c r="R271" s="674">
        <v>172695</v>
      </c>
      <c r="S271" s="71">
        <v>150.60041335647199</v>
      </c>
      <c r="T271" s="449"/>
      <c r="U271" s="67">
        <v>188343</v>
      </c>
      <c r="V271" s="163">
        <v>-15648</v>
      </c>
      <c r="W271" s="166">
        <v>-8.3082461254201115E-2</v>
      </c>
      <c r="X271" s="61"/>
      <c r="Z271" s="67"/>
      <c r="AA271" s="451"/>
      <c r="AB271" s="452"/>
      <c r="AE271" s="36"/>
      <c r="AF271" s="36"/>
      <c r="AG271" s="36"/>
      <c r="AH271" s="19"/>
    </row>
    <row r="272" spans="1:34">
      <c r="A272" s="64" t="s">
        <v>594</v>
      </c>
      <c r="B272" s="63" t="s">
        <v>476</v>
      </c>
      <c r="C272" s="63" t="s">
        <v>477</v>
      </c>
      <c r="D272" s="134">
        <v>87.86</v>
      </c>
      <c r="E272" s="67">
        <v>13232</v>
      </c>
      <c r="F272" s="146">
        <v>0</v>
      </c>
      <c r="G272" s="146">
        <v>0</v>
      </c>
      <c r="H272" s="91">
        <v>13232</v>
      </c>
      <c r="I272" s="67">
        <v>0</v>
      </c>
      <c r="J272" s="739">
        <v>13232</v>
      </c>
      <c r="K272" s="132" t="s">
        <v>621</v>
      </c>
      <c r="L272" s="740">
        <v>0</v>
      </c>
      <c r="M272" s="741">
        <v>87.86</v>
      </c>
      <c r="N272" s="67">
        <v>0</v>
      </c>
      <c r="O272" s="67">
        <v>13232</v>
      </c>
      <c r="Q272" s="674">
        <v>0</v>
      </c>
      <c r="R272" s="674">
        <v>13232</v>
      </c>
      <c r="S272" s="71">
        <v>150.60323241520601</v>
      </c>
      <c r="T272" s="449"/>
      <c r="U272" s="67">
        <v>15121</v>
      </c>
      <c r="V272" s="163">
        <v>-1889</v>
      </c>
      <c r="W272" s="166">
        <v>-0.12492560015871966</v>
      </c>
      <c r="X272" s="61"/>
      <c r="Z272" s="67"/>
      <c r="AA272" s="451"/>
      <c r="AB272" s="452"/>
      <c r="AE272" s="36"/>
      <c r="AF272" s="36"/>
      <c r="AG272" s="36"/>
      <c r="AH272" s="19"/>
    </row>
    <row r="273" spans="1:34">
      <c r="A273" s="64" t="s">
        <v>605</v>
      </c>
      <c r="B273" s="63" t="s">
        <v>543</v>
      </c>
      <c r="C273" s="63" t="s">
        <v>544</v>
      </c>
      <c r="D273" s="134">
        <v>171.86</v>
      </c>
      <c r="E273" s="67">
        <v>25882</v>
      </c>
      <c r="F273" s="146">
        <v>0</v>
      </c>
      <c r="G273" s="146">
        <v>0</v>
      </c>
      <c r="H273" s="91">
        <v>25882</v>
      </c>
      <c r="I273" s="67">
        <v>0</v>
      </c>
      <c r="J273" s="739">
        <v>25882</v>
      </c>
      <c r="K273" s="132" t="s">
        <v>621</v>
      </c>
      <c r="L273" s="740">
        <v>0</v>
      </c>
      <c r="M273" s="741">
        <v>171.86</v>
      </c>
      <c r="N273" s="67">
        <v>0</v>
      </c>
      <c r="O273" s="67">
        <v>25882</v>
      </c>
      <c r="Q273" s="674">
        <v>0</v>
      </c>
      <c r="R273" s="674">
        <v>25882</v>
      </c>
      <c r="S273" s="71">
        <v>150.59932503200278</v>
      </c>
      <c r="T273" s="449"/>
      <c r="U273" s="67">
        <v>27403</v>
      </c>
      <c r="V273" s="163">
        <v>-1521</v>
      </c>
      <c r="W273" s="166">
        <v>-5.5504871729372698E-2</v>
      </c>
      <c r="X273" s="61"/>
      <c r="Z273" s="67"/>
      <c r="AA273" s="451"/>
      <c r="AB273" s="452"/>
      <c r="AE273" s="36"/>
      <c r="AF273" s="36"/>
      <c r="AG273" s="36"/>
      <c r="AH273" s="19"/>
    </row>
    <row r="274" spans="1:34" s="112" customFormat="1">
      <c r="A274" s="138" t="s">
        <v>597</v>
      </c>
      <c r="B274" s="139" t="s">
        <v>349</v>
      </c>
      <c r="C274" s="63" t="s">
        <v>350</v>
      </c>
      <c r="D274" s="134">
        <v>183</v>
      </c>
      <c r="E274" s="67">
        <v>27560</v>
      </c>
      <c r="F274" s="146">
        <v>0</v>
      </c>
      <c r="G274" s="146">
        <v>0</v>
      </c>
      <c r="H274" s="91">
        <v>27560</v>
      </c>
      <c r="I274" s="67">
        <v>0</v>
      </c>
      <c r="J274" s="739">
        <v>27560</v>
      </c>
      <c r="K274" s="132" t="s">
        <v>621</v>
      </c>
      <c r="L274" s="740">
        <v>0</v>
      </c>
      <c r="M274" s="741">
        <v>183</v>
      </c>
      <c r="N274" s="67">
        <v>0</v>
      </c>
      <c r="O274" s="67">
        <v>27560</v>
      </c>
      <c r="P274" s="674"/>
      <c r="Q274" s="674">
        <v>0</v>
      </c>
      <c r="R274" s="674">
        <v>27560</v>
      </c>
      <c r="S274" s="71">
        <v>150.60109289617486</v>
      </c>
      <c r="T274" s="449"/>
      <c r="U274" s="67">
        <v>25240</v>
      </c>
      <c r="V274" s="163">
        <v>2320</v>
      </c>
      <c r="W274" s="166">
        <v>9.1917591125198095E-2</v>
      </c>
      <c r="X274" s="115"/>
      <c r="Z274" s="67"/>
      <c r="AA274" s="451"/>
      <c r="AB274" s="452"/>
      <c r="AE274" s="116"/>
      <c r="AF274" s="116"/>
      <c r="AG274" s="116"/>
      <c r="AH274" s="117"/>
    </row>
    <row r="275" spans="1:34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739">
        <v>0</v>
      </c>
      <c r="K275" s="132" t="s">
        <v>621</v>
      </c>
      <c r="L275" s="740">
        <v>0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1">
        <v>0</v>
      </c>
      <c r="T275" s="449"/>
      <c r="U275" s="67">
        <v>0</v>
      </c>
      <c r="V275" s="163">
        <v>0</v>
      </c>
      <c r="W275" s="166">
        <v>0</v>
      </c>
      <c r="X275" s="61"/>
      <c r="Z275" s="67"/>
      <c r="AA275" s="451"/>
      <c r="AB275" s="452"/>
      <c r="AE275" s="36"/>
      <c r="AF275" s="36"/>
      <c r="AG275" s="36"/>
      <c r="AH275" s="19"/>
    </row>
    <row r="276" spans="1:34">
      <c r="A276" s="64" t="s">
        <v>599</v>
      </c>
      <c r="B276" s="63" t="s">
        <v>49</v>
      </c>
      <c r="C276" s="63" t="s">
        <v>50</v>
      </c>
      <c r="D276" s="134">
        <v>2679.43</v>
      </c>
      <c r="E276" s="67">
        <v>403522</v>
      </c>
      <c r="F276" s="146">
        <v>0</v>
      </c>
      <c r="G276" s="146">
        <v>0</v>
      </c>
      <c r="H276" s="91">
        <v>403522</v>
      </c>
      <c r="I276" s="67">
        <v>0</v>
      </c>
      <c r="J276" s="739">
        <v>403522</v>
      </c>
      <c r="K276" s="132" t="s">
        <v>621</v>
      </c>
      <c r="L276" s="740">
        <v>0</v>
      </c>
      <c r="M276" s="741">
        <v>2679.43</v>
      </c>
      <c r="N276" s="67">
        <v>0</v>
      </c>
      <c r="O276" s="67">
        <v>403522</v>
      </c>
      <c r="Q276" s="674">
        <v>0</v>
      </c>
      <c r="R276" s="674">
        <v>403522</v>
      </c>
      <c r="S276" s="71">
        <v>150.59994103223448</v>
      </c>
      <c r="T276" s="449"/>
      <c r="U276" s="67">
        <v>421146</v>
      </c>
      <c r="V276" s="163">
        <v>-17624</v>
      </c>
      <c r="W276" s="166">
        <v>-4.1847720268030561E-2</v>
      </c>
      <c r="X276" s="61"/>
      <c r="Z276" s="67"/>
      <c r="AA276" s="451"/>
      <c r="AB276" s="452"/>
      <c r="AE276" s="36"/>
      <c r="AF276" s="36"/>
      <c r="AG276" s="36"/>
      <c r="AH276" s="19"/>
    </row>
    <row r="277" spans="1:34" s="112" customFormat="1">
      <c r="A277" s="138" t="s">
        <v>597</v>
      </c>
      <c r="B277" s="139" t="s">
        <v>183</v>
      </c>
      <c r="C277" s="63" t="s">
        <v>184</v>
      </c>
      <c r="D277" s="134">
        <v>39.43</v>
      </c>
      <c r="E277" s="67">
        <v>5938</v>
      </c>
      <c r="F277" s="146">
        <v>0</v>
      </c>
      <c r="G277" s="146">
        <v>0</v>
      </c>
      <c r="H277" s="91">
        <v>5938</v>
      </c>
      <c r="I277" s="67">
        <v>0</v>
      </c>
      <c r="J277" s="739">
        <v>5938</v>
      </c>
      <c r="K277" s="132" t="s">
        <v>621</v>
      </c>
      <c r="L277" s="740">
        <v>0</v>
      </c>
      <c r="M277" s="741">
        <v>39.43</v>
      </c>
      <c r="N277" s="67">
        <v>0</v>
      </c>
      <c r="O277" s="67">
        <v>5938</v>
      </c>
      <c r="P277" s="674"/>
      <c r="Q277" s="674">
        <v>0</v>
      </c>
      <c r="R277" s="674">
        <v>5938</v>
      </c>
      <c r="S277" s="71">
        <v>150.59599289880802</v>
      </c>
      <c r="T277" s="449"/>
      <c r="U277" s="67">
        <v>0</v>
      </c>
      <c r="V277" s="163">
        <v>5938</v>
      </c>
      <c r="W277" s="166">
        <v>0</v>
      </c>
      <c r="X277" s="115"/>
      <c r="Z277" s="67"/>
      <c r="AA277" s="451"/>
      <c r="AB277" s="452"/>
      <c r="AE277" s="116"/>
      <c r="AF277" s="116"/>
      <c r="AG277" s="116"/>
      <c r="AH277" s="117"/>
    </row>
    <row r="278" spans="1:34">
      <c r="A278" s="64" t="s">
        <v>599</v>
      </c>
      <c r="B278" s="63" t="s">
        <v>488</v>
      </c>
      <c r="C278" s="63" t="s">
        <v>489</v>
      </c>
      <c r="D278" s="134">
        <v>14</v>
      </c>
      <c r="E278" s="67">
        <v>2108</v>
      </c>
      <c r="F278" s="146">
        <v>0</v>
      </c>
      <c r="G278" s="146">
        <v>0</v>
      </c>
      <c r="H278" s="91">
        <v>2108</v>
      </c>
      <c r="I278" s="67">
        <v>0</v>
      </c>
      <c r="J278" s="739">
        <v>2108</v>
      </c>
      <c r="K278" s="132" t="s">
        <v>621</v>
      </c>
      <c r="L278" s="740">
        <v>0</v>
      </c>
      <c r="M278" s="741">
        <v>14</v>
      </c>
      <c r="N278" s="67">
        <v>0</v>
      </c>
      <c r="O278" s="67">
        <v>2108</v>
      </c>
      <c r="Q278" s="674">
        <v>0</v>
      </c>
      <c r="R278" s="674">
        <v>2108</v>
      </c>
      <c r="S278" s="71">
        <v>150.57142857142858</v>
      </c>
      <c r="T278" s="449"/>
      <c r="U278" s="67">
        <v>0</v>
      </c>
      <c r="V278" s="163">
        <v>2108</v>
      </c>
      <c r="W278" s="166">
        <v>0</v>
      </c>
      <c r="X278" s="61"/>
      <c r="Z278" s="67"/>
      <c r="AA278" s="451"/>
      <c r="AB278" s="452"/>
      <c r="AE278" s="36"/>
      <c r="AF278" s="36"/>
      <c r="AG278" s="36"/>
      <c r="AH278" s="19"/>
    </row>
    <row r="279" spans="1:34">
      <c r="A279" s="64" t="s">
        <v>605</v>
      </c>
      <c r="B279" s="63" t="s">
        <v>114</v>
      </c>
      <c r="C279" s="63" t="s">
        <v>115</v>
      </c>
      <c r="D279" s="134">
        <v>1320.29</v>
      </c>
      <c r="E279" s="67">
        <v>198836</v>
      </c>
      <c r="F279" s="146">
        <v>0</v>
      </c>
      <c r="G279" s="146">
        <v>0</v>
      </c>
      <c r="H279" s="91">
        <v>198836</v>
      </c>
      <c r="I279" s="67">
        <v>0</v>
      </c>
      <c r="J279" s="739">
        <v>198836</v>
      </c>
      <c r="K279" s="132" t="s">
        <v>621</v>
      </c>
      <c r="L279" s="740">
        <v>0</v>
      </c>
      <c r="M279" s="741">
        <v>1320.29</v>
      </c>
      <c r="N279" s="67">
        <v>0</v>
      </c>
      <c r="O279" s="67">
        <v>198836</v>
      </c>
      <c r="Q279" s="674">
        <v>0</v>
      </c>
      <c r="R279" s="674">
        <v>198836</v>
      </c>
      <c r="S279" s="71">
        <v>150.60024691545038</v>
      </c>
      <c r="T279" s="449"/>
      <c r="U279" s="67">
        <v>207019</v>
      </c>
      <c r="V279" s="163">
        <v>-8183</v>
      </c>
      <c r="W279" s="166">
        <v>-3.9527772813123432E-2</v>
      </c>
      <c r="X279" s="61"/>
      <c r="Z279" s="67"/>
      <c r="AA279" s="451"/>
      <c r="AB279" s="452"/>
      <c r="AE279" s="36"/>
      <c r="AF279" s="36"/>
      <c r="AG279" s="36"/>
      <c r="AH279" s="19"/>
    </row>
    <row r="280" spans="1:34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739">
        <v>0</v>
      </c>
      <c r="K280" s="132" t="s">
        <v>621</v>
      </c>
      <c r="L280" s="740">
        <v>0</v>
      </c>
      <c r="M280" s="741">
        <v>0</v>
      </c>
      <c r="N280" s="67">
        <v>0</v>
      </c>
      <c r="O280" s="67">
        <v>0</v>
      </c>
      <c r="Q280" s="674">
        <v>0</v>
      </c>
      <c r="R280" s="674">
        <v>0</v>
      </c>
      <c r="S280" s="71">
        <v>0</v>
      </c>
      <c r="T280" s="449"/>
      <c r="U280" s="67">
        <v>0</v>
      </c>
      <c r="V280" s="163">
        <v>0</v>
      </c>
      <c r="W280" s="166">
        <v>0</v>
      </c>
      <c r="X280" s="61"/>
      <c r="Z280" s="67"/>
      <c r="AA280" s="451"/>
      <c r="AB280" s="452"/>
      <c r="AE280" s="36"/>
      <c r="AF280" s="36"/>
      <c r="AG280" s="36"/>
      <c r="AH280" s="19"/>
    </row>
    <row r="281" spans="1:34">
      <c r="A281" s="64" t="s">
        <v>596</v>
      </c>
      <c r="B281" s="63" t="s">
        <v>492</v>
      </c>
      <c r="C281" s="63" t="s">
        <v>493</v>
      </c>
      <c r="D281" s="134">
        <v>777.14</v>
      </c>
      <c r="E281" s="67">
        <v>117037</v>
      </c>
      <c r="F281" s="146">
        <v>0</v>
      </c>
      <c r="G281" s="146">
        <v>0</v>
      </c>
      <c r="H281" s="91">
        <v>117037</v>
      </c>
      <c r="I281" s="67">
        <v>0</v>
      </c>
      <c r="J281" s="739">
        <v>117037</v>
      </c>
      <c r="K281" s="132" t="s">
        <v>621</v>
      </c>
      <c r="L281" s="740">
        <v>0</v>
      </c>
      <c r="M281" s="741">
        <v>777.14</v>
      </c>
      <c r="N281" s="67">
        <v>0</v>
      </c>
      <c r="O281" s="67">
        <v>117037</v>
      </c>
      <c r="Q281" s="674">
        <v>0</v>
      </c>
      <c r="R281" s="674">
        <v>117037</v>
      </c>
      <c r="S281" s="71">
        <v>150.59963455747999</v>
      </c>
      <c r="T281" s="449"/>
      <c r="U281" s="67">
        <v>132746</v>
      </c>
      <c r="V281" s="163">
        <v>-15709</v>
      </c>
      <c r="W281" s="166">
        <v>-0.11833878233619093</v>
      </c>
      <c r="X281" s="61"/>
      <c r="Z281" s="67"/>
      <c r="AA281" s="451"/>
      <c r="AB281" s="452"/>
      <c r="AE281" s="36"/>
      <c r="AF281" s="36"/>
      <c r="AG281" s="36"/>
      <c r="AH281" s="19"/>
    </row>
    <row r="282" spans="1:34">
      <c r="A282" s="64" t="s">
        <v>605</v>
      </c>
      <c r="B282" s="63" t="s">
        <v>567</v>
      </c>
      <c r="C282" s="63" t="s">
        <v>568</v>
      </c>
      <c r="D282" s="134">
        <v>1454.1399999999999</v>
      </c>
      <c r="E282" s="67">
        <v>218994</v>
      </c>
      <c r="F282" s="146">
        <v>0</v>
      </c>
      <c r="G282" s="146">
        <v>0</v>
      </c>
      <c r="H282" s="91">
        <v>218994</v>
      </c>
      <c r="I282" s="67">
        <v>0</v>
      </c>
      <c r="J282" s="739">
        <v>218994</v>
      </c>
      <c r="K282" s="132" t="s">
        <v>621</v>
      </c>
      <c r="L282" s="740">
        <v>0</v>
      </c>
      <c r="M282" s="741">
        <v>1454.1399999999999</v>
      </c>
      <c r="N282" s="67">
        <v>0</v>
      </c>
      <c r="O282" s="67">
        <v>218994</v>
      </c>
      <c r="Q282" s="674">
        <v>0</v>
      </c>
      <c r="R282" s="674">
        <v>218994</v>
      </c>
      <c r="S282" s="71">
        <v>150.60035484891415</v>
      </c>
      <c r="T282" s="449"/>
      <c r="U282" s="67">
        <v>205701</v>
      </c>
      <c r="V282" s="163">
        <v>13293</v>
      </c>
      <c r="W282" s="166">
        <v>6.4622923563813495E-2</v>
      </c>
      <c r="X282" s="61"/>
      <c r="Z282" s="67"/>
      <c r="AA282" s="451"/>
      <c r="AB282" s="452"/>
      <c r="AE282" s="36"/>
      <c r="AF282" s="36"/>
      <c r="AG282" s="36"/>
      <c r="AH282" s="19"/>
    </row>
    <row r="283" spans="1:34">
      <c r="A283" s="64" t="s">
        <v>601</v>
      </c>
      <c r="B283" s="63" t="s">
        <v>118</v>
      </c>
      <c r="C283" s="63" t="s">
        <v>119</v>
      </c>
      <c r="D283" s="134">
        <v>334.57</v>
      </c>
      <c r="E283" s="67">
        <v>50386</v>
      </c>
      <c r="F283" s="146">
        <v>0</v>
      </c>
      <c r="G283" s="146">
        <v>0</v>
      </c>
      <c r="H283" s="91">
        <v>50386</v>
      </c>
      <c r="I283" s="67">
        <v>0</v>
      </c>
      <c r="J283" s="739">
        <v>50386</v>
      </c>
      <c r="K283" s="132" t="s">
        <v>621</v>
      </c>
      <c r="L283" s="740">
        <v>0</v>
      </c>
      <c r="M283" s="741">
        <v>334.57</v>
      </c>
      <c r="N283" s="67">
        <v>0</v>
      </c>
      <c r="O283" s="67">
        <v>50386</v>
      </c>
      <c r="Q283" s="674">
        <v>0</v>
      </c>
      <c r="R283" s="674">
        <v>50386</v>
      </c>
      <c r="S283" s="71">
        <v>150.5992766835042</v>
      </c>
      <c r="T283" s="449"/>
      <c r="U283" s="67">
        <v>58304</v>
      </c>
      <c r="V283" s="163">
        <v>-7918</v>
      </c>
      <c r="W283" s="166">
        <v>-0.13580543358946212</v>
      </c>
      <c r="X283" s="61"/>
      <c r="Z283" s="67"/>
      <c r="AA283" s="451"/>
      <c r="AB283" s="452"/>
      <c r="AE283" s="36"/>
      <c r="AF283" s="36"/>
      <c r="AG283" s="36"/>
      <c r="AH283" s="19"/>
    </row>
    <row r="284" spans="1:34">
      <c r="A284" s="64" t="s">
        <v>599</v>
      </c>
      <c r="B284" s="63" t="s">
        <v>56</v>
      </c>
      <c r="C284" s="63" t="s">
        <v>57</v>
      </c>
      <c r="D284" s="134">
        <v>64.290000000000006</v>
      </c>
      <c r="E284" s="67">
        <v>9682</v>
      </c>
      <c r="F284" s="146">
        <v>0</v>
      </c>
      <c r="G284" s="146">
        <v>0</v>
      </c>
      <c r="H284" s="91">
        <v>9682</v>
      </c>
      <c r="I284" s="67">
        <v>0</v>
      </c>
      <c r="J284" s="739">
        <v>9682</v>
      </c>
      <c r="K284" s="132" t="s">
        <v>621</v>
      </c>
      <c r="L284" s="740">
        <v>0</v>
      </c>
      <c r="M284" s="741">
        <v>64.290000000000006</v>
      </c>
      <c r="N284" s="67">
        <v>0</v>
      </c>
      <c r="O284" s="67">
        <v>9682</v>
      </c>
      <c r="Q284" s="674">
        <v>0</v>
      </c>
      <c r="R284" s="674">
        <v>9682</v>
      </c>
      <c r="S284" s="71">
        <v>150.59884896562451</v>
      </c>
      <c r="T284" s="449"/>
      <c r="U284" s="67">
        <v>10889</v>
      </c>
      <c r="V284" s="163">
        <v>-1207</v>
      </c>
      <c r="W284" s="166">
        <v>-0.11084580769583983</v>
      </c>
      <c r="X284" s="61"/>
      <c r="Z284" s="67"/>
      <c r="AA284" s="451"/>
      <c r="AB284" s="452"/>
      <c r="AE284" s="36"/>
      <c r="AF284" s="36"/>
      <c r="AG284" s="36"/>
      <c r="AH284" s="19"/>
    </row>
    <row r="285" spans="1:34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621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1">
        <v>0</v>
      </c>
      <c r="T285" s="449"/>
      <c r="U285" s="67">
        <v>0</v>
      </c>
      <c r="V285" s="163">
        <v>0</v>
      </c>
      <c r="W285" s="166">
        <v>0</v>
      </c>
      <c r="X285" s="61"/>
      <c r="Z285" s="67"/>
      <c r="AA285" s="451"/>
      <c r="AB285" s="452"/>
      <c r="AE285" s="36"/>
      <c r="AF285" s="36"/>
      <c r="AG285" s="36"/>
      <c r="AH285" s="19"/>
    </row>
    <row r="286" spans="1:34">
      <c r="A286" s="64" t="s">
        <v>601</v>
      </c>
      <c r="B286" s="63" t="s">
        <v>92</v>
      </c>
      <c r="C286" s="63" t="s">
        <v>93</v>
      </c>
      <c r="D286" s="134">
        <v>17.29</v>
      </c>
      <c r="E286" s="67">
        <v>2604</v>
      </c>
      <c r="F286" s="146">
        <v>0</v>
      </c>
      <c r="G286" s="146">
        <v>0</v>
      </c>
      <c r="H286" s="91">
        <v>2604</v>
      </c>
      <c r="I286" s="67">
        <v>0</v>
      </c>
      <c r="J286" s="739">
        <v>2604</v>
      </c>
      <c r="K286" s="132" t="s">
        <v>621</v>
      </c>
      <c r="L286" s="740">
        <v>0</v>
      </c>
      <c r="M286" s="741">
        <v>17.29</v>
      </c>
      <c r="N286" s="67">
        <v>0</v>
      </c>
      <c r="O286" s="67">
        <v>2604</v>
      </c>
      <c r="Q286" s="674">
        <v>0</v>
      </c>
      <c r="R286" s="674">
        <v>2604</v>
      </c>
      <c r="S286" s="71">
        <v>150.60728744939271</v>
      </c>
      <c r="T286" s="449"/>
      <c r="U286" s="67">
        <v>865</v>
      </c>
      <c r="V286" s="163">
        <v>1739</v>
      </c>
      <c r="W286" s="166">
        <v>2.0104046242774567</v>
      </c>
      <c r="X286" s="61"/>
      <c r="Z286" s="67"/>
      <c r="AA286" s="451"/>
      <c r="AB286" s="452"/>
      <c r="AE286" s="36"/>
      <c r="AF286" s="36"/>
      <c r="AG286" s="36"/>
      <c r="AH286" s="19"/>
    </row>
    <row r="287" spans="1:34">
      <c r="A287" s="64" t="s">
        <v>603</v>
      </c>
      <c r="B287" s="63" t="s">
        <v>452</v>
      </c>
      <c r="C287" s="63" t="s">
        <v>453</v>
      </c>
      <c r="D287" s="134">
        <v>160</v>
      </c>
      <c r="E287" s="67">
        <v>24096</v>
      </c>
      <c r="F287" s="146">
        <v>0</v>
      </c>
      <c r="G287" s="146">
        <v>0</v>
      </c>
      <c r="H287" s="91">
        <v>24096</v>
      </c>
      <c r="I287" s="67">
        <v>0</v>
      </c>
      <c r="J287" s="739">
        <v>24096</v>
      </c>
      <c r="K287" s="132" t="s">
        <v>621</v>
      </c>
      <c r="L287" s="740">
        <v>0</v>
      </c>
      <c r="M287" s="741">
        <v>160</v>
      </c>
      <c r="N287" s="67">
        <v>0</v>
      </c>
      <c r="O287" s="67">
        <v>24096</v>
      </c>
      <c r="Q287" s="674">
        <v>0</v>
      </c>
      <c r="R287" s="674">
        <v>24096</v>
      </c>
      <c r="S287" s="71">
        <v>150.6</v>
      </c>
      <c r="T287" s="449"/>
      <c r="U287" s="67">
        <v>21497</v>
      </c>
      <c r="V287" s="163">
        <v>2599</v>
      </c>
      <c r="W287" s="166">
        <v>0.12090059078010885</v>
      </c>
      <c r="X287" s="61"/>
      <c r="Z287" s="67"/>
      <c r="AA287" s="451"/>
      <c r="AB287" s="452"/>
      <c r="AE287" s="36"/>
      <c r="AF287" s="36"/>
      <c r="AG287" s="36"/>
      <c r="AH287" s="19"/>
    </row>
    <row r="288" spans="1:34">
      <c r="A288" s="64" t="s">
        <v>601</v>
      </c>
      <c r="B288" s="63" t="s">
        <v>37</v>
      </c>
      <c r="C288" s="63" t="s">
        <v>38</v>
      </c>
      <c r="D288" s="134">
        <v>1733.86</v>
      </c>
      <c r="E288" s="67">
        <v>261119</v>
      </c>
      <c r="F288" s="146">
        <v>0</v>
      </c>
      <c r="G288" s="146">
        <v>0</v>
      </c>
      <c r="H288" s="91">
        <v>261119</v>
      </c>
      <c r="I288" s="67">
        <v>0</v>
      </c>
      <c r="J288" s="739">
        <v>261119</v>
      </c>
      <c r="K288" s="132" t="s">
        <v>621</v>
      </c>
      <c r="L288" s="740">
        <v>0</v>
      </c>
      <c r="M288" s="741">
        <v>1733.86</v>
      </c>
      <c r="N288" s="67">
        <v>0</v>
      </c>
      <c r="O288" s="67">
        <v>261119</v>
      </c>
      <c r="Q288" s="674">
        <v>0</v>
      </c>
      <c r="R288" s="674">
        <v>261119</v>
      </c>
      <c r="S288" s="71">
        <v>150.59981774768437</v>
      </c>
      <c r="T288" s="449"/>
      <c r="U288" s="67">
        <v>266866</v>
      </c>
      <c r="V288" s="163">
        <v>-5747</v>
      </c>
      <c r="W288" s="166">
        <v>-2.153515247352604E-2</v>
      </c>
      <c r="X288" s="61"/>
      <c r="Z288" s="67"/>
      <c r="AA288" s="451"/>
      <c r="AB288" s="452"/>
      <c r="AE288" s="36"/>
      <c r="AF288" s="36"/>
      <c r="AG288" s="36"/>
      <c r="AH288" s="19"/>
    </row>
    <row r="289" spans="1:34">
      <c r="A289" s="144" t="s">
        <v>603</v>
      </c>
      <c r="B289" s="131" t="s">
        <v>443</v>
      </c>
      <c r="C289" s="63" t="s">
        <v>675</v>
      </c>
      <c r="D289" s="134">
        <v>108.14</v>
      </c>
      <c r="E289" s="67">
        <v>16286</v>
      </c>
      <c r="F289" s="146">
        <v>0</v>
      </c>
      <c r="G289" s="146">
        <v>0</v>
      </c>
      <c r="H289" s="91">
        <v>16286</v>
      </c>
      <c r="I289" s="67">
        <v>0</v>
      </c>
      <c r="J289" s="739">
        <v>16286</v>
      </c>
      <c r="K289" s="132" t="s">
        <v>621</v>
      </c>
      <c r="L289" s="740">
        <v>0</v>
      </c>
      <c r="M289" s="741">
        <v>108.14</v>
      </c>
      <c r="N289" s="67">
        <v>0</v>
      </c>
      <c r="O289" s="67">
        <v>16286</v>
      </c>
      <c r="Q289" s="674">
        <v>0</v>
      </c>
      <c r="R289" s="674">
        <v>16286</v>
      </c>
      <c r="S289" s="71">
        <v>150.60107268355836</v>
      </c>
      <c r="T289" s="449"/>
      <c r="U289" s="67">
        <v>17059</v>
      </c>
      <c r="V289" s="163">
        <v>-773</v>
      </c>
      <c r="W289" s="166">
        <v>-4.5313324344920566E-2</v>
      </c>
      <c r="X289" s="61"/>
      <c r="Z289" s="67"/>
      <c r="AA289" s="451"/>
      <c r="AB289" s="452"/>
      <c r="AE289" s="36"/>
      <c r="AF289" s="36"/>
      <c r="AG289" s="36"/>
      <c r="AH289" s="19"/>
    </row>
    <row r="290" spans="1:34">
      <c r="A290" s="64" t="s">
        <v>605</v>
      </c>
      <c r="B290" s="63" t="s">
        <v>569</v>
      </c>
      <c r="C290" s="63" t="s">
        <v>570</v>
      </c>
      <c r="D290" s="134">
        <v>425.43</v>
      </c>
      <c r="E290" s="67">
        <v>64070</v>
      </c>
      <c r="F290" s="146">
        <v>0</v>
      </c>
      <c r="G290" s="146">
        <v>0</v>
      </c>
      <c r="H290" s="91">
        <v>64070</v>
      </c>
      <c r="I290" s="67">
        <v>0</v>
      </c>
      <c r="J290" s="739">
        <v>64070</v>
      </c>
      <c r="K290" s="132" t="s">
        <v>621</v>
      </c>
      <c r="L290" s="740">
        <v>0</v>
      </c>
      <c r="M290" s="741">
        <v>425.43</v>
      </c>
      <c r="N290" s="67">
        <v>0</v>
      </c>
      <c r="O290" s="67">
        <v>64070</v>
      </c>
      <c r="Q290" s="674">
        <v>0</v>
      </c>
      <c r="R290" s="674">
        <v>64070</v>
      </c>
      <c r="S290" s="71">
        <v>150.60056883623628</v>
      </c>
      <c r="T290" s="449"/>
      <c r="U290" s="67">
        <v>54185</v>
      </c>
      <c r="V290" s="163">
        <v>9885</v>
      </c>
      <c r="W290" s="166">
        <v>0.18243056196364307</v>
      </c>
      <c r="X290" s="61"/>
      <c r="Z290" s="67"/>
      <c r="AA290" s="451"/>
      <c r="AB290" s="452"/>
      <c r="AE290" s="36"/>
      <c r="AF290" s="36"/>
      <c r="AG290" s="36"/>
      <c r="AH290" s="19"/>
    </row>
    <row r="291" spans="1:34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621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1">
        <v>0</v>
      </c>
      <c r="T291" s="449"/>
      <c r="U291" s="67">
        <v>0</v>
      </c>
      <c r="V291" s="163">
        <v>0</v>
      </c>
      <c r="W291" s="166">
        <v>0</v>
      </c>
      <c r="X291" s="61"/>
      <c r="Z291" s="67"/>
      <c r="AA291" s="451"/>
      <c r="AB291" s="452"/>
      <c r="AE291" s="36"/>
      <c r="AF291" s="36"/>
      <c r="AG291" s="36"/>
      <c r="AH291" s="19"/>
    </row>
    <row r="292" spans="1:34">
      <c r="A292" s="64" t="s">
        <v>597</v>
      </c>
      <c r="B292" s="63" t="s">
        <v>367</v>
      </c>
      <c r="C292" s="63" t="s">
        <v>368</v>
      </c>
      <c r="D292" s="134">
        <v>64.430000000000007</v>
      </c>
      <c r="E292" s="67">
        <v>9703</v>
      </c>
      <c r="F292" s="146">
        <v>0</v>
      </c>
      <c r="G292" s="146">
        <v>0</v>
      </c>
      <c r="H292" s="91">
        <v>9703</v>
      </c>
      <c r="I292" s="67">
        <v>0</v>
      </c>
      <c r="J292" s="739">
        <v>9703</v>
      </c>
      <c r="K292" s="132" t="s">
        <v>621</v>
      </c>
      <c r="L292" s="740">
        <v>0</v>
      </c>
      <c r="M292" s="741">
        <v>64.430000000000007</v>
      </c>
      <c r="N292" s="67">
        <v>0</v>
      </c>
      <c r="O292" s="67">
        <v>9703</v>
      </c>
      <c r="Q292" s="674">
        <v>0</v>
      </c>
      <c r="R292" s="674">
        <v>9703</v>
      </c>
      <c r="S292" s="71">
        <v>150.59754772621449</v>
      </c>
      <c r="T292" s="449"/>
      <c r="U292" s="67">
        <v>0</v>
      </c>
      <c r="V292" s="163">
        <v>9703</v>
      </c>
      <c r="W292" s="166">
        <v>0</v>
      </c>
      <c r="X292" s="61"/>
      <c r="Z292" s="67"/>
      <c r="AA292" s="451"/>
      <c r="AB292" s="452"/>
      <c r="AE292" s="36"/>
      <c r="AF292" s="36"/>
      <c r="AG292" s="36"/>
      <c r="AH292" s="19"/>
    </row>
    <row r="293" spans="1:34">
      <c r="A293" s="64" t="s">
        <v>599</v>
      </c>
      <c r="B293" s="63" t="s">
        <v>248</v>
      </c>
      <c r="C293" s="63" t="s">
        <v>249</v>
      </c>
      <c r="D293" s="134">
        <v>195.86</v>
      </c>
      <c r="E293" s="67">
        <v>29497</v>
      </c>
      <c r="F293" s="146">
        <v>0</v>
      </c>
      <c r="G293" s="146">
        <v>0</v>
      </c>
      <c r="H293" s="91">
        <v>29497</v>
      </c>
      <c r="I293" s="67">
        <v>0</v>
      </c>
      <c r="J293" s="739">
        <v>29497</v>
      </c>
      <c r="K293" s="132" t="s">
        <v>621</v>
      </c>
      <c r="L293" s="740">
        <v>0</v>
      </c>
      <c r="M293" s="741">
        <v>195.86</v>
      </c>
      <c r="N293" s="67">
        <v>0</v>
      </c>
      <c r="O293" s="67">
        <v>29497</v>
      </c>
      <c r="Q293" s="674">
        <v>0</v>
      </c>
      <c r="R293" s="674">
        <v>29497</v>
      </c>
      <c r="S293" s="71">
        <v>150.60247115286427</v>
      </c>
      <c r="T293" s="449"/>
      <c r="U293" s="67">
        <v>33741</v>
      </c>
      <c r="V293" s="163">
        <v>-4244</v>
      </c>
      <c r="W293" s="166">
        <v>-0.12578168993213004</v>
      </c>
      <c r="X293" s="61"/>
      <c r="Z293" s="67"/>
      <c r="AA293" s="451"/>
      <c r="AB293" s="452"/>
      <c r="AE293" s="36"/>
      <c r="AF293" s="36"/>
      <c r="AG293" s="36"/>
      <c r="AH293" s="19"/>
    </row>
    <row r="294" spans="1:34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739">
        <v>0</v>
      </c>
      <c r="K294" s="132" t="s">
        <v>621</v>
      </c>
      <c r="L294" s="740">
        <v>0</v>
      </c>
      <c r="M294" s="741">
        <v>0</v>
      </c>
      <c r="N294" s="67">
        <v>0</v>
      </c>
      <c r="O294" s="67">
        <v>0</v>
      </c>
      <c r="Q294" s="674">
        <v>0</v>
      </c>
      <c r="R294" s="674">
        <v>0</v>
      </c>
      <c r="S294" s="71">
        <v>0</v>
      </c>
      <c r="T294" s="449"/>
      <c r="U294" s="67">
        <v>0</v>
      </c>
      <c r="V294" s="163">
        <v>0</v>
      </c>
      <c r="W294" s="166">
        <v>0</v>
      </c>
      <c r="X294" s="61"/>
      <c r="Z294" s="67"/>
      <c r="AA294" s="451"/>
      <c r="AB294" s="452"/>
      <c r="AE294" s="36"/>
      <c r="AF294" s="36"/>
      <c r="AG294" s="36"/>
      <c r="AH294" s="19"/>
    </row>
    <row r="295" spans="1:34">
      <c r="A295" s="64" t="s">
        <v>594</v>
      </c>
      <c r="B295" s="63" t="s">
        <v>332</v>
      </c>
      <c r="C295" s="63" t="s">
        <v>333</v>
      </c>
      <c r="D295" s="134">
        <v>6.86</v>
      </c>
      <c r="E295" s="67">
        <v>1033</v>
      </c>
      <c r="F295" s="146">
        <v>0</v>
      </c>
      <c r="G295" s="146">
        <v>0</v>
      </c>
      <c r="H295" s="91">
        <v>1033</v>
      </c>
      <c r="I295" s="67">
        <v>0</v>
      </c>
      <c r="J295" s="739">
        <v>1033</v>
      </c>
      <c r="K295" s="132" t="s">
        <v>621</v>
      </c>
      <c r="L295" s="740">
        <v>0</v>
      </c>
      <c r="M295" s="741">
        <v>6.86</v>
      </c>
      <c r="N295" s="67">
        <v>0</v>
      </c>
      <c r="O295" s="67">
        <v>1033</v>
      </c>
      <c r="Q295" s="674">
        <v>0</v>
      </c>
      <c r="R295" s="674">
        <v>1033</v>
      </c>
      <c r="S295" s="71">
        <v>150.58309037900875</v>
      </c>
      <c r="T295" s="449"/>
      <c r="U295" s="67">
        <v>0</v>
      </c>
      <c r="V295" s="163">
        <v>1033</v>
      </c>
      <c r="W295" s="166">
        <v>0</v>
      </c>
      <c r="X295" s="61"/>
      <c r="Z295" s="67"/>
      <c r="AA295" s="451"/>
      <c r="AB295" s="452"/>
      <c r="AE295" s="36"/>
      <c r="AF295" s="36"/>
      <c r="AG295" s="36"/>
      <c r="AH295" s="19"/>
    </row>
    <row r="296" spans="1:34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739">
        <v>0</v>
      </c>
      <c r="K296" s="132" t="s">
        <v>621</v>
      </c>
      <c r="L296" s="740">
        <v>0</v>
      </c>
      <c r="M296" s="741">
        <v>0</v>
      </c>
      <c r="N296" s="67">
        <v>0</v>
      </c>
      <c r="O296" s="67">
        <v>0</v>
      </c>
      <c r="Q296" s="674">
        <v>0</v>
      </c>
      <c r="R296" s="674">
        <v>0</v>
      </c>
      <c r="S296" s="71">
        <v>0</v>
      </c>
      <c r="T296" s="449"/>
      <c r="U296" s="67">
        <v>0</v>
      </c>
      <c r="V296" s="163">
        <v>0</v>
      </c>
      <c r="W296" s="166">
        <v>0</v>
      </c>
      <c r="X296" s="61"/>
      <c r="Z296" s="67"/>
      <c r="AA296" s="451"/>
      <c r="AB296" s="452"/>
      <c r="AE296" s="36"/>
      <c r="AF296" s="36"/>
      <c r="AG296" s="36"/>
      <c r="AH296" s="19"/>
    </row>
    <row r="297" spans="1:34">
      <c r="A297" s="64" t="s">
        <v>594</v>
      </c>
      <c r="B297" s="63" t="s">
        <v>264</v>
      </c>
      <c r="C297" s="63" t="s">
        <v>265</v>
      </c>
      <c r="D297" s="134">
        <v>83.29</v>
      </c>
      <c r="E297" s="67">
        <v>12543</v>
      </c>
      <c r="F297" s="146">
        <v>0</v>
      </c>
      <c r="G297" s="146">
        <v>0</v>
      </c>
      <c r="H297" s="91">
        <v>12543</v>
      </c>
      <c r="I297" s="67">
        <v>0</v>
      </c>
      <c r="J297" s="739">
        <v>12543</v>
      </c>
      <c r="K297" s="132" t="s">
        <v>621</v>
      </c>
      <c r="L297" s="740">
        <v>0</v>
      </c>
      <c r="M297" s="741">
        <v>83.29</v>
      </c>
      <c r="N297" s="67">
        <v>0</v>
      </c>
      <c r="O297" s="67">
        <v>12543</v>
      </c>
      <c r="Q297" s="674">
        <v>0</v>
      </c>
      <c r="R297" s="674">
        <v>12543</v>
      </c>
      <c r="S297" s="71">
        <v>150.59430904070115</v>
      </c>
      <c r="T297" s="449"/>
      <c r="U297" s="67">
        <v>14144</v>
      </c>
      <c r="V297" s="163">
        <v>-1601</v>
      </c>
      <c r="W297" s="166">
        <v>-0.11319287330316742</v>
      </c>
      <c r="X297" s="60"/>
      <c r="Z297" s="67"/>
      <c r="AA297" s="451"/>
      <c r="AB297" s="452"/>
    </row>
    <row r="298" spans="1:34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739">
        <v>0</v>
      </c>
      <c r="K298" s="132" t="s">
        <v>621</v>
      </c>
      <c r="L298" s="740">
        <v>0</v>
      </c>
      <c r="M298" s="741">
        <v>0</v>
      </c>
      <c r="N298" s="67">
        <v>0</v>
      </c>
      <c r="O298" s="67">
        <v>0</v>
      </c>
      <c r="Q298" s="674">
        <v>0</v>
      </c>
      <c r="R298" s="674">
        <v>0</v>
      </c>
      <c r="S298" s="71">
        <v>0</v>
      </c>
      <c r="T298" s="449"/>
      <c r="U298" s="67">
        <v>0</v>
      </c>
      <c r="V298" s="163">
        <v>0</v>
      </c>
      <c r="W298" s="166">
        <v>0</v>
      </c>
      <c r="X298" s="62"/>
      <c r="Z298" s="67"/>
      <c r="AA298" s="451"/>
      <c r="AB298" s="452"/>
    </row>
    <row r="299" spans="1:34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739">
        <v>0</v>
      </c>
      <c r="K299" s="132" t="s">
        <v>621</v>
      </c>
      <c r="L299" s="740">
        <v>0</v>
      </c>
      <c r="M299" s="741">
        <v>0</v>
      </c>
      <c r="N299" s="67">
        <v>0</v>
      </c>
      <c r="O299" s="67">
        <v>0</v>
      </c>
      <c r="Q299" s="674">
        <v>0</v>
      </c>
      <c r="R299" s="674">
        <v>0</v>
      </c>
      <c r="S299" s="71">
        <v>0</v>
      </c>
      <c r="T299" s="449"/>
      <c r="U299" s="67">
        <v>0</v>
      </c>
      <c r="V299" s="163">
        <v>0</v>
      </c>
      <c r="W299" s="166">
        <v>0</v>
      </c>
      <c r="Z299" s="67"/>
      <c r="AA299" s="451"/>
      <c r="AB299" s="452"/>
    </row>
    <row r="300" spans="1:34">
      <c r="A300" s="64" t="s">
        <v>599</v>
      </c>
      <c r="B300" s="63" t="s">
        <v>78</v>
      </c>
      <c r="C300" s="63" t="s">
        <v>79</v>
      </c>
      <c r="D300" s="134">
        <v>141.13999999999999</v>
      </c>
      <c r="E300" s="67">
        <v>21256</v>
      </c>
      <c r="F300" s="146">
        <v>0</v>
      </c>
      <c r="G300" s="146">
        <v>0</v>
      </c>
      <c r="H300" s="91">
        <v>21256</v>
      </c>
      <c r="I300" s="67">
        <v>0</v>
      </c>
      <c r="J300" s="739">
        <v>21256</v>
      </c>
      <c r="K300" s="132" t="s">
        <v>621</v>
      </c>
      <c r="L300" s="740">
        <v>0</v>
      </c>
      <c r="M300" s="741">
        <v>141.13999999999999</v>
      </c>
      <c r="N300" s="67">
        <v>0</v>
      </c>
      <c r="O300" s="67">
        <v>21256</v>
      </c>
      <c r="Q300" s="674">
        <v>0</v>
      </c>
      <c r="R300" s="674">
        <v>21256</v>
      </c>
      <c r="S300" s="71">
        <v>150.60223891171887</v>
      </c>
      <c r="T300" s="449"/>
      <c r="U300" s="67">
        <v>23623</v>
      </c>
      <c r="V300" s="163">
        <v>-2367</v>
      </c>
      <c r="W300" s="166">
        <v>-0.10019895864200144</v>
      </c>
      <c r="Z300" s="67"/>
      <c r="AA300" s="451"/>
      <c r="AB300" s="452"/>
    </row>
    <row r="301" spans="1:34">
      <c r="A301" s="64" t="s">
        <v>605</v>
      </c>
      <c r="B301" s="63" t="s">
        <v>547</v>
      </c>
      <c r="C301" s="63" t="s">
        <v>548</v>
      </c>
      <c r="D301" s="134">
        <v>5044.1400000000003</v>
      </c>
      <c r="E301" s="67">
        <v>759648</v>
      </c>
      <c r="F301" s="146">
        <v>0</v>
      </c>
      <c r="G301" s="146">
        <v>0</v>
      </c>
      <c r="H301" s="91">
        <v>759648</v>
      </c>
      <c r="I301" s="67">
        <v>0</v>
      </c>
      <c r="J301" s="739">
        <v>759648</v>
      </c>
      <c r="K301" s="132" t="s">
        <v>621</v>
      </c>
      <c r="L301" s="740">
        <v>0</v>
      </c>
      <c r="M301" s="741">
        <v>5044.1400000000003</v>
      </c>
      <c r="N301" s="67">
        <v>0</v>
      </c>
      <c r="O301" s="67">
        <v>759648</v>
      </c>
      <c r="Q301" s="674">
        <v>0</v>
      </c>
      <c r="R301" s="674">
        <v>759648</v>
      </c>
      <c r="S301" s="71">
        <v>150.60010229692276</v>
      </c>
      <c r="T301" s="449"/>
      <c r="U301" s="67">
        <v>763412</v>
      </c>
      <c r="V301" s="163">
        <v>-3764</v>
      </c>
      <c r="W301" s="166">
        <v>-4.930496245801743E-3</v>
      </c>
      <c r="Z301" s="67"/>
      <c r="AA301" s="451"/>
      <c r="AB301" s="452"/>
    </row>
    <row r="302" spans="1:34">
      <c r="A302" s="64" t="s">
        <v>594</v>
      </c>
      <c r="B302" s="63" t="s">
        <v>472</v>
      </c>
      <c r="C302" s="63" t="s">
        <v>473</v>
      </c>
      <c r="D302" s="134">
        <v>98.43</v>
      </c>
      <c r="E302" s="67">
        <v>14824</v>
      </c>
      <c r="F302" s="146">
        <v>0</v>
      </c>
      <c r="G302" s="146">
        <v>0</v>
      </c>
      <c r="H302" s="91">
        <v>14824</v>
      </c>
      <c r="I302" s="67">
        <v>0</v>
      </c>
      <c r="J302" s="739">
        <v>14824</v>
      </c>
      <c r="K302" s="132" t="s">
        <v>621</v>
      </c>
      <c r="L302" s="740">
        <v>0</v>
      </c>
      <c r="M302" s="741">
        <v>98.43</v>
      </c>
      <c r="N302" s="67">
        <v>0</v>
      </c>
      <c r="O302" s="67">
        <v>14824</v>
      </c>
      <c r="Q302" s="674">
        <v>0</v>
      </c>
      <c r="R302" s="674">
        <v>14824</v>
      </c>
      <c r="S302" s="71">
        <v>150.60449050086353</v>
      </c>
      <c r="T302" s="449"/>
      <c r="U302" s="67">
        <v>0</v>
      </c>
      <c r="V302" s="163">
        <v>14824</v>
      </c>
      <c r="W302" s="166">
        <v>0</v>
      </c>
      <c r="Z302" s="67"/>
      <c r="AA302" s="451"/>
      <c r="AB302" s="452"/>
    </row>
    <row r="303" spans="1:34">
      <c r="A303" s="64" t="s">
        <v>605</v>
      </c>
      <c r="B303" s="63" t="s">
        <v>565</v>
      </c>
      <c r="C303" s="63" t="s">
        <v>566</v>
      </c>
      <c r="D303" s="134">
        <v>130.29</v>
      </c>
      <c r="E303" s="67">
        <v>19622</v>
      </c>
      <c r="F303" s="146">
        <v>0</v>
      </c>
      <c r="G303" s="146">
        <v>0</v>
      </c>
      <c r="H303" s="91">
        <v>19622</v>
      </c>
      <c r="I303" s="67">
        <v>0</v>
      </c>
      <c r="J303" s="739">
        <v>19622</v>
      </c>
      <c r="K303" s="132" t="s">
        <v>621</v>
      </c>
      <c r="L303" s="740">
        <v>0</v>
      </c>
      <c r="M303" s="741">
        <v>130.29</v>
      </c>
      <c r="N303" s="67">
        <v>0</v>
      </c>
      <c r="O303" s="67">
        <v>19622</v>
      </c>
      <c r="Q303" s="674">
        <v>0</v>
      </c>
      <c r="R303" s="674">
        <v>19622</v>
      </c>
      <c r="S303" s="71">
        <v>150.6025021106762</v>
      </c>
      <c r="T303" s="449"/>
      <c r="U303" s="67">
        <v>21685</v>
      </c>
      <c r="V303" s="163">
        <v>-2063</v>
      </c>
      <c r="W303" s="166">
        <v>-9.513488586580586E-2</v>
      </c>
      <c r="Z303" s="67"/>
      <c r="AA303" s="451"/>
      <c r="AB303" s="452"/>
    </row>
    <row r="304" spans="1:34">
      <c r="C304" s="105" t="s">
        <v>620</v>
      </c>
      <c r="D304" s="134">
        <v>104465.17</v>
      </c>
      <c r="E304" s="67">
        <v>15732463</v>
      </c>
      <c r="F304" s="146">
        <v>0</v>
      </c>
      <c r="G304" s="146">
        <v>0</v>
      </c>
      <c r="H304" s="91">
        <v>15732463</v>
      </c>
      <c r="I304" s="71">
        <v>0</v>
      </c>
      <c r="J304" s="73">
        <v>15732463</v>
      </c>
      <c r="K304" s="132"/>
      <c r="L304" s="740">
        <v>0</v>
      </c>
      <c r="M304" s="67">
        <v>104465.17</v>
      </c>
      <c r="N304" s="88">
        <v>0</v>
      </c>
      <c r="O304" s="88">
        <v>15732463</v>
      </c>
      <c r="Q304" s="88">
        <v>241</v>
      </c>
      <c r="R304" s="88">
        <v>15732222</v>
      </c>
      <c r="S304" s="71"/>
      <c r="T304" s="72"/>
      <c r="U304" s="91">
        <v>16266974</v>
      </c>
      <c r="V304" s="91">
        <v>-534511</v>
      </c>
      <c r="W304" s="161"/>
      <c r="X304" s="72"/>
      <c r="Y304" s="72"/>
      <c r="Z304" s="72"/>
    </row>
  </sheetData>
  <mergeCells count="3">
    <mergeCell ref="E2:H2"/>
    <mergeCell ref="I2:J2"/>
    <mergeCell ref="K2:O2"/>
  </mergeCells>
  <conditionalFormatting sqref="L9:L303">
    <cfRule type="expression" dxfId="15" priority="2">
      <formula>AND($L9&gt;0,$K9="Yes")</formula>
    </cfRule>
  </conditionalFormatting>
  <conditionalFormatting sqref="C9:C303">
    <cfRule type="expression" dxfId="14" priority="1">
      <formula>AND($O9&lt;10000,$O9&gt;0,$K9="Y")</formula>
    </cfRule>
  </conditionalFormatting>
  <pageMargins left="0.2" right="0.2" top="0.25" bottom="0.25" header="0.3" footer="0.3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H304"/>
  <sheetViews>
    <sheetView topLeftCell="A4" zoomScaleNormal="100" workbookViewId="0">
      <pane xSplit="3" ySplit="5" topLeftCell="D9" activePane="bottomRight" state="frozen"/>
      <selection activeCell="F44" sqref="F44"/>
      <selection pane="topRight" activeCell="F44" sqref="F44"/>
      <selection pane="bottomLeft" activeCell="F44" sqref="F44"/>
      <selection pane="bottomRight" activeCell="F44" sqref="F4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5703125" style="674" bestFit="1" customWidth="1"/>
    <col min="19" max="19" width="12.140625" style="67" customWidth="1"/>
    <col min="20" max="20" width="15.85546875" style="23" customWidth="1"/>
    <col min="21" max="21" width="13.42578125" style="163" customWidth="1"/>
    <col min="22" max="22" width="12.5703125" style="163" customWidth="1"/>
    <col min="23" max="23" width="12.85546875" style="40" customWidth="1"/>
    <col min="24" max="24" width="13" style="29" customWidth="1"/>
    <col min="25" max="25" width="4.5703125" style="23" customWidth="1"/>
    <col min="26" max="26" width="12.85546875" style="28" bestFit="1" customWidth="1"/>
    <col min="27" max="27" width="9.85546875" style="23" bestFit="1" customWidth="1"/>
    <col min="28" max="31" width="9.140625" style="23"/>
    <col min="32" max="32" width="22.42578125" style="23" bestFit="1" customWidth="1"/>
    <col min="33" max="33" width="5.85546875" style="23" bestFit="1" customWidth="1"/>
    <col min="34" max="34" width="10.140625" style="23" bestFit="1" customWidth="1"/>
    <col min="35" max="16384" width="9.140625" style="23"/>
  </cols>
  <sheetData>
    <row r="1" spans="1:34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672">
        <v>15</v>
      </c>
      <c r="Q1" s="23"/>
      <c r="R1" s="23"/>
      <c r="S1" s="23">
        <v>16</v>
      </c>
      <c r="T1" s="23">
        <v>20</v>
      </c>
      <c r="U1" s="40">
        <v>21</v>
      </c>
      <c r="V1" s="40">
        <v>22</v>
      </c>
      <c r="W1" s="40">
        <v>23</v>
      </c>
      <c r="X1" s="23">
        <v>24</v>
      </c>
    </row>
    <row r="2" spans="1:34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673"/>
      <c r="Q2" s="70"/>
      <c r="R2" s="70"/>
      <c r="S2" s="70"/>
      <c r="T2" s="90"/>
      <c r="U2" s="162"/>
    </row>
    <row r="3" spans="1:34">
      <c r="I3" s="242" t="s">
        <v>717</v>
      </c>
      <c r="J3" s="243"/>
      <c r="L3" s="87">
        <v>208048</v>
      </c>
      <c r="O3" s="67">
        <v>16266974</v>
      </c>
      <c r="Q3" s="67"/>
      <c r="R3" s="67"/>
      <c r="S3" s="151"/>
    </row>
    <row r="4" spans="1:34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675" t="s">
        <v>1340</v>
      </c>
      <c r="Q4" s="262" t="s">
        <v>1341</v>
      </c>
      <c r="R4" s="262" t="s">
        <v>1342</v>
      </c>
      <c r="S4" s="262"/>
      <c r="U4" s="265" t="s">
        <v>738</v>
      </c>
      <c r="V4" s="265" t="s">
        <v>770</v>
      </c>
      <c r="W4" s="264" t="s">
        <v>733</v>
      </c>
      <c r="X4" s="266"/>
      <c r="Z4" s="267"/>
    </row>
    <row r="5" spans="1:34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5"/>
      <c r="U5" s="256"/>
      <c r="V5" s="256"/>
      <c r="X5" s="258"/>
      <c r="Z5" s="259"/>
    </row>
    <row r="6" spans="1:34">
      <c r="A6" s="46"/>
      <c r="B6" s="47"/>
      <c r="C6" s="47"/>
      <c r="E6" s="68">
        <v>16266974</v>
      </c>
      <c r="H6" s="133" t="s">
        <v>865</v>
      </c>
      <c r="I6" s="68">
        <v>0</v>
      </c>
      <c r="J6" s="73"/>
      <c r="K6" s="220"/>
      <c r="L6" s="87">
        <v>0</v>
      </c>
      <c r="M6" s="71"/>
      <c r="N6" s="69"/>
      <c r="O6" s="399" t="s">
        <v>865</v>
      </c>
      <c r="Q6" s="67"/>
      <c r="R6" s="67"/>
      <c r="X6" s="27"/>
      <c r="Y6" s="26"/>
    </row>
    <row r="7" spans="1:34">
      <c r="A7" s="46"/>
      <c r="B7" s="47"/>
      <c r="C7" s="47" t="s">
        <v>620</v>
      </c>
      <c r="D7" s="67">
        <v>97345.289999999979</v>
      </c>
      <c r="E7" s="88">
        <v>167.1059175025315</v>
      </c>
      <c r="F7" s="72">
        <v>0</v>
      </c>
      <c r="G7" s="72">
        <v>0</v>
      </c>
      <c r="H7" s="161">
        <v>16266974</v>
      </c>
      <c r="I7" s="73">
        <v>0</v>
      </c>
      <c r="J7" s="73">
        <v>16266974</v>
      </c>
      <c r="K7" s="72"/>
      <c r="L7" s="88">
        <v>208048</v>
      </c>
      <c r="M7" s="67">
        <v>96100.279999999984</v>
      </c>
      <c r="N7" s="88">
        <v>208047</v>
      </c>
      <c r="O7" s="88">
        <v>16266974</v>
      </c>
      <c r="P7" s="677"/>
      <c r="Q7" s="88"/>
      <c r="R7" s="88">
        <v>16266974</v>
      </c>
      <c r="U7" s="91">
        <v>16415142</v>
      </c>
      <c r="V7" s="163">
        <v>-148168</v>
      </c>
      <c r="W7" s="166">
        <v>-9.02630022938577E-3</v>
      </c>
      <c r="X7" s="27"/>
      <c r="Y7" s="26"/>
    </row>
    <row r="8" spans="1:34" s="534" customFormat="1" ht="11.25">
      <c r="A8" s="526"/>
      <c r="B8" s="527" t="s">
        <v>895</v>
      </c>
      <c r="C8" s="528" t="s">
        <v>896</v>
      </c>
      <c r="D8" s="529">
        <v>97345.289999999979</v>
      </c>
      <c r="E8" s="530">
        <v>16266974</v>
      </c>
      <c r="F8" s="530"/>
      <c r="G8" s="530"/>
      <c r="H8" s="530">
        <v>16266974</v>
      </c>
      <c r="I8" s="530"/>
      <c r="J8" s="530">
        <v>16266974</v>
      </c>
      <c r="K8" s="529"/>
      <c r="L8" s="530">
        <v>208048</v>
      </c>
      <c r="M8" s="530">
        <v>96100.279999999984</v>
      </c>
      <c r="N8" s="530">
        <v>208047</v>
      </c>
      <c r="O8" s="530">
        <v>16266974</v>
      </c>
      <c r="P8" s="678"/>
      <c r="Q8" s="531"/>
      <c r="R8" s="530">
        <v>16266974</v>
      </c>
      <c r="S8" s="531"/>
      <c r="T8" s="532"/>
      <c r="U8" s="533"/>
      <c r="V8" s="533"/>
      <c r="X8" s="535"/>
      <c r="Z8" s="536"/>
    </row>
    <row r="9" spans="1:34">
      <c r="A9" s="64" t="s">
        <v>594</v>
      </c>
      <c r="B9" s="63" t="s">
        <v>132</v>
      </c>
      <c r="C9" s="63" t="s">
        <v>133</v>
      </c>
      <c r="D9" s="134">
        <v>343.89</v>
      </c>
      <c r="E9" s="67">
        <v>57466</v>
      </c>
      <c r="F9" s="146">
        <v>0</v>
      </c>
      <c r="G9" s="146">
        <v>0</v>
      </c>
      <c r="H9" s="91">
        <v>57466</v>
      </c>
      <c r="I9" s="67">
        <v>0</v>
      </c>
      <c r="J9" s="739">
        <v>57466</v>
      </c>
      <c r="K9" s="132" t="s">
        <v>621</v>
      </c>
      <c r="L9" s="740">
        <v>0</v>
      </c>
      <c r="M9" s="741">
        <v>343.89</v>
      </c>
      <c r="N9" s="67">
        <v>744</v>
      </c>
      <c r="O9" s="67">
        <v>58210</v>
      </c>
      <c r="Q9" s="674">
        <v>0</v>
      </c>
      <c r="R9" s="674">
        <v>58210</v>
      </c>
      <c r="S9" s="71">
        <v>169.26924307191254</v>
      </c>
      <c r="T9" s="449"/>
      <c r="U9" s="67">
        <v>58742</v>
      </c>
      <c r="V9" s="163">
        <v>-532</v>
      </c>
      <c r="W9" s="166">
        <v>-9.0565523816008991E-3</v>
      </c>
      <c r="Z9" s="67"/>
      <c r="AA9" s="451"/>
      <c r="AB9" s="452"/>
    </row>
    <row r="10" spans="1:34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132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>
        <v>0</v>
      </c>
      <c r="S10" s="71">
        <v>0</v>
      </c>
      <c r="T10" s="450"/>
      <c r="U10" s="67">
        <v>0</v>
      </c>
      <c r="V10" s="163">
        <v>0</v>
      </c>
      <c r="W10" s="166">
        <v>0</v>
      </c>
      <c r="X10" s="31"/>
      <c r="Z10" s="67"/>
      <c r="AA10" s="451"/>
      <c r="AB10" s="452"/>
      <c r="AE10" s="45"/>
      <c r="AF10" s="45"/>
    </row>
    <row r="11" spans="1:34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132" t="s">
        <v>644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>
        <v>0</v>
      </c>
      <c r="S11" s="71">
        <v>0</v>
      </c>
      <c r="T11" s="448"/>
      <c r="U11" s="67">
        <v>0</v>
      </c>
      <c r="V11" s="163">
        <v>0</v>
      </c>
      <c r="W11" s="166">
        <v>0</v>
      </c>
      <c r="X11" s="34"/>
      <c r="Z11" s="67"/>
      <c r="AA11" s="451"/>
      <c r="AB11" s="452"/>
      <c r="AE11" s="36"/>
      <c r="AF11" s="36"/>
      <c r="AG11" s="36"/>
      <c r="AH11" s="19"/>
    </row>
    <row r="12" spans="1:34" s="112" customFormat="1">
      <c r="A12" s="138" t="s">
        <v>595</v>
      </c>
      <c r="B12" s="139" t="s">
        <v>380</v>
      </c>
      <c r="C12" s="63" t="s">
        <v>381</v>
      </c>
      <c r="D12" s="134">
        <v>52.11</v>
      </c>
      <c r="E12" s="67">
        <v>8708</v>
      </c>
      <c r="F12" s="146">
        <v>0</v>
      </c>
      <c r="G12" s="146">
        <v>0</v>
      </c>
      <c r="H12" s="91">
        <v>8708</v>
      </c>
      <c r="I12" s="67">
        <v>0</v>
      </c>
      <c r="J12" s="739">
        <v>8708</v>
      </c>
      <c r="K12" s="132" t="s">
        <v>644</v>
      </c>
      <c r="L12" s="740">
        <v>8708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>
        <v>0</v>
      </c>
      <c r="S12" s="71">
        <v>0</v>
      </c>
      <c r="T12" s="449"/>
      <c r="U12" s="67">
        <v>0</v>
      </c>
      <c r="V12" s="163">
        <v>0</v>
      </c>
      <c r="W12" s="166">
        <v>0</v>
      </c>
      <c r="X12" s="113"/>
      <c r="Z12" s="67"/>
      <c r="AA12" s="451"/>
      <c r="AB12" s="452"/>
    </row>
    <row r="13" spans="1:34">
      <c r="A13" s="64" t="s">
        <v>595</v>
      </c>
      <c r="B13" s="63" t="s">
        <v>403</v>
      </c>
      <c r="C13" s="63" t="s">
        <v>404</v>
      </c>
      <c r="D13" s="134">
        <v>185.22</v>
      </c>
      <c r="E13" s="67">
        <v>30951</v>
      </c>
      <c r="F13" s="146">
        <v>0</v>
      </c>
      <c r="G13" s="146">
        <v>0</v>
      </c>
      <c r="H13" s="91">
        <v>30951</v>
      </c>
      <c r="I13" s="67">
        <v>0</v>
      </c>
      <c r="J13" s="739">
        <v>30951</v>
      </c>
      <c r="K13" s="132" t="s">
        <v>621</v>
      </c>
      <c r="L13" s="740">
        <v>0</v>
      </c>
      <c r="M13" s="741">
        <v>185.22</v>
      </c>
      <c r="N13" s="67">
        <v>401</v>
      </c>
      <c r="O13" s="67">
        <v>31352</v>
      </c>
      <c r="Q13" s="674">
        <v>0</v>
      </c>
      <c r="R13" s="674">
        <v>31352</v>
      </c>
      <c r="S13" s="71">
        <v>169.26897743224274</v>
      </c>
      <c r="T13" s="449"/>
      <c r="U13" s="67">
        <v>31638</v>
      </c>
      <c r="V13" s="163">
        <v>-286</v>
      </c>
      <c r="W13" s="166">
        <v>-9.039762311144825E-3</v>
      </c>
      <c r="X13" s="61"/>
      <c r="Z13" s="67"/>
      <c r="AA13" s="451"/>
      <c r="AB13" s="452"/>
      <c r="AE13" s="36"/>
      <c r="AF13" s="36"/>
      <c r="AG13" s="36"/>
      <c r="AH13" s="19"/>
    </row>
    <row r="14" spans="1:34">
      <c r="A14" s="64" t="s">
        <v>596</v>
      </c>
      <c r="B14" s="63" t="s">
        <v>12</v>
      </c>
      <c r="C14" s="63" t="s">
        <v>13</v>
      </c>
      <c r="D14" s="134">
        <v>1</v>
      </c>
      <c r="E14" s="67">
        <v>167</v>
      </c>
      <c r="F14" s="146">
        <v>0</v>
      </c>
      <c r="G14" s="146">
        <v>0</v>
      </c>
      <c r="H14" s="91">
        <v>167</v>
      </c>
      <c r="I14" s="67">
        <v>0</v>
      </c>
      <c r="J14" s="739">
        <v>167</v>
      </c>
      <c r="K14" s="132" t="s">
        <v>644</v>
      </c>
      <c r="L14" s="740">
        <v>167</v>
      </c>
      <c r="M14" s="741">
        <v>0</v>
      </c>
      <c r="N14" s="67">
        <v>0</v>
      </c>
      <c r="O14" s="67">
        <v>0</v>
      </c>
      <c r="Q14" s="674">
        <v>0</v>
      </c>
      <c r="R14" s="674">
        <v>0</v>
      </c>
      <c r="S14" s="71">
        <v>0</v>
      </c>
      <c r="T14" s="449"/>
      <c r="U14" s="67">
        <v>0</v>
      </c>
      <c r="V14" s="163">
        <v>0</v>
      </c>
      <c r="W14" s="166">
        <v>0</v>
      </c>
      <c r="X14" s="61"/>
      <c r="Z14" s="67"/>
      <c r="AA14" s="451"/>
      <c r="AB14" s="452"/>
      <c r="AE14" s="36"/>
      <c r="AF14" s="36"/>
      <c r="AG14" s="36"/>
      <c r="AH14" s="19"/>
    </row>
    <row r="15" spans="1:34">
      <c r="A15" s="64" t="s">
        <v>597</v>
      </c>
      <c r="B15" s="63" t="s">
        <v>195</v>
      </c>
      <c r="C15" s="63" t="s">
        <v>196</v>
      </c>
      <c r="D15" s="134">
        <v>1979</v>
      </c>
      <c r="E15" s="67">
        <v>330703</v>
      </c>
      <c r="F15" s="146">
        <v>0</v>
      </c>
      <c r="G15" s="146">
        <v>0</v>
      </c>
      <c r="H15" s="91">
        <v>330703</v>
      </c>
      <c r="I15" s="67">
        <v>0</v>
      </c>
      <c r="J15" s="739">
        <v>330703</v>
      </c>
      <c r="K15" s="132" t="s">
        <v>1306</v>
      </c>
      <c r="L15" s="740">
        <v>0</v>
      </c>
      <c r="M15" s="741">
        <v>1979</v>
      </c>
      <c r="N15" s="67">
        <v>4284</v>
      </c>
      <c r="O15" s="67">
        <v>334987</v>
      </c>
      <c r="Q15" s="674">
        <v>0</v>
      </c>
      <c r="R15" s="674">
        <v>334987</v>
      </c>
      <c r="S15" s="71">
        <v>169.27084386053562</v>
      </c>
      <c r="T15" s="449"/>
      <c r="U15" s="67">
        <v>338044</v>
      </c>
      <c r="V15" s="163">
        <v>-3057</v>
      </c>
      <c r="W15" s="166">
        <v>-9.0432014767308395E-3</v>
      </c>
      <c r="X15" s="61"/>
      <c r="Z15" s="67"/>
      <c r="AA15" s="451"/>
      <c r="AB15" s="452"/>
      <c r="AE15" s="36"/>
      <c r="AF15" s="36"/>
      <c r="AG15" s="36"/>
      <c r="AH15" s="19"/>
    </row>
    <row r="16" spans="1:34">
      <c r="A16" s="64" t="s">
        <v>597</v>
      </c>
      <c r="B16" s="63" t="s">
        <v>213</v>
      </c>
      <c r="C16" s="63" t="s">
        <v>598</v>
      </c>
      <c r="D16" s="134">
        <v>20.89</v>
      </c>
      <c r="E16" s="67">
        <v>3491</v>
      </c>
      <c r="F16" s="146">
        <v>0</v>
      </c>
      <c r="G16" s="146">
        <v>0</v>
      </c>
      <c r="H16" s="91">
        <v>3491</v>
      </c>
      <c r="I16" s="67">
        <v>0</v>
      </c>
      <c r="J16" s="739">
        <v>3491</v>
      </c>
      <c r="K16" s="132" t="s">
        <v>644</v>
      </c>
      <c r="L16" s="740">
        <v>3491</v>
      </c>
      <c r="M16" s="741">
        <v>0</v>
      </c>
      <c r="N16" s="67">
        <v>0</v>
      </c>
      <c r="O16" s="67">
        <v>0</v>
      </c>
      <c r="Q16" s="674">
        <v>0</v>
      </c>
      <c r="R16" s="674">
        <v>0</v>
      </c>
      <c r="S16" s="71">
        <v>0</v>
      </c>
      <c r="T16" s="449"/>
      <c r="U16" s="67">
        <v>0</v>
      </c>
      <c r="V16" s="163">
        <v>0</v>
      </c>
      <c r="W16" s="166">
        <v>0</v>
      </c>
      <c r="X16" s="61"/>
      <c r="Z16" s="67"/>
      <c r="AA16" s="451"/>
      <c r="AB16" s="452"/>
      <c r="AE16" s="36"/>
      <c r="AF16" s="36"/>
      <c r="AG16" s="36"/>
      <c r="AH16" s="19"/>
    </row>
    <row r="17" spans="1:34">
      <c r="A17" s="64" t="s">
        <v>599</v>
      </c>
      <c r="B17" s="63" t="s">
        <v>62</v>
      </c>
      <c r="C17" s="63" t="s">
        <v>63</v>
      </c>
      <c r="D17" s="134">
        <v>689.67</v>
      </c>
      <c r="E17" s="67">
        <v>115248</v>
      </c>
      <c r="F17" s="146">
        <v>0</v>
      </c>
      <c r="G17" s="146">
        <v>0</v>
      </c>
      <c r="H17" s="91">
        <v>115248</v>
      </c>
      <c r="I17" s="67">
        <v>0</v>
      </c>
      <c r="J17" s="739">
        <v>115248</v>
      </c>
      <c r="K17" s="132" t="s">
        <v>621</v>
      </c>
      <c r="L17" s="740">
        <v>0</v>
      </c>
      <c r="M17" s="741">
        <v>689.67</v>
      </c>
      <c r="N17" s="67">
        <v>1493</v>
      </c>
      <c r="O17" s="67">
        <v>116741</v>
      </c>
      <c r="Q17" s="674">
        <v>0</v>
      </c>
      <c r="R17" s="674">
        <v>116741</v>
      </c>
      <c r="S17" s="71">
        <v>169.27081067757044</v>
      </c>
      <c r="T17" s="449"/>
      <c r="U17" s="67">
        <v>117807</v>
      </c>
      <c r="V17" s="163">
        <v>-1066</v>
      </c>
      <c r="W17" s="166">
        <v>-9.0486982946683982E-3</v>
      </c>
      <c r="X17" s="61"/>
      <c r="Z17" s="67"/>
      <c r="AA17" s="451"/>
      <c r="AB17" s="452"/>
      <c r="AE17" s="36"/>
      <c r="AF17" s="36"/>
      <c r="AG17" s="36"/>
      <c r="AH17" s="19"/>
    </row>
    <row r="18" spans="1:34">
      <c r="A18" s="64" t="s">
        <v>597</v>
      </c>
      <c r="B18" s="63" t="s">
        <v>189</v>
      </c>
      <c r="C18" s="63" t="s">
        <v>190</v>
      </c>
      <c r="D18" s="134">
        <v>1917.22</v>
      </c>
      <c r="E18" s="67">
        <v>320379</v>
      </c>
      <c r="F18" s="146">
        <v>0</v>
      </c>
      <c r="G18" s="146">
        <v>0</v>
      </c>
      <c r="H18" s="91">
        <v>320379</v>
      </c>
      <c r="I18" s="67">
        <v>0</v>
      </c>
      <c r="J18" s="739">
        <v>320379</v>
      </c>
      <c r="K18" s="132" t="s">
        <v>621</v>
      </c>
      <c r="L18" s="740">
        <v>0</v>
      </c>
      <c r="M18" s="741">
        <v>1917.22</v>
      </c>
      <c r="N18" s="67">
        <v>4151</v>
      </c>
      <c r="O18" s="67">
        <v>324530</v>
      </c>
      <c r="Q18" s="674">
        <v>0</v>
      </c>
      <c r="R18" s="674">
        <v>324530</v>
      </c>
      <c r="S18" s="71">
        <v>169.27113216010682</v>
      </c>
      <c r="T18" s="449"/>
      <c r="U18" s="67">
        <v>327491</v>
      </c>
      <c r="V18" s="163">
        <v>-2961</v>
      </c>
      <c r="W18" s="166">
        <v>-9.0414698419193206E-3</v>
      </c>
      <c r="X18" s="61"/>
      <c r="Z18" s="67"/>
      <c r="AA18" s="451"/>
      <c r="AB18" s="452"/>
      <c r="AE18" s="36"/>
      <c r="AF18" s="36"/>
      <c r="AG18" s="36"/>
      <c r="AH18" s="19"/>
    </row>
    <row r="19" spans="1:34">
      <c r="A19" s="64" t="s">
        <v>595</v>
      </c>
      <c r="B19" s="63" t="s">
        <v>504</v>
      </c>
      <c r="C19" s="63" t="s">
        <v>505</v>
      </c>
      <c r="D19" s="134">
        <v>631.22</v>
      </c>
      <c r="E19" s="67">
        <v>105481</v>
      </c>
      <c r="F19" s="146">
        <v>0</v>
      </c>
      <c r="G19" s="146">
        <v>0</v>
      </c>
      <c r="H19" s="91">
        <v>105481</v>
      </c>
      <c r="I19" s="67">
        <v>0</v>
      </c>
      <c r="J19" s="739">
        <v>105481</v>
      </c>
      <c r="K19" s="132" t="s">
        <v>621</v>
      </c>
      <c r="L19" s="740">
        <v>0</v>
      </c>
      <c r="M19" s="741">
        <v>631.22</v>
      </c>
      <c r="N19" s="67">
        <v>1367</v>
      </c>
      <c r="O19" s="67">
        <v>106848</v>
      </c>
      <c r="Q19" s="674">
        <v>0</v>
      </c>
      <c r="R19" s="674">
        <v>106848</v>
      </c>
      <c r="S19" s="71">
        <v>169.27220303539178</v>
      </c>
      <c r="T19" s="449"/>
      <c r="U19" s="67">
        <v>107822</v>
      </c>
      <c r="V19" s="163">
        <v>-974</v>
      </c>
      <c r="W19" s="166">
        <v>-9.0334069113909964E-3</v>
      </c>
      <c r="X19" s="61"/>
      <c r="Z19" s="67"/>
      <c r="AA19" s="451"/>
      <c r="AB19" s="452"/>
      <c r="AE19" s="36"/>
      <c r="AF19" s="36"/>
      <c r="AG19" s="36"/>
      <c r="AH19" s="19"/>
    </row>
    <row r="20" spans="1:34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132" t="s">
        <v>644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>
        <v>0</v>
      </c>
      <c r="S20" s="71">
        <v>0</v>
      </c>
      <c r="T20" s="449"/>
      <c r="U20" s="67">
        <v>0</v>
      </c>
      <c r="V20" s="163">
        <v>0</v>
      </c>
      <c r="W20" s="166">
        <v>0</v>
      </c>
      <c r="X20" s="61"/>
      <c r="Z20" s="67"/>
      <c r="AA20" s="451"/>
      <c r="AB20" s="452"/>
      <c r="AE20" s="36"/>
      <c r="AF20" s="36"/>
      <c r="AG20" s="36"/>
      <c r="AH20" s="19"/>
    </row>
    <row r="21" spans="1:34">
      <c r="A21" s="64" t="s">
        <v>597</v>
      </c>
      <c r="B21" s="63" t="s">
        <v>363</v>
      </c>
      <c r="C21" s="63" t="s">
        <v>364</v>
      </c>
      <c r="D21" s="134">
        <v>280.11</v>
      </c>
      <c r="E21" s="67">
        <v>46808</v>
      </c>
      <c r="F21" s="146">
        <v>0</v>
      </c>
      <c r="G21" s="146">
        <v>0</v>
      </c>
      <c r="H21" s="91">
        <v>46808</v>
      </c>
      <c r="I21" s="67">
        <v>0</v>
      </c>
      <c r="J21" s="739">
        <v>46808</v>
      </c>
      <c r="K21" s="132" t="s">
        <v>621</v>
      </c>
      <c r="L21" s="740">
        <v>0</v>
      </c>
      <c r="M21" s="741">
        <v>280.11</v>
      </c>
      <c r="N21" s="67">
        <v>606</v>
      </c>
      <c r="O21" s="67">
        <v>47414</v>
      </c>
      <c r="Q21" s="674">
        <v>0</v>
      </c>
      <c r="R21" s="674">
        <v>47414</v>
      </c>
      <c r="S21" s="71">
        <v>169.26921566527434</v>
      </c>
      <c r="T21" s="449"/>
      <c r="U21" s="67">
        <v>47847</v>
      </c>
      <c r="V21" s="163">
        <v>-433</v>
      </c>
      <c r="W21" s="166">
        <v>-9.0496791857378727E-3</v>
      </c>
      <c r="X21" s="61"/>
      <c r="Z21" s="67"/>
      <c r="AA21" s="451"/>
      <c r="AB21" s="452"/>
      <c r="AE21" s="36"/>
      <c r="AF21" s="36"/>
      <c r="AG21" s="36"/>
      <c r="AH21" s="19"/>
    </row>
    <row r="22" spans="1:34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132" t="s">
        <v>644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>
        <v>0</v>
      </c>
      <c r="S22" s="71">
        <v>0</v>
      </c>
      <c r="T22" s="449"/>
      <c r="U22" s="67">
        <v>0</v>
      </c>
      <c r="V22" s="163">
        <v>0</v>
      </c>
      <c r="W22" s="166">
        <v>0</v>
      </c>
      <c r="X22" s="61"/>
      <c r="Z22" s="67"/>
      <c r="AA22" s="451"/>
      <c r="AB22" s="452"/>
      <c r="AE22" s="36"/>
      <c r="AF22" s="36"/>
      <c r="AG22" s="36"/>
      <c r="AH22" s="19"/>
    </row>
    <row r="23" spans="1:34">
      <c r="A23" s="64" t="s">
        <v>595</v>
      </c>
      <c r="B23" s="63" t="s">
        <v>508</v>
      </c>
      <c r="C23" s="63" t="s">
        <v>509</v>
      </c>
      <c r="D23" s="134">
        <v>82.89</v>
      </c>
      <c r="E23" s="67">
        <v>13851</v>
      </c>
      <c r="F23" s="146">
        <v>0</v>
      </c>
      <c r="G23" s="146">
        <v>0</v>
      </c>
      <c r="H23" s="91">
        <v>13851</v>
      </c>
      <c r="I23" s="67">
        <v>0</v>
      </c>
      <c r="J23" s="739">
        <v>13851</v>
      </c>
      <c r="K23" s="132" t="s">
        <v>621</v>
      </c>
      <c r="L23" s="740">
        <v>0</v>
      </c>
      <c r="M23" s="741">
        <v>82.89</v>
      </c>
      <c r="N23" s="67">
        <v>179</v>
      </c>
      <c r="O23" s="67">
        <v>14030</v>
      </c>
      <c r="Q23" s="674">
        <v>0</v>
      </c>
      <c r="R23" s="674">
        <v>14030</v>
      </c>
      <c r="S23" s="71">
        <v>169.2604656774038</v>
      </c>
      <c r="T23" s="449"/>
      <c r="U23" s="67">
        <v>14159</v>
      </c>
      <c r="V23" s="163">
        <v>-129</v>
      </c>
      <c r="W23" s="166">
        <v>-9.1108129105162798E-3</v>
      </c>
      <c r="X23" s="61"/>
      <c r="Z23" s="67"/>
      <c r="AA23" s="451"/>
      <c r="AB23" s="452"/>
      <c r="AE23" s="36"/>
      <c r="AF23" s="36"/>
      <c r="AG23" s="36"/>
      <c r="AH23" s="19"/>
    </row>
    <row r="24" spans="1:34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132" t="s">
        <v>644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>
        <v>0</v>
      </c>
      <c r="S24" s="71">
        <v>0</v>
      </c>
      <c r="T24" s="449"/>
      <c r="U24" s="67">
        <v>0</v>
      </c>
      <c r="V24" s="163">
        <v>0</v>
      </c>
      <c r="W24" s="166">
        <v>0</v>
      </c>
      <c r="X24" s="61"/>
      <c r="Z24" s="67"/>
      <c r="AA24" s="451"/>
      <c r="AB24" s="452"/>
      <c r="AE24" s="36"/>
      <c r="AF24" s="36"/>
      <c r="AG24" s="36"/>
      <c r="AH24" s="19"/>
    </row>
    <row r="25" spans="1:34">
      <c r="A25" s="64" t="s">
        <v>600</v>
      </c>
      <c r="B25" s="63" t="s">
        <v>211</v>
      </c>
      <c r="C25" s="63" t="s">
        <v>212</v>
      </c>
      <c r="D25" s="134">
        <v>149.78</v>
      </c>
      <c r="E25" s="67">
        <v>25029</v>
      </c>
      <c r="F25" s="146">
        <v>0</v>
      </c>
      <c r="G25" s="146">
        <v>0</v>
      </c>
      <c r="H25" s="91">
        <v>25029</v>
      </c>
      <c r="I25" s="67">
        <v>0</v>
      </c>
      <c r="J25" s="739">
        <v>25029</v>
      </c>
      <c r="K25" s="132" t="s">
        <v>621</v>
      </c>
      <c r="L25" s="740">
        <v>0</v>
      </c>
      <c r="M25" s="741">
        <v>149.78</v>
      </c>
      <c r="N25" s="67">
        <v>324</v>
      </c>
      <c r="O25" s="67">
        <v>25353</v>
      </c>
      <c r="Q25" s="674">
        <v>0</v>
      </c>
      <c r="R25" s="674">
        <v>25353</v>
      </c>
      <c r="S25" s="71">
        <v>169.2682601148351</v>
      </c>
      <c r="T25" s="449"/>
      <c r="U25" s="67">
        <v>25584</v>
      </c>
      <c r="V25" s="163">
        <v>-231</v>
      </c>
      <c r="W25" s="166">
        <v>-9.0290806754221384E-3</v>
      </c>
      <c r="X25" s="61"/>
      <c r="Z25" s="67"/>
      <c r="AA25" s="451"/>
      <c r="AB25" s="452"/>
      <c r="AE25" s="36"/>
      <c r="AF25" s="36"/>
      <c r="AG25" s="36"/>
      <c r="AH25" s="19"/>
    </row>
    <row r="26" spans="1:34">
      <c r="A26" s="64" t="s">
        <v>601</v>
      </c>
      <c r="B26" s="63" t="s">
        <v>315</v>
      </c>
      <c r="C26" s="63" t="s">
        <v>316</v>
      </c>
      <c r="D26" s="134">
        <v>396.89</v>
      </c>
      <c r="E26" s="67">
        <v>66323</v>
      </c>
      <c r="F26" s="146">
        <v>0</v>
      </c>
      <c r="G26" s="146">
        <v>0</v>
      </c>
      <c r="H26" s="91">
        <v>66323</v>
      </c>
      <c r="I26" s="67">
        <v>0</v>
      </c>
      <c r="J26" s="739">
        <v>66323</v>
      </c>
      <c r="K26" s="132" t="s">
        <v>621</v>
      </c>
      <c r="L26" s="740">
        <v>0</v>
      </c>
      <c r="M26" s="741">
        <v>396.89</v>
      </c>
      <c r="N26" s="67">
        <v>859</v>
      </c>
      <c r="O26" s="67">
        <v>67182</v>
      </c>
      <c r="Q26" s="674">
        <v>0</v>
      </c>
      <c r="R26" s="674">
        <v>67182</v>
      </c>
      <c r="S26" s="71">
        <v>169.27108266774169</v>
      </c>
      <c r="T26" s="449"/>
      <c r="U26" s="67">
        <v>67795</v>
      </c>
      <c r="V26" s="163">
        <v>-613</v>
      </c>
      <c r="W26" s="166">
        <v>-9.0419647466627329E-3</v>
      </c>
      <c r="X26" s="61"/>
      <c r="Z26" s="67"/>
      <c r="AA26" s="451"/>
      <c r="AB26" s="452"/>
      <c r="AE26" s="36"/>
      <c r="AF26" s="36"/>
      <c r="AG26" s="36"/>
      <c r="AH26" s="19"/>
    </row>
    <row r="27" spans="1:34">
      <c r="A27" s="64" t="s">
        <v>601</v>
      </c>
      <c r="B27" s="63" t="s">
        <v>84</v>
      </c>
      <c r="C27" s="63" t="s">
        <v>85</v>
      </c>
      <c r="D27" s="134">
        <v>315.77999999999997</v>
      </c>
      <c r="E27" s="67">
        <v>52769</v>
      </c>
      <c r="F27" s="146">
        <v>0</v>
      </c>
      <c r="G27" s="146">
        <v>0</v>
      </c>
      <c r="H27" s="91">
        <v>52769</v>
      </c>
      <c r="I27" s="67">
        <v>0</v>
      </c>
      <c r="J27" s="739">
        <v>52769</v>
      </c>
      <c r="K27" s="132" t="s">
        <v>621</v>
      </c>
      <c r="L27" s="740">
        <v>0</v>
      </c>
      <c r="M27" s="741">
        <v>315.77999999999997</v>
      </c>
      <c r="N27" s="67">
        <v>684</v>
      </c>
      <c r="O27" s="67">
        <v>53453</v>
      </c>
      <c r="Q27" s="674">
        <v>0</v>
      </c>
      <c r="R27" s="674">
        <v>53453</v>
      </c>
      <c r="S27" s="71">
        <v>169.27291152067897</v>
      </c>
      <c r="T27" s="449"/>
      <c r="U27" s="67">
        <v>53940</v>
      </c>
      <c r="V27" s="163">
        <v>-487</v>
      </c>
      <c r="W27" s="166">
        <v>-9.0285502410085271E-3</v>
      </c>
      <c r="X27" s="61"/>
      <c r="Z27" s="67"/>
      <c r="AA27" s="451"/>
      <c r="AB27" s="452"/>
      <c r="AE27" s="36"/>
      <c r="AF27" s="36"/>
      <c r="AG27" s="36"/>
      <c r="AH27" s="19"/>
    </row>
    <row r="28" spans="1:34">
      <c r="A28" s="64" t="s">
        <v>600</v>
      </c>
      <c r="B28" s="63" t="s">
        <v>165</v>
      </c>
      <c r="C28" s="63" t="s">
        <v>166</v>
      </c>
      <c r="D28" s="134">
        <v>2</v>
      </c>
      <c r="E28" s="67">
        <v>334</v>
      </c>
      <c r="F28" s="146">
        <v>0</v>
      </c>
      <c r="G28" s="146">
        <v>0</v>
      </c>
      <c r="H28" s="91">
        <v>334</v>
      </c>
      <c r="I28" s="67">
        <v>0</v>
      </c>
      <c r="J28" s="739">
        <v>334</v>
      </c>
      <c r="K28" s="132" t="s">
        <v>644</v>
      </c>
      <c r="L28" s="740">
        <v>334</v>
      </c>
      <c r="M28" s="741">
        <v>0</v>
      </c>
      <c r="N28" s="67">
        <v>0</v>
      </c>
      <c r="O28" s="67">
        <v>0</v>
      </c>
      <c r="Q28" s="674">
        <v>0</v>
      </c>
      <c r="R28" s="674">
        <v>0</v>
      </c>
      <c r="S28" s="71">
        <v>0</v>
      </c>
      <c r="T28" s="449"/>
      <c r="U28" s="67">
        <v>0</v>
      </c>
      <c r="V28" s="163">
        <v>0</v>
      </c>
      <c r="W28" s="166">
        <v>0</v>
      </c>
      <c r="X28" s="61"/>
      <c r="Z28" s="67"/>
      <c r="AA28" s="451"/>
      <c r="AB28" s="452"/>
      <c r="AE28" s="36"/>
      <c r="AF28" s="36"/>
      <c r="AG28" s="36"/>
      <c r="AH28" s="19"/>
    </row>
    <row r="29" spans="1:34">
      <c r="A29" s="64" t="s">
        <v>595</v>
      </c>
      <c r="B29" s="63" t="s">
        <v>378</v>
      </c>
      <c r="C29" s="63" t="s">
        <v>602</v>
      </c>
      <c r="D29" s="134">
        <v>659.22</v>
      </c>
      <c r="E29" s="67">
        <v>110160</v>
      </c>
      <c r="F29" s="146">
        <v>0</v>
      </c>
      <c r="G29" s="146">
        <v>0</v>
      </c>
      <c r="H29" s="91">
        <v>110160</v>
      </c>
      <c r="I29" s="67">
        <v>0</v>
      </c>
      <c r="J29" s="739">
        <v>110160</v>
      </c>
      <c r="K29" s="132" t="s">
        <v>621</v>
      </c>
      <c r="L29" s="740">
        <v>0</v>
      </c>
      <c r="M29" s="741">
        <v>659.22</v>
      </c>
      <c r="N29" s="67">
        <v>1427</v>
      </c>
      <c r="O29" s="67">
        <v>111587</v>
      </c>
      <c r="Q29" s="674">
        <v>0</v>
      </c>
      <c r="R29" s="674">
        <v>111587</v>
      </c>
      <c r="S29" s="71">
        <v>169.27125997390854</v>
      </c>
      <c r="T29" s="449"/>
      <c r="U29" s="67">
        <v>112605</v>
      </c>
      <c r="V29" s="163">
        <v>-1018</v>
      </c>
      <c r="W29" s="166">
        <v>-9.0404511344966913E-3</v>
      </c>
      <c r="X29" s="61"/>
      <c r="Z29" s="67"/>
      <c r="AA29" s="451"/>
      <c r="AB29" s="452"/>
      <c r="AE29" s="36"/>
      <c r="AF29" s="36"/>
      <c r="AG29" s="36"/>
      <c r="AH29" s="19"/>
    </row>
    <row r="30" spans="1:34">
      <c r="A30" s="64" t="s">
        <v>599</v>
      </c>
      <c r="B30" s="63" t="s">
        <v>60</v>
      </c>
      <c r="C30" s="63" t="s">
        <v>61</v>
      </c>
      <c r="D30" s="134">
        <v>108.11</v>
      </c>
      <c r="E30" s="67">
        <v>18066</v>
      </c>
      <c r="F30" s="146">
        <v>0</v>
      </c>
      <c r="G30" s="146">
        <v>0</v>
      </c>
      <c r="H30" s="91">
        <v>18066</v>
      </c>
      <c r="I30" s="67">
        <v>0</v>
      </c>
      <c r="J30" s="739">
        <v>18066</v>
      </c>
      <c r="K30" s="132" t="s">
        <v>621</v>
      </c>
      <c r="L30" s="740">
        <v>0</v>
      </c>
      <c r="M30" s="741">
        <v>108.11</v>
      </c>
      <c r="N30" s="67">
        <v>234</v>
      </c>
      <c r="O30" s="67">
        <v>18300</v>
      </c>
      <c r="Q30" s="674">
        <v>0</v>
      </c>
      <c r="R30" s="674">
        <v>18300</v>
      </c>
      <c r="S30" s="71">
        <v>169.27203773933957</v>
      </c>
      <c r="T30" s="449"/>
      <c r="U30" s="67">
        <v>18467</v>
      </c>
      <c r="V30" s="163">
        <v>-167</v>
      </c>
      <c r="W30" s="166">
        <v>-9.0431580657388856E-3</v>
      </c>
      <c r="X30" s="61"/>
      <c r="Z30" s="67"/>
      <c r="AA30" s="451"/>
      <c r="AB30" s="452"/>
      <c r="AE30" s="36"/>
      <c r="AF30" s="36"/>
      <c r="AG30" s="36"/>
      <c r="AH30" s="19"/>
    </row>
    <row r="31" spans="1:34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132" t="s">
        <v>644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>
        <v>0</v>
      </c>
      <c r="S31" s="71">
        <v>0</v>
      </c>
      <c r="T31" s="449"/>
      <c r="U31" s="67">
        <v>0</v>
      </c>
      <c r="V31" s="163">
        <v>0</v>
      </c>
      <c r="W31" s="166">
        <v>0</v>
      </c>
      <c r="X31" s="61"/>
      <c r="Z31" s="67"/>
      <c r="AA31" s="451"/>
      <c r="AB31" s="452"/>
      <c r="AE31" s="36"/>
      <c r="AF31" s="36"/>
      <c r="AG31" s="36"/>
      <c r="AH31" s="19"/>
    </row>
    <row r="32" spans="1:34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132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>
        <v>0</v>
      </c>
      <c r="S32" s="71">
        <v>0</v>
      </c>
      <c r="T32" s="449"/>
      <c r="U32" s="67">
        <v>0</v>
      </c>
      <c r="V32" s="163">
        <v>0</v>
      </c>
      <c r="W32" s="166">
        <v>0</v>
      </c>
      <c r="X32" s="61"/>
      <c r="Z32" s="67"/>
      <c r="AA32" s="451"/>
      <c r="AB32" s="452"/>
      <c r="AE32" s="36"/>
      <c r="AF32" s="36"/>
      <c r="AG32" s="36"/>
      <c r="AH32" s="19"/>
    </row>
    <row r="33" spans="1:34">
      <c r="A33" s="64" t="s">
        <v>601</v>
      </c>
      <c r="B33" s="63" t="s">
        <v>35</v>
      </c>
      <c r="C33" s="63" t="s">
        <v>36</v>
      </c>
      <c r="D33" s="134">
        <v>173.56</v>
      </c>
      <c r="E33" s="67">
        <v>29003</v>
      </c>
      <c r="F33" s="146">
        <v>0</v>
      </c>
      <c r="G33" s="146">
        <v>0</v>
      </c>
      <c r="H33" s="91">
        <v>29003</v>
      </c>
      <c r="I33" s="67">
        <v>0</v>
      </c>
      <c r="J33" s="739">
        <v>29003</v>
      </c>
      <c r="K33" s="132" t="s">
        <v>621</v>
      </c>
      <c r="L33" s="740">
        <v>0</v>
      </c>
      <c r="M33" s="741">
        <v>173.56</v>
      </c>
      <c r="N33" s="67">
        <v>376</v>
      </c>
      <c r="O33" s="67">
        <v>29379</v>
      </c>
      <c r="Q33" s="674">
        <v>0</v>
      </c>
      <c r="R33" s="674">
        <v>29379</v>
      </c>
      <c r="S33" s="71">
        <v>169.27287393408619</v>
      </c>
      <c r="T33" s="449"/>
      <c r="U33" s="67">
        <v>29647</v>
      </c>
      <c r="V33" s="163">
        <v>-268</v>
      </c>
      <c r="W33" s="166">
        <v>-9.0397004755961817E-3</v>
      </c>
      <c r="X33" s="61"/>
      <c r="Z33" s="67"/>
      <c r="AA33" s="451"/>
      <c r="AB33" s="452"/>
      <c r="AE33" s="36"/>
      <c r="AF33" s="36"/>
      <c r="AG33" s="36"/>
      <c r="AH33" s="19"/>
    </row>
    <row r="34" spans="1:34">
      <c r="A34" s="64" t="s">
        <v>601</v>
      </c>
      <c r="B34" s="63" t="s">
        <v>33</v>
      </c>
      <c r="C34" s="63" t="s">
        <v>34</v>
      </c>
      <c r="D34" s="134">
        <v>220.67</v>
      </c>
      <c r="E34" s="67">
        <v>36875</v>
      </c>
      <c r="F34" s="146">
        <v>0</v>
      </c>
      <c r="G34" s="146">
        <v>0</v>
      </c>
      <c r="H34" s="91">
        <v>36875</v>
      </c>
      <c r="I34" s="67">
        <v>0</v>
      </c>
      <c r="J34" s="739">
        <v>36875</v>
      </c>
      <c r="K34" s="132" t="s">
        <v>621</v>
      </c>
      <c r="L34" s="740">
        <v>0</v>
      </c>
      <c r="M34" s="741">
        <v>220.67</v>
      </c>
      <c r="N34" s="67">
        <v>478</v>
      </c>
      <c r="O34" s="67">
        <v>37353</v>
      </c>
      <c r="Q34" s="674">
        <v>0</v>
      </c>
      <c r="R34" s="674">
        <v>37353</v>
      </c>
      <c r="S34" s="71">
        <v>169.27085693569583</v>
      </c>
      <c r="T34" s="449"/>
      <c r="U34" s="67">
        <v>37694</v>
      </c>
      <c r="V34" s="163">
        <v>-341</v>
      </c>
      <c r="W34" s="166">
        <v>-9.0465326046585658E-3</v>
      </c>
      <c r="X34" s="61"/>
      <c r="Z34" s="67"/>
      <c r="AA34" s="451"/>
      <c r="AB34" s="452"/>
      <c r="AE34" s="36"/>
      <c r="AF34" s="36"/>
      <c r="AG34" s="36"/>
      <c r="AH34" s="19"/>
    </row>
    <row r="35" spans="1:34">
      <c r="A35" s="64" t="s">
        <v>599</v>
      </c>
      <c r="B35" s="63" t="s">
        <v>74</v>
      </c>
      <c r="C35" s="63" t="s">
        <v>75</v>
      </c>
      <c r="D35" s="134">
        <v>28.78</v>
      </c>
      <c r="E35" s="67">
        <v>4809</v>
      </c>
      <c r="F35" s="146">
        <v>0</v>
      </c>
      <c r="G35" s="146">
        <v>0</v>
      </c>
      <c r="H35" s="91">
        <v>4809</v>
      </c>
      <c r="I35" s="67">
        <v>0</v>
      </c>
      <c r="J35" s="739">
        <v>4809</v>
      </c>
      <c r="K35" s="132" t="s">
        <v>644</v>
      </c>
      <c r="L35" s="740">
        <v>4809</v>
      </c>
      <c r="M35" s="741">
        <v>0</v>
      </c>
      <c r="N35" s="67">
        <v>0</v>
      </c>
      <c r="O35" s="67">
        <v>0</v>
      </c>
      <c r="Q35" s="674">
        <v>0</v>
      </c>
      <c r="R35" s="674">
        <v>0</v>
      </c>
      <c r="S35" s="71">
        <v>0</v>
      </c>
      <c r="T35" s="449"/>
      <c r="U35" s="67">
        <v>0</v>
      </c>
      <c r="V35" s="163">
        <v>0</v>
      </c>
      <c r="W35" s="166">
        <v>0</v>
      </c>
      <c r="X35" s="61"/>
      <c r="Z35" s="67"/>
      <c r="AA35" s="451"/>
      <c r="AB35" s="452"/>
      <c r="AE35" s="36"/>
      <c r="AF35" s="36"/>
      <c r="AG35" s="36"/>
      <c r="AH35" s="19"/>
    </row>
    <row r="36" spans="1:34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739">
        <v>0</v>
      </c>
      <c r="K36" s="132" t="s">
        <v>644</v>
      </c>
      <c r="L36" s="740">
        <v>0</v>
      </c>
      <c r="M36" s="741">
        <v>0</v>
      </c>
      <c r="N36" s="67">
        <v>0</v>
      </c>
      <c r="O36" s="67">
        <v>0</v>
      </c>
      <c r="Q36" s="674">
        <v>0</v>
      </c>
      <c r="R36" s="674">
        <v>0</v>
      </c>
      <c r="S36" s="71">
        <v>0</v>
      </c>
      <c r="T36" s="449"/>
      <c r="U36" s="67">
        <v>0</v>
      </c>
      <c r="V36" s="163">
        <v>0</v>
      </c>
      <c r="W36" s="166">
        <v>0</v>
      </c>
      <c r="X36" s="61"/>
      <c r="Z36" s="67"/>
      <c r="AA36" s="451"/>
      <c r="AB36" s="452"/>
      <c r="AE36" s="36"/>
      <c r="AF36" s="36"/>
      <c r="AG36" s="36"/>
      <c r="AH36" s="19"/>
    </row>
    <row r="37" spans="1:34">
      <c r="A37" s="64" t="s">
        <v>600</v>
      </c>
      <c r="B37" s="63" t="s">
        <v>216</v>
      </c>
      <c r="C37" s="63" t="s">
        <v>217</v>
      </c>
      <c r="D37" s="134">
        <v>228.11</v>
      </c>
      <c r="E37" s="67">
        <v>38119</v>
      </c>
      <c r="F37" s="146">
        <v>0</v>
      </c>
      <c r="G37" s="146">
        <v>0</v>
      </c>
      <c r="H37" s="91">
        <v>38119</v>
      </c>
      <c r="I37" s="67">
        <v>0</v>
      </c>
      <c r="J37" s="739">
        <v>38119</v>
      </c>
      <c r="K37" s="132" t="s">
        <v>621</v>
      </c>
      <c r="L37" s="740">
        <v>0</v>
      </c>
      <c r="M37" s="741">
        <v>228.11</v>
      </c>
      <c r="N37" s="67">
        <v>494</v>
      </c>
      <c r="O37" s="67">
        <v>38613</v>
      </c>
      <c r="Q37" s="674">
        <v>0</v>
      </c>
      <c r="R37" s="674">
        <v>38613</v>
      </c>
      <c r="S37" s="71">
        <v>169.27359607207049</v>
      </c>
      <c r="T37" s="449"/>
      <c r="U37" s="67">
        <v>38965</v>
      </c>
      <c r="V37" s="163">
        <v>-352</v>
      </c>
      <c r="W37" s="166">
        <v>-9.0337482355960473E-3</v>
      </c>
      <c r="X37" s="61"/>
      <c r="Z37" s="67"/>
      <c r="AA37" s="451"/>
      <c r="AB37" s="452"/>
      <c r="AE37" s="36"/>
      <c r="AF37" s="36"/>
      <c r="AG37" s="36"/>
      <c r="AH37" s="19"/>
    </row>
    <row r="38" spans="1:34">
      <c r="A38" s="64" t="s">
        <v>603</v>
      </c>
      <c r="B38" s="63" t="s">
        <v>434</v>
      </c>
      <c r="C38" s="63" t="s">
        <v>435</v>
      </c>
      <c r="D38" s="134">
        <v>304.56</v>
      </c>
      <c r="E38" s="67">
        <v>50894</v>
      </c>
      <c r="F38" s="146">
        <v>0</v>
      </c>
      <c r="G38" s="146">
        <v>0</v>
      </c>
      <c r="H38" s="91">
        <v>50894</v>
      </c>
      <c r="I38" s="67">
        <v>0</v>
      </c>
      <c r="J38" s="739">
        <v>50894</v>
      </c>
      <c r="K38" s="132" t="s">
        <v>621</v>
      </c>
      <c r="L38" s="740">
        <v>0</v>
      </c>
      <c r="M38" s="741">
        <v>304.56</v>
      </c>
      <c r="N38" s="67">
        <v>659</v>
      </c>
      <c r="O38" s="67">
        <v>51553</v>
      </c>
      <c r="Q38" s="674">
        <v>0</v>
      </c>
      <c r="R38" s="674">
        <v>51553</v>
      </c>
      <c r="S38" s="71">
        <v>169.27042290517468</v>
      </c>
      <c r="T38" s="449"/>
      <c r="U38" s="67">
        <v>52023</v>
      </c>
      <c r="V38" s="163">
        <v>-470</v>
      </c>
      <c r="W38" s="166">
        <v>-9.0344655248640032E-3</v>
      </c>
      <c r="X38" s="61"/>
      <c r="Z38" s="67"/>
      <c r="AA38" s="451"/>
      <c r="AB38" s="452"/>
      <c r="AE38" s="36"/>
      <c r="AF38" s="36"/>
      <c r="AG38" s="36"/>
      <c r="AH38" s="19"/>
    </row>
    <row r="39" spans="1:34">
      <c r="A39" s="64" t="s">
        <v>594</v>
      </c>
      <c r="B39" s="63" t="s">
        <v>278</v>
      </c>
      <c r="C39" s="63" t="s">
        <v>279</v>
      </c>
      <c r="D39" s="134">
        <v>301.22000000000003</v>
      </c>
      <c r="E39" s="67">
        <v>50336</v>
      </c>
      <c r="F39" s="146">
        <v>0</v>
      </c>
      <c r="G39" s="146">
        <v>0</v>
      </c>
      <c r="H39" s="91">
        <v>50336</v>
      </c>
      <c r="I39" s="67">
        <v>0</v>
      </c>
      <c r="J39" s="739">
        <v>50336</v>
      </c>
      <c r="K39" s="132" t="s">
        <v>621</v>
      </c>
      <c r="L39" s="740">
        <v>0</v>
      </c>
      <c r="M39" s="741">
        <v>301.22000000000003</v>
      </c>
      <c r="N39" s="67">
        <v>652</v>
      </c>
      <c r="O39" s="67">
        <v>50988</v>
      </c>
      <c r="Q39" s="674">
        <v>0</v>
      </c>
      <c r="R39" s="674">
        <v>50988</v>
      </c>
      <c r="S39" s="71">
        <v>169.27162870991302</v>
      </c>
      <c r="T39" s="449"/>
      <c r="U39" s="67">
        <v>51453</v>
      </c>
      <c r="V39" s="163">
        <v>-465</v>
      </c>
      <c r="W39" s="166">
        <v>-9.037373914057489E-3</v>
      </c>
      <c r="X39" s="61"/>
      <c r="Z39" s="67"/>
      <c r="AA39" s="451"/>
      <c r="AB39" s="452"/>
      <c r="AE39" s="36"/>
      <c r="AF39" s="36"/>
      <c r="AG39" s="36"/>
      <c r="AH39" s="19"/>
    </row>
    <row r="40" spans="1:34">
      <c r="A40" s="64" t="s">
        <v>594</v>
      </c>
      <c r="B40" s="63" t="s">
        <v>274</v>
      </c>
      <c r="C40" s="63" t="s">
        <v>275</v>
      </c>
      <c r="D40" s="134">
        <v>87.11</v>
      </c>
      <c r="E40" s="67">
        <v>14557</v>
      </c>
      <c r="F40" s="146">
        <v>0</v>
      </c>
      <c r="G40" s="146">
        <v>0</v>
      </c>
      <c r="H40" s="91">
        <v>14557</v>
      </c>
      <c r="I40" s="67">
        <v>0</v>
      </c>
      <c r="J40" s="739">
        <v>14557</v>
      </c>
      <c r="K40" s="132" t="s">
        <v>621</v>
      </c>
      <c r="L40" s="740">
        <v>0</v>
      </c>
      <c r="M40" s="741">
        <v>87.11</v>
      </c>
      <c r="N40" s="67">
        <v>189</v>
      </c>
      <c r="O40" s="67">
        <v>14746</v>
      </c>
      <c r="Q40" s="674">
        <v>0</v>
      </c>
      <c r="R40" s="674">
        <v>14746</v>
      </c>
      <c r="S40" s="71">
        <v>169.28022041097464</v>
      </c>
      <c r="T40" s="449"/>
      <c r="U40" s="67">
        <v>14880</v>
      </c>
      <c r="V40" s="163">
        <v>-134</v>
      </c>
      <c r="W40" s="166">
        <v>-9.0053763440860208E-3</v>
      </c>
      <c r="X40" s="61"/>
      <c r="Z40" s="67"/>
      <c r="AA40" s="451"/>
      <c r="AB40" s="452"/>
      <c r="AE40" s="36"/>
      <c r="AF40" s="36"/>
      <c r="AG40" s="36"/>
      <c r="AH40" s="19"/>
    </row>
    <row r="41" spans="1:34">
      <c r="A41" s="64" t="s">
        <v>603</v>
      </c>
      <c r="B41" s="63" t="s">
        <v>438</v>
      </c>
      <c r="C41" s="63" t="s">
        <v>439</v>
      </c>
      <c r="D41" s="134">
        <v>95.33</v>
      </c>
      <c r="E41" s="67">
        <v>15930</v>
      </c>
      <c r="F41" s="146">
        <v>0</v>
      </c>
      <c r="G41" s="146">
        <v>0</v>
      </c>
      <c r="H41" s="91">
        <v>15930</v>
      </c>
      <c r="I41" s="67">
        <v>0</v>
      </c>
      <c r="J41" s="739">
        <v>15930</v>
      </c>
      <c r="K41" s="132" t="s">
        <v>621</v>
      </c>
      <c r="L41" s="740">
        <v>0</v>
      </c>
      <c r="M41" s="741">
        <v>95.33</v>
      </c>
      <c r="N41" s="67">
        <v>206</v>
      </c>
      <c r="O41" s="67">
        <v>16136</v>
      </c>
      <c r="Q41" s="674">
        <v>0</v>
      </c>
      <c r="R41" s="674">
        <v>16136</v>
      </c>
      <c r="S41" s="71">
        <v>169.26465960348264</v>
      </c>
      <c r="T41" s="449"/>
      <c r="U41" s="67">
        <v>16284</v>
      </c>
      <c r="V41" s="163">
        <v>-148</v>
      </c>
      <c r="W41" s="166">
        <v>-9.0886760009825599E-3</v>
      </c>
      <c r="X41" s="61"/>
      <c r="Z41" s="67"/>
      <c r="AA41" s="451"/>
      <c r="AB41" s="452"/>
      <c r="AE41" s="36"/>
      <c r="AF41" s="36"/>
      <c r="AG41" s="36"/>
      <c r="AH41" s="19"/>
    </row>
    <row r="42" spans="1:34">
      <c r="A42" s="64" t="s">
        <v>603</v>
      </c>
      <c r="B42" s="63" t="s">
        <v>450</v>
      </c>
      <c r="C42" s="63" t="s">
        <v>451</v>
      </c>
      <c r="D42" s="134">
        <v>5</v>
      </c>
      <c r="E42" s="67">
        <v>836</v>
      </c>
      <c r="F42" s="146">
        <v>0</v>
      </c>
      <c r="G42" s="146">
        <v>0</v>
      </c>
      <c r="H42" s="91">
        <v>836</v>
      </c>
      <c r="I42" s="67">
        <v>0</v>
      </c>
      <c r="J42" s="739">
        <v>836</v>
      </c>
      <c r="K42" s="132" t="s">
        <v>644</v>
      </c>
      <c r="L42" s="740">
        <v>836</v>
      </c>
      <c r="M42" s="741">
        <v>0</v>
      </c>
      <c r="N42" s="67">
        <v>0</v>
      </c>
      <c r="O42" s="67">
        <v>0</v>
      </c>
      <c r="Q42" s="674">
        <v>0</v>
      </c>
      <c r="R42" s="674">
        <v>0</v>
      </c>
      <c r="S42" s="71">
        <v>0</v>
      </c>
      <c r="T42" s="449"/>
      <c r="U42" s="67">
        <v>0</v>
      </c>
      <c r="V42" s="163">
        <v>0</v>
      </c>
      <c r="W42" s="166">
        <v>0</v>
      </c>
      <c r="X42" s="61"/>
      <c r="Z42" s="67"/>
      <c r="AA42" s="451"/>
      <c r="AB42" s="452"/>
      <c r="AE42" s="36"/>
      <c r="AF42" s="36"/>
      <c r="AG42" s="36"/>
      <c r="AH42" s="19"/>
    </row>
    <row r="43" spans="1:34">
      <c r="A43" s="64" t="s">
        <v>600</v>
      </c>
      <c r="B43" s="63" t="s">
        <v>169</v>
      </c>
      <c r="C43" s="63" t="s">
        <v>170</v>
      </c>
      <c r="D43" s="134">
        <v>9.7799999999999994</v>
      </c>
      <c r="E43" s="67">
        <v>1634</v>
      </c>
      <c r="F43" s="146">
        <v>0</v>
      </c>
      <c r="G43" s="146">
        <v>0</v>
      </c>
      <c r="H43" s="91">
        <v>1634</v>
      </c>
      <c r="I43" s="67">
        <v>0</v>
      </c>
      <c r="J43" s="739">
        <v>1634</v>
      </c>
      <c r="K43" s="132" t="s">
        <v>644</v>
      </c>
      <c r="L43" s="740">
        <v>1634</v>
      </c>
      <c r="M43" s="741">
        <v>0</v>
      </c>
      <c r="N43" s="67">
        <v>0</v>
      </c>
      <c r="O43" s="67">
        <v>0</v>
      </c>
      <c r="Q43" s="674">
        <v>0</v>
      </c>
      <c r="R43" s="674">
        <v>0</v>
      </c>
      <c r="S43" s="71">
        <v>0</v>
      </c>
      <c r="T43" s="449"/>
      <c r="U43" s="67">
        <v>0</v>
      </c>
      <c r="V43" s="163">
        <v>0</v>
      </c>
      <c r="W43" s="166">
        <v>0</v>
      </c>
      <c r="X43" s="61"/>
      <c r="Z43" s="67"/>
      <c r="AA43" s="451"/>
      <c r="AB43" s="452"/>
      <c r="AE43" s="36"/>
      <c r="AF43" s="36"/>
      <c r="AG43" s="36"/>
      <c r="AH43" s="19"/>
    </row>
    <row r="44" spans="1:34">
      <c r="A44" s="64" t="s">
        <v>596</v>
      </c>
      <c r="B44" s="63" t="s">
        <v>10</v>
      </c>
      <c r="C44" s="63" t="s">
        <v>11</v>
      </c>
      <c r="D44" s="134">
        <v>26</v>
      </c>
      <c r="E44" s="67">
        <v>4345</v>
      </c>
      <c r="F44" s="146">
        <v>0</v>
      </c>
      <c r="G44" s="146">
        <v>0</v>
      </c>
      <c r="H44" s="91">
        <v>4345</v>
      </c>
      <c r="I44" s="67">
        <v>0</v>
      </c>
      <c r="J44" s="739">
        <v>4345</v>
      </c>
      <c r="K44" s="132" t="s">
        <v>644</v>
      </c>
      <c r="L44" s="740">
        <v>4345</v>
      </c>
      <c r="M44" s="741">
        <v>0</v>
      </c>
      <c r="N44" s="67">
        <v>0</v>
      </c>
      <c r="O44" s="67">
        <v>0</v>
      </c>
      <c r="Q44" s="674">
        <v>0</v>
      </c>
      <c r="R44" s="674">
        <v>0</v>
      </c>
      <c r="S44" s="71">
        <v>0</v>
      </c>
      <c r="T44" s="449"/>
      <c r="U44" s="67">
        <v>0</v>
      </c>
      <c r="V44" s="163">
        <v>0</v>
      </c>
      <c r="W44" s="166">
        <v>0</v>
      </c>
      <c r="X44" s="61"/>
      <c r="Z44" s="67"/>
      <c r="AA44" s="451"/>
      <c r="AB44" s="452"/>
      <c r="AE44" s="36"/>
      <c r="AF44" s="36"/>
      <c r="AG44" s="36"/>
      <c r="AH44" s="19"/>
    </row>
    <row r="45" spans="1:34">
      <c r="A45" s="64" t="s">
        <v>605</v>
      </c>
      <c r="B45" s="63" t="s">
        <v>230</v>
      </c>
      <c r="C45" s="63" t="s">
        <v>231</v>
      </c>
      <c r="D45" s="134">
        <v>14.67</v>
      </c>
      <c r="E45" s="67">
        <v>2451</v>
      </c>
      <c r="F45" s="146">
        <v>0</v>
      </c>
      <c r="G45" s="146">
        <v>0</v>
      </c>
      <c r="H45" s="91">
        <v>2451</v>
      </c>
      <c r="I45" s="67">
        <v>0</v>
      </c>
      <c r="J45" s="739">
        <v>2451</v>
      </c>
      <c r="K45" s="132" t="s">
        <v>1306</v>
      </c>
      <c r="L45" s="740">
        <v>0</v>
      </c>
      <c r="M45" s="741">
        <v>14.67</v>
      </c>
      <c r="N45" s="67">
        <v>32</v>
      </c>
      <c r="O45" s="67">
        <v>2483</v>
      </c>
      <c r="Q45" s="674">
        <v>0</v>
      </c>
      <c r="R45" s="674">
        <v>2483</v>
      </c>
      <c r="S45" s="71">
        <v>169.25698704839809</v>
      </c>
      <c r="T45" s="449"/>
      <c r="U45" s="67">
        <v>2506</v>
      </c>
      <c r="V45" s="163">
        <v>-23</v>
      </c>
      <c r="W45" s="166">
        <v>-9.1779728651237031E-3</v>
      </c>
      <c r="X45" s="61"/>
      <c r="Z45" s="67"/>
      <c r="AA45" s="451"/>
      <c r="AB45" s="452"/>
      <c r="AE45" s="36"/>
      <c r="AF45" s="36"/>
      <c r="AG45" s="36"/>
      <c r="AH45" s="19"/>
    </row>
    <row r="46" spans="1:34">
      <c r="A46" s="64" t="s">
        <v>597</v>
      </c>
      <c r="B46" s="63" t="s">
        <v>357</v>
      </c>
      <c r="C46" s="63" t="s">
        <v>358</v>
      </c>
      <c r="D46" s="134">
        <v>1303.8900000000001</v>
      </c>
      <c r="E46" s="67">
        <v>217888</v>
      </c>
      <c r="F46" s="146">
        <v>0</v>
      </c>
      <c r="G46" s="146">
        <v>0</v>
      </c>
      <c r="H46" s="91">
        <v>217888</v>
      </c>
      <c r="I46" s="67">
        <v>0</v>
      </c>
      <c r="J46" s="739">
        <v>217888</v>
      </c>
      <c r="K46" s="132" t="s">
        <v>621</v>
      </c>
      <c r="L46" s="740">
        <v>0</v>
      </c>
      <c r="M46" s="741">
        <v>1303.8900000000001</v>
      </c>
      <c r="N46" s="67">
        <v>2823</v>
      </c>
      <c r="O46" s="67">
        <v>220711</v>
      </c>
      <c r="Q46" s="674">
        <v>0</v>
      </c>
      <c r="R46" s="674">
        <v>220711</v>
      </c>
      <c r="S46" s="71">
        <v>169.2711808511454</v>
      </c>
      <c r="T46" s="449"/>
      <c r="U46" s="67">
        <v>222725</v>
      </c>
      <c r="V46" s="163">
        <v>-2014</v>
      </c>
      <c r="W46" s="166">
        <v>-9.042541250420923E-3</v>
      </c>
      <c r="X46" s="61"/>
      <c r="Z46" s="67"/>
      <c r="AA46" s="451"/>
      <c r="AB46" s="452"/>
      <c r="AE46" s="36"/>
      <c r="AF46" s="36"/>
      <c r="AG46" s="36"/>
      <c r="AH46" s="19"/>
    </row>
    <row r="47" spans="1:34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132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>
        <v>0</v>
      </c>
      <c r="S47" s="71">
        <v>0</v>
      </c>
      <c r="T47" s="449"/>
      <c r="U47" s="67">
        <v>0</v>
      </c>
      <c r="V47" s="163">
        <v>0</v>
      </c>
      <c r="W47" s="166">
        <v>0</v>
      </c>
      <c r="X47" s="61"/>
      <c r="Z47" s="67"/>
      <c r="AA47" s="451"/>
      <c r="AB47" s="452"/>
      <c r="AE47" s="36"/>
      <c r="AF47" s="36"/>
      <c r="AG47" s="36"/>
      <c r="AH47" s="19"/>
    </row>
    <row r="48" spans="1:34">
      <c r="A48" s="64" t="s">
        <v>596</v>
      </c>
      <c r="B48" s="63" t="s">
        <v>494</v>
      </c>
      <c r="C48" s="63" t="s">
        <v>495</v>
      </c>
      <c r="D48" s="134">
        <v>185.56</v>
      </c>
      <c r="E48" s="67">
        <v>31008</v>
      </c>
      <c r="F48" s="146">
        <v>0</v>
      </c>
      <c r="G48" s="146">
        <v>0</v>
      </c>
      <c r="H48" s="91">
        <v>31008</v>
      </c>
      <c r="I48" s="67">
        <v>0</v>
      </c>
      <c r="J48" s="739">
        <v>31008</v>
      </c>
      <c r="K48" s="132" t="s">
        <v>621</v>
      </c>
      <c r="L48" s="740">
        <v>0</v>
      </c>
      <c r="M48" s="741">
        <v>185.56</v>
      </c>
      <c r="N48" s="67">
        <v>402</v>
      </c>
      <c r="O48" s="67">
        <v>31410</v>
      </c>
      <c r="Q48" s="674">
        <v>0</v>
      </c>
      <c r="R48" s="674">
        <v>31410</v>
      </c>
      <c r="S48" s="71">
        <v>169.27139469713299</v>
      </c>
      <c r="T48" s="449"/>
      <c r="U48" s="67">
        <v>31696</v>
      </c>
      <c r="V48" s="163">
        <v>-286</v>
      </c>
      <c r="W48" s="166">
        <v>-9.0232205956587586E-3</v>
      </c>
      <c r="X48" s="61"/>
      <c r="Z48" s="67"/>
      <c r="AA48" s="451"/>
      <c r="AB48" s="452"/>
      <c r="AE48" s="36"/>
      <c r="AF48" s="36"/>
      <c r="AG48" s="36"/>
      <c r="AH48" s="19"/>
    </row>
    <row r="49" spans="1:34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132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>
        <v>0</v>
      </c>
      <c r="S49" s="71">
        <v>0</v>
      </c>
      <c r="T49" s="449"/>
      <c r="U49" s="67">
        <v>0</v>
      </c>
      <c r="V49" s="163">
        <v>0</v>
      </c>
      <c r="W49" s="166">
        <v>0</v>
      </c>
      <c r="X49" s="61"/>
      <c r="Z49" s="67"/>
      <c r="AA49" s="451"/>
      <c r="AB49" s="452"/>
      <c r="AE49" s="36"/>
      <c r="AF49" s="36"/>
      <c r="AG49" s="36"/>
      <c r="AH49" s="19"/>
    </row>
    <row r="50" spans="1:34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739">
        <v>0</v>
      </c>
      <c r="K50" s="132" t="s">
        <v>644</v>
      </c>
      <c r="L50" s="740">
        <v>0</v>
      </c>
      <c r="M50" s="741">
        <v>0</v>
      </c>
      <c r="N50" s="67">
        <v>0</v>
      </c>
      <c r="O50" s="67">
        <v>0</v>
      </c>
      <c r="Q50" s="674">
        <v>0</v>
      </c>
      <c r="R50" s="674">
        <v>0</v>
      </c>
      <c r="S50" s="71">
        <v>0</v>
      </c>
      <c r="T50" s="449"/>
      <c r="U50" s="67">
        <v>0</v>
      </c>
      <c r="V50" s="163">
        <v>0</v>
      </c>
      <c r="W50" s="166">
        <v>0</v>
      </c>
      <c r="X50" s="61"/>
      <c r="Z50" s="67"/>
      <c r="AA50" s="451"/>
      <c r="AB50" s="452"/>
      <c r="AE50" s="36"/>
      <c r="AF50" s="36"/>
      <c r="AG50" s="36"/>
      <c r="AH50" s="19"/>
    </row>
    <row r="51" spans="1:34">
      <c r="A51" s="64" t="s">
        <v>596</v>
      </c>
      <c r="B51" s="63" t="s">
        <v>498</v>
      </c>
      <c r="C51" s="63" t="s">
        <v>499</v>
      </c>
      <c r="D51" s="134">
        <v>116.56</v>
      </c>
      <c r="E51" s="67">
        <v>19478</v>
      </c>
      <c r="F51" s="146">
        <v>0</v>
      </c>
      <c r="G51" s="146">
        <v>0</v>
      </c>
      <c r="H51" s="91">
        <v>19478</v>
      </c>
      <c r="I51" s="67">
        <v>0</v>
      </c>
      <c r="J51" s="739">
        <v>19478</v>
      </c>
      <c r="K51" s="132" t="s">
        <v>621</v>
      </c>
      <c r="L51" s="740">
        <v>0</v>
      </c>
      <c r="M51" s="741">
        <v>116.56</v>
      </c>
      <c r="N51" s="67">
        <v>252</v>
      </c>
      <c r="O51" s="67">
        <v>19730</v>
      </c>
      <c r="Q51" s="674">
        <v>0</v>
      </c>
      <c r="R51" s="674">
        <v>19730</v>
      </c>
      <c r="S51" s="71">
        <v>169.26904598490049</v>
      </c>
      <c r="T51" s="449"/>
      <c r="U51" s="67">
        <v>19910</v>
      </c>
      <c r="V51" s="163">
        <v>-180</v>
      </c>
      <c r="W51" s="166">
        <v>-9.0406830738322449E-3</v>
      </c>
      <c r="X51" s="61"/>
      <c r="Z51" s="67"/>
      <c r="AA51" s="451"/>
      <c r="AB51" s="452"/>
      <c r="AE51" s="36"/>
      <c r="AF51" s="36"/>
      <c r="AG51" s="36"/>
      <c r="AH51" s="19"/>
    </row>
    <row r="52" spans="1:34">
      <c r="A52" s="64" t="s">
        <v>603</v>
      </c>
      <c r="B52" s="63" t="s">
        <v>456</v>
      </c>
      <c r="C52" s="63" t="s">
        <v>457</v>
      </c>
      <c r="D52" s="134">
        <v>43.44</v>
      </c>
      <c r="E52" s="67">
        <v>7259</v>
      </c>
      <c r="F52" s="146">
        <v>0</v>
      </c>
      <c r="G52" s="146">
        <v>0</v>
      </c>
      <c r="H52" s="91">
        <v>7259</v>
      </c>
      <c r="I52" s="67">
        <v>0</v>
      </c>
      <c r="J52" s="739">
        <v>7259</v>
      </c>
      <c r="K52" s="132" t="s">
        <v>644</v>
      </c>
      <c r="L52" s="740">
        <v>7259</v>
      </c>
      <c r="M52" s="741">
        <v>0</v>
      </c>
      <c r="N52" s="67">
        <v>0</v>
      </c>
      <c r="O52" s="67">
        <v>0</v>
      </c>
      <c r="Q52" s="674">
        <v>0</v>
      </c>
      <c r="R52" s="674">
        <v>0</v>
      </c>
      <c r="S52" s="71">
        <v>0</v>
      </c>
      <c r="T52" s="449"/>
      <c r="U52" s="67">
        <v>0</v>
      </c>
      <c r="V52" s="163">
        <v>0</v>
      </c>
      <c r="W52" s="166">
        <v>0</v>
      </c>
      <c r="X52" s="61"/>
      <c r="Z52" s="67"/>
      <c r="AA52" s="451"/>
      <c r="AB52" s="452"/>
      <c r="AE52" s="36"/>
      <c r="AF52" s="36"/>
      <c r="AG52" s="36"/>
      <c r="AH52" s="19"/>
    </row>
    <row r="53" spans="1:34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739">
        <v>0</v>
      </c>
      <c r="K53" s="132" t="s">
        <v>644</v>
      </c>
      <c r="L53" s="740">
        <v>0</v>
      </c>
      <c r="M53" s="741">
        <v>0</v>
      </c>
      <c r="N53" s="67">
        <v>0</v>
      </c>
      <c r="O53" s="67">
        <v>0</v>
      </c>
      <c r="Q53" s="674">
        <v>0</v>
      </c>
      <c r="R53" s="674">
        <v>0</v>
      </c>
      <c r="S53" s="71">
        <v>0</v>
      </c>
      <c r="T53" s="449"/>
      <c r="U53" s="67">
        <v>0</v>
      </c>
      <c r="V53" s="163">
        <v>0</v>
      </c>
      <c r="W53" s="166">
        <v>0</v>
      </c>
      <c r="X53" s="61"/>
      <c r="Z53" s="67"/>
      <c r="AA53" s="451"/>
      <c r="AB53" s="452"/>
      <c r="AE53" s="36"/>
      <c r="AF53" s="36"/>
      <c r="AG53" s="36"/>
      <c r="AH53" s="19"/>
    </row>
    <row r="54" spans="1:34">
      <c r="A54" s="64" t="s">
        <v>595</v>
      </c>
      <c r="B54" s="63" t="s">
        <v>384</v>
      </c>
      <c r="C54" s="63" t="s">
        <v>385</v>
      </c>
      <c r="D54" s="134">
        <v>28.67</v>
      </c>
      <c r="E54" s="67">
        <v>4791</v>
      </c>
      <c r="F54" s="146">
        <v>0</v>
      </c>
      <c r="G54" s="146">
        <v>0</v>
      </c>
      <c r="H54" s="91">
        <v>4791</v>
      </c>
      <c r="I54" s="67">
        <v>0</v>
      </c>
      <c r="J54" s="739">
        <v>4791</v>
      </c>
      <c r="K54" s="132" t="s">
        <v>644</v>
      </c>
      <c r="L54" s="740">
        <v>4791</v>
      </c>
      <c r="M54" s="741">
        <v>0</v>
      </c>
      <c r="N54" s="67">
        <v>0</v>
      </c>
      <c r="O54" s="67">
        <v>0</v>
      </c>
      <c r="Q54" s="674">
        <v>0</v>
      </c>
      <c r="R54" s="674">
        <v>0</v>
      </c>
      <c r="S54" s="71">
        <v>0</v>
      </c>
      <c r="T54" s="449"/>
      <c r="U54" s="67">
        <v>0</v>
      </c>
      <c r="V54" s="163">
        <v>0</v>
      </c>
      <c r="W54" s="166">
        <v>0</v>
      </c>
      <c r="X54" s="61"/>
      <c r="Z54" s="67"/>
      <c r="AA54" s="451"/>
      <c r="AB54" s="452"/>
      <c r="AE54" s="36"/>
      <c r="AF54" s="36"/>
      <c r="AG54" s="36"/>
      <c r="AH54" s="19"/>
    </row>
    <row r="55" spans="1:34">
      <c r="A55" s="64" t="s">
        <v>594</v>
      </c>
      <c r="B55" s="63" t="s">
        <v>147</v>
      </c>
      <c r="C55" s="63" t="s">
        <v>148</v>
      </c>
      <c r="D55" s="134">
        <v>2.56</v>
      </c>
      <c r="E55" s="67">
        <v>428</v>
      </c>
      <c r="F55" s="146">
        <v>0</v>
      </c>
      <c r="G55" s="146">
        <v>0</v>
      </c>
      <c r="H55" s="91">
        <v>428</v>
      </c>
      <c r="I55" s="67">
        <v>0</v>
      </c>
      <c r="J55" s="739">
        <v>428</v>
      </c>
      <c r="K55" s="132" t="s">
        <v>644</v>
      </c>
      <c r="L55" s="740">
        <v>428</v>
      </c>
      <c r="M55" s="741">
        <v>0</v>
      </c>
      <c r="N55" s="67">
        <v>0</v>
      </c>
      <c r="O55" s="67">
        <v>0</v>
      </c>
      <c r="Q55" s="674">
        <v>0</v>
      </c>
      <c r="R55" s="674">
        <v>0</v>
      </c>
      <c r="S55" s="71">
        <v>0</v>
      </c>
      <c r="T55" s="449"/>
      <c r="U55" s="67">
        <v>0</v>
      </c>
      <c r="V55" s="163">
        <v>0</v>
      </c>
      <c r="W55" s="166">
        <v>0</v>
      </c>
      <c r="X55" s="61"/>
      <c r="Z55" s="67"/>
      <c r="AA55" s="451"/>
      <c r="AB55" s="452"/>
      <c r="AE55" s="36"/>
      <c r="AF55" s="36"/>
      <c r="AG55" s="36"/>
      <c r="AH55" s="19"/>
    </row>
    <row r="56" spans="1:34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739">
        <v>0</v>
      </c>
      <c r="K56" s="132" t="s">
        <v>644</v>
      </c>
      <c r="L56" s="740">
        <v>0</v>
      </c>
      <c r="M56" s="741">
        <v>0</v>
      </c>
      <c r="N56" s="67">
        <v>0</v>
      </c>
      <c r="O56" s="67">
        <v>0</v>
      </c>
      <c r="Q56" s="674">
        <v>0</v>
      </c>
      <c r="R56" s="674">
        <v>0</v>
      </c>
      <c r="S56" s="71">
        <v>0</v>
      </c>
      <c r="T56" s="449"/>
      <c r="U56" s="67">
        <v>0</v>
      </c>
      <c r="V56" s="163">
        <v>0</v>
      </c>
      <c r="W56" s="166">
        <v>0</v>
      </c>
      <c r="X56" s="61"/>
      <c r="Z56" s="67"/>
      <c r="AA56" s="451"/>
      <c r="AB56" s="452"/>
      <c r="AE56" s="36"/>
      <c r="AF56" s="36"/>
      <c r="AG56" s="36"/>
      <c r="AH56" s="19"/>
    </row>
    <row r="57" spans="1:34">
      <c r="A57" s="64" t="s">
        <v>595</v>
      </c>
      <c r="B57" s="63" t="s">
        <v>159</v>
      </c>
      <c r="C57" s="63" t="s">
        <v>160</v>
      </c>
      <c r="D57" s="134">
        <v>22.67</v>
      </c>
      <c r="E57" s="67">
        <v>3788</v>
      </c>
      <c r="F57" s="146">
        <v>0</v>
      </c>
      <c r="G57" s="146">
        <v>0</v>
      </c>
      <c r="H57" s="91">
        <v>3788</v>
      </c>
      <c r="I57" s="67">
        <v>0</v>
      </c>
      <c r="J57" s="739">
        <v>3788</v>
      </c>
      <c r="K57" s="132" t="s">
        <v>644</v>
      </c>
      <c r="L57" s="740">
        <v>3788</v>
      </c>
      <c r="M57" s="741">
        <v>0</v>
      </c>
      <c r="N57" s="67">
        <v>0</v>
      </c>
      <c r="O57" s="67">
        <v>0</v>
      </c>
      <c r="Q57" s="674">
        <v>0</v>
      </c>
      <c r="R57" s="674">
        <v>0</v>
      </c>
      <c r="S57" s="71">
        <v>0</v>
      </c>
      <c r="T57" s="449"/>
      <c r="U57" s="67">
        <v>0</v>
      </c>
      <c r="V57" s="163">
        <v>0</v>
      </c>
      <c r="W57" s="166">
        <v>0</v>
      </c>
      <c r="X57" s="61"/>
      <c r="Z57" s="67"/>
      <c r="AA57" s="451"/>
      <c r="AB57" s="452"/>
      <c r="AE57" s="36"/>
      <c r="AF57" s="36"/>
      <c r="AG57" s="36"/>
      <c r="AH57" s="19"/>
    </row>
    <row r="58" spans="1:34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132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>
        <v>0</v>
      </c>
      <c r="S58" s="71">
        <v>0</v>
      </c>
      <c r="T58" s="449"/>
      <c r="U58" s="67">
        <v>0</v>
      </c>
      <c r="V58" s="163">
        <v>0</v>
      </c>
      <c r="W58" s="166">
        <v>0</v>
      </c>
      <c r="X58" s="61"/>
      <c r="Z58" s="67"/>
      <c r="AA58" s="451"/>
      <c r="AB58" s="452"/>
      <c r="AE58" s="36"/>
      <c r="AF58" s="36"/>
      <c r="AG58" s="36"/>
      <c r="AH58" s="19"/>
    </row>
    <row r="59" spans="1:34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132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>
        <v>0</v>
      </c>
      <c r="S59" s="71">
        <v>0</v>
      </c>
      <c r="T59" s="449"/>
      <c r="U59" s="67">
        <v>0</v>
      </c>
      <c r="V59" s="163">
        <v>0</v>
      </c>
      <c r="W59" s="166">
        <v>0</v>
      </c>
      <c r="X59" s="61"/>
      <c r="Z59" s="67"/>
      <c r="AA59" s="451"/>
      <c r="AB59" s="452"/>
      <c r="AE59" s="36"/>
      <c r="AF59" s="36"/>
      <c r="AG59" s="36"/>
      <c r="AH59" s="19"/>
    </row>
    <row r="60" spans="1:34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132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>
        <v>0</v>
      </c>
      <c r="S60" s="71">
        <v>0</v>
      </c>
      <c r="T60" s="449"/>
      <c r="U60" s="67">
        <v>0</v>
      </c>
      <c r="V60" s="163">
        <v>0</v>
      </c>
      <c r="W60" s="166">
        <v>0</v>
      </c>
      <c r="X60" s="61"/>
      <c r="Z60" s="67"/>
      <c r="AA60" s="451"/>
      <c r="AB60" s="452"/>
      <c r="AE60" s="36"/>
      <c r="AF60" s="36"/>
      <c r="AG60" s="36"/>
      <c r="AH60" s="19"/>
    </row>
    <row r="61" spans="1:34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132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>
        <v>0</v>
      </c>
      <c r="S61" s="71">
        <v>0</v>
      </c>
      <c r="T61" s="449"/>
      <c r="U61" s="67">
        <v>0</v>
      </c>
      <c r="V61" s="163">
        <v>0</v>
      </c>
      <c r="W61" s="166">
        <v>0</v>
      </c>
      <c r="X61" s="61"/>
      <c r="Z61" s="67"/>
      <c r="AA61" s="451"/>
      <c r="AB61" s="452"/>
      <c r="AE61" s="36"/>
      <c r="AF61" s="36"/>
      <c r="AG61" s="36"/>
      <c r="AH61" s="19"/>
    </row>
    <row r="62" spans="1:34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132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>
        <v>0</v>
      </c>
      <c r="S62" s="71">
        <v>0</v>
      </c>
      <c r="T62" s="449"/>
      <c r="U62" s="67">
        <v>0</v>
      </c>
      <c r="V62" s="163">
        <v>0</v>
      </c>
      <c r="W62" s="166">
        <v>0</v>
      </c>
      <c r="X62" s="61"/>
      <c r="Z62" s="67"/>
      <c r="AA62" s="451"/>
      <c r="AB62" s="452"/>
      <c r="AE62" s="36"/>
      <c r="AF62" s="36"/>
      <c r="AG62" s="36"/>
      <c r="AH62" s="19"/>
    </row>
    <row r="63" spans="1:34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132" t="s">
        <v>644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>
        <v>0</v>
      </c>
      <c r="S63" s="71">
        <v>0</v>
      </c>
      <c r="T63" s="449"/>
      <c r="U63" s="67">
        <v>0</v>
      </c>
      <c r="V63" s="163">
        <v>0</v>
      </c>
      <c r="W63" s="166">
        <v>0</v>
      </c>
      <c r="X63" s="61"/>
      <c r="Z63" s="67"/>
      <c r="AA63" s="451"/>
      <c r="AB63" s="452"/>
      <c r="AE63" s="36"/>
      <c r="AF63" s="36"/>
      <c r="AG63" s="36"/>
      <c r="AH63" s="19"/>
    </row>
    <row r="64" spans="1:34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132" t="s">
        <v>644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>
        <v>0</v>
      </c>
      <c r="S64" s="71">
        <v>0</v>
      </c>
      <c r="T64" s="449"/>
      <c r="U64" s="67">
        <v>0</v>
      </c>
      <c r="V64" s="163">
        <v>0</v>
      </c>
      <c r="W64" s="166">
        <v>0</v>
      </c>
      <c r="X64" s="61"/>
      <c r="Z64" s="67"/>
      <c r="AA64" s="451"/>
      <c r="AB64" s="452"/>
      <c r="AE64" s="36"/>
      <c r="AF64" s="36"/>
      <c r="AG64" s="36"/>
      <c r="AH64" s="19"/>
    </row>
    <row r="65" spans="1:34">
      <c r="A65" s="64" t="s">
        <v>596</v>
      </c>
      <c r="B65" s="63" t="s">
        <v>66</v>
      </c>
      <c r="C65" s="63" t="s">
        <v>67</v>
      </c>
      <c r="D65" s="134">
        <v>0.78</v>
      </c>
      <c r="E65" s="67">
        <v>130</v>
      </c>
      <c r="F65" s="146">
        <v>0</v>
      </c>
      <c r="G65" s="146">
        <v>0</v>
      </c>
      <c r="H65" s="91">
        <v>130</v>
      </c>
      <c r="I65" s="67">
        <v>0</v>
      </c>
      <c r="J65" s="739">
        <v>130</v>
      </c>
      <c r="K65" s="132" t="s">
        <v>644</v>
      </c>
      <c r="L65" s="740">
        <v>130</v>
      </c>
      <c r="M65" s="741">
        <v>0</v>
      </c>
      <c r="N65" s="67">
        <v>0</v>
      </c>
      <c r="O65" s="67">
        <v>0</v>
      </c>
      <c r="Q65" s="674">
        <v>0</v>
      </c>
      <c r="R65" s="674">
        <v>0</v>
      </c>
      <c r="S65" s="71">
        <v>0</v>
      </c>
      <c r="T65" s="449"/>
      <c r="U65" s="67">
        <v>0</v>
      </c>
      <c r="V65" s="163">
        <v>0</v>
      </c>
      <c r="W65" s="166">
        <v>0</v>
      </c>
      <c r="X65" s="61"/>
      <c r="Z65" s="67"/>
      <c r="AA65" s="451"/>
      <c r="AB65" s="452"/>
      <c r="AE65" s="36"/>
      <c r="AF65" s="36"/>
      <c r="AG65" s="36"/>
      <c r="AH65" s="19"/>
    </row>
    <row r="66" spans="1:34">
      <c r="A66" s="64" t="s">
        <v>603</v>
      </c>
      <c r="B66" s="63" t="s">
        <v>444</v>
      </c>
      <c r="C66" s="63" t="s">
        <v>445</v>
      </c>
      <c r="D66" s="134">
        <v>4.4400000000000004</v>
      </c>
      <c r="E66" s="67">
        <v>742</v>
      </c>
      <c r="F66" s="146">
        <v>0</v>
      </c>
      <c r="G66" s="146">
        <v>0</v>
      </c>
      <c r="H66" s="91">
        <v>742</v>
      </c>
      <c r="I66" s="67">
        <v>0</v>
      </c>
      <c r="J66" s="739">
        <v>742</v>
      </c>
      <c r="K66" s="132" t="s">
        <v>644</v>
      </c>
      <c r="L66" s="740">
        <v>742</v>
      </c>
      <c r="M66" s="741">
        <v>0</v>
      </c>
      <c r="N66" s="67">
        <v>0</v>
      </c>
      <c r="O66" s="67">
        <v>0</v>
      </c>
      <c r="Q66" s="674">
        <v>0</v>
      </c>
      <c r="R66" s="674">
        <v>0</v>
      </c>
      <c r="S66" s="71">
        <v>0</v>
      </c>
      <c r="T66" s="449"/>
      <c r="U66" s="67">
        <v>0</v>
      </c>
      <c r="V66" s="163">
        <v>0</v>
      </c>
      <c r="W66" s="166">
        <v>0</v>
      </c>
      <c r="X66" s="61"/>
      <c r="Z66" s="67"/>
      <c r="AA66" s="451"/>
      <c r="AB66" s="452"/>
      <c r="AE66" s="36"/>
      <c r="AF66" s="36"/>
      <c r="AG66" s="36"/>
      <c r="AH66" s="19"/>
    </row>
    <row r="67" spans="1:34">
      <c r="A67" s="64" t="s">
        <v>597</v>
      </c>
      <c r="B67" s="63" t="s">
        <v>353</v>
      </c>
      <c r="C67" s="63" t="s">
        <v>354</v>
      </c>
      <c r="D67" s="134">
        <v>21.67</v>
      </c>
      <c r="E67" s="67">
        <v>3621</v>
      </c>
      <c r="F67" s="146">
        <v>0</v>
      </c>
      <c r="G67" s="146">
        <v>0</v>
      </c>
      <c r="H67" s="91">
        <v>3621</v>
      </c>
      <c r="I67" s="67">
        <v>0</v>
      </c>
      <c r="J67" s="739">
        <v>3621</v>
      </c>
      <c r="K67" s="132" t="s">
        <v>1306</v>
      </c>
      <c r="L67" s="740">
        <v>0</v>
      </c>
      <c r="M67" s="741">
        <v>21.67</v>
      </c>
      <c r="N67" s="67">
        <v>47</v>
      </c>
      <c r="O67" s="67">
        <v>3668</v>
      </c>
      <c r="Q67" s="674">
        <v>0</v>
      </c>
      <c r="R67" s="674">
        <v>3668</v>
      </c>
      <c r="S67" s="71">
        <v>169.26626672819566</v>
      </c>
      <c r="T67" s="449"/>
      <c r="U67" s="67">
        <v>3702</v>
      </c>
      <c r="V67" s="163">
        <v>-34</v>
      </c>
      <c r="W67" s="166">
        <v>-9.1842247433819562E-3</v>
      </c>
      <c r="X67" s="61"/>
      <c r="Z67" s="67"/>
      <c r="AA67" s="451"/>
      <c r="AB67" s="452"/>
      <c r="AE67" s="36"/>
      <c r="AF67" s="36"/>
      <c r="AG67" s="36"/>
      <c r="AH67" s="19"/>
    </row>
    <row r="68" spans="1:34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739">
        <v>0</v>
      </c>
      <c r="K68" s="132" t="s">
        <v>644</v>
      </c>
      <c r="L68" s="740">
        <v>0</v>
      </c>
      <c r="M68" s="741">
        <v>0</v>
      </c>
      <c r="N68" s="67">
        <v>0</v>
      </c>
      <c r="O68" s="67">
        <v>0</v>
      </c>
      <c r="Q68" s="674">
        <v>0</v>
      </c>
      <c r="R68" s="674">
        <v>0</v>
      </c>
      <c r="S68" s="71">
        <v>0</v>
      </c>
      <c r="T68" s="449"/>
      <c r="U68" s="67">
        <v>0</v>
      </c>
      <c r="V68" s="163">
        <v>0</v>
      </c>
      <c r="W68" s="166">
        <v>0</v>
      </c>
      <c r="X68" s="61"/>
      <c r="Z68" s="67"/>
      <c r="AA68" s="451"/>
      <c r="AB68" s="452"/>
      <c r="AE68" s="36"/>
      <c r="AF68" s="36"/>
      <c r="AG68" s="36"/>
      <c r="AH68" s="19"/>
    </row>
    <row r="69" spans="1:34">
      <c r="A69" s="64" t="s">
        <v>603</v>
      </c>
      <c r="B69" s="63" t="s">
        <v>440</v>
      </c>
      <c r="C69" s="63" t="s">
        <v>674</v>
      </c>
      <c r="D69" s="134">
        <v>102</v>
      </c>
      <c r="E69" s="67">
        <v>17045</v>
      </c>
      <c r="F69" s="146">
        <v>0</v>
      </c>
      <c r="G69" s="146">
        <v>0</v>
      </c>
      <c r="H69" s="91">
        <v>17045</v>
      </c>
      <c r="I69" s="67">
        <v>0</v>
      </c>
      <c r="J69" s="739">
        <v>17045</v>
      </c>
      <c r="K69" s="132" t="s">
        <v>621</v>
      </c>
      <c r="L69" s="740">
        <v>0</v>
      </c>
      <c r="M69" s="741">
        <v>102</v>
      </c>
      <c r="N69" s="67">
        <v>221</v>
      </c>
      <c r="O69" s="67">
        <v>17266</v>
      </c>
      <c r="Q69" s="674">
        <v>0</v>
      </c>
      <c r="R69" s="674">
        <v>17266</v>
      </c>
      <c r="S69" s="71">
        <v>169.27450980392157</v>
      </c>
      <c r="T69" s="449"/>
      <c r="U69" s="67">
        <v>17423</v>
      </c>
      <c r="V69" s="163">
        <v>-157</v>
      </c>
      <c r="W69" s="166">
        <v>-9.01107731159961E-3</v>
      </c>
      <c r="X69" s="61"/>
      <c r="Z69" s="67"/>
      <c r="AA69" s="451"/>
      <c r="AB69" s="452"/>
      <c r="AE69" s="36"/>
      <c r="AF69" s="36"/>
      <c r="AG69" s="36"/>
      <c r="AH69" s="19"/>
    </row>
    <row r="70" spans="1:34">
      <c r="A70" s="64" t="s">
        <v>605</v>
      </c>
      <c r="B70" s="63" t="s">
        <v>549</v>
      </c>
      <c r="C70" s="63" t="s">
        <v>550</v>
      </c>
      <c r="D70" s="134">
        <v>319.11</v>
      </c>
      <c r="E70" s="67">
        <v>53325</v>
      </c>
      <c r="F70" s="146">
        <v>0</v>
      </c>
      <c r="G70" s="146">
        <v>0</v>
      </c>
      <c r="H70" s="91">
        <v>53325</v>
      </c>
      <c r="I70" s="67">
        <v>0</v>
      </c>
      <c r="J70" s="739">
        <v>53325</v>
      </c>
      <c r="K70" s="132" t="s">
        <v>621</v>
      </c>
      <c r="L70" s="740">
        <v>0</v>
      </c>
      <c r="M70" s="741">
        <v>319.11</v>
      </c>
      <c r="N70" s="67">
        <v>691</v>
      </c>
      <c r="O70" s="67">
        <v>54016</v>
      </c>
      <c r="Q70" s="674">
        <v>0</v>
      </c>
      <c r="R70" s="674">
        <v>54016</v>
      </c>
      <c r="S70" s="71">
        <v>169.27078436902636</v>
      </c>
      <c r="T70" s="449"/>
      <c r="U70" s="67">
        <v>54509</v>
      </c>
      <c r="V70" s="163">
        <v>-493</v>
      </c>
      <c r="W70" s="166">
        <v>-9.0443779926250717E-3</v>
      </c>
      <c r="X70" s="61"/>
      <c r="Z70" s="67"/>
      <c r="AA70" s="451"/>
      <c r="AB70" s="452"/>
      <c r="AE70" s="36"/>
      <c r="AF70" s="36"/>
      <c r="AG70" s="36"/>
      <c r="AH70" s="19"/>
    </row>
    <row r="71" spans="1:34">
      <c r="A71" s="64" t="s">
        <v>601</v>
      </c>
      <c r="B71" s="63" t="s">
        <v>88</v>
      </c>
      <c r="C71" s="63" t="s">
        <v>89</v>
      </c>
      <c r="D71" s="134">
        <v>944.33</v>
      </c>
      <c r="E71" s="67">
        <v>157803</v>
      </c>
      <c r="F71" s="146">
        <v>0</v>
      </c>
      <c r="G71" s="146">
        <v>0</v>
      </c>
      <c r="H71" s="91">
        <v>157803</v>
      </c>
      <c r="I71" s="67">
        <v>0</v>
      </c>
      <c r="J71" s="739">
        <v>157803</v>
      </c>
      <c r="K71" s="132" t="s">
        <v>621</v>
      </c>
      <c r="L71" s="740">
        <v>0</v>
      </c>
      <c r="M71" s="741">
        <v>944.33</v>
      </c>
      <c r="N71" s="67">
        <v>2044</v>
      </c>
      <c r="O71" s="67">
        <v>159847</v>
      </c>
      <c r="Q71" s="674">
        <v>0</v>
      </c>
      <c r="R71" s="674">
        <v>159847</v>
      </c>
      <c r="S71" s="71">
        <v>169.27027628053753</v>
      </c>
      <c r="T71" s="449"/>
      <c r="U71" s="67">
        <v>161307</v>
      </c>
      <c r="V71" s="163">
        <v>-1460</v>
      </c>
      <c r="W71" s="166">
        <v>-9.051064119969995E-3</v>
      </c>
      <c r="X71" s="61"/>
      <c r="Z71" s="67"/>
      <c r="AA71" s="451"/>
      <c r="AB71" s="452"/>
      <c r="AE71" s="36"/>
      <c r="AF71" s="36"/>
      <c r="AG71" s="36"/>
      <c r="AH71" s="19"/>
    </row>
    <row r="72" spans="1:34">
      <c r="A72" s="64" t="s">
        <v>605</v>
      </c>
      <c r="B72" s="63" t="s">
        <v>222</v>
      </c>
      <c r="C72" s="63" t="s">
        <v>223</v>
      </c>
      <c r="D72" s="134">
        <v>10.89</v>
      </c>
      <c r="E72" s="67">
        <v>1820</v>
      </c>
      <c r="F72" s="146">
        <v>0</v>
      </c>
      <c r="G72" s="146">
        <v>0</v>
      </c>
      <c r="H72" s="91">
        <v>1820</v>
      </c>
      <c r="I72" s="67">
        <v>0</v>
      </c>
      <c r="J72" s="739">
        <v>1820</v>
      </c>
      <c r="K72" s="132" t="s">
        <v>1306</v>
      </c>
      <c r="L72" s="740">
        <v>0</v>
      </c>
      <c r="M72" s="741">
        <v>10.89</v>
      </c>
      <c r="N72" s="67">
        <v>24</v>
      </c>
      <c r="O72" s="67">
        <v>1844</v>
      </c>
      <c r="Q72" s="674">
        <v>0</v>
      </c>
      <c r="R72" s="674">
        <v>1844</v>
      </c>
      <c r="S72" s="71">
        <v>169.32966023875113</v>
      </c>
      <c r="T72" s="449"/>
      <c r="U72" s="67">
        <v>0</v>
      </c>
      <c r="V72" s="163">
        <v>1844</v>
      </c>
      <c r="W72" s="166">
        <v>0</v>
      </c>
      <c r="X72" s="61"/>
      <c r="Z72" s="67"/>
      <c r="AA72" s="451"/>
      <c r="AB72" s="452"/>
      <c r="AE72" s="36"/>
      <c r="AF72" s="36"/>
      <c r="AG72" s="36"/>
      <c r="AH72" s="19"/>
    </row>
    <row r="73" spans="1:34">
      <c r="A73" s="64" t="s">
        <v>597</v>
      </c>
      <c r="B73" s="63" t="s">
        <v>365</v>
      </c>
      <c r="C73" s="63" t="s">
        <v>366</v>
      </c>
      <c r="D73" s="134">
        <v>13.44</v>
      </c>
      <c r="E73" s="67">
        <v>2246</v>
      </c>
      <c r="F73" s="146">
        <v>0</v>
      </c>
      <c r="G73" s="146">
        <v>0</v>
      </c>
      <c r="H73" s="91">
        <v>2246</v>
      </c>
      <c r="I73" s="67">
        <v>0</v>
      </c>
      <c r="J73" s="739">
        <v>2246</v>
      </c>
      <c r="K73" s="132" t="s">
        <v>644</v>
      </c>
      <c r="L73" s="740">
        <v>2246</v>
      </c>
      <c r="M73" s="741">
        <v>0</v>
      </c>
      <c r="N73" s="67">
        <v>0</v>
      </c>
      <c r="O73" s="67">
        <v>0</v>
      </c>
      <c r="Q73" s="674">
        <v>0</v>
      </c>
      <c r="R73" s="674">
        <v>0</v>
      </c>
      <c r="S73" s="71">
        <v>0</v>
      </c>
      <c r="T73" s="449"/>
      <c r="U73" s="67">
        <v>0</v>
      </c>
      <c r="V73" s="163">
        <v>0</v>
      </c>
      <c r="W73" s="166">
        <v>0</v>
      </c>
      <c r="X73" s="61"/>
      <c r="Z73" s="67"/>
      <c r="AA73" s="451"/>
      <c r="AB73" s="452"/>
      <c r="AE73" s="36"/>
      <c r="AF73" s="36"/>
      <c r="AG73" s="36"/>
      <c r="AH73" s="19"/>
    </row>
    <row r="74" spans="1:34">
      <c r="A74" s="64" t="s">
        <v>595</v>
      </c>
      <c r="B74" s="63" t="s">
        <v>401</v>
      </c>
      <c r="C74" s="63" t="s">
        <v>402</v>
      </c>
      <c r="D74" s="134">
        <v>2045</v>
      </c>
      <c r="E74" s="67">
        <v>341732</v>
      </c>
      <c r="F74" s="146">
        <v>0</v>
      </c>
      <c r="G74" s="146">
        <v>0</v>
      </c>
      <c r="H74" s="91">
        <v>341732</v>
      </c>
      <c r="I74" s="67">
        <v>0</v>
      </c>
      <c r="J74" s="739">
        <v>341732</v>
      </c>
      <c r="K74" s="132" t="s">
        <v>621</v>
      </c>
      <c r="L74" s="740">
        <v>0</v>
      </c>
      <c r="M74" s="741">
        <v>2045</v>
      </c>
      <c r="N74" s="67">
        <v>4427</v>
      </c>
      <c r="O74" s="67">
        <v>346159</v>
      </c>
      <c r="Q74" s="674">
        <v>0</v>
      </c>
      <c r="R74" s="674">
        <v>346159</v>
      </c>
      <c r="S74" s="71">
        <v>169.27090464547678</v>
      </c>
      <c r="T74" s="449"/>
      <c r="U74" s="67">
        <v>349318</v>
      </c>
      <c r="V74" s="163">
        <v>-3159</v>
      </c>
      <c r="W74" s="166">
        <v>-9.0433358716126861E-3</v>
      </c>
      <c r="X74" s="61"/>
      <c r="Z74" s="67"/>
      <c r="AA74" s="451"/>
      <c r="AB74" s="452"/>
      <c r="AE74" s="36"/>
      <c r="AF74" s="36"/>
      <c r="AG74" s="36"/>
      <c r="AH74" s="19"/>
    </row>
    <row r="75" spans="1:34">
      <c r="A75" s="64" t="s">
        <v>605</v>
      </c>
      <c r="B75" s="63" t="s">
        <v>226</v>
      </c>
      <c r="C75" s="63" t="s">
        <v>227</v>
      </c>
      <c r="D75" s="134">
        <v>205.22</v>
      </c>
      <c r="E75" s="67">
        <v>34293</v>
      </c>
      <c r="F75" s="146">
        <v>0</v>
      </c>
      <c r="G75" s="146">
        <v>0</v>
      </c>
      <c r="H75" s="91">
        <v>34293</v>
      </c>
      <c r="I75" s="67">
        <v>0</v>
      </c>
      <c r="J75" s="739">
        <v>34293</v>
      </c>
      <c r="K75" s="132" t="s">
        <v>621</v>
      </c>
      <c r="L75" s="740">
        <v>0</v>
      </c>
      <c r="M75" s="741">
        <v>205.22</v>
      </c>
      <c r="N75" s="67">
        <v>444</v>
      </c>
      <c r="O75" s="67">
        <v>34737</v>
      </c>
      <c r="Q75" s="674">
        <v>0</v>
      </c>
      <c r="R75" s="674">
        <v>34737</v>
      </c>
      <c r="S75" s="71">
        <v>169.26712796023779</v>
      </c>
      <c r="T75" s="449"/>
      <c r="U75" s="67">
        <v>35055</v>
      </c>
      <c r="V75" s="163">
        <v>-318</v>
      </c>
      <c r="W75" s="166">
        <v>-9.0714591356439878E-3</v>
      </c>
      <c r="X75" s="61"/>
      <c r="Z75" s="67"/>
      <c r="AA75" s="451"/>
      <c r="AB75" s="452"/>
      <c r="AE75" s="36"/>
      <c r="AF75" s="36"/>
      <c r="AG75" s="36"/>
      <c r="AH75" s="19"/>
    </row>
    <row r="76" spans="1:34">
      <c r="A76" s="64" t="s">
        <v>594</v>
      </c>
      <c r="B76" s="63" t="s">
        <v>141</v>
      </c>
      <c r="C76" s="63" t="s">
        <v>142</v>
      </c>
      <c r="D76" s="134">
        <v>100.78</v>
      </c>
      <c r="E76" s="67">
        <v>16841</v>
      </c>
      <c r="F76" s="146">
        <v>0</v>
      </c>
      <c r="G76" s="146">
        <v>0</v>
      </c>
      <c r="H76" s="91">
        <v>16841</v>
      </c>
      <c r="I76" s="67">
        <v>0</v>
      </c>
      <c r="J76" s="739">
        <v>16841</v>
      </c>
      <c r="K76" s="132" t="s">
        <v>644</v>
      </c>
      <c r="L76" s="740">
        <v>16841</v>
      </c>
      <c r="M76" s="741">
        <v>0</v>
      </c>
      <c r="N76" s="67">
        <v>0</v>
      </c>
      <c r="O76" s="67">
        <v>0</v>
      </c>
      <c r="Q76" s="674">
        <v>0</v>
      </c>
      <c r="R76" s="674">
        <v>0</v>
      </c>
      <c r="S76" s="71">
        <v>0</v>
      </c>
      <c r="T76" s="449"/>
      <c r="U76" s="67">
        <v>0</v>
      </c>
      <c r="V76" s="163">
        <v>0</v>
      </c>
      <c r="W76" s="166">
        <v>0</v>
      </c>
      <c r="X76" s="61"/>
      <c r="Z76" s="67"/>
      <c r="AA76" s="451"/>
      <c r="AB76" s="452"/>
      <c r="AE76" s="36"/>
      <c r="AF76" s="36"/>
      <c r="AG76" s="36"/>
      <c r="AH76" s="19"/>
    </row>
    <row r="77" spans="1:34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739">
        <v>0</v>
      </c>
      <c r="K77" s="132" t="s">
        <v>644</v>
      </c>
      <c r="L77" s="740">
        <v>0</v>
      </c>
      <c r="M77" s="741">
        <v>0</v>
      </c>
      <c r="N77" s="67">
        <v>0</v>
      </c>
      <c r="O77" s="67">
        <v>0</v>
      </c>
      <c r="Q77" s="674">
        <v>0</v>
      </c>
      <c r="R77" s="674">
        <v>0</v>
      </c>
      <c r="S77" s="71">
        <v>0</v>
      </c>
      <c r="T77" s="449"/>
      <c r="U77" s="67">
        <v>0</v>
      </c>
      <c r="V77" s="163">
        <v>0</v>
      </c>
      <c r="W77" s="166">
        <v>0</v>
      </c>
      <c r="X77" s="61"/>
      <c r="Z77" s="67"/>
      <c r="AA77" s="451"/>
      <c r="AB77" s="452"/>
      <c r="AE77" s="36"/>
      <c r="AF77" s="36"/>
      <c r="AG77" s="36"/>
      <c r="AH77" s="19"/>
    </row>
    <row r="78" spans="1:34">
      <c r="A78" s="64" t="s">
        <v>601</v>
      </c>
      <c r="B78" s="63" t="s">
        <v>29</v>
      </c>
      <c r="C78" s="63" t="s">
        <v>30</v>
      </c>
      <c r="D78" s="134">
        <v>45.56</v>
      </c>
      <c r="E78" s="67">
        <v>7613</v>
      </c>
      <c r="F78" s="146">
        <v>0</v>
      </c>
      <c r="G78" s="146">
        <v>0</v>
      </c>
      <c r="H78" s="91">
        <v>7613</v>
      </c>
      <c r="I78" s="67">
        <v>0</v>
      </c>
      <c r="J78" s="739">
        <v>7613</v>
      </c>
      <c r="K78" s="132" t="s">
        <v>1306</v>
      </c>
      <c r="L78" s="740">
        <v>0</v>
      </c>
      <c r="M78" s="741">
        <v>45.56</v>
      </c>
      <c r="N78" s="67">
        <v>99</v>
      </c>
      <c r="O78" s="67">
        <v>7712</v>
      </c>
      <c r="Q78" s="674">
        <v>0</v>
      </c>
      <c r="R78" s="674">
        <v>7712</v>
      </c>
      <c r="S78" s="71">
        <v>169.27129060579455</v>
      </c>
      <c r="T78" s="449"/>
      <c r="U78" s="67">
        <v>7782</v>
      </c>
      <c r="V78" s="163">
        <v>-70</v>
      </c>
      <c r="W78" s="166">
        <v>-8.9951169365201748E-3</v>
      </c>
      <c r="X78" s="61"/>
      <c r="Z78" s="67"/>
      <c r="AA78" s="451"/>
      <c r="AB78" s="452"/>
      <c r="AE78" s="36"/>
      <c r="AF78" s="36"/>
      <c r="AG78" s="36"/>
      <c r="AH78" s="19"/>
    </row>
    <row r="79" spans="1:34">
      <c r="A79" s="64" t="s">
        <v>597</v>
      </c>
      <c r="B79" s="63" t="s">
        <v>177</v>
      </c>
      <c r="C79" s="63" t="s">
        <v>178</v>
      </c>
      <c r="D79" s="134">
        <v>186.56</v>
      </c>
      <c r="E79" s="67">
        <v>31175</v>
      </c>
      <c r="F79" s="146">
        <v>0</v>
      </c>
      <c r="G79" s="146">
        <v>0</v>
      </c>
      <c r="H79" s="91">
        <v>31175</v>
      </c>
      <c r="I79" s="67">
        <v>0</v>
      </c>
      <c r="J79" s="739">
        <v>31175</v>
      </c>
      <c r="K79" s="132" t="s">
        <v>621</v>
      </c>
      <c r="L79" s="740">
        <v>0</v>
      </c>
      <c r="M79" s="741">
        <v>186.56</v>
      </c>
      <c r="N79" s="67">
        <v>404</v>
      </c>
      <c r="O79" s="67">
        <v>31579</v>
      </c>
      <c r="Q79" s="674">
        <v>0</v>
      </c>
      <c r="R79" s="674">
        <v>31579</v>
      </c>
      <c r="S79" s="71">
        <v>169.26993996569468</v>
      </c>
      <c r="T79" s="449"/>
      <c r="U79" s="67">
        <v>31868</v>
      </c>
      <c r="V79" s="163">
        <v>-289</v>
      </c>
      <c r="W79" s="166">
        <v>-9.0686582151374411E-3</v>
      </c>
      <c r="X79" s="61"/>
      <c r="Z79" s="67"/>
      <c r="AA79" s="451"/>
      <c r="AB79" s="452"/>
      <c r="AE79" s="36"/>
      <c r="AF79" s="36"/>
      <c r="AG79" s="36"/>
      <c r="AH79" s="19"/>
    </row>
    <row r="80" spans="1:34">
      <c r="A80" s="64" t="s">
        <v>601</v>
      </c>
      <c r="B80" s="63" t="s">
        <v>127</v>
      </c>
      <c r="C80" s="63" t="s">
        <v>128</v>
      </c>
      <c r="D80" s="134">
        <v>209.56</v>
      </c>
      <c r="E80" s="67">
        <v>35019</v>
      </c>
      <c r="F80" s="146">
        <v>0</v>
      </c>
      <c r="G80" s="146">
        <v>0</v>
      </c>
      <c r="H80" s="91">
        <v>35019</v>
      </c>
      <c r="I80" s="67">
        <v>0</v>
      </c>
      <c r="J80" s="739">
        <v>35019</v>
      </c>
      <c r="K80" s="132" t="s">
        <v>621</v>
      </c>
      <c r="L80" s="740">
        <v>0</v>
      </c>
      <c r="M80" s="741">
        <v>209.56</v>
      </c>
      <c r="N80" s="67">
        <v>454</v>
      </c>
      <c r="O80" s="67">
        <v>35473</v>
      </c>
      <c r="Q80" s="674">
        <v>0</v>
      </c>
      <c r="R80" s="674">
        <v>35473</v>
      </c>
      <c r="S80" s="71">
        <v>169.27371635808359</v>
      </c>
      <c r="T80" s="449"/>
      <c r="U80" s="67">
        <v>35796</v>
      </c>
      <c r="V80" s="163">
        <v>-323</v>
      </c>
      <c r="W80" s="166">
        <v>-9.0233545647558384E-3</v>
      </c>
      <c r="X80" s="61"/>
      <c r="Z80" s="67"/>
      <c r="AA80" s="451"/>
      <c r="AB80" s="452"/>
      <c r="AE80" s="36"/>
      <c r="AF80" s="36"/>
      <c r="AG80" s="36"/>
      <c r="AH80" s="19"/>
    </row>
    <row r="81" spans="1:34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132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>
        <v>0</v>
      </c>
      <c r="S81" s="71">
        <v>0</v>
      </c>
      <c r="T81" s="449"/>
      <c r="U81" s="67">
        <v>0</v>
      </c>
      <c r="V81" s="163">
        <v>0</v>
      </c>
      <c r="W81" s="166">
        <v>0</v>
      </c>
      <c r="X81" s="61"/>
      <c r="Z81" s="67"/>
      <c r="AA81" s="451"/>
      <c r="AB81" s="452"/>
      <c r="AE81" s="36"/>
      <c r="AF81" s="36"/>
      <c r="AG81" s="36"/>
      <c r="AH81" s="19"/>
    </row>
    <row r="82" spans="1:34">
      <c r="A82" s="64" t="s">
        <v>595</v>
      </c>
      <c r="B82" s="63" t="s">
        <v>395</v>
      </c>
      <c r="C82" s="63" t="s">
        <v>396</v>
      </c>
      <c r="D82" s="134">
        <v>1976.11</v>
      </c>
      <c r="E82" s="67">
        <v>330220</v>
      </c>
      <c r="F82" s="146">
        <v>0</v>
      </c>
      <c r="G82" s="146">
        <v>0</v>
      </c>
      <c r="H82" s="91">
        <v>330220</v>
      </c>
      <c r="I82" s="67">
        <v>0</v>
      </c>
      <c r="J82" s="739">
        <v>330220</v>
      </c>
      <c r="K82" s="132" t="s">
        <v>621</v>
      </c>
      <c r="L82" s="740">
        <v>0</v>
      </c>
      <c r="M82" s="741">
        <v>1976.11</v>
      </c>
      <c r="N82" s="67">
        <v>4278</v>
      </c>
      <c r="O82" s="67">
        <v>334498</v>
      </c>
      <c r="Q82" s="674">
        <v>0</v>
      </c>
      <c r="R82" s="674">
        <v>334498</v>
      </c>
      <c r="S82" s="71">
        <v>169.27094139496285</v>
      </c>
      <c r="T82" s="449"/>
      <c r="U82" s="67">
        <v>337551</v>
      </c>
      <c r="V82" s="163">
        <v>-3053</v>
      </c>
      <c r="W82" s="166">
        <v>-9.0445591925368309E-3</v>
      </c>
      <c r="X82" s="61"/>
      <c r="Z82" s="67"/>
      <c r="AA82" s="451"/>
      <c r="AB82" s="452"/>
      <c r="AE82" s="36"/>
      <c r="AF82" s="36"/>
      <c r="AG82" s="36"/>
      <c r="AH82" s="19"/>
    </row>
    <row r="83" spans="1:34">
      <c r="A83" s="64" t="s">
        <v>599</v>
      </c>
      <c r="B83" s="63" t="s">
        <v>58</v>
      </c>
      <c r="C83" s="63" t="s">
        <v>59</v>
      </c>
      <c r="D83" s="134">
        <v>2732.78</v>
      </c>
      <c r="E83" s="67">
        <v>456664</v>
      </c>
      <c r="F83" s="146">
        <v>0</v>
      </c>
      <c r="G83" s="146">
        <v>0</v>
      </c>
      <c r="H83" s="91">
        <v>456664</v>
      </c>
      <c r="I83" s="67">
        <v>0</v>
      </c>
      <c r="J83" s="739">
        <v>456664</v>
      </c>
      <c r="K83" s="132" t="s">
        <v>621</v>
      </c>
      <c r="L83" s="740">
        <v>0</v>
      </c>
      <c r="M83" s="741">
        <v>2732.78</v>
      </c>
      <c r="N83" s="67">
        <v>5916</v>
      </c>
      <c r="O83" s="67">
        <v>462580</v>
      </c>
      <c r="Q83" s="674">
        <v>0</v>
      </c>
      <c r="R83" s="674">
        <v>462580</v>
      </c>
      <c r="S83" s="71">
        <v>169.2708523920696</v>
      </c>
      <c r="T83" s="449"/>
      <c r="U83" s="67">
        <v>466802</v>
      </c>
      <c r="V83" s="163">
        <v>-4222</v>
      </c>
      <c r="W83" s="166">
        <v>-9.0445199463584126E-3</v>
      </c>
      <c r="X83" s="61"/>
      <c r="Z83" s="67"/>
      <c r="AA83" s="451"/>
      <c r="AB83" s="452"/>
      <c r="AE83" s="36"/>
      <c r="AF83" s="36"/>
      <c r="AG83" s="36"/>
      <c r="AH83" s="19"/>
    </row>
    <row r="84" spans="1:34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132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>
        <v>0</v>
      </c>
      <c r="S84" s="71">
        <v>0</v>
      </c>
      <c r="T84" s="449"/>
      <c r="U84" s="67">
        <v>0</v>
      </c>
      <c r="V84" s="163">
        <v>0</v>
      </c>
      <c r="W84" s="166">
        <v>0</v>
      </c>
      <c r="X84" s="61"/>
      <c r="Z84" s="67"/>
      <c r="AA84" s="451"/>
      <c r="AB84" s="452"/>
      <c r="AE84" s="36"/>
      <c r="AF84" s="36"/>
      <c r="AG84" s="36"/>
      <c r="AH84" s="19"/>
    </row>
    <row r="85" spans="1:34">
      <c r="A85" s="64" t="s">
        <v>597</v>
      </c>
      <c r="B85" s="63" t="s">
        <v>175</v>
      </c>
      <c r="C85" s="63" t="s">
        <v>176</v>
      </c>
      <c r="D85" s="134">
        <v>3116.78</v>
      </c>
      <c r="E85" s="67">
        <v>520832</v>
      </c>
      <c r="F85" s="146">
        <v>0</v>
      </c>
      <c r="G85" s="146">
        <v>0</v>
      </c>
      <c r="H85" s="91">
        <v>520832</v>
      </c>
      <c r="I85" s="67">
        <v>0</v>
      </c>
      <c r="J85" s="739">
        <v>520832</v>
      </c>
      <c r="K85" s="132" t="s">
        <v>621</v>
      </c>
      <c r="L85" s="740">
        <v>0</v>
      </c>
      <c r="M85" s="741">
        <v>3116.78</v>
      </c>
      <c r="N85" s="67">
        <v>6748</v>
      </c>
      <c r="O85" s="67">
        <v>527580</v>
      </c>
      <c r="Q85" s="674">
        <v>0</v>
      </c>
      <c r="R85" s="674">
        <v>527580</v>
      </c>
      <c r="S85" s="71">
        <v>169.27085004395562</v>
      </c>
      <c r="T85" s="449"/>
      <c r="U85" s="67">
        <v>532396</v>
      </c>
      <c r="V85" s="163">
        <v>-4816</v>
      </c>
      <c r="W85" s="166">
        <v>-9.0458981660267914E-3</v>
      </c>
      <c r="X85" s="61"/>
      <c r="Z85" s="67"/>
      <c r="AA85" s="451"/>
      <c r="AB85" s="452"/>
      <c r="AE85" s="36"/>
      <c r="AF85" s="36"/>
      <c r="AG85" s="36"/>
      <c r="AH85" s="19"/>
    </row>
    <row r="86" spans="1:34">
      <c r="A86" s="64" t="s">
        <v>595</v>
      </c>
      <c r="B86" s="63" t="s">
        <v>506</v>
      </c>
      <c r="C86" s="63" t="s">
        <v>507</v>
      </c>
      <c r="D86" s="134">
        <v>233.11</v>
      </c>
      <c r="E86" s="67">
        <v>38954</v>
      </c>
      <c r="F86" s="146">
        <v>0</v>
      </c>
      <c r="G86" s="146">
        <v>0</v>
      </c>
      <c r="H86" s="91">
        <v>38954</v>
      </c>
      <c r="I86" s="67">
        <v>0</v>
      </c>
      <c r="J86" s="739">
        <v>38954</v>
      </c>
      <c r="K86" s="132" t="s">
        <v>621</v>
      </c>
      <c r="L86" s="740">
        <v>0</v>
      </c>
      <c r="M86" s="741">
        <v>233.11</v>
      </c>
      <c r="N86" s="67">
        <v>505</v>
      </c>
      <c r="O86" s="67">
        <v>39459</v>
      </c>
      <c r="Q86" s="674">
        <v>0</v>
      </c>
      <c r="R86" s="674">
        <v>39459</v>
      </c>
      <c r="S86" s="71">
        <v>169.27201750246664</v>
      </c>
      <c r="T86" s="449"/>
      <c r="U86" s="67">
        <v>39819</v>
      </c>
      <c r="V86" s="163">
        <v>-360</v>
      </c>
      <c r="W86" s="166">
        <v>-9.0409101182852402E-3</v>
      </c>
      <c r="X86" s="61"/>
      <c r="Z86" s="67"/>
      <c r="AA86" s="451"/>
      <c r="AB86" s="452"/>
      <c r="AE86" s="36"/>
      <c r="AF86" s="36"/>
      <c r="AG86" s="36"/>
      <c r="AH86" s="19"/>
    </row>
    <row r="87" spans="1:34">
      <c r="A87" s="64" t="s">
        <v>597</v>
      </c>
      <c r="B87" s="63" t="s">
        <v>369</v>
      </c>
      <c r="C87" s="63" t="s">
        <v>370</v>
      </c>
      <c r="D87" s="134">
        <v>349.22</v>
      </c>
      <c r="E87" s="67">
        <v>58357</v>
      </c>
      <c r="F87" s="146">
        <v>0</v>
      </c>
      <c r="G87" s="146">
        <v>0</v>
      </c>
      <c r="H87" s="91">
        <v>58357</v>
      </c>
      <c r="I87" s="67">
        <v>0</v>
      </c>
      <c r="J87" s="739">
        <v>58357</v>
      </c>
      <c r="K87" s="132" t="s">
        <v>621</v>
      </c>
      <c r="L87" s="740">
        <v>0</v>
      </c>
      <c r="M87" s="741">
        <v>349.22</v>
      </c>
      <c r="N87" s="67">
        <v>756</v>
      </c>
      <c r="O87" s="67">
        <v>59113</v>
      </c>
      <c r="Q87" s="674">
        <v>0</v>
      </c>
      <c r="R87" s="674">
        <v>59113</v>
      </c>
      <c r="S87" s="71">
        <v>169.27151938606036</v>
      </c>
      <c r="T87" s="449"/>
      <c r="U87" s="67">
        <v>59652</v>
      </c>
      <c r="V87" s="163">
        <v>-539</v>
      </c>
      <c r="W87" s="166">
        <v>-9.0357406289814264E-3</v>
      </c>
      <c r="X87" s="61"/>
      <c r="Z87" s="67"/>
      <c r="AA87" s="451"/>
      <c r="AB87" s="452"/>
      <c r="AE87" s="36"/>
      <c r="AF87" s="36"/>
      <c r="AG87" s="36"/>
      <c r="AH87" s="19"/>
    </row>
    <row r="88" spans="1:34">
      <c r="A88" s="64" t="s">
        <v>596</v>
      </c>
      <c r="B88" s="63" t="s">
        <v>19</v>
      </c>
      <c r="C88" s="63" t="s">
        <v>20</v>
      </c>
      <c r="D88" s="134">
        <v>135</v>
      </c>
      <c r="E88" s="67">
        <v>22559</v>
      </c>
      <c r="F88" s="146">
        <v>0</v>
      </c>
      <c r="G88" s="146">
        <v>0</v>
      </c>
      <c r="H88" s="91">
        <v>22559</v>
      </c>
      <c r="I88" s="67">
        <v>0</v>
      </c>
      <c r="J88" s="739">
        <v>22559</v>
      </c>
      <c r="K88" s="132" t="s">
        <v>621</v>
      </c>
      <c r="L88" s="740">
        <v>0</v>
      </c>
      <c r="M88" s="741">
        <v>135</v>
      </c>
      <c r="N88" s="67">
        <v>292</v>
      </c>
      <c r="O88" s="67">
        <v>22851</v>
      </c>
      <c r="Q88" s="674">
        <v>0</v>
      </c>
      <c r="R88" s="674">
        <v>22851</v>
      </c>
      <c r="S88" s="71">
        <v>169.26666666666668</v>
      </c>
      <c r="T88" s="449"/>
      <c r="U88" s="67">
        <v>23060</v>
      </c>
      <c r="V88" s="163">
        <v>-209</v>
      </c>
      <c r="W88" s="166">
        <v>-9.0633130962705991E-3</v>
      </c>
      <c r="X88" s="61"/>
      <c r="Z88" s="67"/>
      <c r="AA88" s="451"/>
      <c r="AB88" s="452"/>
      <c r="AE88" s="36"/>
      <c r="AF88" s="36"/>
      <c r="AG88" s="36"/>
      <c r="AH88" s="19"/>
    </row>
    <row r="89" spans="1:34">
      <c r="A89" s="64" t="s">
        <v>597</v>
      </c>
      <c r="B89" s="63" t="s">
        <v>361</v>
      </c>
      <c r="C89" s="63" t="s">
        <v>362</v>
      </c>
      <c r="D89" s="134">
        <v>587.22</v>
      </c>
      <c r="E89" s="67">
        <v>98128</v>
      </c>
      <c r="F89" s="146">
        <v>0</v>
      </c>
      <c r="G89" s="146">
        <v>0</v>
      </c>
      <c r="H89" s="91">
        <v>98128</v>
      </c>
      <c r="I89" s="67">
        <v>0</v>
      </c>
      <c r="J89" s="739">
        <v>98128</v>
      </c>
      <c r="K89" s="132" t="s">
        <v>621</v>
      </c>
      <c r="L89" s="740">
        <v>0</v>
      </c>
      <c r="M89" s="741">
        <v>587.22</v>
      </c>
      <c r="N89" s="67">
        <v>1271</v>
      </c>
      <c r="O89" s="67">
        <v>99399</v>
      </c>
      <c r="Q89" s="674">
        <v>0</v>
      </c>
      <c r="R89" s="674">
        <v>99399</v>
      </c>
      <c r="S89" s="71">
        <v>169.27046081536733</v>
      </c>
      <c r="T89" s="449"/>
      <c r="U89" s="67">
        <v>100307</v>
      </c>
      <c r="V89" s="163">
        <v>-908</v>
      </c>
      <c r="W89" s="166">
        <v>-9.0522097161713534E-3</v>
      </c>
      <c r="X89" s="61"/>
      <c r="Z89" s="67"/>
      <c r="AA89" s="451"/>
      <c r="AB89" s="452"/>
      <c r="AE89" s="36"/>
      <c r="AF89" s="36"/>
      <c r="AG89" s="36"/>
      <c r="AH89" s="19"/>
    </row>
    <row r="90" spans="1:34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739">
        <v>0</v>
      </c>
      <c r="K90" s="132" t="s">
        <v>644</v>
      </c>
      <c r="L90" s="740">
        <v>0</v>
      </c>
      <c r="M90" s="741">
        <v>0</v>
      </c>
      <c r="N90" s="67">
        <v>0</v>
      </c>
      <c r="O90" s="67">
        <v>0</v>
      </c>
      <c r="Q90" s="674">
        <v>0</v>
      </c>
      <c r="R90" s="674">
        <v>0</v>
      </c>
      <c r="S90" s="71">
        <v>0</v>
      </c>
      <c r="T90" s="449"/>
      <c r="U90" s="67">
        <v>0</v>
      </c>
      <c r="V90" s="163">
        <v>0</v>
      </c>
      <c r="W90" s="166">
        <v>0</v>
      </c>
      <c r="X90" s="61"/>
      <c r="Z90" s="67"/>
      <c r="AA90" s="451"/>
      <c r="AB90" s="452"/>
      <c r="AE90" s="36"/>
      <c r="AF90" s="36"/>
      <c r="AG90" s="36"/>
      <c r="AH90" s="19"/>
    </row>
    <row r="91" spans="1:34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739">
        <v>0</v>
      </c>
      <c r="K91" s="132" t="s">
        <v>644</v>
      </c>
      <c r="L91" s="740">
        <v>0</v>
      </c>
      <c r="M91" s="741">
        <v>0</v>
      </c>
      <c r="N91" s="67">
        <v>0</v>
      </c>
      <c r="O91" s="67">
        <v>0</v>
      </c>
      <c r="Q91" s="674">
        <v>0</v>
      </c>
      <c r="R91" s="674">
        <v>0</v>
      </c>
      <c r="S91" s="71">
        <v>0</v>
      </c>
      <c r="T91" s="449"/>
      <c r="U91" s="67">
        <v>0</v>
      </c>
      <c r="V91" s="163">
        <v>0</v>
      </c>
      <c r="W91" s="166">
        <v>0</v>
      </c>
      <c r="X91" s="61"/>
      <c r="Z91" s="67"/>
      <c r="AA91" s="451"/>
      <c r="AB91" s="452"/>
      <c r="AE91" s="36"/>
      <c r="AF91" s="36"/>
      <c r="AG91" s="36"/>
      <c r="AH91" s="19"/>
    </row>
    <row r="92" spans="1:34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739">
        <v>0</v>
      </c>
      <c r="K92" s="132" t="s">
        <v>644</v>
      </c>
      <c r="L92" s="740">
        <v>0</v>
      </c>
      <c r="M92" s="741">
        <v>0</v>
      </c>
      <c r="N92" s="67">
        <v>0</v>
      </c>
      <c r="O92" s="67">
        <v>0</v>
      </c>
      <c r="Q92" s="674">
        <v>0</v>
      </c>
      <c r="R92" s="674">
        <v>0</v>
      </c>
      <c r="S92" s="71">
        <v>0</v>
      </c>
      <c r="T92" s="449"/>
      <c r="U92" s="67">
        <v>0</v>
      </c>
      <c r="V92" s="163">
        <v>0</v>
      </c>
      <c r="W92" s="166">
        <v>0</v>
      </c>
      <c r="X92" s="61"/>
      <c r="Z92" s="67"/>
      <c r="AA92" s="451"/>
      <c r="AB92" s="452"/>
      <c r="AE92" s="36"/>
      <c r="AF92" s="36"/>
      <c r="AG92" s="36"/>
      <c r="AH92" s="19"/>
    </row>
    <row r="93" spans="1:34">
      <c r="A93" s="64" t="s">
        <v>605</v>
      </c>
      <c r="B93" s="63" t="s">
        <v>246</v>
      </c>
      <c r="C93" s="63" t="s">
        <v>247</v>
      </c>
      <c r="D93" s="134">
        <v>26.89</v>
      </c>
      <c r="E93" s="67">
        <v>4493</v>
      </c>
      <c r="F93" s="146">
        <v>0</v>
      </c>
      <c r="G93" s="146">
        <v>0</v>
      </c>
      <c r="H93" s="91">
        <v>4493</v>
      </c>
      <c r="I93" s="67">
        <v>0</v>
      </c>
      <c r="J93" s="739">
        <v>4493</v>
      </c>
      <c r="K93" s="132" t="s">
        <v>1306</v>
      </c>
      <c r="L93" s="740">
        <v>0</v>
      </c>
      <c r="M93" s="741">
        <v>26.89</v>
      </c>
      <c r="N93" s="67">
        <v>58</v>
      </c>
      <c r="O93" s="67">
        <v>4551</v>
      </c>
      <c r="Q93" s="674">
        <v>0</v>
      </c>
      <c r="R93" s="674">
        <v>4551</v>
      </c>
      <c r="S93" s="71">
        <v>169.24507251766457</v>
      </c>
      <c r="T93" s="449"/>
      <c r="U93" s="67">
        <v>4593</v>
      </c>
      <c r="V93" s="163">
        <v>-42</v>
      </c>
      <c r="W93" s="166">
        <v>-9.1443500979751791E-3</v>
      </c>
      <c r="X93" s="61"/>
      <c r="Z93" s="67"/>
      <c r="AA93" s="451"/>
      <c r="AB93" s="452"/>
      <c r="AE93" s="36"/>
      <c r="AF93" s="36"/>
      <c r="AG93" s="36"/>
      <c r="AH93" s="19"/>
    </row>
    <row r="94" spans="1:34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132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>
        <v>0</v>
      </c>
      <c r="S94" s="71">
        <v>0</v>
      </c>
      <c r="T94" s="449"/>
      <c r="U94" s="67">
        <v>0</v>
      </c>
      <c r="V94" s="163">
        <v>0</v>
      </c>
      <c r="W94" s="166">
        <v>0</v>
      </c>
      <c r="X94" s="61"/>
      <c r="Z94" s="67"/>
      <c r="AA94" s="451"/>
      <c r="AB94" s="452"/>
      <c r="AE94" s="36"/>
      <c r="AF94" s="36"/>
      <c r="AG94" s="36"/>
      <c r="AH94" s="19"/>
    </row>
    <row r="95" spans="1:34">
      <c r="A95" s="64" t="s">
        <v>605</v>
      </c>
      <c r="B95" s="63" t="s">
        <v>555</v>
      </c>
      <c r="C95" s="63" t="s">
        <v>556</v>
      </c>
      <c r="D95" s="134">
        <v>1104.8900000000001</v>
      </c>
      <c r="E95" s="67">
        <v>184634</v>
      </c>
      <c r="F95" s="146">
        <v>0</v>
      </c>
      <c r="G95" s="146">
        <v>0</v>
      </c>
      <c r="H95" s="91">
        <v>184634</v>
      </c>
      <c r="I95" s="67">
        <v>0</v>
      </c>
      <c r="J95" s="739">
        <v>184634</v>
      </c>
      <c r="K95" s="132" t="s">
        <v>621</v>
      </c>
      <c r="L95" s="740">
        <v>0</v>
      </c>
      <c r="M95" s="741">
        <v>1104.8900000000001</v>
      </c>
      <c r="N95" s="67">
        <v>2392</v>
      </c>
      <c r="O95" s="67">
        <v>187026</v>
      </c>
      <c r="Q95" s="674">
        <v>0</v>
      </c>
      <c r="R95" s="674">
        <v>187026</v>
      </c>
      <c r="S95" s="71">
        <v>169.27114916417017</v>
      </c>
      <c r="T95" s="449"/>
      <c r="U95" s="67">
        <v>188733</v>
      </c>
      <c r="V95" s="163">
        <v>-1707</v>
      </c>
      <c r="W95" s="166">
        <v>-9.044523215335951E-3</v>
      </c>
      <c r="X95" s="61"/>
      <c r="Z95" s="67"/>
      <c r="AA95" s="451"/>
      <c r="AB95" s="452"/>
      <c r="AE95" s="36"/>
      <c r="AF95" s="36"/>
      <c r="AG95" s="36"/>
      <c r="AH95" s="19"/>
    </row>
    <row r="96" spans="1:34">
      <c r="A96" s="64" t="s">
        <v>605</v>
      </c>
      <c r="B96" s="63" t="s">
        <v>563</v>
      </c>
      <c r="C96" s="63" t="s">
        <v>564</v>
      </c>
      <c r="D96" s="134">
        <v>569.78</v>
      </c>
      <c r="E96" s="67">
        <v>95214</v>
      </c>
      <c r="F96" s="146">
        <v>0</v>
      </c>
      <c r="G96" s="146">
        <v>0</v>
      </c>
      <c r="H96" s="91">
        <v>95214</v>
      </c>
      <c r="I96" s="67">
        <v>0</v>
      </c>
      <c r="J96" s="739">
        <v>95214</v>
      </c>
      <c r="K96" s="132" t="s">
        <v>621</v>
      </c>
      <c r="L96" s="740">
        <v>0</v>
      </c>
      <c r="M96" s="741">
        <v>569.78</v>
      </c>
      <c r="N96" s="67">
        <v>1234</v>
      </c>
      <c r="O96" s="67">
        <v>96448</v>
      </c>
      <c r="Q96" s="674">
        <v>0</v>
      </c>
      <c r="R96" s="674">
        <v>96448</v>
      </c>
      <c r="S96" s="71">
        <v>169.27235073186142</v>
      </c>
      <c r="T96" s="449"/>
      <c r="U96" s="67">
        <v>97328</v>
      </c>
      <c r="V96" s="163">
        <v>-880</v>
      </c>
      <c r="W96" s="166">
        <v>-9.0415913200723331E-3</v>
      </c>
      <c r="X96" s="61"/>
      <c r="Z96" s="67"/>
      <c r="AA96" s="451"/>
      <c r="AB96" s="452"/>
      <c r="AE96" s="36"/>
      <c r="AF96" s="36"/>
      <c r="AG96" s="36"/>
      <c r="AH96" s="19"/>
    </row>
    <row r="97" spans="1:34">
      <c r="A97" s="64" t="s">
        <v>595</v>
      </c>
      <c r="B97" s="63" t="s">
        <v>419</v>
      </c>
      <c r="C97" s="63" t="s">
        <v>420</v>
      </c>
      <c r="D97" s="134">
        <v>35.78</v>
      </c>
      <c r="E97" s="67">
        <v>5979</v>
      </c>
      <c r="F97" s="146">
        <v>0</v>
      </c>
      <c r="G97" s="146">
        <v>0</v>
      </c>
      <c r="H97" s="91">
        <v>5979</v>
      </c>
      <c r="I97" s="67">
        <v>0</v>
      </c>
      <c r="J97" s="739">
        <v>5979</v>
      </c>
      <c r="K97" s="132" t="s">
        <v>644</v>
      </c>
      <c r="L97" s="740">
        <v>5979</v>
      </c>
      <c r="M97" s="741">
        <v>0</v>
      </c>
      <c r="N97" s="67">
        <v>0</v>
      </c>
      <c r="O97" s="67">
        <v>0</v>
      </c>
      <c r="Q97" s="674">
        <v>0</v>
      </c>
      <c r="R97" s="674">
        <v>0</v>
      </c>
      <c r="S97" s="71">
        <v>0</v>
      </c>
      <c r="T97" s="449"/>
      <c r="U97" s="67">
        <v>0</v>
      </c>
      <c r="V97" s="163">
        <v>0</v>
      </c>
      <c r="W97" s="166">
        <v>0</v>
      </c>
      <c r="X97" s="61"/>
      <c r="Z97" s="67"/>
      <c r="AA97" s="451"/>
      <c r="AB97" s="452"/>
      <c r="AE97" s="36"/>
      <c r="AF97" s="36"/>
      <c r="AG97" s="36"/>
      <c r="AH97" s="19"/>
    </row>
    <row r="98" spans="1:34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739">
        <v>0</v>
      </c>
      <c r="K98" s="132" t="s">
        <v>644</v>
      </c>
      <c r="L98" s="740">
        <v>0</v>
      </c>
      <c r="M98" s="741">
        <v>0</v>
      </c>
      <c r="N98" s="67">
        <v>0</v>
      </c>
      <c r="O98" s="67">
        <v>0</v>
      </c>
      <c r="Q98" s="674">
        <v>0</v>
      </c>
      <c r="R98" s="674">
        <v>0</v>
      </c>
      <c r="S98" s="71">
        <v>0</v>
      </c>
      <c r="T98" s="449"/>
      <c r="U98" s="67">
        <v>0</v>
      </c>
      <c r="V98" s="163">
        <v>0</v>
      </c>
      <c r="W98" s="166">
        <v>0</v>
      </c>
      <c r="X98" s="61"/>
      <c r="Z98" s="67"/>
      <c r="AA98" s="451"/>
      <c r="AB98" s="452"/>
      <c r="AE98" s="36"/>
      <c r="AF98" s="36"/>
      <c r="AG98" s="36"/>
      <c r="AH98" s="19"/>
    </row>
    <row r="99" spans="1:34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739">
        <v>0</v>
      </c>
      <c r="K99" s="132" t="s">
        <v>644</v>
      </c>
      <c r="L99" s="740">
        <v>0</v>
      </c>
      <c r="M99" s="741">
        <v>0</v>
      </c>
      <c r="N99" s="67">
        <v>0</v>
      </c>
      <c r="O99" s="67">
        <v>0</v>
      </c>
      <c r="Q99" s="674">
        <v>0</v>
      </c>
      <c r="R99" s="674">
        <v>0</v>
      </c>
      <c r="S99" s="71">
        <v>0</v>
      </c>
      <c r="T99" s="449"/>
      <c r="U99" s="67">
        <v>0</v>
      </c>
      <c r="V99" s="163">
        <v>0</v>
      </c>
      <c r="W99" s="166">
        <v>0</v>
      </c>
      <c r="X99" s="61"/>
      <c r="Z99" s="67"/>
      <c r="AA99" s="451"/>
      <c r="AB99" s="452"/>
      <c r="AE99" s="36"/>
      <c r="AF99" s="36"/>
      <c r="AG99" s="36"/>
      <c r="AH99" s="19"/>
    </row>
    <row r="100" spans="1:34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739">
        <v>0</v>
      </c>
      <c r="K100" s="132" t="s">
        <v>644</v>
      </c>
      <c r="L100" s="740">
        <v>0</v>
      </c>
      <c r="M100" s="741">
        <v>0</v>
      </c>
      <c r="N100" s="67">
        <v>0</v>
      </c>
      <c r="O100" s="67">
        <v>0</v>
      </c>
      <c r="Q100" s="674">
        <v>0</v>
      </c>
      <c r="R100" s="674">
        <v>0</v>
      </c>
      <c r="S100" s="71">
        <v>0</v>
      </c>
      <c r="T100" s="449"/>
      <c r="U100" s="67">
        <v>0</v>
      </c>
      <c r="V100" s="163">
        <v>0</v>
      </c>
      <c r="W100" s="166">
        <v>0</v>
      </c>
      <c r="X100" s="61"/>
      <c r="Z100" s="67"/>
      <c r="AA100" s="451"/>
      <c r="AB100" s="452"/>
      <c r="AE100" s="36"/>
      <c r="AF100" s="36"/>
      <c r="AG100" s="36"/>
      <c r="AH100" s="19"/>
    </row>
    <row r="101" spans="1:34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739">
        <v>0</v>
      </c>
      <c r="K101" s="132" t="s">
        <v>644</v>
      </c>
      <c r="L101" s="740">
        <v>0</v>
      </c>
      <c r="M101" s="741">
        <v>0</v>
      </c>
      <c r="N101" s="67">
        <v>0</v>
      </c>
      <c r="O101" s="67">
        <v>0</v>
      </c>
      <c r="Q101" s="674">
        <v>0</v>
      </c>
      <c r="R101" s="674">
        <v>0</v>
      </c>
      <c r="S101" s="71">
        <v>0</v>
      </c>
      <c r="T101" s="449"/>
      <c r="U101" s="67">
        <v>0</v>
      </c>
      <c r="V101" s="163">
        <v>0</v>
      </c>
      <c r="W101" s="166">
        <v>0</v>
      </c>
      <c r="X101" s="61"/>
      <c r="Z101" s="67"/>
      <c r="AA101" s="451"/>
      <c r="AB101" s="452"/>
      <c r="AE101" s="36"/>
      <c r="AF101" s="36"/>
      <c r="AG101" s="36"/>
      <c r="AH101" s="19"/>
    </row>
    <row r="102" spans="1:34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739">
        <v>0</v>
      </c>
      <c r="K102" s="132" t="s">
        <v>644</v>
      </c>
      <c r="L102" s="740">
        <v>0</v>
      </c>
      <c r="M102" s="741">
        <v>0</v>
      </c>
      <c r="N102" s="67">
        <v>0</v>
      </c>
      <c r="O102" s="67">
        <v>0</v>
      </c>
      <c r="Q102" s="674">
        <v>0</v>
      </c>
      <c r="R102" s="674">
        <v>0</v>
      </c>
      <c r="S102" s="71">
        <v>0</v>
      </c>
      <c r="T102" s="449"/>
      <c r="U102" s="67">
        <v>0</v>
      </c>
      <c r="V102" s="163">
        <v>0</v>
      </c>
      <c r="W102" s="166">
        <v>0</v>
      </c>
      <c r="X102" s="61"/>
      <c r="Z102" s="67"/>
      <c r="AA102" s="451"/>
      <c r="AB102" s="452"/>
      <c r="AE102" s="36"/>
      <c r="AF102" s="36"/>
      <c r="AG102" s="36"/>
      <c r="AH102" s="19"/>
    </row>
    <row r="103" spans="1:34">
      <c r="A103" s="64" t="s">
        <v>605</v>
      </c>
      <c r="B103" s="63" t="s">
        <v>561</v>
      </c>
      <c r="C103" s="63" t="s">
        <v>562</v>
      </c>
      <c r="D103" s="134">
        <v>274.44</v>
      </c>
      <c r="E103" s="67">
        <v>45861</v>
      </c>
      <c r="F103" s="146">
        <v>0</v>
      </c>
      <c r="G103" s="146">
        <v>0</v>
      </c>
      <c r="H103" s="91">
        <v>45861</v>
      </c>
      <c r="I103" s="67">
        <v>0</v>
      </c>
      <c r="J103" s="739">
        <v>45861</v>
      </c>
      <c r="K103" s="132" t="s">
        <v>621</v>
      </c>
      <c r="L103" s="740">
        <v>0</v>
      </c>
      <c r="M103" s="741">
        <v>274.44</v>
      </c>
      <c r="N103" s="67">
        <v>594</v>
      </c>
      <c r="O103" s="67">
        <v>46455</v>
      </c>
      <c r="Q103" s="674">
        <v>0</v>
      </c>
      <c r="R103" s="674">
        <v>46455</v>
      </c>
      <c r="S103" s="71">
        <v>169.27197201574114</v>
      </c>
      <c r="T103" s="449"/>
      <c r="U103" s="67">
        <v>46878</v>
      </c>
      <c r="V103" s="163">
        <v>-423</v>
      </c>
      <c r="W103" s="166">
        <v>-9.0234225009599382E-3</v>
      </c>
      <c r="X103" s="61"/>
      <c r="Z103" s="67"/>
      <c r="AA103" s="451"/>
      <c r="AB103" s="452"/>
      <c r="AE103" s="36"/>
      <c r="AF103" s="36"/>
      <c r="AG103" s="36"/>
      <c r="AH103" s="19"/>
    </row>
    <row r="104" spans="1:34">
      <c r="A104" s="64" t="s">
        <v>597</v>
      </c>
      <c r="B104" s="63" t="s">
        <v>181</v>
      </c>
      <c r="C104" s="63" t="s">
        <v>182</v>
      </c>
      <c r="D104" s="134">
        <v>4166</v>
      </c>
      <c r="E104" s="67">
        <v>696163</v>
      </c>
      <c r="F104" s="146">
        <v>0</v>
      </c>
      <c r="G104" s="146">
        <v>0</v>
      </c>
      <c r="H104" s="91">
        <v>696163</v>
      </c>
      <c r="I104" s="67">
        <v>0</v>
      </c>
      <c r="J104" s="739">
        <v>696163</v>
      </c>
      <c r="K104" s="132" t="s">
        <v>621</v>
      </c>
      <c r="L104" s="740">
        <v>0</v>
      </c>
      <c r="M104" s="741">
        <v>4166</v>
      </c>
      <c r="N104" s="67">
        <v>9019</v>
      </c>
      <c r="O104" s="67">
        <v>705182</v>
      </c>
      <c r="Q104" s="674">
        <v>0</v>
      </c>
      <c r="R104" s="674">
        <v>705182</v>
      </c>
      <c r="S104" s="71">
        <v>169.27076332213153</v>
      </c>
      <c r="T104" s="449"/>
      <c r="U104" s="67">
        <v>711619</v>
      </c>
      <c r="V104" s="163">
        <v>-6437</v>
      </c>
      <c r="W104" s="166">
        <v>-9.0455707337774843E-3</v>
      </c>
      <c r="X104" s="61"/>
      <c r="Z104" s="67"/>
      <c r="AA104" s="451"/>
      <c r="AB104" s="452"/>
      <c r="AE104" s="36"/>
      <c r="AF104" s="36"/>
      <c r="AG104" s="36"/>
      <c r="AH104" s="19"/>
    </row>
    <row r="105" spans="1:34">
      <c r="A105" s="64" t="s">
        <v>599</v>
      </c>
      <c r="B105" s="63" t="s">
        <v>51</v>
      </c>
      <c r="C105" s="63" t="s">
        <v>52</v>
      </c>
      <c r="D105" s="134">
        <v>13.33</v>
      </c>
      <c r="E105" s="67">
        <v>2228</v>
      </c>
      <c r="F105" s="146">
        <v>0</v>
      </c>
      <c r="G105" s="146">
        <v>0</v>
      </c>
      <c r="H105" s="91">
        <v>2228</v>
      </c>
      <c r="I105" s="67">
        <v>0</v>
      </c>
      <c r="J105" s="739">
        <v>2228</v>
      </c>
      <c r="K105" s="132" t="s">
        <v>1306</v>
      </c>
      <c r="L105" s="740">
        <v>0</v>
      </c>
      <c r="M105" s="741">
        <v>13.33</v>
      </c>
      <c r="N105" s="67">
        <v>29</v>
      </c>
      <c r="O105" s="67">
        <v>2257</v>
      </c>
      <c r="Q105" s="674">
        <v>0</v>
      </c>
      <c r="R105" s="674">
        <v>2257</v>
      </c>
      <c r="S105" s="71">
        <v>169.31732933233309</v>
      </c>
      <c r="T105" s="449"/>
      <c r="U105" s="67">
        <v>2276</v>
      </c>
      <c r="V105" s="163">
        <v>-19</v>
      </c>
      <c r="W105" s="166">
        <v>-8.347978910369069E-3</v>
      </c>
      <c r="X105" s="61"/>
      <c r="Z105" s="67"/>
      <c r="AA105" s="451"/>
      <c r="AB105" s="452"/>
      <c r="AE105" s="36"/>
      <c r="AF105" s="36"/>
      <c r="AG105" s="36"/>
      <c r="AH105" s="19"/>
    </row>
    <row r="106" spans="1:34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132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>
        <v>0</v>
      </c>
      <c r="S106" s="71">
        <v>0</v>
      </c>
      <c r="T106" s="449"/>
      <c r="U106" s="67">
        <v>0</v>
      </c>
      <c r="V106" s="163">
        <v>0</v>
      </c>
      <c r="W106" s="166">
        <v>0</v>
      </c>
      <c r="X106" s="61"/>
      <c r="Z106" s="67"/>
      <c r="AA106" s="451"/>
      <c r="AB106" s="452"/>
      <c r="AE106" s="36"/>
      <c r="AF106" s="36"/>
      <c r="AG106" s="36"/>
      <c r="AH106" s="19"/>
    </row>
    <row r="107" spans="1:34">
      <c r="A107" s="64" t="s">
        <v>594</v>
      </c>
      <c r="B107" s="63" t="s">
        <v>134</v>
      </c>
      <c r="C107" s="63" t="s">
        <v>135</v>
      </c>
      <c r="D107" s="134">
        <v>42.44</v>
      </c>
      <c r="E107" s="67">
        <v>7092</v>
      </c>
      <c r="F107" s="146">
        <v>0</v>
      </c>
      <c r="G107" s="146">
        <v>0</v>
      </c>
      <c r="H107" s="91">
        <v>7092</v>
      </c>
      <c r="I107" s="67">
        <v>0</v>
      </c>
      <c r="J107" s="739">
        <v>7092</v>
      </c>
      <c r="K107" s="132" t="s">
        <v>644</v>
      </c>
      <c r="L107" s="740">
        <v>7092</v>
      </c>
      <c r="M107" s="741">
        <v>0</v>
      </c>
      <c r="N107" s="67">
        <v>0</v>
      </c>
      <c r="O107" s="67">
        <v>0</v>
      </c>
      <c r="Q107" s="674">
        <v>0</v>
      </c>
      <c r="R107" s="674">
        <v>0</v>
      </c>
      <c r="S107" s="71">
        <v>0</v>
      </c>
      <c r="T107" s="449"/>
      <c r="U107" s="67">
        <v>0</v>
      </c>
      <c r="V107" s="163">
        <v>0</v>
      </c>
      <c r="W107" s="166">
        <v>0</v>
      </c>
      <c r="X107" s="61"/>
      <c r="Z107" s="67"/>
      <c r="AA107" s="451"/>
      <c r="AB107" s="452"/>
      <c r="AE107" s="36"/>
      <c r="AF107" s="36"/>
      <c r="AG107" s="36"/>
      <c r="AH107" s="19"/>
    </row>
    <row r="108" spans="1:34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132" t="s">
        <v>644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>
        <v>0</v>
      </c>
      <c r="S108" s="71">
        <v>0</v>
      </c>
      <c r="T108" s="449"/>
      <c r="U108" s="67">
        <v>0</v>
      </c>
      <c r="V108" s="163">
        <v>0</v>
      </c>
      <c r="W108" s="166">
        <v>0</v>
      </c>
      <c r="X108" s="61"/>
      <c r="Z108" s="67"/>
      <c r="AA108" s="451"/>
      <c r="AB108" s="452"/>
      <c r="AE108" s="36"/>
      <c r="AF108" s="36"/>
      <c r="AG108" s="36"/>
      <c r="AH108" s="19"/>
    </row>
    <row r="109" spans="1:34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739">
        <v>0</v>
      </c>
      <c r="K109" s="132" t="s">
        <v>644</v>
      </c>
      <c r="L109" s="740">
        <v>0</v>
      </c>
      <c r="M109" s="741">
        <v>0</v>
      </c>
      <c r="N109" s="67">
        <v>0</v>
      </c>
      <c r="O109" s="67">
        <v>0</v>
      </c>
      <c r="Q109" s="674">
        <v>0</v>
      </c>
      <c r="R109" s="674">
        <v>0</v>
      </c>
      <c r="S109" s="71">
        <v>0</v>
      </c>
      <c r="T109" s="449"/>
      <c r="U109" s="67">
        <v>0</v>
      </c>
      <c r="V109" s="163">
        <v>0</v>
      </c>
      <c r="W109" s="166">
        <v>0</v>
      </c>
      <c r="X109" s="61"/>
      <c r="Z109" s="67"/>
      <c r="AA109" s="451"/>
      <c r="AB109" s="452"/>
      <c r="AE109" s="36"/>
      <c r="AF109" s="36"/>
      <c r="AG109" s="36"/>
      <c r="AH109" s="19"/>
    </row>
    <row r="110" spans="1:34">
      <c r="A110" s="64" t="s">
        <v>597</v>
      </c>
      <c r="B110" s="63" t="s">
        <v>201</v>
      </c>
      <c r="C110" s="63" t="s">
        <v>202</v>
      </c>
      <c r="D110" s="134">
        <v>774.56</v>
      </c>
      <c r="E110" s="67">
        <v>129434</v>
      </c>
      <c r="F110" s="146">
        <v>0</v>
      </c>
      <c r="G110" s="146">
        <v>0</v>
      </c>
      <c r="H110" s="91">
        <v>129434</v>
      </c>
      <c r="I110" s="67">
        <v>0</v>
      </c>
      <c r="J110" s="739">
        <v>129434</v>
      </c>
      <c r="K110" s="132" t="s">
        <v>621</v>
      </c>
      <c r="L110" s="740">
        <v>0</v>
      </c>
      <c r="M110" s="741">
        <v>774.56</v>
      </c>
      <c r="N110" s="67">
        <v>1677</v>
      </c>
      <c r="O110" s="67">
        <v>131111</v>
      </c>
      <c r="Q110" s="674">
        <v>0</v>
      </c>
      <c r="R110" s="674">
        <v>131111</v>
      </c>
      <c r="S110" s="71">
        <v>169.27158644908079</v>
      </c>
      <c r="T110" s="449"/>
      <c r="U110" s="67">
        <v>132307</v>
      </c>
      <c r="V110" s="163">
        <v>-1196</v>
      </c>
      <c r="W110" s="166">
        <v>-9.0395821838602647E-3</v>
      </c>
      <c r="X110" s="61"/>
      <c r="Z110" s="67"/>
      <c r="AA110" s="451"/>
      <c r="AB110" s="452"/>
      <c r="AE110" s="36"/>
      <c r="AF110" s="36"/>
      <c r="AG110" s="36"/>
      <c r="AH110" s="19"/>
    </row>
    <row r="111" spans="1:34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739">
        <v>0</v>
      </c>
      <c r="K111" s="132" t="s">
        <v>644</v>
      </c>
      <c r="L111" s="740">
        <v>0</v>
      </c>
      <c r="M111" s="741">
        <v>0</v>
      </c>
      <c r="N111" s="67">
        <v>0</v>
      </c>
      <c r="O111" s="67">
        <v>0</v>
      </c>
      <c r="Q111" s="674">
        <v>0</v>
      </c>
      <c r="R111" s="674">
        <v>0</v>
      </c>
      <c r="S111" s="71">
        <v>0</v>
      </c>
      <c r="T111" s="449"/>
      <c r="U111" s="67">
        <v>0</v>
      </c>
      <c r="V111" s="163">
        <v>0</v>
      </c>
      <c r="W111" s="166">
        <v>0</v>
      </c>
      <c r="X111" s="61"/>
      <c r="Z111" s="67"/>
      <c r="AA111" s="451"/>
      <c r="AB111" s="452"/>
      <c r="AE111" s="36"/>
      <c r="AF111" s="36"/>
      <c r="AG111" s="36"/>
      <c r="AH111" s="19"/>
    </row>
    <row r="112" spans="1:34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132" t="s">
        <v>644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>
        <v>0</v>
      </c>
      <c r="S112" s="71">
        <v>0</v>
      </c>
      <c r="T112" s="449"/>
      <c r="U112" s="67">
        <v>0</v>
      </c>
      <c r="V112" s="163">
        <v>0</v>
      </c>
      <c r="W112" s="166">
        <v>0</v>
      </c>
      <c r="X112" s="61"/>
      <c r="Z112" s="67"/>
      <c r="AA112" s="451"/>
      <c r="AB112" s="452"/>
      <c r="AE112" s="36"/>
      <c r="AF112" s="36"/>
      <c r="AG112" s="36"/>
      <c r="AH112" s="19"/>
    </row>
    <row r="113" spans="1:34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739">
        <v>0</v>
      </c>
      <c r="K113" s="132" t="s">
        <v>644</v>
      </c>
      <c r="L113" s="740">
        <v>0</v>
      </c>
      <c r="M113" s="741">
        <v>0</v>
      </c>
      <c r="N113" s="67">
        <v>0</v>
      </c>
      <c r="O113" s="67">
        <v>0</v>
      </c>
      <c r="Q113" s="674">
        <v>0</v>
      </c>
      <c r="R113" s="674">
        <v>0</v>
      </c>
      <c r="S113" s="71">
        <v>0</v>
      </c>
      <c r="T113" s="449"/>
      <c r="U113" s="67">
        <v>0</v>
      </c>
      <c r="V113" s="163">
        <v>0</v>
      </c>
      <c r="W113" s="166">
        <v>0</v>
      </c>
      <c r="X113" s="61"/>
      <c r="Z113" s="67"/>
      <c r="AA113" s="451"/>
      <c r="AB113" s="452"/>
      <c r="AE113" s="36"/>
      <c r="AF113" s="36"/>
      <c r="AG113" s="36"/>
      <c r="AH113" s="19"/>
    </row>
    <row r="114" spans="1:34">
      <c r="A114" s="64" t="s">
        <v>599</v>
      </c>
      <c r="B114" s="63" t="s">
        <v>80</v>
      </c>
      <c r="C114" s="63" t="s">
        <v>81</v>
      </c>
      <c r="D114" s="134">
        <v>223.11</v>
      </c>
      <c r="E114" s="67">
        <v>37283</v>
      </c>
      <c r="F114" s="146">
        <v>0</v>
      </c>
      <c r="G114" s="146">
        <v>0</v>
      </c>
      <c r="H114" s="91">
        <v>37283</v>
      </c>
      <c r="I114" s="67">
        <v>0</v>
      </c>
      <c r="J114" s="739">
        <v>37283</v>
      </c>
      <c r="K114" s="132" t="s">
        <v>621</v>
      </c>
      <c r="L114" s="740">
        <v>0</v>
      </c>
      <c r="M114" s="741">
        <v>223.11</v>
      </c>
      <c r="N114" s="67">
        <v>483</v>
      </c>
      <c r="O114" s="67">
        <v>37766</v>
      </c>
      <c r="Q114" s="674">
        <v>0</v>
      </c>
      <c r="R114" s="674">
        <v>37766</v>
      </c>
      <c r="S114" s="71">
        <v>169.27076330061405</v>
      </c>
      <c r="T114" s="449"/>
      <c r="U114" s="67">
        <v>38111</v>
      </c>
      <c r="V114" s="163">
        <v>-345</v>
      </c>
      <c r="W114" s="166">
        <v>-9.0525045262522634E-3</v>
      </c>
      <c r="X114" s="61"/>
      <c r="Z114" s="67"/>
      <c r="AA114" s="451"/>
      <c r="AB114" s="452"/>
      <c r="AE114" s="36"/>
      <c r="AF114" s="36"/>
      <c r="AG114" s="36"/>
      <c r="AH114" s="19"/>
    </row>
    <row r="115" spans="1:34">
      <c r="A115" s="64" t="s">
        <v>596</v>
      </c>
      <c r="B115" s="63" t="s">
        <v>14</v>
      </c>
      <c r="C115" s="63" t="s">
        <v>15</v>
      </c>
      <c r="D115" s="134">
        <v>2104.2199999999998</v>
      </c>
      <c r="E115" s="67">
        <v>351628</v>
      </c>
      <c r="F115" s="146">
        <v>0</v>
      </c>
      <c r="G115" s="146">
        <v>0</v>
      </c>
      <c r="H115" s="91">
        <v>351628</v>
      </c>
      <c r="I115" s="67">
        <v>0</v>
      </c>
      <c r="J115" s="739">
        <v>351628</v>
      </c>
      <c r="K115" s="132" t="s">
        <v>621</v>
      </c>
      <c r="L115" s="740">
        <v>0</v>
      </c>
      <c r="M115" s="741">
        <v>2104.2199999999998</v>
      </c>
      <c r="N115" s="67">
        <v>4555</v>
      </c>
      <c r="O115" s="67">
        <v>356183</v>
      </c>
      <c r="Q115" s="674">
        <v>0</v>
      </c>
      <c r="R115" s="674">
        <v>356183</v>
      </c>
      <c r="S115" s="71">
        <v>169.27079868074634</v>
      </c>
      <c r="T115" s="449"/>
      <c r="U115" s="67">
        <v>359434</v>
      </c>
      <c r="V115" s="163">
        <v>-3251</v>
      </c>
      <c r="W115" s="166">
        <v>-9.0447759533043622E-3</v>
      </c>
      <c r="X115" s="61"/>
      <c r="Z115" s="67"/>
      <c r="AA115" s="451"/>
      <c r="AB115" s="452"/>
      <c r="AE115" s="36"/>
      <c r="AF115" s="36"/>
      <c r="AG115" s="36"/>
      <c r="AH115" s="19"/>
    </row>
    <row r="116" spans="1:34">
      <c r="A116" s="64" t="s">
        <v>597</v>
      </c>
      <c r="B116" s="63" t="s">
        <v>207</v>
      </c>
      <c r="C116" s="63" t="s">
        <v>208</v>
      </c>
      <c r="D116" s="134">
        <v>4544.4399999999996</v>
      </c>
      <c r="E116" s="67">
        <v>759403</v>
      </c>
      <c r="F116" s="146">
        <v>0</v>
      </c>
      <c r="G116" s="146">
        <v>0</v>
      </c>
      <c r="H116" s="91">
        <v>759403</v>
      </c>
      <c r="I116" s="67">
        <v>0</v>
      </c>
      <c r="J116" s="739">
        <v>759403</v>
      </c>
      <c r="K116" s="132" t="s">
        <v>621</v>
      </c>
      <c r="L116" s="740">
        <v>0</v>
      </c>
      <c r="M116" s="741">
        <v>4544.4399999999996</v>
      </c>
      <c r="N116" s="67">
        <v>9838</v>
      </c>
      <c r="O116" s="67">
        <v>769241</v>
      </c>
      <c r="Q116" s="674">
        <v>0</v>
      </c>
      <c r="R116" s="674">
        <v>769241</v>
      </c>
      <c r="S116" s="71">
        <v>169.27080124283742</v>
      </c>
      <c r="T116" s="449"/>
      <c r="U116" s="67">
        <v>776263</v>
      </c>
      <c r="V116" s="163">
        <v>-7022</v>
      </c>
      <c r="W116" s="166">
        <v>-9.045903257014697E-3</v>
      </c>
      <c r="X116" s="61"/>
      <c r="Z116" s="67"/>
      <c r="AA116" s="451"/>
      <c r="AB116" s="452"/>
      <c r="AE116" s="36"/>
      <c r="AF116" s="36"/>
      <c r="AG116" s="36"/>
      <c r="AH116" s="19"/>
    </row>
    <row r="117" spans="1:34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132" t="s">
        <v>644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>
        <v>0</v>
      </c>
      <c r="S117" s="71">
        <v>0</v>
      </c>
      <c r="T117" s="449"/>
      <c r="U117" s="67">
        <v>0</v>
      </c>
      <c r="V117" s="163">
        <v>0</v>
      </c>
      <c r="W117" s="166">
        <v>0</v>
      </c>
      <c r="X117" s="61"/>
      <c r="Z117" s="67"/>
      <c r="AA117" s="451"/>
      <c r="AB117" s="452"/>
      <c r="AE117" s="36"/>
      <c r="AF117" s="36"/>
      <c r="AG117" s="36"/>
      <c r="AH117" s="19"/>
    </row>
    <row r="118" spans="1:34">
      <c r="A118" s="64" t="s">
        <v>596</v>
      </c>
      <c r="B118" s="63" t="s">
        <v>18</v>
      </c>
      <c r="C118" s="63" t="s">
        <v>608</v>
      </c>
      <c r="D118" s="134">
        <v>249.67</v>
      </c>
      <c r="E118" s="67">
        <v>41721</v>
      </c>
      <c r="F118" s="146">
        <v>0</v>
      </c>
      <c r="G118" s="146">
        <v>0</v>
      </c>
      <c r="H118" s="91">
        <v>41721</v>
      </c>
      <c r="I118" s="67">
        <v>0</v>
      </c>
      <c r="J118" s="739">
        <v>41721</v>
      </c>
      <c r="K118" s="132" t="s">
        <v>621</v>
      </c>
      <c r="L118" s="740">
        <v>0</v>
      </c>
      <c r="M118" s="741">
        <v>249.67</v>
      </c>
      <c r="N118" s="67">
        <v>541</v>
      </c>
      <c r="O118" s="67">
        <v>42262</v>
      </c>
      <c r="Q118" s="674">
        <v>0</v>
      </c>
      <c r="R118" s="674">
        <v>42262</v>
      </c>
      <c r="S118" s="71">
        <v>169.2714382985541</v>
      </c>
      <c r="T118" s="449"/>
      <c r="U118" s="67">
        <v>42648</v>
      </c>
      <c r="V118" s="163">
        <v>-386</v>
      </c>
      <c r="W118" s="166">
        <v>-9.0508347401988369E-3</v>
      </c>
      <c r="X118" s="61"/>
      <c r="Z118" s="67"/>
      <c r="AA118" s="451"/>
      <c r="AB118" s="452"/>
      <c r="AE118" s="36"/>
      <c r="AF118" s="36"/>
      <c r="AG118" s="36"/>
      <c r="AH118" s="19"/>
    </row>
    <row r="119" spans="1:34">
      <c r="A119" s="64" t="s">
        <v>605</v>
      </c>
      <c r="B119" s="63" t="s">
        <v>228</v>
      </c>
      <c r="C119" s="63" t="s">
        <v>229</v>
      </c>
      <c r="D119" s="134">
        <v>49.56</v>
      </c>
      <c r="E119" s="67">
        <v>8282</v>
      </c>
      <c r="F119" s="146">
        <v>0</v>
      </c>
      <c r="G119" s="146">
        <v>0</v>
      </c>
      <c r="H119" s="91">
        <v>8282</v>
      </c>
      <c r="I119" s="67">
        <v>0</v>
      </c>
      <c r="J119" s="739">
        <v>8282</v>
      </c>
      <c r="K119" s="132" t="s">
        <v>1306</v>
      </c>
      <c r="L119" s="740">
        <v>0</v>
      </c>
      <c r="M119" s="741">
        <v>49.56</v>
      </c>
      <c r="N119" s="67">
        <v>107</v>
      </c>
      <c r="O119" s="67">
        <v>8389</v>
      </c>
      <c r="Q119" s="674">
        <v>0</v>
      </c>
      <c r="R119" s="674">
        <v>8389</v>
      </c>
      <c r="S119" s="71">
        <v>169.26957223567393</v>
      </c>
      <c r="T119" s="449"/>
      <c r="U119" s="67">
        <v>8465</v>
      </c>
      <c r="V119" s="163">
        <v>-76</v>
      </c>
      <c r="W119" s="166">
        <v>-8.9781453041937395E-3</v>
      </c>
      <c r="X119" s="61"/>
      <c r="Z119" s="67"/>
      <c r="AA119" s="451"/>
      <c r="AB119" s="452"/>
      <c r="AE119" s="36"/>
      <c r="AF119" s="36"/>
      <c r="AG119" s="36"/>
      <c r="AH119" s="19"/>
    </row>
    <row r="120" spans="1:34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132" t="s">
        <v>644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>
        <v>0</v>
      </c>
      <c r="S120" s="71">
        <v>0</v>
      </c>
      <c r="T120" s="449"/>
      <c r="U120" s="67">
        <v>0</v>
      </c>
      <c r="V120" s="163">
        <v>0</v>
      </c>
      <c r="W120" s="166">
        <v>0</v>
      </c>
      <c r="X120" s="61"/>
      <c r="Z120" s="67"/>
      <c r="AA120" s="451"/>
      <c r="AB120" s="452"/>
      <c r="AE120" s="36"/>
      <c r="AF120" s="36"/>
      <c r="AG120" s="36"/>
      <c r="AH120" s="19"/>
    </row>
    <row r="121" spans="1:34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132" t="s">
        <v>644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>
        <v>0</v>
      </c>
      <c r="S121" s="71">
        <v>0</v>
      </c>
      <c r="T121" s="449"/>
      <c r="U121" s="67">
        <v>0</v>
      </c>
      <c r="V121" s="163">
        <v>0</v>
      </c>
      <c r="W121" s="166">
        <v>0</v>
      </c>
      <c r="X121" s="61"/>
      <c r="Z121" s="67"/>
      <c r="AA121" s="451"/>
      <c r="AB121" s="452"/>
      <c r="AE121" s="36"/>
      <c r="AF121" s="36"/>
      <c r="AG121" s="36"/>
      <c r="AH121" s="19"/>
    </row>
    <row r="122" spans="1:34">
      <c r="A122" s="64" t="s">
        <v>599</v>
      </c>
      <c r="B122" s="63" t="s">
        <v>53</v>
      </c>
      <c r="C122" s="63" t="s">
        <v>609</v>
      </c>
      <c r="D122" s="134">
        <v>28.22</v>
      </c>
      <c r="E122" s="67">
        <v>4716</v>
      </c>
      <c r="F122" s="146">
        <v>0</v>
      </c>
      <c r="G122" s="146">
        <v>0</v>
      </c>
      <c r="H122" s="91">
        <v>4716</v>
      </c>
      <c r="I122" s="67">
        <v>0</v>
      </c>
      <c r="J122" s="739">
        <v>4716</v>
      </c>
      <c r="K122" s="132" t="s">
        <v>644</v>
      </c>
      <c r="L122" s="740">
        <v>4716</v>
      </c>
      <c r="M122" s="741">
        <v>0</v>
      </c>
      <c r="N122" s="67">
        <v>0</v>
      </c>
      <c r="O122" s="67">
        <v>0</v>
      </c>
      <c r="Q122" s="674">
        <v>0</v>
      </c>
      <c r="R122" s="674">
        <v>0</v>
      </c>
      <c r="S122" s="71">
        <v>0</v>
      </c>
      <c r="T122" s="449"/>
      <c r="U122" s="67">
        <v>0</v>
      </c>
      <c r="V122" s="163">
        <v>0</v>
      </c>
      <c r="W122" s="166">
        <v>0</v>
      </c>
      <c r="X122" s="61"/>
      <c r="Z122" s="67"/>
      <c r="AA122" s="451"/>
      <c r="AB122" s="452"/>
      <c r="AE122" s="36"/>
      <c r="AF122" s="36"/>
      <c r="AG122" s="36"/>
      <c r="AH122" s="19"/>
    </row>
    <row r="123" spans="1:34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739">
        <v>0</v>
      </c>
      <c r="K123" s="132" t="s">
        <v>644</v>
      </c>
      <c r="L123" s="740">
        <v>0</v>
      </c>
      <c r="M123" s="741">
        <v>0</v>
      </c>
      <c r="N123" s="67">
        <v>0</v>
      </c>
      <c r="O123" s="67">
        <v>0</v>
      </c>
      <c r="Q123" s="674">
        <v>0</v>
      </c>
      <c r="R123" s="674">
        <v>0</v>
      </c>
      <c r="S123" s="71">
        <v>0</v>
      </c>
      <c r="T123" s="449"/>
      <c r="U123" s="67">
        <v>0</v>
      </c>
      <c r="V123" s="163">
        <v>0</v>
      </c>
      <c r="W123" s="166">
        <v>0</v>
      </c>
      <c r="X123" s="61"/>
      <c r="Z123" s="67"/>
      <c r="AA123" s="451"/>
      <c r="AB123" s="452"/>
      <c r="AE123" s="36"/>
      <c r="AF123" s="36"/>
      <c r="AG123" s="36"/>
      <c r="AH123" s="19"/>
    </row>
    <row r="124" spans="1:34">
      <c r="A124" s="64" t="s">
        <v>601</v>
      </c>
      <c r="B124" s="63" t="s">
        <v>31</v>
      </c>
      <c r="C124" s="63" t="s">
        <v>32</v>
      </c>
      <c r="D124" s="134">
        <v>335.56</v>
      </c>
      <c r="E124" s="67">
        <v>56074</v>
      </c>
      <c r="F124" s="146">
        <v>0</v>
      </c>
      <c r="G124" s="146">
        <v>0</v>
      </c>
      <c r="H124" s="91">
        <v>56074</v>
      </c>
      <c r="I124" s="67">
        <v>0</v>
      </c>
      <c r="J124" s="739">
        <v>56074</v>
      </c>
      <c r="K124" s="132" t="s">
        <v>621</v>
      </c>
      <c r="L124" s="740">
        <v>0</v>
      </c>
      <c r="M124" s="741">
        <v>335.56</v>
      </c>
      <c r="N124" s="67">
        <v>726</v>
      </c>
      <c r="O124" s="67">
        <v>56800</v>
      </c>
      <c r="Q124" s="674">
        <v>0</v>
      </c>
      <c r="R124" s="674">
        <v>56800</v>
      </c>
      <c r="S124" s="71">
        <v>169.26928120157348</v>
      </c>
      <c r="T124" s="449"/>
      <c r="U124" s="67">
        <v>57319</v>
      </c>
      <c r="V124" s="163">
        <v>-519</v>
      </c>
      <c r="W124" s="166">
        <v>-9.054589228702524E-3</v>
      </c>
      <c r="X124" s="61"/>
      <c r="Z124" s="67"/>
      <c r="AA124" s="451"/>
      <c r="AB124" s="452"/>
      <c r="AE124" s="36"/>
      <c r="AF124" s="36"/>
      <c r="AG124" s="36"/>
      <c r="AH124" s="19"/>
    </row>
    <row r="125" spans="1:34">
      <c r="A125" s="64" t="s">
        <v>595</v>
      </c>
      <c r="B125" s="63" t="s">
        <v>397</v>
      </c>
      <c r="C125" s="63" t="s">
        <v>398</v>
      </c>
      <c r="D125" s="134">
        <v>272.89</v>
      </c>
      <c r="E125" s="67">
        <v>45602</v>
      </c>
      <c r="F125" s="146">
        <v>0</v>
      </c>
      <c r="G125" s="146">
        <v>0</v>
      </c>
      <c r="H125" s="91">
        <v>45602</v>
      </c>
      <c r="I125" s="67">
        <v>0</v>
      </c>
      <c r="J125" s="739">
        <v>45602</v>
      </c>
      <c r="K125" s="132" t="s">
        <v>621</v>
      </c>
      <c r="L125" s="740">
        <v>0</v>
      </c>
      <c r="M125" s="741">
        <v>272.89</v>
      </c>
      <c r="N125" s="67">
        <v>591</v>
      </c>
      <c r="O125" s="67">
        <v>46193</v>
      </c>
      <c r="Q125" s="674">
        <v>0</v>
      </c>
      <c r="R125" s="674">
        <v>46193</v>
      </c>
      <c r="S125" s="71">
        <v>169.27333357763203</v>
      </c>
      <c r="T125" s="449"/>
      <c r="U125" s="67">
        <v>46614</v>
      </c>
      <c r="V125" s="163">
        <v>-421</v>
      </c>
      <c r="W125" s="166">
        <v>-9.0316214012957485E-3</v>
      </c>
      <c r="X125" s="61"/>
      <c r="Z125" s="67"/>
      <c r="AA125" s="451"/>
      <c r="AB125" s="452"/>
      <c r="AE125" s="36"/>
      <c r="AF125" s="36"/>
      <c r="AG125" s="36"/>
      <c r="AH125" s="19"/>
    </row>
    <row r="126" spans="1:34">
      <c r="A126" s="64" t="s">
        <v>597</v>
      </c>
      <c r="B126" s="63" t="s">
        <v>205</v>
      </c>
      <c r="C126" s="63" t="s">
        <v>206</v>
      </c>
      <c r="D126" s="134">
        <v>1534</v>
      </c>
      <c r="E126" s="67">
        <v>256340</v>
      </c>
      <c r="F126" s="146">
        <v>0</v>
      </c>
      <c r="G126" s="146">
        <v>0</v>
      </c>
      <c r="H126" s="91">
        <v>256340</v>
      </c>
      <c r="I126" s="67">
        <v>0</v>
      </c>
      <c r="J126" s="739">
        <v>256340</v>
      </c>
      <c r="K126" s="132" t="s">
        <v>621</v>
      </c>
      <c r="L126" s="740">
        <v>0</v>
      </c>
      <c r="M126" s="741">
        <v>1534</v>
      </c>
      <c r="N126" s="67">
        <v>3321</v>
      </c>
      <c r="O126" s="67">
        <v>259661</v>
      </c>
      <c r="Q126" s="674">
        <v>0</v>
      </c>
      <c r="R126" s="674">
        <v>259661</v>
      </c>
      <c r="S126" s="71">
        <v>169.27053455019558</v>
      </c>
      <c r="T126" s="449"/>
      <c r="U126" s="67">
        <v>262031</v>
      </c>
      <c r="V126" s="163">
        <v>-2370</v>
      </c>
      <c r="W126" s="166">
        <v>-9.0447313485808936E-3</v>
      </c>
      <c r="X126" s="61"/>
      <c r="Z126" s="67"/>
      <c r="AA126" s="451"/>
      <c r="AB126" s="452"/>
      <c r="AE126" s="36"/>
      <c r="AF126" s="36"/>
      <c r="AG126" s="36"/>
      <c r="AH126" s="19"/>
    </row>
    <row r="127" spans="1:34">
      <c r="A127" s="64" t="s">
        <v>595</v>
      </c>
      <c r="B127" s="63" t="s">
        <v>413</v>
      </c>
      <c r="C127" s="63" t="s">
        <v>414</v>
      </c>
      <c r="D127" s="134">
        <v>74</v>
      </c>
      <c r="E127" s="67">
        <v>12366</v>
      </c>
      <c r="F127" s="146">
        <v>0</v>
      </c>
      <c r="G127" s="146">
        <v>0</v>
      </c>
      <c r="H127" s="91">
        <v>12366</v>
      </c>
      <c r="I127" s="67">
        <v>0</v>
      </c>
      <c r="J127" s="739">
        <v>12366</v>
      </c>
      <c r="K127" s="132" t="s">
        <v>621</v>
      </c>
      <c r="L127" s="740">
        <v>0</v>
      </c>
      <c r="M127" s="741">
        <v>74</v>
      </c>
      <c r="N127" s="67">
        <v>160</v>
      </c>
      <c r="O127" s="67">
        <v>12526</v>
      </c>
      <c r="Q127" s="674">
        <v>0</v>
      </c>
      <c r="R127" s="674">
        <v>12526</v>
      </c>
      <c r="S127" s="71">
        <v>169.27027027027026</v>
      </c>
      <c r="T127" s="449"/>
      <c r="U127" s="67">
        <v>12640</v>
      </c>
      <c r="V127" s="163">
        <v>-114</v>
      </c>
      <c r="W127" s="166">
        <v>-9.0189873417721514E-3</v>
      </c>
      <c r="X127" s="61"/>
      <c r="Z127" s="67"/>
      <c r="AA127" s="451"/>
      <c r="AB127" s="452"/>
      <c r="AE127" s="36"/>
      <c r="AF127" s="36"/>
      <c r="AG127" s="36"/>
      <c r="AH127" s="19"/>
    </row>
    <row r="128" spans="1:34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132" t="s">
        <v>644</v>
      </c>
      <c r="L128" s="740">
        <v>0</v>
      </c>
      <c r="M128" s="741">
        <v>0</v>
      </c>
      <c r="N128" s="67">
        <v>0</v>
      </c>
      <c r="O128" s="67">
        <v>0</v>
      </c>
      <c r="Q128" s="674">
        <v>0</v>
      </c>
      <c r="R128" s="674">
        <v>0</v>
      </c>
      <c r="S128" s="71">
        <v>0</v>
      </c>
      <c r="T128" s="449"/>
      <c r="U128" s="67">
        <v>0</v>
      </c>
      <c r="V128" s="163">
        <v>0</v>
      </c>
      <c r="W128" s="166">
        <v>0</v>
      </c>
      <c r="X128" s="61"/>
      <c r="Z128" s="67"/>
      <c r="AA128" s="451"/>
      <c r="AB128" s="452"/>
      <c r="AE128" s="36"/>
      <c r="AF128" s="36"/>
      <c r="AG128" s="36"/>
      <c r="AH128" s="19"/>
    </row>
    <row r="129" spans="1:34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739">
        <v>0</v>
      </c>
      <c r="K129" s="132" t="s">
        <v>644</v>
      </c>
      <c r="L129" s="740">
        <v>0</v>
      </c>
      <c r="M129" s="741">
        <v>0</v>
      </c>
      <c r="N129" s="67">
        <v>0</v>
      </c>
      <c r="O129" s="67">
        <v>0</v>
      </c>
      <c r="Q129" s="674">
        <v>0</v>
      </c>
      <c r="R129" s="674">
        <v>0</v>
      </c>
      <c r="S129" s="71">
        <v>0</v>
      </c>
      <c r="T129" s="449"/>
      <c r="U129" s="67">
        <v>0</v>
      </c>
      <c r="V129" s="163">
        <v>0</v>
      </c>
      <c r="W129" s="166">
        <v>0</v>
      </c>
      <c r="X129" s="61"/>
      <c r="Z129" s="67"/>
      <c r="AA129" s="451"/>
      <c r="AB129" s="452"/>
      <c r="AE129" s="36"/>
      <c r="AF129" s="36"/>
      <c r="AG129" s="36"/>
      <c r="AH129" s="19"/>
    </row>
    <row r="130" spans="1:34">
      <c r="A130" s="64" t="s">
        <v>603</v>
      </c>
      <c r="B130" s="63" t="s">
        <v>6</v>
      </c>
      <c r="C130" s="63" t="s">
        <v>7</v>
      </c>
      <c r="D130" s="134">
        <v>20.440000000000001</v>
      </c>
      <c r="E130" s="67">
        <v>3416</v>
      </c>
      <c r="F130" s="146">
        <v>0</v>
      </c>
      <c r="G130" s="146">
        <v>0</v>
      </c>
      <c r="H130" s="91">
        <v>3416</v>
      </c>
      <c r="I130" s="67">
        <v>0</v>
      </c>
      <c r="J130" s="739">
        <v>3416</v>
      </c>
      <c r="K130" s="132" t="s">
        <v>644</v>
      </c>
      <c r="L130" s="740">
        <v>3416</v>
      </c>
      <c r="M130" s="741">
        <v>0</v>
      </c>
      <c r="N130" s="67">
        <v>0</v>
      </c>
      <c r="O130" s="67">
        <v>0</v>
      </c>
      <c r="Q130" s="674">
        <v>0</v>
      </c>
      <c r="R130" s="674">
        <v>0</v>
      </c>
      <c r="S130" s="71">
        <v>0</v>
      </c>
      <c r="T130" s="449"/>
      <c r="U130" s="67">
        <v>0</v>
      </c>
      <c r="V130" s="163">
        <v>0</v>
      </c>
      <c r="W130" s="166">
        <v>0</v>
      </c>
      <c r="X130" s="61"/>
      <c r="Z130" s="67"/>
      <c r="AA130" s="451"/>
      <c r="AB130" s="452"/>
      <c r="AE130" s="36"/>
      <c r="AF130" s="36"/>
      <c r="AG130" s="36"/>
      <c r="AH130" s="19"/>
    </row>
    <row r="131" spans="1:34">
      <c r="A131" s="64" t="s">
        <v>599</v>
      </c>
      <c r="B131" s="63" t="s">
        <v>70</v>
      </c>
      <c r="C131" s="63" t="s">
        <v>71</v>
      </c>
      <c r="D131" s="134">
        <v>340.22</v>
      </c>
      <c r="E131" s="67">
        <v>56853</v>
      </c>
      <c r="F131" s="146">
        <v>0</v>
      </c>
      <c r="G131" s="146">
        <v>0</v>
      </c>
      <c r="H131" s="91">
        <v>56853</v>
      </c>
      <c r="I131" s="67">
        <v>0</v>
      </c>
      <c r="J131" s="739">
        <v>56853</v>
      </c>
      <c r="K131" s="132" t="s">
        <v>621</v>
      </c>
      <c r="L131" s="740">
        <v>0</v>
      </c>
      <c r="M131" s="741">
        <v>340.22</v>
      </c>
      <c r="N131" s="67">
        <v>737</v>
      </c>
      <c r="O131" s="67">
        <v>57590</v>
      </c>
      <c r="Q131" s="674">
        <v>0</v>
      </c>
      <c r="R131" s="674">
        <v>57590</v>
      </c>
      <c r="S131" s="71">
        <v>169.27282346716828</v>
      </c>
      <c r="T131" s="449"/>
      <c r="U131" s="67">
        <v>58115</v>
      </c>
      <c r="V131" s="163">
        <v>-525</v>
      </c>
      <c r="W131" s="166">
        <v>-9.0338122687774244E-3</v>
      </c>
      <c r="X131" s="61"/>
      <c r="Z131" s="67"/>
      <c r="AA131" s="451"/>
      <c r="AB131" s="452"/>
      <c r="AE131" s="36"/>
      <c r="AF131" s="36"/>
      <c r="AG131" s="36"/>
      <c r="AH131" s="19"/>
    </row>
    <row r="132" spans="1:34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132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>
        <v>0</v>
      </c>
      <c r="S132" s="71">
        <v>0</v>
      </c>
      <c r="T132" s="449"/>
      <c r="U132" s="67">
        <v>0</v>
      </c>
      <c r="V132" s="163">
        <v>0</v>
      </c>
      <c r="W132" s="166">
        <v>0</v>
      </c>
      <c r="X132" s="61"/>
      <c r="Z132" s="67"/>
      <c r="AA132" s="451"/>
      <c r="AB132" s="452"/>
      <c r="AE132" s="36"/>
      <c r="AF132" s="36"/>
      <c r="AG132" s="36"/>
      <c r="AH132" s="19"/>
    </row>
    <row r="133" spans="1:34">
      <c r="A133" s="64" t="s">
        <v>595</v>
      </c>
      <c r="B133" s="63" t="s">
        <v>373</v>
      </c>
      <c r="C133" s="63" t="s">
        <v>374</v>
      </c>
      <c r="D133" s="134">
        <v>14.56</v>
      </c>
      <c r="E133" s="67">
        <v>2433</v>
      </c>
      <c r="F133" s="146">
        <v>0</v>
      </c>
      <c r="G133" s="146">
        <v>0</v>
      </c>
      <c r="H133" s="91">
        <v>2433</v>
      </c>
      <c r="I133" s="67">
        <v>0</v>
      </c>
      <c r="J133" s="739">
        <v>2433</v>
      </c>
      <c r="K133" s="132" t="s">
        <v>1306</v>
      </c>
      <c r="L133" s="740">
        <v>0</v>
      </c>
      <c r="M133" s="741">
        <v>14.56</v>
      </c>
      <c r="N133" s="67">
        <v>32</v>
      </c>
      <c r="O133" s="67">
        <v>2465</v>
      </c>
      <c r="Q133" s="674">
        <v>0</v>
      </c>
      <c r="R133" s="674">
        <v>2465</v>
      </c>
      <c r="S133" s="71">
        <v>169.29945054945054</v>
      </c>
      <c r="T133" s="449"/>
      <c r="U133" s="67">
        <v>2487</v>
      </c>
      <c r="V133" s="163">
        <v>-22</v>
      </c>
      <c r="W133" s="166">
        <v>-8.8459991958182542E-3</v>
      </c>
      <c r="X133" s="61"/>
      <c r="Z133" s="67"/>
      <c r="AA133" s="451"/>
      <c r="AB133" s="452"/>
      <c r="AE133" s="36"/>
      <c r="AF133" s="36"/>
      <c r="AG133" s="36"/>
      <c r="AH133" s="19"/>
    </row>
    <row r="134" spans="1:34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132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>
        <v>0</v>
      </c>
      <c r="S134" s="71">
        <v>0</v>
      </c>
      <c r="T134" s="449"/>
      <c r="U134" s="67">
        <v>0</v>
      </c>
      <c r="V134" s="163">
        <v>0</v>
      </c>
      <c r="W134" s="166">
        <v>0</v>
      </c>
      <c r="X134" s="61"/>
      <c r="Z134" s="67"/>
      <c r="AA134" s="451"/>
      <c r="AB134" s="452"/>
      <c r="AE134" s="36"/>
      <c r="AF134" s="36"/>
      <c r="AG134" s="36"/>
      <c r="AH134" s="19"/>
    </row>
    <row r="135" spans="1:34">
      <c r="A135" s="64" t="s">
        <v>595</v>
      </c>
      <c r="B135" s="63" t="s">
        <v>510</v>
      </c>
      <c r="C135" s="63" t="s">
        <v>511</v>
      </c>
      <c r="D135" s="134">
        <v>231</v>
      </c>
      <c r="E135" s="67">
        <v>38601</v>
      </c>
      <c r="F135" s="146">
        <v>0</v>
      </c>
      <c r="G135" s="146">
        <v>0</v>
      </c>
      <c r="H135" s="91">
        <v>38601</v>
      </c>
      <c r="I135" s="67">
        <v>0</v>
      </c>
      <c r="J135" s="739">
        <v>38601</v>
      </c>
      <c r="K135" s="132" t="s">
        <v>621</v>
      </c>
      <c r="L135" s="740">
        <v>0</v>
      </c>
      <c r="M135" s="741">
        <v>231</v>
      </c>
      <c r="N135" s="67">
        <v>500</v>
      </c>
      <c r="O135" s="67">
        <v>39101</v>
      </c>
      <c r="Q135" s="674">
        <v>0</v>
      </c>
      <c r="R135" s="674">
        <v>39101</v>
      </c>
      <c r="S135" s="71">
        <v>169.26839826839827</v>
      </c>
      <c r="T135" s="449"/>
      <c r="U135" s="67">
        <v>39458</v>
      </c>
      <c r="V135" s="163">
        <v>-357</v>
      </c>
      <c r="W135" s="166">
        <v>-9.0475949110446555E-3</v>
      </c>
      <c r="X135" s="61"/>
      <c r="Z135" s="67"/>
      <c r="AA135" s="451"/>
      <c r="AB135" s="452"/>
      <c r="AE135" s="36"/>
      <c r="AF135" s="36"/>
      <c r="AG135" s="36"/>
      <c r="AH135" s="19"/>
    </row>
    <row r="136" spans="1:34">
      <c r="A136" s="64" t="s">
        <v>605</v>
      </c>
      <c r="B136" s="63" t="s">
        <v>553</v>
      </c>
      <c r="C136" s="63" t="s">
        <v>554</v>
      </c>
      <c r="D136" s="134">
        <v>340.67</v>
      </c>
      <c r="E136" s="67">
        <v>56928</v>
      </c>
      <c r="F136" s="146">
        <v>0</v>
      </c>
      <c r="G136" s="146">
        <v>0</v>
      </c>
      <c r="H136" s="91">
        <v>56928</v>
      </c>
      <c r="I136" s="67">
        <v>0</v>
      </c>
      <c r="J136" s="739">
        <v>56928</v>
      </c>
      <c r="K136" s="132" t="s">
        <v>621</v>
      </c>
      <c r="L136" s="740">
        <v>0</v>
      </c>
      <c r="M136" s="741">
        <v>340.67</v>
      </c>
      <c r="N136" s="67">
        <v>738</v>
      </c>
      <c r="O136" s="67">
        <v>57666</v>
      </c>
      <c r="Q136" s="674">
        <v>0</v>
      </c>
      <c r="R136" s="674">
        <v>57666</v>
      </c>
      <c r="S136" s="71">
        <v>169.27231631784423</v>
      </c>
      <c r="T136" s="449"/>
      <c r="U136" s="67">
        <v>58192</v>
      </c>
      <c r="V136" s="163">
        <v>-526</v>
      </c>
      <c r="W136" s="166">
        <v>-9.0390431674456963E-3</v>
      </c>
      <c r="X136" s="61"/>
      <c r="Z136" s="67"/>
      <c r="AA136" s="451"/>
      <c r="AB136" s="452"/>
      <c r="AE136" s="36"/>
      <c r="AF136" s="36"/>
      <c r="AG136" s="36"/>
      <c r="AH136" s="19"/>
    </row>
    <row r="137" spans="1:34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739">
        <v>0</v>
      </c>
      <c r="K137" s="132" t="s">
        <v>644</v>
      </c>
      <c r="L137" s="740">
        <v>0</v>
      </c>
      <c r="M137" s="741">
        <v>0</v>
      </c>
      <c r="N137" s="67">
        <v>0</v>
      </c>
      <c r="O137" s="67">
        <v>0</v>
      </c>
      <c r="Q137" s="674">
        <v>0</v>
      </c>
      <c r="R137" s="674">
        <v>0</v>
      </c>
      <c r="S137" s="71">
        <v>0</v>
      </c>
      <c r="T137" s="449"/>
      <c r="U137" s="67">
        <v>0</v>
      </c>
      <c r="V137" s="163">
        <v>0</v>
      </c>
      <c r="W137" s="166">
        <v>0</v>
      </c>
      <c r="X137" s="61"/>
      <c r="Z137" s="67"/>
      <c r="AA137" s="451"/>
      <c r="AB137" s="452"/>
      <c r="AE137" s="36"/>
      <c r="AF137" s="36"/>
      <c r="AG137" s="36"/>
      <c r="AH137" s="19"/>
    </row>
    <row r="138" spans="1:34">
      <c r="A138" s="64" t="s">
        <v>601</v>
      </c>
      <c r="B138" s="63" t="s">
        <v>25</v>
      </c>
      <c r="C138" s="63" t="s">
        <v>26</v>
      </c>
      <c r="D138" s="134">
        <v>215.89</v>
      </c>
      <c r="E138" s="67">
        <v>36076</v>
      </c>
      <c r="F138" s="146">
        <v>0</v>
      </c>
      <c r="G138" s="146">
        <v>0</v>
      </c>
      <c r="H138" s="91">
        <v>36076</v>
      </c>
      <c r="I138" s="67">
        <v>0</v>
      </c>
      <c r="J138" s="739">
        <v>36076</v>
      </c>
      <c r="K138" s="132" t="s">
        <v>621</v>
      </c>
      <c r="L138" s="740">
        <v>0</v>
      </c>
      <c r="M138" s="741">
        <v>215.89</v>
      </c>
      <c r="N138" s="67">
        <v>467</v>
      </c>
      <c r="O138" s="67">
        <v>36543</v>
      </c>
      <c r="Q138" s="674">
        <v>0</v>
      </c>
      <c r="R138" s="674">
        <v>36543</v>
      </c>
      <c r="S138" s="71">
        <v>169.26675621844458</v>
      </c>
      <c r="T138" s="449"/>
      <c r="U138" s="67">
        <v>36878</v>
      </c>
      <c r="V138" s="163">
        <v>-335</v>
      </c>
      <c r="W138" s="166">
        <v>-9.0840067248766209E-3</v>
      </c>
      <c r="X138" s="61"/>
      <c r="Z138" s="67"/>
      <c r="AA138" s="451"/>
      <c r="AB138" s="452"/>
      <c r="AE138" s="36"/>
      <c r="AF138" s="36"/>
      <c r="AG138" s="36"/>
      <c r="AH138" s="19"/>
    </row>
    <row r="139" spans="1:34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739">
        <v>0</v>
      </c>
      <c r="K139" s="132" t="s">
        <v>644</v>
      </c>
      <c r="L139" s="740">
        <v>0</v>
      </c>
      <c r="M139" s="741">
        <v>0</v>
      </c>
      <c r="N139" s="67">
        <v>0</v>
      </c>
      <c r="O139" s="67">
        <v>0</v>
      </c>
      <c r="Q139" s="674">
        <v>0</v>
      </c>
      <c r="R139" s="674">
        <v>0</v>
      </c>
      <c r="S139" s="71">
        <v>0</v>
      </c>
      <c r="T139" s="449"/>
      <c r="U139" s="67">
        <v>0</v>
      </c>
      <c r="V139" s="163">
        <v>0</v>
      </c>
      <c r="W139" s="166">
        <v>0</v>
      </c>
      <c r="X139" s="61"/>
      <c r="Z139" s="67"/>
      <c r="AA139" s="451"/>
      <c r="AB139" s="452"/>
      <c r="AE139" s="36"/>
      <c r="AF139" s="36"/>
      <c r="AG139" s="36"/>
      <c r="AH139" s="19"/>
    </row>
    <row r="140" spans="1:34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132" t="s">
        <v>644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>
        <v>0</v>
      </c>
      <c r="S140" s="71">
        <v>0</v>
      </c>
      <c r="T140" s="449"/>
      <c r="U140" s="67">
        <v>0</v>
      </c>
      <c r="V140" s="163">
        <v>0</v>
      </c>
      <c r="W140" s="166">
        <v>0</v>
      </c>
      <c r="X140" s="61"/>
      <c r="Z140" s="67"/>
      <c r="AA140" s="451"/>
      <c r="AB140" s="452"/>
      <c r="AE140" s="36"/>
      <c r="AF140" s="36"/>
      <c r="AG140" s="36"/>
      <c r="AH140" s="19"/>
    </row>
    <row r="141" spans="1:34">
      <c r="A141" s="64" t="s">
        <v>595</v>
      </c>
      <c r="B141" s="63" t="s">
        <v>405</v>
      </c>
      <c r="C141" s="63" t="s">
        <v>406</v>
      </c>
      <c r="D141" s="134">
        <v>730.44</v>
      </c>
      <c r="E141" s="67">
        <v>122061</v>
      </c>
      <c r="F141" s="146">
        <v>0</v>
      </c>
      <c r="G141" s="146">
        <v>0</v>
      </c>
      <c r="H141" s="91">
        <v>122061</v>
      </c>
      <c r="I141" s="67">
        <v>0</v>
      </c>
      <c r="J141" s="739">
        <v>122061</v>
      </c>
      <c r="K141" s="132" t="s">
        <v>621</v>
      </c>
      <c r="L141" s="740">
        <v>0</v>
      </c>
      <c r="M141" s="741">
        <v>730.44</v>
      </c>
      <c r="N141" s="67">
        <v>1581</v>
      </c>
      <c r="O141" s="67">
        <v>123642</v>
      </c>
      <c r="Q141" s="674">
        <v>0</v>
      </c>
      <c r="R141" s="674">
        <v>123642</v>
      </c>
      <c r="S141" s="71">
        <v>169.27057663873828</v>
      </c>
      <c r="T141" s="449"/>
      <c r="U141" s="67">
        <v>124771</v>
      </c>
      <c r="V141" s="163">
        <v>-1129</v>
      </c>
      <c r="W141" s="166">
        <v>-9.0485769930512706E-3</v>
      </c>
      <c r="X141" s="61"/>
      <c r="Z141" s="67"/>
      <c r="AA141" s="451"/>
      <c r="AB141" s="452"/>
      <c r="AE141" s="36"/>
      <c r="AF141" s="36"/>
      <c r="AG141" s="36"/>
      <c r="AH141" s="19"/>
    </row>
    <row r="142" spans="1:34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132" t="s">
        <v>644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>
        <v>0</v>
      </c>
      <c r="S142" s="71">
        <v>0</v>
      </c>
      <c r="T142" s="449"/>
      <c r="U142" s="67">
        <v>0</v>
      </c>
      <c r="V142" s="163">
        <v>0</v>
      </c>
      <c r="W142" s="166">
        <v>0</v>
      </c>
      <c r="X142" s="61"/>
      <c r="Z142" s="67"/>
      <c r="AA142" s="451"/>
      <c r="AB142" s="452"/>
      <c r="AE142" s="36"/>
      <c r="AF142" s="36"/>
      <c r="AG142" s="36"/>
      <c r="AH142" s="19"/>
    </row>
    <row r="143" spans="1:34">
      <c r="A143" s="64" t="s">
        <v>603</v>
      </c>
      <c r="B143" s="63" t="s">
        <v>432</v>
      </c>
      <c r="C143" s="63" t="s">
        <v>433</v>
      </c>
      <c r="D143" s="134">
        <v>236.89</v>
      </c>
      <c r="E143" s="67">
        <v>39586</v>
      </c>
      <c r="F143" s="146">
        <v>0</v>
      </c>
      <c r="G143" s="146">
        <v>0</v>
      </c>
      <c r="H143" s="91">
        <v>39586</v>
      </c>
      <c r="I143" s="67">
        <v>0</v>
      </c>
      <c r="J143" s="739">
        <v>39586</v>
      </c>
      <c r="K143" s="132" t="s">
        <v>621</v>
      </c>
      <c r="L143" s="740">
        <v>0</v>
      </c>
      <c r="M143" s="741">
        <v>236.89</v>
      </c>
      <c r="N143" s="67">
        <v>513</v>
      </c>
      <c r="O143" s="67">
        <v>40099</v>
      </c>
      <c r="Q143" s="674">
        <v>0</v>
      </c>
      <c r="R143" s="674">
        <v>40099</v>
      </c>
      <c r="S143" s="71">
        <v>169.27265819578707</v>
      </c>
      <c r="T143" s="449"/>
      <c r="U143" s="67">
        <v>40465</v>
      </c>
      <c r="V143" s="163">
        <v>-366</v>
      </c>
      <c r="W143" s="166">
        <v>-9.0448535771654511E-3</v>
      </c>
      <c r="X143" s="61"/>
      <c r="Z143" s="67"/>
      <c r="AA143" s="451"/>
      <c r="AB143" s="452"/>
      <c r="AE143" s="36"/>
      <c r="AF143" s="36"/>
      <c r="AG143" s="36"/>
      <c r="AH143" s="19"/>
    </row>
    <row r="144" spans="1:34">
      <c r="A144" s="64" t="s">
        <v>603</v>
      </c>
      <c r="B144" s="63" t="s">
        <v>430</v>
      </c>
      <c r="C144" s="63" t="s">
        <v>431</v>
      </c>
      <c r="D144" s="134">
        <v>4.67</v>
      </c>
      <c r="E144" s="67">
        <v>780</v>
      </c>
      <c r="F144" s="146">
        <v>0</v>
      </c>
      <c r="G144" s="146">
        <v>0</v>
      </c>
      <c r="H144" s="91">
        <v>780</v>
      </c>
      <c r="I144" s="67">
        <v>0</v>
      </c>
      <c r="J144" s="739">
        <v>780</v>
      </c>
      <c r="K144" s="132" t="s">
        <v>644</v>
      </c>
      <c r="L144" s="740">
        <v>780</v>
      </c>
      <c r="M144" s="741">
        <v>0</v>
      </c>
      <c r="N144" s="67">
        <v>0</v>
      </c>
      <c r="O144" s="67">
        <v>0</v>
      </c>
      <c r="Q144" s="674">
        <v>0</v>
      </c>
      <c r="R144" s="674">
        <v>0</v>
      </c>
      <c r="S144" s="71">
        <v>0</v>
      </c>
      <c r="T144" s="449"/>
      <c r="U144" s="67">
        <v>0</v>
      </c>
      <c r="V144" s="163">
        <v>0</v>
      </c>
      <c r="W144" s="166">
        <v>0</v>
      </c>
      <c r="X144" s="61"/>
      <c r="Z144" s="67"/>
      <c r="AA144" s="451"/>
      <c r="AB144" s="452"/>
      <c r="AE144" s="36"/>
      <c r="AF144" s="36"/>
      <c r="AG144" s="36"/>
      <c r="AH144" s="19"/>
    </row>
    <row r="145" spans="1:34">
      <c r="A145" s="64" t="s">
        <v>597</v>
      </c>
      <c r="B145" s="63" t="s">
        <v>179</v>
      </c>
      <c r="C145" s="63" t="s">
        <v>180</v>
      </c>
      <c r="D145" s="134">
        <v>97.22</v>
      </c>
      <c r="E145" s="88">
        <v>16246</v>
      </c>
      <c r="F145" s="146">
        <v>0</v>
      </c>
      <c r="G145" s="146">
        <v>0</v>
      </c>
      <c r="H145" s="91">
        <v>16246</v>
      </c>
      <c r="I145" s="67">
        <v>0</v>
      </c>
      <c r="J145" s="739">
        <v>16246</v>
      </c>
      <c r="K145" s="132" t="s">
        <v>621</v>
      </c>
      <c r="L145" s="740">
        <v>0</v>
      </c>
      <c r="M145" s="741">
        <v>97.22</v>
      </c>
      <c r="N145" s="67">
        <v>210</v>
      </c>
      <c r="O145" s="67">
        <v>16456</v>
      </c>
      <c r="Q145" s="674">
        <v>0</v>
      </c>
      <c r="R145" s="674">
        <v>16456</v>
      </c>
      <c r="S145" s="71">
        <v>169.26558321333059</v>
      </c>
      <c r="T145" s="449"/>
      <c r="U145" s="67">
        <v>16606</v>
      </c>
      <c r="V145" s="163">
        <v>-150</v>
      </c>
      <c r="W145" s="166">
        <v>-9.0328796820426348E-3</v>
      </c>
      <c r="X145" s="61"/>
      <c r="Z145" s="67"/>
      <c r="AA145" s="451"/>
      <c r="AB145" s="452"/>
      <c r="AE145" s="36"/>
      <c r="AF145" s="36"/>
      <c r="AG145" s="36"/>
      <c r="AH145" s="19"/>
    </row>
    <row r="146" spans="1:34">
      <c r="A146" s="64" t="s">
        <v>595</v>
      </c>
      <c r="B146" s="63" t="s">
        <v>512</v>
      </c>
      <c r="C146" s="63" t="s">
        <v>513</v>
      </c>
      <c r="D146" s="134">
        <v>106.78</v>
      </c>
      <c r="E146" s="67">
        <v>17844</v>
      </c>
      <c r="F146" s="146">
        <v>0</v>
      </c>
      <c r="G146" s="146">
        <v>0</v>
      </c>
      <c r="H146" s="91">
        <v>17844</v>
      </c>
      <c r="I146" s="67">
        <v>0</v>
      </c>
      <c r="J146" s="739">
        <v>17844</v>
      </c>
      <c r="K146" s="132" t="s">
        <v>621</v>
      </c>
      <c r="L146" s="740">
        <v>0</v>
      </c>
      <c r="M146" s="741">
        <v>106.78</v>
      </c>
      <c r="N146" s="67">
        <v>231</v>
      </c>
      <c r="O146" s="67">
        <v>18075</v>
      </c>
      <c r="Q146" s="674">
        <v>0</v>
      </c>
      <c r="R146" s="674">
        <v>18075</v>
      </c>
      <c r="S146" s="71">
        <v>169.27327214834239</v>
      </c>
      <c r="T146" s="449"/>
      <c r="U146" s="67">
        <v>18240</v>
      </c>
      <c r="V146" s="163">
        <v>-165</v>
      </c>
      <c r="W146" s="166">
        <v>-9.0460526315789477E-3</v>
      </c>
      <c r="X146" s="61"/>
      <c r="Z146" s="67"/>
      <c r="AA146" s="451"/>
      <c r="AB146" s="452"/>
      <c r="AE146" s="36"/>
      <c r="AF146" s="36"/>
      <c r="AG146" s="36"/>
      <c r="AH146" s="19"/>
    </row>
    <row r="147" spans="1:34">
      <c r="A147" s="64" t="s">
        <v>601</v>
      </c>
      <c r="B147" s="63" t="s">
        <v>319</v>
      </c>
      <c r="C147" s="63" t="s">
        <v>320</v>
      </c>
      <c r="D147" s="134">
        <v>4.78</v>
      </c>
      <c r="E147" s="67">
        <v>799</v>
      </c>
      <c r="F147" s="146">
        <v>0</v>
      </c>
      <c r="G147" s="146">
        <v>0</v>
      </c>
      <c r="H147" s="91">
        <v>799</v>
      </c>
      <c r="I147" s="67">
        <v>0</v>
      </c>
      <c r="J147" s="739">
        <v>799</v>
      </c>
      <c r="K147" s="132" t="s">
        <v>644</v>
      </c>
      <c r="L147" s="740">
        <v>799</v>
      </c>
      <c r="M147" s="741">
        <v>0</v>
      </c>
      <c r="N147" s="67">
        <v>0</v>
      </c>
      <c r="O147" s="67">
        <v>0</v>
      </c>
      <c r="Q147" s="674">
        <v>0</v>
      </c>
      <c r="R147" s="674">
        <v>0</v>
      </c>
      <c r="S147" s="71">
        <v>0</v>
      </c>
      <c r="T147" s="449"/>
      <c r="U147" s="67">
        <v>0</v>
      </c>
      <c r="V147" s="163">
        <v>0</v>
      </c>
      <c r="W147" s="166">
        <v>0</v>
      </c>
      <c r="X147" s="61"/>
      <c r="Z147" s="67"/>
      <c r="AA147" s="451"/>
      <c r="AB147" s="452"/>
      <c r="AE147" s="36"/>
      <c r="AF147" s="36"/>
      <c r="AG147" s="36"/>
      <c r="AH147" s="19"/>
    </row>
    <row r="148" spans="1:34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132" t="s">
        <v>644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>
        <v>0</v>
      </c>
      <c r="S148" s="71">
        <v>0</v>
      </c>
      <c r="T148" s="449"/>
      <c r="U148" s="67">
        <v>0</v>
      </c>
      <c r="V148" s="163">
        <v>0</v>
      </c>
      <c r="W148" s="166">
        <v>0</v>
      </c>
      <c r="X148" s="61"/>
      <c r="Z148" s="67"/>
      <c r="AA148" s="451"/>
      <c r="AB148" s="452"/>
      <c r="AE148" s="36"/>
      <c r="AF148" s="36"/>
      <c r="AG148" s="36"/>
      <c r="AH148" s="19"/>
    </row>
    <row r="149" spans="1:34">
      <c r="A149" s="64" t="s">
        <v>595</v>
      </c>
      <c r="B149" s="63" t="s">
        <v>409</v>
      </c>
      <c r="C149" s="63" t="s">
        <v>410</v>
      </c>
      <c r="D149" s="134">
        <v>480.44</v>
      </c>
      <c r="E149" s="67">
        <v>80284</v>
      </c>
      <c r="F149" s="146">
        <v>0</v>
      </c>
      <c r="G149" s="146">
        <v>0</v>
      </c>
      <c r="H149" s="91">
        <v>80284</v>
      </c>
      <c r="I149" s="67">
        <v>0</v>
      </c>
      <c r="J149" s="739">
        <v>80284</v>
      </c>
      <c r="K149" s="132" t="s">
        <v>621</v>
      </c>
      <c r="L149" s="740">
        <v>0</v>
      </c>
      <c r="M149" s="741">
        <v>480.44</v>
      </c>
      <c r="N149" s="67">
        <v>1040</v>
      </c>
      <c r="O149" s="67">
        <v>81324</v>
      </c>
      <c r="Q149" s="674">
        <v>0</v>
      </c>
      <c r="R149" s="674">
        <v>81324</v>
      </c>
      <c r="S149" s="71">
        <v>169.26983598368162</v>
      </c>
      <c r="T149" s="449"/>
      <c r="U149" s="67">
        <v>82066</v>
      </c>
      <c r="V149" s="163">
        <v>-742</v>
      </c>
      <c r="W149" s="166">
        <v>-9.041503180367021E-3</v>
      </c>
      <c r="X149" s="61"/>
      <c r="Z149" s="67"/>
      <c r="AA149" s="451"/>
      <c r="AB149" s="452"/>
      <c r="AE149" s="36"/>
      <c r="AF149" s="36"/>
      <c r="AG149" s="36"/>
      <c r="AH149" s="19"/>
    </row>
    <row r="150" spans="1:34">
      <c r="A150" s="64" t="s">
        <v>594</v>
      </c>
      <c r="B150" s="63" t="s">
        <v>139</v>
      </c>
      <c r="C150" s="63" t="s">
        <v>140</v>
      </c>
      <c r="D150" s="134">
        <v>11.89</v>
      </c>
      <c r="E150" s="67">
        <v>1987</v>
      </c>
      <c r="F150" s="146">
        <v>0</v>
      </c>
      <c r="G150" s="146">
        <v>0</v>
      </c>
      <c r="H150" s="91">
        <v>1987</v>
      </c>
      <c r="I150" s="67">
        <v>0</v>
      </c>
      <c r="J150" s="739">
        <v>1987</v>
      </c>
      <c r="K150" s="132" t="s">
        <v>644</v>
      </c>
      <c r="L150" s="740">
        <v>1987</v>
      </c>
      <c r="M150" s="741">
        <v>0</v>
      </c>
      <c r="N150" s="67">
        <v>0</v>
      </c>
      <c r="O150" s="67">
        <v>0</v>
      </c>
      <c r="Q150" s="674">
        <v>0</v>
      </c>
      <c r="R150" s="674">
        <v>0</v>
      </c>
      <c r="S150" s="71">
        <v>0</v>
      </c>
      <c r="T150" s="449"/>
      <c r="U150" s="67">
        <v>0</v>
      </c>
      <c r="V150" s="163">
        <v>0</v>
      </c>
      <c r="W150" s="166">
        <v>0</v>
      </c>
      <c r="X150" s="61"/>
      <c r="Z150" s="67"/>
      <c r="AA150" s="451"/>
      <c r="AB150" s="452"/>
      <c r="AE150" s="36"/>
      <c r="AF150" s="36"/>
      <c r="AG150" s="36"/>
      <c r="AH150" s="19"/>
    </row>
    <row r="151" spans="1:34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132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>
        <v>0</v>
      </c>
      <c r="S151" s="71">
        <v>0</v>
      </c>
      <c r="T151" s="449"/>
      <c r="U151" s="67">
        <v>0</v>
      </c>
      <c r="V151" s="163">
        <v>0</v>
      </c>
      <c r="W151" s="166">
        <v>0</v>
      </c>
      <c r="X151" s="61"/>
      <c r="Z151" s="67"/>
      <c r="AA151" s="451"/>
      <c r="AB151" s="452"/>
      <c r="AE151" s="36"/>
      <c r="AF151" s="36"/>
      <c r="AG151" s="36"/>
      <c r="AH151" s="19"/>
    </row>
    <row r="152" spans="1:34">
      <c r="A152" s="64" t="s">
        <v>601</v>
      </c>
      <c r="B152" s="63" t="s">
        <v>125</v>
      </c>
      <c r="C152" s="63" t="s">
        <v>126</v>
      </c>
      <c r="D152" s="134">
        <v>692.44</v>
      </c>
      <c r="E152" s="67">
        <v>115711</v>
      </c>
      <c r="F152" s="146">
        <v>0</v>
      </c>
      <c r="G152" s="146">
        <v>0</v>
      </c>
      <c r="H152" s="91">
        <v>115711</v>
      </c>
      <c r="I152" s="67">
        <v>0</v>
      </c>
      <c r="J152" s="739">
        <v>115711</v>
      </c>
      <c r="K152" s="132" t="s">
        <v>621</v>
      </c>
      <c r="L152" s="740">
        <v>0</v>
      </c>
      <c r="M152" s="741">
        <v>692.44</v>
      </c>
      <c r="N152" s="67">
        <v>1499</v>
      </c>
      <c r="O152" s="67">
        <v>117210</v>
      </c>
      <c r="Q152" s="674">
        <v>0</v>
      </c>
      <c r="R152" s="674">
        <v>117210</v>
      </c>
      <c r="S152" s="71">
        <v>169.27098376754662</v>
      </c>
      <c r="T152" s="449"/>
      <c r="U152" s="67">
        <v>118280</v>
      </c>
      <c r="V152" s="163">
        <v>-1070</v>
      </c>
      <c r="W152" s="166">
        <v>-9.0463307406154891E-3</v>
      </c>
      <c r="X152" s="61"/>
      <c r="Z152" s="67"/>
      <c r="AA152" s="451"/>
      <c r="AB152" s="452"/>
      <c r="AE152" s="36"/>
      <c r="AF152" s="36"/>
      <c r="AG152" s="36"/>
      <c r="AH152" s="19"/>
    </row>
    <row r="153" spans="1:34">
      <c r="A153" s="64" t="s">
        <v>594</v>
      </c>
      <c r="B153" s="63" t="s">
        <v>258</v>
      </c>
      <c r="C153" s="63" t="s">
        <v>259</v>
      </c>
      <c r="D153" s="134">
        <v>53.78</v>
      </c>
      <c r="E153" s="67">
        <v>8987</v>
      </c>
      <c r="F153" s="146">
        <v>0</v>
      </c>
      <c r="G153" s="146">
        <v>0</v>
      </c>
      <c r="H153" s="91">
        <v>8987</v>
      </c>
      <c r="I153" s="67">
        <v>0</v>
      </c>
      <c r="J153" s="739">
        <v>8987</v>
      </c>
      <c r="K153" s="132" t="s">
        <v>1306</v>
      </c>
      <c r="L153" s="740">
        <v>0</v>
      </c>
      <c r="M153" s="741">
        <v>53.78</v>
      </c>
      <c r="N153" s="67">
        <v>116</v>
      </c>
      <c r="O153" s="67">
        <v>9103</v>
      </c>
      <c r="Q153" s="674">
        <v>0</v>
      </c>
      <c r="R153" s="674">
        <v>9103</v>
      </c>
      <c r="S153" s="71">
        <v>169.26366679062849</v>
      </c>
      <c r="T153" s="449"/>
      <c r="U153" s="67">
        <v>9187</v>
      </c>
      <c r="V153" s="163">
        <v>-84</v>
      </c>
      <c r="W153" s="166">
        <v>-9.1433547403940354E-3</v>
      </c>
      <c r="X153" s="61"/>
      <c r="Z153" s="67"/>
      <c r="AA153" s="451"/>
      <c r="AB153" s="452"/>
      <c r="AE153" s="36"/>
      <c r="AF153" s="36"/>
      <c r="AG153" s="36"/>
      <c r="AH153" s="19"/>
    </row>
    <row r="154" spans="1:34">
      <c r="A154" s="64" t="s">
        <v>605</v>
      </c>
      <c r="B154" s="63" t="s">
        <v>571</v>
      </c>
      <c r="C154" s="63" t="s">
        <v>572</v>
      </c>
      <c r="D154" s="134">
        <v>299.44</v>
      </c>
      <c r="E154" s="67">
        <v>50038</v>
      </c>
      <c r="F154" s="146">
        <v>0</v>
      </c>
      <c r="G154" s="146">
        <v>0</v>
      </c>
      <c r="H154" s="91">
        <v>50038</v>
      </c>
      <c r="I154" s="67">
        <v>0</v>
      </c>
      <c r="J154" s="739">
        <v>50038</v>
      </c>
      <c r="K154" s="132" t="s">
        <v>621</v>
      </c>
      <c r="L154" s="740">
        <v>0</v>
      </c>
      <c r="M154" s="741">
        <v>299.44</v>
      </c>
      <c r="N154" s="67">
        <v>648</v>
      </c>
      <c r="O154" s="67">
        <v>50686</v>
      </c>
      <c r="Q154" s="674">
        <v>0</v>
      </c>
      <c r="R154" s="674">
        <v>50686</v>
      </c>
      <c r="S154" s="71">
        <v>169.2693026983703</v>
      </c>
      <c r="T154" s="449"/>
      <c r="U154" s="67">
        <v>51149</v>
      </c>
      <c r="V154" s="163">
        <v>-463</v>
      </c>
      <c r="W154" s="166">
        <v>-9.0519853760581831E-3</v>
      </c>
      <c r="X154" s="61"/>
      <c r="Z154" s="67"/>
      <c r="AA154" s="451"/>
      <c r="AB154" s="452"/>
      <c r="AE154" s="36"/>
      <c r="AF154" s="36"/>
      <c r="AG154" s="36"/>
      <c r="AH154" s="19"/>
    </row>
    <row r="155" spans="1:34">
      <c r="A155" s="64" t="s">
        <v>595</v>
      </c>
      <c r="B155" s="63" t="s">
        <v>516</v>
      </c>
      <c r="C155" s="63" t="s">
        <v>517</v>
      </c>
      <c r="D155" s="134">
        <v>100.78</v>
      </c>
      <c r="E155" s="67">
        <v>16841</v>
      </c>
      <c r="F155" s="146">
        <v>0</v>
      </c>
      <c r="G155" s="146">
        <v>0</v>
      </c>
      <c r="H155" s="91">
        <v>16841</v>
      </c>
      <c r="I155" s="67">
        <v>0</v>
      </c>
      <c r="J155" s="739">
        <v>16841</v>
      </c>
      <c r="K155" s="132" t="s">
        <v>621</v>
      </c>
      <c r="L155" s="740">
        <v>0</v>
      </c>
      <c r="M155" s="741">
        <v>100.78</v>
      </c>
      <c r="N155" s="67">
        <v>218</v>
      </c>
      <c r="O155" s="67">
        <v>17059</v>
      </c>
      <c r="Q155" s="674">
        <v>0</v>
      </c>
      <c r="R155" s="674">
        <v>17059</v>
      </c>
      <c r="S155" s="71">
        <v>169.26969636832706</v>
      </c>
      <c r="T155" s="449"/>
      <c r="U155" s="67">
        <v>17214</v>
      </c>
      <c r="V155" s="163">
        <v>-155</v>
      </c>
      <c r="W155" s="166">
        <v>-9.0042988265365397E-3</v>
      </c>
      <c r="X155" s="61"/>
      <c r="Z155" s="67"/>
      <c r="AA155" s="451"/>
      <c r="AB155" s="452"/>
      <c r="AE155" s="36"/>
      <c r="AF155" s="36"/>
      <c r="AG155" s="36"/>
      <c r="AH155" s="19"/>
    </row>
    <row r="156" spans="1:34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132" t="s">
        <v>644</v>
      </c>
      <c r="L156" s="740">
        <v>0</v>
      </c>
      <c r="M156" s="741">
        <v>0</v>
      </c>
      <c r="N156" s="67">
        <v>0</v>
      </c>
      <c r="O156" s="67">
        <v>0</v>
      </c>
      <c r="P156" s="674">
        <v>0.89</v>
      </c>
      <c r="Q156" s="674">
        <v>0</v>
      </c>
      <c r="R156" s="674">
        <v>0</v>
      </c>
      <c r="S156" s="71">
        <v>0</v>
      </c>
      <c r="T156" s="449"/>
      <c r="U156" s="67">
        <v>0</v>
      </c>
      <c r="V156" s="163">
        <v>0</v>
      </c>
      <c r="W156" s="166">
        <v>0</v>
      </c>
      <c r="X156" s="61"/>
      <c r="Z156" s="67"/>
      <c r="AA156" s="451"/>
      <c r="AB156" s="452"/>
      <c r="AE156" s="36"/>
      <c r="AF156" s="36"/>
      <c r="AG156" s="36"/>
      <c r="AH156" s="19"/>
    </row>
    <row r="157" spans="1:34">
      <c r="A157" s="64" t="s">
        <v>595</v>
      </c>
      <c r="B157" s="63" t="s">
        <v>386</v>
      </c>
      <c r="C157" s="63" t="s">
        <v>610</v>
      </c>
      <c r="D157" s="134">
        <v>1531.67</v>
      </c>
      <c r="E157" s="67">
        <v>255951</v>
      </c>
      <c r="F157" s="146">
        <v>0</v>
      </c>
      <c r="G157" s="146">
        <v>0</v>
      </c>
      <c r="H157" s="91">
        <v>255951</v>
      </c>
      <c r="I157" s="67">
        <v>0</v>
      </c>
      <c r="J157" s="739">
        <v>255951</v>
      </c>
      <c r="K157" s="132" t="s">
        <v>621</v>
      </c>
      <c r="L157" s="740">
        <v>0</v>
      </c>
      <c r="M157" s="741">
        <v>1531.67</v>
      </c>
      <c r="N157" s="67">
        <v>3316</v>
      </c>
      <c r="O157" s="67">
        <v>259267</v>
      </c>
      <c r="Q157" s="674">
        <v>0</v>
      </c>
      <c r="R157" s="674">
        <v>259267</v>
      </c>
      <c r="S157" s="71">
        <v>169.27079592862691</v>
      </c>
      <c r="T157" s="449"/>
      <c r="U157" s="67">
        <v>261634</v>
      </c>
      <c r="V157" s="163">
        <v>-2367</v>
      </c>
      <c r="W157" s="166">
        <v>-9.0469893056712818E-3</v>
      </c>
      <c r="X157" s="61"/>
      <c r="Z157" s="67"/>
      <c r="AA157" s="451"/>
      <c r="AB157" s="452"/>
      <c r="AE157" s="36"/>
      <c r="AF157" s="36"/>
      <c r="AG157" s="36"/>
      <c r="AH157" s="19"/>
    </row>
    <row r="158" spans="1:34">
      <c r="A158" s="64" t="s">
        <v>595</v>
      </c>
      <c r="B158" s="63" t="s">
        <v>399</v>
      </c>
      <c r="C158" s="63" t="s">
        <v>400</v>
      </c>
      <c r="D158" s="134">
        <v>2429.67</v>
      </c>
      <c r="E158" s="67">
        <v>406012</v>
      </c>
      <c r="F158" s="146">
        <v>0</v>
      </c>
      <c r="G158" s="146">
        <v>0</v>
      </c>
      <c r="H158" s="91">
        <v>406012</v>
      </c>
      <c r="I158" s="67">
        <v>0</v>
      </c>
      <c r="J158" s="739">
        <v>406012</v>
      </c>
      <c r="K158" s="132" t="s">
        <v>621</v>
      </c>
      <c r="L158" s="740">
        <v>0</v>
      </c>
      <c r="M158" s="741">
        <v>2429.67</v>
      </c>
      <c r="N158" s="67">
        <v>5260</v>
      </c>
      <c r="O158" s="67">
        <v>411272</v>
      </c>
      <c r="Q158" s="674">
        <v>0</v>
      </c>
      <c r="R158" s="674">
        <v>411272</v>
      </c>
      <c r="S158" s="71">
        <v>169.27072400778707</v>
      </c>
      <c r="T158" s="449"/>
      <c r="U158" s="67">
        <v>415026</v>
      </c>
      <c r="V158" s="163">
        <v>-3754</v>
      </c>
      <c r="W158" s="166">
        <v>-9.0452164442709621E-3</v>
      </c>
      <c r="X158" s="61"/>
      <c r="Z158" s="67"/>
      <c r="AA158" s="451"/>
      <c r="AB158" s="452"/>
      <c r="AE158" s="36"/>
      <c r="AF158" s="36"/>
      <c r="AG158" s="36"/>
      <c r="AH158" s="19"/>
    </row>
    <row r="159" spans="1:34">
      <c r="A159" s="64" t="s">
        <v>605</v>
      </c>
      <c r="B159" s="63" t="s">
        <v>545</v>
      </c>
      <c r="C159" s="63" t="s">
        <v>546</v>
      </c>
      <c r="D159" s="134">
        <v>64.67</v>
      </c>
      <c r="E159" s="67">
        <v>10807</v>
      </c>
      <c r="F159" s="146">
        <v>0</v>
      </c>
      <c r="G159" s="146">
        <v>0</v>
      </c>
      <c r="H159" s="91">
        <v>10807</v>
      </c>
      <c r="I159" s="67">
        <v>0</v>
      </c>
      <c r="J159" s="739">
        <v>10807</v>
      </c>
      <c r="K159" s="132" t="s">
        <v>1306</v>
      </c>
      <c r="L159" s="740">
        <v>0</v>
      </c>
      <c r="M159" s="741">
        <v>64.67</v>
      </c>
      <c r="N159" s="67">
        <v>140</v>
      </c>
      <c r="O159" s="67">
        <v>10947</v>
      </c>
      <c r="Q159" s="674">
        <v>0</v>
      </c>
      <c r="R159" s="674">
        <v>10947</v>
      </c>
      <c r="S159" s="71">
        <v>169.27477965053347</v>
      </c>
      <c r="T159" s="449"/>
      <c r="U159" s="67">
        <v>11047</v>
      </c>
      <c r="V159" s="163">
        <v>-100</v>
      </c>
      <c r="W159" s="166">
        <v>-9.0522313750339457E-3</v>
      </c>
      <c r="X159" s="61"/>
      <c r="Z159" s="67"/>
      <c r="AA159" s="451"/>
      <c r="AB159" s="452"/>
      <c r="AE159" s="36"/>
      <c r="AF159" s="36"/>
      <c r="AG159" s="36"/>
      <c r="AH159" s="19"/>
    </row>
    <row r="160" spans="1:34">
      <c r="A160" s="64" t="s">
        <v>594</v>
      </c>
      <c r="B160" s="63" t="s">
        <v>252</v>
      </c>
      <c r="C160" s="63" t="s">
        <v>253</v>
      </c>
      <c r="D160" s="134">
        <v>11.44</v>
      </c>
      <c r="E160" s="67">
        <v>1912</v>
      </c>
      <c r="F160" s="146">
        <v>0</v>
      </c>
      <c r="G160" s="146">
        <v>0</v>
      </c>
      <c r="H160" s="91">
        <v>1912</v>
      </c>
      <c r="I160" s="67">
        <v>0</v>
      </c>
      <c r="J160" s="739">
        <v>1912</v>
      </c>
      <c r="K160" s="132" t="s">
        <v>644</v>
      </c>
      <c r="L160" s="740">
        <v>1912</v>
      </c>
      <c r="M160" s="741">
        <v>0</v>
      </c>
      <c r="N160" s="67">
        <v>0</v>
      </c>
      <c r="O160" s="67">
        <v>0</v>
      </c>
      <c r="Q160" s="674">
        <v>0</v>
      </c>
      <c r="R160" s="674">
        <v>0</v>
      </c>
      <c r="S160" s="71">
        <v>0</v>
      </c>
      <c r="T160" s="449"/>
      <c r="U160" s="67">
        <v>0</v>
      </c>
      <c r="V160" s="163">
        <v>0</v>
      </c>
      <c r="W160" s="166">
        <v>0</v>
      </c>
      <c r="X160" s="61"/>
      <c r="Z160" s="67"/>
      <c r="AA160" s="451"/>
      <c r="AB160" s="452"/>
      <c r="AE160" s="36"/>
      <c r="AF160" s="36"/>
      <c r="AG160" s="36"/>
      <c r="AH160" s="19"/>
    </row>
    <row r="161" spans="1:34">
      <c r="A161" s="64" t="s">
        <v>599</v>
      </c>
      <c r="B161" s="63" t="s">
        <v>331</v>
      </c>
      <c r="C161" s="63" t="s">
        <v>611</v>
      </c>
      <c r="D161" s="134">
        <v>6.56</v>
      </c>
      <c r="E161" s="67">
        <v>1096</v>
      </c>
      <c r="F161" s="146">
        <v>0</v>
      </c>
      <c r="G161" s="146">
        <v>0</v>
      </c>
      <c r="H161" s="91">
        <v>1096</v>
      </c>
      <c r="I161" s="67">
        <v>0</v>
      </c>
      <c r="J161" s="739">
        <v>1096</v>
      </c>
      <c r="K161" s="132" t="s">
        <v>644</v>
      </c>
      <c r="L161" s="740">
        <v>1096</v>
      </c>
      <c r="M161" s="741">
        <v>0</v>
      </c>
      <c r="N161" s="67">
        <v>0</v>
      </c>
      <c r="O161" s="67">
        <v>0</v>
      </c>
      <c r="Q161" s="674">
        <v>0</v>
      </c>
      <c r="R161" s="674">
        <v>0</v>
      </c>
      <c r="S161" s="71">
        <v>0</v>
      </c>
      <c r="T161" s="449"/>
      <c r="U161" s="67">
        <v>0</v>
      </c>
      <c r="V161" s="163">
        <v>0</v>
      </c>
      <c r="W161" s="166">
        <v>0</v>
      </c>
      <c r="X161" s="61"/>
      <c r="Z161" s="67"/>
      <c r="AA161" s="451"/>
      <c r="AB161" s="452"/>
      <c r="AE161" s="36"/>
      <c r="AF161" s="36"/>
      <c r="AG161" s="36"/>
      <c r="AH161" s="19"/>
    </row>
    <row r="162" spans="1:34">
      <c r="A162" s="64" t="s">
        <v>601</v>
      </c>
      <c r="B162" s="63" t="s">
        <v>309</v>
      </c>
      <c r="C162" s="63" t="s">
        <v>310</v>
      </c>
      <c r="D162" s="134">
        <v>87</v>
      </c>
      <c r="E162" s="67">
        <v>14538</v>
      </c>
      <c r="F162" s="146">
        <v>0</v>
      </c>
      <c r="G162" s="146">
        <v>0</v>
      </c>
      <c r="H162" s="91">
        <v>14538</v>
      </c>
      <c r="I162" s="67">
        <v>0</v>
      </c>
      <c r="J162" s="739">
        <v>14538</v>
      </c>
      <c r="K162" s="132" t="s">
        <v>621</v>
      </c>
      <c r="L162" s="740">
        <v>0</v>
      </c>
      <c r="M162" s="741">
        <v>87</v>
      </c>
      <c r="N162" s="67">
        <v>188</v>
      </c>
      <c r="O162" s="67">
        <v>14726</v>
      </c>
      <c r="Q162" s="674">
        <v>0</v>
      </c>
      <c r="R162" s="674">
        <v>14726</v>
      </c>
      <c r="S162" s="71">
        <v>169.26436781609195</v>
      </c>
      <c r="T162" s="449"/>
      <c r="U162" s="67">
        <v>9590</v>
      </c>
      <c r="V162" s="163">
        <v>5136</v>
      </c>
      <c r="W162" s="166">
        <v>0.53555787278415012</v>
      </c>
      <c r="X162" s="61"/>
      <c r="Z162" s="67"/>
      <c r="AA162" s="451"/>
      <c r="AB162" s="452"/>
      <c r="AE162" s="36"/>
      <c r="AF162" s="36"/>
      <c r="AG162" s="36"/>
      <c r="AH162" s="19"/>
    </row>
    <row r="163" spans="1:34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739">
        <v>0</v>
      </c>
      <c r="K163" s="132" t="s">
        <v>644</v>
      </c>
      <c r="L163" s="740">
        <v>0</v>
      </c>
      <c r="M163" s="741">
        <v>0</v>
      </c>
      <c r="N163" s="67">
        <v>0</v>
      </c>
      <c r="O163" s="67">
        <v>0</v>
      </c>
      <c r="Q163" s="674">
        <v>0</v>
      </c>
      <c r="R163" s="674">
        <v>0</v>
      </c>
      <c r="S163" s="71">
        <v>0</v>
      </c>
      <c r="T163" s="449"/>
      <c r="U163" s="67">
        <v>0</v>
      </c>
      <c r="V163" s="163">
        <v>0</v>
      </c>
      <c r="W163" s="166">
        <v>0</v>
      </c>
      <c r="X163" s="61"/>
      <c r="Z163" s="67"/>
      <c r="AA163" s="451"/>
      <c r="AB163" s="452"/>
      <c r="AE163" s="36"/>
      <c r="AF163" s="36"/>
      <c r="AG163" s="36"/>
      <c r="AH163" s="19"/>
    </row>
    <row r="164" spans="1:34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132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>
        <v>0</v>
      </c>
      <c r="S164" s="71">
        <v>0</v>
      </c>
      <c r="T164" s="449"/>
      <c r="U164" s="67">
        <v>0</v>
      </c>
      <c r="V164" s="163">
        <v>0</v>
      </c>
      <c r="W164" s="166">
        <v>0</v>
      </c>
      <c r="X164" s="61"/>
      <c r="Z164" s="67"/>
      <c r="AA164" s="451"/>
      <c r="AB164" s="452"/>
      <c r="AE164" s="36"/>
      <c r="AF164" s="36"/>
      <c r="AG164" s="36"/>
      <c r="AH164" s="19"/>
    </row>
    <row r="165" spans="1:34">
      <c r="A165" s="64" t="s">
        <v>595</v>
      </c>
      <c r="B165" s="63" t="s">
        <v>514</v>
      </c>
      <c r="C165" s="63" t="s">
        <v>515</v>
      </c>
      <c r="D165" s="134">
        <v>193.78</v>
      </c>
      <c r="E165" s="67">
        <v>32382</v>
      </c>
      <c r="F165" s="146">
        <v>0</v>
      </c>
      <c r="G165" s="146">
        <v>0</v>
      </c>
      <c r="H165" s="91">
        <v>32382</v>
      </c>
      <c r="I165" s="67">
        <v>0</v>
      </c>
      <c r="J165" s="739">
        <v>32382</v>
      </c>
      <c r="K165" s="132" t="s">
        <v>621</v>
      </c>
      <c r="L165" s="740">
        <v>0</v>
      </c>
      <c r="M165" s="741">
        <v>193.78</v>
      </c>
      <c r="N165" s="67">
        <v>420</v>
      </c>
      <c r="O165" s="67">
        <v>32802</v>
      </c>
      <c r="Q165" s="674">
        <v>0</v>
      </c>
      <c r="R165" s="674">
        <v>32802</v>
      </c>
      <c r="S165" s="71">
        <v>169.27443492620498</v>
      </c>
      <c r="T165" s="449"/>
      <c r="U165" s="67">
        <v>33101</v>
      </c>
      <c r="V165" s="163">
        <v>-299</v>
      </c>
      <c r="W165" s="166">
        <v>-9.032959729313313E-3</v>
      </c>
      <c r="X165" s="61"/>
      <c r="Z165" s="67"/>
      <c r="AA165" s="451"/>
      <c r="AB165" s="452"/>
      <c r="AE165" s="36"/>
      <c r="AF165" s="36"/>
      <c r="AG165" s="36"/>
      <c r="AH165" s="19"/>
    </row>
    <row r="166" spans="1:34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739">
        <v>0</v>
      </c>
      <c r="K166" s="132" t="s">
        <v>644</v>
      </c>
      <c r="L166" s="740">
        <v>0</v>
      </c>
      <c r="M166" s="741">
        <v>0</v>
      </c>
      <c r="N166" s="67">
        <v>0</v>
      </c>
      <c r="O166" s="67">
        <v>0</v>
      </c>
      <c r="Q166" s="674">
        <v>0</v>
      </c>
      <c r="R166" s="674">
        <v>0</v>
      </c>
      <c r="S166" s="71">
        <v>0</v>
      </c>
      <c r="T166" s="449"/>
      <c r="U166" s="67">
        <v>0</v>
      </c>
      <c r="V166" s="163">
        <v>0</v>
      </c>
      <c r="W166" s="166">
        <v>0</v>
      </c>
      <c r="X166" s="61"/>
      <c r="Z166" s="67"/>
      <c r="AA166" s="451"/>
      <c r="AB166" s="452"/>
      <c r="AE166" s="36"/>
      <c r="AF166" s="36"/>
      <c r="AG166" s="36"/>
      <c r="AH166" s="19"/>
    </row>
    <row r="167" spans="1:34">
      <c r="A167" s="64" t="s">
        <v>596</v>
      </c>
      <c r="B167" s="63" t="s">
        <v>106</v>
      </c>
      <c r="C167" s="63" t="s">
        <v>107</v>
      </c>
      <c r="D167" s="134">
        <v>722.33</v>
      </c>
      <c r="E167" s="67">
        <v>120706</v>
      </c>
      <c r="F167" s="146">
        <v>0</v>
      </c>
      <c r="G167" s="146">
        <v>0</v>
      </c>
      <c r="H167" s="91">
        <v>120706</v>
      </c>
      <c r="I167" s="67">
        <v>0</v>
      </c>
      <c r="J167" s="739">
        <v>120706</v>
      </c>
      <c r="K167" s="132" t="s">
        <v>621</v>
      </c>
      <c r="L167" s="740">
        <v>0</v>
      </c>
      <c r="M167" s="741">
        <v>722.33</v>
      </c>
      <c r="N167" s="67">
        <v>1564</v>
      </c>
      <c r="O167" s="67">
        <v>122270</v>
      </c>
      <c r="Q167" s="674">
        <v>0</v>
      </c>
      <c r="R167" s="674">
        <v>122270</v>
      </c>
      <c r="S167" s="71">
        <v>169.27166253651376</v>
      </c>
      <c r="T167" s="449"/>
      <c r="U167" s="67">
        <v>123385</v>
      </c>
      <c r="V167" s="163">
        <v>-1115</v>
      </c>
      <c r="W167" s="166">
        <v>-9.0367548729586248E-3</v>
      </c>
      <c r="X167" s="61"/>
      <c r="Z167" s="67"/>
      <c r="AA167" s="451"/>
      <c r="AB167" s="452"/>
      <c r="AE167" s="36"/>
      <c r="AF167" s="36"/>
      <c r="AG167" s="36"/>
      <c r="AH167" s="19"/>
    </row>
    <row r="168" spans="1:34">
      <c r="A168" s="64" t="s">
        <v>600</v>
      </c>
      <c r="B168" s="63" t="s">
        <v>214</v>
      </c>
      <c r="C168" s="63" t="s">
        <v>215</v>
      </c>
      <c r="D168" s="134">
        <v>167.22</v>
      </c>
      <c r="E168" s="67">
        <v>27943</v>
      </c>
      <c r="F168" s="146">
        <v>0</v>
      </c>
      <c r="G168" s="146">
        <v>0</v>
      </c>
      <c r="H168" s="91">
        <v>27943</v>
      </c>
      <c r="I168" s="67">
        <v>0</v>
      </c>
      <c r="J168" s="739">
        <v>27943</v>
      </c>
      <c r="K168" s="132" t="s">
        <v>621</v>
      </c>
      <c r="L168" s="740">
        <v>0</v>
      </c>
      <c r="M168" s="741">
        <v>167.22</v>
      </c>
      <c r="N168" s="67">
        <v>362</v>
      </c>
      <c r="O168" s="67">
        <v>28305</v>
      </c>
      <c r="Q168" s="674">
        <v>0</v>
      </c>
      <c r="R168" s="674">
        <v>28305</v>
      </c>
      <c r="S168" s="71">
        <v>169.26803013993541</v>
      </c>
      <c r="T168" s="449"/>
      <c r="U168" s="67">
        <v>28564</v>
      </c>
      <c r="V168" s="163">
        <v>-259</v>
      </c>
      <c r="W168" s="166">
        <v>-9.0673575129533671E-3</v>
      </c>
      <c r="X168" s="61"/>
      <c r="Z168" s="67"/>
      <c r="AA168" s="451"/>
      <c r="AB168" s="452"/>
      <c r="AE168" s="36"/>
      <c r="AF168" s="36"/>
      <c r="AG168" s="36"/>
      <c r="AH168" s="19"/>
    </row>
    <row r="169" spans="1:34">
      <c r="A169" s="64" t="s">
        <v>600</v>
      </c>
      <c r="B169" s="63" t="s">
        <v>305</v>
      </c>
      <c r="C169" s="63" t="s">
        <v>306</v>
      </c>
      <c r="D169" s="134">
        <v>127.33</v>
      </c>
      <c r="E169" s="67">
        <v>21278</v>
      </c>
      <c r="F169" s="146">
        <v>0</v>
      </c>
      <c r="G169" s="146">
        <v>0</v>
      </c>
      <c r="H169" s="91">
        <v>21278</v>
      </c>
      <c r="I169" s="67">
        <v>0</v>
      </c>
      <c r="J169" s="739">
        <v>21278</v>
      </c>
      <c r="K169" s="132" t="s">
        <v>621</v>
      </c>
      <c r="L169" s="740">
        <v>0</v>
      </c>
      <c r="M169" s="741">
        <v>127.33</v>
      </c>
      <c r="N169" s="67">
        <v>276</v>
      </c>
      <c r="O169" s="67">
        <v>21554</v>
      </c>
      <c r="Q169" s="674">
        <v>0</v>
      </c>
      <c r="R169" s="674">
        <v>21554</v>
      </c>
      <c r="S169" s="71">
        <v>169.27668263567108</v>
      </c>
      <c r="T169" s="449"/>
      <c r="U169" s="67">
        <v>21750</v>
      </c>
      <c r="V169" s="163">
        <v>-196</v>
      </c>
      <c r="W169" s="166">
        <v>-9.0114942528735625E-3</v>
      </c>
      <c r="X169" s="61"/>
      <c r="Z169" s="67"/>
      <c r="AA169" s="451"/>
      <c r="AB169" s="452"/>
      <c r="AE169" s="36"/>
      <c r="AF169" s="36"/>
      <c r="AG169" s="36"/>
      <c r="AH169" s="19"/>
    </row>
    <row r="170" spans="1:34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739">
        <v>0</v>
      </c>
      <c r="K170" s="132" t="s">
        <v>644</v>
      </c>
      <c r="L170" s="740">
        <v>0</v>
      </c>
      <c r="M170" s="741">
        <v>0</v>
      </c>
      <c r="N170" s="67">
        <v>0</v>
      </c>
      <c r="O170" s="67">
        <v>0</v>
      </c>
      <c r="Q170" s="674">
        <v>0</v>
      </c>
      <c r="R170" s="674">
        <v>0</v>
      </c>
      <c r="S170" s="71">
        <v>0</v>
      </c>
      <c r="T170" s="449"/>
      <c r="U170" s="67">
        <v>0</v>
      </c>
      <c r="V170" s="163">
        <v>0</v>
      </c>
      <c r="W170" s="166">
        <v>0</v>
      </c>
      <c r="X170" s="61"/>
      <c r="Z170" s="67"/>
      <c r="AA170" s="451"/>
      <c r="AB170" s="452"/>
      <c r="AE170" s="36"/>
      <c r="AF170" s="36"/>
      <c r="AG170" s="36"/>
      <c r="AH170" s="19"/>
    </row>
    <row r="171" spans="1:34">
      <c r="A171" s="64" t="s">
        <v>594</v>
      </c>
      <c r="B171" s="63" t="s">
        <v>474</v>
      </c>
      <c r="C171" s="63" t="s">
        <v>475</v>
      </c>
      <c r="D171" s="134">
        <v>591.11</v>
      </c>
      <c r="E171" s="67">
        <v>98778</v>
      </c>
      <c r="F171" s="146">
        <v>0</v>
      </c>
      <c r="G171" s="146">
        <v>0</v>
      </c>
      <c r="H171" s="91">
        <v>98778</v>
      </c>
      <c r="I171" s="67">
        <v>0</v>
      </c>
      <c r="J171" s="739">
        <v>98778</v>
      </c>
      <c r="K171" s="132" t="s">
        <v>621</v>
      </c>
      <c r="L171" s="740">
        <v>0</v>
      </c>
      <c r="M171" s="741">
        <v>591.11</v>
      </c>
      <c r="N171" s="67">
        <v>1280</v>
      </c>
      <c r="O171" s="67">
        <v>100058</v>
      </c>
      <c r="Q171" s="674">
        <v>0</v>
      </c>
      <c r="R171" s="674">
        <v>100058</v>
      </c>
      <c r="S171" s="71">
        <v>169.27137081084737</v>
      </c>
      <c r="T171" s="449"/>
      <c r="U171" s="67">
        <v>100971</v>
      </c>
      <c r="V171" s="163">
        <v>-913</v>
      </c>
      <c r="W171" s="166">
        <v>-9.0422002357112442E-3</v>
      </c>
      <c r="X171" s="61"/>
      <c r="Z171" s="67"/>
      <c r="AA171" s="451"/>
      <c r="AB171" s="452"/>
      <c r="AE171" s="36"/>
      <c r="AF171" s="36"/>
      <c r="AG171" s="36"/>
      <c r="AH171" s="19"/>
    </row>
    <row r="172" spans="1:34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132" t="s">
        <v>644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>
        <v>0</v>
      </c>
      <c r="S172" s="71">
        <v>0</v>
      </c>
      <c r="T172" s="449"/>
      <c r="U172" s="67">
        <v>0</v>
      </c>
      <c r="V172" s="163">
        <v>0</v>
      </c>
      <c r="W172" s="166">
        <v>0</v>
      </c>
      <c r="X172" s="61"/>
      <c r="Z172" s="67"/>
      <c r="AA172" s="451"/>
      <c r="AB172" s="452"/>
      <c r="AE172" s="36"/>
      <c r="AF172" s="36"/>
      <c r="AG172" s="36"/>
      <c r="AH172" s="19"/>
    </row>
    <row r="173" spans="1:34">
      <c r="A173" s="64" t="s">
        <v>597</v>
      </c>
      <c r="B173" s="63" t="s">
        <v>209</v>
      </c>
      <c r="C173" s="63" t="s">
        <v>210</v>
      </c>
      <c r="D173" s="134">
        <v>1144.22</v>
      </c>
      <c r="E173" s="67">
        <v>191206</v>
      </c>
      <c r="F173" s="146">
        <v>0</v>
      </c>
      <c r="G173" s="146">
        <v>0</v>
      </c>
      <c r="H173" s="91">
        <v>191206</v>
      </c>
      <c r="I173" s="67">
        <v>0</v>
      </c>
      <c r="J173" s="739">
        <v>191206</v>
      </c>
      <c r="K173" s="132" t="s">
        <v>621</v>
      </c>
      <c r="L173" s="740">
        <v>0</v>
      </c>
      <c r="M173" s="741">
        <v>1144.22</v>
      </c>
      <c r="N173" s="67">
        <v>2477</v>
      </c>
      <c r="O173" s="67">
        <v>193683</v>
      </c>
      <c r="Q173" s="674">
        <v>0</v>
      </c>
      <c r="R173" s="674">
        <v>193683</v>
      </c>
      <c r="S173" s="71">
        <v>169.27076960724335</v>
      </c>
      <c r="T173" s="449"/>
      <c r="U173" s="67">
        <v>195451</v>
      </c>
      <c r="V173" s="163">
        <v>-1768</v>
      </c>
      <c r="W173" s="166">
        <v>-9.0457454809645382E-3</v>
      </c>
      <c r="X173" s="61"/>
      <c r="Z173" s="67"/>
      <c r="AA173" s="451"/>
      <c r="AB173" s="452"/>
      <c r="AE173" s="36"/>
      <c r="AF173" s="36"/>
      <c r="AG173" s="36"/>
      <c r="AH173" s="19"/>
    </row>
    <row r="174" spans="1:34">
      <c r="A174" s="64" t="s">
        <v>595</v>
      </c>
      <c r="B174" s="63" t="s">
        <v>157</v>
      </c>
      <c r="C174" s="63" t="s">
        <v>158</v>
      </c>
      <c r="D174" s="134">
        <v>128.78</v>
      </c>
      <c r="E174" s="67">
        <v>21520</v>
      </c>
      <c r="F174" s="146">
        <v>0</v>
      </c>
      <c r="G174" s="146">
        <v>0</v>
      </c>
      <c r="H174" s="91">
        <v>21520</v>
      </c>
      <c r="I174" s="67">
        <v>0</v>
      </c>
      <c r="J174" s="739">
        <v>21520</v>
      </c>
      <c r="K174" s="132" t="s">
        <v>621</v>
      </c>
      <c r="L174" s="740">
        <v>0</v>
      </c>
      <c r="M174" s="741">
        <v>128.78</v>
      </c>
      <c r="N174" s="67">
        <v>279</v>
      </c>
      <c r="O174" s="67">
        <v>21799</v>
      </c>
      <c r="Q174" s="674">
        <v>0</v>
      </c>
      <c r="R174" s="674">
        <v>21799</v>
      </c>
      <c r="S174" s="71">
        <v>169.27317906507221</v>
      </c>
      <c r="T174" s="449"/>
      <c r="U174" s="67">
        <v>21997</v>
      </c>
      <c r="V174" s="163">
        <v>-198</v>
      </c>
      <c r="W174" s="166">
        <v>-9.0012274401054682E-3</v>
      </c>
      <c r="X174" s="61"/>
      <c r="Z174" s="67"/>
      <c r="AA174" s="451"/>
      <c r="AB174" s="452"/>
      <c r="AE174" s="36"/>
      <c r="AF174" s="36"/>
      <c r="AG174" s="36"/>
      <c r="AH174" s="19"/>
    </row>
    <row r="175" spans="1:34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739">
        <v>0</v>
      </c>
      <c r="K175" s="132" t="s">
        <v>644</v>
      </c>
      <c r="L175" s="740">
        <v>0</v>
      </c>
      <c r="M175" s="741">
        <v>0</v>
      </c>
      <c r="N175" s="67">
        <v>0</v>
      </c>
      <c r="O175" s="67">
        <v>0</v>
      </c>
      <c r="Q175" s="674">
        <v>0</v>
      </c>
      <c r="R175" s="674">
        <v>0</v>
      </c>
      <c r="S175" s="71">
        <v>0</v>
      </c>
      <c r="T175" s="449"/>
      <c r="U175" s="67">
        <v>0</v>
      </c>
      <c r="V175" s="163">
        <v>0</v>
      </c>
      <c r="W175" s="166">
        <v>0</v>
      </c>
      <c r="X175" s="61"/>
      <c r="Z175" s="67"/>
      <c r="AA175" s="451"/>
      <c r="AB175" s="452"/>
      <c r="AE175" s="36"/>
      <c r="AF175" s="36"/>
      <c r="AG175" s="36"/>
      <c r="AH175" s="19"/>
    </row>
    <row r="176" spans="1:34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739">
        <v>0</v>
      </c>
      <c r="K176" s="132" t="s">
        <v>644</v>
      </c>
      <c r="L176" s="740">
        <v>0</v>
      </c>
      <c r="M176" s="741">
        <v>0</v>
      </c>
      <c r="N176" s="67">
        <v>0</v>
      </c>
      <c r="O176" s="67">
        <v>0</v>
      </c>
      <c r="P176" s="674">
        <v>0.87</v>
      </c>
      <c r="Q176" s="674">
        <v>0</v>
      </c>
      <c r="R176" s="674">
        <v>0</v>
      </c>
      <c r="S176" s="71">
        <v>0</v>
      </c>
      <c r="T176" s="449"/>
      <c r="U176" s="67">
        <v>0</v>
      </c>
      <c r="V176" s="163">
        <v>0</v>
      </c>
      <c r="W176" s="166">
        <v>0</v>
      </c>
      <c r="X176" s="61"/>
      <c r="Z176" s="67"/>
      <c r="AA176" s="451"/>
      <c r="AB176" s="452"/>
      <c r="AE176" s="36"/>
      <c r="AF176" s="36"/>
      <c r="AG176" s="36"/>
      <c r="AH176" s="19"/>
    </row>
    <row r="177" spans="1:34">
      <c r="A177" s="64" t="s">
        <v>599</v>
      </c>
      <c r="B177" s="63" t="s">
        <v>325</v>
      </c>
      <c r="C177" s="63" t="s">
        <v>326</v>
      </c>
      <c r="D177" s="134">
        <v>44.11</v>
      </c>
      <c r="E177" s="67">
        <v>7371</v>
      </c>
      <c r="F177" s="146">
        <v>0</v>
      </c>
      <c r="G177" s="146">
        <v>0</v>
      </c>
      <c r="H177" s="91">
        <v>7371</v>
      </c>
      <c r="I177" s="67">
        <v>0</v>
      </c>
      <c r="J177" s="739">
        <v>7371</v>
      </c>
      <c r="K177" s="132" t="s">
        <v>1306</v>
      </c>
      <c r="L177" s="740">
        <v>0</v>
      </c>
      <c r="M177" s="741">
        <v>44.11</v>
      </c>
      <c r="N177" s="67">
        <v>95</v>
      </c>
      <c r="O177" s="67">
        <v>7466</v>
      </c>
      <c r="Q177" s="674">
        <v>0</v>
      </c>
      <c r="R177" s="674">
        <v>7466</v>
      </c>
      <c r="S177" s="71">
        <v>169.25867150306053</v>
      </c>
      <c r="T177" s="449"/>
      <c r="U177" s="67">
        <v>7535</v>
      </c>
      <c r="V177" s="163">
        <v>-69</v>
      </c>
      <c r="W177" s="166">
        <v>-9.1572660915726616E-3</v>
      </c>
      <c r="X177" s="61"/>
      <c r="Z177" s="67"/>
      <c r="AA177" s="451"/>
      <c r="AB177" s="452"/>
      <c r="AE177" s="36"/>
      <c r="AF177" s="36"/>
      <c r="AG177" s="36"/>
      <c r="AH177" s="19"/>
    </row>
    <row r="178" spans="1:34">
      <c r="A178" s="64" t="s">
        <v>594</v>
      </c>
      <c r="B178" s="63" t="s">
        <v>153</v>
      </c>
      <c r="C178" s="63" t="s">
        <v>154</v>
      </c>
      <c r="D178" s="134">
        <v>51.89</v>
      </c>
      <c r="E178" s="67">
        <v>8671</v>
      </c>
      <c r="F178" s="146">
        <v>0</v>
      </c>
      <c r="G178" s="146">
        <v>0</v>
      </c>
      <c r="H178" s="91">
        <v>8671</v>
      </c>
      <c r="I178" s="67">
        <v>0</v>
      </c>
      <c r="J178" s="739">
        <v>8671</v>
      </c>
      <c r="K178" s="132" t="s">
        <v>644</v>
      </c>
      <c r="L178" s="740">
        <v>8671</v>
      </c>
      <c r="M178" s="741">
        <v>0</v>
      </c>
      <c r="N178" s="67">
        <v>0</v>
      </c>
      <c r="O178" s="67">
        <v>0</v>
      </c>
      <c r="Q178" s="674">
        <v>0</v>
      </c>
      <c r="R178" s="674">
        <v>0</v>
      </c>
      <c r="S178" s="71">
        <v>0</v>
      </c>
      <c r="T178" s="449"/>
      <c r="U178" s="67">
        <v>0</v>
      </c>
      <c r="V178" s="163">
        <v>0</v>
      </c>
      <c r="W178" s="166">
        <v>0</v>
      </c>
      <c r="X178" s="61"/>
      <c r="Z178" s="67"/>
      <c r="AA178" s="451"/>
      <c r="AB178" s="452"/>
      <c r="AE178" s="36"/>
      <c r="AF178" s="36"/>
      <c r="AG178" s="36"/>
      <c r="AH178" s="19"/>
    </row>
    <row r="179" spans="1:34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132" t="s">
        <v>644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>
        <v>0</v>
      </c>
      <c r="S179" s="71">
        <v>0</v>
      </c>
      <c r="T179" s="449"/>
      <c r="U179" s="67">
        <v>0</v>
      </c>
      <c r="V179" s="163">
        <v>0</v>
      </c>
      <c r="W179" s="166">
        <v>0</v>
      </c>
      <c r="X179" s="61"/>
      <c r="Z179" s="67"/>
      <c r="AA179" s="451"/>
      <c r="AB179" s="452"/>
      <c r="AE179" s="36"/>
      <c r="AF179" s="36"/>
      <c r="AG179" s="36"/>
      <c r="AH179" s="19"/>
    </row>
    <row r="180" spans="1:34">
      <c r="A180" s="64" t="s">
        <v>601</v>
      </c>
      <c r="B180" s="63" t="s">
        <v>313</v>
      </c>
      <c r="C180" s="63" t="s">
        <v>314</v>
      </c>
      <c r="D180" s="134">
        <v>90.44</v>
      </c>
      <c r="E180" s="67">
        <v>15113</v>
      </c>
      <c r="F180" s="146">
        <v>0</v>
      </c>
      <c r="G180" s="146">
        <v>0</v>
      </c>
      <c r="H180" s="91">
        <v>15113</v>
      </c>
      <c r="I180" s="67">
        <v>0</v>
      </c>
      <c r="J180" s="739">
        <v>15113</v>
      </c>
      <c r="K180" s="132" t="s">
        <v>621</v>
      </c>
      <c r="L180" s="740">
        <v>0</v>
      </c>
      <c r="M180" s="741">
        <v>90.44</v>
      </c>
      <c r="N180" s="67">
        <v>196</v>
      </c>
      <c r="O180" s="67">
        <v>15309</v>
      </c>
      <c r="Q180" s="674">
        <v>0</v>
      </c>
      <c r="R180" s="674">
        <v>15309</v>
      </c>
      <c r="S180" s="71">
        <v>169.27244582043343</v>
      </c>
      <c r="T180" s="449"/>
      <c r="U180" s="67">
        <v>15449</v>
      </c>
      <c r="V180" s="163">
        <v>-140</v>
      </c>
      <c r="W180" s="166">
        <v>-9.0620752152242856E-3</v>
      </c>
      <c r="X180" s="61"/>
      <c r="Z180" s="67"/>
      <c r="AA180" s="451"/>
      <c r="AB180" s="452"/>
      <c r="AE180" s="36"/>
      <c r="AF180" s="36"/>
      <c r="AG180" s="36"/>
      <c r="AH180" s="19"/>
    </row>
    <row r="181" spans="1:34">
      <c r="A181" s="64" t="s">
        <v>594</v>
      </c>
      <c r="B181" s="63" t="s">
        <v>478</v>
      </c>
      <c r="C181" s="63" t="s">
        <v>479</v>
      </c>
      <c r="D181" s="134">
        <v>201.89</v>
      </c>
      <c r="E181" s="67">
        <v>33737</v>
      </c>
      <c r="F181" s="146">
        <v>0</v>
      </c>
      <c r="G181" s="146">
        <v>0</v>
      </c>
      <c r="H181" s="91">
        <v>33737</v>
      </c>
      <c r="I181" s="67">
        <v>0</v>
      </c>
      <c r="J181" s="739">
        <v>33737</v>
      </c>
      <c r="K181" s="132" t="s">
        <v>621</v>
      </c>
      <c r="L181" s="740">
        <v>0</v>
      </c>
      <c r="M181" s="741">
        <v>201.89</v>
      </c>
      <c r="N181" s="67">
        <v>437</v>
      </c>
      <c r="O181" s="67">
        <v>34174</v>
      </c>
      <c r="Q181" s="674">
        <v>0</v>
      </c>
      <c r="R181" s="674">
        <v>34174</v>
      </c>
      <c r="S181" s="71">
        <v>169.27039476942892</v>
      </c>
      <c r="T181" s="449"/>
      <c r="U181" s="67">
        <v>34486</v>
      </c>
      <c r="V181" s="163">
        <v>-312</v>
      </c>
      <c r="W181" s="166">
        <v>-9.0471495679406138E-3</v>
      </c>
      <c r="X181" s="61"/>
      <c r="Z181" s="67"/>
      <c r="AA181" s="451"/>
      <c r="AB181" s="452"/>
      <c r="AE181" s="36"/>
      <c r="AF181" s="36"/>
      <c r="AG181" s="36"/>
      <c r="AH181" s="19"/>
    </row>
    <row r="182" spans="1:34">
      <c r="A182" s="64" t="s">
        <v>601</v>
      </c>
      <c r="B182" s="63" t="s">
        <v>311</v>
      </c>
      <c r="C182" s="63" t="s">
        <v>312</v>
      </c>
      <c r="D182" s="134">
        <v>92.67</v>
      </c>
      <c r="E182" s="67">
        <v>15486</v>
      </c>
      <c r="F182" s="146">
        <v>0</v>
      </c>
      <c r="G182" s="146">
        <v>0</v>
      </c>
      <c r="H182" s="91">
        <v>15486</v>
      </c>
      <c r="I182" s="67">
        <v>0</v>
      </c>
      <c r="J182" s="739">
        <v>15486</v>
      </c>
      <c r="K182" s="132" t="s">
        <v>621</v>
      </c>
      <c r="L182" s="740">
        <v>0</v>
      </c>
      <c r="M182" s="741">
        <v>92.67</v>
      </c>
      <c r="N182" s="67">
        <v>201</v>
      </c>
      <c r="O182" s="67">
        <v>15687</v>
      </c>
      <c r="Q182" s="674">
        <v>0</v>
      </c>
      <c r="R182" s="674">
        <v>15687</v>
      </c>
      <c r="S182" s="71">
        <v>169.27808352217545</v>
      </c>
      <c r="T182" s="449"/>
      <c r="U182" s="67">
        <v>15830</v>
      </c>
      <c r="V182" s="163">
        <v>-143</v>
      </c>
      <c r="W182" s="166">
        <v>-9.0334807327858493E-3</v>
      </c>
      <c r="X182" s="61"/>
      <c r="Z182" s="67"/>
      <c r="AA182" s="451"/>
      <c r="AB182" s="452"/>
      <c r="AE182" s="36"/>
      <c r="AF182" s="36"/>
      <c r="AG182" s="36"/>
      <c r="AH182" s="19"/>
    </row>
    <row r="183" spans="1:34">
      <c r="A183" s="64" t="s">
        <v>594</v>
      </c>
      <c r="B183" s="63" t="s">
        <v>270</v>
      </c>
      <c r="C183" s="63" t="s">
        <v>271</v>
      </c>
      <c r="D183" s="134">
        <v>24.33</v>
      </c>
      <c r="E183" s="67">
        <v>4066</v>
      </c>
      <c r="F183" s="146">
        <v>0</v>
      </c>
      <c r="G183" s="146">
        <v>0</v>
      </c>
      <c r="H183" s="91">
        <v>4066</v>
      </c>
      <c r="I183" s="67">
        <v>0</v>
      </c>
      <c r="J183" s="739">
        <v>4066</v>
      </c>
      <c r="K183" s="132" t="s">
        <v>644</v>
      </c>
      <c r="L183" s="740">
        <v>4066</v>
      </c>
      <c r="M183" s="741">
        <v>0</v>
      </c>
      <c r="N183" s="67">
        <v>0</v>
      </c>
      <c r="O183" s="67">
        <v>0</v>
      </c>
      <c r="Q183" s="674">
        <v>0</v>
      </c>
      <c r="R183" s="674">
        <v>0</v>
      </c>
      <c r="S183" s="71">
        <v>0</v>
      </c>
      <c r="T183" s="449"/>
      <c r="U183" s="67">
        <v>0</v>
      </c>
      <c r="V183" s="163">
        <v>0</v>
      </c>
      <c r="W183" s="166">
        <v>0</v>
      </c>
      <c r="X183" s="61"/>
      <c r="Z183" s="67"/>
      <c r="AA183" s="451"/>
      <c r="AB183" s="452"/>
      <c r="AE183" s="36"/>
      <c r="AF183" s="36"/>
      <c r="AG183" s="36"/>
      <c r="AH183" s="19"/>
    </row>
    <row r="184" spans="1:34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132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>
        <v>0</v>
      </c>
      <c r="S184" s="71">
        <v>0</v>
      </c>
      <c r="T184" s="449"/>
      <c r="U184" s="67">
        <v>0</v>
      </c>
      <c r="V184" s="163">
        <v>0</v>
      </c>
      <c r="W184" s="166">
        <v>0</v>
      </c>
      <c r="X184" s="61"/>
      <c r="Z184" s="67"/>
      <c r="AA184" s="451"/>
      <c r="AB184" s="452"/>
      <c r="AE184" s="36"/>
      <c r="AF184" s="36"/>
      <c r="AG184" s="36"/>
      <c r="AH184" s="19"/>
    </row>
    <row r="185" spans="1:34">
      <c r="A185" s="64" t="s">
        <v>595</v>
      </c>
      <c r="B185" s="63" t="s">
        <v>372</v>
      </c>
      <c r="C185" s="63" t="s">
        <v>613</v>
      </c>
      <c r="D185" s="134">
        <v>22.89</v>
      </c>
      <c r="E185" s="67">
        <v>3825</v>
      </c>
      <c r="F185" s="146">
        <v>0</v>
      </c>
      <c r="G185" s="146">
        <v>0</v>
      </c>
      <c r="H185" s="91">
        <v>3825</v>
      </c>
      <c r="I185" s="67">
        <v>0</v>
      </c>
      <c r="J185" s="739">
        <v>3825</v>
      </c>
      <c r="K185" s="132" t="s">
        <v>1306</v>
      </c>
      <c r="L185" s="740">
        <v>0</v>
      </c>
      <c r="M185" s="741">
        <v>22.89</v>
      </c>
      <c r="N185" s="67">
        <v>50</v>
      </c>
      <c r="O185" s="67">
        <v>3875</v>
      </c>
      <c r="Q185" s="674">
        <v>0</v>
      </c>
      <c r="R185" s="674">
        <v>3875</v>
      </c>
      <c r="S185" s="71">
        <v>169.2878986456968</v>
      </c>
      <c r="T185" s="449"/>
      <c r="U185" s="67">
        <v>3910</v>
      </c>
      <c r="V185" s="163">
        <v>-35</v>
      </c>
      <c r="W185" s="166">
        <v>-8.9514066496163679E-3</v>
      </c>
      <c r="X185" s="61"/>
      <c r="Z185" s="67"/>
      <c r="AA185" s="451"/>
      <c r="AB185" s="452"/>
      <c r="AE185" s="36"/>
      <c r="AF185" s="36"/>
      <c r="AG185" s="36"/>
      <c r="AH185" s="19"/>
    </row>
    <row r="186" spans="1:34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739">
        <v>0</v>
      </c>
      <c r="K186" s="132" t="s">
        <v>644</v>
      </c>
      <c r="L186" s="740">
        <v>0</v>
      </c>
      <c r="M186" s="741">
        <v>0</v>
      </c>
      <c r="N186" s="67">
        <v>0</v>
      </c>
      <c r="O186" s="67">
        <v>0</v>
      </c>
      <c r="Q186" s="674">
        <v>0</v>
      </c>
      <c r="R186" s="674">
        <v>0</v>
      </c>
      <c r="S186" s="71">
        <v>0</v>
      </c>
      <c r="T186" s="449"/>
      <c r="U186" s="67">
        <v>0</v>
      </c>
      <c r="V186" s="163">
        <v>0</v>
      </c>
      <c r="W186" s="166">
        <v>0</v>
      </c>
      <c r="X186" s="61"/>
      <c r="Z186" s="67"/>
      <c r="AA186" s="451"/>
      <c r="AB186" s="452"/>
      <c r="AE186" s="36"/>
      <c r="AF186" s="36"/>
      <c r="AG186" s="36"/>
      <c r="AH186" s="19"/>
    </row>
    <row r="187" spans="1:34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739">
        <v>0</v>
      </c>
      <c r="K187" s="132" t="s">
        <v>644</v>
      </c>
      <c r="L187" s="740">
        <v>0</v>
      </c>
      <c r="M187" s="741">
        <v>0</v>
      </c>
      <c r="N187" s="67">
        <v>0</v>
      </c>
      <c r="O187" s="67">
        <v>0</v>
      </c>
      <c r="Q187" s="674">
        <v>0</v>
      </c>
      <c r="R187" s="674">
        <v>0</v>
      </c>
      <c r="S187" s="71">
        <v>0</v>
      </c>
      <c r="T187" s="449"/>
      <c r="U187" s="67">
        <v>0</v>
      </c>
      <c r="V187" s="163">
        <v>0</v>
      </c>
      <c r="W187" s="166">
        <v>0</v>
      </c>
      <c r="X187" s="61"/>
      <c r="Z187" s="67"/>
      <c r="AA187" s="451"/>
      <c r="AB187" s="452"/>
      <c r="AE187" s="36"/>
      <c r="AF187" s="36"/>
      <c r="AG187" s="36"/>
      <c r="AH187" s="19"/>
    </row>
    <row r="188" spans="1:34">
      <c r="A188" s="64" t="s">
        <v>601</v>
      </c>
      <c r="B188" s="63" t="s">
        <v>82</v>
      </c>
      <c r="C188" s="63" t="s">
        <v>83</v>
      </c>
      <c r="D188" s="134">
        <v>104.56</v>
      </c>
      <c r="E188" s="67">
        <v>17473</v>
      </c>
      <c r="F188" s="146">
        <v>0</v>
      </c>
      <c r="G188" s="146">
        <v>0</v>
      </c>
      <c r="H188" s="91">
        <v>17473</v>
      </c>
      <c r="I188" s="67">
        <v>0</v>
      </c>
      <c r="J188" s="739">
        <v>17473</v>
      </c>
      <c r="K188" s="132" t="s">
        <v>621</v>
      </c>
      <c r="L188" s="740">
        <v>0</v>
      </c>
      <c r="M188" s="741">
        <v>104.56</v>
      </c>
      <c r="N188" s="67">
        <v>226</v>
      </c>
      <c r="O188" s="67">
        <v>17699</v>
      </c>
      <c r="Q188" s="674">
        <v>0</v>
      </c>
      <c r="R188" s="674">
        <v>17699</v>
      </c>
      <c r="S188" s="71">
        <v>169.27123182861516</v>
      </c>
      <c r="T188" s="449"/>
      <c r="U188" s="67">
        <v>17860</v>
      </c>
      <c r="V188" s="163">
        <v>-161</v>
      </c>
      <c r="W188" s="166">
        <v>-9.0145576707726764E-3</v>
      </c>
      <c r="X188" s="61"/>
      <c r="Z188" s="67"/>
      <c r="AA188" s="451"/>
      <c r="AB188" s="452"/>
      <c r="AE188" s="36"/>
      <c r="AF188" s="36"/>
      <c r="AG188" s="36"/>
      <c r="AH188" s="19"/>
    </row>
    <row r="189" spans="1:34">
      <c r="A189" s="64" t="s">
        <v>601</v>
      </c>
      <c r="B189" s="63" t="s">
        <v>323</v>
      </c>
      <c r="C189" s="63" t="s">
        <v>324</v>
      </c>
      <c r="D189" s="134">
        <v>98.89</v>
      </c>
      <c r="E189" s="67">
        <v>16525</v>
      </c>
      <c r="F189" s="146">
        <v>0</v>
      </c>
      <c r="G189" s="146">
        <v>0</v>
      </c>
      <c r="H189" s="91">
        <v>16525</v>
      </c>
      <c r="I189" s="67">
        <v>0</v>
      </c>
      <c r="J189" s="739">
        <v>16525</v>
      </c>
      <c r="K189" s="132" t="s">
        <v>621</v>
      </c>
      <c r="L189" s="740">
        <v>0</v>
      </c>
      <c r="M189" s="741">
        <v>98.89</v>
      </c>
      <c r="N189" s="67">
        <v>214</v>
      </c>
      <c r="O189" s="67">
        <v>16739</v>
      </c>
      <c r="Q189" s="674">
        <v>0</v>
      </c>
      <c r="R189" s="674">
        <v>16739</v>
      </c>
      <c r="S189" s="71">
        <v>169.26888461927393</v>
      </c>
      <c r="T189" s="449"/>
      <c r="U189" s="67">
        <v>16892</v>
      </c>
      <c r="V189" s="163">
        <v>-153</v>
      </c>
      <c r="W189" s="166">
        <v>-9.0575420317309963E-3</v>
      </c>
      <c r="X189" s="61"/>
      <c r="Z189" s="67"/>
      <c r="AA189" s="451"/>
      <c r="AB189" s="452"/>
      <c r="AE189" s="36"/>
      <c r="AF189" s="36"/>
      <c r="AG189" s="36"/>
      <c r="AH189" s="19"/>
    </row>
    <row r="190" spans="1:34">
      <c r="A190" s="64" t="s">
        <v>597</v>
      </c>
      <c r="B190" s="63" t="s">
        <v>355</v>
      </c>
      <c r="C190" s="63" t="s">
        <v>356</v>
      </c>
      <c r="D190" s="134">
        <v>31.11</v>
      </c>
      <c r="E190" s="67">
        <v>5199</v>
      </c>
      <c r="F190" s="146">
        <v>0</v>
      </c>
      <c r="G190" s="146">
        <v>0</v>
      </c>
      <c r="H190" s="91">
        <v>5199</v>
      </c>
      <c r="I190" s="67">
        <v>0</v>
      </c>
      <c r="J190" s="739">
        <v>5199</v>
      </c>
      <c r="K190" s="132" t="s">
        <v>644</v>
      </c>
      <c r="L190" s="740">
        <v>5199</v>
      </c>
      <c r="M190" s="741">
        <v>0</v>
      </c>
      <c r="N190" s="67">
        <v>0</v>
      </c>
      <c r="O190" s="67">
        <v>0</v>
      </c>
      <c r="Q190" s="674">
        <v>0</v>
      </c>
      <c r="R190" s="674">
        <v>0</v>
      </c>
      <c r="S190" s="71">
        <v>0</v>
      </c>
      <c r="T190" s="449"/>
      <c r="U190" s="67">
        <v>0</v>
      </c>
      <c r="V190" s="163">
        <v>0</v>
      </c>
      <c r="W190" s="166">
        <v>0</v>
      </c>
      <c r="X190" s="61"/>
      <c r="Z190" s="67"/>
      <c r="AA190" s="451"/>
      <c r="AB190" s="452"/>
      <c r="AE190" s="36"/>
      <c r="AF190" s="36"/>
      <c r="AG190" s="36"/>
      <c r="AH190" s="19"/>
    </row>
    <row r="191" spans="1:34">
      <c r="A191" s="64" t="s">
        <v>596</v>
      </c>
      <c r="B191" s="63" t="s">
        <v>4</v>
      </c>
      <c r="C191" s="63" t="s">
        <v>5</v>
      </c>
      <c r="D191" s="134">
        <v>1439.89</v>
      </c>
      <c r="E191" s="67">
        <v>240614</v>
      </c>
      <c r="F191" s="146">
        <v>0</v>
      </c>
      <c r="G191" s="146">
        <v>0</v>
      </c>
      <c r="H191" s="91">
        <v>240614</v>
      </c>
      <c r="I191" s="67">
        <v>0</v>
      </c>
      <c r="J191" s="739">
        <v>240614</v>
      </c>
      <c r="K191" s="132" t="s">
        <v>621</v>
      </c>
      <c r="L191" s="740">
        <v>0</v>
      </c>
      <c r="M191" s="741">
        <v>1439.89</v>
      </c>
      <c r="N191" s="67">
        <v>3117</v>
      </c>
      <c r="O191" s="67">
        <v>243731</v>
      </c>
      <c r="Q191" s="674">
        <v>0</v>
      </c>
      <c r="R191" s="674">
        <v>243731</v>
      </c>
      <c r="S191" s="71">
        <v>169.27056927959774</v>
      </c>
      <c r="T191" s="449"/>
      <c r="U191" s="67">
        <v>245956</v>
      </c>
      <c r="V191" s="163">
        <v>-2225</v>
      </c>
      <c r="W191" s="166">
        <v>-9.0463334905430248E-3</v>
      </c>
      <c r="X191" s="61"/>
      <c r="Z191" s="67"/>
      <c r="AA191" s="451"/>
      <c r="AB191" s="452"/>
      <c r="AE191" s="36"/>
      <c r="AF191" s="36"/>
      <c r="AG191" s="36"/>
      <c r="AH191" s="19"/>
    </row>
    <row r="192" spans="1:34">
      <c r="A192" s="64" t="s">
        <v>601</v>
      </c>
      <c r="B192" s="63" t="s">
        <v>86</v>
      </c>
      <c r="C192" s="63" t="s">
        <v>87</v>
      </c>
      <c r="D192" s="134">
        <v>9.7799999999999994</v>
      </c>
      <c r="E192" s="67">
        <v>1634</v>
      </c>
      <c r="F192" s="146">
        <v>0</v>
      </c>
      <c r="G192" s="146">
        <v>0</v>
      </c>
      <c r="H192" s="91">
        <v>1634</v>
      </c>
      <c r="I192" s="67">
        <v>0</v>
      </c>
      <c r="J192" s="739">
        <v>1634</v>
      </c>
      <c r="K192" s="132" t="s">
        <v>1306</v>
      </c>
      <c r="L192" s="740">
        <v>0</v>
      </c>
      <c r="M192" s="741">
        <v>9.7799999999999994</v>
      </c>
      <c r="N192" s="67">
        <v>21</v>
      </c>
      <c r="O192" s="67">
        <v>1655</v>
      </c>
      <c r="Q192" s="674">
        <v>0</v>
      </c>
      <c r="R192" s="674">
        <v>1655</v>
      </c>
      <c r="S192" s="71">
        <v>169.22290388548058</v>
      </c>
      <c r="T192" s="449"/>
      <c r="U192" s="67">
        <v>1670</v>
      </c>
      <c r="V192" s="163">
        <v>-15</v>
      </c>
      <c r="W192" s="166">
        <v>-8.9820359281437123E-3</v>
      </c>
      <c r="X192" s="61"/>
      <c r="Z192" s="67"/>
      <c r="AA192" s="451"/>
      <c r="AB192" s="452"/>
      <c r="AE192" s="36"/>
      <c r="AF192" s="36"/>
      <c r="AG192" s="36"/>
      <c r="AH192" s="19"/>
    </row>
    <row r="193" spans="1:34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132" t="s">
        <v>644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>
        <v>0</v>
      </c>
      <c r="S193" s="71">
        <v>0</v>
      </c>
      <c r="T193" s="449"/>
      <c r="U193" s="67">
        <v>0</v>
      </c>
      <c r="V193" s="163">
        <v>0</v>
      </c>
      <c r="W193" s="166">
        <v>0</v>
      </c>
      <c r="X193" s="61"/>
      <c r="Z193" s="67"/>
      <c r="AA193" s="451"/>
      <c r="AB193" s="452"/>
      <c r="AE193" s="36"/>
      <c r="AF193" s="36"/>
      <c r="AG193" s="36"/>
      <c r="AH193" s="19"/>
    </row>
    <row r="194" spans="1:34">
      <c r="A194" s="64" t="s">
        <v>596</v>
      </c>
      <c r="B194" s="63" t="s">
        <v>104</v>
      </c>
      <c r="C194" s="63" t="s">
        <v>105</v>
      </c>
      <c r="D194" s="134">
        <v>5562.78</v>
      </c>
      <c r="E194" s="67">
        <v>929573</v>
      </c>
      <c r="F194" s="146">
        <v>0</v>
      </c>
      <c r="G194" s="146">
        <v>0</v>
      </c>
      <c r="H194" s="91">
        <v>929573</v>
      </c>
      <c r="I194" s="67">
        <v>0</v>
      </c>
      <c r="J194" s="739">
        <v>929573</v>
      </c>
      <c r="K194" s="132" t="s">
        <v>621</v>
      </c>
      <c r="L194" s="740">
        <v>0</v>
      </c>
      <c r="M194" s="741">
        <v>5562.78</v>
      </c>
      <c r="N194" s="67">
        <v>12043</v>
      </c>
      <c r="O194" s="67">
        <v>941616</v>
      </c>
      <c r="Q194" s="674">
        <v>0</v>
      </c>
      <c r="R194" s="674">
        <v>941616</v>
      </c>
      <c r="S194" s="71">
        <v>169.27076030330159</v>
      </c>
      <c r="T194" s="449"/>
      <c r="U194" s="67">
        <v>950211</v>
      </c>
      <c r="V194" s="163">
        <v>-8595</v>
      </c>
      <c r="W194" s="166">
        <v>-9.045359399122932E-3</v>
      </c>
      <c r="X194" s="61"/>
      <c r="Z194" s="67"/>
      <c r="AA194" s="451"/>
      <c r="AB194" s="452"/>
      <c r="AE194" s="36"/>
      <c r="AF194" s="36"/>
      <c r="AG194" s="36"/>
      <c r="AH194" s="19"/>
    </row>
    <row r="195" spans="1:34">
      <c r="A195" s="64" t="s">
        <v>601</v>
      </c>
      <c r="B195" s="63" t="s">
        <v>317</v>
      </c>
      <c r="C195" s="63" t="s">
        <v>318</v>
      </c>
      <c r="D195" s="134">
        <v>34.89</v>
      </c>
      <c r="E195" s="67">
        <v>5830</v>
      </c>
      <c r="F195" s="146">
        <v>0</v>
      </c>
      <c r="G195" s="146">
        <v>0</v>
      </c>
      <c r="H195" s="91">
        <v>5830</v>
      </c>
      <c r="I195" s="67">
        <v>0</v>
      </c>
      <c r="J195" s="739">
        <v>5830</v>
      </c>
      <c r="K195" s="132" t="s">
        <v>1306</v>
      </c>
      <c r="L195" s="740">
        <v>0</v>
      </c>
      <c r="M195" s="741">
        <v>34.89</v>
      </c>
      <c r="N195" s="67">
        <v>76</v>
      </c>
      <c r="O195" s="67">
        <v>5906</v>
      </c>
      <c r="Q195" s="674">
        <v>0</v>
      </c>
      <c r="R195" s="674">
        <v>5906</v>
      </c>
      <c r="S195" s="71">
        <v>169.27486385783891</v>
      </c>
      <c r="T195" s="449"/>
      <c r="U195" s="67">
        <v>5960</v>
      </c>
      <c r="V195" s="163">
        <v>-54</v>
      </c>
      <c r="W195" s="166">
        <v>-9.0604026845637585E-3</v>
      </c>
      <c r="X195" s="61"/>
      <c r="Z195" s="67"/>
      <c r="AA195" s="451"/>
      <c r="AB195" s="452"/>
      <c r="AE195" s="36"/>
      <c r="AF195" s="36"/>
      <c r="AG195" s="36"/>
      <c r="AH195" s="19"/>
    </row>
    <row r="196" spans="1:34">
      <c r="A196" s="64" t="s">
        <v>596</v>
      </c>
      <c r="B196" s="63" t="s">
        <v>16</v>
      </c>
      <c r="C196" s="63" t="s">
        <v>17</v>
      </c>
      <c r="D196" s="134">
        <v>36.11</v>
      </c>
      <c r="E196" s="67">
        <v>6034</v>
      </c>
      <c r="F196" s="146">
        <v>0</v>
      </c>
      <c r="G196" s="146">
        <v>0</v>
      </c>
      <c r="H196" s="91">
        <v>6034</v>
      </c>
      <c r="I196" s="67">
        <v>0</v>
      </c>
      <c r="J196" s="739">
        <v>6034</v>
      </c>
      <c r="K196" s="132" t="s">
        <v>1306</v>
      </c>
      <c r="L196" s="740">
        <v>0</v>
      </c>
      <c r="M196" s="741">
        <v>36.11</v>
      </c>
      <c r="N196" s="67">
        <v>78</v>
      </c>
      <c r="O196" s="67">
        <v>6112</v>
      </c>
      <c r="Q196" s="674">
        <v>0</v>
      </c>
      <c r="R196" s="674">
        <v>6112</v>
      </c>
      <c r="S196" s="71">
        <v>169.2605926336195</v>
      </c>
      <c r="T196" s="449"/>
      <c r="U196" s="67">
        <v>6169</v>
      </c>
      <c r="V196" s="163">
        <v>-57</v>
      </c>
      <c r="W196" s="166">
        <v>-9.2397471227103258E-3</v>
      </c>
      <c r="X196" s="61"/>
      <c r="Z196" s="67"/>
      <c r="AA196" s="451"/>
      <c r="AB196" s="452"/>
      <c r="AE196" s="36"/>
      <c r="AF196" s="36"/>
      <c r="AG196" s="36"/>
      <c r="AH196" s="19"/>
    </row>
    <row r="197" spans="1:34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739">
        <v>0</v>
      </c>
      <c r="K197" s="132" t="s">
        <v>644</v>
      </c>
      <c r="L197" s="740">
        <v>0</v>
      </c>
      <c r="M197" s="741">
        <v>0</v>
      </c>
      <c r="N197" s="67">
        <v>0</v>
      </c>
      <c r="O197" s="67">
        <v>0</v>
      </c>
      <c r="Q197" s="674">
        <v>0</v>
      </c>
      <c r="R197" s="674">
        <v>0</v>
      </c>
      <c r="S197" s="71">
        <v>0</v>
      </c>
      <c r="T197" s="449"/>
      <c r="U197" s="67">
        <v>0</v>
      </c>
      <c r="V197" s="163">
        <v>0</v>
      </c>
      <c r="W197" s="166">
        <v>0</v>
      </c>
      <c r="X197" s="61"/>
      <c r="Z197" s="67"/>
      <c r="AA197" s="451"/>
      <c r="AB197" s="452"/>
      <c r="AE197" s="36"/>
      <c r="AF197" s="36"/>
      <c r="AG197" s="36"/>
      <c r="AH197" s="19"/>
    </row>
    <row r="198" spans="1:34">
      <c r="A198" s="64" t="s">
        <v>597</v>
      </c>
      <c r="B198" s="63" t="s">
        <v>359</v>
      </c>
      <c r="C198" s="63" t="s">
        <v>360</v>
      </c>
      <c r="D198" s="134">
        <v>74.11</v>
      </c>
      <c r="E198" s="67">
        <v>12384</v>
      </c>
      <c r="F198" s="146">
        <v>0</v>
      </c>
      <c r="G198" s="146">
        <v>0</v>
      </c>
      <c r="H198" s="91">
        <v>12384</v>
      </c>
      <c r="I198" s="67">
        <v>0</v>
      </c>
      <c r="J198" s="739">
        <v>12384</v>
      </c>
      <c r="K198" s="132" t="s">
        <v>621</v>
      </c>
      <c r="L198" s="740">
        <v>0</v>
      </c>
      <c r="M198" s="741">
        <v>74.11</v>
      </c>
      <c r="N198" s="67">
        <v>160</v>
      </c>
      <c r="O198" s="67">
        <v>12544</v>
      </c>
      <c r="Q198" s="674">
        <v>0</v>
      </c>
      <c r="R198" s="674">
        <v>12544</v>
      </c>
      <c r="S198" s="71">
        <v>169.26190797463229</v>
      </c>
      <c r="T198" s="449"/>
      <c r="U198" s="67">
        <v>12659</v>
      </c>
      <c r="V198" s="163">
        <v>-115</v>
      </c>
      <c r="W198" s="166">
        <v>-9.0844458488032222E-3</v>
      </c>
      <c r="X198" s="61"/>
      <c r="Z198" s="67"/>
      <c r="AA198" s="451"/>
      <c r="AB198" s="452"/>
      <c r="AE198" s="36"/>
      <c r="AF198" s="36"/>
      <c r="AG198" s="36"/>
      <c r="AH198" s="19"/>
    </row>
    <row r="199" spans="1:34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739">
        <v>0</v>
      </c>
      <c r="K199" s="132" t="s">
        <v>644</v>
      </c>
      <c r="L199" s="740">
        <v>0</v>
      </c>
      <c r="M199" s="741">
        <v>0</v>
      </c>
      <c r="N199" s="67">
        <v>0</v>
      </c>
      <c r="O199" s="67">
        <v>0</v>
      </c>
      <c r="Q199" s="674">
        <v>0</v>
      </c>
      <c r="R199" s="674">
        <v>0</v>
      </c>
      <c r="S199" s="71">
        <v>0</v>
      </c>
      <c r="T199" s="449"/>
      <c r="U199" s="67">
        <v>0</v>
      </c>
      <c r="V199" s="163">
        <v>0</v>
      </c>
      <c r="W199" s="166">
        <v>0</v>
      </c>
      <c r="X199" s="61"/>
      <c r="Z199" s="67"/>
      <c r="AA199" s="451"/>
      <c r="AB199" s="452"/>
      <c r="AE199" s="36"/>
      <c r="AF199" s="36"/>
      <c r="AG199" s="36"/>
      <c r="AH199" s="19"/>
    </row>
    <row r="200" spans="1:34">
      <c r="A200" s="64" t="s">
        <v>596</v>
      </c>
      <c r="B200" s="63" t="s">
        <v>112</v>
      </c>
      <c r="C200" s="63" t="s">
        <v>113</v>
      </c>
      <c r="D200" s="134">
        <v>2.67</v>
      </c>
      <c r="E200" s="67">
        <v>446</v>
      </c>
      <c r="F200" s="146">
        <v>0</v>
      </c>
      <c r="G200" s="146">
        <v>0</v>
      </c>
      <c r="H200" s="91">
        <v>446</v>
      </c>
      <c r="I200" s="67">
        <v>0</v>
      </c>
      <c r="J200" s="739">
        <v>446</v>
      </c>
      <c r="K200" s="132" t="s">
        <v>1306</v>
      </c>
      <c r="L200" s="740">
        <v>0</v>
      </c>
      <c r="M200" s="741">
        <v>2.67</v>
      </c>
      <c r="N200" s="67">
        <v>6</v>
      </c>
      <c r="O200" s="67">
        <v>452</v>
      </c>
      <c r="Q200" s="674">
        <v>0</v>
      </c>
      <c r="R200" s="674">
        <v>452</v>
      </c>
      <c r="S200" s="71">
        <v>169.28838951310863</v>
      </c>
      <c r="T200" s="449"/>
      <c r="U200" s="67">
        <v>456</v>
      </c>
      <c r="V200" s="163">
        <v>-4</v>
      </c>
      <c r="W200" s="166">
        <v>-8.771929824561403E-3</v>
      </c>
      <c r="X200" s="61"/>
      <c r="Z200" s="67"/>
      <c r="AA200" s="451"/>
      <c r="AB200" s="452"/>
      <c r="AE200" s="36"/>
      <c r="AF200" s="36"/>
      <c r="AG200" s="36"/>
      <c r="AH200" s="19"/>
    </row>
    <row r="201" spans="1:34">
      <c r="A201" s="64" t="s">
        <v>600</v>
      </c>
      <c r="B201" s="63" t="s">
        <v>39</v>
      </c>
      <c r="C201" s="63" t="s">
        <v>40</v>
      </c>
      <c r="D201" s="134">
        <v>30.67</v>
      </c>
      <c r="E201" s="67">
        <v>5125</v>
      </c>
      <c r="F201" s="146">
        <v>0</v>
      </c>
      <c r="G201" s="146">
        <v>0</v>
      </c>
      <c r="H201" s="91">
        <v>5125</v>
      </c>
      <c r="I201" s="67">
        <v>0</v>
      </c>
      <c r="J201" s="739">
        <v>5125</v>
      </c>
      <c r="K201" s="132" t="s">
        <v>644</v>
      </c>
      <c r="L201" s="740">
        <v>5125</v>
      </c>
      <c r="M201" s="741">
        <v>0</v>
      </c>
      <c r="N201" s="67">
        <v>0</v>
      </c>
      <c r="O201" s="67">
        <v>0</v>
      </c>
      <c r="Q201" s="674">
        <v>0</v>
      </c>
      <c r="R201" s="674">
        <v>0</v>
      </c>
      <c r="S201" s="71">
        <v>0</v>
      </c>
      <c r="T201" s="449"/>
      <c r="U201" s="67">
        <v>0</v>
      </c>
      <c r="V201" s="163">
        <v>0</v>
      </c>
      <c r="W201" s="166">
        <v>0</v>
      </c>
      <c r="X201" s="61"/>
      <c r="Z201" s="67"/>
      <c r="AA201" s="451"/>
      <c r="AB201" s="452"/>
      <c r="AE201" s="36"/>
      <c r="AF201" s="36"/>
      <c r="AG201" s="36"/>
      <c r="AH201" s="19"/>
    </row>
    <row r="202" spans="1:34">
      <c r="A202" s="64" t="s">
        <v>600</v>
      </c>
      <c r="B202" s="63" t="s">
        <v>171</v>
      </c>
      <c r="C202" s="63" t="s">
        <v>172</v>
      </c>
      <c r="D202" s="134">
        <v>10.33</v>
      </c>
      <c r="E202" s="67">
        <v>1726</v>
      </c>
      <c r="F202" s="146">
        <v>0</v>
      </c>
      <c r="G202" s="146">
        <v>0</v>
      </c>
      <c r="H202" s="91">
        <v>1726</v>
      </c>
      <c r="I202" s="67">
        <v>0</v>
      </c>
      <c r="J202" s="739">
        <v>1726</v>
      </c>
      <c r="K202" s="132" t="s">
        <v>621</v>
      </c>
      <c r="L202" s="740">
        <v>0</v>
      </c>
      <c r="M202" s="741">
        <v>10.33</v>
      </c>
      <c r="N202" s="67">
        <v>22</v>
      </c>
      <c r="O202" s="67">
        <v>1748</v>
      </c>
      <c r="Q202" s="674">
        <v>0</v>
      </c>
      <c r="R202" s="674">
        <v>1748</v>
      </c>
      <c r="S202" s="71">
        <v>169.215876089061</v>
      </c>
      <c r="T202" s="449"/>
      <c r="U202" s="67">
        <v>0</v>
      </c>
      <c r="V202" s="163">
        <v>1748</v>
      </c>
      <c r="W202" s="166">
        <v>0</v>
      </c>
      <c r="X202" s="61"/>
      <c r="Z202" s="67"/>
      <c r="AA202" s="451"/>
      <c r="AB202" s="452"/>
      <c r="AE202" s="36"/>
      <c r="AF202" s="36"/>
      <c r="AG202" s="36"/>
      <c r="AH202" s="19"/>
    </row>
    <row r="203" spans="1:34">
      <c r="A203" s="64" t="s">
        <v>596</v>
      </c>
      <c r="B203" s="63" t="s">
        <v>502</v>
      </c>
      <c r="C203" s="63" t="s">
        <v>503</v>
      </c>
      <c r="D203" s="134">
        <v>106.56</v>
      </c>
      <c r="E203" s="67">
        <v>17807</v>
      </c>
      <c r="F203" s="146">
        <v>0</v>
      </c>
      <c r="G203" s="146">
        <v>0</v>
      </c>
      <c r="H203" s="91">
        <v>17807</v>
      </c>
      <c r="I203" s="67">
        <v>0</v>
      </c>
      <c r="J203" s="739">
        <v>17807</v>
      </c>
      <c r="K203" s="132" t="s">
        <v>621</v>
      </c>
      <c r="L203" s="740">
        <v>0</v>
      </c>
      <c r="M203" s="741">
        <v>106.56</v>
      </c>
      <c r="N203" s="67">
        <v>231</v>
      </c>
      <c r="O203" s="67">
        <v>18038</v>
      </c>
      <c r="Q203" s="674">
        <v>0</v>
      </c>
      <c r="R203" s="674">
        <v>18038</v>
      </c>
      <c r="S203" s="71">
        <v>169.27552552552552</v>
      </c>
      <c r="T203" s="449"/>
      <c r="U203" s="67">
        <v>18203</v>
      </c>
      <c r="V203" s="163">
        <v>-165</v>
      </c>
      <c r="W203" s="166">
        <v>-9.0644399274844804E-3</v>
      </c>
      <c r="X203" s="61"/>
      <c r="Z203" s="67"/>
      <c r="AA203" s="451"/>
      <c r="AB203" s="452"/>
      <c r="AE203" s="36"/>
      <c r="AF203" s="36"/>
      <c r="AG203" s="36"/>
      <c r="AH203" s="19"/>
    </row>
    <row r="204" spans="1:34">
      <c r="A204" s="64" t="s">
        <v>596</v>
      </c>
      <c r="B204" s="63" t="s">
        <v>21</v>
      </c>
      <c r="C204" s="63" t="s">
        <v>22</v>
      </c>
      <c r="D204" s="134">
        <v>596.11</v>
      </c>
      <c r="E204" s="67">
        <v>99614</v>
      </c>
      <c r="F204" s="146">
        <v>0</v>
      </c>
      <c r="G204" s="146">
        <v>0</v>
      </c>
      <c r="H204" s="91">
        <v>99614</v>
      </c>
      <c r="I204" s="67">
        <v>0</v>
      </c>
      <c r="J204" s="739">
        <v>99614</v>
      </c>
      <c r="K204" s="132" t="s">
        <v>621</v>
      </c>
      <c r="L204" s="740">
        <v>0</v>
      </c>
      <c r="M204" s="741">
        <v>596.11</v>
      </c>
      <c r="N204" s="67">
        <v>1291</v>
      </c>
      <c r="O204" s="67">
        <v>100905</v>
      </c>
      <c r="Q204" s="674">
        <v>0</v>
      </c>
      <c r="R204" s="674">
        <v>100905</v>
      </c>
      <c r="S204" s="71">
        <v>169.27244971565651</v>
      </c>
      <c r="T204" s="449"/>
      <c r="U204" s="67">
        <v>101825</v>
      </c>
      <c r="V204" s="163">
        <v>-920</v>
      </c>
      <c r="W204" s="166">
        <v>-9.0351092560766021E-3</v>
      </c>
      <c r="X204" s="61"/>
      <c r="Z204" s="67"/>
      <c r="AA204" s="451"/>
      <c r="AB204" s="452"/>
      <c r="AE204" s="36"/>
      <c r="AF204" s="36"/>
      <c r="AG204" s="36"/>
      <c r="AH204" s="19"/>
    </row>
    <row r="205" spans="1:34">
      <c r="A205" s="64" t="s">
        <v>603</v>
      </c>
      <c r="B205" s="63" t="s">
        <v>523</v>
      </c>
      <c r="C205" s="63" t="s">
        <v>524</v>
      </c>
      <c r="D205" s="134">
        <v>114</v>
      </c>
      <c r="E205" s="67">
        <v>19050</v>
      </c>
      <c r="F205" s="146">
        <v>0</v>
      </c>
      <c r="G205" s="146">
        <v>0</v>
      </c>
      <c r="H205" s="91">
        <v>19050</v>
      </c>
      <c r="I205" s="67">
        <v>0</v>
      </c>
      <c r="J205" s="739">
        <v>19050</v>
      </c>
      <c r="K205" s="132" t="s">
        <v>621</v>
      </c>
      <c r="L205" s="740">
        <v>0</v>
      </c>
      <c r="M205" s="741">
        <v>114</v>
      </c>
      <c r="N205" s="67">
        <v>247</v>
      </c>
      <c r="O205" s="67">
        <v>19297</v>
      </c>
      <c r="Q205" s="674">
        <v>0</v>
      </c>
      <c r="R205" s="674">
        <v>19297</v>
      </c>
      <c r="S205" s="71">
        <v>169.2719298245614</v>
      </c>
      <c r="T205" s="449"/>
      <c r="U205" s="67">
        <v>19473</v>
      </c>
      <c r="V205" s="163">
        <v>-176</v>
      </c>
      <c r="W205" s="166">
        <v>-9.0381553946490018E-3</v>
      </c>
      <c r="X205" s="61"/>
      <c r="Z205" s="67"/>
      <c r="AA205" s="451"/>
      <c r="AB205" s="452"/>
      <c r="AE205" s="36"/>
      <c r="AF205" s="36"/>
      <c r="AG205" s="36"/>
      <c r="AH205" s="19"/>
    </row>
    <row r="206" spans="1:34">
      <c r="A206" s="64" t="s">
        <v>597</v>
      </c>
      <c r="B206" s="63" t="s">
        <v>343</v>
      </c>
      <c r="C206" s="63" t="s">
        <v>344</v>
      </c>
      <c r="D206" s="134">
        <v>693.67</v>
      </c>
      <c r="E206" s="67">
        <v>115916</v>
      </c>
      <c r="F206" s="146">
        <v>0</v>
      </c>
      <c r="G206" s="146">
        <v>0</v>
      </c>
      <c r="H206" s="91">
        <v>115916</v>
      </c>
      <c r="I206" s="67">
        <v>0</v>
      </c>
      <c r="J206" s="739">
        <v>115916</v>
      </c>
      <c r="K206" s="132" t="s">
        <v>621</v>
      </c>
      <c r="L206" s="740">
        <v>0</v>
      </c>
      <c r="M206" s="741">
        <v>693.67</v>
      </c>
      <c r="N206" s="67">
        <v>1502</v>
      </c>
      <c r="O206" s="67">
        <v>117418</v>
      </c>
      <c r="Q206" s="674">
        <v>0</v>
      </c>
      <c r="R206" s="674">
        <v>117418</v>
      </c>
      <c r="S206" s="71">
        <v>169.27069067423992</v>
      </c>
      <c r="T206" s="449"/>
      <c r="U206" s="67">
        <v>118490</v>
      </c>
      <c r="V206" s="163">
        <v>-1072</v>
      </c>
      <c r="W206" s="166">
        <v>-9.0471769769600811E-3</v>
      </c>
      <c r="X206" s="61"/>
      <c r="Z206" s="67"/>
      <c r="AA206" s="451"/>
      <c r="AB206" s="452"/>
      <c r="AE206" s="36"/>
      <c r="AF206" s="36"/>
      <c r="AG206" s="36"/>
      <c r="AH206" s="19"/>
    </row>
    <row r="207" spans="1:34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739">
        <v>0</v>
      </c>
      <c r="K207" s="132" t="s">
        <v>644</v>
      </c>
      <c r="L207" s="740">
        <v>0</v>
      </c>
      <c r="M207" s="741">
        <v>0</v>
      </c>
      <c r="N207" s="67">
        <v>0</v>
      </c>
      <c r="O207" s="67">
        <v>0</v>
      </c>
      <c r="Q207" s="674">
        <v>0</v>
      </c>
      <c r="R207" s="674">
        <v>0</v>
      </c>
      <c r="S207" s="71">
        <v>0</v>
      </c>
      <c r="T207" s="449"/>
      <c r="U207" s="67">
        <v>0</v>
      </c>
      <c r="V207" s="163">
        <v>0</v>
      </c>
      <c r="W207" s="166">
        <v>0</v>
      </c>
      <c r="X207" s="61"/>
      <c r="Z207" s="67"/>
      <c r="AA207" s="451"/>
      <c r="AB207" s="452"/>
      <c r="AE207" s="36"/>
      <c r="AF207" s="36"/>
      <c r="AG207" s="36"/>
      <c r="AH207" s="19"/>
    </row>
    <row r="208" spans="1:34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739">
        <v>0</v>
      </c>
      <c r="K208" s="132" t="s">
        <v>644</v>
      </c>
      <c r="L208" s="740">
        <v>0</v>
      </c>
      <c r="M208" s="741">
        <v>0</v>
      </c>
      <c r="N208" s="67">
        <v>0</v>
      </c>
      <c r="O208" s="67">
        <v>0</v>
      </c>
      <c r="Q208" s="674">
        <v>0</v>
      </c>
      <c r="R208" s="674">
        <v>0</v>
      </c>
      <c r="S208" s="71">
        <v>0</v>
      </c>
      <c r="T208" s="449"/>
      <c r="U208" s="67">
        <v>0</v>
      </c>
      <c r="V208" s="163">
        <v>0</v>
      </c>
      <c r="W208" s="166">
        <v>0</v>
      </c>
      <c r="X208" s="61"/>
      <c r="Z208" s="67"/>
      <c r="AA208" s="451"/>
      <c r="AB208" s="452"/>
      <c r="AE208" s="36"/>
      <c r="AF208" s="36"/>
      <c r="AG208" s="36"/>
      <c r="AH208" s="19"/>
    </row>
    <row r="209" spans="1:34">
      <c r="A209" s="64" t="s">
        <v>600</v>
      </c>
      <c r="B209" s="63" t="s">
        <v>47</v>
      </c>
      <c r="C209" s="63" t="s">
        <v>48</v>
      </c>
      <c r="D209" s="134">
        <v>90.22</v>
      </c>
      <c r="E209" s="67">
        <v>15076</v>
      </c>
      <c r="F209" s="146">
        <v>0</v>
      </c>
      <c r="G209" s="146">
        <v>0</v>
      </c>
      <c r="H209" s="91">
        <v>15076</v>
      </c>
      <c r="I209" s="67">
        <v>0</v>
      </c>
      <c r="J209" s="739">
        <v>15076</v>
      </c>
      <c r="K209" s="132" t="s">
        <v>621</v>
      </c>
      <c r="L209" s="740">
        <v>0</v>
      </c>
      <c r="M209" s="741">
        <v>90.22</v>
      </c>
      <c r="N209" s="67">
        <v>195</v>
      </c>
      <c r="O209" s="67">
        <v>15271</v>
      </c>
      <c r="Q209" s="674">
        <v>0</v>
      </c>
      <c r="R209" s="674">
        <v>15271</v>
      </c>
      <c r="S209" s="71">
        <v>169.26402128131235</v>
      </c>
      <c r="T209" s="449"/>
      <c r="U209" s="67">
        <v>15411</v>
      </c>
      <c r="V209" s="163">
        <v>-140</v>
      </c>
      <c r="W209" s="166">
        <v>-9.0844202193238587E-3</v>
      </c>
      <c r="X209" s="61"/>
      <c r="Z209" s="67"/>
      <c r="AA209" s="451"/>
      <c r="AB209" s="452"/>
      <c r="AE209" s="36"/>
      <c r="AF209" s="36"/>
      <c r="AG209" s="36"/>
      <c r="AH209" s="19"/>
    </row>
    <row r="210" spans="1:34">
      <c r="A210" s="64" t="s">
        <v>594</v>
      </c>
      <c r="B210" s="63" t="s">
        <v>145</v>
      </c>
      <c r="C210" s="63" t="s">
        <v>146</v>
      </c>
      <c r="D210" s="134">
        <v>65.33</v>
      </c>
      <c r="E210" s="67">
        <v>10917</v>
      </c>
      <c r="F210" s="146">
        <v>0</v>
      </c>
      <c r="G210" s="146">
        <v>0</v>
      </c>
      <c r="H210" s="91">
        <v>10917</v>
      </c>
      <c r="I210" s="67">
        <v>0</v>
      </c>
      <c r="J210" s="739">
        <v>10917</v>
      </c>
      <c r="K210" s="132" t="s">
        <v>1306</v>
      </c>
      <c r="L210" s="740">
        <v>0</v>
      </c>
      <c r="M210" s="741">
        <v>65.33</v>
      </c>
      <c r="N210" s="67">
        <v>141</v>
      </c>
      <c r="O210" s="67">
        <v>11058</v>
      </c>
      <c r="Q210" s="674">
        <v>0</v>
      </c>
      <c r="R210" s="674">
        <v>11058</v>
      </c>
      <c r="S210" s="71">
        <v>169.26373794581357</v>
      </c>
      <c r="T210" s="449"/>
      <c r="U210" s="67">
        <v>11159</v>
      </c>
      <c r="V210" s="163">
        <v>-101</v>
      </c>
      <c r="W210" s="166">
        <v>-9.0509902320996503E-3</v>
      </c>
      <c r="X210" s="61"/>
      <c r="Z210" s="67"/>
      <c r="AA210" s="451"/>
      <c r="AB210" s="452"/>
      <c r="AE210" s="36"/>
      <c r="AF210" s="36"/>
      <c r="AG210" s="36"/>
      <c r="AH210" s="19"/>
    </row>
    <row r="211" spans="1:34">
      <c r="A211" s="64" t="s">
        <v>601</v>
      </c>
      <c r="B211" s="63" t="s">
        <v>116</v>
      </c>
      <c r="C211" s="63" t="s">
        <v>117</v>
      </c>
      <c r="D211" s="134">
        <v>992.67</v>
      </c>
      <c r="E211" s="67">
        <v>165881</v>
      </c>
      <c r="F211" s="146">
        <v>0</v>
      </c>
      <c r="G211" s="146">
        <v>0</v>
      </c>
      <c r="H211" s="91">
        <v>165881</v>
      </c>
      <c r="I211" s="67">
        <v>0</v>
      </c>
      <c r="J211" s="739">
        <v>165881</v>
      </c>
      <c r="K211" s="132" t="s">
        <v>621</v>
      </c>
      <c r="L211" s="740">
        <v>0</v>
      </c>
      <c r="M211" s="741">
        <v>992.67</v>
      </c>
      <c r="N211" s="67">
        <v>2149</v>
      </c>
      <c r="O211" s="67">
        <v>168030</v>
      </c>
      <c r="Q211" s="674">
        <v>0</v>
      </c>
      <c r="R211" s="674">
        <v>168030</v>
      </c>
      <c r="S211" s="71">
        <v>169.27075463144851</v>
      </c>
      <c r="T211" s="449"/>
      <c r="U211" s="67">
        <v>169563</v>
      </c>
      <c r="V211" s="163">
        <v>-1533</v>
      </c>
      <c r="W211" s="166">
        <v>-9.0408874577590625E-3</v>
      </c>
      <c r="X211" s="61"/>
      <c r="Z211" s="67"/>
      <c r="AA211" s="451"/>
      <c r="AB211" s="452"/>
      <c r="AE211" s="36"/>
      <c r="AF211" s="36"/>
      <c r="AG211" s="36"/>
      <c r="AH211" s="19"/>
    </row>
    <row r="212" spans="1:34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739">
        <v>0</v>
      </c>
      <c r="K212" s="132" t="s">
        <v>644</v>
      </c>
      <c r="L212" s="740">
        <v>0</v>
      </c>
      <c r="M212" s="741">
        <v>0</v>
      </c>
      <c r="N212" s="67">
        <v>0</v>
      </c>
      <c r="O212" s="67">
        <v>0</v>
      </c>
      <c r="Q212" s="674">
        <v>0</v>
      </c>
      <c r="R212" s="674">
        <v>0</v>
      </c>
      <c r="S212" s="71">
        <v>0</v>
      </c>
      <c r="T212" s="449"/>
      <c r="U212" s="67">
        <v>0</v>
      </c>
      <c r="V212" s="163">
        <v>0</v>
      </c>
      <c r="W212" s="166">
        <v>0</v>
      </c>
      <c r="X212" s="61"/>
      <c r="Z212" s="67"/>
      <c r="AA212" s="451"/>
      <c r="AB212" s="452"/>
      <c r="AE212" s="36"/>
      <c r="AF212" s="36"/>
      <c r="AG212" s="36"/>
      <c r="AH212" s="19"/>
    </row>
    <row r="213" spans="1:34">
      <c r="A213" s="64" t="s">
        <v>594</v>
      </c>
      <c r="B213" s="63" t="s">
        <v>327</v>
      </c>
      <c r="C213" s="63" t="s">
        <v>328</v>
      </c>
      <c r="D213" s="134">
        <v>60.11</v>
      </c>
      <c r="E213" s="67">
        <v>10045</v>
      </c>
      <c r="F213" s="146">
        <v>0</v>
      </c>
      <c r="G213" s="146">
        <v>0</v>
      </c>
      <c r="H213" s="91">
        <v>10045</v>
      </c>
      <c r="I213" s="67">
        <v>0</v>
      </c>
      <c r="J213" s="739">
        <v>10045</v>
      </c>
      <c r="K213" s="132" t="s">
        <v>1306</v>
      </c>
      <c r="L213" s="740">
        <v>0</v>
      </c>
      <c r="M213" s="741">
        <v>60.11</v>
      </c>
      <c r="N213" s="67">
        <v>130</v>
      </c>
      <c r="O213" s="67">
        <v>10175</v>
      </c>
      <c r="Q213" s="674">
        <v>0</v>
      </c>
      <c r="R213" s="674">
        <v>10175</v>
      </c>
      <c r="S213" s="71">
        <v>169.27299950091498</v>
      </c>
      <c r="T213" s="449"/>
      <c r="U213" s="67">
        <v>10267</v>
      </c>
      <c r="V213" s="163">
        <v>-92</v>
      </c>
      <c r="W213" s="166">
        <v>-8.9607480276614401E-3</v>
      </c>
      <c r="X213" s="61"/>
      <c r="Z213" s="67"/>
      <c r="AA213" s="451"/>
      <c r="AB213" s="452"/>
      <c r="AE213" s="36"/>
      <c r="AF213" s="36"/>
      <c r="AG213" s="36"/>
      <c r="AH213" s="19"/>
    </row>
    <row r="214" spans="1:34">
      <c r="A214" s="64" t="s">
        <v>603</v>
      </c>
      <c r="B214" s="63" t="s">
        <v>282</v>
      </c>
      <c r="C214" s="63" t="s">
        <v>665</v>
      </c>
      <c r="D214" s="134">
        <v>18.559999999999999</v>
      </c>
      <c r="E214" s="67">
        <v>3101</v>
      </c>
      <c r="F214" s="146">
        <v>0</v>
      </c>
      <c r="G214" s="146">
        <v>0</v>
      </c>
      <c r="H214" s="91">
        <v>3101</v>
      </c>
      <c r="I214" s="67">
        <v>0</v>
      </c>
      <c r="J214" s="739">
        <v>3101</v>
      </c>
      <c r="K214" s="132" t="s">
        <v>644</v>
      </c>
      <c r="L214" s="740">
        <v>3101</v>
      </c>
      <c r="M214" s="741">
        <v>0</v>
      </c>
      <c r="N214" s="67">
        <v>0</v>
      </c>
      <c r="O214" s="67">
        <v>0</v>
      </c>
      <c r="Q214" s="674">
        <v>0</v>
      </c>
      <c r="R214" s="674">
        <v>0</v>
      </c>
      <c r="S214" s="71">
        <v>0</v>
      </c>
      <c r="T214" s="449"/>
      <c r="U214" s="67">
        <v>0</v>
      </c>
      <c r="V214" s="163">
        <v>0</v>
      </c>
      <c r="W214" s="166">
        <v>0</v>
      </c>
      <c r="X214" s="61"/>
      <c r="Z214" s="67"/>
      <c r="AA214" s="451"/>
      <c r="AB214" s="452"/>
      <c r="AE214" s="36"/>
      <c r="AF214" s="36"/>
      <c r="AG214" s="36"/>
      <c r="AH214" s="19"/>
    </row>
    <row r="215" spans="1:34">
      <c r="A215" s="64" t="s">
        <v>597</v>
      </c>
      <c r="B215" s="63" t="s">
        <v>185</v>
      </c>
      <c r="C215" s="63" t="s">
        <v>186</v>
      </c>
      <c r="D215" s="134">
        <v>2201.56</v>
      </c>
      <c r="E215" s="67">
        <v>367894</v>
      </c>
      <c r="F215" s="146">
        <v>0</v>
      </c>
      <c r="G215" s="146">
        <v>0</v>
      </c>
      <c r="H215" s="91">
        <v>367894</v>
      </c>
      <c r="I215" s="67">
        <v>0</v>
      </c>
      <c r="J215" s="739">
        <v>367894</v>
      </c>
      <c r="K215" s="132" t="s">
        <v>621</v>
      </c>
      <c r="L215" s="740">
        <v>0</v>
      </c>
      <c r="M215" s="741">
        <v>2201.56</v>
      </c>
      <c r="N215" s="67">
        <v>4766</v>
      </c>
      <c r="O215" s="67">
        <v>372660</v>
      </c>
      <c r="Q215" s="674">
        <v>0</v>
      </c>
      <c r="R215" s="674">
        <v>372660</v>
      </c>
      <c r="S215" s="71">
        <v>169.27088064826759</v>
      </c>
      <c r="T215" s="449"/>
      <c r="U215" s="67">
        <v>376061</v>
      </c>
      <c r="V215" s="163">
        <v>-3401</v>
      </c>
      <c r="W215" s="166">
        <v>-9.0437455625550119E-3</v>
      </c>
      <c r="X215" s="61"/>
      <c r="Z215" s="67"/>
      <c r="AA215" s="451"/>
      <c r="AB215" s="452"/>
      <c r="AE215" s="36"/>
      <c r="AF215" s="36"/>
      <c r="AG215" s="36"/>
      <c r="AH215" s="19"/>
    </row>
    <row r="216" spans="1:34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739">
        <v>0</v>
      </c>
      <c r="K216" s="132" t="s">
        <v>644</v>
      </c>
      <c r="L216" s="740">
        <v>0</v>
      </c>
      <c r="M216" s="741">
        <v>0</v>
      </c>
      <c r="N216" s="67">
        <v>0</v>
      </c>
      <c r="O216" s="67">
        <v>0</v>
      </c>
      <c r="Q216" s="674">
        <v>0</v>
      </c>
      <c r="R216" s="674">
        <v>0</v>
      </c>
      <c r="S216" s="71">
        <v>0</v>
      </c>
      <c r="T216" s="449"/>
      <c r="U216" s="67">
        <v>0</v>
      </c>
      <c r="V216" s="163">
        <v>0</v>
      </c>
      <c r="W216" s="166">
        <v>0</v>
      </c>
      <c r="X216" s="61"/>
      <c r="Z216" s="67"/>
      <c r="AA216" s="451"/>
      <c r="AB216" s="452"/>
      <c r="AE216" s="36"/>
      <c r="AF216" s="36"/>
      <c r="AG216" s="36"/>
      <c r="AH216" s="19"/>
    </row>
    <row r="217" spans="1:34">
      <c r="A217" s="64" t="s">
        <v>596</v>
      </c>
      <c r="B217" s="63" t="s">
        <v>23</v>
      </c>
      <c r="C217" s="63" t="s">
        <v>24</v>
      </c>
      <c r="D217" s="134">
        <v>339.33</v>
      </c>
      <c r="E217" s="67">
        <v>56704</v>
      </c>
      <c r="F217" s="146">
        <v>0</v>
      </c>
      <c r="G217" s="146">
        <v>0</v>
      </c>
      <c r="H217" s="91">
        <v>56704</v>
      </c>
      <c r="I217" s="67">
        <v>0</v>
      </c>
      <c r="J217" s="739">
        <v>56704</v>
      </c>
      <c r="K217" s="132" t="s">
        <v>621</v>
      </c>
      <c r="L217" s="740">
        <v>0</v>
      </c>
      <c r="M217" s="741">
        <v>339.33</v>
      </c>
      <c r="N217" s="67">
        <v>735</v>
      </c>
      <c r="O217" s="67">
        <v>57439</v>
      </c>
      <c r="Q217" s="674">
        <v>0</v>
      </c>
      <c r="R217" s="674">
        <v>57439</v>
      </c>
      <c r="S217" s="71">
        <v>169.27180031238029</v>
      </c>
      <c r="T217" s="449"/>
      <c r="U217" s="67">
        <v>57963</v>
      </c>
      <c r="V217" s="163">
        <v>-524</v>
      </c>
      <c r="W217" s="166">
        <v>-9.04024981453686E-3</v>
      </c>
      <c r="X217" s="61"/>
      <c r="Z217" s="67"/>
      <c r="AA217" s="451"/>
      <c r="AB217" s="452"/>
      <c r="AE217" s="36"/>
      <c r="AF217" s="36"/>
      <c r="AG217" s="36"/>
      <c r="AH217" s="19"/>
    </row>
    <row r="218" spans="1:34">
      <c r="A218" s="64" t="s">
        <v>599</v>
      </c>
      <c r="B218" s="63" t="s">
        <v>64</v>
      </c>
      <c r="C218" s="63" t="s">
        <v>65</v>
      </c>
      <c r="D218" s="134">
        <v>59.56</v>
      </c>
      <c r="E218" s="67">
        <v>9953</v>
      </c>
      <c r="F218" s="146">
        <v>0</v>
      </c>
      <c r="G218" s="146">
        <v>0</v>
      </c>
      <c r="H218" s="91">
        <v>9953</v>
      </c>
      <c r="I218" s="67">
        <v>0</v>
      </c>
      <c r="J218" s="739">
        <v>9953</v>
      </c>
      <c r="K218" s="132" t="s">
        <v>1306</v>
      </c>
      <c r="L218" s="740">
        <v>0</v>
      </c>
      <c r="M218" s="741">
        <v>59.56</v>
      </c>
      <c r="N218" s="67">
        <v>129</v>
      </c>
      <c r="O218" s="67">
        <v>10082</v>
      </c>
      <c r="Q218" s="674">
        <v>0</v>
      </c>
      <c r="R218" s="674">
        <v>10082</v>
      </c>
      <c r="S218" s="71">
        <v>169.27468099395566</v>
      </c>
      <c r="T218" s="449"/>
      <c r="U218" s="67">
        <v>10174</v>
      </c>
      <c r="V218" s="163">
        <v>-92</v>
      </c>
      <c r="W218" s="166">
        <v>-9.0426577550619218E-3</v>
      </c>
      <c r="X218" s="61"/>
      <c r="Z218" s="67"/>
      <c r="AA218" s="451"/>
      <c r="AB218" s="452"/>
      <c r="AE218" s="36"/>
      <c r="AF218" s="36"/>
      <c r="AG218" s="36"/>
      <c r="AH218" s="19"/>
    </row>
    <row r="219" spans="1:34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739">
        <v>0</v>
      </c>
      <c r="K219" s="132" t="s">
        <v>644</v>
      </c>
      <c r="L219" s="740">
        <v>0</v>
      </c>
      <c r="M219" s="741">
        <v>0</v>
      </c>
      <c r="N219" s="67">
        <v>0</v>
      </c>
      <c r="O219" s="67">
        <v>0</v>
      </c>
      <c r="Q219" s="674">
        <v>0</v>
      </c>
      <c r="R219" s="674">
        <v>0</v>
      </c>
      <c r="S219" s="71">
        <v>0</v>
      </c>
      <c r="T219" s="449"/>
      <c r="U219" s="67">
        <v>0</v>
      </c>
      <c r="V219" s="163">
        <v>0</v>
      </c>
      <c r="W219" s="166">
        <v>0</v>
      </c>
      <c r="X219" s="61"/>
      <c r="Z219" s="67"/>
      <c r="AA219" s="451"/>
      <c r="AB219" s="452"/>
      <c r="AE219" s="36"/>
      <c r="AF219" s="36"/>
      <c r="AG219" s="36"/>
      <c r="AH219" s="19"/>
    </row>
    <row r="220" spans="1:34">
      <c r="A220" s="64" t="s">
        <v>603</v>
      </c>
      <c r="B220" s="63" t="s">
        <v>446</v>
      </c>
      <c r="C220" s="63" t="s">
        <v>447</v>
      </c>
      <c r="D220" s="134">
        <v>12.67</v>
      </c>
      <c r="E220" s="67">
        <v>2117</v>
      </c>
      <c r="F220" s="146">
        <v>0</v>
      </c>
      <c r="G220" s="146">
        <v>0</v>
      </c>
      <c r="H220" s="91">
        <v>2117</v>
      </c>
      <c r="I220" s="67">
        <v>0</v>
      </c>
      <c r="J220" s="739">
        <v>2117</v>
      </c>
      <c r="K220" s="132" t="s">
        <v>644</v>
      </c>
      <c r="L220" s="740">
        <v>2117</v>
      </c>
      <c r="M220" s="741">
        <v>0</v>
      </c>
      <c r="N220" s="67">
        <v>0</v>
      </c>
      <c r="O220" s="67">
        <v>0</v>
      </c>
      <c r="Q220" s="674">
        <v>0</v>
      </c>
      <c r="R220" s="674">
        <v>0</v>
      </c>
      <c r="S220" s="71">
        <v>0</v>
      </c>
      <c r="T220" s="449"/>
      <c r="U220" s="67">
        <v>0</v>
      </c>
      <c r="V220" s="163">
        <v>0</v>
      </c>
      <c r="W220" s="166">
        <v>0</v>
      </c>
      <c r="X220" s="61"/>
      <c r="Z220" s="67"/>
      <c r="AA220" s="451"/>
      <c r="AB220" s="452"/>
      <c r="AE220" s="36"/>
      <c r="AF220" s="36"/>
      <c r="AG220" s="36"/>
      <c r="AH220" s="19"/>
    </row>
    <row r="221" spans="1:34">
      <c r="A221" s="64" t="s">
        <v>597</v>
      </c>
      <c r="B221" s="63" t="s">
        <v>193</v>
      </c>
      <c r="C221" s="63" t="s">
        <v>194</v>
      </c>
      <c r="D221" s="134">
        <v>73.11</v>
      </c>
      <c r="E221" s="67">
        <v>12217</v>
      </c>
      <c r="F221" s="146">
        <v>0</v>
      </c>
      <c r="G221" s="146">
        <v>0</v>
      </c>
      <c r="H221" s="91">
        <v>12217</v>
      </c>
      <c r="I221" s="67">
        <v>0</v>
      </c>
      <c r="J221" s="739">
        <v>12217</v>
      </c>
      <c r="K221" s="132" t="s">
        <v>621</v>
      </c>
      <c r="L221" s="740">
        <v>0</v>
      </c>
      <c r="M221" s="741">
        <v>73.11</v>
      </c>
      <c r="N221" s="67">
        <v>158</v>
      </c>
      <c r="O221" s="67">
        <v>12375</v>
      </c>
      <c r="Q221" s="674">
        <v>0</v>
      </c>
      <c r="R221" s="674">
        <v>12375</v>
      </c>
      <c r="S221" s="71">
        <v>169.26549035699631</v>
      </c>
      <c r="T221" s="449"/>
      <c r="U221" s="67">
        <v>12488</v>
      </c>
      <c r="V221" s="163">
        <v>-113</v>
      </c>
      <c r="W221" s="166">
        <v>-9.0486867392696995E-3</v>
      </c>
      <c r="X221" s="61"/>
      <c r="Z221" s="67"/>
      <c r="AA221" s="451"/>
      <c r="AB221" s="452"/>
      <c r="AE221" s="36"/>
      <c r="AF221" s="36"/>
      <c r="AG221" s="36"/>
      <c r="AH221" s="19"/>
    </row>
    <row r="222" spans="1:34">
      <c r="A222" s="64" t="s">
        <v>594</v>
      </c>
      <c r="B222" s="63" t="s">
        <v>484</v>
      </c>
      <c r="C222" s="63" t="s">
        <v>485</v>
      </c>
      <c r="D222" s="134">
        <v>125.33</v>
      </c>
      <c r="E222" s="67">
        <v>20943</v>
      </c>
      <c r="F222" s="146">
        <v>0</v>
      </c>
      <c r="G222" s="146">
        <v>0</v>
      </c>
      <c r="H222" s="91">
        <v>20943</v>
      </c>
      <c r="I222" s="67">
        <v>0</v>
      </c>
      <c r="J222" s="739">
        <v>20943</v>
      </c>
      <c r="K222" s="132" t="s">
        <v>621</v>
      </c>
      <c r="L222" s="740">
        <v>0</v>
      </c>
      <c r="M222" s="741">
        <v>125.33</v>
      </c>
      <c r="N222" s="67">
        <v>271</v>
      </c>
      <c r="O222" s="67">
        <v>21214</v>
      </c>
      <c r="Q222" s="674">
        <v>0</v>
      </c>
      <c r="R222" s="674">
        <v>21214</v>
      </c>
      <c r="S222" s="71">
        <v>169.26514003031997</v>
      </c>
      <c r="T222" s="449"/>
      <c r="U222" s="67">
        <v>21409</v>
      </c>
      <c r="V222" s="163">
        <v>-195</v>
      </c>
      <c r="W222" s="166">
        <v>-9.1083189312905783E-3</v>
      </c>
      <c r="X222" s="61"/>
      <c r="Z222" s="67"/>
      <c r="AA222" s="451"/>
      <c r="AB222" s="452"/>
      <c r="AE222" s="36"/>
      <c r="AF222" s="36"/>
      <c r="AG222" s="36"/>
      <c r="AH222" s="19"/>
    </row>
    <row r="223" spans="1:34">
      <c r="A223" s="64" t="s">
        <v>599</v>
      </c>
      <c r="B223" s="63" t="s">
        <v>244</v>
      </c>
      <c r="C223" s="63" t="s">
        <v>245</v>
      </c>
      <c r="D223" s="134">
        <v>8</v>
      </c>
      <c r="E223" s="67">
        <v>1337</v>
      </c>
      <c r="F223" s="146">
        <v>0</v>
      </c>
      <c r="G223" s="146">
        <v>0</v>
      </c>
      <c r="H223" s="91">
        <v>1337</v>
      </c>
      <c r="I223" s="67">
        <v>0</v>
      </c>
      <c r="J223" s="739">
        <v>1337</v>
      </c>
      <c r="K223" s="132" t="s">
        <v>644</v>
      </c>
      <c r="L223" s="740">
        <v>1337</v>
      </c>
      <c r="M223" s="741">
        <v>0</v>
      </c>
      <c r="N223" s="67">
        <v>0</v>
      </c>
      <c r="O223" s="67">
        <v>0</v>
      </c>
      <c r="Q223" s="674">
        <v>0</v>
      </c>
      <c r="R223" s="674">
        <v>0</v>
      </c>
      <c r="S223" s="71">
        <v>0</v>
      </c>
      <c r="T223" s="449"/>
      <c r="U223" s="67">
        <v>0</v>
      </c>
      <c r="V223" s="163">
        <v>0</v>
      </c>
      <c r="W223" s="166">
        <v>0</v>
      </c>
      <c r="X223" s="61"/>
      <c r="Z223" s="67"/>
      <c r="AA223" s="451"/>
      <c r="AB223" s="452"/>
      <c r="AE223" s="36"/>
      <c r="AF223" s="36"/>
      <c r="AG223" s="36"/>
      <c r="AH223" s="19"/>
    </row>
    <row r="224" spans="1:34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739">
        <v>0</v>
      </c>
      <c r="K224" s="132" t="s">
        <v>644</v>
      </c>
      <c r="L224" s="740">
        <v>0</v>
      </c>
      <c r="M224" s="741">
        <v>0</v>
      </c>
      <c r="N224" s="67">
        <v>0</v>
      </c>
      <c r="O224" s="67">
        <v>0</v>
      </c>
      <c r="Q224" s="674">
        <v>0</v>
      </c>
      <c r="R224" s="674">
        <v>0</v>
      </c>
      <c r="S224" s="71">
        <v>0</v>
      </c>
      <c r="T224" s="449"/>
      <c r="U224" s="67">
        <v>0</v>
      </c>
      <c r="V224" s="163">
        <v>0</v>
      </c>
      <c r="W224" s="166">
        <v>0</v>
      </c>
      <c r="X224" s="61"/>
      <c r="Z224" s="67"/>
      <c r="AA224" s="451"/>
      <c r="AB224" s="452"/>
      <c r="AE224" s="36"/>
      <c r="AF224" s="36"/>
      <c r="AG224" s="36"/>
      <c r="AH224" s="19"/>
    </row>
    <row r="225" spans="1:34">
      <c r="A225" s="64" t="s">
        <v>605</v>
      </c>
      <c r="B225" s="63" t="s">
        <v>123</v>
      </c>
      <c r="C225" s="63" t="s">
        <v>124</v>
      </c>
      <c r="D225" s="134">
        <v>679.44</v>
      </c>
      <c r="E225" s="67">
        <v>113538</v>
      </c>
      <c r="F225" s="146">
        <v>0</v>
      </c>
      <c r="G225" s="146">
        <v>0</v>
      </c>
      <c r="H225" s="91">
        <v>113538</v>
      </c>
      <c r="I225" s="67">
        <v>0</v>
      </c>
      <c r="J225" s="739">
        <v>113538</v>
      </c>
      <c r="K225" s="132" t="s">
        <v>621</v>
      </c>
      <c r="L225" s="740">
        <v>0</v>
      </c>
      <c r="M225" s="741">
        <v>679.44</v>
      </c>
      <c r="N225" s="67">
        <v>1471</v>
      </c>
      <c r="O225" s="67">
        <v>115009</v>
      </c>
      <c r="Q225" s="674">
        <v>0</v>
      </c>
      <c r="R225" s="674">
        <v>115009</v>
      </c>
      <c r="S225" s="71">
        <v>169.27028140821852</v>
      </c>
      <c r="T225" s="449"/>
      <c r="U225" s="67">
        <v>116059</v>
      </c>
      <c r="V225" s="163">
        <v>-1050</v>
      </c>
      <c r="W225" s="166">
        <v>-9.0471225842028626E-3</v>
      </c>
      <c r="X225" s="61"/>
      <c r="Z225" s="67"/>
      <c r="AA225" s="451"/>
      <c r="AB225" s="452"/>
      <c r="AE225" s="36"/>
      <c r="AF225" s="36"/>
      <c r="AG225" s="36"/>
      <c r="AH225" s="19"/>
    </row>
    <row r="226" spans="1:34">
      <c r="A226" s="64" t="s">
        <v>595</v>
      </c>
      <c r="B226" s="63" t="s">
        <v>375</v>
      </c>
      <c r="C226" s="63" t="s">
        <v>614</v>
      </c>
      <c r="D226" s="134">
        <v>39.56</v>
      </c>
      <c r="E226" s="67">
        <v>6611</v>
      </c>
      <c r="F226" s="146">
        <v>0</v>
      </c>
      <c r="G226" s="146">
        <v>0</v>
      </c>
      <c r="H226" s="91">
        <v>6611</v>
      </c>
      <c r="I226" s="67">
        <v>0</v>
      </c>
      <c r="J226" s="739">
        <v>6611</v>
      </c>
      <c r="K226" s="132" t="s">
        <v>1306</v>
      </c>
      <c r="L226" s="740">
        <v>0</v>
      </c>
      <c r="M226" s="741">
        <v>39.56</v>
      </c>
      <c r="N226" s="67">
        <v>86</v>
      </c>
      <c r="O226" s="67">
        <v>6697</v>
      </c>
      <c r="Q226" s="674">
        <v>0</v>
      </c>
      <c r="R226" s="674">
        <v>6697</v>
      </c>
      <c r="S226" s="71">
        <v>169.28715874620829</v>
      </c>
      <c r="T226" s="449"/>
      <c r="U226" s="67">
        <v>6757</v>
      </c>
      <c r="V226" s="163">
        <v>-60</v>
      </c>
      <c r="W226" s="166">
        <v>-8.879680331508065E-3</v>
      </c>
      <c r="X226" s="61"/>
      <c r="Z226" s="67"/>
      <c r="AA226" s="451"/>
      <c r="AB226" s="452"/>
      <c r="AE226" s="36"/>
      <c r="AF226" s="36"/>
      <c r="AG226" s="36"/>
      <c r="AH226" s="19"/>
    </row>
    <row r="227" spans="1:34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132" t="s">
        <v>644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>
        <v>0</v>
      </c>
      <c r="S227" s="71">
        <v>0</v>
      </c>
      <c r="T227" s="449"/>
      <c r="U227" s="67">
        <v>0</v>
      </c>
      <c r="V227" s="163">
        <v>0</v>
      </c>
      <c r="W227" s="166">
        <v>0</v>
      </c>
      <c r="X227" s="61"/>
      <c r="Z227" s="67"/>
      <c r="AA227" s="451"/>
      <c r="AB227" s="452"/>
      <c r="AE227" s="36"/>
      <c r="AF227" s="36"/>
      <c r="AG227" s="36"/>
      <c r="AH227" s="19"/>
    </row>
    <row r="228" spans="1:34">
      <c r="A228" s="64" t="s">
        <v>597</v>
      </c>
      <c r="B228" s="63" t="s">
        <v>173</v>
      </c>
      <c r="C228" s="63" t="s">
        <v>174</v>
      </c>
      <c r="D228" s="134">
        <v>5909.67</v>
      </c>
      <c r="E228" s="67">
        <v>987539</v>
      </c>
      <c r="F228" s="146">
        <v>0</v>
      </c>
      <c r="G228" s="146">
        <v>0</v>
      </c>
      <c r="H228" s="91">
        <v>987539</v>
      </c>
      <c r="I228" s="67">
        <v>0</v>
      </c>
      <c r="J228" s="739">
        <v>987539</v>
      </c>
      <c r="K228" s="132" t="s">
        <v>621</v>
      </c>
      <c r="L228" s="740">
        <v>0</v>
      </c>
      <c r="M228" s="741">
        <v>5909.67</v>
      </c>
      <c r="N228" s="67">
        <v>12794</v>
      </c>
      <c r="O228" s="303">
        <v>1000334</v>
      </c>
      <c r="Q228" s="674">
        <v>0</v>
      </c>
      <c r="R228" s="674">
        <v>1000334</v>
      </c>
      <c r="S228" s="71">
        <v>169.27070377872198</v>
      </c>
      <c r="T228" s="449"/>
      <c r="U228" s="67">
        <v>1009463</v>
      </c>
      <c r="V228" s="163">
        <v>-9129</v>
      </c>
      <c r="W228" s="166">
        <v>-9.0434220966989377E-3</v>
      </c>
      <c r="X228" s="61"/>
      <c r="Z228" s="303"/>
      <c r="AA228" s="451"/>
      <c r="AB228" s="452"/>
      <c r="AE228" s="36"/>
      <c r="AF228" s="36"/>
      <c r="AG228" s="36"/>
      <c r="AH228" s="19"/>
    </row>
    <row r="229" spans="1:34">
      <c r="A229" s="64" t="s">
        <v>595</v>
      </c>
      <c r="B229" s="63" t="s">
        <v>379</v>
      </c>
      <c r="C229" s="63" t="s">
        <v>615</v>
      </c>
      <c r="D229" s="134">
        <v>231.56</v>
      </c>
      <c r="E229" s="67">
        <v>38695</v>
      </c>
      <c r="F229" s="146">
        <v>0</v>
      </c>
      <c r="G229" s="146">
        <v>0</v>
      </c>
      <c r="H229" s="91">
        <v>38695</v>
      </c>
      <c r="I229" s="67">
        <v>0</v>
      </c>
      <c r="J229" s="739">
        <v>38695</v>
      </c>
      <c r="K229" s="132" t="s">
        <v>621</v>
      </c>
      <c r="L229" s="740">
        <v>0</v>
      </c>
      <c r="M229" s="741">
        <v>231.56</v>
      </c>
      <c r="N229" s="67">
        <v>501</v>
      </c>
      <c r="O229" s="67">
        <v>39196</v>
      </c>
      <c r="Q229" s="674">
        <v>0</v>
      </c>
      <c r="R229" s="674">
        <v>39196</v>
      </c>
      <c r="S229" s="71">
        <v>169.26930385213336</v>
      </c>
      <c r="T229" s="449"/>
      <c r="U229" s="67">
        <v>39554</v>
      </c>
      <c r="V229" s="163">
        <v>-358</v>
      </c>
      <c r="W229" s="166">
        <v>-9.0509177327198261E-3</v>
      </c>
      <c r="X229" s="61"/>
      <c r="Z229" s="67"/>
      <c r="AA229" s="451"/>
      <c r="AB229" s="452"/>
      <c r="AE229" s="36"/>
      <c r="AF229" s="36"/>
      <c r="AG229" s="36"/>
      <c r="AH229" s="19"/>
    </row>
    <row r="230" spans="1:34" s="112" customFormat="1">
      <c r="A230" s="138" t="s">
        <v>605</v>
      </c>
      <c r="B230" s="139" t="s">
        <v>551</v>
      </c>
      <c r="C230" s="63" t="s">
        <v>552</v>
      </c>
      <c r="D230" s="134">
        <v>207.78</v>
      </c>
      <c r="E230" s="67">
        <v>34721</v>
      </c>
      <c r="F230" s="146">
        <v>0</v>
      </c>
      <c r="G230" s="146">
        <v>0</v>
      </c>
      <c r="H230" s="91">
        <v>34721</v>
      </c>
      <c r="I230" s="67">
        <v>0</v>
      </c>
      <c r="J230" s="739">
        <v>34721</v>
      </c>
      <c r="K230" s="132" t="s">
        <v>621</v>
      </c>
      <c r="L230" s="740">
        <v>0</v>
      </c>
      <c r="M230" s="741">
        <v>207.78</v>
      </c>
      <c r="N230" s="67">
        <v>450</v>
      </c>
      <c r="O230" s="67">
        <v>35171</v>
      </c>
      <c r="P230" s="674"/>
      <c r="Q230" s="674">
        <v>0</v>
      </c>
      <c r="R230" s="674">
        <v>35171</v>
      </c>
      <c r="S230" s="71">
        <v>169.27038213495044</v>
      </c>
      <c r="T230" s="449"/>
      <c r="U230" s="67">
        <v>35492</v>
      </c>
      <c r="V230" s="163">
        <v>-321</v>
      </c>
      <c r="W230" s="166">
        <v>-9.0442916713625605E-3</v>
      </c>
      <c r="X230" s="115"/>
      <c r="Z230" s="67"/>
      <c r="AA230" s="451"/>
      <c r="AB230" s="452"/>
      <c r="AE230" s="116"/>
      <c r="AF230" s="116"/>
      <c r="AG230" s="116"/>
      <c r="AH230" s="117"/>
    </row>
    <row r="231" spans="1:34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739">
        <v>0</v>
      </c>
      <c r="K231" s="132" t="s">
        <v>644</v>
      </c>
      <c r="L231" s="740">
        <v>0</v>
      </c>
      <c r="M231" s="741">
        <v>0</v>
      </c>
      <c r="N231" s="67">
        <v>0</v>
      </c>
      <c r="O231" s="67">
        <v>0</v>
      </c>
      <c r="Q231" s="674">
        <v>0</v>
      </c>
      <c r="R231" s="674">
        <v>0</v>
      </c>
      <c r="S231" s="71">
        <v>0</v>
      </c>
      <c r="T231" s="449"/>
      <c r="U231" s="67">
        <v>0</v>
      </c>
      <c r="V231" s="163">
        <v>0</v>
      </c>
      <c r="W231" s="166">
        <v>0</v>
      </c>
      <c r="X231" s="61"/>
      <c r="Z231" s="67"/>
      <c r="AA231" s="451"/>
      <c r="AB231" s="452"/>
      <c r="AE231" s="36"/>
      <c r="AF231" s="36"/>
      <c r="AG231" s="36"/>
      <c r="AH231" s="19"/>
    </row>
    <row r="232" spans="1:34">
      <c r="A232" s="64" t="s">
        <v>600</v>
      </c>
      <c r="B232" s="63" t="s">
        <v>43</v>
      </c>
      <c r="C232" s="63" t="s">
        <v>44</v>
      </c>
      <c r="D232" s="134">
        <v>40</v>
      </c>
      <c r="E232" s="67">
        <v>6684</v>
      </c>
      <c r="F232" s="146">
        <v>0</v>
      </c>
      <c r="G232" s="146">
        <v>0</v>
      </c>
      <c r="H232" s="91">
        <v>6684</v>
      </c>
      <c r="I232" s="67">
        <v>0</v>
      </c>
      <c r="J232" s="739">
        <v>6684</v>
      </c>
      <c r="K232" s="132" t="s">
        <v>644</v>
      </c>
      <c r="L232" s="740">
        <v>6684</v>
      </c>
      <c r="M232" s="741">
        <v>0</v>
      </c>
      <c r="N232" s="67">
        <v>0</v>
      </c>
      <c r="O232" s="67">
        <v>0</v>
      </c>
      <c r="Q232" s="674">
        <v>0</v>
      </c>
      <c r="R232" s="674">
        <v>0</v>
      </c>
      <c r="S232" s="71">
        <v>0</v>
      </c>
      <c r="T232" s="449"/>
      <c r="U232" s="67">
        <v>0</v>
      </c>
      <c r="V232" s="163">
        <v>0</v>
      </c>
      <c r="W232" s="166">
        <v>0</v>
      </c>
      <c r="X232" s="61"/>
      <c r="Z232" s="67"/>
      <c r="AA232" s="451"/>
      <c r="AB232" s="452"/>
      <c r="AE232" s="36"/>
      <c r="AF232" s="36"/>
      <c r="AG232" s="36"/>
      <c r="AH232" s="19"/>
    </row>
    <row r="233" spans="1:34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132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>
        <v>0</v>
      </c>
      <c r="S233" s="71">
        <v>0</v>
      </c>
      <c r="T233" s="449"/>
      <c r="U233" s="67">
        <v>0</v>
      </c>
      <c r="V233" s="163">
        <v>0</v>
      </c>
      <c r="W233" s="166">
        <v>0</v>
      </c>
      <c r="X233" s="61"/>
      <c r="Z233" s="67"/>
      <c r="AA233" s="451"/>
      <c r="AB233" s="452"/>
      <c r="AE233" s="36"/>
      <c r="AF233" s="36"/>
      <c r="AG233" s="36"/>
      <c r="AH233" s="19"/>
    </row>
    <row r="234" spans="1:34">
      <c r="A234" s="64" t="s">
        <v>594</v>
      </c>
      <c r="B234" s="63" t="s">
        <v>299</v>
      </c>
      <c r="C234" s="63" t="s">
        <v>300</v>
      </c>
      <c r="D234" s="134">
        <v>364.33</v>
      </c>
      <c r="E234" s="67">
        <v>60882</v>
      </c>
      <c r="F234" s="146">
        <v>0</v>
      </c>
      <c r="G234" s="146">
        <v>0</v>
      </c>
      <c r="H234" s="91">
        <v>60882</v>
      </c>
      <c r="I234" s="67">
        <v>0</v>
      </c>
      <c r="J234" s="739">
        <v>60882</v>
      </c>
      <c r="K234" s="132" t="s">
        <v>621</v>
      </c>
      <c r="L234" s="740">
        <v>0</v>
      </c>
      <c r="M234" s="741">
        <v>364.33</v>
      </c>
      <c r="N234" s="67">
        <v>789</v>
      </c>
      <c r="O234" s="67">
        <v>61671</v>
      </c>
      <c r="Q234" s="674">
        <v>0</v>
      </c>
      <c r="R234" s="674">
        <v>61671</v>
      </c>
      <c r="S234" s="71">
        <v>169.27236296763922</v>
      </c>
      <c r="T234" s="449"/>
      <c r="U234" s="67">
        <v>62233</v>
      </c>
      <c r="V234" s="163">
        <v>-562</v>
      </c>
      <c r="W234" s="166">
        <v>-9.0305786319155434E-3</v>
      </c>
      <c r="X234" s="61"/>
      <c r="Z234" s="67"/>
      <c r="AA234" s="451"/>
      <c r="AB234" s="452"/>
      <c r="AE234" s="36"/>
      <c r="AF234" s="36"/>
      <c r="AG234" s="36"/>
      <c r="AH234" s="19"/>
    </row>
    <row r="235" spans="1:34">
      <c r="A235" s="64" t="s">
        <v>597</v>
      </c>
      <c r="B235" s="63" t="s">
        <v>203</v>
      </c>
      <c r="C235" s="63" t="s">
        <v>204</v>
      </c>
      <c r="D235" s="134">
        <v>584.22</v>
      </c>
      <c r="E235" s="67">
        <v>97627</v>
      </c>
      <c r="F235" s="146">
        <v>0</v>
      </c>
      <c r="G235" s="146">
        <v>0</v>
      </c>
      <c r="H235" s="91">
        <v>97627</v>
      </c>
      <c r="I235" s="67">
        <v>0</v>
      </c>
      <c r="J235" s="739">
        <v>97627</v>
      </c>
      <c r="K235" s="132" t="s">
        <v>621</v>
      </c>
      <c r="L235" s="740">
        <v>0</v>
      </c>
      <c r="M235" s="741">
        <v>584.22</v>
      </c>
      <c r="N235" s="67">
        <v>1265</v>
      </c>
      <c r="O235" s="67">
        <v>98892</v>
      </c>
      <c r="Q235" s="674">
        <v>0</v>
      </c>
      <c r="R235" s="674">
        <v>98892</v>
      </c>
      <c r="S235" s="71">
        <v>169.27184964568141</v>
      </c>
      <c r="T235" s="449"/>
      <c r="U235" s="67">
        <v>99794</v>
      </c>
      <c r="V235" s="163">
        <v>-902</v>
      </c>
      <c r="W235" s="166">
        <v>-9.0386195562859491E-3</v>
      </c>
      <c r="X235" s="61"/>
      <c r="Z235" s="67"/>
      <c r="AA235" s="451"/>
      <c r="AB235" s="452"/>
      <c r="AE235" s="36"/>
      <c r="AF235" s="36"/>
      <c r="AG235" s="36"/>
      <c r="AH235" s="19"/>
    </row>
    <row r="236" spans="1:34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739">
        <v>0</v>
      </c>
      <c r="K236" s="132" t="s">
        <v>644</v>
      </c>
      <c r="L236" s="740">
        <v>0</v>
      </c>
      <c r="M236" s="741">
        <v>0</v>
      </c>
      <c r="N236" s="67">
        <v>0</v>
      </c>
      <c r="O236" s="67">
        <v>0</v>
      </c>
      <c r="Q236" s="674">
        <v>0</v>
      </c>
      <c r="R236" s="674">
        <v>0</v>
      </c>
      <c r="S236" s="71">
        <v>0</v>
      </c>
      <c r="T236" s="449"/>
      <c r="U236" s="67">
        <v>0</v>
      </c>
      <c r="V236" s="163">
        <v>0</v>
      </c>
      <c r="W236" s="166">
        <v>0</v>
      </c>
      <c r="X236" s="61"/>
      <c r="Z236" s="67"/>
      <c r="AA236" s="451"/>
      <c r="AB236" s="452"/>
      <c r="AE236" s="36"/>
      <c r="AF236" s="36"/>
      <c r="AG236" s="36"/>
      <c r="AH236" s="19"/>
    </row>
    <row r="237" spans="1:34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739">
        <v>0</v>
      </c>
      <c r="K237" s="132" t="s">
        <v>644</v>
      </c>
      <c r="L237" s="740">
        <v>0</v>
      </c>
      <c r="M237" s="741">
        <v>0</v>
      </c>
      <c r="N237" s="67">
        <v>0</v>
      </c>
      <c r="O237" s="67">
        <v>0</v>
      </c>
      <c r="Q237" s="674">
        <v>0</v>
      </c>
      <c r="R237" s="674">
        <v>0</v>
      </c>
      <c r="S237" s="71">
        <v>0</v>
      </c>
      <c r="T237" s="449"/>
      <c r="U237" s="67">
        <v>0</v>
      </c>
      <c r="V237" s="163">
        <v>0</v>
      </c>
      <c r="W237" s="166">
        <v>0</v>
      </c>
      <c r="X237" s="61"/>
      <c r="Z237" s="67"/>
      <c r="AA237" s="451"/>
      <c r="AB237" s="452"/>
      <c r="AE237" s="36"/>
      <c r="AF237" s="36"/>
      <c r="AG237" s="36"/>
      <c r="AH237" s="19"/>
    </row>
    <row r="238" spans="1:34">
      <c r="A238" s="64" t="s">
        <v>595</v>
      </c>
      <c r="B238" s="63" t="s">
        <v>411</v>
      </c>
      <c r="C238" s="63" t="s">
        <v>412</v>
      </c>
      <c r="D238" s="134">
        <v>268.77999999999997</v>
      </c>
      <c r="E238" s="67">
        <v>44915</v>
      </c>
      <c r="F238" s="146">
        <v>0</v>
      </c>
      <c r="G238" s="146">
        <v>0</v>
      </c>
      <c r="H238" s="91">
        <v>44915</v>
      </c>
      <c r="I238" s="67">
        <v>0</v>
      </c>
      <c r="J238" s="739">
        <v>44915</v>
      </c>
      <c r="K238" s="132" t="s">
        <v>621</v>
      </c>
      <c r="L238" s="740">
        <v>0</v>
      </c>
      <c r="M238" s="741">
        <v>268.77999999999997</v>
      </c>
      <c r="N238" s="67">
        <v>582</v>
      </c>
      <c r="O238" s="67">
        <v>45497</v>
      </c>
      <c r="Q238" s="674">
        <v>0</v>
      </c>
      <c r="R238" s="674">
        <v>45497</v>
      </c>
      <c r="S238" s="71">
        <v>169.27226728179181</v>
      </c>
      <c r="T238" s="449"/>
      <c r="U238" s="67">
        <v>45911</v>
      </c>
      <c r="V238" s="163">
        <v>-414</v>
      </c>
      <c r="W238" s="166">
        <v>-9.0174467992420113E-3</v>
      </c>
      <c r="X238" s="61"/>
      <c r="Z238" s="67"/>
      <c r="AA238" s="451"/>
      <c r="AB238" s="452"/>
      <c r="AE238" s="36"/>
      <c r="AF238" s="36"/>
      <c r="AG238" s="36"/>
      <c r="AH238" s="19"/>
    </row>
    <row r="239" spans="1:34">
      <c r="A239" s="64" t="s">
        <v>597</v>
      </c>
      <c r="B239" s="63" t="s">
        <v>199</v>
      </c>
      <c r="C239" s="63" t="s">
        <v>200</v>
      </c>
      <c r="D239" s="134">
        <v>124.22</v>
      </c>
      <c r="E239" s="67">
        <v>20758</v>
      </c>
      <c r="F239" s="146">
        <v>0</v>
      </c>
      <c r="G239" s="146">
        <v>0</v>
      </c>
      <c r="H239" s="91">
        <v>20758</v>
      </c>
      <c r="I239" s="67">
        <v>0</v>
      </c>
      <c r="J239" s="739">
        <v>20758</v>
      </c>
      <c r="K239" s="132" t="s">
        <v>621</v>
      </c>
      <c r="L239" s="740">
        <v>0</v>
      </c>
      <c r="M239" s="741">
        <v>124.22</v>
      </c>
      <c r="N239" s="67">
        <v>269</v>
      </c>
      <c r="O239" s="67">
        <v>21027</v>
      </c>
      <c r="Q239" s="674">
        <v>0</v>
      </c>
      <c r="R239" s="674">
        <v>21027</v>
      </c>
      <c r="S239" s="71">
        <v>169.27225889550797</v>
      </c>
      <c r="T239" s="449"/>
      <c r="U239" s="67">
        <v>21219</v>
      </c>
      <c r="V239" s="163">
        <v>-192</v>
      </c>
      <c r="W239" s="166">
        <v>-9.0484942739997177E-3</v>
      </c>
      <c r="X239" s="61"/>
      <c r="Z239" s="67"/>
      <c r="AA239" s="451"/>
      <c r="AB239" s="452"/>
      <c r="AE239" s="36"/>
      <c r="AF239" s="36"/>
      <c r="AG239" s="36"/>
      <c r="AH239" s="19"/>
    </row>
    <row r="240" spans="1:34">
      <c r="A240" s="64" t="s">
        <v>601</v>
      </c>
      <c r="B240" s="63" t="s">
        <v>121</v>
      </c>
      <c r="C240" s="63" t="s">
        <v>122</v>
      </c>
      <c r="D240" s="134">
        <v>76.78</v>
      </c>
      <c r="E240" s="67">
        <v>12830</v>
      </c>
      <c r="F240" s="146">
        <v>0</v>
      </c>
      <c r="G240" s="146">
        <v>0</v>
      </c>
      <c r="H240" s="91">
        <v>12830</v>
      </c>
      <c r="I240" s="67">
        <v>0</v>
      </c>
      <c r="J240" s="739">
        <v>12830</v>
      </c>
      <c r="K240" s="132" t="s">
        <v>621</v>
      </c>
      <c r="L240" s="740">
        <v>0</v>
      </c>
      <c r="M240" s="741">
        <v>76.78</v>
      </c>
      <c r="N240" s="67">
        <v>166</v>
      </c>
      <c r="O240" s="67">
        <v>12996</v>
      </c>
      <c r="Q240" s="674">
        <v>0</v>
      </c>
      <c r="R240" s="674">
        <v>12996</v>
      </c>
      <c r="S240" s="71">
        <v>169.26282886168272</v>
      </c>
      <c r="T240" s="449"/>
      <c r="U240" s="67">
        <v>13116</v>
      </c>
      <c r="V240" s="163">
        <v>-120</v>
      </c>
      <c r="W240" s="166">
        <v>-9.1491308325709064E-3</v>
      </c>
      <c r="X240" s="61"/>
      <c r="Z240" s="67"/>
      <c r="AA240" s="451"/>
      <c r="AB240" s="452"/>
      <c r="AE240" s="36"/>
      <c r="AF240" s="36"/>
      <c r="AG240" s="36"/>
      <c r="AH240" s="19"/>
    </row>
    <row r="241" spans="1:34">
      <c r="A241" s="64" t="s">
        <v>594</v>
      </c>
      <c r="B241" s="63" t="s">
        <v>329</v>
      </c>
      <c r="C241" s="63" t="s">
        <v>330</v>
      </c>
      <c r="D241" s="134">
        <v>94.44</v>
      </c>
      <c r="E241" s="67">
        <v>15781</v>
      </c>
      <c r="F241" s="146">
        <v>0</v>
      </c>
      <c r="G241" s="146">
        <v>0</v>
      </c>
      <c r="H241" s="91">
        <v>15781</v>
      </c>
      <c r="I241" s="67">
        <v>0</v>
      </c>
      <c r="J241" s="739">
        <v>15781</v>
      </c>
      <c r="K241" s="132" t="s">
        <v>621</v>
      </c>
      <c r="L241" s="740">
        <v>0</v>
      </c>
      <c r="M241" s="741">
        <v>94.44</v>
      </c>
      <c r="N241" s="67">
        <v>204</v>
      </c>
      <c r="O241" s="67">
        <v>15985</v>
      </c>
      <c r="Q241" s="674">
        <v>0</v>
      </c>
      <c r="R241" s="674">
        <v>15985</v>
      </c>
      <c r="S241" s="71">
        <v>169.2609063955951</v>
      </c>
      <c r="T241" s="449"/>
      <c r="U241" s="67">
        <v>16132</v>
      </c>
      <c r="V241" s="163">
        <v>-147</v>
      </c>
      <c r="W241" s="166">
        <v>-9.1123233325068193E-3</v>
      </c>
      <c r="X241" s="61"/>
      <c r="Z241" s="67"/>
      <c r="AA241" s="451"/>
      <c r="AB241" s="452"/>
      <c r="AE241" s="36"/>
      <c r="AF241" s="36"/>
      <c r="AG241" s="36"/>
      <c r="AH241" s="19"/>
    </row>
    <row r="242" spans="1:34">
      <c r="A242" s="64" t="s">
        <v>600</v>
      </c>
      <c r="B242" s="63" t="s">
        <v>218</v>
      </c>
      <c r="C242" s="63" t="s">
        <v>219</v>
      </c>
      <c r="D242" s="134">
        <v>69.78</v>
      </c>
      <c r="E242" s="67">
        <v>11661</v>
      </c>
      <c r="F242" s="146">
        <v>0</v>
      </c>
      <c r="G242" s="146">
        <v>0</v>
      </c>
      <c r="H242" s="91">
        <v>11661</v>
      </c>
      <c r="I242" s="67">
        <v>0</v>
      </c>
      <c r="J242" s="739">
        <v>11661</v>
      </c>
      <c r="K242" s="132" t="s">
        <v>621</v>
      </c>
      <c r="L242" s="740">
        <v>0</v>
      </c>
      <c r="M242" s="741">
        <v>69.78</v>
      </c>
      <c r="N242" s="67">
        <v>151</v>
      </c>
      <c r="O242" s="67">
        <v>11812</v>
      </c>
      <c r="Q242" s="674">
        <v>0</v>
      </c>
      <c r="R242" s="674">
        <v>11812</v>
      </c>
      <c r="S242" s="71">
        <v>169.27486385783891</v>
      </c>
      <c r="T242" s="449"/>
      <c r="U242" s="67">
        <v>11920</v>
      </c>
      <c r="V242" s="163">
        <v>-108</v>
      </c>
      <c r="W242" s="166">
        <v>-9.0604026845637585E-3</v>
      </c>
      <c r="X242" s="61"/>
      <c r="Z242" s="67"/>
      <c r="AA242" s="451"/>
      <c r="AB242" s="452"/>
      <c r="AE242" s="36"/>
      <c r="AF242" s="36"/>
      <c r="AG242" s="36"/>
      <c r="AH242" s="19"/>
    </row>
    <row r="243" spans="1:34">
      <c r="A243" s="64" t="s">
        <v>595</v>
      </c>
      <c r="B243" s="63" t="s">
        <v>161</v>
      </c>
      <c r="C243" s="63" t="s">
        <v>162</v>
      </c>
      <c r="D243" s="134">
        <v>11.33</v>
      </c>
      <c r="E243" s="67">
        <v>1893</v>
      </c>
      <c r="F243" s="146">
        <v>0</v>
      </c>
      <c r="G243" s="146">
        <v>0</v>
      </c>
      <c r="H243" s="91">
        <v>1893</v>
      </c>
      <c r="I243" s="67">
        <v>0</v>
      </c>
      <c r="J243" s="739">
        <v>1893</v>
      </c>
      <c r="K243" s="132" t="s">
        <v>644</v>
      </c>
      <c r="L243" s="740">
        <v>1893</v>
      </c>
      <c r="M243" s="741">
        <v>0</v>
      </c>
      <c r="N243" s="67">
        <v>0</v>
      </c>
      <c r="O243" s="67">
        <v>0</v>
      </c>
      <c r="Q243" s="674">
        <v>0</v>
      </c>
      <c r="R243" s="674">
        <v>0</v>
      </c>
      <c r="S243" s="71">
        <v>0</v>
      </c>
      <c r="T243" s="449"/>
      <c r="U243" s="67">
        <v>0</v>
      </c>
      <c r="V243" s="163">
        <v>0</v>
      </c>
      <c r="W243" s="166">
        <v>0</v>
      </c>
      <c r="X243" s="61"/>
      <c r="Z243" s="67"/>
      <c r="AA243" s="451"/>
      <c r="AB243" s="452"/>
      <c r="AE243" s="36"/>
      <c r="AF243" s="36"/>
      <c r="AG243" s="36"/>
      <c r="AH243" s="19"/>
    </row>
    <row r="244" spans="1:34">
      <c r="A244" s="64" t="s">
        <v>594</v>
      </c>
      <c r="B244" s="63" t="s">
        <v>295</v>
      </c>
      <c r="C244" s="63" t="s">
        <v>296</v>
      </c>
      <c r="D244" s="134">
        <v>3.89</v>
      </c>
      <c r="E244" s="67">
        <v>650</v>
      </c>
      <c r="F244" s="146">
        <v>0</v>
      </c>
      <c r="G244" s="146">
        <v>0</v>
      </c>
      <c r="H244" s="91">
        <v>650</v>
      </c>
      <c r="I244" s="67">
        <v>0</v>
      </c>
      <c r="J244" s="739">
        <v>650</v>
      </c>
      <c r="K244" s="132" t="s">
        <v>644</v>
      </c>
      <c r="L244" s="740">
        <v>650</v>
      </c>
      <c r="M244" s="741">
        <v>0</v>
      </c>
      <c r="N244" s="67">
        <v>0</v>
      </c>
      <c r="O244" s="67">
        <v>0</v>
      </c>
      <c r="Q244" s="674">
        <v>0</v>
      </c>
      <c r="R244" s="674">
        <v>0</v>
      </c>
      <c r="S244" s="71">
        <v>0</v>
      </c>
      <c r="T244" s="449"/>
      <c r="U244" s="67">
        <v>0</v>
      </c>
      <c r="V244" s="163">
        <v>0</v>
      </c>
      <c r="W244" s="166">
        <v>0</v>
      </c>
      <c r="X244" s="61"/>
      <c r="Z244" s="67"/>
      <c r="AA244" s="451"/>
      <c r="AB244" s="452"/>
      <c r="AE244" s="36"/>
      <c r="AF244" s="36"/>
      <c r="AG244" s="36"/>
      <c r="AH244" s="19"/>
    </row>
    <row r="245" spans="1:34">
      <c r="A245" s="64" t="s">
        <v>603</v>
      </c>
      <c r="B245" s="63" t="s">
        <v>422</v>
      </c>
      <c r="C245" s="63" t="s">
        <v>423</v>
      </c>
      <c r="D245" s="134">
        <v>1382</v>
      </c>
      <c r="E245" s="67">
        <v>230940</v>
      </c>
      <c r="F245" s="146">
        <v>0</v>
      </c>
      <c r="G245" s="146">
        <v>0</v>
      </c>
      <c r="H245" s="91">
        <v>230940</v>
      </c>
      <c r="I245" s="67">
        <v>0</v>
      </c>
      <c r="J245" s="739">
        <v>230940</v>
      </c>
      <c r="K245" s="132" t="s">
        <v>621</v>
      </c>
      <c r="L245" s="740">
        <v>0</v>
      </c>
      <c r="M245" s="741">
        <v>1382</v>
      </c>
      <c r="N245" s="67">
        <v>2992</v>
      </c>
      <c r="O245" s="67">
        <v>233932</v>
      </c>
      <c r="Q245" s="674">
        <v>0</v>
      </c>
      <c r="R245" s="674">
        <v>233932</v>
      </c>
      <c r="S245" s="71">
        <v>169.27062228654125</v>
      </c>
      <c r="T245" s="449"/>
      <c r="U245" s="67">
        <v>236068</v>
      </c>
      <c r="V245" s="163">
        <v>-2136</v>
      </c>
      <c r="W245" s="166">
        <v>-9.0482403375298642E-3</v>
      </c>
      <c r="X245" s="61"/>
      <c r="Z245" s="67"/>
      <c r="AA245" s="451"/>
      <c r="AB245" s="452"/>
      <c r="AE245" s="36"/>
      <c r="AF245" s="36"/>
      <c r="AG245" s="36"/>
      <c r="AH245" s="19"/>
    </row>
    <row r="246" spans="1:34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132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>
        <v>0</v>
      </c>
      <c r="S246" s="71">
        <v>0</v>
      </c>
      <c r="T246" s="449"/>
      <c r="U246" s="67">
        <v>0</v>
      </c>
      <c r="V246" s="163">
        <v>0</v>
      </c>
      <c r="W246" s="166">
        <v>0</v>
      </c>
      <c r="X246" s="61"/>
      <c r="Z246" s="67"/>
      <c r="AA246" s="451"/>
      <c r="AB246" s="452"/>
      <c r="AE246" s="36"/>
      <c r="AF246" s="36"/>
      <c r="AG246" s="36"/>
      <c r="AH246" s="19"/>
    </row>
    <row r="247" spans="1:34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739">
        <v>0</v>
      </c>
      <c r="K247" s="132" t="s">
        <v>644</v>
      </c>
      <c r="L247" s="740">
        <v>0</v>
      </c>
      <c r="M247" s="741">
        <v>0</v>
      </c>
      <c r="N247" s="67">
        <v>0</v>
      </c>
      <c r="O247" s="67">
        <v>0</v>
      </c>
      <c r="Q247" s="674">
        <v>0</v>
      </c>
      <c r="R247" s="674">
        <v>0</v>
      </c>
      <c r="S247" s="71">
        <v>0</v>
      </c>
      <c r="T247" s="449"/>
      <c r="U247" s="67">
        <v>0</v>
      </c>
      <c r="V247" s="163">
        <v>0</v>
      </c>
      <c r="W247" s="166">
        <v>0</v>
      </c>
      <c r="X247" s="61"/>
      <c r="Z247" s="67"/>
      <c r="AA247" s="451"/>
      <c r="AB247" s="452"/>
      <c r="AE247" s="36"/>
      <c r="AF247" s="36"/>
      <c r="AG247" s="36"/>
      <c r="AH247" s="19"/>
    </row>
    <row r="248" spans="1:34">
      <c r="A248" s="64" t="s">
        <v>595</v>
      </c>
      <c r="B248" s="63" t="s">
        <v>421</v>
      </c>
      <c r="C248" s="63" t="s">
        <v>673</v>
      </c>
      <c r="D248" s="134">
        <v>75.78</v>
      </c>
      <c r="E248" s="67">
        <v>12663</v>
      </c>
      <c r="F248" s="146">
        <v>0</v>
      </c>
      <c r="G248" s="146">
        <v>0</v>
      </c>
      <c r="H248" s="91">
        <v>12663</v>
      </c>
      <c r="I248" s="67">
        <v>0</v>
      </c>
      <c r="J248" s="739">
        <v>12663</v>
      </c>
      <c r="K248" s="132" t="s">
        <v>621</v>
      </c>
      <c r="L248" s="740">
        <v>0</v>
      </c>
      <c r="M248" s="741">
        <v>75.78</v>
      </c>
      <c r="N248" s="67">
        <v>164</v>
      </c>
      <c r="O248" s="67">
        <v>12827</v>
      </c>
      <c r="Q248" s="674">
        <v>0</v>
      </c>
      <c r="R248" s="674">
        <v>12827</v>
      </c>
      <c r="S248" s="71">
        <v>169.26629717603589</v>
      </c>
      <c r="T248" s="449"/>
      <c r="U248" s="67">
        <v>12944</v>
      </c>
      <c r="V248" s="163">
        <v>-117</v>
      </c>
      <c r="W248" s="166">
        <v>-9.0389369592089007E-3</v>
      </c>
      <c r="X248" s="61"/>
      <c r="Z248" s="67"/>
      <c r="AA248" s="451"/>
      <c r="AB248" s="452"/>
      <c r="AE248" s="36"/>
      <c r="AF248" s="36"/>
      <c r="AG248" s="36"/>
      <c r="AH248" s="19"/>
    </row>
    <row r="249" spans="1:34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132" t="s">
        <v>644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>
        <v>0</v>
      </c>
      <c r="S249" s="71">
        <v>0</v>
      </c>
      <c r="T249" s="449"/>
      <c r="U249" s="67">
        <v>0</v>
      </c>
      <c r="V249" s="163">
        <v>0</v>
      </c>
      <c r="W249" s="166">
        <v>0</v>
      </c>
      <c r="X249" s="61"/>
      <c r="Z249" s="67"/>
      <c r="AA249" s="451"/>
      <c r="AB249" s="452"/>
      <c r="AE249" s="36"/>
      <c r="AF249" s="36"/>
      <c r="AG249" s="36"/>
      <c r="AH249" s="19"/>
    </row>
    <row r="250" spans="1:34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132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>
        <v>0</v>
      </c>
      <c r="S250" s="71">
        <v>0</v>
      </c>
      <c r="T250" s="449"/>
      <c r="U250" s="67">
        <v>0</v>
      </c>
      <c r="V250" s="163">
        <v>0</v>
      </c>
      <c r="W250" s="166">
        <v>0</v>
      </c>
      <c r="X250" s="61"/>
      <c r="Z250" s="67"/>
      <c r="AA250" s="451"/>
      <c r="AB250" s="452"/>
      <c r="AE250" s="36"/>
      <c r="AF250" s="36"/>
      <c r="AG250" s="36"/>
      <c r="AH250" s="19"/>
    </row>
    <row r="251" spans="1:34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132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>
        <v>0</v>
      </c>
      <c r="S251" s="71">
        <v>0</v>
      </c>
      <c r="T251" s="449"/>
      <c r="U251" s="67">
        <v>0</v>
      </c>
      <c r="V251" s="163">
        <v>0</v>
      </c>
      <c r="W251" s="166">
        <v>0</v>
      </c>
      <c r="X251" s="61"/>
      <c r="Z251" s="67"/>
      <c r="AA251" s="451"/>
      <c r="AB251" s="452"/>
      <c r="AE251" s="36"/>
      <c r="AF251" s="36"/>
      <c r="AG251" s="36"/>
      <c r="AH251" s="19"/>
    </row>
    <row r="252" spans="1:34">
      <c r="A252" s="64" t="s">
        <v>597</v>
      </c>
      <c r="B252" s="63" t="s">
        <v>342</v>
      </c>
      <c r="C252" s="63" t="s">
        <v>617</v>
      </c>
      <c r="D252" s="134">
        <v>62.56</v>
      </c>
      <c r="E252" s="67">
        <v>10454</v>
      </c>
      <c r="F252" s="146">
        <v>0</v>
      </c>
      <c r="G252" s="146">
        <v>0</v>
      </c>
      <c r="H252" s="91">
        <v>10454</v>
      </c>
      <c r="I252" s="67">
        <v>0</v>
      </c>
      <c r="J252" s="739">
        <v>10454</v>
      </c>
      <c r="K252" s="132" t="s">
        <v>621</v>
      </c>
      <c r="L252" s="740">
        <v>0</v>
      </c>
      <c r="M252" s="741">
        <v>62.56</v>
      </c>
      <c r="N252" s="67">
        <v>135</v>
      </c>
      <c r="O252" s="67">
        <v>10589</v>
      </c>
      <c r="Q252" s="674">
        <v>0</v>
      </c>
      <c r="R252" s="674">
        <v>10589</v>
      </c>
      <c r="S252" s="71">
        <v>169.26150895140665</v>
      </c>
      <c r="T252" s="449"/>
      <c r="U252" s="67">
        <v>10686</v>
      </c>
      <c r="V252" s="163">
        <v>-97</v>
      </c>
      <c r="W252" s="166">
        <v>-9.0772973984652814E-3</v>
      </c>
      <c r="X252" s="61"/>
      <c r="Z252" s="67"/>
      <c r="AA252" s="451"/>
      <c r="AB252" s="452"/>
      <c r="AE252" s="36"/>
      <c r="AF252" s="36"/>
      <c r="AG252" s="36"/>
      <c r="AH252" s="19"/>
    </row>
    <row r="253" spans="1:34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132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>
        <v>0</v>
      </c>
      <c r="S253" s="71">
        <v>0</v>
      </c>
      <c r="T253" s="449"/>
      <c r="U253" s="67">
        <v>0</v>
      </c>
      <c r="V253" s="163">
        <v>0</v>
      </c>
      <c r="W253" s="166">
        <v>0</v>
      </c>
      <c r="X253" s="61"/>
      <c r="Z253" s="67"/>
      <c r="AA253" s="451"/>
      <c r="AB253" s="452"/>
      <c r="AE253" s="36"/>
      <c r="AF253" s="36"/>
      <c r="AG253" s="36"/>
      <c r="AH253" s="19"/>
    </row>
    <row r="254" spans="1:34">
      <c r="A254" s="64" t="s">
        <v>599</v>
      </c>
      <c r="B254" s="63" t="s">
        <v>393</v>
      </c>
      <c r="C254" s="63" t="s">
        <v>394</v>
      </c>
      <c r="D254" s="134">
        <v>26.78</v>
      </c>
      <c r="E254" s="67">
        <v>4475</v>
      </c>
      <c r="F254" s="146">
        <v>0</v>
      </c>
      <c r="G254" s="146">
        <v>0</v>
      </c>
      <c r="H254" s="91">
        <v>4475</v>
      </c>
      <c r="I254" s="67">
        <v>0</v>
      </c>
      <c r="J254" s="739">
        <v>4475</v>
      </c>
      <c r="K254" s="132" t="s">
        <v>644</v>
      </c>
      <c r="L254" s="740">
        <v>4475</v>
      </c>
      <c r="M254" s="741">
        <v>0</v>
      </c>
      <c r="N254" s="67">
        <v>0</v>
      </c>
      <c r="O254" s="67">
        <v>0</v>
      </c>
      <c r="Q254" s="674">
        <v>0</v>
      </c>
      <c r="R254" s="674">
        <v>0</v>
      </c>
      <c r="S254" s="71">
        <v>0</v>
      </c>
      <c r="T254" s="449"/>
      <c r="U254" s="67">
        <v>0</v>
      </c>
      <c r="V254" s="163">
        <v>0</v>
      </c>
      <c r="W254" s="166">
        <v>0</v>
      </c>
      <c r="X254" s="61"/>
      <c r="Z254" s="67"/>
      <c r="AA254" s="451"/>
      <c r="AB254" s="452"/>
      <c r="AE254" s="36"/>
      <c r="AF254" s="36"/>
      <c r="AG254" s="36"/>
      <c r="AH254" s="19"/>
    </row>
    <row r="255" spans="1:34">
      <c r="A255" s="64" t="s">
        <v>595</v>
      </c>
      <c r="B255" s="63" t="s">
        <v>415</v>
      </c>
      <c r="C255" s="63" t="s">
        <v>416</v>
      </c>
      <c r="D255" s="134">
        <v>122.89</v>
      </c>
      <c r="E255" s="67">
        <v>20536</v>
      </c>
      <c r="F255" s="146">
        <v>0</v>
      </c>
      <c r="G255" s="146">
        <v>0</v>
      </c>
      <c r="H255" s="91">
        <v>20536</v>
      </c>
      <c r="I255" s="67">
        <v>0</v>
      </c>
      <c r="J255" s="739">
        <v>20536</v>
      </c>
      <c r="K255" s="132" t="s">
        <v>621</v>
      </c>
      <c r="L255" s="740">
        <v>0</v>
      </c>
      <c r="M255" s="741">
        <v>122.89</v>
      </c>
      <c r="N255" s="67">
        <v>266</v>
      </c>
      <c r="O255" s="67">
        <v>20802</v>
      </c>
      <c r="Q255" s="674">
        <v>0</v>
      </c>
      <c r="R255" s="674">
        <v>20802</v>
      </c>
      <c r="S255" s="71">
        <v>169.27333387582391</v>
      </c>
      <c r="T255" s="449"/>
      <c r="U255" s="67">
        <v>20992</v>
      </c>
      <c r="V255" s="163">
        <v>-190</v>
      </c>
      <c r="W255" s="166">
        <v>-9.0510670731707311E-3</v>
      </c>
      <c r="X255" s="61"/>
      <c r="Z255" s="67"/>
      <c r="AA255" s="451"/>
      <c r="AB255" s="452"/>
      <c r="AE255" s="36"/>
      <c r="AF255" s="36"/>
      <c r="AG255" s="36"/>
      <c r="AH255" s="19"/>
    </row>
    <row r="256" spans="1:34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132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>
        <v>0</v>
      </c>
      <c r="S256" s="71">
        <v>0</v>
      </c>
      <c r="T256" s="449"/>
      <c r="U256" s="67">
        <v>0</v>
      </c>
      <c r="V256" s="163">
        <v>0</v>
      </c>
      <c r="W256" s="166">
        <v>0</v>
      </c>
      <c r="X256" s="61"/>
      <c r="Z256" s="67"/>
      <c r="AA256" s="451"/>
      <c r="AB256" s="452"/>
      <c r="AE256" s="36"/>
      <c r="AF256" s="36"/>
      <c r="AG256" s="36"/>
      <c r="AH256" s="19"/>
    </row>
    <row r="257" spans="1:34">
      <c r="A257" s="64" t="s">
        <v>597</v>
      </c>
      <c r="B257" s="63" t="s">
        <v>351</v>
      </c>
      <c r="C257" s="63" t="s">
        <v>352</v>
      </c>
      <c r="D257" s="134">
        <v>286.67</v>
      </c>
      <c r="E257" s="67">
        <v>47904</v>
      </c>
      <c r="F257" s="146">
        <v>0</v>
      </c>
      <c r="G257" s="146">
        <v>0</v>
      </c>
      <c r="H257" s="91">
        <v>47904</v>
      </c>
      <c r="I257" s="67">
        <v>0</v>
      </c>
      <c r="J257" s="739">
        <v>47904</v>
      </c>
      <c r="K257" s="132" t="s">
        <v>621</v>
      </c>
      <c r="L257" s="740">
        <v>0</v>
      </c>
      <c r="M257" s="741">
        <v>286.67</v>
      </c>
      <c r="N257" s="67">
        <v>621</v>
      </c>
      <c r="O257" s="67">
        <v>48525</v>
      </c>
      <c r="Q257" s="674">
        <v>0</v>
      </c>
      <c r="R257" s="674">
        <v>48525</v>
      </c>
      <c r="S257" s="71">
        <v>169.27128754316809</v>
      </c>
      <c r="T257" s="449"/>
      <c r="U257" s="67">
        <v>48967</v>
      </c>
      <c r="V257" s="163">
        <v>-442</v>
      </c>
      <c r="W257" s="166">
        <v>-9.0264872260910414E-3</v>
      </c>
      <c r="X257" s="61"/>
      <c r="Z257" s="67"/>
      <c r="AA257" s="451"/>
      <c r="AB257" s="452"/>
      <c r="AE257" s="36"/>
      <c r="AF257" s="36"/>
      <c r="AG257" s="36"/>
      <c r="AH257" s="19"/>
    </row>
    <row r="258" spans="1:34">
      <c r="A258" s="64" t="s">
        <v>605</v>
      </c>
      <c r="B258" s="63" t="s">
        <v>557</v>
      </c>
      <c r="C258" s="63" t="s">
        <v>558</v>
      </c>
      <c r="D258" s="134">
        <v>2089.89</v>
      </c>
      <c r="E258" s="67">
        <v>349233</v>
      </c>
      <c r="F258" s="146">
        <v>0</v>
      </c>
      <c r="G258" s="146">
        <v>0</v>
      </c>
      <c r="H258" s="91">
        <v>349233</v>
      </c>
      <c r="I258" s="67">
        <v>0</v>
      </c>
      <c r="J258" s="739">
        <v>349233</v>
      </c>
      <c r="K258" s="132" t="s">
        <v>621</v>
      </c>
      <c r="L258" s="740">
        <v>0</v>
      </c>
      <c r="M258" s="741">
        <v>2089.89</v>
      </c>
      <c r="N258" s="67">
        <v>4524</v>
      </c>
      <c r="O258" s="67">
        <v>353757</v>
      </c>
      <c r="Q258" s="674">
        <v>0</v>
      </c>
      <c r="R258" s="674">
        <v>353757</v>
      </c>
      <c r="S258" s="71">
        <v>169.27063146864191</v>
      </c>
      <c r="T258" s="449"/>
      <c r="U258" s="67">
        <v>356986</v>
      </c>
      <c r="V258" s="163">
        <v>-3229</v>
      </c>
      <c r="W258" s="166">
        <v>-9.0451726398234102E-3</v>
      </c>
      <c r="X258" s="61"/>
      <c r="Z258" s="67"/>
      <c r="AA258" s="451"/>
      <c r="AB258" s="452"/>
      <c r="AE258" s="36"/>
      <c r="AF258" s="36"/>
      <c r="AG258" s="36"/>
      <c r="AH258" s="19"/>
    </row>
    <row r="259" spans="1:34">
      <c r="A259" s="64" t="s">
        <v>597</v>
      </c>
      <c r="B259" s="63" t="s">
        <v>345</v>
      </c>
      <c r="C259" s="63" t="s">
        <v>346</v>
      </c>
      <c r="D259" s="134">
        <v>2424.56</v>
      </c>
      <c r="E259" s="67">
        <v>405158</v>
      </c>
      <c r="F259" s="146">
        <v>0</v>
      </c>
      <c r="G259" s="146">
        <v>0</v>
      </c>
      <c r="H259" s="91">
        <v>405158</v>
      </c>
      <c r="I259" s="67">
        <v>0</v>
      </c>
      <c r="J259" s="739">
        <v>405158</v>
      </c>
      <c r="K259" s="132" t="s">
        <v>621</v>
      </c>
      <c r="L259" s="740">
        <v>0</v>
      </c>
      <c r="M259" s="741">
        <v>2424.56</v>
      </c>
      <c r="N259" s="67">
        <v>5249</v>
      </c>
      <c r="O259" s="67">
        <v>410407</v>
      </c>
      <c r="Q259" s="674">
        <v>0</v>
      </c>
      <c r="R259" s="674">
        <v>410407</v>
      </c>
      <c r="S259" s="71">
        <v>169.27071303659221</v>
      </c>
      <c r="T259" s="449"/>
      <c r="U259" s="67">
        <v>414153</v>
      </c>
      <c r="V259" s="163">
        <v>-3746</v>
      </c>
      <c r="W259" s="166">
        <v>-9.0449664737427948E-3</v>
      </c>
      <c r="X259" s="61"/>
      <c r="Z259" s="67"/>
      <c r="AA259" s="451"/>
      <c r="AB259" s="452"/>
      <c r="AE259" s="36"/>
      <c r="AF259" s="36"/>
      <c r="AG259" s="36"/>
      <c r="AH259" s="19"/>
    </row>
    <row r="260" spans="1:34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132" t="s">
        <v>644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>
        <v>0</v>
      </c>
      <c r="S260" s="71">
        <v>0</v>
      </c>
      <c r="T260" s="449"/>
      <c r="U260" s="67">
        <v>0</v>
      </c>
      <c r="V260" s="163">
        <v>0</v>
      </c>
      <c r="W260" s="166">
        <v>0</v>
      </c>
      <c r="X260" s="61"/>
      <c r="Z260" s="67"/>
      <c r="AA260" s="451"/>
      <c r="AB260" s="452"/>
      <c r="AE260" s="36"/>
      <c r="AF260" s="36"/>
      <c r="AG260" s="36"/>
      <c r="AH260" s="19"/>
    </row>
    <row r="261" spans="1:34">
      <c r="A261" s="64" t="s">
        <v>597</v>
      </c>
      <c r="B261" s="63" t="s">
        <v>197</v>
      </c>
      <c r="C261" s="63" t="s">
        <v>198</v>
      </c>
      <c r="D261" s="134">
        <v>135.66999999999999</v>
      </c>
      <c r="E261" s="67">
        <v>22671</v>
      </c>
      <c r="F261" s="146">
        <v>0</v>
      </c>
      <c r="G261" s="146">
        <v>0</v>
      </c>
      <c r="H261" s="91">
        <v>22671</v>
      </c>
      <c r="I261" s="67">
        <v>0</v>
      </c>
      <c r="J261" s="739">
        <v>22671</v>
      </c>
      <c r="K261" s="132" t="s">
        <v>621</v>
      </c>
      <c r="L261" s="740">
        <v>0</v>
      </c>
      <c r="M261" s="741">
        <v>135.66999999999999</v>
      </c>
      <c r="N261" s="67">
        <v>294</v>
      </c>
      <c r="O261" s="67">
        <v>22965</v>
      </c>
      <c r="Q261" s="674">
        <v>0</v>
      </c>
      <c r="R261" s="674">
        <v>22965</v>
      </c>
      <c r="S261" s="71">
        <v>169.27102528193413</v>
      </c>
      <c r="T261" s="449"/>
      <c r="U261" s="67">
        <v>23174</v>
      </c>
      <c r="V261" s="163">
        <v>-209</v>
      </c>
      <c r="W261" s="166">
        <v>-9.0187278846983691E-3</v>
      </c>
      <c r="X261" s="61"/>
      <c r="Z261" s="67"/>
      <c r="AA261" s="451"/>
      <c r="AB261" s="452"/>
      <c r="AE261" s="36"/>
      <c r="AF261" s="36"/>
      <c r="AG261" s="36"/>
      <c r="AH261" s="19"/>
    </row>
    <row r="262" spans="1:34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739">
        <v>0</v>
      </c>
      <c r="K262" s="132" t="s">
        <v>644</v>
      </c>
      <c r="L262" s="740">
        <v>0</v>
      </c>
      <c r="M262" s="741">
        <v>0</v>
      </c>
      <c r="N262" s="67">
        <v>0</v>
      </c>
      <c r="O262" s="67">
        <v>0</v>
      </c>
      <c r="Q262" s="674">
        <v>0</v>
      </c>
      <c r="R262" s="674">
        <v>0</v>
      </c>
      <c r="S262" s="71">
        <v>0</v>
      </c>
      <c r="T262" s="449"/>
      <c r="U262" s="67">
        <v>0</v>
      </c>
      <c r="V262" s="163">
        <v>0</v>
      </c>
      <c r="W262" s="166">
        <v>0</v>
      </c>
      <c r="X262" s="61"/>
      <c r="Z262" s="67"/>
      <c r="AA262" s="451"/>
      <c r="AB262" s="452"/>
      <c r="AE262" s="36"/>
      <c r="AF262" s="36"/>
      <c r="AG262" s="36"/>
      <c r="AH262" s="19"/>
    </row>
    <row r="263" spans="1:34">
      <c r="A263" s="64" t="s">
        <v>594</v>
      </c>
      <c r="B263" s="63" t="s">
        <v>486</v>
      </c>
      <c r="C263" s="63" t="s">
        <v>487</v>
      </c>
      <c r="D263" s="134">
        <v>10</v>
      </c>
      <c r="E263" s="67">
        <v>1671</v>
      </c>
      <c r="F263" s="146">
        <v>0</v>
      </c>
      <c r="G263" s="146">
        <v>0</v>
      </c>
      <c r="H263" s="91">
        <v>1671</v>
      </c>
      <c r="I263" s="67">
        <v>0</v>
      </c>
      <c r="J263" s="739">
        <v>1671</v>
      </c>
      <c r="K263" s="132" t="s">
        <v>1306</v>
      </c>
      <c r="L263" s="740">
        <v>0</v>
      </c>
      <c r="M263" s="741">
        <v>10</v>
      </c>
      <c r="N263" s="67">
        <v>22</v>
      </c>
      <c r="O263" s="67">
        <v>1693</v>
      </c>
      <c r="Q263" s="674">
        <v>0</v>
      </c>
      <c r="R263" s="674">
        <v>1693</v>
      </c>
      <c r="S263" s="71">
        <v>169.3</v>
      </c>
      <c r="T263" s="449"/>
      <c r="U263" s="67">
        <v>1708</v>
      </c>
      <c r="V263" s="163">
        <v>-15</v>
      </c>
      <c r="W263" s="166">
        <v>-8.7822014051522242E-3</v>
      </c>
      <c r="X263" s="61"/>
      <c r="Z263" s="67"/>
      <c r="AA263" s="451"/>
      <c r="AB263" s="452"/>
      <c r="AE263" s="36"/>
      <c r="AF263" s="36"/>
      <c r="AG263" s="36"/>
      <c r="AH263" s="19"/>
    </row>
    <row r="264" spans="1:34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132" t="s">
        <v>644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>
        <v>0</v>
      </c>
      <c r="S264" s="71">
        <v>0</v>
      </c>
      <c r="T264" s="449"/>
      <c r="U264" s="67">
        <v>0</v>
      </c>
      <c r="V264" s="163">
        <v>0</v>
      </c>
      <c r="W264" s="166">
        <v>0</v>
      </c>
      <c r="X264" s="61"/>
      <c r="Z264" s="67"/>
      <c r="AA264" s="451"/>
      <c r="AB264" s="452"/>
      <c r="AE264" s="36"/>
      <c r="AF264" s="36"/>
      <c r="AG264" s="36"/>
      <c r="AH264" s="19"/>
    </row>
    <row r="265" spans="1:34">
      <c r="A265" s="64" t="s">
        <v>594</v>
      </c>
      <c r="B265" s="63" t="s">
        <v>268</v>
      </c>
      <c r="C265" s="63" t="s">
        <v>269</v>
      </c>
      <c r="D265" s="134">
        <v>22.78</v>
      </c>
      <c r="E265" s="67">
        <v>3807</v>
      </c>
      <c r="F265" s="146">
        <v>0</v>
      </c>
      <c r="G265" s="146">
        <v>0</v>
      </c>
      <c r="H265" s="91">
        <v>3807</v>
      </c>
      <c r="I265" s="67">
        <v>0</v>
      </c>
      <c r="J265" s="739">
        <v>3807</v>
      </c>
      <c r="K265" s="132" t="s">
        <v>644</v>
      </c>
      <c r="L265" s="740">
        <v>3807</v>
      </c>
      <c r="M265" s="741">
        <v>0</v>
      </c>
      <c r="N265" s="67">
        <v>0</v>
      </c>
      <c r="O265" s="67">
        <v>0</v>
      </c>
      <c r="Q265" s="674">
        <v>0</v>
      </c>
      <c r="R265" s="674">
        <v>0</v>
      </c>
      <c r="S265" s="71">
        <v>0</v>
      </c>
      <c r="T265" s="449"/>
      <c r="U265" s="67">
        <v>0</v>
      </c>
      <c r="V265" s="163">
        <v>0</v>
      </c>
      <c r="W265" s="166">
        <v>0</v>
      </c>
      <c r="X265" s="61"/>
      <c r="Z265" s="67"/>
      <c r="AA265" s="451"/>
      <c r="AB265" s="452"/>
      <c r="AE265" s="36"/>
      <c r="AF265" s="36"/>
      <c r="AG265" s="36"/>
      <c r="AH265" s="19"/>
    </row>
    <row r="266" spans="1:34">
      <c r="A266" s="64" t="s">
        <v>601</v>
      </c>
      <c r="B266" s="63" t="s">
        <v>321</v>
      </c>
      <c r="C266" s="63" t="s">
        <v>322</v>
      </c>
      <c r="D266" s="134">
        <v>164</v>
      </c>
      <c r="E266" s="67">
        <v>27405</v>
      </c>
      <c r="F266" s="146">
        <v>0</v>
      </c>
      <c r="G266" s="146">
        <v>0</v>
      </c>
      <c r="H266" s="91">
        <v>27405</v>
      </c>
      <c r="I266" s="67">
        <v>0</v>
      </c>
      <c r="J266" s="739">
        <v>27405</v>
      </c>
      <c r="K266" s="132" t="s">
        <v>621</v>
      </c>
      <c r="L266" s="740">
        <v>0</v>
      </c>
      <c r="M266" s="741">
        <v>164</v>
      </c>
      <c r="N266" s="67">
        <v>355</v>
      </c>
      <c r="O266" s="67">
        <v>27760</v>
      </c>
      <c r="Q266" s="674">
        <v>0</v>
      </c>
      <c r="R266" s="674">
        <v>27760</v>
      </c>
      <c r="S266" s="71">
        <v>169.26829268292684</v>
      </c>
      <c r="T266" s="449"/>
      <c r="U266" s="67">
        <v>28014</v>
      </c>
      <c r="V266" s="163">
        <v>-254</v>
      </c>
      <c r="W266" s="166">
        <v>-9.0668951238666376E-3</v>
      </c>
      <c r="X266" s="61"/>
      <c r="Z266" s="67"/>
      <c r="AA266" s="451"/>
      <c r="AB266" s="452"/>
      <c r="AE266" s="36"/>
      <c r="AF266" s="36"/>
      <c r="AG266" s="36"/>
      <c r="AH266" s="19"/>
    </row>
    <row r="267" spans="1:34">
      <c r="A267" s="64" t="s">
        <v>605</v>
      </c>
      <c r="B267" s="63" t="s">
        <v>559</v>
      </c>
      <c r="C267" s="63" t="s">
        <v>560</v>
      </c>
      <c r="D267" s="134">
        <v>1072.33</v>
      </c>
      <c r="E267" s="67">
        <v>179193</v>
      </c>
      <c r="F267" s="146">
        <v>0</v>
      </c>
      <c r="G267" s="146">
        <v>0</v>
      </c>
      <c r="H267" s="91">
        <v>179193</v>
      </c>
      <c r="I267" s="67">
        <v>0</v>
      </c>
      <c r="J267" s="739">
        <v>179193</v>
      </c>
      <c r="K267" s="132" t="s">
        <v>621</v>
      </c>
      <c r="L267" s="740">
        <v>0</v>
      </c>
      <c r="M267" s="741">
        <v>1072.33</v>
      </c>
      <c r="N267" s="67">
        <v>2321</v>
      </c>
      <c r="O267" s="67">
        <v>181514</v>
      </c>
      <c r="Q267" s="674">
        <v>0</v>
      </c>
      <c r="R267" s="674">
        <v>181514</v>
      </c>
      <c r="S267" s="71">
        <v>169.27065362341818</v>
      </c>
      <c r="T267" s="449"/>
      <c r="U267" s="67">
        <v>183171</v>
      </c>
      <c r="V267" s="163">
        <v>-1657</v>
      </c>
      <c r="W267" s="166">
        <v>-9.0461918098388942E-3</v>
      </c>
      <c r="X267" s="61"/>
      <c r="Z267" s="67"/>
      <c r="AA267" s="451"/>
      <c r="AB267" s="452"/>
      <c r="AE267" s="36"/>
      <c r="AF267" s="36"/>
      <c r="AG267" s="36"/>
      <c r="AH267" s="19"/>
    </row>
    <row r="268" spans="1:34">
      <c r="A268" s="64" t="s">
        <v>596</v>
      </c>
      <c r="B268" s="63" t="s">
        <v>496</v>
      </c>
      <c r="C268" s="63" t="s">
        <v>497</v>
      </c>
      <c r="D268" s="134">
        <v>21.44</v>
      </c>
      <c r="E268" s="67">
        <v>3583</v>
      </c>
      <c r="F268" s="146">
        <v>0</v>
      </c>
      <c r="G268" s="146">
        <v>0</v>
      </c>
      <c r="H268" s="91">
        <v>3583</v>
      </c>
      <c r="I268" s="67">
        <v>0</v>
      </c>
      <c r="J268" s="739">
        <v>3583</v>
      </c>
      <c r="K268" s="132" t="s">
        <v>1306</v>
      </c>
      <c r="L268" s="740">
        <v>0</v>
      </c>
      <c r="M268" s="741">
        <v>21.44</v>
      </c>
      <c r="N268" s="67">
        <v>46</v>
      </c>
      <c r="O268" s="67">
        <v>3629</v>
      </c>
      <c r="Q268" s="674">
        <v>0</v>
      </c>
      <c r="R268" s="674">
        <v>3629</v>
      </c>
      <c r="S268" s="71">
        <v>169.26305970149252</v>
      </c>
      <c r="T268" s="449"/>
      <c r="U268" s="67">
        <v>3662</v>
      </c>
      <c r="V268" s="163">
        <v>-33</v>
      </c>
      <c r="W268" s="166">
        <v>-9.0114691425450567E-3</v>
      </c>
      <c r="X268" s="61"/>
      <c r="Z268" s="67"/>
      <c r="AA268" s="451"/>
      <c r="AB268" s="452"/>
      <c r="AE268" s="36"/>
      <c r="AF268" s="36"/>
      <c r="AG268" s="36"/>
      <c r="AH268" s="19"/>
    </row>
    <row r="269" spans="1:34">
      <c r="A269" s="64" t="s">
        <v>599</v>
      </c>
      <c r="B269" s="63" t="s">
        <v>72</v>
      </c>
      <c r="C269" s="63" t="s">
        <v>73</v>
      </c>
      <c r="D269" s="134">
        <v>227</v>
      </c>
      <c r="E269" s="67">
        <v>37933</v>
      </c>
      <c r="F269" s="146">
        <v>0</v>
      </c>
      <c r="G269" s="146">
        <v>0</v>
      </c>
      <c r="H269" s="91">
        <v>37933</v>
      </c>
      <c r="I269" s="67">
        <v>0</v>
      </c>
      <c r="J269" s="739">
        <v>37933</v>
      </c>
      <c r="K269" s="132" t="s">
        <v>644</v>
      </c>
      <c r="L269" s="740">
        <v>37933</v>
      </c>
      <c r="M269" s="741">
        <v>0</v>
      </c>
      <c r="N269" s="67">
        <v>0</v>
      </c>
      <c r="O269" s="67">
        <v>0</v>
      </c>
      <c r="Q269" s="674">
        <v>0</v>
      </c>
      <c r="R269" s="674">
        <v>0</v>
      </c>
      <c r="S269" s="71">
        <v>0</v>
      </c>
      <c r="T269" s="449"/>
      <c r="U269" s="67">
        <v>0</v>
      </c>
      <c r="V269" s="163">
        <v>0</v>
      </c>
      <c r="W269" s="166">
        <v>0</v>
      </c>
      <c r="X269" s="61"/>
      <c r="Z269" s="67"/>
      <c r="AA269" s="451"/>
      <c r="AB269" s="452"/>
      <c r="AE269" s="36"/>
      <c r="AF269" s="36"/>
      <c r="AG269" s="36"/>
      <c r="AH269" s="19"/>
    </row>
    <row r="270" spans="1:34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739">
        <v>0</v>
      </c>
      <c r="K270" s="132" t="s">
        <v>644</v>
      </c>
      <c r="L270" s="740">
        <v>0</v>
      </c>
      <c r="M270" s="741">
        <v>0</v>
      </c>
      <c r="N270" s="67">
        <v>0</v>
      </c>
      <c r="O270" s="67">
        <v>0</v>
      </c>
      <c r="Q270" s="674">
        <v>0</v>
      </c>
      <c r="R270" s="674">
        <v>0</v>
      </c>
      <c r="S270" s="71">
        <v>0</v>
      </c>
      <c r="T270" s="449"/>
      <c r="U270" s="67">
        <v>0</v>
      </c>
      <c r="V270" s="163">
        <v>0</v>
      </c>
      <c r="W270" s="166">
        <v>0</v>
      </c>
      <c r="X270" s="61"/>
      <c r="Z270" s="67"/>
      <c r="AA270" s="451"/>
      <c r="AB270" s="452"/>
      <c r="AE270" s="36"/>
      <c r="AF270" s="36"/>
      <c r="AG270" s="36"/>
      <c r="AH270" s="19"/>
    </row>
    <row r="271" spans="1:34">
      <c r="A271" s="64" t="s">
        <v>597</v>
      </c>
      <c r="B271" s="63" t="s">
        <v>191</v>
      </c>
      <c r="C271" s="63" t="s">
        <v>192</v>
      </c>
      <c r="D271" s="134">
        <v>1112.67</v>
      </c>
      <c r="E271" s="67">
        <v>185934</v>
      </c>
      <c r="F271" s="146">
        <v>0</v>
      </c>
      <c r="G271" s="146">
        <v>0</v>
      </c>
      <c r="H271" s="91">
        <v>185934</v>
      </c>
      <c r="I271" s="67">
        <v>0</v>
      </c>
      <c r="J271" s="739">
        <v>185934</v>
      </c>
      <c r="K271" s="132" t="s">
        <v>621</v>
      </c>
      <c r="L271" s="740">
        <v>0</v>
      </c>
      <c r="M271" s="741">
        <v>1112.67</v>
      </c>
      <c r="N271" s="67">
        <v>2409</v>
      </c>
      <c r="O271" s="67">
        <v>188343</v>
      </c>
      <c r="Q271" s="674">
        <v>0</v>
      </c>
      <c r="R271" s="674">
        <v>188343</v>
      </c>
      <c r="S271" s="71">
        <v>169.27121248887809</v>
      </c>
      <c r="T271" s="449"/>
      <c r="U271" s="67">
        <v>190062</v>
      </c>
      <c r="V271" s="163">
        <v>-1719</v>
      </c>
      <c r="W271" s="166">
        <v>-9.0444170849512256E-3</v>
      </c>
      <c r="X271" s="61"/>
      <c r="Z271" s="67"/>
      <c r="AA271" s="451"/>
      <c r="AB271" s="452"/>
      <c r="AE271" s="36"/>
      <c r="AF271" s="36"/>
      <c r="AG271" s="36"/>
      <c r="AH271" s="19"/>
    </row>
    <row r="272" spans="1:34">
      <c r="A272" s="64" t="s">
        <v>594</v>
      </c>
      <c r="B272" s="63" t="s">
        <v>476</v>
      </c>
      <c r="C272" s="63" t="s">
        <v>477</v>
      </c>
      <c r="D272" s="134">
        <v>89.33</v>
      </c>
      <c r="E272" s="67">
        <v>14928</v>
      </c>
      <c r="F272" s="146">
        <v>0</v>
      </c>
      <c r="G272" s="146">
        <v>0</v>
      </c>
      <c r="H272" s="91">
        <v>14928</v>
      </c>
      <c r="I272" s="67">
        <v>0</v>
      </c>
      <c r="J272" s="739">
        <v>14928</v>
      </c>
      <c r="K272" s="132" t="s">
        <v>621</v>
      </c>
      <c r="L272" s="740">
        <v>0</v>
      </c>
      <c r="M272" s="741">
        <v>89.33</v>
      </c>
      <c r="N272" s="67">
        <v>193</v>
      </c>
      <c r="O272" s="67">
        <v>15121</v>
      </c>
      <c r="Q272" s="674">
        <v>0</v>
      </c>
      <c r="R272" s="674">
        <v>15121</v>
      </c>
      <c r="S272" s="71">
        <v>169.27124146423375</v>
      </c>
      <c r="T272" s="449"/>
      <c r="U272" s="67">
        <v>15259</v>
      </c>
      <c r="V272" s="163">
        <v>-138</v>
      </c>
      <c r="W272" s="166">
        <v>-9.0438429779146727E-3</v>
      </c>
      <c r="X272" s="61"/>
      <c r="Z272" s="67"/>
      <c r="AA272" s="451"/>
      <c r="AB272" s="452"/>
      <c r="AE272" s="36"/>
      <c r="AF272" s="36"/>
      <c r="AG272" s="36"/>
      <c r="AH272" s="19"/>
    </row>
    <row r="273" spans="1:34">
      <c r="A273" s="64" t="s">
        <v>605</v>
      </c>
      <c r="B273" s="63" t="s">
        <v>543</v>
      </c>
      <c r="C273" s="63" t="s">
        <v>544</v>
      </c>
      <c r="D273" s="134">
        <v>161.88999999999999</v>
      </c>
      <c r="E273" s="67">
        <v>27053</v>
      </c>
      <c r="F273" s="146">
        <v>0</v>
      </c>
      <c r="G273" s="146">
        <v>0</v>
      </c>
      <c r="H273" s="91">
        <v>27053</v>
      </c>
      <c r="I273" s="67">
        <v>0</v>
      </c>
      <c r="J273" s="739">
        <v>27053</v>
      </c>
      <c r="K273" s="132" t="s">
        <v>621</v>
      </c>
      <c r="L273" s="740">
        <v>0</v>
      </c>
      <c r="M273" s="741">
        <v>161.88999999999999</v>
      </c>
      <c r="N273" s="67">
        <v>350</v>
      </c>
      <c r="O273" s="67">
        <v>27403</v>
      </c>
      <c r="Q273" s="674">
        <v>0</v>
      </c>
      <c r="R273" s="674">
        <v>27403</v>
      </c>
      <c r="S273" s="71">
        <v>169.26925690283528</v>
      </c>
      <c r="T273" s="449"/>
      <c r="U273" s="67">
        <v>27653</v>
      </c>
      <c r="V273" s="163">
        <v>-250</v>
      </c>
      <c r="W273" s="166">
        <v>-9.0406104220156942E-3</v>
      </c>
      <c r="X273" s="61"/>
      <c r="Z273" s="67"/>
      <c r="AA273" s="451"/>
      <c r="AB273" s="452"/>
      <c r="AE273" s="36"/>
      <c r="AF273" s="36"/>
      <c r="AG273" s="36"/>
      <c r="AH273" s="19"/>
    </row>
    <row r="274" spans="1:34" s="112" customFormat="1">
      <c r="A274" s="138" t="s">
        <v>597</v>
      </c>
      <c r="B274" s="139" t="s">
        <v>349</v>
      </c>
      <c r="C274" s="63" t="s">
        <v>350</v>
      </c>
      <c r="D274" s="134">
        <v>149.11000000000001</v>
      </c>
      <c r="E274" s="67">
        <v>24917</v>
      </c>
      <c r="F274" s="146">
        <v>0</v>
      </c>
      <c r="G274" s="146">
        <v>0</v>
      </c>
      <c r="H274" s="91">
        <v>24917</v>
      </c>
      <c r="I274" s="67">
        <v>0</v>
      </c>
      <c r="J274" s="739">
        <v>24917</v>
      </c>
      <c r="K274" s="132" t="s">
        <v>621</v>
      </c>
      <c r="L274" s="740">
        <v>0</v>
      </c>
      <c r="M274" s="741">
        <v>149.11000000000001</v>
      </c>
      <c r="N274" s="67">
        <v>323</v>
      </c>
      <c r="O274" s="67">
        <v>25240</v>
      </c>
      <c r="P274" s="674"/>
      <c r="Q274" s="674">
        <v>0</v>
      </c>
      <c r="R274" s="674">
        <v>25240</v>
      </c>
      <c r="S274" s="71">
        <v>169.2710079806854</v>
      </c>
      <c r="T274" s="449"/>
      <c r="U274" s="67">
        <v>25470</v>
      </c>
      <c r="V274" s="163">
        <v>-230</v>
      </c>
      <c r="W274" s="166">
        <v>-9.0302316450726339E-3</v>
      </c>
      <c r="X274" s="115"/>
      <c r="Z274" s="67"/>
      <c r="AA274" s="451"/>
      <c r="AB274" s="452"/>
      <c r="AE274" s="116"/>
      <c r="AF274" s="116"/>
      <c r="AG274" s="116"/>
      <c r="AH274" s="117"/>
    </row>
    <row r="275" spans="1:34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739">
        <v>0</v>
      </c>
      <c r="K275" s="132" t="s">
        <v>644</v>
      </c>
      <c r="L275" s="740">
        <v>0</v>
      </c>
      <c r="M275" s="741">
        <v>0</v>
      </c>
      <c r="N275" s="67">
        <v>0</v>
      </c>
      <c r="O275" s="67">
        <v>0</v>
      </c>
      <c r="Q275" s="674">
        <v>0</v>
      </c>
      <c r="R275" s="674">
        <v>0</v>
      </c>
      <c r="S275" s="71">
        <v>0</v>
      </c>
      <c r="T275" s="449"/>
      <c r="U275" s="67">
        <v>0</v>
      </c>
      <c r="V275" s="163">
        <v>0</v>
      </c>
      <c r="W275" s="166">
        <v>0</v>
      </c>
      <c r="X275" s="61"/>
      <c r="Z275" s="67"/>
      <c r="AA275" s="451"/>
      <c r="AB275" s="452"/>
      <c r="AE275" s="36"/>
      <c r="AF275" s="36"/>
      <c r="AG275" s="36"/>
      <c r="AH275" s="19"/>
    </row>
    <row r="276" spans="1:34">
      <c r="A276" s="64" t="s">
        <v>599</v>
      </c>
      <c r="B276" s="63" t="s">
        <v>49</v>
      </c>
      <c r="C276" s="63" t="s">
        <v>50</v>
      </c>
      <c r="D276" s="134">
        <v>2488</v>
      </c>
      <c r="E276" s="67">
        <v>415760</v>
      </c>
      <c r="F276" s="146">
        <v>0</v>
      </c>
      <c r="G276" s="146">
        <v>0</v>
      </c>
      <c r="H276" s="91">
        <v>415760</v>
      </c>
      <c r="I276" s="67">
        <v>0</v>
      </c>
      <c r="J276" s="739">
        <v>415760</v>
      </c>
      <c r="K276" s="132" t="s">
        <v>621</v>
      </c>
      <c r="L276" s="740">
        <v>0</v>
      </c>
      <c r="M276" s="741">
        <v>2488</v>
      </c>
      <c r="N276" s="67">
        <v>5386</v>
      </c>
      <c r="O276" s="67">
        <v>421146</v>
      </c>
      <c r="Q276" s="674">
        <v>0</v>
      </c>
      <c r="R276" s="674">
        <v>421146</v>
      </c>
      <c r="S276" s="71">
        <v>169.27090032154342</v>
      </c>
      <c r="T276" s="449"/>
      <c r="U276" s="67">
        <v>424990</v>
      </c>
      <c r="V276" s="163">
        <v>-3844</v>
      </c>
      <c r="W276" s="166">
        <v>-9.044918703969505E-3</v>
      </c>
      <c r="X276" s="61"/>
      <c r="Z276" s="67"/>
      <c r="AA276" s="451"/>
      <c r="AB276" s="452"/>
      <c r="AE276" s="36"/>
      <c r="AF276" s="36"/>
      <c r="AG276" s="36"/>
      <c r="AH276" s="19"/>
    </row>
    <row r="277" spans="1:34" s="112" customFormat="1">
      <c r="A277" s="138" t="s">
        <v>597</v>
      </c>
      <c r="B277" s="139" t="s">
        <v>183</v>
      </c>
      <c r="C277" s="63" t="s">
        <v>184</v>
      </c>
      <c r="D277" s="134">
        <v>35.89</v>
      </c>
      <c r="E277" s="67">
        <v>5997</v>
      </c>
      <c r="F277" s="146">
        <v>0</v>
      </c>
      <c r="G277" s="146">
        <v>0</v>
      </c>
      <c r="H277" s="91">
        <v>5997</v>
      </c>
      <c r="I277" s="67">
        <v>0</v>
      </c>
      <c r="J277" s="739">
        <v>5997</v>
      </c>
      <c r="K277" s="132" t="s">
        <v>644</v>
      </c>
      <c r="L277" s="740">
        <v>5997</v>
      </c>
      <c r="M277" s="741">
        <v>0</v>
      </c>
      <c r="N277" s="67">
        <v>0</v>
      </c>
      <c r="O277" s="67">
        <v>0</v>
      </c>
      <c r="P277" s="674"/>
      <c r="Q277" s="674">
        <v>0</v>
      </c>
      <c r="R277" s="674">
        <v>0</v>
      </c>
      <c r="S277" s="71">
        <v>0</v>
      </c>
      <c r="T277" s="449"/>
      <c r="U277" s="67">
        <v>6131</v>
      </c>
      <c r="V277" s="163">
        <v>-6131</v>
      </c>
      <c r="W277" s="166">
        <v>-1</v>
      </c>
      <c r="X277" s="115"/>
      <c r="Z277" s="67"/>
      <c r="AA277" s="451"/>
      <c r="AB277" s="452"/>
      <c r="AE277" s="116"/>
      <c r="AF277" s="116"/>
      <c r="AG277" s="116"/>
      <c r="AH277" s="117"/>
    </row>
    <row r="278" spans="1:34">
      <c r="A278" s="64" t="s">
        <v>599</v>
      </c>
      <c r="B278" s="63" t="s">
        <v>488</v>
      </c>
      <c r="C278" s="63" t="s">
        <v>489</v>
      </c>
      <c r="D278" s="134">
        <v>14.44</v>
      </c>
      <c r="E278" s="67">
        <v>2413</v>
      </c>
      <c r="F278" s="146">
        <v>0</v>
      </c>
      <c r="G278" s="146">
        <v>0</v>
      </c>
      <c r="H278" s="91">
        <v>2413</v>
      </c>
      <c r="I278" s="67">
        <v>0</v>
      </c>
      <c r="J278" s="739">
        <v>2413</v>
      </c>
      <c r="K278" s="132" t="s">
        <v>644</v>
      </c>
      <c r="L278" s="740">
        <v>2413</v>
      </c>
      <c r="M278" s="741">
        <v>0</v>
      </c>
      <c r="N278" s="67">
        <v>0</v>
      </c>
      <c r="O278" s="67">
        <v>0</v>
      </c>
      <c r="Q278" s="674">
        <v>0</v>
      </c>
      <c r="R278" s="674">
        <v>0</v>
      </c>
      <c r="S278" s="71">
        <v>0</v>
      </c>
      <c r="T278" s="449"/>
      <c r="U278" s="67">
        <v>2467</v>
      </c>
      <c r="V278" s="163">
        <v>-2467</v>
      </c>
      <c r="W278" s="166">
        <v>-1</v>
      </c>
      <c r="X278" s="61"/>
      <c r="Z278" s="67"/>
      <c r="AA278" s="451"/>
      <c r="AB278" s="452"/>
      <c r="AE278" s="36"/>
      <c r="AF278" s="36"/>
      <c r="AG278" s="36"/>
      <c r="AH278" s="19"/>
    </row>
    <row r="279" spans="1:34">
      <c r="A279" s="64" t="s">
        <v>605</v>
      </c>
      <c r="B279" s="63" t="s">
        <v>114</v>
      </c>
      <c r="C279" s="63" t="s">
        <v>115</v>
      </c>
      <c r="D279" s="134">
        <v>1223</v>
      </c>
      <c r="E279" s="67">
        <v>204371</v>
      </c>
      <c r="F279" s="146">
        <v>0</v>
      </c>
      <c r="G279" s="146">
        <v>0</v>
      </c>
      <c r="H279" s="91">
        <v>204371</v>
      </c>
      <c r="I279" s="67">
        <v>0</v>
      </c>
      <c r="J279" s="739">
        <v>204371</v>
      </c>
      <c r="K279" s="132" t="s">
        <v>621</v>
      </c>
      <c r="L279" s="740">
        <v>0</v>
      </c>
      <c r="M279" s="741">
        <v>1223</v>
      </c>
      <c r="N279" s="67">
        <v>2648</v>
      </c>
      <c r="O279" s="67">
        <v>207019</v>
      </c>
      <c r="Q279" s="674">
        <v>0</v>
      </c>
      <c r="R279" s="674">
        <v>207019</v>
      </c>
      <c r="S279" s="71">
        <v>169.27146361406378</v>
      </c>
      <c r="T279" s="449"/>
      <c r="U279" s="67">
        <v>208908</v>
      </c>
      <c r="V279" s="163">
        <v>-1889</v>
      </c>
      <c r="W279" s="166">
        <v>-9.0422578359852183E-3</v>
      </c>
      <c r="X279" s="61"/>
      <c r="Z279" s="67"/>
      <c r="AA279" s="451"/>
      <c r="AB279" s="452"/>
      <c r="AE279" s="36"/>
      <c r="AF279" s="36"/>
      <c r="AG279" s="36"/>
      <c r="AH279" s="19"/>
    </row>
    <row r="280" spans="1:34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739">
        <v>0</v>
      </c>
      <c r="K280" s="132" t="s">
        <v>644</v>
      </c>
      <c r="L280" s="740">
        <v>0</v>
      </c>
      <c r="M280" s="741">
        <v>0</v>
      </c>
      <c r="N280" s="67">
        <v>0</v>
      </c>
      <c r="O280" s="67">
        <v>0</v>
      </c>
      <c r="Q280" s="674">
        <v>0</v>
      </c>
      <c r="R280" s="674">
        <v>0</v>
      </c>
      <c r="S280" s="71">
        <v>0</v>
      </c>
      <c r="T280" s="449"/>
      <c r="U280" s="67">
        <v>0</v>
      </c>
      <c r="V280" s="163">
        <v>0</v>
      </c>
      <c r="W280" s="166">
        <v>0</v>
      </c>
      <c r="X280" s="61"/>
      <c r="Z280" s="67"/>
      <c r="AA280" s="451"/>
      <c r="AB280" s="452"/>
      <c r="AE280" s="36"/>
      <c r="AF280" s="36"/>
      <c r="AG280" s="36"/>
      <c r="AH280" s="19"/>
    </row>
    <row r="281" spans="1:34">
      <c r="A281" s="64" t="s">
        <v>596</v>
      </c>
      <c r="B281" s="63" t="s">
        <v>492</v>
      </c>
      <c r="C281" s="63" t="s">
        <v>493</v>
      </c>
      <c r="D281" s="134">
        <v>784.22</v>
      </c>
      <c r="E281" s="67">
        <v>131048</v>
      </c>
      <c r="F281" s="146">
        <v>0</v>
      </c>
      <c r="G281" s="146">
        <v>0</v>
      </c>
      <c r="H281" s="91">
        <v>131048</v>
      </c>
      <c r="I281" s="67">
        <v>0</v>
      </c>
      <c r="J281" s="739">
        <v>131048</v>
      </c>
      <c r="K281" s="132" t="s">
        <v>621</v>
      </c>
      <c r="L281" s="740">
        <v>0</v>
      </c>
      <c r="M281" s="741">
        <v>784.22</v>
      </c>
      <c r="N281" s="67">
        <v>1698</v>
      </c>
      <c r="O281" s="67">
        <v>132746</v>
      </c>
      <c r="Q281" s="674">
        <v>0</v>
      </c>
      <c r="R281" s="674">
        <v>132746</v>
      </c>
      <c r="S281" s="71">
        <v>169.27137792966258</v>
      </c>
      <c r="T281" s="449"/>
      <c r="U281" s="67">
        <v>133957</v>
      </c>
      <c r="V281" s="163">
        <v>-1211</v>
      </c>
      <c r="W281" s="166">
        <v>-9.0402143971572962E-3</v>
      </c>
      <c r="X281" s="61"/>
      <c r="Z281" s="67"/>
      <c r="AA281" s="451"/>
      <c r="AB281" s="452"/>
      <c r="AE281" s="36"/>
      <c r="AF281" s="36"/>
      <c r="AG281" s="36"/>
      <c r="AH281" s="19"/>
    </row>
    <row r="282" spans="1:34">
      <c r="A282" s="64" t="s">
        <v>605</v>
      </c>
      <c r="B282" s="63" t="s">
        <v>567</v>
      </c>
      <c r="C282" s="63" t="s">
        <v>568</v>
      </c>
      <c r="D282" s="134">
        <v>1215.22</v>
      </c>
      <c r="E282" s="67">
        <v>203070</v>
      </c>
      <c r="F282" s="146">
        <v>0</v>
      </c>
      <c r="G282" s="146">
        <v>0</v>
      </c>
      <c r="H282" s="91">
        <v>203070</v>
      </c>
      <c r="I282" s="67">
        <v>0</v>
      </c>
      <c r="J282" s="739">
        <v>203070</v>
      </c>
      <c r="K282" s="132" t="s">
        <v>621</v>
      </c>
      <c r="L282" s="740">
        <v>0</v>
      </c>
      <c r="M282" s="741">
        <v>1215.22</v>
      </c>
      <c r="N282" s="67">
        <v>2631</v>
      </c>
      <c r="O282" s="67">
        <v>205701</v>
      </c>
      <c r="Q282" s="674">
        <v>0</v>
      </c>
      <c r="R282" s="674">
        <v>205701</v>
      </c>
      <c r="S282" s="71">
        <v>169.27058475008641</v>
      </c>
      <c r="T282" s="449"/>
      <c r="U282" s="67">
        <v>207579</v>
      </c>
      <c r="V282" s="163">
        <v>-1878</v>
      </c>
      <c r="W282" s="166">
        <v>-9.0471579495035627E-3</v>
      </c>
      <c r="X282" s="61"/>
      <c r="Z282" s="67"/>
      <c r="AA282" s="451"/>
      <c r="AB282" s="452"/>
      <c r="AE282" s="36"/>
      <c r="AF282" s="36"/>
      <c r="AG282" s="36"/>
      <c r="AH282" s="19"/>
    </row>
    <row r="283" spans="1:34">
      <c r="A283" s="64" t="s">
        <v>601</v>
      </c>
      <c r="B283" s="63" t="s">
        <v>118</v>
      </c>
      <c r="C283" s="63" t="s">
        <v>119</v>
      </c>
      <c r="D283" s="134">
        <v>344.44</v>
      </c>
      <c r="E283" s="67">
        <v>57558</v>
      </c>
      <c r="F283" s="146">
        <v>0</v>
      </c>
      <c r="G283" s="146">
        <v>0</v>
      </c>
      <c r="H283" s="91">
        <v>57558</v>
      </c>
      <c r="I283" s="67">
        <v>0</v>
      </c>
      <c r="J283" s="739">
        <v>57558</v>
      </c>
      <c r="K283" s="132" t="s">
        <v>621</v>
      </c>
      <c r="L283" s="740">
        <v>0</v>
      </c>
      <c r="M283" s="741">
        <v>344.44</v>
      </c>
      <c r="N283" s="67">
        <v>746</v>
      </c>
      <c r="O283" s="67">
        <v>58304</v>
      </c>
      <c r="Q283" s="674">
        <v>0</v>
      </c>
      <c r="R283" s="674">
        <v>58304</v>
      </c>
      <c r="S283" s="71">
        <v>169.27186157240737</v>
      </c>
      <c r="T283" s="449"/>
      <c r="U283" s="67">
        <v>58835</v>
      </c>
      <c r="V283" s="163">
        <v>-531</v>
      </c>
      <c r="W283" s="166">
        <v>-9.0252400781847542E-3</v>
      </c>
      <c r="X283" s="61"/>
      <c r="Z283" s="67"/>
      <c r="AA283" s="451"/>
      <c r="AB283" s="452"/>
      <c r="AE283" s="36"/>
      <c r="AF283" s="36"/>
      <c r="AG283" s="36"/>
      <c r="AH283" s="19"/>
    </row>
    <row r="284" spans="1:34">
      <c r="A284" s="64" t="s">
        <v>599</v>
      </c>
      <c r="B284" s="63" t="s">
        <v>56</v>
      </c>
      <c r="C284" s="63" t="s">
        <v>57</v>
      </c>
      <c r="D284" s="134">
        <v>64.33</v>
      </c>
      <c r="E284" s="67">
        <v>10750</v>
      </c>
      <c r="F284" s="146">
        <v>0</v>
      </c>
      <c r="G284" s="146">
        <v>0</v>
      </c>
      <c r="H284" s="91">
        <v>10750</v>
      </c>
      <c r="I284" s="67">
        <v>0</v>
      </c>
      <c r="J284" s="739">
        <v>10750</v>
      </c>
      <c r="K284" s="132" t="s">
        <v>1306</v>
      </c>
      <c r="L284" s="740">
        <v>0</v>
      </c>
      <c r="M284" s="741">
        <v>64.33</v>
      </c>
      <c r="N284" s="67">
        <v>139</v>
      </c>
      <c r="O284" s="67">
        <v>10889</v>
      </c>
      <c r="Q284" s="674">
        <v>0</v>
      </c>
      <c r="R284" s="674">
        <v>10889</v>
      </c>
      <c r="S284" s="71">
        <v>169.26783771179853</v>
      </c>
      <c r="T284" s="449"/>
      <c r="U284" s="67">
        <v>10989</v>
      </c>
      <c r="V284" s="163">
        <v>-100</v>
      </c>
      <c r="W284" s="166">
        <v>-9.1000091000091009E-3</v>
      </c>
      <c r="X284" s="61"/>
      <c r="Z284" s="67"/>
      <c r="AA284" s="451"/>
      <c r="AB284" s="452"/>
      <c r="AE284" s="36"/>
      <c r="AF284" s="36"/>
      <c r="AG284" s="36"/>
      <c r="AH284" s="19"/>
    </row>
    <row r="285" spans="1:34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132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>
        <v>0</v>
      </c>
      <c r="S285" s="71">
        <v>0</v>
      </c>
      <c r="T285" s="449"/>
      <c r="U285" s="67">
        <v>0</v>
      </c>
      <c r="V285" s="163">
        <v>0</v>
      </c>
      <c r="W285" s="166">
        <v>0</v>
      </c>
      <c r="X285" s="61"/>
      <c r="Z285" s="67"/>
      <c r="AA285" s="451"/>
      <c r="AB285" s="452"/>
      <c r="AE285" s="36"/>
      <c r="AF285" s="36"/>
      <c r="AG285" s="36"/>
      <c r="AH285" s="19"/>
    </row>
    <row r="286" spans="1:34">
      <c r="A286" s="64" t="s">
        <v>601</v>
      </c>
      <c r="B286" s="63" t="s">
        <v>92</v>
      </c>
      <c r="C286" s="63" t="s">
        <v>93</v>
      </c>
      <c r="D286" s="134">
        <v>5.1100000000000003</v>
      </c>
      <c r="E286" s="67">
        <v>854</v>
      </c>
      <c r="F286" s="146">
        <v>0</v>
      </c>
      <c r="G286" s="146">
        <v>0</v>
      </c>
      <c r="H286" s="91">
        <v>854</v>
      </c>
      <c r="I286" s="67">
        <v>0</v>
      </c>
      <c r="J286" s="739">
        <v>854</v>
      </c>
      <c r="K286" s="132" t="s">
        <v>1306</v>
      </c>
      <c r="L286" s="740">
        <v>0</v>
      </c>
      <c r="M286" s="741">
        <v>5.1100000000000003</v>
      </c>
      <c r="N286" s="67">
        <v>11</v>
      </c>
      <c r="O286" s="67">
        <v>865</v>
      </c>
      <c r="Q286" s="674">
        <v>0</v>
      </c>
      <c r="R286" s="674">
        <v>865</v>
      </c>
      <c r="S286" s="71">
        <v>169.27592954990214</v>
      </c>
      <c r="T286" s="449"/>
      <c r="U286" s="67">
        <v>873</v>
      </c>
      <c r="V286" s="163">
        <v>-8</v>
      </c>
      <c r="W286" s="166">
        <v>-9.1638029782359683E-3</v>
      </c>
      <c r="X286" s="61"/>
      <c r="Z286" s="67"/>
      <c r="AA286" s="451"/>
      <c r="AB286" s="452"/>
      <c r="AE286" s="36"/>
      <c r="AF286" s="36"/>
      <c r="AG286" s="36"/>
      <c r="AH286" s="19"/>
    </row>
    <row r="287" spans="1:34">
      <c r="A287" s="64" t="s">
        <v>603</v>
      </c>
      <c r="B287" s="63" t="s">
        <v>452</v>
      </c>
      <c r="C287" s="63" t="s">
        <v>453</v>
      </c>
      <c r="D287" s="134">
        <v>127</v>
      </c>
      <c r="E287" s="67">
        <v>21222</v>
      </c>
      <c r="F287" s="146">
        <v>0</v>
      </c>
      <c r="G287" s="146">
        <v>0</v>
      </c>
      <c r="H287" s="91">
        <v>21222</v>
      </c>
      <c r="I287" s="67">
        <v>0</v>
      </c>
      <c r="J287" s="739">
        <v>21222</v>
      </c>
      <c r="K287" s="132" t="s">
        <v>621</v>
      </c>
      <c r="L287" s="740">
        <v>0</v>
      </c>
      <c r="M287" s="741">
        <v>127</v>
      </c>
      <c r="N287" s="67">
        <v>275</v>
      </c>
      <c r="O287" s="67">
        <v>21497</v>
      </c>
      <c r="Q287" s="674">
        <v>0</v>
      </c>
      <c r="R287" s="674">
        <v>21497</v>
      </c>
      <c r="S287" s="71">
        <v>169.26771653543307</v>
      </c>
      <c r="T287" s="449"/>
      <c r="U287" s="67">
        <v>21693</v>
      </c>
      <c r="V287" s="163">
        <v>-196</v>
      </c>
      <c r="W287" s="166">
        <v>-9.0351726363343005E-3</v>
      </c>
      <c r="X287" s="61"/>
      <c r="Z287" s="67"/>
      <c r="AA287" s="451"/>
      <c r="AB287" s="452"/>
      <c r="AE287" s="36"/>
      <c r="AF287" s="36"/>
      <c r="AG287" s="36"/>
      <c r="AH287" s="19"/>
    </row>
    <row r="288" spans="1:34">
      <c r="A288" s="64" t="s">
        <v>601</v>
      </c>
      <c r="B288" s="63" t="s">
        <v>37</v>
      </c>
      <c r="C288" s="63" t="s">
        <v>38</v>
      </c>
      <c r="D288" s="134">
        <v>1576.56</v>
      </c>
      <c r="E288" s="67">
        <v>263453</v>
      </c>
      <c r="F288" s="146">
        <v>0</v>
      </c>
      <c r="G288" s="146">
        <v>0</v>
      </c>
      <c r="H288" s="91">
        <v>263453</v>
      </c>
      <c r="I288" s="67">
        <v>0</v>
      </c>
      <c r="J288" s="739">
        <v>263453</v>
      </c>
      <c r="K288" s="132" t="s">
        <v>621</v>
      </c>
      <c r="L288" s="740">
        <v>0</v>
      </c>
      <c r="M288" s="741">
        <v>1576.56</v>
      </c>
      <c r="N288" s="67">
        <v>3413</v>
      </c>
      <c r="O288" s="67">
        <v>266866</v>
      </c>
      <c r="Q288" s="674">
        <v>0</v>
      </c>
      <c r="R288" s="674">
        <v>266866</v>
      </c>
      <c r="S288" s="71">
        <v>169.27107119297713</v>
      </c>
      <c r="T288" s="449"/>
      <c r="U288" s="67">
        <v>269301</v>
      </c>
      <c r="V288" s="163">
        <v>-2435</v>
      </c>
      <c r="W288" s="166">
        <v>-9.0419270630261311E-3</v>
      </c>
      <c r="X288" s="61"/>
      <c r="Z288" s="67"/>
      <c r="AA288" s="451"/>
      <c r="AB288" s="452"/>
      <c r="AE288" s="36"/>
      <c r="AF288" s="36"/>
      <c r="AG288" s="36"/>
      <c r="AH288" s="19"/>
    </row>
    <row r="289" spans="1:34">
      <c r="A289" s="144" t="s">
        <v>603</v>
      </c>
      <c r="B289" s="131" t="s">
        <v>443</v>
      </c>
      <c r="C289" s="63" t="s">
        <v>675</v>
      </c>
      <c r="D289" s="134">
        <v>100.78</v>
      </c>
      <c r="E289" s="67">
        <v>16841</v>
      </c>
      <c r="F289" s="146">
        <v>0</v>
      </c>
      <c r="G289" s="146">
        <v>0</v>
      </c>
      <c r="H289" s="91">
        <v>16841</v>
      </c>
      <c r="I289" s="67">
        <v>0</v>
      </c>
      <c r="J289" s="739">
        <v>16841</v>
      </c>
      <c r="K289" s="132" t="s">
        <v>621</v>
      </c>
      <c r="L289" s="740">
        <v>0</v>
      </c>
      <c r="M289" s="741">
        <v>100.78</v>
      </c>
      <c r="N289" s="67">
        <v>218</v>
      </c>
      <c r="O289" s="67">
        <v>17059</v>
      </c>
      <c r="Q289" s="674">
        <v>0</v>
      </c>
      <c r="R289" s="674">
        <v>17059</v>
      </c>
      <c r="S289" s="71">
        <v>169.26969636832706</v>
      </c>
      <c r="T289" s="449"/>
      <c r="U289" s="67">
        <v>17214</v>
      </c>
      <c r="V289" s="163">
        <v>-155</v>
      </c>
      <c r="W289" s="166">
        <v>-9.0042988265365397E-3</v>
      </c>
      <c r="X289" s="61"/>
      <c r="Z289" s="67"/>
      <c r="AA289" s="451"/>
      <c r="AB289" s="452"/>
      <c r="AE289" s="36"/>
      <c r="AF289" s="36"/>
      <c r="AG289" s="36"/>
      <c r="AH289" s="19"/>
    </row>
    <row r="290" spans="1:34">
      <c r="A290" s="64" t="s">
        <v>605</v>
      </c>
      <c r="B290" s="63" t="s">
        <v>569</v>
      </c>
      <c r="C290" s="63" t="s">
        <v>570</v>
      </c>
      <c r="D290" s="134">
        <v>320.11</v>
      </c>
      <c r="E290" s="67">
        <v>53492</v>
      </c>
      <c r="F290" s="146">
        <v>0</v>
      </c>
      <c r="G290" s="146">
        <v>0</v>
      </c>
      <c r="H290" s="91">
        <v>53492</v>
      </c>
      <c r="I290" s="67">
        <v>0</v>
      </c>
      <c r="J290" s="739">
        <v>53492</v>
      </c>
      <c r="K290" s="132" t="s">
        <v>621</v>
      </c>
      <c r="L290" s="740">
        <v>0</v>
      </c>
      <c r="M290" s="741">
        <v>320.11</v>
      </c>
      <c r="N290" s="67">
        <v>693</v>
      </c>
      <c r="O290" s="67">
        <v>54185</v>
      </c>
      <c r="Q290" s="674">
        <v>0</v>
      </c>
      <c r="R290" s="674">
        <v>54185</v>
      </c>
      <c r="S290" s="71">
        <v>169.26993845865482</v>
      </c>
      <c r="T290" s="449"/>
      <c r="U290" s="67">
        <v>54680</v>
      </c>
      <c r="V290" s="163">
        <v>-495</v>
      </c>
      <c r="W290" s="166">
        <v>-9.0526700804681778E-3</v>
      </c>
      <c r="X290" s="61"/>
      <c r="Z290" s="67"/>
      <c r="AA290" s="451"/>
      <c r="AB290" s="452"/>
      <c r="AE290" s="36"/>
      <c r="AF290" s="36"/>
      <c r="AG290" s="36"/>
      <c r="AH290" s="19"/>
    </row>
    <row r="291" spans="1:34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132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>
        <v>0</v>
      </c>
      <c r="S291" s="71">
        <v>0</v>
      </c>
      <c r="T291" s="449"/>
      <c r="U291" s="67">
        <v>0</v>
      </c>
      <c r="V291" s="163">
        <v>0</v>
      </c>
      <c r="W291" s="166">
        <v>0</v>
      </c>
      <c r="X291" s="61"/>
      <c r="Z291" s="67"/>
      <c r="AA291" s="451"/>
      <c r="AB291" s="452"/>
      <c r="AE291" s="36"/>
      <c r="AF291" s="36"/>
      <c r="AG291" s="36"/>
      <c r="AH291" s="19"/>
    </row>
    <row r="292" spans="1:34">
      <c r="A292" s="64" t="s">
        <v>597</v>
      </c>
      <c r="B292" s="63" t="s">
        <v>367</v>
      </c>
      <c r="C292" s="63" t="s">
        <v>368</v>
      </c>
      <c r="D292" s="134">
        <v>58.22</v>
      </c>
      <c r="E292" s="67">
        <v>9729</v>
      </c>
      <c r="F292" s="146">
        <v>0</v>
      </c>
      <c r="G292" s="146">
        <v>0</v>
      </c>
      <c r="H292" s="91">
        <v>9729</v>
      </c>
      <c r="I292" s="67">
        <v>0</v>
      </c>
      <c r="J292" s="739">
        <v>9729</v>
      </c>
      <c r="K292" s="132" t="s">
        <v>644</v>
      </c>
      <c r="L292" s="740">
        <v>9729</v>
      </c>
      <c r="M292" s="741">
        <v>0</v>
      </c>
      <c r="N292" s="67">
        <v>0</v>
      </c>
      <c r="O292" s="67">
        <v>0</v>
      </c>
      <c r="Q292" s="674">
        <v>0</v>
      </c>
      <c r="R292" s="674">
        <v>0</v>
      </c>
      <c r="S292" s="71">
        <v>0</v>
      </c>
      <c r="T292" s="449"/>
      <c r="U292" s="67">
        <v>0</v>
      </c>
      <c r="V292" s="163">
        <v>0</v>
      </c>
      <c r="W292" s="166">
        <v>0</v>
      </c>
      <c r="X292" s="61"/>
      <c r="Z292" s="67"/>
      <c r="AA292" s="451"/>
      <c r="AB292" s="452"/>
      <c r="AE292" s="36"/>
      <c r="AF292" s="36"/>
      <c r="AG292" s="36"/>
      <c r="AH292" s="19"/>
    </row>
    <row r="293" spans="1:34">
      <c r="A293" s="64" t="s">
        <v>599</v>
      </c>
      <c r="B293" s="63" t="s">
        <v>248</v>
      </c>
      <c r="C293" s="63" t="s">
        <v>249</v>
      </c>
      <c r="D293" s="134">
        <v>199.33</v>
      </c>
      <c r="E293" s="67">
        <v>33309</v>
      </c>
      <c r="F293" s="146">
        <v>0</v>
      </c>
      <c r="G293" s="146">
        <v>0</v>
      </c>
      <c r="H293" s="91">
        <v>33309</v>
      </c>
      <c r="I293" s="67">
        <v>0</v>
      </c>
      <c r="J293" s="739">
        <v>33309</v>
      </c>
      <c r="K293" s="132" t="s">
        <v>621</v>
      </c>
      <c r="L293" s="740">
        <v>0</v>
      </c>
      <c r="M293" s="741">
        <v>199.33</v>
      </c>
      <c r="N293" s="67">
        <v>432</v>
      </c>
      <c r="O293" s="67">
        <v>33741</v>
      </c>
      <c r="Q293" s="674">
        <v>0</v>
      </c>
      <c r="R293" s="674">
        <v>33741</v>
      </c>
      <c r="S293" s="71">
        <v>169.27206140570911</v>
      </c>
      <c r="T293" s="449"/>
      <c r="U293" s="67">
        <v>34049</v>
      </c>
      <c r="V293" s="163">
        <v>-308</v>
      </c>
      <c r="W293" s="166">
        <v>-9.0457869540955683E-3</v>
      </c>
      <c r="X293" s="61"/>
      <c r="Z293" s="67"/>
      <c r="AA293" s="451"/>
      <c r="AB293" s="452"/>
      <c r="AE293" s="36"/>
      <c r="AF293" s="36"/>
      <c r="AG293" s="36"/>
      <c r="AH293" s="19"/>
    </row>
    <row r="294" spans="1:34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739">
        <v>0</v>
      </c>
      <c r="K294" s="132" t="s">
        <v>644</v>
      </c>
      <c r="L294" s="740">
        <v>0</v>
      </c>
      <c r="M294" s="741">
        <v>0</v>
      </c>
      <c r="N294" s="67">
        <v>0</v>
      </c>
      <c r="O294" s="67">
        <v>0</v>
      </c>
      <c r="Q294" s="674">
        <v>0</v>
      </c>
      <c r="R294" s="674">
        <v>0</v>
      </c>
      <c r="S294" s="71">
        <v>0</v>
      </c>
      <c r="T294" s="449"/>
      <c r="U294" s="67">
        <v>0</v>
      </c>
      <c r="V294" s="163">
        <v>0</v>
      </c>
      <c r="W294" s="166">
        <v>0</v>
      </c>
      <c r="X294" s="61"/>
      <c r="Z294" s="67"/>
      <c r="AA294" s="451"/>
      <c r="AB294" s="452"/>
      <c r="AE294" s="36"/>
      <c r="AF294" s="36"/>
      <c r="AG294" s="36"/>
      <c r="AH294" s="19"/>
    </row>
    <row r="295" spans="1:34">
      <c r="A295" s="64" t="s">
        <v>594</v>
      </c>
      <c r="B295" s="63" t="s">
        <v>332</v>
      </c>
      <c r="C295" s="63" t="s">
        <v>333</v>
      </c>
      <c r="D295" s="134">
        <v>12.11</v>
      </c>
      <c r="E295" s="67">
        <v>2024</v>
      </c>
      <c r="F295" s="146">
        <v>0</v>
      </c>
      <c r="G295" s="146">
        <v>0</v>
      </c>
      <c r="H295" s="91">
        <v>2024</v>
      </c>
      <c r="I295" s="67">
        <v>0</v>
      </c>
      <c r="J295" s="739">
        <v>2024</v>
      </c>
      <c r="K295" s="132" t="s">
        <v>644</v>
      </c>
      <c r="L295" s="740">
        <v>2024</v>
      </c>
      <c r="M295" s="741">
        <v>0</v>
      </c>
      <c r="N295" s="67">
        <v>0</v>
      </c>
      <c r="O295" s="67">
        <v>0</v>
      </c>
      <c r="Q295" s="674">
        <v>0</v>
      </c>
      <c r="R295" s="674">
        <v>0</v>
      </c>
      <c r="S295" s="71">
        <v>0</v>
      </c>
      <c r="T295" s="449"/>
      <c r="U295" s="67">
        <v>0</v>
      </c>
      <c r="V295" s="163">
        <v>0</v>
      </c>
      <c r="W295" s="166">
        <v>0</v>
      </c>
      <c r="X295" s="61"/>
      <c r="Z295" s="67"/>
      <c r="AA295" s="451"/>
      <c r="AB295" s="452"/>
      <c r="AE295" s="36"/>
      <c r="AF295" s="36"/>
      <c r="AG295" s="36"/>
      <c r="AH295" s="19"/>
    </row>
    <row r="296" spans="1:34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739">
        <v>0</v>
      </c>
      <c r="K296" s="132" t="s">
        <v>644</v>
      </c>
      <c r="L296" s="740">
        <v>0</v>
      </c>
      <c r="M296" s="741">
        <v>0</v>
      </c>
      <c r="N296" s="67">
        <v>0</v>
      </c>
      <c r="O296" s="67">
        <v>0</v>
      </c>
      <c r="Q296" s="674">
        <v>0</v>
      </c>
      <c r="R296" s="674">
        <v>0</v>
      </c>
      <c r="S296" s="71">
        <v>0</v>
      </c>
      <c r="T296" s="449"/>
      <c r="U296" s="67">
        <v>0</v>
      </c>
      <c r="V296" s="163">
        <v>0</v>
      </c>
      <c r="W296" s="166">
        <v>0</v>
      </c>
      <c r="X296" s="61"/>
      <c r="Z296" s="67"/>
      <c r="AA296" s="451"/>
      <c r="AB296" s="452"/>
      <c r="AE296" s="36"/>
      <c r="AF296" s="36"/>
      <c r="AG296" s="36"/>
      <c r="AH296" s="19"/>
    </row>
    <row r="297" spans="1:34">
      <c r="A297" s="64" t="s">
        <v>594</v>
      </c>
      <c r="B297" s="63" t="s">
        <v>264</v>
      </c>
      <c r="C297" s="63" t="s">
        <v>265</v>
      </c>
      <c r="D297" s="134">
        <v>83.56</v>
      </c>
      <c r="E297" s="67">
        <v>13963</v>
      </c>
      <c r="F297" s="146">
        <v>0</v>
      </c>
      <c r="G297" s="146">
        <v>0</v>
      </c>
      <c r="H297" s="91">
        <v>13963</v>
      </c>
      <c r="I297" s="67">
        <v>0</v>
      </c>
      <c r="J297" s="739">
        <v>13963</v>
      </c>
      <c r="K297" s="132" t="s">
        <v>621</v>
      </c>
      <c r="L297" s="740">
        <v>0</v>
      </c>
      <c r="M297" s="741">
        <v>83.56</v>
      </c>
      <c r="N297" s="67">
        <v>181</v>
      </c>
      <c r="O297" s="67">
        <v>14144</v>
      </c>
      <c r="Q297" s="674">
        <v>0</v>
      </c>
      <c r="R297" s="674">
        <v>14144</v>
      </c>
      <c r="S297" s="71">
        <v>169.26759214935376</v>
      </c>
      <c r="T297" s="449"/>
      <c r="U297" s="67">
        <v>14273</v>
      </c>
      <c r="V297" s="163">
        <v>-129</v>
      </c>
      <c r="W297" s="166">
        <v>-9.0380438590345405E-3</v>
      </c>
      <c r="X297" s="60"/>
      <c r="Z297" s="67"/>
      <c r="AA297" s="451"/>
      <c r="AB297" s="452"/>
    </row>
    <row r="298" spans="1:34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739">
        <v>0</v>
      </c>
      <c r="K298" s="132" t="s">
        <v>644</v>
      </c>
      <c r="L298" s="740">
        <v>0</v>
      </c>
      <c r="M298" s="741">
        <v>0</v>
      </c>
      <c r="N298" s="67">
        <v>0</v>
      </c>
      <c r="O298" s="67">
        <v>0</v>
      </c>
      <c r="Q298" s="674">
        <v>0</v>
      </c>
      <c r="R298" s="674">
        <v>0</v>
      </c>
      <c r="S298" s="71">
        <v>0</v>
      </c>
      <c r="T298" s="449"/>
      <c r="U298" s="67">
        <v>0</v>
      </c>
      <c r="V298" s="163">
        <v>0</v>
      </c>
      <c r="W298" s="166">
        <v>0</v>
      </c>
      <c r="X298" s="62"/>
      <c r="Z298" s="67"/>
      <c r="AA298" s="451"/>
      <c r="AB298" s="452"/>
    </row>
    <row r="299" spans="1:34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739">
        <v>0</v>
      </c>
      <c r="K299" s="132" t="s">
        <v>644</v>
      </c>
      <c r="L299" s="740">
        <v>0</v>
      </c>
      <c r="M299" s="741">
        <v>0</v>
      </c>
      <c r="N299" s="67">
        <v>0</v>
      </c>
      <c r="O299" s="67">
        <v>0</v>
      </c>
      <c r="Q299" s="674">
        <v>0</v>
      </c>
      <c r="R299" s="674">
        <v>0</v>
      </c>
      <c r="S299" s="71">
        <v>0</v>
      </c>
      <c r="T299" s="449"/>
      <c r="U299" s="67">
        <v>0</v>
      </c>
      <c r="V299" s="163">
        <v>0</v>
      </c>
      <c r="W299" s="166">
        <v>0</v>
      </c>
      <c r="Z299" s="67"/>
      <c r="AA299" s="451"/>
      <c r="AB299" s="452"/>
    </row>
    <row r="300" spans="1:34">
      <c r="A300" s="64" t="s">
        <v>599</v>
      </c>
      <c r="B300" s="63" t="s">
        <v>78</v>
      </c>
      <c r="C300" s="63" t="s">
        <v>79</v>
      </c>
      <c r="D300" s="134">
        <v>139.56</v>
      </c>
      <c r="E300" s="67">
        <v>23321</v>
      </c>
      <c r="F300" s="146">
        <v>0</v>
      </c>
      <c r="G300" s="146">
        <v>0</v>
      </c>
      <c r="H300" s="91">
        <v>23321</v>
      </c>
      <c r="I300" s="67">
        <v>0</v>
      </c>
      <c r="J300" s="739">
        <v>23321</v>
      </c>
      <c r="K300" s="132" t="s">
        <v>621</v>
      </c>
      <c r="L300" s="740">
        <v>0</v>
      </c>
      <c r="M300" s="741">
        <v>139.56</v>
      </c>
      <c r="N300" s="67">
        <v>302</v>
      </c>
      <c r="O300" s="67">
        <v>23623</v>
      </c>
      <c r="Q300" s="674">
        <v>0</v>
      </c>
      <c r="R300" s="674">
        <v>23623</v>
      </c>
      <c r="S300" s="71">
        <v>169.26769848094008</v>
      </c>
      <c r="T300" s="449"/>
      <c r="U300" s="67">
        <v>23839</v>
      </c>
      <c r="V300" s="163">
        <v>-216</v>
      </c>
      <c r="W300" s="166">
        <v>-9.0607827509543177E-3</v>
      </c>
      <c r="Z300" s="67"/>
      <c r="AA300" s="451"/>
      <c r="AB300" s="452"/>
    </row>
    <row r="301" spans="1:34">
      <c r="A301" s="64" t="s">
        <v>605</v>
      </c>
      <c r="B301" s="63" t="s">
        <v>547</v>
      </c>
      <c r="C301" s="63" t="s">
        <v>548</v>
      </c>
      <c r="D301" s="134">
        <v>4510</v>
      </c>
      <c r="E301" s="67">
        <v>753648</v>
      </c>
      <c r="F301" s="146">
        <v>0</v>
      </c>
      <c r="G301" s="146">
        <v>0</v>
      </c>
      <c r="H301" s="91">
        <v>753648</v>
      </c>
      <c r="I301" s="67">
        <v>0</v>
      </c>
      <c r="J301" s="739">
        <v>753648</v>
      </c>
      <c r="K301" s="132" t="s">
        <v>621</v>
      </c>
      <c r="L301" s="740">
        <v>0</v>
      </c>
      <c r="M301" s="741">
        <v>4510</v>
      </c>
      <c r="N301" s="67">
        <v>9764</v>
      </c>
      <c r="O301" s="67">
        <v>763412</v>
      </c>
      <c r="Q301" s="674">
        <v>0</v>
      </c>
      <c r="R301" s="674">
        <v>763412</v>
      </c>
      <c r="S301" s="71">
        <v>169.2709534368071</v>
      </c>
      <c r="T301" s="449"/>
      <c r="U301" s="67">
        <v>770379</v>
      </c>
      <c r="V301" s="163">
        <v>-6967</v>
      </c>
      <c r="W301" s="166">
        <v>-9.0436006173584688E-3</v>
      </c>
      <c r="Z301" s="67"/>
      <c r="AA301" s="451"/>
      <c r="AB301" s="452"/>
    </row>
    <row r="302" spans="1:34">
      <c r="A302" s="64" t="s">
        <v>594</v>
      </c>
      <c r="B302" s="63" t="s">
        <v>472</v>
      </c>
      <c r="C302" s="63" t="s">
        <v>473</v>
      </c>
      <c r="D302" s="134">
        <v>86.78</v>
      </c>
      <c r="E302" s="67">
        <v>14501</v>
      </c>
      <c r="F302" s="146">
        <v>0</v>
      </c>
      <c r="G302" s="146">
        <v>0</v>
      </c>
      <c r="H302" s="91">
        <v>14501</v>
      </c>
      <c r="I302" s="67">
        <v>0</v>
      </c>
      <c r="J302" s="739">
        <v>14501</v>
      </c>
      <c r="K302" s="132" t="s">
        <v>644</v>
      </c>
      <c r="L302" s="740">
        <v>14501</v>
      </c>
      <c r="M302" s="741">
        <v>0</v>
      </c>
      <c r="N302" s="67">
        <v>0</v>
      </c>
      <c r="O302" s="67">
        <v>0</v>
      </c>
      <c r="Q302" s="674">
        <v>0</v>
      </c>
      <c r="R302" s="674">
        <v>0</v>
      </c>
      <c r="S302" s="71">
        <v>0</v>
      </c>
      <c r="T302" s="449"/>
      <c r="U302" s="67">
        <v>0</v>
      </c>
      <c r="V302" s="163">
        <v>0</v>
      </c>
      <c r="W302" s="166">
        <v>0</v>
      </c>
      <c r="Z302" s="67"/>
      <c r="AA302" s="451"/>
      <c r="AB302" s="452"/>
    </row>
    <row r="303" spans="1:34">
      <c r="A303" s="64" t="s">
        <v>605</v>
      </c>
      <c r="B303" s="63" t="s">
        <v>565</v>
      </c>
      <c r="C303" s="63" t="s">
        <v>566</v>
      </c>
      <c r="D303" s="134">
        <v>128.11000000000001</v>
      </c>
      <c r="E303" s="67">
        <v>21408</v>
      </c>
      <c r="F303" s="146">
        <v>0</v>
      </c>
      <c r="G303" s="146">
        <v>0</v>
      </c>
      <c r="H303" s="91">
        <v>21408</v>
      </c>
      <c r="I303" s="67">
        <v>0</v>
      </c>
      <c r="J303" s="739">
        <v>21408</v>
      </c>
      <c r="K303" s="132" t="s">
        <v>621</v>
      </c>
      <c r="L303" s="740">
        <v>0</v>
      </c>
      <c r="M303" s="741">
        <v>128.11000000000001</v>
      </c>
      <c r="N303" s="67">
        <v>277</v>
      </c>
      <c r="O303" s="67">
        <v>21685</v>
      </c>
      <c r="Q303" s="674">
        <v>0</v>
      </c>
      <c r="R303" s="674">
        <v>21685</v>
      </c>
      <c r="S303" s="71">
        <v>169.26859729919599</v>
      </c>
      <c r="T303" s="449"/>
      <c r="U303" s="67">
        <v>21883</v>
      </c>
      <c r="V303" s="163">
        <v>-198</v>
      </c>
      <c r="W303" s="166">
        <v>-9.0481195448521689E-3</v>
      </c>
      <c r="Z303" s="67"/>
      <c r="AA303" s="451"/>
      <c r="AB303" s="452"/>
    </row>
    <row r="304" spans="1:34">
      <c r="C304" s="105" t="s">
        <v>620</v>
      </c>
      <c r="D304" s="134">
        <v>97345.289999999979</v>
      </c>
      <c r="E304" s="67">
        <v>16266974</v>
      </c>
      <c r="F304" s="146">
        <v>0</v>
      </c>
      <c r="G304" s="146">
        <v>0</v>
      </c>
      <c r="H304" s="91">
        <v>16266974</v>
      </c>
      <c r="I304" s="71">
        <v>0</v>
      </c>
      <c r="J304" s="73">
        <v>16266974</v>
      </c>
      <c r="K304" s="132"/>
      <c r="L304" s="740">
        <v>208048</v>
      </c>
      <c r="M304" s="67">
        <v>96100.279999999984</v>
      </c>
      <c r="N304" s="88">
        <v>208047</v>
      </c>
      <c r="O304" s="88">
        <v>16266974</v>
      </c>
      <c r="Q304" s="88">
        <v>0</v>
      </c>
      <c r="R304" s="88">
        <v>16266974</v>
      </c>
      <c r="S304" s="71"/>
      <c r="T304" s="72"/>
      <c r="U304" s="91">
        <v>16415142</v>
      </c>
      <c r="V304" s="91">
        <v>-148168</v>
      </c>
      <c r="W304" s="161"/>
      <c r="X304" s="72"/>
      <c r="Y304" s="72"/>
      <c r="Z304" s="72"/>
    </row>
  </sheetData>
  <mergeCells count="3">
    <mergeCell ref="E2:H2"/>
    <mergeCell ref="I2:J2"/>
    <mergeCell ref="K2:O2"/>
  </mergeCells>
  <conditionalFormatting sqref="L9:L303">
    <cfRule type="expression" dxfId="13" priority="2">
      <formula>AND($L9&gt;0,$K9="Yes")</formula>
    </cfRule>
  </conditionalFormatting>
  <conditionalFormatting sqref="C9:C303">
    <cfRule type="expression" dxfId="12" priority="1">
      <formula>AND($O9&lt;10000,$O9&gt;0,$K9="Y")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F304"/>
  <sheetViews>
    <sheetView workbookViewId="0">
      <pane xSplit="3" ySplit="8" topLeftCell="D159" activePane="bottomRight" state="frozen"/>
      <selection pane="topRight" activeCell="D1" sqref="D1"/>
      <selection pane="bottomLeft" activeCell="A5" sqref="A5"/>
      <selection pane="bottomRight" activeCell="I195" sqref="I195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219577</v>
      </c>
      <c r="O3" s="67">
        <v>16405560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16405560</v>
      </c>
      <c r="H6" s="133" t="s">
        <v>1364</v>
      </c>
      <c r="I6" s="68">
        <v>0</v>
      </c>
      <c r="J6" s="73"/>
      <c r="K6" s="220"/>
      <c r="L6" s="87">
        <v>10000</v>
      </c>
      <c r="M6" s="71"/>
      <c r="N6" s="69"/>
      <c r="O6" s="399" t="s">
        <v>1365</v>
      </c>
      <c r="V6" s="27"/>
      <c r="W6" s="26"/>
    </row>
    <row r="7" spans="1:32">
      <c r="A7" s="46"/>
      <c r="B7" s="47"/>
      <c r="C7" s="47" t="s">
        <v>620</v>
      </c>
      <c r="D7" s="67">
        <v>97345.289999999979</v>
      </c>
      <c r="E7" s="88">
        <v>168.52957138450154</v>
      </c>
      <c r="F7" s="72">
        <v>0</v>
      </c>
      <c r="G7" s="72">
        <v>0</v>
      </c>
      <c r="H7" s="161">
        <v>16405555</v>
      </c>
      <c r="I7" s="73">
        <v>0</v>
      </c>
      <c r="J7" s="73">
        <v>16405555</v>
      </c>
      <c r="K7" s="72"/>
      <c r="L7" s="88">
        <v>219577</v>
      </c>
      <c r="M7" s="67">
        <v>96042.389999999985</v>
      </c>
      <c r="N7" s="88">
        <v>219574</v>
      </c>
      <c r="O7" s="88">
        <v>16415142</v>
      </c>
      <c r="P7" s="88"/>
      <c r="S7" s="91">
        <v>15691218</v>
      </c>
      <c r="T7" s="163">
        <v>723924</v>
      </c>
      <c r="U7" s="166">
        <v>4.6135615476121737E-2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97345.289999999979</v>
      </c>
      <c r="E8" s="530">
        <v>16405558</v>
      </c>
      <c r="F8" s="530"/>
      <c r="G8" s="530"/>
      <c r="H8" s="530">
        <v>16405555</v>
      </c>
      <c r="I8" s="530"/>
      <c r="J8" s="530">
        <v>16405555</v>
      </c>
      <c r="K8" s="529"/>
      <c r="L8" s="530">
        <v>219577</v>
      </c>
      <c r="M8" s="530">
        <v>96042.389999999985</v>
      </c>
      <c r="N8" s="530">
        <v>219574</v>
      </c>
      <c r="O8" s="530">
        <v>16415142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343.89</v>
      </c>
      <c r="E9" s="67">
        <v>57956</v>
      </c>
      <c r="F9" s="146">
        <v>0</v>
      </c>
      <c r="G9" s="146">
        <v>0</v>
      </c>
      <c r="H9" s="91">
        <v>57956</v>
      </c>
      <c r="I9" s="67">
        <v>0</v>
      </c>
      <c r="J9" s="20">
        <v>57956</v>
      </c>
      <c r="K9" s="132" t="s">
        <v>621</v>
      </c>
      <c r="L9" s="151">
        <v>0</v>
      </c>
      <c r="M9" s="128">
        <v>343.89</v>
      </c>
      <c r="N9" s="67">
        <v>786</v>
      </c>
      <c r="O9" s="67">
        <v>58742</v>
      </c>
      <c r="P9" s="270"/>
      <c r="Q9" s="71">
        <v>170.81624938206986</v>
      </c>
      <c r="R9" s="449"/>
      <c r="S9" s="67">
        <v>46249</v>
      </c>
      <c r="T9" s="163">
        <v>12493</v>
      </c>
      <c r="U9" s="166">
        <v>0.27012475945425846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723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 t="e">
        <v>#DIV/0!</v>
      </c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723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 t="e">
        <v>#DIV/0!</v>
      </c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52.11</v>
      </c>
      <c r="E12" s="67">
        <v>8782</v>
      </c>
      <c r="F12" s="146">
        <v>0</v>
      </c>
      <c r="G12" s="146">
        <v>0</v>
      </c>
      <c r="H12" s="91">
        <v>8782</v>
      </c>
      <c r="I12" s="67">
        <v>0</v>
      </c>
      <c r="J12" s="20">
        <v>8782</v>
      </c>
      <c r="K12" s="132" t="s">
        <v>644</v>
      </c>
      <c r="L12" s="151">
        <v>8782</v>
      </c>
      <c r="M12" s="128">
        <v>0</v>
      </c>
      <c r="N12" s="67">
        <v>0</v>
      </c>
      <c r="O12" s="67">
        <v>0</v>
      </c>
      <c r="P12" s="270"/>
      <c r="Q12" s="71" t="e">
        <v>#DIV/0!</v>
      </c>
      <c r="R12" s="449"/>
      <c r="S12" s="67">
        <v>0</v>
      </c>
      <c r="T12" s="163">
        <v>0</v>
      </c>
      <c r="U12" s="166">
        <v>0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185.22</v>
      </c>
      <c r="E13" s="67">
        <v>31215</v>
      </c>
      <c r="F13" s="146">
        <v>0</v>
      </c>
      <c r="G13" s="146">
        <v>0</v>
      </c>
      <c r="H13" s="91">
        <v>31215</v>
      </c>
      <c r="I13" s="67">
        <v>0</v>
      </c>
      <c r="J13" s="20">
        <v>31215</v>
      </c>
      <c r="K13" s="132" t="s">
        <v>621</v>
      </c>
      <c r="L13" s="151">
        <v>0</v>
      </c>
      <c r="M13" s="128">
        <v>185.22</v>
      </c>
      <c r="N13" s="67">
        <v>423</v>
      </c>
      <c r="O13" s="67">
        <v>31638</v>
      </c>
      <c r="P13" s="270"/>
      <c r="Q13" s="71">
        <v>170.81308713961775</v>
      </c>
      <c r="R13" s="449"/>
      <c r="S13" s="67">
        <v>31984</v>
      </c>
      <c r="T13" s="163">
        <v>-346</v>
      </c>
      <c r="U13" s="166">
        <v>-1.0817908954477238E-2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1</v>
      </c>
      <c r="E14" s="67">
        <v>169</v>
      </c>
      <c r="F14" s="146">
        <v>0</v>
      </c>
      <c r="G14" s="146">
        <v>0</v>
      </c>
      <c r="H14" s="91">
        <v>169</v>
      </c>
      <c r="I14" s="67">
        <v>0</v>
      </c>
      <c r="J14" s="20">
        <v>169</v>
      </c>
      <c r="K14" s="132" t="s">
        <v>644</v>
      </c>
      <c r="L14" s="151">
        <v>169</v>
      </c>
      <c r="M14" s="128">
        <v>0</v>
      </c>
      <c r="N14" s="67">
        <v>0</v>
      </c>
      <c r="O14" s="67">
        <v>0</v>
      </c>
      <c r="P14" s="270"/>
      <c r="Q14" s="71" t="e">
        <v>#DIV/0!</v>
      </c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1979</v>
      </c>
      <c r="E15" s="67">
        <v>333520</v>
      </c>
      <c r="F15" s="146">
        <v>0</v>
      </c>
      <c r="G15" s="146">
        <v>0</v>
      </c>
      <c r="H15" s="91">
        <v>333520</v>
      </c>
      <c r="I15" s="67">
        <v>0</v>
      </c>
      <c r="J15" s="20">
        <v>333520</v>
      </c>
      <c r="K15" s="132" t="s">
        <v>621</v>
      </c>
      <c r="L15" s="151">
        <v>0</v>
      </c>
      <c r="M15" s="128">
        <v>1979</v>
      </c>
      <c r="N15" s="67">
        <v>4524</v>
      </c>
      <c r="O15" s="67">
        <v>338044</v>
      </c>
      <c r="P15" s="270"/>
      <c r="Q15" s="71">
        <v>170.81556341586659</v>
      </c>
      <c r="R15" s="449"/>
      <c r="S15" s="67">
        <v>332358</v>
      </c>
      <c r="T15" s="163">
        <v>5686</v>
      </c>
      <c r="U15" s="166">
        <v>1.71080581782295E-2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20.89</v>
      </c>
      <c r="E16" s="67">
        <v>3521</v>
      </c>
      <c r="F16" s="146">
        <v>0</v>
      </c>
      <c r="G16" s="146">
        <v>0</v>
      </c>
      <c r="H16" s="91">
        <v>3521</v>
      </c>
      <c r="I16" s="67">
        <v>0</v>
      </c>
      <c r="J16" s="20">
        <v>3521</v>
      </c>
      <c r="K16" s="132" t="s">
        <v>644</v>
      </c>
      <c r="L16" s="151">
        <v>3521</v>
      </c>
      <c r="M16" s="128">
        <v>0</v>
      </c>
      <c r="N16" s="67">
        <v>0</v>
      </c>
      <c r="O16" s="67">
        <v>0</v>
      </c>
      <c r="P16" s="270"/>
      <c r="Q16" s="71" t="e">
        <v>#DIV/0!</v>
      </c>
      <c r="R16" s="449"/>
      <c r="S16" s="67">
        <v>0</v>
      </c>
      <c r="T16" s="163">
        <v>0</v>
      </c>
      <c r="U16" s="166">
        <v>0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689.67</v>
      </c>
      <c r="E17" s="67">
        <v>116230</v>
      </c>
      <c r="F17" s="146">
        <v>0</v>
      </c>
      <c r="G17" s="146">
        <v>0</v>
      </c>
      <c r="H17" s="91">
        <v>116230</v>
      </c>
      <c r="I17" s="67">
        <v>0</v>
      </c>
      <c r="J17" s="20">
        <v>116230</v>
      </c>
      <c r="K17" s="132" t="s">
        <v>621</v>
      </c>
      <c r="L17" s="151">
        <v>0</v>
      </c>
      <c r="M17" s="128">
        <v>689.67</v>
      </c>
      <c r="N17" s="67">
        <v>1577</v>
      </c>
      <c r="O17" s="67">
        <v>117807</v>
      </c>
      <c r="P17" s="270"/>
      <c r="Q17" s="71">
        <v>170.81647744573493</v>
      </c>
      <c r="R17" s="449"/>
      <c r="S17" s="67">
        <v>127370</v>
      </c>
      <c r="T17" s="163">
        <v>-9563</v>
      </c>
      <c r="U17" s="166">
        <v>-7.5080474208997411E-2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1917.22</v>
      </c>
      <c r="E18" s="67">
        <v>323108</v>
      </c>
      <c r="F18" s="146">
        <v>0</v>
      </c>
      <c r="G18" s="146">
        <v>0</v>
      </c>
      <c r="H18" s="91">
        <v>323108</v>
      </c>
      <c r="I18" s="67">
        <v>0</v>
      </c>
      <c r="J18" s="20">
        <v>323108</v>
      </c>
      <c r="K18" s="132" t="s">
        <v>621</v>
      </c>
      <c r="L18" s="151">
        <v>0</v>
      </c>
      <c r="M18" s="128">
        <v>1917.22</v>
      </c>
      <c r="N18" s="67">
        <v>4383</v>
      </c>
      <c r="O18" s="67">
        <v>327491</v>
      </c>
      <c r="P18" s="270"/>
      <c r="Q18" s="71">
        <v>170.81555585691783</v>
      </c>
      <c r="R18" s="449"/>
      <c r="S18" s="67">
        <v>315730</v>
      </c>
      <c r="T18" s="163">
        <v>11761</v>
      </c>
      <c r="U18" s="166">
        <v>3.7250182117632154E-2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631.22</v>
      </c>
      <c r="E19" s="67">
        <v>106379</v>
      </c>
      <c r="F19" s="146">
        <v>0</v>
      </c>
      <c r="G19" s="146">
        <v>0</v>
      </c>
      <c r="H19" s="91">
        <v>106379</v>
      </c>
      <c r="I19" s="67">
        <v>0</v>
      </c>
      <c r="J19" s="20">
        <v>106379</v>
      </c>
      <c r="K19" s="132" t="s">
        <v>621</v>
      </c>
      <c r="L19" s="151">
        <v>0</v>
      </c>
      <c r="M19" s="128">
        <v>631.22</v>
      </c>
      <c r="N19" s="67">
        <v>1443</v>
      </c>
      <c r="O19" s="67">
        <v>107822</v>
      </c>
      <c r="P19" s="270"/>
      <c r="Q19" s="71">
        <v>170.81524666518803</v>
      </c>
      <c r="R19" s="449"/>
      <c r="S19" s="67">
        <v>111877</v>
      </c>
      <c r="T19" s="163">
        <v>-4055</v>
      </c>
      <c r="U19" s="166">
        <v>-3.6245162097660821E-2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723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 t="e">
        <v>#DIV/0!</v>
      </c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280.11</v>
      </c>
      <c r="E21" s="67">
        <v>47207</v>
      </c>
      <c r="F21" s="146">
        <v>0</v>
      </c>
      <c r="G21" s="146">
        <v>0</v>
      </c>
      <c r="H21" s="91">
        <v>47207</v>
      </c>
      <c r="I21" s="67">
        <v>0</v>
      </c>
      <c r="J21" s="20">
        <v>47207</v>
      </c>
      <c r="K21" s="132" t="s">
        <v>621</v>
      </c>
      <c r="L21" s="151">
        <v>0</v>
      </c>
      <c r="M21" s="128">
        <v>280.11</v>
      </c>
      <c r="N21" s="67">
        <v>640</v>
      </c>
      <c r="O21" s="67">
        <v>47847</v>
      </c>
      <c r="P21" s="270"/>
      <c r="Q21" s="71">
        <v>170.81503694976973</v>
      </c>
      <c r="R21" s="449"/>
      <c r="S21" s="67">
        <v>48430</v>
      </c>
      <c r="T21" s="163">
        <v>-583</v>
      </c>
      <c r="U21" s="166">
        <v>-1.2037992979558125E-2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723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 t="e">
        <v>#DIV/0!</v>
      </c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82.89</v>
      </c>
      <c r="E23" s="67">
        <v>13969</v>
      </c>
      <c r="F23" s="146">
        <v>0</v>
      </c>
      <c r="G23" s="146">
        <v>0</v>
      </c>
      <c r="H23" s="91">
        <v>13969</v>
      </c>
      <c r="I23" s="67">
        <v>0</v>
      </c>
      <c r="J23" s="20">
        <v>13969</v>
      </c>
      <c r="K23" s="132" t="s">
        <v>621</v>
      </c>
      <c r="L23" s="151">
        <v>0</v>
      </c>
      <c r="M23" s="128">
        <v>82.89</v>
      </c>
      <c r="N23" s="67">
        <v>190</v>
      </c>
      <c r="O23" s="67">
        <v>14159</v>
      </c>
      <c r="P23" s="270"/>
      <c r="Q23" s="71">
        <v>170.81674508384606</v>
      </c>
      <c r="R23" s="449"/>
      <c r="S23" s="67">
        <v>16401</v>
      </c>
      <c r="T23" s="163">
        <v>-2242</v>
      </c>
      <c r="U23" s="166">
        <v>-0.13669898176940432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723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 t="e">
        <v>#DIV/0!</v>
      </c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149.78</v>
      </c>
      <c r="E25" s="67">
        <v>25242</v>
      </c>
      <c r="F25" s="146">
        <v>0</v>
      </c>
      <c r="G25" s="146">
        <v>0</v>
      </c>
      <c r="H25" s="91">
        <v>25242</v>
      </c>
      <c r="I25" s="67">
        <v>0</v>
      </c>
      <c r="J25" s="20">
        <v>25242</v>
      </c>
      <c r="K25" s="132" t="s">
        <v>621</v>
      </c>
      <c r="L25" s="151">
        <v>0</v>
      </c>
      <c r="M25" s="128">
        <v>149.78</v>
      </c>
      <c r="N25" s="67">
        <v>342</v>
      </c>
      <c r="O25" s="67">
        <v>25584</v>
      </c>
      <c r="P25" s="270"/>
      <c r="Q25" s="71">
        <v>170.81052209907864</v>
      </c>
      <c r="R25" s="449"/>
      <c r="S25" s="67">
        <v>23012</v>
      </c>
      <c r="T25" s="163">
        <v>2572</v>
      </c>
      <c r="U25" s="166">
        <v>0.11176777333565097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396.89</v>
      </c>
      <c r="E26" s="67">
        <v>66888</v>
      </c>
      <c r="F26" s="146">
        <v>0</v>
      </c>
      <c r="G26" s="146">
        <v>0</v>
      </c>
      <c r="H26" s="91">
        <v>66888</v>
      </c>
      <c r="I26" s="67">
        <v>0</v>
      </c>
      <c r="J26" s="20">
        <v>66888</v>
      </c>
      <c r="K26" s="132" t="s">
        <v>621</v>
      </c>
      <c r="L26" s="151">
        <v>0</v>
      </c>
      <c r="M26" s="128">
        <v>396.89</v>
      </c>
      <c r="N26" s="67">
        <v>907</v>
      </c>
      <c r="O26" s="67">
        <v>67795</v>
      </c>
      <c r="P26" s="270"/>
      <c r="Q26" s="71">
        <v>170.81559122174912</v>
      </c>
      <c r="R26" s="449"/>
      <c r="S26" s="67">
        <v>70510</v>
      </c>
      <c r="T26" s="163">
        <v>-2715</v>
      </c>
      <c r="U26" s="166">
        <v>-3.8505176570699191E-2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315.77999999999997</v>
      </c>
      <c r="E27" s="67">
        <v>53218</v>
      </c>
      <c r="F27" s="146">
        <v>0</v>
      </c>
      <c r="G27" s="146">
        <v>0</v>
      </c>
      <c r="H27" s="91">
        <v>53218</v>
      </c>
      <c r="I27" s="67">
        <v>0</v>
      </c>
      <c r="J27" s="20">
        <v>53218</v>
      </c>
      <c r="K27" s="132" t="s">
        <v>621</v>
      </c>
      <c r="L27" s="151">
        <v>0</v>
      </c>
      <c r="M27" s="128">
        <v>315.77999999999997</v>
      </c>
      <c r="N27" s="67">
        <v>722</v>
      </c>
      <c r="O27" s="67">
        <v>53940</v>
      </c>
      <c r="P27" s="270"/>
      <c r="Q27" s="71">
        <v>170.81512445373363</v>
      </c>
      <c r="R27" s="449"/>
      <c r="S27" s="67">
        <v>56472</v>
      </c>
      <c r="T27" s="163">
        <v>-2532</v>
      </c>
      <c r="U27" s="166">
        <v>-4.4836379090522738E-2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2</v>
      </c>
      <c r="E28" s="67">
        <v>337</v>
      </c>
      <c r="F28" s="146">
        <v>0</v>
      </c>
      <c r="G28" s="146">
        <v>0</v>
      </c>
      <c r="H28" s="91">
        <v>337</v>
      </c>
      <c r="I28" s="67">
        <v>0</v>
      </c>
      <c r="J28" s="20">
        <v>337</v>
      </c>
      <c r="K28" s="132" t="s">
        <v>723</v>
      </c>
      <c r="L28" s="151">
        <v>337</v>
      </c>
      <c r="M28" s="128">
        <v>0</v>
      </c>
      <c r="N28" s="67">
        <v>0</v>
      </c>
      <c r="O28" s="67">
        <v>0</v>
      </c>
      <c r="P28" s="270"/>
      <c r="Q28" s="71" t="e">
        <v>#DIV/0!</v>
      </c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659.22</v>
      </c>
      <c r="E29" s="67">
        <v>111098</v>
      </c>
      <c r="F29" s="146">
        <v>0</v>
      </c>
      <c r="G29" s="146">
        <v>0</v>
      </c>
      <c r="H29" s="91">
        <v>111098</v>
      </c>
      <c r="I29" s="67">
        <v>0</v>
      </c>
      <c r="J29" s="20">
        <v>111098</v>
      </c>
      <c r="K29" s="132" t="s">
        <v>621</v>
      </c>
      <c r="L29" s="151">
        <v>0</v>
      </c>
      <c r="M29" s="128">
        <v>659.22</v>
      </c>
      <c r="N29" s="67">
        <v>1507</v>
      </c>
      <c r="O29" s="67">
        <v>112605</v>
      </c>
      <c r="P29" s="270"/>
      <c r="Q29" s="71">
        <v>170.81550923819057</v>
      </c>
      <c r="R29" s="449"/>
      <c r="S29" s="67">
        <v>115034</v>
      </c>
      <c r="T29" s="163">
        <v>-2429</v>
      </c>
      <c r="U29" s="166">
        <v>-2.1115496288053967E-2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108.11</v>
      </c>
      <c r="E30" s="67">
        <v>18220</v>
      </c>
      <c r="F30" s="146">
        <v>0</v>
      </c>
      <c r="G30" s="146">
        <v>0</v>
      </c>
      <c r="H30" s="91">
        <v>18220</v>
      </c>
      <c r="I30" s="67">
        <v>0</v>
      </c>
      <c r="J30" s="20">
        <v>18220</v>
      </c>
      <c r="K30" s="132" t="s">
        <v>621</v>
      </c>
      <c r="L30" s="151">
        <v>0</v>
      </c>
      <c r="M30" s="128">
        <v>108.11</v>
      </c>
      <c r="N30" s="67">
        <v>247</v>
      </c>
      <c r="O30" s="67">
        <v>18467</v>
      </c>
      <c r="P30" s="270"/>
      <c r="Q30" s="71">
        <v>170.81676070668763</v>
      </c>
      <c r="R30" s="449"/>
      <c r="S30" s="67">
        <v>19560</v>
      </c>
      <c r="T30" s="163">
        <v>-1093</v>
      </c>
      <c r="U30" s="166">
        <v>-5.5879345603271985E-2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723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 t="e">
        <v>#DIV/0!</v>
      </c>
      <c r="R31" s="449"/>
      <c r="S31" s="67">
        <v>0</v>
      </c>
      <c r="T31" s="163">
        <v>0</v>
      </c>
      <c r="U31" s="166">
        <v>0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723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 t="e">
        <v>#DIV/0!</v>
      </c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173.56</v>
      </c>
      <c r="E33" s="67">
        <v>29250</v>
      </c>
      <c r="F33" s="146">
        <v>0</v>
      </c>
      <c r="G33" s="146">
        <v>0</v>
      </c>
      <c r="H33" s="91">
        <v>29250</v>
      </c>
      <c r="I33" s="67">
        <v>0</v>
      </c>
      <c r="J33" s="20">
        <v>29250</v>
      </c>
      <c r="K33" s="132" t="s">
        <v>621</v>
      </c>
      <c r="L33" s="151">
        <v>0</v>
      </c>
      <c r="M33" s="128">
        <v>173.56</v>
      </c>
      <c r="N33" s="67">
        <v>397</v>
      </c>
      <c r="O33" s="67">
        <v>29647</v>
      </c>
      <c r="P33" s="270"/>
      <c r="Q33" s="71">
        <v>170.81700852731043</v>
      </c>
      <c r="R33" s="449"/>
      <c r="S33" s="67">
        <v>30985</v>
      </c>
      <c r="T33" s="163">
        <v>-1338</v>
      </c>
      <c r="U33" s="166">
        <v>-4.3182184928191057E-2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220.67</v>
      </c>
      <c r="E34" s="67">
        <v>37189</v>
      </c>
      <c r="F34" s="146">
        <v>0</v>
      </c>
      <c r="G34" s="146">
        <v>0</v>
      </c>
      <c r="H34" s="91">
        <v>37189</v>
      </c>
      <c r="I34" s="67">
        <v>0</v>
      </c>
      <c r="J34" s="20">
        <v>37189</v>
      </c>
      <c r="K34" s="132" t="s">
        <v>621</v>
      </c>
      <c r="L34" s="151">
        <v>0</v>
      </c>
      <c r="M34" s="128">
        <v>220.67</v>
      </c>
      <c r="N34" s="67">
        <v>505</v>
      </c>
      <c r="O34" s="67">
        <v>37694</v>
      </c>
      <c r="P34" s="270"/>
      <c r="Q34" s="71">
        <v>170.81615081343182</v>
      </c>
      <c r="R34" s="449"/>
      <c r="S34" s="67">
        <v>40979</v>
      </c>
      <c r="T34" s="163">
        <v>-3285</v>
      </c>
      <c r="U34" s="166">
        <v>-8.0163010322360229E-2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28.78</v>
      </c>
      <c r="E35" s="67">
        <v>4850</v>
      </c>
      <c r="F35" s="146">
        <v>0</v>
      </c>
      <c r="G35" s="146">
        <v>0</v>
      </c>
      <c r="H35" s="91">
        <v>4850</v>
      </c>
      <c r="I35" s="67">
        <v>0</v>
      </c>
      <c r="J35" s="20">
        <v>4850</v>
      </c>
      <c r="K35" s="132" t="s">
        <v>644</v>
      </c>
      <c r="L35" s="151">
        <v>4850</v>
      </c>
      <c r="M35" s="128">
        <v>0</v>
      </c>
      <c r="N35" s="67">
        <v>0</v>
      </c>
      <c r="O35" s="67">
        <v>0</v>
      </c>
      <c r="P35" s="270"/>
      <c r="Q35" s="71" t="e">
        <v>#DIV/0!</v>
      </c>
      <c r="R35" s="449"/>
      <c r="S35" s="67">
        <v>0</v>
      </c>
      <c r="T35" s="163">
        <v>0</v>
      </c>
      <c r="U35" s="166">
        <v>0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723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 t="e">
        <v>#DIV/0!</v>
      </c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228.11</v>
      </c>
      <c r="E37" s="67">
        <v>38443</v>
      </c>
      <c r="F37" s="146">
        <v>0</v>
      </c>
      <c r="G37" s="146">
        <v>0</v>
      </c>
      <c r="H37" s="91">
        <v>38443</v>
      </c>
      <c r="I37" s="67">
        <v>0</v>
      </c>
      <c r="J37" s="20">
        <v>38443</v>
      </c>
      <c r="K37" s="132" t="s">
        <v>621</v>
      </c>
      <c r="L37" s="151">
        <v>0</v>
      </c>
      <c r="M37" s="128">
        <v>228.11</v>
      </c>
      <c r="N37" s="67">
        <v>522</v>
      </c>
      <c r="O37" s="67">
        <v>38965</v>
      </c>
      <c r="P37" s="270"/>
      <c r="Q37" s="71">
        <v>170.81671123580728</v>
      </c>
      <c r="R37" s="449"/>
      <c r="S37" s="67">
        <v>41979</v>
      </c>
      <c r="T37" s="163">
        <v>-3014</v>
      </c>
      <c r="U37" s="166">
        <v>-7.1797803663736628E-2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304.56</v>
      </c>
      <c r="E38" s="67">
        <v>51327</v>
      </c>
      <c r="F38" s="146">
        <v>0</v>
      </c>
      <c r="G38" s="146">
        <v>0</v>
      </c>
      <c r="H38" s="91">
        <v>51327</v>
      </c>
      <c r="I38" s="67">
        <v>0</v>
      </c>
      <c r="J38" s="20">
        <v>51327</v>
      </c>
      <c r="K38" s="132" t="s">
        <v>621</v>
      </c>
      <c r="L38" s="151">
        <v>0</v>
      </c>
      <c r="M38" s="128">
        <v>304.56</v>
      </c>
      <c r="N38" s="67">
        <v>696</v>
      </c>
      <c r="O38" s="67">
        <v>52023</v>
      </c>
      <c r="P38" s="270"/>
      <c r="Q38" s="71">
        <v>170.8136327817179</v>
      </c>
      <c r="R38" s="449"/>
      <c r="S38" s="67">
        <v>43456</v>
      </c>
      <c r="T38" s="163">
        <v>8567</v>
      </c>
      <c r="U38" s="166">
        <v>0.19714193667157584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301.22000000000003</v>
      </c>
      <c r="E39" s="67">
        <v>50764</v>
      </c>
      <c r="F39" s="146">
        <v>0</v>
      </c>
      <c r="G39" s="146">
        <v>0</v>
      </c>
      <c r="H39" s="91">
        <v>50764</v>
      </c>
      <c r="I39" s="67">
        <v>0</v>
      </c>
      <c r="J39" s="20">
        <v>50764</v>
      </c>
      <c r="K39" s="132" t="s">
        <v>621</v>
      </c>
      <c r="L39" s="151">
        <v>0</v>
      </c>
      <c r="M39" s="128">
        <v>301.22000000000003</v>
      </c>
      <c r="N39" s="67">
        <v>689</v>
      </c>
      <c r="O39" s="67">
        <v>51453</v>
      </c>
      <c r="P39" s="270"/>
      <c r="Q39" s="71">
        <v>170.81535090631431</v>
      </c>
      <c r="R39" s="449"/>
      <c r="S39" s="67">
        <v>56336</v>
      </c>
      <c r="T39" s="163">
        <v>-4883</v>
      </c>
      <c r="U39" s="166">
        <v>-8.6676370349332579E-2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87.11</v>
      </c>
      <c r="E40" s="67">
        <v>14681</v>
      </c>
      <c r="F40" s="146">
        <v>0</v>
      </c>
      <c r="G40" s="146">
        <v>0</v>
      </c>
      <c r="H40" s="91">
        <v>14681</v>
      </c>
      <c r="I40" s="67">
        <v>0</v>
      </c>
      <c r="J40" s="20">
        <v>14681</v>
      </c>
      <c r="K40" s="132" t="s">
        <v>621</v>
      </c>
      <c r="L40" s="151">
        <v>0</v>
      </c>
      <c r="M40" s="128">
        <v>87.11</v>
      </c>
      <c r="N40" s="67">
        <v>199</v>
      </c>
      <c r="O40" s="67">
        <v>14880</v>
      </c>
      <c r="P40" s="270"/>
      <c r="Q40" s="71">
        <v>170.8185053380783</v>
      </c>
      <c r="R40" s="449"/>
      <c r="S40" s="67">
        <v>11585</v>
      </c>
      <c r="T40" s="163">
        <v>3295</v>
      </c>
      <c r="U40" s="166">
        <v>0.28441950798446269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95.33</v>
      </c>
      <c r="E41" s="67">
        <v>16066</v>
      </c>
      <c r="F41" s="146">
        <v>0</v>
      </c>
      <c r="G41" s="146">
        <v>0</v>
      </c>
      <c r="H41" s="91">
        <v>16066</v>
      </c>
      <c r="I41" s="67">
        <v>0</v>
      </c>
      <c r="J41" s="20">
        <v>16066</v>
      </c>
      <c r="K41" s="132" t="s">
        <v>621</v>
      </c>
      <c r="L41" s="151">
        <v>0</v>
      </c>
      <c r="M41" s="128">
        <v>95.33</v>
      </c>
      <c r="N41" s="67">
        <v>218</v>
      </c>
      <c r="O41" s="67">
        <v>16284</v>
      </c>
      <c r="P41" s="270"/>
      <c r="Q41" s="71">
        <v>170.81716143921116</v>
      </c>
      <c r="R41" s="449"/>
      <c r="S41" s="67">
        <v>14108</v>
      </c>
      <c r="T41" s="163">
        <v>2176</v>
      </c>
      <c r="U41" s="166">
        <v>0.15423872979869577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5</v>
      </c>
      <c r="E42" s="67">
        <v>843</v>
      </c>
      <c r="F42" s="146">
        <v>0</v>
      </c>
      <c r="G42" s="146">
        <v>0</v>
      </c>
      <c r="H42" s="91">
        <v>843</v>
      </c>
      <c r="I42" s="67">
        <v>0</v>
      </c>
      <c r="J42" s="20">
        <v>843</v>
      </c>
      <c r="K42" s="132" t="s">
        <v>644</v>
      </c>
      <c r="L42" s="151">
        <v>843</v>
      </c>
      <c r="M42" s="128">
        <v>0</v>
      </c>
      <c r="N42" s="67">
        <v>0</v>
      </c>
      <c r="O42" s="67">
        <v>0</v>
      </c>
      <c r="P42" s="270"/>
      <c r="Q42" s="71" t="e">
        <v>#DIV/0!</v>
      </c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9.7799999999999994</v>
      </c>
      <c r="E43" s="67">
        <v>1648</v>
      </c>
      <c r="F43" s="146">
        <v>0</v>
      </c>
      <c r="G43" s="146">
        <v>0</v>
      </c>
      <c r="H43" s="91">
        <v>1648</v>
      </c>
      <c r="I43" s="67">
        <v>0</v>
      </c>
      <c r="J43" s="20">
        <v>1648</v>
      </c>
      <c r="K43" s="132" t="s">
        <v>644</v>
      </c>
      <c r="L43" s="151">
        <v>1648</v>
      </c>
      <c r="M43" s="128">
        <v>0</v>
      </c>
      <c r="N43" s="67">
        <v>0</v>
      </c>
      <c r="O43" s="67">
        <v>0</v>
      </c>
      <c r="P43" s="270"/>
      <c r="Q43" s="71" t="e">
        <v>#DIV/0!</v>
      </c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26</v>
      </c>
      <c r="E44" s="67">
        <v>4382</v>
      </c>
      <c r="F44" s="146">
        <v>0</v>
      </c>
      <c r="G44" s="146">
        <v>0</v>
      </c>
      <c r="H44" s="91">
        <v>4382</v>
      </c>
      <c r="I44" s="67">
        <v>0</v>
      </c>
      <c r="J44" s="20">
        <v>4382</v>
      </c>
      <c r="K44" s="132" t="s">
        <v>644</v>
      </c>
      <c r="L44" s="151">
        <v>4382</v>
      </c>
      <c r="M44" s="128">
        <v>0</v>
      </c>
      <c r="N44" s="67">
        <v>0</v>
      </c>
      <c r="O44" s="67">
        <v>0</v>
      </c>
      <c r="P44" s="270"/>
      <c r="Q44" s="71" t="e">
        <v>#DIV/0!</v>
      </c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14.67</v>
      </c>
      <c r="E45" s="67">
        <v>2472</v>
      </c>
      <c r="F45" s="146">
        <v>0</v>
      </c>
      <c r="G45" s="146">
        <v>0</v>
      </c>
      <c r="H45" s="91">
        <v>2472</v>
      </c>
      <c r="I45" s="67">
        <v>0</v>
      </c>
      <c r="J45" s="20">
        <v>2472</v>
      </c>
      <c r="K45" s="132" t="s">
        <v>1306</v>
      </c>
      <c r="L45" s="151">
        <v>0</v>
      </c>
      <c r="M45" s="128">
        <v>14.67</v>
      </c>
      <c r="N45" s="67">
        <v>34</v>
      </c>
      <c r="O45" s="67">
        <v>2506</v>
      </c>
      <c r="P45" s="270"/>
      <c r="Q45" s="71">
        <v>170.82481254260395</v>
      </c>
      <c r="R45" s="449"/>
      <c r="S45" s="67">
        <v>3817</v>
      </c>
      <c r="T45" s="163">
        <v>-1311</v>
      </c>
      <c r="U45" s="166">
        <v>-0.34346345297353942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1303.8900000000001</v>
      </c>
      <c r="E46" s="67">
        <v>219744</v>
      </c>
      <c r="F46" s="146">
        <v>0</v>
      </c>
      <c r="G46" s="146">
        <v>0</v>
      </c>
      <c r="H46" s="91">
        <v>219744</v>
      </c>
      <c r="I46" s="67">
        <v>0</v>
      </c>
      <c r="J46" s="20">
        <v>219744</v>
      </c>
      <c r="K46" s="132" t="s">
        <v>621</v>
      </c>
      <c r="L46" s="151">
        <v>0</v>
      </c>
      <c r="M46" s="128">
        <v>1303.8900000000001</v>
      </c>
      <c r="N46" s="67">
        <v>2981</v>
      </c>
      <c r="O46" s="67">
        <v>222725</v>
      </c>
      <c r="P46" s="270"/>
      <c r="Q46" s="71">
        <v>170.81578967550942</v>
      </c>
      <c r="R46" s="449"/>
      <c r="S46" s="67">
        <v>219845</v>
      </c>
      <c r="T46" s="163">
        <v>2880</v>
      </c>
      <c r="U46" s="166">
        <v>1.3100138734108122E-2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723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 t="e">
        <v>#DIV/0!</v>
      </c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185.56</v>
      </c>
      <c r="E48" s="67">
        <v>31272</v>
      </c>
      <c r="F48" s="146">
        <v>0</v>
      </c>
      <c r="G48" s="146">
        <v>0</v>
      </c>
      <c r="H48" s="91">
        <v>31272</v>
      </c>
      <c r="I48" s="67">
        <v>0</v>
      </c>
      <c r="J48" s="20">
        <v>31272</v>
      </c>
      <c r="K48" s="132" t="s">
        <v>621</v>
      </c>
      <c r="L48" s="151">
        <v>0</v>
      </c>
      <c r="M48" s="128">
        <v>185.56</v>
      </c>
      <c r="N48" s="67">
        <v>424</v>
      </c>
      <c r="O48" s="67">
        <v>31696</v>
      </c>
      <c r="P48" s="270"/>
      <c r="Q48" s="71">
        <v>170.81267514550549</v>
      </c>
      <c r="R48" s="449"/>
      <c r="S48" s="67">
        <v>31190</v>
      </c>
      <c r="T48" s="163">
        <v>506</v>
      </c>
      <c r="U48" s="166">
        <v>1.6223148445014428E-2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723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 t="e">
        <v>#DIV/0!</v>
      </c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723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 t="e">
        <v>#DIV/0!</v>
      </c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116.56</v>
      </c>
      <c r="E51" s="67">
        <v>19644</v>
      </c>
      <c r="F51" s="146">
        <v>0</v>
      </c>
      <c r="G51" s="146">
        <v>0</v>
      </c>
      <c r="H51" s="91">
        <v>19644</v>
      </c>
      <c r="I51" s="67">
        <v>0</v>
      </c>
      <c r="J51" s="20">
        <v>19644</v>
      </c>
      <c r="K51" s="132" t="s">
        <v>621</v>
      </c>
      <c r="L51" s="151">
        <v>0</v>
      </c>
      <c r="M51" s="128">
        <v>116.56</v>
      </c>
      <c r="N51" s="67">
        <v>266</v>
      </c>
      <c r="O51" s="67">
        <v>19910</v>
      </c>
      <c r="P51" s="270"/>
      <c r="Q51" s="71">
        <v>170.81331503088538</v>
      </c>
      <c r="R51" s="449"/>
      <c r="S51" s="67">
        <v>16537</v>
      </c>
      <c r="T51" s="163">
        <v>3373</v>
      </c>
      <c r="U51" s="166">
        <v>0.20396686218782126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43.44</v>
      </c>
      <c r="E52" s="67">
        <v>7321</v>
      </c>
      <c r="F52" s="146">
        <v>0</v>
      </c>
      <c r="G52" s="146">
        <v>0</v>
      </c>
      <c r="H52" s="91">
        <v>7321</v>
      </c>
      <c r="I52" s="67">
        <v>0</v>
      </c>
      <c r="J52" s="20">
        <v>7321</v>
      </c>
      <c r="K52" s="132" t="s">
        <v>621</v>
      </c>
      <c r="L52" s="151">
        <v>7321</v>
      </c>
      <c r="M52" s="128">
        <v>0</v>
      </c>
      <c r="N52" s="67">
        <v>0</v>
      </c>
      <c r="O52" s="67">
        <v>0</v>
      </c>
      <c r="P52" s="270"/>
      <c r="Q52" s="71" t="e">
        <v>#DIV/0!</v>
      </c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723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 t="e">
        <v>#DIV/0!</v>
      </c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28.67</v>
      </c>
      <c r="E54" s="67">
        <v>4832</v>
      </c>
      <c r="F54" s="146">
        <v>0</v>
      </c>
      <c r="G54" s="146">
        <v>0</v>
      </c>
      <c r="H54" s="91">
        <v>4832</v>
      </c>
      <c r="I54" s="67">
        <v>0</v>
      </c>
      <c r="J54" s="20">
        <v>4832</v>
      </c>
      <c r="K54" s="132" t="s">
        <v>644</v>
      </c>
      <c r="L54" s="151">
        <v>4832</v>
      </c>
      <c r="M54" s="128">
        <v>0</v>
      </c>
      <c r="N54" s="67">
        <v>0</v>
      </c>
      <c r="O54" s="67">
        <v>0</v>
      </c>
      <c r="P54" s="270"/>
      <c r="Q54" s="71" t="e">
        <v>#DIV/0!</v>
      </c>
      <c r="R54" s="449"/>
      <c r="S54" s="67">
        <v>3931</v>
      </c>
      <c r="T54" s="163">
        <v>-3931</v>
      </c>
      <c r="U54" s="166">
        <v>-1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2.56</v>
      </c>
      <c r="E55" s="67">
        <v>431</v>
      </c>
      <c r="F55" s="146">
        <v>0</v>
      </c>
      <c r="G55" s="146">
        <v>0</v>
      </c>
      <c r="H55" s="91">
        <v>431</v>
      </c>
      <c r="I55" s="67">
        <v>0</v>
      </c>
      <c r="J55" s="20">
        <v>431</v>
      </c>
      <c r="K55" s="132" t="s">
        <v>644</v>
      </c>
      <c r="L55" s="151">
        <v>431</v>
      </c>
      <c r="M55" s="128">
        <v>0</v>
      </c>
      <c r="N55" s="67">
        <v>0</v>
      </c>
      <c r="O55" s="67">
        <v>0</v>
      </c>
      <c r="P55" s="270"/>
      <c r="Q55" s="71" t="e">
        <v>#DIV/0!</v>
      </c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723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 t="e">
        <v>#DIV/0!</v>
      </c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22.67</v>
      </c>
      <c r="E57" s="67">
        <v>3821</v>
      </c>
      <c r="F57" s="146">
        <v>0</v>
      </c>
      <c r="G57" s="146">
        <v>0</v>
      </c>
      <c r="H57" s="91">
        <v>3821</v>
      </c>
      <c r="I57" s="67">
        <v>0</v>
      </c>
      <c r="J57" s="20">
        <v>3821</v>
      </c>
      <c r="K57" s="132" t="s">
        <v>644</v>
      </c>
      <c r="L57" s="151">
        <v>3821</v>
      </c>
      <c r="M57" s="128">
        <v>0</v>
      </c>
      <c r="N57" s="67">
        <v>0</v>
      </c>
      <c r="O57" s="67">
        <v>0</v>
      </c>
      <c r="P57" s="270"/>
      <c r="Q57" s="71" t="e">
        <v>#DIV/0!</v>
      </c>
      <c r="R57" s="449"/>
      <c r="S57" s="67">
        <v>6202</v>
      </c>
      <c r="T57" s="163">
        <v>-6202</v>
      </c>
      <c r="U57" s="166">
        <v>-1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723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 t="e">
        <v>#DIV/0!</v>
      </c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723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 t="e">
        <v>#DIV/0!</v>
      </c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723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 t="e">
        <v>#DIV/0!</v>
      </c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723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 t="e">
        <v>#DIV/0!</v>
      </c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723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 t="e">
        <v>#DIV/0!</v>
      </c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723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 t="e">
        <v>#DIV/0!</v>
      </c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723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 t="e">
        <v>#DIV/0!</v>
      </c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0.78</v>
      </c>
      <c r="E65" s="67">
        <v>131</v>
      </c>
      <c r="F65" s="146">
        <v>0</v>
      </c>
      <c r="G65" s="146">
        <v>0</v>
      </c>
      <c r="H65" s="91">
        <v>131</v>
      </c>
      <c r="I65" s="67">
        <v>0</v>
      </c>
      <c r="J65" s="20">
        <v>131</v>
      </c>
      <c r="K65" s="132" t="s">
        <v>723</v>
      </c>
      <c r="L65" s="151">
        <v>131</v>
      </c>
      <c r="M65" s="128">
        <v>0</v>
      </c>
      <c r="N65" s="67">
        <v>0</v>
      </c>
      <c r="O65" s="67">
        <v>0</v>
      </c>
      <c r="P65" s="270"/>
      <c r="Q65" s="71" t="e">
        <v>#DIV/0!</v>
      </c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4.4400000000000004</v>
      </c>
      <c r="E66" s="67">
        <v>748</v>
      </c>
      <c r="F66" s="146">
        <v>0</v>
      </c>
      <c r="G66" s="146">
        <v>0</v>
      </c>
      <c r="H66" s="91">
        <v>748</v>
      </c>
      <c r="I66" s="67">
        <v>0</v>
      </c>
      <c r="J66" s="20">
        <v>748</v>
      </c>
      <c r="K66" s="132" t="s">
        <v>644</v>
      </c>
      <c r="L66" s="151">
        <v>748</v>
      </c>
      <c r="M66" s="128">
        <v>0</v>
      </c>
      <c r="N66" s="67">
        <v>0</v>
      </c>
      <c r="O66" s="67">
        <v>0</v>
      </c>
      <c r="P66" s="270"/>
      <c r="Q66" s="71" t="e">
        <v>#DIV/0!</v>
      </c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21.67</v>
      </c>
      <c r="E67" s="67">
        <v>3652</v>
      </c>
      <c r="F67" s="146">
        <v>0</v>
      </c>
      <c r="G67" s="146">
        <v>0</v>
      </c>
      <c r="H67" s="91">
        <v>3652</v>
      </c>
      <c r="I67" s="67">
        <v>0</v>
      </c>
      <c r="J67" s="20">
        <v>3652</v>
      </c>
      <c r="K67" s="132" t="s">
        <v>1306</v>
      </c>
      <c r="L67" s="151">
        <v>0</v>
      </c>
      <c r="M67" s="128">
        <v>21.67</v>
      </c>
      <c r="N67" s="67">
        <v>50</v>
      </c>
      <c r="O67" s="67">
        <v>3702</v>
      </c>
      <c r="P67" s="270"/>
      <c r="Q67" s="71">
        <v>170.83525611444392</v>
      </c>
      <c r="R67" s="449"/>
      <c r="S67" s="67">
        <v>3271</v>
      </c>
      <c r="T67" s="163">
        <v>431</v>
      </c>
      <c r="U67" s="166">
        <v>0.13176398654845614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723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 t="e">
        <v>#DIV/0!</v>
      </c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102</v>
      </c>
      <c r="E69" s="67">
        <v>17190</v>
      </c>
      <c r="F69" s="146">
        <v>0</v>
      </c>
      <c r="G69" s="146">
        <v>0</v>
      </c>
      <c r="H69" s="91">
        <v>17190</v>
      </c>
      <c r="I69" s="67">
        <v>0</v>
      </c>
      <c r="J69" s="20">
        <v>17190</v>
      </c>
      <c r="K69" s="132" t="s">
        <v>621</v>
      </c>
      <c r="L69" s="151">
        <v>0</v>
      </c>
      <c r="M69" s="128">
        <v>102</v>
      </c>
      <c r="N69" s="67">
        <v>233</v>
      </c>
      <c r="O69" s="67">
        <v>17423</v>
      </c>
      <c r="P69" s="270"/>
      <c r="Q69" s="71">
        <v>170.81372549019608</v>
      </c>
      <c r="R69" s="449"/>
      <c r="S69" s="67">
        <v>23171</v>
      </c>
      <c r="T69" s="163">
        <v>-5748</v>
      </c>
      <c r="U69" s="166">
        <v>-0.24806870657287125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319.11</v>
      </c>
      <c r="E70" s="67">
        <v>53779</v>
      </c>
      <c r="F70" s="146">
        <v>0</v>
      </c>
      <c r="G70" s="146">
        <v>0</v>
      </c>
      <c r="H70" s="91">
        <v>53779</v>
      </c>
      <c r="I70" s="67">
        <v>0</v>
      </c>
      <c r="J70" s="20">
        <v>53779</v>
      </c>
      <c r="K70" s="132" t="s">
        <v>621</v>
      </c>
      <c r="L70" s="151">
        <v>0</v>
      </c>
      <c r="M70" s="128">
        <v>319.11</v>
      </c>
      <c r="N70" s="67">
        <v>730</v>
      </c>
      <c r="O70" s="67">
        <v>54509</v>
      </c>
      <c r="P70" s="270"/>
      <c r="Q70" s="71">
        <v>170.81570618282097</v>
      </c>
      <c r="R70" s="449"/>
      <c r="S70" s="67">
        <v>45319</v>
      </c>
      <c r="T70" s="163">
        <v>9190</v>
      </c>
      <c r="U70" s="166">
        <v>0.20278470398729009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944.33</v>
      </c>
      <c r="E71" s="67">
        <v>159148</v>
      </c>
      <c r="F71" s="146">
        <v>0</v>
      </c>
      <c r="G71" s="146">
        <v>0</v>
      </c>
      <c r="H71" s="91">
        <v>159148</v>
      </c>
      <c r="I71" s="67">
        <v>0</v>
      </c>
      <c r="J71" s="20">
        <v>159148</v>
      </c>
      <c r="K71" s="132" t="s">
        <v>621</v>
      </c>
      <c r="L71" s="151">
        <v>0</v>
      </c>
      <c r="M71" s="128">
        <v>944.33</v>
      </c>
      <c r="N71" s="67">
        <v>2159</v>
      </c>
      <c r="O71" s="67">
        <v>161307</v>
      </c>
      <c r="P71" s="270"/>
      <c r="Q71" s="71">
        <v>170.81634598074825</v>
      </c>
      <c r="R71" s="449"/>
      <c r="S71" s="67">
        <v>165805</v>
      </c>
      <c r="T71" s="163">
        <v>-4498</v>
      </c>
      <c r="U71" s="166">
        <v>-2.7128253068363438E-2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10.89</v>
      </c>
      <c r="E72" s="67">
        <v>1835</v>
      </c>
      <c r="F72" s="146">
        <v>0</v>
      </c>
      <c r="G72" s="146">
        <v>0</v>
      </c>
      <c r="H72" s="91">
        <v>1835</v>
      </c>
      <c r="I72" s="67">
        <v>0</v>
      </c>
      <c r="J72" s="20">
        <v>1835</v>
      </c>
      <c r="K72" s="132" t="s">
        <v>644</v>
      </c>
      <c r="L72" s="151">
        <v>1835</v>
      </c>
      <c r="M72" s="128">
        <v>0</v>
      </c>
      <c r="N72" s="67">
        <v>0</v>
      </c>
      <c r="O72" s="67">
        <v>0</v>
      </c>
      <c r="P72" s="270"/>
      <c r="Q72" s="71" t="e">
        <v>#DIV/0!</v>
      </c>
      <c r="R72" s="449"/>
      <c r="S72" s="67">
        <v>1090</v>
      </c>
      <c r="T72" s="163">
        <v>-1090</v>
      </c>
      <c r="U72" s="166">
        <v>-1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13.44</v>
      </c>
      <c r="E73" s="67">
        <v>2265</v>
      </c>
      <c r="F73" s="146">
        <v>0</v>
      </c>
      <c r="G73" s="146">
        <v>0</v>
      </c>
      <c r="H73" s="91">
        <v>2265</v>
      </c>
      <c r="I73" s="67">
        <v>0</v>
      </c>
      <c r="J73" s="20">
        <v>2265</v>
      </c>
      <c r="K73" s="132" t="s">
        <v>644</v>
      </c>
      <c r="L73" s="151">
        <v>2265</v>
      </c>
      <c r="M73" s="128">
        <v>0</v>
      </c>
      <c r="N73" s="67">
        <v>0</v>
      </c>
      <c r="O73" s="67">
        <v>0</v>
      </c>
      <c r="P73" s="270"/>
      <c r="Q73" s="71" t="e">
        <v>#DIV/0!</v>
      </c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2045</v>
      </c>
      <c r="E74" s="67">
        <v>344643</v>
      </c>
      <c r="F74" s="146">
        <v>0</v>
      </c>
      <c r="G74" s="146">
        <v>0</v>
      </c>
      <c r="H74" s="91">
        <v>344643</v>
      </c>
      <c r="I74" s="67">
        <v>0</v>
      </c>
      <c r="J74" s="20">
        <v>344643</v>
      </c>
      <c r="K74" s="132" t="s">
        <v>621</v>
      </c>
      <c r="L74" s="151">
        <v>0</v>
      </c>
      <c r="M74" s="128">
        <v>2045</v>
      </c>
      <c r="N74" s="67">
        <v>4675</v>
      </c>
      <c r="O74" s="67">
        <v>349318</v>
      </c>
      <c r="P74" s="270"/>
      <c r="Q74" s="71">
        <v>170.81564792176039</v>
      </c>
      <c r="R74" s="449"/>
      <c r="S74" s="67">
        <v>357139</v>
      </c>
      <c r="T74" s="163">
        <v>-7821</v>
      </c>
      <c r="U74" s="166">
        <v>-2.1899036509594304E-2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205.22</v>
      </c>
      <c r="E75" s="67">
        <v>34586</v>
      </c>
      <c r="F75" s="146">
        <v>0</v>
      </c>
      <c r="G75" s="146">
        <v>0</v>
      </c>
      <c r="H75" s="91">
        <v>34586</v>
      </c>
      <c r="I75" s="67">
        <v>0</v>
      </c>
      <c r="J75" s="20">
        <v>34586</v>
      </c>
      <c r="K75" s="132" t="s">
        <v>621</v>
      </c>
      <c r="L75" s="151">
        <v>0</v>
      </c>
      <c r="M75" s="128">
        <v>205.22</v>
      </c>
      <c r="N75" s="67">
        <v>469</v>
      </c>
      <c r="O75" s="67">
        <v>35055</v>
      </c>
      <c r="P75" s="270"/>
      <c r="Q75" s="71">
        <v>170.81668453367118</v>
      </c>
      <c r="R75" s="449"/>
      <c r="S75" s="67">
        <v>38617</v>
      </c>
      <c r="T75" s="163">
        <v>-3562</v>
      </c>
      <c r="U75" s="166">
        <v>-9.2239169277779212E-2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100.78</v>
      </c>
      <c r="E76" s="67">
        <v>16984</v>
      </c>
      <c r="F76" s="146">
        <v>0</v>
      </c>
      <c r="G76" s="146">
        <v>0</v>
      </c>
      <c r="H76" s="91">
        <v>16984</v>
      </c>
      <c r="I76" s="67">
        <v>0</v>
      </c>
      <c r="J76" s="20">
        <v>16984</v>
      </c>
      <c r="K76" s="132" t="s">
        <v>644</v>
      </c>
      <c r="L76" s="151">
        <v>16984</v>
      </c>
      <c r="M76" s="128">
        <v>0</v>
      </c>
      <c r="N76" s="67">
        <v>0</v>
      </c>
      <c r="O76" s="67">
        <v>0</v>
      </c>
      <c r="P76" s="270"/>
      <c r="Q76" s="71" t="e">
        <v>#DIV/0!</v>
      </c>
      <c r="R76" s="449"/>
      <c r="S76" s="67">
        <v>17491</v>
      </c>
      <c r="T76" s="163">
        <v>-17491</v>
      </c>
      <c r="U76" s="166">
        <v>-1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723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 t="e">
        <v>#DIV/0!</v>
      </c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45.56</v>
      </c>
      <c r="E78" s="67">
        <v>7678</v>
      </c>
      <c r="F78" s="146">
        <v>0</v>
      </c>
      <c r="G78" s="146">
        <v>0</v>
      </c>
      <c r="H78" s="91">
        <v>7678</v>
      </c>
      <c r="I78" s="67">
        <v>0</v>
      </c>
      <c r="J78" s="20">
        <v>7678</v>
      </c>
      <c r="K78" s="132" t="s">
        <v>1306</v>
      </c>
      <c r="L78" s="151">
        <v>0</v>
      </c>
      <c r="M78" s="128">
        <v>45.56</v>
      </c>
      <c r="N78" s="67">
        <v>104</v>
      </c>
      <c r="O78" s="67">
        <v>7782</v>
      </c>
      <c r="P78" s="270"/>
      <c r="Q78" s="71">
        <v>170.80772607550483</v>
      </c>
      <c r="R78" s="449"/>
      <c r="S78" s="67">
        <v>8747</v>
      </c>
      <c r="T78" s="163">
        <v>-965</v>
      </c>
      <c r="U78" s="166">
        <v>-0.11032353949925688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186.56</v>
      </c>
      <c r="E79" s="67">
        <v>31441</v>
      </c>
      <c r="F79" s="146">
        <v>0</v>
      </c>
      <c r="G79" s="146">
        <v>0</v>
      </c>
      <c r="H79" s="91">
        <v>31441</v>
      </c>
      <c r="I79" s="67">
        <v>0</v>
      </c>
      <c r="J79" s="20">
        <v>31441</v>
      </c>
      <c r="K79" s="132" t="s">
        <v>621</v>
      </c>
      <c r="L79" s="151">
        <v>0</v>
      </c>
      <c r="M79" s="128">
        <v>186.56</v>
      </c>
      <c r="N79" s="67">
        <v>427</v>
      </c>
      <c r="O79" s="67">
        <v>31868</v>
      </c>
      <c r="P79" s="270"/>
      <c r="Q79" s="71">
        <v>170.81903945111492</v>
      </c>
      <c r="R79" s="449"/>
      <c r="S79" s="67">
        <v>32007</v>
      </c>
      <c r="T79" s="163">
        <v>-139</v>
      </c>
      <c r="U79" s="166">
        <v>-4.3428000124972662E-3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209.56</v>
      </c>
      <c r="E80" s="67">
        <v>35317</v>
      </c>
      <c r="F80" s="146">
        <v>0</v>
      </c>
      <c r="G80" s="146">
        <v>0</v>
      </c>
      <c r="H80" s="91">
        <v>35317</v>
      </c>
      <c r="I80" s="67">
        <v>0</v>
      </c>
      <c r="J80" s="20">
        <v>35317</v>
      </c>
      <c r="K80" s="132" t="s">
        <v>621</v>
      </c>
      <c r="L80" s="151">
        <v>0</v>
      </c>
      <c r="M80" s="128">
        <v>209.56</v>
      </c>
      <c r="N80" s="67">
        <v>479</v>
      </c>
      <c r="O80" s="67">
        <v>35796</v>
      </c>
      <c r="P80" s="270"/>
      <c r="Q80" s="71">
        <v>170.8150410383661</v>
      </c>
      <c r="R80" s="449"/>
      <c r="S80" s="67">
        <v>34461</v>
      </c>
      <c r="T80" s="163">
        <v>1335</v>
      </c>
      <c r="U80" s="166">
        <v>3.8739444589535994E-2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723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 t="e">
        <v>#DIV/0!</v>
      </c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1976.11</v>
      </c>
      <c r="E82" s="67">
        <v>333033</v>
      </c>
      <c r="F82" s="146">
        <v>0</v>
      </c>
      <c r="G82" s="146">
        <v>0</v>
      </c>
      <c r="H82" s="91">
        <v>333033</v>
      </c>
      <c r="I82" s="67">
        <v>0</v>
      </c>
      <c r="J82" s="20">
        <v>333033</v>
      </c>
      <c r="K82" s="132" t="s">
        <v>621</v>
      </c>
      <c r="L82" s="151">
        <v>0</v>
      </c>
      <c r="M82" s="128">
        <v>1976.11</v>
      </c>
      <c r="N82" s="67">
        <v>4518</v>
      </c>
      <c r="O82" s="67">
        <v>337551</v>
      </c>
      <c r="P82" s="270"/>
      <c r="Q82" s="71">
        <v>170.81589587624171</v>
      </c>
      <c r="R82" s="449"/>
      <c r="S82" s="67">
        <v>320318</v>
      </c>
      <c r="T82" s="163">
        <v>17233</v>
      </c>
      <c r="U82" s="166">
        <v>5.3799661586298612E-2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2732.78</v>
      </c>
      <c r="E83" s="67">
        <v>460554</v>
      </c>
      <c r="F83" s="146">
        <v>0</v>
      </c>
      <c r="G83" s="146">
        <v>0</v>
      </c>
      <c r="H83" s="91">
        <v>460554</v>
      </c>
      <c r="I83" s="67">
        <v>0</v>
      </c>
      <c r="J83" s="20">
        <v>460554</v>
      </c>
      <c r="K83" s="132" t="s">
        <v>621</v>
      </c>
      <c r="L83" s="151">
        <v>0</v>
      </c>
      <c r="M83" s="128">
        <v>2732.78</v>
      </c>
      <c r="N83" s="67">
        <v>6248</v>
      </c>
      <c r="O83" s="67">
        <v>466802</v>
      </c>
      <c r="P83" s="270"/>
      <c r="Q83" s="71">
        <v>170.81579929595503</v>
      </c>
      <c r="R83" s="449"/>
      <c r="S83" s="67">
        <v>397553</v>
      </c>
      <c r="T83" s="163">
        <v>69249</v>
      </c>
      <c r="U83" s="166">
        <v>0.17418809567529361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723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 t="e">
        <v>#DIV/0!</v>
      </c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3116.78</v>
      </c>
      <c r="E85" s="67">
        <v>525270</v>
      </c>
      <c r="F85" s="146">
        <v>0</v>
      </c>
      <c r="G85" s="146">
        <v>0</v>
      </c>
      <c r="H85" s="91">
        <v>525270</v>
      </c>
      <c r="I85" s="67">
        <v>0</v>
      </c>
      <c r="J85" s="20">
        <v>525270</v>
      </c>
      <c r="K85" s="132" t="s">
        <v>621</v>
      </c>
      <c r="L85" s="151">
        <v>0</v>
      </c>
      <c r="M85" s="128">
        <v>3116.78</v>
      </c>
      <c r="N85" s="67">
        <v>7126</v>
      </c>
      <c r="O85" s="67">
        <v>532396</v>
      </c>
      <c r="P85" s="270"/>
      <c r="Q85" s="71">
        <v>170.81603449714126</v>
      </c>
      <c r="R85" s="449"/>
      <c r="S85" s="67">
        <v>548704</v>
      </c>
      <c r="T85" s="163">
        <v>-16308</v>
      </c>
      <c r="U85" s="166">
        <v>-2.9720942438910596E-2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233.11</v>
      </c>
      <c r="E86" s="67">
        <v>39286</v>
      </c>
      <c r="F86" s="146">
        <v>0</v>
      </c>
      <c r="G86" s="146">
        <v>0</v>
      </c>
      <c r="H86" s="91">
        <v>39286</v>
      </c>
      <c r="I86" s="67">
        <v>0</v>
      </c>
      <c r="J86" s="20">
        <v>39286</v>
      </c>
      <c r="K86" s="132" t="s">
        <v>621</v>
      </c>
      <c r="L86" s="151">
        <v>0</v>
      </c>
      <c r="M86" s="128">
        <v>233.11</v>
      </c>
      <c r="N86" s="67">
        <v>533</v>
      </c>
      <c r="O86" s="67">
        <v>39819</v>
      </c>
      <c r="P86" s="270"/>
      <c r="Q86" s="71">
        <v>170.81635279481787</v>
      </c>
      <c r="R86" s="449"/>
      <c r="S86" s="67">
        <v>42842</v>
      </c>
      <c r="T86" s="163">
        <v>-3023</v>
      </c>
      <c r="U86" s="166">
        <v>-7.0561598431445771E-2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349.22</v>
      </c>
      <c r="E87" s="67">
        <v>58854</v>
      </c>
      <c r="F87" s="146">
        <v>0</v>
      </c>
      <c r="G87" s="146">
        <v>0</v>
      </c>
      <c r="H87" s="91">
        <v>58854</v>
      </c>
      <c r="I87" s="67">
        <v>0</v>
      </c>
      <c r="J87" s="20">
        <v>58854</v>
      </c>
      <c r="K87" s="132" t="s">
        <v>621</v>
      </c>
      <c r="L87" s="151">
        <v>0</v>
      </c>
      <c r="M87" s="128">
        <v>349.22</v>
      </c>
      <c r="N87" s="67">
        <v>798</v>
      </c>
      <c r="O87" s="67">
        <v>59652</v>
      </c>
      <c r="P87" s="270"/>
      <c r="Q87" s="71">
        <v>170.81495905160071</v>
      </c>
      <c r="R87" s="449"/>
      <c r="S87" s="67">
        <v>65582</v>
      </c>
      <c r="T87" s="163">
        <v>-5930</v>
      </c>
      <c r="U87" s="166">
        <v>-9.0421152145405748E-2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135</v>
      </c>
      <c r="E88" s="67">
        <v>22751</v>
      </c>
      <c r="F88" s="146">
        <v>0</v>
      </c>
      <c r="G88" s="146">
        <v>0</v>
      </c>
      <c r="H88" s="91">
        <v>22751</v>
      </c>
      <c r="I88" s="67">
        <v>0</v>
      </c>
      <c r="J88" s="20">
        <v>22751</v>
      </c>
      <c r="K88" s="132" t="s">
        <v>621</v>
      </c>
      <c r="L88" s="151">
        <v>0</v>
      </c>
      <c r="M88" s="128">
        <v>135</v>
      </c>
      <c r="N88" s="67">
        <v>309</v>
      </c>
      <c r="O88" s="67">
        <v>23060</v>
      </c>
      <c r="P88" s="270"/>
      <c r="Q88" s="71">
        <v>170.81481481481481</v>
      </c>
      <c r="R88" s="449"/>
      <c r="S88" s="67">
        <v>23352</v>
      </c>
      <c r="T88" s="163">
        <v>-292</v>
      </c>
      <c r="U88" s="166">
        <v>-1.2504282288454951E-2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587.22</v>
      </c>
      <c r="E89" s="67">
        <v>98964</v>
      </c>
      <c r="F89" s="146">
        <v>0</v>
      </c>
      <c r="G89" s="146">
        <v>0</v>
      </c>
      <c r="H89" s="91">
        <v>98964</v>
      </c>
      <c r="I89" s="67">
        <v>0</v>
      </c>
      <c r="J89" s="20">
        <v>98964</v>
      </c>
      <c r="K89" s="132" t="s">
        <v>621</v>
      </c>
      <c r="L89" s="151">
        <v>0</v>
      </c>
      <c r="M89" s="128">
        <v>587.22</v>
      </c>
      <c r="N89" s="67">
        <v>1343</v>
      </c>
      <c r="O89" s="67">
        <v>100307</v>
      </c>
      <c r="P89" s="270"/>
      <c r="Q89" s="71">
        <v>170.81672967541977</v>
      </c>
      <c r="R89" s="449"/>
      <c r="S89" s="67">
        <v>105335</v>
      </c>
      <c r="T89" s="163">
        <v>-5028</v>
      </c>
      <c r="U89" s="166">
        <v>-4.7733421939526274E-2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723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 t="e">
        <v>#DIV/0!</v>
      </c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723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 t="e">
        <v>#DIV/0!</v>
      </c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723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 t="e">
        <v>#DIV/0!</v>
      </c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26.89</v>
      </c>
      <c r="E93" s="67">
        <v>4532</v>
      </c>
      <c r="F93" s="146">
        <v>0</v>
      </c>
      <c r="G93" s="146">
        <v>0</v>
      </c>
      <c r="H93" s="91">
        <v>4532</v>
      </c>
      <c r="I93" s="67">
        <v>0</v>
      </c>
      <c r="J93" s="20">
        <v>4532</v>
      </c>
      <c r="K93" s="132" t="s">
        <v>1306</v>
      </c>
      <c r="L93" s="151">
        <v>0</v>
      </c>
      <c r="M93" s="128">
        <v>26.89</v>
      </c>
      <c r="N93" s="67">
        <v>61</v>
      </c>
      <c r="O93" s="67">
        <v>4593</v>
      </c>
      <c r="P93" s="270"/>
      <c r="Q93" s="71">
        <v>170.80699144663444</v>
      </c>
      <c r="R93" s="449"/>
      <c r="S93" s="67">
        <v>5658</v>
      </c>
      <c r="T93" s="163">
        <v>-1065</v>
      </c>
      <c r="U93" s="166">
        <v>-0.18822905620360553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723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 t="e">
        <v>#DIV/0!</v>
      </c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1104.8900000000001</v>
      </c>
      <c r="E95" s="67">
        <v>186207</v>
      </c>
      <c r="F95" s="146">
        <v>0</v>
      </c>
      <c r="G95" s="146">
        <v>0</v>
      </c>
      <c r="H95" s="91">
        <v>186207</v>
      </c>
      <c r="I95" s="67">
        <v>0</v>
      </c>
      <c r="J95" s="20">
        <v>186207</v>
      </c>
      <c r="K95" s="132" t="s">
        <v>621</v>
      </c>
      <c r="L95" s="151">
        <v>0</v>
      </c>
      <c r="M95" s="128">
        <v>1104.8900000000001</v>
      </c>
      <c r="N95" s="67">
        <v>2526</v>
      </c>
      <c r="O95" s="67">
        <v>188733</v>
      </c>
      <c r="P95" s="270"/>
      <c r="Q95" s="71">
        <v>170.8160993402058</v>
      </c>
      <c r="R95" s="449"/>
      <c r="S95" s="67">
        <v>206193</v>
      </c>
      <c r="T95" s="163">
        <v>-17460</v>
      </c>
      <c r="U95" s="166">
        <v>-8.4677947359997674E-2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569.78</v>
      </c>
      <c r="E96" s="67">
        <v>96025</v>
      </c>
      <c r="F96" s="146">
        <v>0</v>
      </c>
      <c r="G96" s="146">
        <v>0</v>
      </c>
      <c r="H96" s="91">
        <v>96025</v>
      </c>
      <c r="I96" s="67">
        <v>0</v>
      </c>
      <c r="J96" s="20">
        <v>96025</v>
      </c>
      <c r="K96" s="132" t="s">
        <v>621</v>
      </c>
      <c r="L96" s="151">
        <v>0</v>
      </c>
      <c r="M96" s="128">
        <v>569.78</v>
      </c>
      <c r="N96" s="67">
        <v>1303</v>
      </c>
      <c r="O96" s="67">
        <v>97328</v>
      </c>
      <c r="P96" s="270"/>
      <c r="Q96" s="71">
        <v>170.81680648671417</v>
      </c>
      <c r="R96" s="449"/>
      <c r="S96" s="67">
        <v>104039</v>
      </c>
      <c r="T96" s="163">
        <v>-6711</v>
      </c>
      <c r="U96" s="166">
        <v>-6.4504656907505842E-2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35.78</v>
      </c>
      <c r="E97" s="67">
        <v>6030</v>
      </c>
      <c r="F97" s="146">
        <v>0</v>
      </c>
      <c r="G97" s="146">
        <v>0</v>
      </c>
      <c r="H97" s="91">
        <v>6030</v>
      </c>
      <c r="I97" s="67">
        <v>0</v>
      </c>
      <c r="J97" s="20">
        <v>6030</v>
      </c>
      <c r="K97" s="132" t="s">
        <v>644</v>
      </c>
      <c r="L97" s="151">
        <v>6030</v>
      </c>
      <c r="M97" s="128">
        <v>0</v>
      </c>
      <c r="N97" s="67">
        <v>0</v>
      </c>
      <c r="O97" s="67">
        <v>0</v>
      </c>
      <c r="P97" s="270"/>
      <c r="Q97" s="71" t="e">
        <v>#DIV/0!</v>
      </c>
      <c r="R97" s="449"/>
      <c r="S97" s="67">
        <v>4885</v>
      </c>
      <c r="T97" s="163">
        <v>-4885</v>
      </c>
      <c r="U97" s="166">
        <v>-1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723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 t="e">
        <v>#DIV/0!</v>
      </c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723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 t="e">
        <v>#DIV/0!</v>
      </c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723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 t="e">
        <v>#DIV/0!</v>
      </c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723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 t="e">
        <v>#DIV/0!</v>
      </c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723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 t="e">
        <v>#DIV/0!</v>
      </c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274.44</v>
      </c>
      <c r="E103" s="67">
        <v>46251</v>
      </c>
      <c r="F103" s="146">
        <v>0</v>
      </c>
      <c r="G103" s="146">
        <v>0</v>
      </c>
      <c r="H103" s="91">
        <v>46251</v>
      </c>
      <c r="I103" s="67">
        <v>0</v>
      </c>
      <c r="J103" s="20">
        <v>46251</v>
      </c>
      <c r="K103" s="132" t="s">
        <v>621</v>
      </c>
      <c r="L103" s="151">
        <v>0</v>
      </c>
      <c r="M103" s="128">
        <v>274.44</v>
      </c>
      <c r="N103" s="67">
        <v>627</v>
      </c>
      <c r="O103" s="67">
        <v>46878</v>
      </c>
      <c r="P103" s="270"/>
      <c r="Q103" s="71">
        <v>170.81329252295583</v>
      </c>
      <c r="R103" s="449"/>
      <c r="S103" s="67">
        <v>48248</v>
      </c>
      <c r="T103" s="163">
        <v>-1370</v>
      </c>
      <c r="U103" s="166">
        <v>-2.8394959376554469E-2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4166</v>
      </c>
      <c r="E104" s="67">
        <v>702094</v>
      </c>
      <c r="F104" s="146">
        <v>0</v>
      </c>
      <c r="G104" s="146">
        <v>0</v>
      </c>
      <c r="H104" s="91">
        <v>702094</v>
      </c>
      <c r="I104" s="67">
        <v>0</v>
      </c>
      <c r="J104" s="20">
        <v>702094</v>
      </c>
      <c r="K104" s="132" t="s">
        <v>621</v>
      </c>
      <c r="L104" s="151">
        <v>0</v>
      </c>
      <c r="M104" s="128">
        <v>4166</v>
      </c>
      <c r="N104" s="67">
        <v>9525</v>
      </c>
      <c r="O104" s="67">
        <v>711619</v>
      </c>
      <c r="P104" s="270"/>
      <c r="Q104" s="71">
        <v>170.81589054248678</v>
      </c>
      <c r="R104" s="449"/>
      <c r="S104" s="67">
        <v>653128</v>
      </c>
      <c r="T104" s="163">
        <v>58491</v>
      </c>
      <c r="U104" s="166">
        <v>8.9555186732156636E-2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13.33</v>
      </c>
      <c r="E105" s="67">
        <v>2246</v>
      </c>
      <c r="F105" s="146">
        <v>0</v>
      </c>
      <c r="G105" s="146">
        <v>0</v>
      </c>
      <c r="H105" s="91">
        <v>2246</v>
      </c>
      <c r="I105" s="67">
        <v>0</v>
      </c>
      <c r="J105" s="20">
        <v>2246</v>
      </c>
      <c r="K105" s="132" t="s">
        <v>1306</v>
      </c>
      <c r="L105" s="151">
        <v>0</v>
      </c>
      <c r="M105" s="128">
        <v>13.33</v>
      </c>
      <c r="N105" s="67">
        <v>30</v>
      </c>
      <c r="O105" s="67">
        <v>2276</v>
      </c>
      <c r="P105" s="270"/>
      <c r="Q105" s="71">
        <v>170.74268567141786</v>
      </c>
      <c r="R105" s="449"/>
      <c r="S105" s="67">
        <v>4361</v>
      </c>
      <c r="T105" s="163">
        <v>-2085</v>
      </c>
      <c r="U105" s="166">
        <v>-0.47810135290071082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723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 t="e">
        <v>#DIV/0!</v>
      </c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42.44</v>
      </c>
      <c r="E107" s="67">
        <v>7152</v>
      </c>
      <c r="F107" s="146">
        <v>0</v>
      </c>
      <c r="G107" s="146">
        <v>0</v>
      </c>
      <c r="H107" s="91">
        <v>7152</v>
      </c>
      <c r="I107" s="67">
        <v>0</v>
      </c>
      <c r="J107" s="20">
        <v>7152</v>
      </c>
      <c r="K107" s="132" t="s">
        <v>644</v>
      </c>
      <c r="L107" s="151">
        <v>7152</v>
      </c>
      <c r="M107" s="128">
        <v>0</v>
      </c>
      <c r="N107" s="67">
        <v>0</v>
      </c>
      <c r="O107" s="67">
        <v>0</v>
      </c>
      <c r="P107" s="270"/>
      <c r="Q107" s="71" t="e">
        <v>#DIV/0!</v>
      </c>
      <c r="R107" s="449"/>
      <c r="S107" s="67">
        <v>0</v>
      </c>
      <c r="T107" s="163">
        <v>0</v>
      </c>
      <c r="U107" s="166">
        <v>0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723</v>
      </c>
      <c r="L108" s="151">
        <v>0</v>
      </c>
      <c r="M108" s="128">
        <v>0</v>
      </c>
      <c r="N108" s="67">
        <v>0</v>
      </c>
      <c r="O108" s="67">
        <v>0</v>
      </c>
      <c r="P108" s="270"/>
      <c r="Q108" s="71" t="e">
        <v>#DIV/0!</v>
      </c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723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 t="e">
        <v>#DIV/0!</v>
      </c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774.56</v>
      </c>
      <c r="E110" s="67">
        <v>130536</v>
      </c>
      <c r="F110" s="146">
        <v>0</v>
      </c>
      <c r="G110" s="146">
        <v>0</v>
      </c>
      <c r="H110" s="91">
        <v>130536</v>
      </c>
      <c r="I110" s="67">
        <v>0</v>
      </c>
      <c r="J110" s="20">
        <v>130536</v>
      </c>
      <c r="K110" s="132" t="s">
        <v>621</v>
      </c>
      <c r="L110" s="151">
        <v>0</v>
      </c>
      <c r="M110" s="128">
        <v>774.56</v>
      </c>
      <c r="N110" s="67">
        <v>1771</v>
      </c>
      <c r="O110" s="67">
        <v>132307</v>
      </c>
      <c r="P110" s="270"/>
      <c r="Q110" s="71">
        <v>170.81568890725057</v>
      </c>
      <c r="R110" s="449"/>
      <c r="S110" s="67">
        <v>125006</v>
      </c>
      <c r="T110" s="163">
        <v>7301</v>
      </c>
      <c r="U110" s="166">
        <v>5.8405196550565572E-2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723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 t="e">
        <v>#DIV/0!</v>
      </c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723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 t="e">
        <v>#DIV/0!</v>
      </c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723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 t="e">
        <v>#DIV/0!</v>
      </c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223.11</v>
      </c>
      <c r="E114" s="67">
        <v>37601</v>
      </c>
      <c r="F114" s="146">
        <v>0</v>
      </c>
      <c r="G114" s="146">
        <v>0</v>
      </c>
      <c r="H114" s="91">
        <v>37601</v>
      </c>
      <c r="I114" s="67">
        <v>0</v>
      </c>
      <c r="J114" s="20">
        <v>37601</v>
      </c>
      <c r="K114" s="132" t="s">
        <v>621</v>
      </c>
      <c r="L114" s="151">
        <v>0</v>
      </c>
      <c r="M114" s="128">
        <v>223.11</v>
      </c>
      <c r="N114" s="67">
        <v>510</v>
      </c>
      <c r="O114" s="67">
        <v>38111</v>
      </c>
      <c r="P114" s="270"/>
      <c r="Q114" s="71">
        <v>170.81708574245886</v>
      </c>
      <c r="R114" s="449"/>
      <c r="S114" s="67">
        <v>37436</v>
      </c>
      <c r="T114" s="163">
        <v>675</v>
      </c>
      <c r="U114" s="166">
        <v>1.8030772518431458E-2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2104.2199999999998</v>
      </c>
      <c r="E115" s="67">
        <v>354623</v>
      </c>
      <c r="F115" s="146">
        <v>0</v>
      </c>
      <c r="G115" s="146">
        <v>0</v>
      </c>
      <c r="H115" s="91">
        <v>354623</v>
      </c>
      <c r="I115" s="67">
        <v>0</v>
      </c>
      <c r="J115" s="20">
        <v>354623</v>
      </c>
      <c r="K115" s="132" t="s">
        <v>621</v>
      </c>
      <c r="L115" s="151">
        <v>0</v>
      </c>
      <c r="M115" s="128">
        <v>2104.2199999999998</v>
      </c>
      <c r="N115" s="67">
        <v>4811</v>
      </c>
      <c r="O115" s="67">
        <v>359434</v>
      </c>
      <c r="P115" s="270"/>
      <c r="Q115" s="71">
        <v>170.8157892235603</v>
      </c>
      <c r="R115" s="449"/>
      <c r="S115" s="67">
        <v>354868</v>
      </c>
      <c r="T115" s="163">
        <v>4566</v>
      </c>
      <c r="U115" s="166">
        <v>1.2866756089588241E-2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4544.4399999999996</v>
      </c>
      <c r="E116" s="67">
        <v>765873</v>
      </c>
      <c r="F116" s="146">
        <v>0</v>
      </c>
      <c r="G116" s="146">
        <v>0</v>
      </c>
      <c r="H116" s="91">
        <v>765873</v>
      </c>
      <c r="I116" s="67">
        <v>0</v>
      </c>
      <c r="J116" s="20">
        <v>765873</v>
      </c>
      <c r="K116" s="132" t="s">
        <v>621</v>
      </c>
      <c r="L116" s="151">
        <v>0</v>
      </c>
      <c r="M116" s="128">
        <v>4544.4399999999996</v>
      </c>
      <c r="N116" s="67">
        <v>10390</v>
      </c>
      <c r="O116" s="67">
        <v>776263</v>
      </c>
      <c r="P116" s="270"/>
      <c r="Q116" s="71">
        <v>170.81598612810382</v>
      </c>
      <c r="R116" s="449"/>
      <c r="S116" s="67">
        <v>799307</v>
      </c>
      <c r="T116" s="163">
        <v>-23044</v>
      </c>
      <c r="U116" s="166">
        <v>-2.8829973964947134E-2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723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 t="e">
        <v>#DIV/0!</v>
      </c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249.67</v>
      </c>
      <c r="E118" s="67">
        <v>42077</v>
      </c>
      <c r="F118" s="146">
        <v>0</v>
      </c>
      <c r="G118" s="146">
        <v>0</v>
      </c>
      <c r="H118" s="91">
        <v>42077</v>
      </c>
      <c r="I118" s="67">
        <v>0</v>
      </c>
      <c r="J118" s="20">
        <v>42077</v>
      </c>
      <c r="K118" s="132" t="s">
        <v>621</v>
      </c>
      <c r="L118" s="151">
        <v>0</v>
      </c>
      <c r="M118" s="128">
        <v>249.67</v>
      </c>
      <c r="N118" s="67">
        <v>571</v>
      </c>
      <c r="O118" s="67">
        <v>42648</v>
      </c>
      <c r="P118" s="270"/>
      <c r="Q118" s="71">
        <v>170.81747907237553</v>
      </c>
      <c r="R118" s="449"/>
      <c r="S118" s="67">
        <v>38413</v>
      </c>
      <c r="T118" s="163">
        <v>4235</v>
      </c>
      <c r="U118" s="166">
        <v>0.11024913440762242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49.56</v>
      </c>
      <c r="E119" s="67">
        <v>8352</v>
      </c>
      <c r="F119" s="146">
        <v>0</v>
      </c>
      <c r="G119" s="146">
        <v>0</v>
      </c>
      <c r="H119" s="91">
        <v>8352</v>
      </c>
      <c r="I119" s="67">
        <v>0</v>
      </c>
      <c r="J119" s="20">
        <v>8352</v>
      </c>
      <c r="K119" s="132" t="s">
        <v>1306</v>
      </c>
      <c r="L119" s="151">
        <v>0</v>
      </c>
      <c r="M119" s="128">
        <v>49.56</v>
      </c>
      <c r="N119" s="67">
        <v>113</v>
      </c>
      <c r="O119" s="67">
        <v>8465</v>
      </c>
      <c r="P119" s="270"/>
      <c r="Q119" s="71">
        <v>170.80306698950767</v>
      </c>
      <c r="R119" s="449"/>
      <c r="S119" s="67">
        <v>9837</v>
      </c>
      <c r="T119" s="163">
        <v>-1372</v>
      </c>
      <c r="U119" s="166">
        <v>-0.13947341669208091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723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 t="e">
        <v>#DIV/0!</v>
      </c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723</v>
      </c>
      <c r="L121" s="151">
        <v>0</v>
      </c>
      <c r="M121" s="128">
        <v>0</v>
      </c>
      <c r="N121" s="67">
        <v>0</v>
      </c>
      <c r="O121" s="67">
        <v>0</v>
      </c>
      <c r="P121" s="270"/>
      <c r="Q121" s="71" t="e">
        <v>#DIV/0!</v>
      </c>
      <c r="R121" s="449"/>
      <c r="S121" s="67">
        <v>0</v>
      </c>
      <c r="T121" s="163">
        <v>0</v>
      </c>
      <c r="U121" s="166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28.22</v>
      </c>
      <c r="E122" s="67">
        <v>4756</v>
      </c>
      <c r="F122" s="146">
        <v>0</v>
      </c>
      <c r="G122" s="146">
        <v>0</v>
      </c>
      <c r="H122" s="91">
        <v>4756</v>
      </c>
      <c r="I122" s="67">
        <v>0</v>
      </c>
      <c r="J122" s="20">
        <v>4756</v>
      </c>
      <c r="K122" s="132" t="s">
        <v>644</v>
      </c>
      <c r="L122" s="151">
        <v>4756</v>
      </c>
      <c r="M122" s="128">
        <v>0</v>
      </c>
      <c r="N122" s="67">
        <v>0</v>
      </c>
      <c r="O122" s="67">
        <v>0</v>
      </c>
      <c r="P122" s="270"/>
      <c r="Q122" s="71" t="e">
        <v>#DIV/0!</v>
      </c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723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 t="e">
        <v>#DIV/0!</v>
      </c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335.56</v>
      </c>
      <c r="E124" s="67">
        <v>56552</v>
      </c>
      <c r="F124" s="146">
        <v>0</v>
      </c>
      <c r="G124" s="146">
        <v>0</v>
      </c>
      <c r="H124" s="91">
        <v>56552</v>
      </c>
      <c r="I124" s="67">
        <v>0</v>
      </c>
      <c r="J124" s="20">
        <v>56552</v>
      </c>
      <c r="K124" s="132" t="s">
        <v>621</v>
      </c>
      <c r="L124" s="151">
        <v>0</v>
      </c>
      <c r="M124" s="128">
        <v>335.56</v>
      </c>
      <c r="N124" s="67">
        <v>767</v>
      </c>
      <c r="O124" s="67">
        <v>57319</v>
      </c>
      <c r="P124" s="270"/>
      <c r="Q124" s="71">
        <v>170.81594945762308</v>
      </c>
      <c r="R124" s="449"/>
      <c r="S124" s="67">
        <v>55609</v>
      </c>
      <c r="T124" s="163">
        <v>1710</v>
      </c>
      <c r="U124" s="166">
        <v>3.0750418097789927E-2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272.89</v>
      </c>
      <c r="E125" s="67">
        <v>45990</v>
      </c>
      <c r="F125" s="146">
        <v>0</v>
      </c>
      <c r="G125" s="146">
        <v>0</v>
      </c>
      <c r="H125" s="91">
        <v>45990</v>
      </c>
      <c r="I125" s="67">
        <v>0</v>
      </c>
      <c r="J125" s="20">
        <v>45990</v>
      </c>
      <c r="K125" s="132" t="s">
        <v>621</v>
      </c>
      <c r="L125" s="151">
        <v>0</v>
      </c>
      <c r="M125" s="128">
        <v>272.89</v>
      </c>
      <c r="N125" s="67">
        <v>624</v>
      </c>
      <c r="O125" s="67">
        <v>46614</v>
      </c>
      <c r="P125" s="270"/>
      <c r="Q125" s="71">
        <v>170.81607973908902</v>
      </c>
      <c r="R125" s="449"/>
      <c r="S125" s="67">
        <v>47545</v>
      </c>
      <c r="T125" s="163">
        <v>-931</v>
      </c>
      <c r="U125" s="166">
        <v>-1.958144915343359E-2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1534</v>
      </c>
      <c r="E126" s="67">
        <v>258524</v>
      </c>
      <c r="F126" s="146">
        <v>0</v>
      </c>
      <c r="G126" s="146">
        <v>0</v>
      </c>
      <c r="H126" s="91">
        <v>258524</v>
      </c>
      <c r="I126" s="67">
        <v>0</v>
      </c>
      <c r="J126" s="20">
        <v>258524</v>
      </c>
      <c r="K126" s="132" t="s">
        <v>621</v>
      </c>
      <c r="L126" s="151">
        <v>0</v>
      </c>
      <c r="M126" s="128">
        <v>1534</v>
      </c>
      <c r="N126" s="67">
        <v>3507</v>
      </c>
      <c r="O126" s="67">
        <v>262031</v>
      </c>
      <c r="P126" s="270"/>
      <c r="Q126" s="71">
        <v>170.81551499348109</v>
      </c>
      <c r="R126" s="449"/>
      <c r="S126" s="67">
        <v>253509</v>
      </c>
      <c r="T126" s="163">
        <v>8522</v>
      </c>
      <c r="U126" s="166">
        <v>3.361616352871101E-2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74</v>
      </c>
      <c r="E127" s="67">
        <v>12471</v>
      </c>
      <c r="F127" s="146">
        <v>0</v>
      </c>
      <c r="G127" s="146">
        <v>0</v>
      </c>
      <c r="H127" s="91">
        <v>12471</v>
      </c>
      <c r="I127" s="67">
        <v>0</v>
      </c>
      <c r="J127" s="20">
        <v>12471</v>
      </c>
      <c r="K127" s="132" t="s">
        <v>621</v>
      </c>
      <c r="L127" s="151">
        <v>0</v>
      </c>
      <c r="M127" s="128">
        <v>74</v>
      </c>
      <c r="N127" s="67">
        <v>169</v>
      </c>
      <c r="O127" s="67">
        <v>12640</v>
      </c>
      <c r="P127" s="270"/>
      <c r="Q127" s="71">
        <v>170.81081081081081</v>
      </c>
      <c r="R127" s="449"/>
      <c r="S127" s="67">
        <v>12857</v>
      </c>
      <c r="T127" s="163">
        <v>-217</v>
      </c>
      <c r="U127" s="166">
        <v>-1.6877965310725676E-2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723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 t="e">
        <v>#DIV/0!</v>
      </c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723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 t="e">
        <v>#DIV/0!</v>
      </c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20.440000000000001</v>
      </c>
      <c r="E130" s="67">
        <v>3445</v>
      </c>
      <c r="F130" s="146">
        <v>0</v>
      </c>
      <c r="G130" s="146">
        <v>0</v>
      </c>
      <c r="H130" s="91">
        <v>3445</v>
      </c>
      <c r="I130" s="67">
        <v>0</v>
      </c>
      <c r="J130" s="20">
        <v>3445</v>
      </c>
      <c r="K130" s="132" t="s">
        <v>644</v>
      </c>
      <c r="L130" s="151">
        <v>3445</v>
      </c>
      <c r="M130" s="128">
        <v>0</v>
      </c>
      <c r="N130" s="67">
        <v>0</v>
      </c>
      <c r="O130" s="67">
        <v>0</v>
      </c>
      <c r="P130" s="270"/>
      <c r="Q130" s="71" t="e">
        <v>#DIV/0!</v>
      </c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340.22</v>
      </c>
      <c r="E131" s="67">
        <v>57337</v>
      </c>
      <c r="F131" s="146">
        <v>0</v>
      </c>
      <c r="G131" s="146">
        <v>0</v>
      </c>
      <c r="H131" s="91">
        <v>57337</v>
      </c>
      <c r="I131" s="67">
        <v>0</v>
      </c>
      <c r="J131" s="20">
        <v>57337</v>
      </c>
      <c r="K131" s="132" t="s">
        <v>621</v>
      </c>
      <c r="L131" s="151">
        <v>0</v>
      </c>
      <c r="M131" s="128">
        <v>340.22</v>
      </c>
      <c r="N131" s="67">
        <v>778</v>
      </c>
      <c r="O131" s="67">
        <v>58115</v>
      </c>
      <c r="P131" s="270"/>
      <c r="Q131" s="71">
        <v>170.81594262536004</v>
      </c>
      <c r="R131" s="449"/>
      <c r="S131" s="67">
        <v>62083</v>
      </c>
      <c r="T131" s="163">
        <v>-3968</v>
      </c>
      <c r="U131" s="166">
        <v>-6.3914437124494627E-2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723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 t="e">
        <v>#DIV/0!</v>
      </c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14.56</v>
      </c>
      <c r="E133" s="67">
        <v>2454</v>
      </c>
      <c r="F133" s="146">
        <v>0</v>
      </c>
      <c r="G133" s="146">
        <v>0</v>
      </c>
      <c r="H133" s="91">
        <v>2454</v>
      </c>
      <c r="I133" s="67">
        <v>0</v>
      </c>
      <c r="J133" s="20">
        <v>2454</v>
      </c>
      <c r="K133" s="132" t="s">
        <v>1306</v>
      </c>
      <c r="L133" s="151">
        <v>0</v>
      </c>
      <c r="M133" s="128">
        <v>14.56</v>
      </c>
      <c r="N133" s="67">
        <v>33</v>
      </c>
      <c r="O133" s="67">
        <v>2487</v>
      </c>
      <c r="P133" s="270"/>
      <c r="Q133" s="71">
        <v>170.81043956043956</v>
      </c>
      <c r="R133" s="449"/>
      <c r="S133" s="67">
        <v>0</v>
      </c>
      <c r="T133" s="163">
        <v>2487</v>
      </c>
      <c r="U133" s="166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723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 t="e">
        <v>#DIV/0!</v>
      </c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</v>
      </c>
      <c r="E135" s="67">
        <v>38930</v>
      </c>
      <c r="F135" s="146">
        <v>0</v>
      </c>
      <c r="G135" s="146">
        <v>0</v>
      </c>
      <c r="H135" s="91">
        <v>38930</v>
      </c>
      <c r="I135" s="67">
        <v>0</v>
      </c>
      <c r="J135" s="20">
        <v>38930</v>
      </c>
      <c r="K135" s="132" t="s">
        <v>621</v>
      </c>
      <c r="L135" s="151">
        <v>0</v>
      </c>
      <c r="M135" s="128">
        <v>231</v>
      </c>
      <c r="N135" s="67">
        <v>528</v>
      </c>
      <c r="O135" s="67">
        <v>39458</v>
      </c>
      <c r="P135" s="270"/>
      <c r="Q135" s="71">
        <v>170.8138528138528</v>
      </c>
      <c r="R135" s="449"/>
      <c r="S135" s="67">
        <v>42048</v>
      </c>
      <c r="T135" s="163">
        <v>-2590</v>
      </c>
      <c r="U135" s="166">
        <v>-6.1596270928462711E-2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340.67</v>
      </c>
      <c r="E136" s="67">
        <v>57413</v>
      </c>
      <c r="F136" s="146">
        <v>0</v>
      </c>
      <c r="G136" s="146">
        <v>0</v>
      </c>
      <c r="H136" s="91">
        <v>57413</v>
      </c>
      <c r="I136" s="67">
        <v>0</v>
      </c>
      <c r="J136" s="20">
        <v>57413</v>
      </c>
      <c r="K136" s="132" t="s">
        <v>621</v>
      </c>
      <c r="L136" s="151">
        <v>0</v>
      </c>
      <c r="M136" s="128">
        <v>340.67</v>
      </c>
      <c r="N136" s="67">
        <v>779</v>
      </c>
      <c r="O136" s="67">
        <v>58192</v>
      </c>
      <c r="P136" s="270"/>
      <c r="Q136" s="71">
        <v>170.81633252120821</v>
      </c>
      <c r="R136" s="449"/>
      <c r="S136" s="67">
        <v>67784</v>
      </c>
      <c r="T136" s="163">
        <v>-9592</v>
      </c>
      <c r="U136" s="166">
        <v>-0.14150832054762186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723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 t="e">
        <v>#DIV/0!</v>
      </c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215.89</v>
      </c>
      <c r="E138" s="67">
        <v>36384</v>
      </c>
      <c r="F138" s="146">
        <v>0</v>
      </c>
      <c r="G138" s="146">
        <v>0</v>
      </c>
      <c r="H138" s="91">
        <v>36384</v>
      </c>
      <c r="I138" s="67">
        <v>0</v>
      </c>
      <c r="J138" s="20">
        <v>36384</v>
      </c>
      <c r="K138" s="132" t="s">
        <v>621</v>
      </c>
      <c r="L138" s="151">
        <v>0</v>
      </c>
      <c r="M138" s="128">
        <v>215.89</v>
      </c>
      <c r="N138" s="67">
        <v>494</v>
      </c>
      <c r="O138" s="67">
        <v>36878</v>
      </c>
      <c r="P138" s="270"/>
      <c r="Q138" s="71">
        <v>170.81847237018854</v>
      </c>
      <c r="R138" s="449"/>
      <c r="S138" s="67">
        <v>35824</v>
      </c>
      <c r="T138" s="163">
        <v>1054</v>
      </c>
      <c r="U138" s="166">
        <v>2.9421616793211255E-2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723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 t="e">
        <v>#DIV/0!</v>
      </c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723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 t="e">
        <v>#DIV/0!</v>
      </c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730.44</v>
      </c>
      <c r="E141" s="67">
        <v>123101</v>
      </c>
      <c r="F141" s="146">
        <v>0</v>
      </c>
      <c r="G141" s="146">
        <v>0</v>
      </c>
      <c r="H141" s="91">
        <v>123101</v>
      </c>
      <c r="I141" s="67">
        <v>0</v>
      </c>
      <c r="J141" s="20">
        <v>123101</v>
      </c>
      <c r="K141" s="132" t="s">
        <v>621</v>
      </c>
      <c r="L141" s="151">
        <v>0</v>
      </c>
      <c r="M141" s="128">
        <v>730.44</v>
      </c>
      <c r="N141" s="67">
        <v>1670</v>
      </c>
      <c r="O141" s="67">
        <v>124771</v>
      </c>
      <c r="P141" s="270"/>
      <c r="Q141" s="71">
        <v>170.81622036033076</v>
      </c>
      <c r="R141" s="449"/>
      <c r="S141" s="67">
        <v>136546</v>
      </c>
      <c r="T141" s="163">
        <v>-11775</v>
      </c>
      <c r="U141" s="166">
        <v>-8.6234675493972721E-2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723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 t="e">
        <v>#DIV/0!</v>
      </c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236.89</v>
      </c>
      <c r="E143" s="67">
        <v>39923</v>
      </c>
      <c r="F143" s="146">
        <v>0</v>
      </c>
      <c r="G143" s="146">
        <v>0</v>
      </c>
      <c r="H143" s="91">
        <v>39923</v>
      </c>
      <c r="I143" s="67">
        <v>0</v>
      </c>
      <c r="J143" s="20">
        <v>39923</v>
      </c>
      <c r="K143" s="132" t="s">
        <v>621</v>
      </c>
      <c r="L143" s="151">
        <v>0</v>
      </c>
      <c r="M143" s="128">
        <v>236.89</v>
      </c>
      <c r="N143" s="67">
        <v>542</v>
      </c>
      <c r="O143" s="67">
        <v>40465</v>
      </c>
      <c r="P143" s="270"/>
      <c r="Q143" s="71">
        <v>170.8176790915615</v>
      </c>
      <c r="R143" s="449"/>
      <c r="S143" s="67">
        <v>35573</v>
      </c>
      <c r="T143" s="163">
        <v>4892</v>
      </c>
      <c r="U143" s="166">
        <v>0.13752002923565626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4.67</v>
      </c>
      <c r="E144" s="67">
        <v>787</v>
      </c>
      <c r="F144" s="146">
        <v>0</v>
      </c>
      <c r="G144" s="146">
        <v>0</v>
      </c>
      <c r="H144" s="91">
        <v>787</v>
      </c>
      <c r="I144" s="67">
        <v>0</v>
      </c>
      <c r="J144" s="20">
        <v>787</v>
      </c>
      <c r="K144" s="132" t="s">
        <v>644</v>
      </c>
      <c r="L144" s="151">
        <v>787</v>
      </c>
      <c r="M144" s="128">
        <v>0</v>
      </c>
      <c r="N144" s="67">
        <v>0</v>
      </c>
      <c r="O144" s="67">
        <v>0</v>
      </c>
      <c r="P144" s="270"/>
      <c r="Q144" s="71" t="e">
        <v>#DIV/0!</v>
      </c>
      <c r="R144" s="449"/>
      <c r="S144" s="67">
        <v>1453</v>
      </c>
      <c r="T144" s="163">
        <v>-1453</v>
      </c>
      <c r="U144" s="166">
        <v>-1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97.22</v>
      </c>
      <c r="E145" s="88">
        <v>16384</v>
      </c>
      <c r="F145" s="146">
        <v>0</v>
      </c>
      <c r="G145" s="146">
        <v>0</v>
      </c>
      <c r="H145" s="91">
        <v>16384</v>
      </c>
      <c r="I145" s="67">
        <v>0</v>
      </c>
      <c r="J145" s="20">
        <v>16384</v>
      </c>
      <c r="K145" s="132" t="s">
        <v>621</v>
      </c>
      <c r="L145" s="151">
        <v>0</v>
      </c>
      <c r="M145" s="128">
        <v>97.22</v>
      </c>
      <c r="N145" s="67">
        <v>222</v>
      </c>
      <c r="O145" s="67">
        <v>16606</v>
      </c>
      <c r="P145" s="270"/>
      <c r="Q145" s="71">
        <v>170.80847562229994</v>
      </c>
      <c r="R145" s="449"/>
      <c r="S145" s="67">
        <v>16652</v>
      </c>
      <c r="T145" s="163">
        <v>-46</v>
      </c>
      <c r="U145" s="166">
        <v>-2.7624309392265192E-3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106.78</v>
      </c>
      <c r="E146" s="67">
        <v>17996</v>
      </c>
      <c r="F146" s="146">
        <v>0</v>
      </c>
      <c r="G146" s="146">
        <v>0</v>
      </c>
      <c r="H146" s="91">
        <v>17996</v>
      </c>
      <c r="I146" s="67">
        <v>0</v>
      </c>
      <c r="J146" s="20">
        <v>17996</v>
      </c>
      <c r="K146" s="132" t="s">
        <v>621</v>
      </c>
      <c r="L146" s="151">
        <v>0</v>
      </c>
      <c r="M146" s="128">
        <v>106.78</v>
      </c>
      <c r="N146" s="67">
        <v>244</v>
      </c>
      <c r="O146" s="67">
        <v>18240</v>
      </c>
      <c r="P146" s="270"/>
      <c r="Q146" s="71">
        <v>170.8185053380783</v>
      </c>
      <c r="R146" s="449"/>
      <c r="S146" s="67">
        <v>22806</v>
      </c>
      <c r="T146" s="163">
        <v>-4566</v>
      </c>
      <c r="U146" s="166">
        <v>-0.20021047092870298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4.78</v>
      </c>
      <c r="E147" s="67">
        <v>806</v>
      </c>
      <c r="F147" s="146">
        <v>0</v>
      </c>
      <c r="G147" s="146">
        <v>0</v>
      </c>
      <c r="H147" s="91">
        <v>806</v>
      </c>
      <c r="I147" s="67">
        <v>0</v>
      </c>
      <c r="J147" s="20">
        <v>806</v>
      </c>
      <c r="K147" s="132" t="s">
        <v>644</v>
      </c>
      <c r="L147" s="151">
        <v>806</v>
      </c>
      <c r="M147" s="128">
        <v>0</v>
      </c>
      <c r="N147" s="67">
        <v>0</v>
      </c>
      <c r="O147" s="67">
        <v>0</v>
      </c>
      <c r="P147" s="270"/>
      <c r="Q147" s="71" t="e">
        <v>#DIV/0!</v>
      </c>
      <c r="R147" s="449"/>
      <c r="S147" s="67">
        <v>1272</v>
      </c>
      <c r="T147" s="163">
        <v>-1272</v>
      </c>
      <c r="U147" s="166">
        <v>-1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723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 t="e">
        <v>#DIV/0!</v>
      </c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480.44</v>
      </c>
      <c r="E149" s="67">
        <v>80968</v>
      </c>
      <c r="F149" s="146">
        <v>0</v>
      </c>
      <c r="G149" s="146">
        <v>0</v>
      </c>
      <c r="H149" s="91">
        <v>80968</v>
      </c>
      <c r="I149" s="67">
        <v>0</v>
      </c>
      <c r="J149" s="20">
        <v>80968</v>
      </c>
      <c r="K149" s="132" t="s">
        <v>621</v>
      </c>
      <c r="L149" s="151">
        <v>0</v>
      </c>
      <c r="M149" s="128">
        <v>480.44</v>
      </c>
      <c r="N149" s="67">
        <v>1098</v>
      </c>
      <c r="O149" s="67">
        <v>82066</v>
      </c>
      <c r="P149" s="270"/>
      <c r="Q149" s="71">
        <v>170.81425360086587</v>
      </c>
      <c r="R149" s="449"/>
      <c r="S149" s="67">
        <v>81914</v>
      </c>
      <c r="T149" s="163">
        <v>152</v>
      </c>
      <c r="U149" s="166">
        <v>1.855604658544327E-3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11.89</v>
      </c>
      <c r="E150" s="67">
        <v>2004</v>
      </c>
      <c r="F150" s="146">
        <v>0</v>
      </c>
      <c r="G150" s="146">
        <v>0</v>
      </c>
      <c r="H150" s="91">
        <v>2004</v>
      </c>
      <c r="I150" s="67">
        <v>0</v>
      </c>
      <c r="J150" s="20">
        <v>2004</v>
      </c>
      <c r="K150" s="132" t="s">
        <v>644</v>
      </c>
      <c r="L150" s="151">
        <v>2004</v>
      </c>
      <c r="M150" s="128">
        <v>0</v>
      </c>
      <c r="N150" s="67">
        <v>0</v>
      </c>
      <c r="O150" s="67">
        <v>0</v>
      </c>
      <c r="P150" s="270"/>
      <c r="Q150" s="71" t="e">
        <v>#DIV/0!</v>
      </c>
      <c r="R150" s="449"/>
      <c r="S150" s="67">
        <v>0</v>
      </c>
      <c r="T150" s="163">
        <v>0</v>
      </c>
      <c r="U150" s="166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723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 t="e">
        <v>#DIV/0!</v>
      </c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692.44</v>
      </c>
      <c r="E152" s="67">
        <v>116697</v>
      </c>
      <c r="F152" s="146">
        <v>0</v>
      </c>
      <c r="G152" s="146">
        <v>0</v>
      </c>
      <c r="H152" s="91">
        <v>116697</v>
      </c>
      <c r="I152" s="67">
        <v>0</v>
      </c>
      <c r="J152" s="20">
        <v>116697</v>
      </c>
      <c r="K152" s="132" t="s">
        <v>621</v>
      </c>
      <c r="L152" s="151">
        <v>0</v>
      </c>
      <c r="M152" s="128">
        <v>692.44</v>
      </c>
      <c r="N152" s="67">
        <v>1583</v>
      </c>
      <c r="O152" s="67">
        <v>118280</v>
      </c>
      <c r="P152" s="270"/>
      <c r="Q152" s="71">
        <v>170.81624400670094</v>
      </c>
      <c r="R152" s="449"/>
      <c r="S152" s="67">
        <v>121418</v>
      </c>
      <c r="T152" s="163">
        <v>-3138</v>
      </c>
      <c r="U152" s="166">
        <v>-2.5844602941903178E-2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53.78</v>
      </c>
      <c r="E153" s="67">
        <v>9064</v>
      </c>
      <c r="F153" s="146">
        <v>0</v>
      </c>
      <c r="G153" s="146">
        <v>0</v>
      </c>
      <c r="H153" s="91">
        <v>9064</v>
      </c>
      <c r="I153" s="67">
        <v>0</v>
      </c>
      <c r="J153" s="20">
        <v>9064</v>
      </c>
      <c r="K153" s="132" t="s">
        <v>1306</v>
      </c>
      <c r="L153" s="151">
        <v>0</v>
      </c>
      <c r="M153" s="128">
        <v>53.78</v>
      </c>
      <c r="N153" s="67">
        <v>123</v>
      </c>
      <c r="O153" s="67">
        <v>9187</v>
      </c>
      <c r="P153" s="270"/>
      <c r="Q153" s="71">
        <v>170.82558571959837</v>
      </c>
      <c r="R153" s="449"/>
      <c r="S153" s="67">
        <v>6860</v>
      </c>
      <c r="T153" s="163">
        <v>2327</v>
      </c>
      <c r="U153" s="166">
        <v>0.33921282798833818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299.44</v>
      </c>
      <c r="E154" s="67">
        <v>50464</v>
      </c>
      <c r="F154" s="146">
        <v>0</v>
      </c>
      <c r="G154" s="146">
        <v>0</v>
      </c>
      <c r="H154" s="91">
        <v>50464</v>
      </c>
      <c r="I154" s="67">
        <v>0</v>
      </c>
      <c r="J154" s="20">
        <v>50464</v>
      </c>
      <c r="K154" s="132" t="s">
        <v>621</v>
      </c>
      <c r="L154" s="151">
        <v>0</v>
      </c>
      <c r="M154" s="128">
        <v>299.44</v>
      </c>
      <c r="N154" s="67">
        <v>685</v>
      </c>
      <c r="O154" s="67">
        <v>51149</v>
      </c>
      <c r="P154" s="270"/>
      <c r="Q154" s="71">
        <v>170.81552230830886</v>
      </c>
      <c r="R154" s="449"/>
      <c r="S154" s="67">
        <v>48772</v>
      </c>
      <c r="T154" s="163">
        <v>2377</v>
      </c>
      <c r="U154" s="166">
        <v>4.8736980234560814E-2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100.78</v>
      </c>
      <c r="E155" s="67">
        <v>16984</v>
      </c>
      <c r="F155" s="146">
        <v>0</v>
      </c>
      <c r="G155" s="146">
        <v>0</v>
      </c>
      <c r="H155" s="91">
        <v>16984</v>
      </c>
      <c r="I155" s="67">
        <v>0</v>
      </c>
      <c r="J155" s="20">
        <v>16984</v>
      </c>
      <c r="K155" s="132" t="s">
        <v>621</v>
      </c>
      <c r="L155" s="151">
        <v>0</v>
      </c>
      <c r="M155" s="128">
        <v>100.78</v>
      </c>
      <c r="N155" s="67">
        <v>230</v>
      </c>
      <c r="O155" s="67">
        <v>17214</v>
      </c>
      <c r="P155" s="270"/>
      <c r="Q155" s="71">
        <v>170.80769994046437</v>
      </c>
      <c r="R155" s="449"/>
      <c r="S155" s="67">
        <v>23534</v>
      </c>
      <c r="T155" s="163">
        <v>-6320</v>
      </c>
      <c r="U155" s="166">
        <v>-0.26854763321152375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723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 t="e">
        <v>#DIV/0!</v>
      </c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1531.67</v>
      </c>
      <c r="E157" s="67">
        <v>258132</v>
      </c>
      <c r="F157" s="146">
        <v>0</v>
      </c>
      <c r="G157" s="146">
        <v>0</v>
      </c>
      <c r="H157" s="91">
        <v>258132</v>
      </c>
      <c r="I157" s="67">
        <v>0</v>
      </c>
      <c r="J157" s="20">
        <v>258132</v>
      </c>
      <c r="K157" s="132" t="s">
        <v>621</v>
      </c>
      <c r="L157" s="151">
        <v>0</v>
      </c>
      <c r="M157" s="128">
        <v>1531.67</v>
      </c>
      <c r="N157" s="67">
        <v>3502</v>
      </c>
      <c r="O157" s="67">
        <v>261634</v>
      </c>
      <c r="P157" s="270"/>
      <c r="Q157" s="71">
        <v>170.8161679735191</v>
      </c>
      <c r="R157" s="449"/>
      <c r="S157" s="67">
        <v>285199</v>
      </c>
      <c r="T157" s="163">
        <v>-23565</v>
      </c>
      <c r="U157" s="166">
        <v>-8.2626516923271123E-2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2429.67</v>
      </c>
      <c r="E158" s="67">
        <v>409471</v>
      </c>
      <c r="F158" s="146">
        <v>0</v>
      </c>
      <c r="G158" s="146">
        <v>0</v>
      </c>
      <c r="H158" s="91">
        <v>409471</v>
      </c>
      <c r="I158" s="67">
        <v>0</v>
      </c>
      <c r="J158" s="20">
        <v>409471</v>
      </c>
      <c r="K158" s="132" t="s">
        <v>621</v>
      </c>
      <c r="L158" s="151">
        <v>0</v>
      </c>
      <c r="M158" s="128">
        <v>2429.67</v>
      </c>
      <c r="N158" s="67">
        <v>5555</v>
      </c>
      <c r="O158" s="67">
        <v>415026</v>
      </c>
      <c r="P158" s="270"/>
      <c r="Q158" s="71">
        <v>170.81578979861462</v>
      </c>
      <c r="R158" s="449"/>
      <c r="S158" s="67">
        <v>434783</v>
      </c>
      <c r="T158" s="163">
        <v>-19757</v>
      </c>
      <c r="U158" s="166">
        <v>-4.5441059103046806E-2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64.67</v>
      </c>
      <c r="E159" s="67">
        <v>10899</v>
      </c>
      <c r="F159" s="146">
        <v>0</v>
      </c>
      <c r="G159" s="146">
        <v>0</v>
      </c>
      <c r="H159" s="91">
        <v>10899</v>
      </c>
      <c r="I159" s="67">
        <v>0</v>
      </c>
      <c r="J159" s="20">
        <v>10899</v>
      </c>
      <c r="K159" s="132" t="s">
        <v>1306</v>
      </c>
      <c r="L159" s="151">
        <v>0</v>
      </c>
      <c r="M159" s="128">
        <v>64.67</v>
      </c>
      <c r="N159" s="67">
        <v>148</v>
      </c>
      <c r="O159" s="67">
        <v>11047</v>
      </c>
      <c r="P159" s="270"/>
      <c r="Q159" s="71">
        <v>170.82109169630431</v>
      </c>
      <c r="R159" s="449"/>
      <c r="S159" s="67">
        <v>12653</v>
      </c>
      <c r="T159" s="163">
        <v>-1606</v>
      </c>
      <c r="U159" s="166">
        <v>-0.12692642061171264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11.44</v>
      </c>
      <c r="E160" s="67">
        <v>1928</v>
      </c>
      <c r="F160" s="146">
        <v>0</v>
      </c>
      <c r="G160" s="146">
        <v>0</v>
      </c>
      <c r="H160" s="91">
        <v>1928</v>
      </c>
      <c r="I160" s="67">
        <v>0</v>
      </c>
      <c r="J160" s="20">
        <v>1928</v>
      </c>
      <c r="K160" s="132" t="s">
        <v>644</v>
      </c>
      <c r="L160" s="151">
        <v>1928</v>
      </c>
      <c r="M160" s="128">
        <v>0</v>
      </c>
      <c r="N160" s="67">
        <v>0</v>
      </c>
      <c r="O160" s="67">
        <v>0</v>
      </c>
      <c r="P160" s="270"/>
      <c r="Q160" s="71" t="e">
        <v>#DIV/0!</v>
      </c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6.56</v>
      </c>
      <c r="E161" s="67">
        <v>1106</v>
      </c>
      <c r="F161" s="146">
        <v>0</v>
      </c>
      <c r="G161" s="146">
        <v>0</v>
      </c>
      <c r="H161" s="91">
        <v>1106</v>
      </c>
      <c r="I161" s="67">
        <v>0</v>
      </c>
      <c r="J161" s="20">
        <v>1106</v>
      </c>
      <c r="K161" s="132" t="s">
        <v>644</v>
      </c>
      <c r="L161" s="151">
        <v>1106</v>
      </c>
      <c r="M161" s="128">
        <v>0</v>
      </c>
      <c r="N161" s="67">
        <v>0</v>
      </c>
      <c r="O161" s="67">
        <v>0</v>
      </c>
      <c r="P161" s="270"/>
      <c r="Q161" s="71" t="e">
        <v>#DIV/0!</v>
      </c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87</v>
      </c>
      <c r="E162" s="67">
        <v>14662</v>
      </c>
      <c r="F162" s="146">
        <v>0</v>
      </c>
      <c r="G162" s="146">
        <v>0</v>
      </c>
      <c r="H162" s="91">
        <v>14662</v>
      </c>
      <c r="I162" s="67">
        <v>0</v>
      </c>
      <c r="J162" s="20">
        <v>14662</v>
      </c>
      <c r="K162" s="132" t="s">
        <v>723</v>
      </c>
      <c r="L162" s="151">
        <v>14662</v>
      </c>
      <c r="M162" s="128">
        <v>0</v>
      </c>
      <c r="N162" s="67">
        <v>0</v>
      </c>
      <c r="O162" s="67">
        <v>9590</v>
      </c>
      <c r="P162" s="270"/>
      <c r="Q162" s="71" t="e">
        <v>#DIV/0!</v>
      </c>
      <c r="R162" s="449"/>
      <c r="S162" s="67">
        <v>0</v>
      </c>
      <c r="T162" s="163">
        <v>9590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723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 t="e">
        <v>#DIV/0!</v>
      </c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723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 t="e">
        <v>#DIV/0!</v>
      </c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193.78</v>
      </c>
      <c r="E165" s="67">
        <v>32658</v>
      </c>
      <c r="F165" s="146">
        <v>0</v>
      </c>
      <c r="G165" s="146">
        <v>0</v>
      </c>
      <c r="H165" s="91">
        <v>32658</v>
      </c>
      <c r="I165" s="67">
        <v>0</v>
      </c>
      <c r="J165" s="20">
        <v>32658</v>
      </c>
      <c r="K165" s="132" t="s">
        <v>621</v>
      </c>
      <c r="L165" s="151">
        <v>0</v>
      </c>
      <c r="M165" s="128">
        <v>193.78</v>
      </c>
      <c r="N165" s="67">
        <v>443</v>
      </c>
      <c r="O165" s="67">
        <v>33101</v>
      </c>
      <c r="P165" s="270"/>
      <c r="Q165" s="71">
        <v>170.81742181855714</v>
      </c>
      <c r="R165" s="449"/>
      <c r="S165" s="67">
        <v>31871</v>
      </c>
      <c r="T165" s="163">
        <v>1230</v>
      </c>
      <c r="U165" s="166">
        <v>3.8593078347086696E-2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723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 t="e">
        <v>#DIV/0!</v>
      </c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722.33</v>
      </c>
      <c r="E167" s="67">
        <v>121734</v>
      </c>
      <c r="F167" s="146">
        <v>0</v>
      </c>
      <c r="G167" s="146">
        <v>0</v>
      </c>
      <c r="H167" s="91">
        <v>121734</v>
      </c>
      <c r="I167" s="67">
        <v>0</v>
      </c>
      <c r="J167" s="20">
        <v>121734</v>
      </c>
      <c r="K167" s="132" t="s">
        <v>621</v>
      </c>
      <c r="L167" s="151">
        <v>0</v>
      </c>
      <c r="M167" s="128">
        <v>722.33</v>
      </c>
      <c r="N167" s="67">
        <v>1651</v>
      </c>
      <c r="O167" s="67">
        <v>123385</v>
      </c>
      <c r="P167" s="270"/>
      <c r="Q167" s="71">
        <v>170.81527833538686</v>
      </c>
      <c r="R167" s="449"/>
      <c r="S167" s="67">
        <v>130367</v>
      </c>
      <c r="T167" s="163">
        <v>-6982</v>
      </c>
      <c r="U167" s="166">
        <v>-5.3556498193561251E-2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167.22</v>
      </c>
      <c r="E168" s="67">
        <v>28182</v>
      </c>
      <c r="F168" s="146">
        <v>0</v>
      </c>
      <c r="G168" s="146">
        <v>0</v>
      </c>
      <c r="H168" s="91">
        <v>28182</v>
      </c>
      <c r="I168" s="67">
        <v>0</v>
      </c>
      <c r="J168" s="20">
        <v>28182</v>
      </c>
      <c r="K168" s="132" t="s">
        <v>621</v>
      </c>
      <c r="L168" s="151">
        <v>0</v>
      </c>
      <c r="M168" s="128">
        <v>167.22</v>
      </c>
      <c r="N168" s="67">
        <v>382</v>
      </c>
      <c r="O168" s="67">
        <v>28564</v>
      </c>
      <c r="P168" s="270"/>
      <c r="Q168" s="71">
        <v>170.81688793206555</v>
      </c>
      <c r="R168" s="449"/>
      <c r="S168" s="67">
        <v>33802</v>
      </c>
      <c r="T168" s="163">
        <v>-5238</v>
      </c>
      <c r="U168" s="166">
        <v>-0.15496124489675167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127.33</v>
      </c>
      <c r="E169" s="67">
        <v>21459</v>
      </c>
      <c r="F169" s="146">
        <v>0</v>
      </c>
      <c r="G169" s="146">
        <v>0</v>
      </c>
      <c r="H169" s="91">
        <v>21459</v>
      </c>
      <c r="I169" s="67">
        <v>0</v>
      </c>
      <c r="J169" s="20">
        <v>21459</v>
      </c>
      <c r="K169" s="132" t="s">
        <v>621</v>
      </c>
      <c r="L169" s="151">
        <v>0</v>
      </c>
      <c r="M169" s="128">
        <v>127.33</v>
      </c>
      <c r="N169" s="67">
        <v>291</v>
      </c>
      <c r="O169" s="67">
        <v>21750</v>
      </c>
      <c r="P169" s="270"/>
      <c r="Q169" s="71">
        <v>170.81598994738081</v>
      </c>
      <c r="R169" s="449"/>
      <c r="S169" s="67">
        <v>17491</v>
      </c>
      <c r="T169" s="163">
        <v>4259</v>
      </c>
      <c r="U169" s="166">
        <v>0.24349665542278887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723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 t="e">
        <v>#DIV/0!</v>
      </c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591.11</v>
      </c>
      <c r="E171" s="67">
        <v>99620</v>
      </c>
      <c r="F171" s="146">
        <v>0</v>
      </c>
      <c r="G171" s="146">
        <v>0</v>
      </c>
      <c r="H171" s="91">
        <v>99620</v>
      </c>
      <c r="I171" s="67">
        <v>0</v>
      </c>
      <c r="J171" s="20">
        <v>99620</v>
      </c>
      <c r="K171" s="132" t="s">
        <v>621</v>
      </c>
      <c r="L171" s="151">
        <v>0</v>
      </c>
      <c r="M171" s="128">
        <v>591.11</v>
      </c>
      <c r="N171" s="67">
        <v>1351</v>
      </c>
      <c r="O171" s="67">
        <v>100971</v>
      </c>
      <c r="P171" s="270"/>
      <c r="Q171" s="71">
        <v>170.81592258632065</v>
      </c>
      <c r="R171" s="449"/>
      <c r="S171" s="67">
        <v>88980</v>
      </c>
      <c r="T171" s="163">
        <v>11991</v>
      </c>
      <c r="U171" s="166">
        <v>0.13476062036412678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723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 t="e">
        <v>#DIV/0!</v>
      </c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1144.22</v>
      </c>
      <c r="E173" s="67">
        <v>192835</v>
      </c>
      <c r="F173" s="146">
        <v>0</v>
      </c>
      <c r="G173" s="146">
        <v>0</v>
      </c>
      <c r="H173" s="91">
        <v>192835</v>
      </c>
      <c r="I173" s="67">
        <v>0</v>
      </c>
      <c r="J173" s="20">
        <v>192835</v>
      </c>
      <c r="K173" s="132" t="s">
        <v>621</v>
      </c>
      <c r="L173" s="151">
        <v>0</v>
      </c>
      <c r="M173" s="128">
        <v>1144.22</v>
      </c>
      <c r="N173" s="67">
        <v>2616</v>
      </c>
      <c r="O173" s="67">
        <v>195451</v>
      </c>
      <c r="P173" s="270"/>
      <c r="Q173" s="71">
        <v>170.81592700704411</v>
      </c>
      <c r="R173" s="449"/>
      <c r="S173" s="67">
        <v>176436</v>
      </c>
      <c r="T173" s="163">
        <v>19015</v>
      </c>
      <c r="U173" s="166">
        <v>0.10777279013353284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128.78</v>
      </c>
      <c r="E174" s="67">
        <v>21703</v>
      </c>
      <c r="F174" s="146">
        <v>0</v>
      </c>
      <c r="G174" s="146">
        <v>0</v>
      </c>
      <c r="H174" s="91">
        <v>21703</v>
      </c>
      <c r="I174" s="67">
        <v>0</v>
      </c>
      <c r="J174" s="20">
        <v>21703</v>
      </c>
      <c r="K174" s="132" t="s">
        <v>621</v>
      </c>
      <c r="L174" s="151">
        <v>0</v>
      </c>
      <c r="M174" s="128">
        <v>128.78</v>
      </c>
      <c r="N174" s="67">
        <v>294</v>
      </c>
      <c r="O174" s="67">
        <v>21997</v>
      </c>
      <c r="P174" s="270"/>
      <c r="Q174" s="71">
        <v>170.81068488895792</v>
      </c>
      <c r="R174" s="449"/>
      <c r="S174" s="67">
        <v>19696</v>
      </c>
      <c r="T174" s="163">
        <v>2301</v>
      </c>
      <c r="U174" s="166">
        <v>0.11682575142160845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723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 t="e">
        <v>#DIV/0!</v>
      </c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723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 t="e">
        <v>#DIV/0!</v>
      </c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44.11</v>
      </c>
      <c r="E177" s="67">
        <v>7434</v>
      </c>
      <c r="F177" s="146">
        <v>0</v>
      </c>
      <c r="G177" s="146">
        <v>0</v>
      </c>
      <c r="H177" s="91">
        <v>7434</v>
      </c>
      <c r="I177" s="67">
        <v>0</v>
      </c>
      <c r="J177" s="20">
        <v>7434</v>
      </c>
      <c r="K177" s="132" t="s">
        <v>1306</v>
      </c>
      <c r="L177" s="151">
        <v>0</v>
      </c>
      <c r="M177" s="128">
        <v>44.11</v>
      </c>
      <c r="N177" s="67">
        <v>101</v>
      </c>
      <c r="O177" s="67">
        <v>7535</v>
      </c>
      <c r="P177" s="270"/>
      <c r="Q177" s="71">
        <v>170.82294264339151</v>
      </c>
      <c r="R177" s="449"/>
      <c r="S177" s="67">
        <v>5225</v>
      </c>
      <c r="T177" s="163">
        <v>2310</v>
      </c>
      <c r="U177" s="166">
        <v>0.44210526315789472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51.89</v>
      </c>
      <c r="E178" s="67">
        <v>8745</v>
      </c>
      <c r="F178" s="146">
        <v>0</v>
      </c>
      <c r="G178" s="146">
        <v>0</v>
      </c>
      <c r="H178" s="91">
        <v>8745</v>
      </c>
      <c r="I178" s="67">
        <v>0</v>
      </c>
      <c r="J178" s="20">
        <v>8745</v>
      </c>
      <c r="K178" s="132" t="s">
        <v>644</v>
      </c>
      <c r="L178" s="151">
        <v>8745</v>
      </c>
      <c r="M178" s="128">
        <v>0</v>
      </c>
      <c r="N178" s="67">
        <v>0</v>
      </c>
      <c r="O178" s="67">
        <v>0</v>
      </c>
      <c r="P178" s="270"/>
      <c r="Q178" s="71" t="e">
        <v>#DIV/0!</v>
      </c>
      <c r="R178" s="449"/>
      <c r="S178" s="67">
        <v>0</v>
      </c>
      <c r="T178" s="163">
        <v>0</v>
      </c>
      <c r="U178" s="166">
        <v>0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723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 t="e">
        <v>#DIV/0!</v>
      </c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90.44</v>
      </c>
      <c r="E180" s="67">
        <v>15242</v>
      </c>
      <c r="F180" s="146">
        <v>0</v>
      </c>
      <c r="G180" s="146">
        <v>0</v>
      </c>
      <c r="H180" s="91">
        <v>15242</v>
      </c>
      <c r="I180" s="67">
        <v>0</v>
      </c>
      <c r="J180" s="20">
        <v>15242</v>
      </c>
      <c r="K180" s="132" t="s">
        <v>621</v>
      </c>
      <c r="L180" s="151">
        <v>0</v>
      </c>
      <c r="M180" s="128">
        <v>90.44</v>
      </c>
      <c r="N180" s="67">
        <v>207</v>
      </c>
      <c r="O180" s="67">
        <v>15449</v>
      </c>
      <c r="P180" s="270"/>
      <c r="Q180" s="71">
        <v>170.82043343653251</v>
      </c>
      <c r="R180" s="449"/>
      <c r="S180" s="67">
        <v>16561</v>
      </c>
      <c r="T180" s="163">
        <v>-1112</v>
      </c>
      <c r="U180" s="166">
        <v>-6.7145703761850126E-2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201.89</v>
      </c>
      <c r="E181" s="67">
        <v>34024</v>
      </c>
      <c r="F181" s="146">
        <v>0</v>
      </c>
      <c r="G181" s="146">
        <v>0</v>
      </c>
      <c r="H181" s="91">
        <v>34024</v>
      </c>
      <c r="I181" s="67">
        <v>0</v>
      </c>
      <c r="J181" s="20">
        <v>34024</v>
      </c>
      <c r="K181" s="132" t="s">
        <v>621</v>
      </c>
      <c r="L181" s="151">
        <v>0</v>
      </c>
      <c r="M181" s="128">
        <v>201.89</v>
      </c>
      <c r="N181" s="67">
        <v>462</v>
      </c>
      <c r="O181" s="67">
        <v>34486</v>
      </c>
      <c r="P181" s="270"/>
      <c r="Q181" s="71">
        <v>170.81579077715588</v>
      </c>
      <c r="R181" s="449"/>
      <c r="S181" s="67">
        <v>40594</v>
      </c>
      <c r="T181" s="163">
        <v>-6108</v>
      </c>
      <c r="U181" s="166">
        <v>-0.15046558604719909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92.67</v>
      </c>
      <c r="E182" s="67">
        <v>15618</v>
      </c>
      <c r="F182" s="146">
        <v>0</v>
      </c>
      <c r="G182" s="146">
        <v>0</v>
      </c>
      <c r="H182" s="91">
        <v>15618</v>
      </c>
      <c r="I182" s="67">
        <v>0</v>
      </c>
      <c r="J182" s="20">
        <v>15618</v>
      </c>
      <c r="K182" s="132" t="s">
        <v>621</v>
      </c>
      <c r="L182" s="151">
        <v>0</v>
      </c>
      <c r="M182" s="128">
        <v>92.67</v>
      </c>
      <c r="N182" s="67">
        <v>212</v>
      </c>
      <c r="O182" s="67">
        <v>15830</v>
      </c>
      <c r="P182" s="270"/>
      <c r="Q182" s="71">
        <v>170.82119348224884</v>
      </c>
      <c r="R182" s="449"/>
      <c r="S182" s="67">
        <v>14743</v>
      </c>
      <c r="T182" s="163">
        <v>1087</v>
      </c>
      <c r="U182" s="166">
        <v>7.372990571796785E-2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24.33</v>
      </c>
      <c r="E183" s="67">
        <v>4100</v>
      </c>
      <c r="F183" s="146">
        <v>0</v>
      </c>
      <c r="G183" s="146">
        <v>0</v>
      </c>
      <c r="H183" s="91">
        <v>4100</v>
      </c>
      <c r="I183" s="67">
        <v>0</v>
      </c>
      <c r="J183" s="20">
        <v>4100</v>
      </c>
      <c r="K183" s="132" t="s">
        <v>644</v>
      </c>
      <c r="L183" s="151">
        <v>4100</v>
      </c>
      <c r="M183" s="128">
        <v>0</v>
      </c>
      <c r="N183" s="67">
        <v>0</v>
      </c>
      <c r="O183" s="67">
        <v>0</v>
      </c>
      <c r="P183" s="270"/>
      <c r="Q183" s="71" t="e">
        <v>#DIV/0!</v>
      </c>
      <c r="R183" s="449"/>
      <c r="S183" s="67">
        <v>0</v>
      </c>
      <c r="T183" s="163">
        <v>0</v>
      </c>
      <c r="U183" s="166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723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 t="e">
        <v>#DIV/0!</v>
      </c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22.89</v>
      </c>
      <c r="E185" s="67">
        <v>3858</v>
      </c>
      <c r="F185" s="146">
        <v>0</v>
      </c>
      <c r="G185" s="146">
        <v>0</v>
      </c>
      <c r="H185" s="91">
        <v>3858</v>
      </c>
      <c r="I185" s="67">
        <v>0</v>
      </c>
      <c r="J185" s="20">
        <v>3858</v>
      </c>
      <c r="K185" s="132" t="s">
        <v>1306</v>
      </c>
      <c r="L185" s="151">
        <v>0</v>
      </c>
      <c r="M185" s="128">
        <v>22.89</v>
      </c>
      <c r="N185" s="67">
        <v>52</v>
      </c>
      <c r="O185" s="67">
        <v>3910</v>
      </c>
      <c r="P185" s="270"/>
      <c r="Q185" s="71">
        <v>170.81695063346439</v>
      </c>
      <c r="R185" s="449"/>
      <c r="S185" s="67">
        <v>2908</v>
      </c>
      <c r="T185" s="163">
        <v>1002</v>
      </c>
      <c r="U185" s="166">
        <v>0.34456671251719395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723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 t="e">
        <v>#DIV/0!</v>
      </c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723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 t="e">
        <v>#DIV/0!</v>
      </c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104.56</v>
      </c>
      <c r="E188" s="67">
        <v>17621</v>
      </c>
      <c r="F188" s="146">
        <v>0</v>
      </c>
      <c r="G188" s="146">
        <v>0</v>
      </c>
      <c r="H188" s="91">
        <v>17621</v>
      </c>
      <c r="I188" s="67">
        <v>0</v>
      </c>
      <c r="J188" s="20">
        <v>17621</v>
      </c>
      <c r="K188" s="132" t="s">
        <v>621</v>
      </c>
      <c r="L188" s="151">
        <v>0</v>
      </c>
      <c r="M188" s="128">
        <v>104.56</v>
      </c>
      <c r="N188" s="67">
        <v>239</v>
      </c>
      <c r="O188" s="67">
        <v>17860</v>
      </c>
      <c r="P188" s="270"/>
      <c r="Q188" s="71">
        <v>170.81101759755165</v>
      </c>
      <c r="R188" s="449"/>
      <c r="S188" s="67">
        <v>18900</v>
      </c>
      <c r="T188" s="163">
        <v>-1040</v>
      </c>
      <c r="U188" s="166">
        <v>-5.5026455026455028E-2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98.89</v>
      </c>
      <c r="E189" s="67">
        <v>16666</v>
      </c>
      <c r="F189" s="146">
        <v>0</v>
      </c>
      <c r="G189" s="146">
        <v>0</v>
      </c>
      <c r="H189" s="91">
        <v>16666</v>
      </c>
      <c r="I189" s="67">
        <v>0</v>
      </c>
      <c r="J189" s="20">
        <v>16666</v>
      </c>
      <c r="K189" s="132" t="s">
        <v>621</v>
      </c>
      <c r="L189" s="151">
        <v>0</v>
      </c>
      <c r="M189" s="128">
        <v>98.89</v>
      </c>
      <c r="N189" s="67">
        <v>226</v>
      </c>
      <c r="O189" s="67">
        <v>16892</v>
      </c>
      <c r="P189" s="270"/>
      <c r="Q189" s="71">
        <v>170.81605824653656</v>
      </c>
      <c r="R189" s="449"/>
      <c r="S189" s="67">
        <v>15016</v>
      </c>
      <c r="T189" s="163">
        <v>1876</v>
      </c>
      <c r="U189" s="166">
        <v>0.12493340436867341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31.11</v>
      </c>
      <c r="E190" s="67">
        <v>5243</v>
      </c>
      <c r="F190" s="146">
        <v>0</v>
      </c>
      <c r="G190" s="146">
        <v>0</v>
      </c>
      <c r="H190" s="91">
        <v>5243</v>
      </c>
      <c r="I190" s="67">
        <v>0</v>
      </c>
      <c r="J190" s="20">
        <v>5243</v>
      </c>
      <c r="K190" s="132" t="s">
        <v>644</v>
      </c>
      <c r="L190" s="151">
        <v>5243</v>
      </c>
      <c r="M190" s="128">
        <v>0</v>
      </c>
      <c r="N190" s="67">
        <v>0</v>
      </c>
      <c r="O190" s="67">
        <v>0</v>
      </c>
      <c r="P190" s="270"/>
      <c r="Q190" s="71" t="e">
        <v>#DIV/0!</v>
      </c>
      <c r="R190" s="449"/>
      <c r="S190" s="67">
        <v>6361</v>
      </c>
      <c r="T190" s="163">
        <v>-6361</v>
      </c>
      <c r="U190" s="166">
        <v>-1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1439.89</v>
      </c>
      <c r="E191" s="67">
        <v>242664</v>
      </c>
      <c r="F191" s="146">
        <v>0</v>
      </c>
      <c r="G191" s="146">
        <v>0</v>
      </c>
      <c r="H191" s="91">
        <v>242664</v>
      </c>
      <c r="I191" s="67">
        <v>0</v>
      </c>
      <c r="J191" s="20">
        <v>242664</v>
      </c>
      <c r="K191" s="132" t="s">
        <v>621</v>
      </c>
      <c r="L191" s="151">
        <v>0</v>
      </c>
      <c r="M191" s="128">
        <v>1439.89</v>
      </c>
      <c r="N191" s="67">
        <v>3292</v>
      </c>
      <c r="O191" s="67">
        <v>245956</v>
      </c>
      <c r="P191" s="270"/>
      <c r="Q191" s="71">
        <v>170.8158262089465</v>
      </c>
      <c r="R191" s="449"/>
      <c r="S191" s="67">
        <v>249399</v>
      </c>
      <c r="T191" s="163">
        <v>-3443</v>
      </c>
      <c r="U191" s="166">
        <v>-1.3805187671161472E-2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9.7799999999999994</v>
      </c>
      <c r="E192" s="67">
        <v>1648</v>
      </c>
      <c r="F192" s="146">
        <v>0</v>
      </c>
      <c r="G192" s="146">
        <v>0</v>
      </c>
      <c r="H192" s="91">
        <v>1648</v>
      </c>
      <c r="I192" s="67">
        <v>0</v>
      </c>
      <c r="J192" s="20">
        <v>1648</v>
      </c>
      <c r="K192" s="132" t="s">
        <v>1306</v>
      </c>
      <c r="L192" s="151">
        <v>0</v>
      </c>
      <c r="M192" s="128">
        <v>9.7799999999999994</v>
      </c>
      <c r="N192" s="67">
        <v>22</v>
      </c>
      <c r="O192" s="67">
        <v>1670</v>
      </c>
      <c r="P192" s="270"/>
      <c r="Q192" s="71">
        <v>170.75664621676893</v>
      </c>
      <c r="R192" s="449"/>
      <c r="S192" s="67">
        <v>2568</v>
      </c>
      <c r="T192" s="163">
        <v>-898</v>
      </c>
      <c r="U192" s="166">
        <v>-0.34968847352024923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723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 t="e">
        <v>#DIV/0!</v>
      </c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5562.78</v>
      </c>
      <c r="E194" s="67">
        <v>937493</v>
      </c>
      <c r="F194" s="146">
        <v>0</v>
      </c>
      <c r="G194" s="146">
        <v>0</v>
      </c>
      <c r="H194" s="91">
        <v>937493</v>
      </c>
      <c r="I194" s="67">
        <v>0</v>
      </c>
      <c r="J194" s="20">
        <v>937493</v>
      </c>
      <c r="K194" s="132" t="s">
        <v>621</v>
      </c>
      <c r="L194" s="151">
        <v>0</v>
      </c>
      <c r="M194" s="128">
        <v>5562.78</v>
      </c>
      <c r="N194" s="67">
        <v>12718</v>
      </c>
      <c r="O194" s="67">
        <v>950211</v>
      </c>
      <c r="P194" s="270"/>
      <c r="Q194" s="71">
        <v>170.81585106727212</v>
      </c>
      <c r="R194" s="449"/>
      <c r="S194" s="67">
        <v>958409</v>
      </c>
      <c r="T194" s="163">
        <v>-8198</v>
      </c>
      <c r="U194" s="166">
        <v>-8.5537594075180846E-3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34.89</v>
      </c>
      <c r="E195" s="67">
        <v>5880</v>
      </c>
      <c r="F195" s="146">
        <v>0</v>
      </c>
      <c r="G195" s="146">
        <v>0</v>
      </c>
      <c r="H195" s="91">
        <v>5880</v>
      </c>
      <c r="I195" s="67">
        <v>0</v>
      </c>
      <c r="J195" s="20">
        <v>5880</v>
      </c>
      <c r="K195" s="132" t="s">
        <v>1306</v>
      </c>
      <c r="L195" s="151">
        <v>0</v>
      </c>
      <c r="M195" s="128">
        <v>34.89</v>
      </c>
      <c r="N195" s="67">
        <v>80</v>
      </c>
      <c r="O195" s="67">
        <v>5960</v>
      </c>
      <c r="P195" s="270"/>
      <c r="Q195" s="71">
        <v>170.82258526798509</v>
      </c>
      <c r="R195" s="449"/>
      <c r="S195" s="67">
        <v>5521</v>
      </c>
      <c r="T195" s="163">
        <v>439</v>
      </c>
      <c r="U195" s="166">
        <v>7.9514580691903647E-2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36.11</v>
      </c>
      <c r="E196" s="67">
        <v>6086</v>
      </c>
      <c r="F196" s="146">
        <v>0</v>
      </c>
      <c r="G196" s="146">
        <v>0</v>
      </c>
      <c r="H196" s="91">
        <v>6086</v>
      </c>
      <c r="I196" s="67">
        <v>0</v>
      </c>
      <c r="J196" s="20">
        <v>6086</v>
      </c>
      <c r="K196" s="132" t="s">
        <v>1306</v>
      </c>
      <c r="L196" s="151">
        <v>0</v>
      </c>
      <c r="M196" s="128">
        <v>36.11</v>
      </c>
      <c r="N196" s="67">
        <v>83</v>
      </c>
      <c r="O196" s="67">
        <v>6169</v>
      </c>
      <c r="P196" s="270"/>
      <c r="Q196" s="71">
        <v>170.83910274162281</v>
      </c>
      <c r="R196" s="449"/>
      <c r="S196" s="67">
        <v>7179</v>
      </c>
      <c r="T196" s="163">
        <v>-1010</v>
      </c>
      <c r="U196" s="166">
        <v>-0.14068811812230114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723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 t="e">
        <v>#DIV/0!</v>
      </c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74.11</v>
      </c>
      <c r="E198" s="67">
        <v>12490</v>
      </c>
      <c r="F198" s="146">
        <v>0</v>
      </c>
      <c r="G198" s="146">
        <v>0</v>
      </c>
      <c r="H198" s="91">
        <v>12490</v>
      </c>
      <c r="I198" s="67">
        <v>0</v>
      </c>
      <c r="J198" s="20">
        <v>12490</v>
      </c>
      <c r="K198" s="132" t="s">
        <v>621</v>
      </c>
      <c r="L198" s="151">
        <v>0</v>
      </c>
      <c r="M198" s="128">
        <v>74.11</v>
      </c>
      <c r="N198" s="67">
        <v>169</v>
      </c>
      <c r="O198" s="67">
        <v>12659</v>
      </c>
      <c r="P198" s="270"/>
      <c r="Q198" s="71">
        <v>170.81365537714208</v>
      </c>
      <c r="R198" s="449"/>
      <c r="S198" s="67">
        <v>9065</v>
      </c>
      <c r="T198" s="163">
        <v>3594</v>
      </c>
      <c r="U198" s="166">
        <v>0.39646993932708219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723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 t="e">
        <v>#DIV/0!</v>
      </c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2.67</v>
      </c>
      <c r="E200" s="67">
        <v>450</v>
      </c>
      <c r="F200" s="146">
        <v>0</v>
      </c>
      <c r="G200" s="146">
        <v>0</v>
      </c>
      <c r="H200" s="91">
        <v>450</v>
      </c>
      <c r="I200" s="67">
        <v>0</v>
      </c>
      <c r="J200" s="20">
        <v>450</v>
      </c>
      <c r="K200" s="132" t="s">
        <v>1306</v>
      </c>
      <c r="L200" s="151">
        <v>0</v>
      </c>
      <c r="M200" s="128">
        <v>2.67</v>
      </c>
      <c r="N200" s="67">
        <v>6</v>
      </c>
      <c r="O200" s="67">
        <v>456</v>
      </c>
      <c r="P200" s="270"/>
      <c r="Q200" s="71">
        <v>170.7865168539326</v>
      </c>
      <c r="R200" s="449"/>
      <c r="S200" s="67">
        <v>0</v>
      </c>
      <c r="T200" s="163">
        <v>456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30.67</v>
      </c>
      <c r="E201" s="67">
        <v>5169</v>
      </c>
      <c r="F201" s="146">
        <v>0</v>
      </c>
      <c r="G201" s="146">
        <v>0</v>
      </c>
      <c r="H201" s="91">
        <v>5169</v>
      </c>
      <c r="I201" s="67">
        <v>0</v>
      </c>
      <c r="J201" s="20">
        <v>5169</v>
      </c>
      <c r="K201" s="132" t="s">
        <v>644</v>
      </c>
      <c r="L201" s="151">
        <v>5169</v>
      </c>
      <c r="M201" s="128">
        <v>0</v>
      </c>
      <c r="N201" s="67">
        <v>0</v>
      </c>
      <c r="O201" s="67">
        <v>0</v>
      </c>
      <c r="P201" s="270"/>
      <c r="Q201" s="71" t="e">
        <v>#DIV/0!</v>
      </c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10.33</v>
      </c>
      <c r="E202" s="67">
        <v>1741</v>
      </c>
      <c r="F202" s="146">
        <v>0</v>
      </c>
      <c r="G202" s="146">
        <v>0</v>
      </c>
      <c r="H202" s="91">
        <v>1741</v>
      </c>
      <c r="I202" s="67">
        <v>0</v>
      </c>
      <c r="J202" s="20">
        <v>1741</v>
      </c>
      <c r="K202" s="132" t="s">
        <v>644</v>
      </c>
      <c r="L202" s="151">
        <v>1741</v>
      </c>
      <c r="M202" s="128">
        <v>0</v>
      </c>
      <c r="N202" s="67">
        <v>0</v>
      </c>
      <c r="O202" s="67">
        <v>0</v>
      </c>
      <c r="P202" s="270"/>
      <c r="Q202" s="71" t="e">
        <v>#DIV/0!</v>
      </c>
      <c r="R202" s="449"/>
      <c r="S202" s="67">
        <v>2113</v>
      </c>
      <c r="T202" s="163">
        <v>-2113</v>
      </c>
      <c r="U202" s="166">
        <v>-1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106.56</v>
      </c>
      <c r="E203" s="67">
        <v>17959</v>
      </c>
      <c r="F203" s="146">
        <v>0</v>
      </c>
      <c r="G203" s="146">
        <v>0</v>
      </c>
      <c r="H203" s="91">
        <v>17959</v>
      </c>
      <c r="I203" s="67">
        <v>0</v>
      </c>
      <c r="J203" s="20">
        <v>17959</v>
      </c>
      <c r="K203" s="132" t="s">
        <v>621</v>
      </c>
      <c r="L203" s="151">
        <v>0</v>
      </c>
      <c r="M203" s="128">
        <v>106.56</v>
      </c>
      <c r="N203" s="67">
        <v>244</v>
      </c>
      <c r="O203" s="67">
        <v>18203</v>
      </c>
      <c r="P203" s="270"/>
      <c r="Q203" s="71">
        <v>170.82394894894895</v>
      </c>
      <c r="R203" s="449"/>
      <c r="S203" s="67">
        <v>9722</v>
      </c>
      <c r="T203" s="163">
        <v>8481</v>
      </c>
      <c r="U203" s="166">
        <v>0.87235136803126934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596.11</v>
      </c>
      <c r="E204" s="67">
        <v>100462</v>
      </c>
      <c r="F204" s="146">
        <v>0</v>
      </c>
      <c r="G204" s="146">
        <v>0</v>
      </c>
      <c r="H204" s="91">
        <v>100462</v>
      </c>
      <c r="I204" s="67">
        <v>0</v>
      </c>
      <c r="J204" s="20">
        <v>100462</v>
      </c>
      <c r="K204" s="132" t="s">
        <v>621</v>
      </c>
      <c r="L204" s="151">
        <v>0</v>
      </c>
      <c r="M204" s="128">
        <v>596.11</v>
      </c>
      <c r="N204" s="67">
        <v>1363</v>
      </c>
      <c r="O204" s="67">
        <v>101825</v>
      </c>
      <c r="P204" s="270"/>
      <c r="Q204" s="71">
        <v>170.81578903222558</v>
      </c>
      <c r="R204" s="449"/>
      <c r="S204" s="67">
        <v>105629</v>
      </c>
      <c r="T204" s="163">
        <v>-3804</v>
      </c>
      <c r="U204" s="166">
        <v>-3.6012837383673044E-2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114</v>
      </c>
      <c r="E205" s="67">
        <v>19212</v>
      </c>
      <c r="F205" s="146">
        <v>0</v>
      </c>
      <c r="G205" s="146">
        <v>0</v>
      </c>
      <c r="H205" s="91">
        <v>19212</v>
      </c>
      <c r="I205" s="67">
        <v>0</v>
      </c>
      <c r="J205" s="20">
        <v>19212</v>
      </c>
      <c r="K205" s="132" t="s">
        <v>621</v>
      </c>
      <c r="L205" s="151">
        <v>0</v>
      </c>
      <c r="M205" s="128">
        <v>114</v>
      </c>
      <c r="N205" s="67">
        <v>261</v>
      </c>
      <c r="O205" s="67">
        <v>19473</v>
      </c>
      <c r="P205" s="270"/>
      <c r="Q205" s="71">
        <v>170.81578947368422</v>
      </c>
      <c r="R205" s="449"/>
      <c r="S205" s="67">
        <v>16833</v>
      </c>
      <c r="T205" s="163">
        <v>2640</v>
      </c>
      <c r="U205" s="166">
        <v>0.15683478880769916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693.67</v>
      </c>
      <c r="E206" s="67">
        <v>116904</v>
      </c>
      <c r="F206" s="146">
        <v>0</v>
      </c>
      <c r="G206" s="146">
        <v>0</v>
      </c>
      <c r="H206" s="91">
        <v>116904</v>
      </c>
      <c r="I206" s="67">
        <v>0</v>
      </c>
      <c r="J206" s="20">
        <v>116904</v>
      </c>
      <c r="K206" s="132" t="s">
        <v>621</v>
      </c>
      <c r="L206" s="151">
        <v>0</v>
      </c>
      <c r="M206" s="128">
        <v>693.67</v>
      </c>
      <c r="N206" s="67">
        <v>1586</v>
      </c>
      <c r="O206" s="67">
        <v>118490</v>
      </c>
      <c r="P206" s="270"/>
      <c r="Q206" s="71">
        <v>170.81609410814943</v>
      </c>
      <c r="R206" s="449"/>
      <c r="S206" s="67">
        <v>115466</v>
      </c>
      <c r="T206" s="163">
        <v>3024</v>
      </c>
      <c r="U206" s="166">
        <v>2.618952765316197E-2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723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 t="e">
        <v>#DIV/0!</v>
      </c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723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 t="e">
        <v>#DIV/0!</v>
      </c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90.22</v>
      </c>
      <c r="E209" s="67">
        <v>15205</v>
      </c>
      <c r="F209" s="146">
        <v>0</v>
      </c>
      <c r="G209" s="146">
        <v>0</v>
      </c>
      <c r="H209" s="91">
        <v>15205</v>
      </c>
      <c r="I209" s="67">
        <v>0</v>
      </c>
      <c r="J209" s="20">
        <v>15205</v>
      </c>
      <c r="K209" s="132" t="s">
        <v>621</v>
      </c>
      <c r="L209" s="151">
        <v>0</v>
      </c>
      <c r="M209" s="128">
        <v>90.22</v>
      </c>
      <c r="N209" s="67">
        <v>206</v>
      </c>
      <c r="O209" s="67">
        <v>15411</v>
      </c>
      <c r="P209" s="270"/>
      <c r="Q209" s="71">
        <v>170.81578363999114</v>
      </c>
      <c r="R209" s="449"/>
      <c r="S209" s="67">
        <v>19626</v>
      </c>
      <c r="T209" s="163">
        <v>-4215</v>
      </c>
      <c r="U209" s="166">
        <v>-0.21476612656679914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65.33</v>
      </c>
      <c r="E210" s="67">
        <v>11010</v>
      </c>
      <c r="F210" s="146">
        <v>0</v>
      </c>
      <c r="G210" s="146">
        <v>0</v>
      </c>
      <c r="H210" s="91">
        <v>11010</v>
      </c>
      <c r="I210" s="67">
        <v>0</v>
      </c>
      <c r="J210" s="20">
        <v>11010</v>
      </c>
      <c r="K210" s="132" t="s">
        <v>621</v>
      </c>
      <c r="L210" s="151">
        <v>0</v>
      </c>
      <c r="M210" s="128">
        <v>65.33</v>
      </c>
      <c r="N210" s="67">
        <v>149</v>
      </c>
      <c r="O210" s="67">
        <v>11159</v>
      </c>
      <c r="P210" s="270"/>
      <c r="Q210" s="71">
        <v>170.80973519057096</v>
      </c>
      <c r="R210" s="449"/>
      <c r="S210" s="67">
        <v>5633</v>
      </c>
      <c r="T210" s="163">
        <v>5526</v>
      </c>
      <c r="U210" s="166">
        <v>0.98100479318302858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992.67</v>
      </c>
      <c r="E211" s="67">
        <v>167294</v>
      </c>
      <c r="F211" s="146">
        <v>0</v>
      </c>
      <c r="G211" s="146">
        <v>0</v>
      </c>
      <c r="H211" s="91">
        <v>167294</v>
      </c>
      <c r="I211" s="67">
        <v>0</v>
      </c>
      <c r="J211" s="20">
        <v>167294</v>
      </c>
      <c r="K211" s="132" t="s">
        <v>621</v>
      </c>
      <c r="L211" s="151">
        <v>0</v>
      </c>
      <c r="M211" s="128">
        <v>992.67</v>
      </c>
      <c r="N211" s="67">
        <v>2269</v>
      </c>
      <c r="O211" s="67">
        <v>169563</v>
      </c>
      <c r="P211" s="270"/>
      <c r="Q211" s="71">
        <v>170.8150744960561</v>
      </c>
      <c r="R211" s="449"/>
      <c r="S211" s="67">
        <v>168598</v>
      </c>
      <c r="T211" s="163">
        <v>965</v>
      </c>
      <c r="U211" s="166">
        <v>5.7236740649355272E-3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723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 t="e">
        <v>#DIV/0!</v>
      </c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60.11</v>
      </c>
      <c r="E213" s="67">
        <v>10130</v>
      </c>
      <c r="F213" s="146">
        <v>0</v>
      </c>
      <c r="G213" s="146">
        <v>0</v>
      </c>
      <c r="H213" s="91">
        <v>10130</v>
      </c>
      <c r="I213" s="67">
        <v>0</v>
      </c>
      <c r="J213" s="20">
        <v>10130</v>
      </c>
      <c r="K213" s="132" t="s">
        <v>1306</v>
      </c>
      <c r="L213" s="151">
        <v>0</v>
      </c>
      <c r="M213" s="128">
        <v>60.11</v>
      </c>
      <c r="N213" s="67">
        <v>137</v>
      </c>
      <c r="O213" s="67">
        <v>10267</v>
      </c>
      <c r="P213" s="270"/>
      <c r="Q213" s="71">
        <v>170.80352686740974</v>
      </c>
      <c r="R213" s="449"/>
      <c r="S213" s="67">
        <v>10291</v>
      </c>
      <c r="T213" s="163">
        <v>-24</v>
      </c>
      <c r="U213" s="166">
        <v>-2.3321348751336119E-3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18.559999999999999</v>
      </c>
      <c r="E214" s="67">
        <v>3128</v>
      </c>
      <c r="F214" s="146">
        <v>0</v>
      </c>
      <c r="G214" s="146">
        <v>0</v>
      </c>
      <c r="H214" s="91">
        <v>3128</v>
      </c>
      <c r="I214" s="67">
        <v>0</v>
      </c>
      <c r="J214" s="20">
        <v>3128</v>
      </c>
      <c r="K214" s="132" t="s">
        <v>644</v>
      </c>
      <c r="L214" s="151">
        <v>3128</v>
      </c>
      <c r="M214" s="128">
        <v>0</v>
      </c>
      <c r="N214" s="67">
        <v>0</v>
      </c>
      <c r="O214" s="67">
        <v>0</v>
      </c>
      <c r="P214" s="270"/>
      <c r="Q214" s="71" t="e">
        <v>#DIV/0!</v>
      </c>
      <c r="R214" s="449"/>
      <c r="S214" s="67">
        <v>2523</v>
      </c>
      <c r="T214" s="163">
        <v>-2523</v>
      </c>
      <c r="U214" s="166">
        <v>-1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2201.56</v>
      </c>
      <c r="E215" s="67">
        <v>371028</v>
      </c>
      <c r="F215" s="146">
        <v>0</v>
      </c>
      <c r="G215" s="146">
        <v>0</v>
      </c>
      <c r="H215" s="91">
        <v>371028</v>
      </c>
      <c r="I215" s="67">
        <v>0</v>
      </c>
      <c r="J215" s="20">
        <v>371028</v>
      </c>
      <c r="K215" s="132" t="s">
        <v>621</v>
      </c>
      <c r="L215" s="151">
        <v>0</v>
      </c>
      <c r="M215" s="128">
        <v>2201.56</v>
      </c>
      <c r="N215" s="67">
        <v>5033</v>
      </c>
      <c r="O215" s="67">
        <v>376061</v>
      </c>
      <c r="P215" s="270"/>
      <c r="Q215" s="71">
        <v>170.81569432584169</v>
      </c>
      <c r="R215" s="449"/>
      <c r="S215" s="67">
        <v>380242</v>
      </c>
      <c r="T215" s="163">
        <v>-4181</v>
      </c>
      <c r="U215" s="166">
        <v>-1.0995629099363037E-2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723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 t="e">
        <v>#DIV/0!</v>
      </c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339.33</v>
      </c>
      <c r="E217" s="67">
        <v>57187</v>
      </c>
      <c r="F217" s="146">
        <v>0</v>
      </c>
      <c r="G217" s="146">
        <v>0</v>
      </c>
      <c r="H217" s="91">
        <v>57187</v>
      </c>
      <c r="I217" s="67">
        <v>0</v>
      </c>
      <c r="J217" s="20">
        <v>57187</v>
      </c>
      <c r="K217" s="132" t="s">
        <v>621</v>
      </c>
      <c r="L217" s="151">
        <v>0</v>
      </c>
      <c r="M217" s="128">
        <v>339.33</v>
      </c>
      <c r="N217" s="67">
        <v>776</v>
      </c>
      <c r="O217" s="67">
        <v>57963</v>
      </c>
      <c r="P217" s="270"/>
      <c r="Q217" s="71">
        <v>170.81601980373088</v>
      </c>
      <c r="R217" s="449"/>
      <c r="S217" s="67">
        <v>49475</v>
      </c>
      <c r="T217" s="163">
        <v>8488</v>
      </c>
      <c r="U217" s="166">
        <v>0.17156139464375947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59.56</v>
      </c>
      <c r="E218" s="67">
        <v>10038</v>
      </c>
      <c r="F218" s="146">
        <v>0</v>
      </c>
      <c r="G218" s="146">
        <v>0</v>
      </c>
      <c r="H218" s="91">
        <v>10038</v>
      </c>
      <c r="I218" s="67">
        <v>0</v>
      </c>
      <c r="J218" s="20">
        <v>10038</v>
      </c>
      <c r="K218" s="132" t="s">
        <v>1306</v>
      </c>
      <c r="L218" s="151">
        <v>0</v>
      </c>
      <c r="M218" s="128">
        <v>59.56</v>
      </c>
      <c r="N218" s="67">
        <v>136</v>
      </c>
      <c r="O218" s="67">
        <v>10174</v>
      </c>
      <c r="P218" s="270"/>
      <c r="Q218" s="71">
        <v>170.81934184016117</v>
      </c>
      <c r="R218" s="449"/>
      <c r="S218" s="67">
        <v>11903</v>
      </c>
      <c r="T218" s="163">
        <v>-1729</v>
      </c>
      <c r="U218" s="166">
        <v>-0.14525749810972025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723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 t="e">
        <v>#DIV/0!</v>
      </c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12.67</v>
      </c>
      <c r="E220" s="67">
        <v>2135</v>
      </c>
      <c r="F220" s="146">
        <v>0</v>
      </c>
      <c r="G220" s="146">
        <v>0</v>
      </c>
      <c r="H220" s="91">
        <v>2135</v>
      </c>
      <c r="I220" s="67">
        <v>0</v>
      </c>
      <c r="J220" s="20">
        <v>2135</v>
      </c>
      <c r="K220" s="132" t="s">
        <v>644</v>
      </c>
      <c r="L220" s="151">
        <v>2135</v>
      </c>
      <c r="M220" s="128">
        <v>0</v>
      </c>
      <c r="N220" s="67">
        <v>0</v>
      </c>
      <c r="O220" s="67">
        <v>0</v>
      </c>
      <c r="P220" s="270"/>
      <c r="Q220" s="71" t="e">
        <v>#DIV/0!</v>
      </c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73.11</v>
      </c>
      <c r="E221" s="67">
        <v>12321</v>
      </c>
      <c r="F221" s="146">
        <v>0</v>
      </c>
      <c r="G221" s="146">
        <v>0</v>
      </c>
      <c r="H221" s="91">
        <v>12321</v>
      </c>
      <c r="I221" s="67">
        <v>0</v>
      </c>
      <c r="J221" s="20">
        <v>12321</v>
      </c>
      <c r="K221" s="132" t="s">
        <v>1306</v>
      </c>
      <c r="L221" s="151">
        <v>0</v>
      </c>
      <c r="M221" s="128">
        <v>73.11</v>
      </c>
      <c r="N221" s="67">
        <v>167</v>
      </c>
      <c r="O221" s="67">
        <v>12488</v>
      </c>
      <c r="P221" s="270"/>
      <c r="Q221" s="71">
        <v>170.8111065517713</v>
      </c>
      <c r="R221" s="449"/>
      <c r="S221" s="67">
        <v>11540</v>
      </c>
      <c r="T221" s="163">
        <v>948</v>
      </c>
      <c r="U221" s="166">
        <v>8.2149046793760838E-2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125.33</v>
      </c>
      <c r="E222" s="67">
        <v>21122</v>
      </c>
      <c r="F222" s="146">
        <v>0</v>
      </c>
      <c r="G222" s="146">
        <v>0</v>
      </c>
      <c r="H222" s="91">
        <v>21122</v>
      </c>
      <c r="I222" s="67">
        <v>0</v>
      </c>
      <c r="J222" s="20">
        <v>21122</v>
      </c>
      <c r="K222" s="132" t="s">
        <v>621</v>
      </c>
      <c r="L222" s="151">
        <v>0</v>
      </c>
      <c r="M222" s="128">
        <v>125.33</v>
      </c>
      <c r="N222" s="67">
        <v>287</v>
      </c>
      <c r="O222" s="67">
        <v>21409</v>
      </c>
      <c r="P222" s="270"/>
      <c r="Q222" s="71">
        <v>170.82103247426792</v>
      </c>
      <c r="R222" s="449"/>
      <c r="S222" s="67">
        <v>21899</v>
      </c>
      <c r="T222" s="163">
        <v>-490</v>
      </c>
      <c r="U222" s="166">
        <v>-2.2375450933832596E-2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8</v>
      </c>
      <c r="E223" s="67">
        <v>1348</v>
      </c>
      <c r="F223" s="146">
        <v>0</v>
      </c>
      <c r="G223" s="146">
        <v>0</v>
      </c>
      <c r="H223" s="91">
        <v>1348</v>
      </c>
      <c r="I223" s="67">
        <v>0</v>
      </c>
      <c r="J223" s="20">
        <v>1348</v>
      </c>
      <c r="K223" s="132" t="s">
        <v>644</v>
      </c>
      <c r="L223" s="151">
        <v>1348</v>
      </c>
      <c r="M223" s="128">
        <v>0</v>
      </c>
      <c r="N223" s="67">
        <v>0</v>
      </c>
      <c r="O223" s="67">
        <v>0</v>
      </c>
      <c r="P223" s="270"/>
      <c r="Q223" s="71" t="e">
        <v>#DIV/0!</v>
      </c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723</v>
      </c>
      <c r="L224" s="151">
        <v>0</v>
      </c>
      <c r="M224" s="128">
        <v>0</v>
      </c>
      <c r="N224" s="67">
        <v>0</v>
      </c>
      <c r="O224" s="67">
        <v>0</v>
      </c>
      <c r="P224" s="270"/>
      <c r="Q224" s="71" t="e">
        <v>#DIV/0!</v>
      </c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679.44</v>
      </c>
      <c r="E225" s="67">
        <v>114506</v>
      </c>
      <c r="F225" s="146">
        <v>0</v>
      </c>
      <c r="G225" s="146">
        <v>0</v>
      </c>
      <c r="H225" s="91">
        <v>114506</v>
      </c>
      <c r="I225" s="67">
        <v>0</v>
      </c>
      <c r="J225" s="20">
        <v>114506</v>
      </c>
      <c r="K225" s="132" t="s">
        <v>621</v>
      </c>
      <c r="L225" s="151">
        <v>0</v>
      </c>
      <c r="M225" s="128">
        <v>679.44</v>
      </c>
      <c r="N225" s="67">
        <v>1553</v>
      </c>
      <c r="O225" s="67">
        <v>116059</v>
      </c>
      <c r="P225" s="270"/>
      <c r="Q225" s="71">
        <v>170.8156717296597</v>
      </c>
      <c r="R225" s="449"/>
      <c r="S225" s="67">
        <v>113943</v>
      </c>
      <c r="T225" s="163">
        <v>2116</v>
      </c>
      <c r="U225" s="166">
        <v>1.8570688853198528E-2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39.56</v>
      </c>
      <c r="E226" s="67">
        <v>6667</v>
      </c>
      <c r="F226" s="146">
        <v>0</v>
      </c>
      <c r="G226" s="146">
        <v>0</v>
      </c>
      <c r="H226" s="91">
        <v>6667</v>
      </c>
      <c r="I226" s="67">
        <v>0</v>
      </c>
      <c r="J226" s="20">
        <v>6667</v>
      </c>
      <c r="K226" s="132" t="s">
        <v>1306</v>
      </c>
      <c r="L226" s="151">
        <v>0</v>
      </c>
      <c r="M226" s="128">
        <v>39.56</v>
      </c>
      <c r="N226" s="67">
        <v>90</v>
      </c>
      <c r="O226" s="67">
        <v>6757</v>
      </c>
      <c r="P226" s="270"/>
      <c r="Q226" s="71">
        <v>170.80384226491404</v>
      </c>
      <c r="R226" s="449"/>
      <c r="S226" s="67">
        <v>9268</v>
      </c>
      <c r="T226" s="163">
        <v>-2511</v>
      </c>
      <c r="U226" s="166">
        <v>-0.27093223996547261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723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 t="e">
        <v>#DIV/0!</v>
      </c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5909.67</v>
      </c>
      <c r="E228" s="67">
        <v>995954</v>
      </c>
      <c r="F228" s="146">
        <v>0</v>
      </c>
      <c r="G228" s="146">
        <v>0</v>
      </c>
      <c r="H228" s="91">
        <v>995951</v>
      </c>
      <c r="I228" s="67">
        <v>0</v>
      </c>
      <c r="J228" s="20">
        <v>995951</v>
      </c>
      <c r="K228" s="132" t="s">
        <v>621</v>
      </c>
      <c r="L228" s="151">
        <v>0</v>
      </c>
      <c r="M228" s="128">
        <v>5909.67</v>
      </c>
      <c r="N228" s="67">
        <v>13512</v>
      </c>
      <c r="O228" s="303">
        <v>1009463</v>
      </c>
      <c r="P228" s="270"/>
      <c r="Q228" s="71">
        <v>170.81546008491168</v>
      </c>
      <c r="R228" s="449"/>
      <c r="S228" s="67">
        <v>1050412</v>
      </c>
      <c r="T228" s="163">
        <v>-40949</v>
      </c>
      <c r="U228" s="166">
        <v>-3.8983751137648848E-2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231.56</v>
      </c>
      <c r="E229" s="67">
        <v>39025</v>
      </c>
      <c r="F229" s="146">
        <v>0</v>
      </c>
      <c r="G229" s="146">
        <v>0</v>
      </c>
      <c r="H229" s="91">
        <v>39025</v>
      </c>
      <c r="I229" s="67">
        <v>0</v>
      </c>
      <c r="J229" s="20">
        <v>39025</v>
      </c>
      <c r="K229" s="132" t="s">
        <v>621</v>
      </c>
      <c r="L229" s="151">
        <v>0</v>
      </c>
      <c r="M229" s="128">
        <v>231.56</v>
      </c>
      <c r="N229" s="67">
        <v>529</v>
      </c>
      <c r="O229" s="67">
        <v>39554</v>
      </c>
      <c r="P229" s="270"/>
      <c r="Q229" s="71">
        <v>170.81533943686301</v>
      </c>
      <c r="R229" s="449"/>
      <c r="S229" s="67">
        <v>36687</v>
      </c>
      <c r="T229" s="163">
        <v>2867</v>
      </c>
      <c r="U229" s="166">
        <v>7.8147572709679175E-2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207.78</v>
      </c>
      <c r="E230" s="67">
        <v>35017</v>
      </c>
      <c r="F230" s="146">
        <v>0</v>
      </c>
      <c r="G230" s="146">
        <v>0</v>
      </c>
      <c r="H230" s="91">
        <v>35017</v>
      </c>
      <c r="I230" s="67">
        <v>0</v>
      </c>
      <c r="J230" s="20">
        <v>35017</v>
      </c>
      <c r="K230" s="132" t="s">
        <v>621</v>
      </c>
      <c r="L230" s="151">
        <v>0</v>
      </c>
      <c r="M230" s="128">
        <v>207.78</v>
      </c>
      <c r="N230" s="67">
        <v>475</v>
      </c>
      <c r="O230" s="67">
        <v>35492</v>
      </c>
      <c r="P230" s="270"/>
      <c r="Q230" s="71">
        <v>170.81528539801712</v>
      </c>
      <c r="R230" s="449"/>
      <c r="S230" s="67">
        <v>40503</v>
      </c>
      <c r="T230" s="163">
        <v>-5011</v>
      </c>
      <c r="U230" s="166">
        <v>-0.12371923067427104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723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 t="e">
        <v>#DIV/0!</v>
      </c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40</v>
      </c>
      <c r="E232" s="67">
        <v>6741</v>
      </c>
      <c r="F232" s="146">
        <v>0</v>
      </c>
      <c r="G232" s="146">
        <v>0</v>
      </c>
      <c r="H232" s="91">
        <v>6741</v>
      </c>
      <c r="I232" s="67">
        <v>0</v>
      </c>
      <c r="J232" s="20">
        <v>6741</v>
      </c>
      <c r="K232" s="132" t="s">
        <v>644</v>
      </c>
      <c r="L232" s="151">
        <v>6741</v>
      </c>
      <c r="M232" s="128">
        <v>0</v>
      </c>
      <c r="N232" s="67">
        <v>0</v>
      </c>
      <c r="O232" s="67">
        <v>0</v>
      </c>
      <c r="P232" s="270"/>
      <c r="Q232" s="71" t="e">
        <v>#DIV/0!</v>
      </c>
      <c r="R232" s="449"/>
      <c r="S232" s="67">
        <v>0</v>
      </c>
      <c r="T232" s="163">
        <v>0</v>
      </c>
      <c r="U232" s="166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723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 t="e">
        <v>#DIV/0!</v>
      </c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364.33</v>
      </c>
      <c r="E234" s="67">
        <v>61400</v>
      </c>
      <c r="F234" s="146">
        <v>0</v>
      </c>
      <c r="G234" s="146">
        <v>0</v>
      </c>
      <c r="H234" s="91">
        <v>61400</v>
      </c>
      <c r="I234" s="67">
        <v>0</v>
      </c>
      <c r="J234" s="20">
        <v>61400</v>
      </c>
      <c r="K234" s="132" t="s">
        <v>621</v>
      </c>
      <c r="L234" s="151">
        <v>0</v>
      </c>
      <c r="M234" s="128">
        <v>364.33</v>
      </c>
      <c r="N234" s="67">
        <v>833</v>
      </c>
      <c r="O234" s="67">
        <v>62233</v>
      </c>
      <c r="P234" s="270"/>
      <c r="Q234" s="71">
        <v>170.81492053907172</v>
      </c>
      <c r="R234" s="449"/>
      <c r="S234" s="67">
        <v>56427</v>
      </c>
      <c r="T234" s="163">
        <v>5806</v>
      </c>
      <c r="U234" s="166">
        <v>0.10289400464316728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584.22</v>
      </c>
      <c r="E235" s="67">
        <v>98458</v>
      </c>
      <c r="F235" s="146">
        <v>0</v>
      </c>
      <c r="G235" s="146">
        <v>0</v>
      </c>
      <c r="H235" s="91">
        <v>98458</v>
      </c>
      <c r="I235" s="67">
        <v>0</v>
      </c>
      <c r="J235" s="20">
        <v>98458</v>
      </c>
      <c r="K235" s="132" t="s">
        <v>621</v>
      </c>
      <c r="L235" s="151">
        <v>0</v>
      </c>
      <c r="M235" s="128">
        <v>584.22</v>
      </c>
      <c r="N235" s="67">
        <v>1336</v>
      </c>
      <c r="O235" s="67">
        <v>99794</v>
      </c>
      <c r="P235" s="270"/>
      <c r="Q235" s="71">
        <v>170.81578857279791</v>
      </c>
      <c r="R235" s="449"/>
      <c r="S235" s="67">
        <v>105017</v>
      </c>
      <c r="T235" s="163">
        <v>-5223</v>
      </c>
      <c r="U235" s="166">
        <v>-4.9734804841120958E-2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723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 t="e">
        <v>#DIV/0!</v>
      </c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723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 t="e">
        <v>#DIV/0!</v>
      </c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268.77999999999997</v>
      </c>
      <c r="E238" s="67">
        <v>45297</v>
      </c>
      <c r="F238" s="146">
        <v>0</v>
      </c>
      <c r="G238" s="146">
        <v>0</v>
      </c>
      <c r="H238" s="91">
        <v>45297</v>
      </c>
      <c r="I238" s="67">
        <v>0</v>
      </c>
      <c r="J238" s="20">
        <v>45297</v>
      </c>
      <c r="K238" s="132" t="s">
        <v>621</v>
      </c>
      <c r="L238" s="151">
        <v>0</v>
      </c>
      <c r="M238" s="128">
        <v>268.77999999999997</v>
      </c>
      <c r="N238" s="67">
        <v>614</v>
      </c>
      <c r="O238" s="67">
        <v>45911</v>
      </c>
      <c r="P238" s="270"/>
      <c r="Q238" s="71">
        <v>170.81256045836744</v>
      </c>
      <c r="R238" s="449"/>
      <c r="S238" s="67">
        <v>50044</v>
      </c>
      <c r="T238" s="163">
        <v>-4133</v>
      </c>
      <c r="U238" s="166">
        <v>-8.2587323155623046E-2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124.22</v>
      </c>
      <c r="E239" s="67">
        <v>20935</v>
      </c>
      <c r="F239" s="146">
        <v>0</v>
      </c>
      <c r="G239" s="146">
        <v>0</v>
      </c>
      <c r="H239" s="91">
        <v>20935</v>
      </c>
      <c r="I239" s="67">
        <v>0</v>
      </c>
      <c r="J239" s="20">
        <v>20935</v>
      </c>
      <c r="K239" s="132" t="s">
        <v>621</v>
      </c>
      <c r="L239" s="151">
        <v>0</v>
      </c>
      <c r="M239" s="128">
        <v>124.22</v>
      </c>
      <c r="N239" s="67">
        <v>284</v>
      </c>
      <c r="O239" s="67">
        <v>21219</v>
      </c>
      <c r="P239" s="270"/>
      <c r="Q239" s="71">
        <v>170.81790371920786</v>
      </c>
      <c r="R239" s="449"/>
      <c r="S239" s="67">
        <v>21513</v>
      </c>
      <c r="T239" s="163">
        <v>-294</v>
      </c>
      <c r="U239" s="166">
        <v>-1.3666155347929159E-2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76.78</v>
      </c>
      <c r="E240" s="67">
        <v>12940</v>
      </c>
      <c r="F240" s="146">
        <v>0</v>
      </c>
      <c r="G240" s="146">
        <v>0</v>
      </c>
      <c r="H240" s="91">
        <v>12940</v>
      </c>
      <c r="I240" s="67">
        <v>0</v>
      </c>
      <c r="J240" s="20">
        <v>12940</v>
      </c>
      <c r="K240" s="132" t="s">
        <v>621</v>
      </c>
      <c r="L240" s="151">
        <v>0</v>
      </c>
      <c r="M240" s="128">
        <v>76.78</v>
      </c>
      <c r="N240" s="67">
        <v>176</v>
      </c>
      <c r="O240" s="67">
        <v>13116</v>
      </c>
      <c r="P240" s="270"/>
      <c r="Q240" s="71">
        <v>170.82573586871581</v>
      </c>
      <c r="R240" s="449"/>
      <c r="S240" s="67">
        <v>14947</v>
      </c>
      <c r="T240" s="163">
        <v>-1831</v>
      </c>
      <c r="U240" s="166">
        <v>-0.12249949822706897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94.44</v>
      </c>
      <c r="E241" s="67">
        <v>15916</v>
      </c>
      <c r="F241" s="146">
        <v>0</v>
      </c>
      <c r="G241" s="146">
        <v>0</v>
      </c>
      <c r="H241" s="91">
        <v>15916</v>
      </c>
      <c r="I241" s="67">
        <v>0</v>
      </c>
      <c r="J241" s="20">
        <v>15916</v>
      </c>
      <c r="K241" s="132" t="s">
        <v>621</v>
      </c>
      <c r="L241" s="151">
        <v>0</v>
      </c>
      <c r="M241" s="128">
        <v>94.44</v>
      </c>
      <c r="N241" s="67">
        <v>216</v>
      </c>
      <c r="O241" s="67">
        <v>16132</v>
      </c>
      <c r="P241" s="270"/>
      <c r="Q241" s="71">
        <v>170.81745023295215</v>
      </c>
      <c r="R241" s="449"/>
      <c r="S241" s="67">
        <v>11927</v>
      </c>
      <c r="T241" s="163">
        <v>4205</v>
      </c>
      <c r="U241" s="166">
        <v>0.35256141527626395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69.78</v>
      </c>
      <c r="E242" s="67">
        <v>11760</v>
      </c>
      <c r="F242" s="146">
        <v>0</v>
      </c>
      <c r="G242" s="146">
        <v>0</v>
      </c>
      <c r="H242" s="91">
        <v>11760</v>
      </c>
      <c r="I242" s="67">
        <v>0</v>
      </c>
      <c r="J242" s="20">
        <v>11760</v>
      </c>
      <c r="K242" s="132" t="s">
        <v>621</v>
      </c>
      <c r="L242" s="151">
        <v>0</v>
      </c>
      <c r="M242" s="128">
        <v>69.78</v>
      </c>
      <c r="N242" s="67">
        <v>160</v>
      </c>
      <c r="O242" s="67">
        <v>11920</v>
      </c>
      <c r="P242" s="270"/>
      <c r="Q242" s="71">
        <v>170.82258526798509</v>
      </c>
      <c r="R242" s="449"/>
      <c r="S242" s="67">
        <v>17651</v>
      </c>
      <c r="T242" s="163">
        <v>-5731</v>
      </c>
      <c r="U242" s="166">
        <v>-0.32468415387230187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11.33</v>
      </c>
      <c r="E243" s="67">
        <v>1909</v>
      </c>
      <c r="F243" s="146">
        <v>0</v>
      </c>
      <c r="G243" s="146">
        <v>0</v>
      </c>
      <c r="H243" s="91">
        <v>1909</v>
      </c>
      <c r="I243" s="67">
        <v>0</v>
      </c>
      <c r="J243" s="20">
        <v>1909</v>
      </c>
      <c r="K243" s="132" t="s">
        <v>644</v>
      </c>
      <c r="L243" s="151">
        <v>1909</v>
      </c>
      <c r="M243" s="128">
        <v>0</v>
      </c>
      <c r="N243" s="67">
        <v>0</v>
      </c>
      <c r="O243" s="67">
        <v>0</v>
      </c>
      <c r="P243" s="270"/>
      <c r="Q243" s="71" t="e">
        <v>#DIV/0!</v>
      </c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3.89</v>
      </c>
      <c r="E244" s="67">
        <v>656</v>
      </c>
      <c r="F244" s="146">
        <v>0</v>
      </c>
      <c r="G244" s="146">
        <v>0</v>
      </c>
      <c r="H244" s="91">
        <v>656</v>
      </c>
      <c r="I244" s="67">
        <v>0</v>
      </c>
      <c r="J244" s="20">
        <v>656</v>
      </c>
      <c r="K244" s="132" t="s">
        <v>644</v>
      </c>
      <c r="L244" s="151">
        <v>656</v>
      </c>
      <c r="M244" s="128">
        <v>0</v>
      </c>
      <c r="N244" s="67">
        <v>0</v>
      </c>
      <c r="O244" s="67">
        <v>0</v>
      </c>
      <c r="P244" s="270"/>
      <c r="Q244" s="71" t="e">
        <v>#DIV/0!</v>
      </c>
      <c r="R244" s="449"/>
      <c r="S244" s="67">
        <v>0</v>
      </c>
      <c r="T244" s="163">
        <v>0</v>
      </c>
      <c r="U244" s="166">
        <v>0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1382</v>
      </c>
      <c r="E245" s="67">
        <v>232908</v>
      </c>
      <c r="F245" s="146">
        <v>0</v>
      </c>
      <c r="G245" s="146">
        <v>0</v>
      </c>
      <c r="H245" s="91">
        <v>232908</v>
      </c>
      <c r="I245" s="67">
        <v>0</v>
      </c>
      <c r="J245" s="20">
        <v>232908</v>
      </c>
      <c r="K245" s="132" t="s">
        <v>621</v>
      </c>
      <c r="L245" s="151">
        <v>0</v>
      </c>
      <c r="M245" s="128">
        <v>1382</v>
      </c>
      <c r="N245" s="67">
        <v>3160</v>
      </c>
      <c r="O245" s="67">
        <v>236068</v>
      </c>
      <c r="P245" s="270"/>
      <c r="Q245" s="71">
        <v>170.81620839363242</v>
      </c>
      <c r="R245" s="449"/>
      <c r="S245" s="67">
        <v>240722</v>
      </c>
      <c r="T245" s="163">
        <v>-4654</v>
      </c>
      <c r="U245" s="166">
        <v>-1.9333505039007652E-2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723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 t="e">
        <v>#DIV/0!</v>
      </c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723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 t="e">
        <v>#DIV/0!</v>
      </c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75.78</v>
      </c>
      <c r="E248" s="67">
        <v>12771</v>
      </c>
      <c r="F248" s="146">
        <v>0</v>
      </c>
      <c r="G248" s="146">
        <v>0</v>
      </c>
      <c r="H248" s="91">
        <v>12771</v>
      </c>
      <c r="I248" s="67">
        <v>0</v>
      </c>
      <c r="J248" s="20">
        <v>12771</v>
      </c>
      <c r="K248" s="132" t="s">
        <v>621</v>
      </c>
      <c r="L248" s="151">
        <v>0</v>
      </c>
      <c r="M248" s="128">
        <v>75.78</v>
      </c>
      <c r="N248" s="67">
        <v>173</v>
      </c>
      <c r="O248" s="67">
        <v>12944</v>
      </c>
      <c r="P248" s="270"/>
      <c r="Q248" s="71">
        <v>170.81024016891001</v>
      </c>
      <c r="R248" s="449"/>
      <c r="S248" s="67">
        <v>15856</v>
      </c>
      <c r="T248" s="163">
        <v>-2912</v>
      </c>
      <c r="U248" s="166">
        <v>-0.18365287588294651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723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 t="e">
        <v>#DIV/0!</v>
      </c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723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 t="e">
        <v>#DIV/0!</v>
      </c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723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 t="e">
        <v>#DIV/0!</v>
      </c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62.56</v>
      </c>
      <c r="E252" s="67">
        <v>10543</v>
      </c>
      <c r="F252" s="146">
        <v>0</v>
      </c>
      <c r="G252" s="146">
        <v>0</v>
      </c>
      <c r="H252" s="91">
        <v>10543</v>
      </c>
      <c r="I252" s="67">
        <v>0</v>
      </c>
      <c r="J252" s="20">
        <v>10543</v>
      </c>
      <c r="K252" s="132" t="s">
        <v>1306</v>
      </c>
      <c r="L252" s="151">
        <v>0</v>
      </c>
      <c r="M252" s="128">
        <v>62.56</v>
      </c>
      <c r="N252" s="67">
        <v>143</v>
      </c>
      <c r="O252" s="67">
        <v>10686</v>
      </c>
      <c r="P252" s="270"/>
      <c r="Q252" s="71">
        <v>170.81202046035804</v>
      </c>
      <c r="R252" s="449"/>
      <c r="S252" s="67">
        <v>11699</v>
      </c>
      <c r="T252" s="163">
        <v>-1013</v>
      </c>
      <c r="U252" s="166">
        <v>-8.6588597316009916E-2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723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 t="e">
        <v>#DIV/0!</v>
      </c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26.78</v>
      </c>
      <c r="E254" s="67">
        <v>4513</v>
      </c>
      <c r="F254" s="146">
        <v>0</v>
      </c>
      <c r="G254" s="146">
        <v>0</v>
      </c>
      <c r="H254" s="91">
        <v>4513</v>
      </c>
      <c r="I254" s="67">
        <v>0</v>
      </c>
      <c r="J254" s="20">
        <v>4513</v>
      </c>
      <c r="K254" s="132" t="s">
        <v>644</v>
      </c>
      <c r="L254" s="151">
        <v>4513</v>
      </c>
      <c r="M254" s="128">
        <v>0</v>
      </c>
      <c r="N254" s="67">
        <v>0</v>
      </c>
      <c r="O254" s="67">
        <v>0</v>
      </c>
      <c r="P254" s="270"/>
      <c r="Q254" s="71" t="e">
        <v>#DIV/0!</v>
      </c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122.89</v>
      </c>
      <c r="E255" s="67">
        <v>20711</v>
      </c>
      <c r="F255" s="146">
        <v>0</v>
      </c>
      <c r="G255" s="146">
        <v>0</v>
      </c>
      <c r="H255" s="91">
        <v>20711</v>
      </c>
      <c r="I255" s="67">
        <v>0</v>
      </c>
      <c r="J255" s="20">
        <v>20711</v>
      </c>
      <c r="K255" s="132" t="s">
        <v>621</v>
      </c>
      <c r="L255" s="151">
        <v>0</v>
      </c>
      <c r="M255" s="128">
        <v>122.89</v>
      </c>
      <c r="N255" s="67">
        <v>281</v>
      </c>
      <c r="O255" s="67">
        <v>20992</v>
      </c>
      <c r="P255" s="270"/>
      <c r="Q255" s="71">
        <v>170.81943201236879</v>
      </c>
      <c r="R255" s="449"/>
      <c r="S255" s="67">
        <v>21035</v>
      </c>
      <c r="T255" s="163">
        <v>-43</v>
      </c>
      <c r="U255" s="166">
        <v>-2.0442120275730924E-3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723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 t="e">
        <v>#DIV/0!</v>
      </c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286.67</v>
      </c>
      <c r="E257" s="67">
        <v>48312</v>
      </c>
      <c r="F257" s="146">
        <v>0</v>
      </c>
      <c r="G257" s="146">
        <v>0</v>
      </c>
      <c r="H257" s="91">
        <v>48312</v>
      </c>
      <c r="I257" s="67">
        <v>0</v>
      </c>
      <c r="J257" s="20">
        <v>48312</v>
      </c>
      <c r="K257" s="132" t="s">
        <v>621</v>
      </c>
      <c r="L257" s="151">
        <v>0</v>
      </c>
      <c r="M257" s="128">
        <v>286.67</v>
      </c>
      <c r="N257" s="67">
        <v>655</v>
      </c>
      <c r="O257" s="67">
        <v>48967</v>
      </c>
      <c r="P257" s="270"/>
      <c r="Q257" s="71">
        <v>170.8131300798828</v>
      </c>
      <c r="R257" s="449"/>
      <c r="S257" s="67">
        <v>46682</v>
      </c>
      <c r="T257" s="163">
        <v>2285</v>
      </c>
      <c r="U257" s="166">
        <v>4.8948202733387604E-2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2089.89</v>
      </c>
      <c r="E258" s="67">
        <v>352208</v>
      </c>
      <c r="F258" s="146">
        <v>0</v>
      </c>
      <c r="G258" s="146">
        <v>0</v>
      </c>
      <c r="H258" s="91">
        <v>352208</v>
      </c>
      <c r="I258" s="67">
        <v>0</v>
      </c>
      <c r="J258" s="20">
        <v>352208</v>
      </c>
      <c r="K258" s="132" t="s">
        <v>621</v>
      </c>
      <c r="L258" s="151">
        <v>0</v>
      </c>
      <c r="M258" s="128">
        <v>2089.89</v>
      </c>
      <c r="N258" s="67">
        <v>4778</v>
      </c>
      <c r="O258" s="67">
        <v>356986</v>
      </c>
      <c r="P258" s="270"/>
      <c r="Q258" s="71">
        <v>170.8156888640072</v>
      </c>
      <c r="R258" s="449"/>
      <c r="S258" s="67">
        <v>347417</v>
      </c>
      <c r="T258" s="163">
        <v>9569</v>
      </c>
      <c r="U258" s="166">
        <v>2.7543269327637968E-2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2424.56</v>
      </c>
      <c r="E259" s="67">
        <v>408610</v>
      </c>
      <c r="F259" s="146">
        <v>0</v>
      </c>
      <c r="G259" s="146">
        <v>0</v>
      </c>
      <c r="H259" s="91">
        <v>408610</v>
      </c>
      <c r="I259" s="67">
        <v>0</v>
      </c>
      <c r="J259" s="20">
        <v>408610</v>
      </c>
      <c r="K259" s="132" t="s">
        <v>621</v>
      </c>
      <c r="L259" s="151">
        <v>0</v>
      </c>
      <c r="M259" s="128">
        <v>2424.56</v>
      </c>
      <c r="N259" s="67">
        <v>5543</v>
      </c>
      <c r="O259" s="67">
        <v>414153</v>
      </c>
      <c r="P259" s="270"/>
      <c r="Q259" s="71">
        <v>170.81573563863134</v>
      </c>
      <c r="R259" s="449"/>
      <c r="S259" s="67">
        <v>402980</v>
      </c>
      <c r="T259" s="163">
        <v>11173</v>
      </c>
      <c r="U259" s="166">
        <v>2.7725941734081095E-2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723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 t="e">
        <v>#DIV/0!</v>
      </c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135.66999999999999</v>
      </c>
      <c r="E261" s="67">
        <v>22864</v>
      </c>
      <c r="F261" s="146">
        <v>0</v>
      </c>
      <c r="G261" s="146">
        <v>0</v>
      </c>
      <c r="H261" s="91">
        <v>22864</v>
      </c>
      <c r="I261" s="67">
        <v>0</v>
      </c>
      <c r="J261" s="20">
        <v>22864</v>
      </c>
      <c r="K261" s="132" t="s">
        <v>621</v>
      </c>
      <c r="L261" s="151">
        <v>0</v>
      </c>
      <c r="M261" s="128">
        <v>135.66999999999999</v>
      </c>
      <c r="N261" s="67">
        <v>310</v>
      </c>
      <c r="O261" s="67">
        <v>23174</v>
      </c>
      <c r="P261" s="270"/>
      <c r="Q261" s="71">
        <v>170.81152797228572</v>
      </c>
      <c r="R261" s="449"/>
      <c r="S261" s="67">
        <v>22806</v>
      </c>
      <c r="T261" s="163">
        <v>368</v>
      </c>
      <c r="U261" s="166">
        <v>1.613610453389459E-2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723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 t="e">
        <v>#DIV/0!</v>
      </c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10</v>
      </c>
      <c r="E263" s="67">
        <v>1685</v>
      </c>
      <c r="F263" s="146">
        <v>0</v>
      </c>
      <c r="G263" s="146">
        <v>0</v>
      </c>
      <c r="H263" s="91">
        <v>1685</v>
      </c>
      <c r="I263" s="67">
        <v>0</v>
      </c>
      <c r="J263" s="20">
        <v>1685</v>
      </c>
      <c r="K263" s="132" t="s">
        <v>1306</v>
      </c>
      <c r="L263" s="151">
        <v>0</v>
      </c>
      <c r="M263" s="128">
        <v>10</v>
      </c>
      <c r="N263" s="67">
        <v>23</v>
      </c>
      <c r="O263" s="67">
        <v>1708</v>
      </c>
      <c r="P263" s="270"/>
      <c r="Q263" s="71">
        <v>170.8</v>
      </c>
      <c r="R263" s="449"/>
      <c r="S263" s="67">
        <v>2341</v>
      </c>
      <c r="T263" s="163">
        <v>-633</v>
      </c>
      <c r="U263" s="166">
        <v>-0.27039726612558734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723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 t="e">
        <v>#DIV/0!</v>
      </c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22.78</v>
      </c>
      <c r="E265" s="67">
        <v>3839</v>
      </c>
      <c r="F265" s="146">
        <v>0</v>
      </c>
      <c r="G265" s="146">
        <v>0</v>
      </c>
      <c r="H265" s="91">
        <v>3839</v>
      </c>
      <c r="I265" s="67">
        <v>0</v>
      </c>
      <c r="J265" s="20">
        <v>3839</v>
      </c>
      <c r="K265" s="132" t="s">
        <v>644</v>
      </c>
      <c r="L265" s="151">
        <v>3839</v>
      </c>
      <c r="M265" s="128">
        <v>0</v>
      </c>
      <c r="N265" s="67">
        <v>0</v>
      </c>
      <c r="O265" s="67">
        <v>0</v>
      </c>
      <c r="P265" s="270"/>
      <c r="Q265" s="71" t="e">
        <v>#DIV/0!</v>
      </c>
      <c r="R265" s="449"/>
      <c r="S265" s="67">
        <v>0</v>
      </c>
      <c r="T265" s="163">
        <v>0</v>
      </c>
      <c r="U265" s="166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164</v>
      </c>
      <c r="E266" s="67">
        <v>27639</v>
      </c>
      <c r="F266" s="146">
        <v>0</v>
      </c>
      <c r="G266" s="146">
        <v>0</v>
      </c>
      <c r="H266" s="91">
        <v>27639</v>
      </c>
      <c r="I266" s="67">
        <v>0</v>
      </c>
      <c r="J266" s="20">
        <v>27639</v>
      </c>
      <c r="K266" s="132" t="s">
        <v>621</v>
      </c>
      <c r="L266" s="151">
        <v>0</v>
      </c>
      <c r="M266" s="128">
        <v>164</v>
      </c>
      <c r="N266" s="67">
        <v>375</v>
      </c>
      <c r="O266" s="67">
        <v>28014</v>
      </c>
      <c r="P266" s="270"/>
      <c r="Q266" s="71">
        <v>170.8170731707317</v>
      </c>
      <c r="R266" s="449"/>
      <c r="S266" s="67">
        <v>24375</v>
      </c>
      <c r="T266" s="163">
        <v>3639</v>
      </c>
      <c r="U266" s="166">
        <v>0.1492923076923077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1072.33</v>
      </c>
      <c r="E267" s="67">
        <v>180719</v>
      </c>
      <c r="F267" s="146">
        <v>0</v>
      </c>
      <c r="G267" s="146">
        <v>0</v>
      </c>
      <c r="H267" s="91">
        <v>180719</v>
      </c>
      <c r="I267" s="67">
        <v>0</v>
      </c>
      <c r="J267" s="20">
        <v>180719</v>
      </c>
      <c r="K267" s="132" t="s">
        <v>621</v>
      </c>
      <c r="L267" s="151">
        <v>0</v>
      </c>
      <c r="M267" s="128">
        <v>1072.33</v>
      </c>
      <c r="N267" s="67">
        <v>2452</v>
      </c>
      <c r="O267" s="67">
        <v>183171</v>
      </c>
      <c r="P267" s="270"/>
      <c r="Q267" s="71">
        <v>170.81588690048773</v>
      </c>
      <c r="R267" s="449"/>
      <c r="S267" s="67">
        <v>247219</v>
      </c>
      <c r="T267" s="163">
        <v>-64048</v>
      </c>
      <c r="U267" s="166">
        <v>-0.25907393849178256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21.44</v>
      </c>
      <c r="E268" s="67">
        <v>3613</v>
      </c>
      <c r="F268" s="146">
        <v>0</v>
      </c>
      <c r="G268" s="146">
        <v>0</v>
      </c>
      <c r="H268" s="91">
        <v>3613</v>
      </c>
      <c r="I268" s="67">
        <v>0</v>
      </c>
      <c r="J268" s="20">
        <v>3613</v>
      </c>
      <c r="K268" s="132" t="s">
        <v>1306</v>
      </c>
      <c r="L268" s="151">
        <v>0</v>
      </c>
      <c r="M268" s="128">
        <v>21.44</v>
      </c>
      <c r="N268" s="67">
        <v>49</v>
      </c>
      <c r="O268" s="67">
        <v>3662</v>
      </c>
      <c r="P268" s="270"/>
      <c r="Q268" s="71">
        <v>170.80223880597015</v>
      </c>
      <c r="R268" s="449"/>
      <c r="S268" s="67">
        <v>4180</v>
      </c>
      <c r="T268" s="163">
        <v>-518</v>
      </c>
      <c r="U268" s="166">
        <v>-0.12392344497607656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227</v>
      </c>
      <c r="E269" s="67">
        <v>38256</v>
      </c>
      <c r="F269" s="146">
        <v>0</v>
      </c>
      <c r="G269" s="146">
        <v>0</v>
      </c>
      <c r="H269" s="91">
        <v>38256</v>
      </c>
      <c r="I269" s="67">
        <v>0</v>
      </c>
      <c r="J269" s="20">
        <v>38256</v>
      </c>
      <c r="K269" s="132" t="s">
        <v>723</v>
      </c>
      <c r="L269" s="151">
        <v>38256</v>
      </c>
      <c r="M269" s="128">
        <v>0</v>
      </c>
      <c r="N269" s="67">
        <v>0</v>
      </c>
      <c r="O269" s="67">
        <v>0</v>
      </c>
      <c r="P269" s="270"/>
      <c r="Q269" s="71" t="e">
        <v>#DIV/0!</v>
      </c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723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 t="e">
        <v>#DIV/0!</v>
      </c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1112.67</v>
      </c>
      <c r="E271" s="67">
        <v>187518</v>
      </c>
      <c r="F271" s="146">
        <v>0</v>
      </c>
      <c r="G271" s="146">
        <v>0</v>
      </c>
      <c r="H271" s="91">
        <v>187518</v>
      </c>
      <c r="I271" s="67">
        <v>0</v>
      </c>
      <c r="J271" s="20">
        <v>187518</v>
      </c>
      <c r="K271" s="132" t="s">
        <v>621</v>
      </c>
      <c r="L271" s="151">
        <v>0</v>
      </c>
      <c r="M271" s="128">
        <v>1112.67</v>
      </c>
      <c r="N271" s="67">
        <v>2544</v>
      </c>
      <c r="O271" s="67">
        <v>190062</v>
      </c>
      <c r="P271" s="270"/>
      <c r="Q271" s="71">
        <v>170.81614494863706</v>
      </c>
      <c r="R271" s="449"/>
      <c r="S271" s="67">
        <v>194721</v>
      </c>
      <c r="T271" s="163">
        <v>-4659</v>
      </c>
      <c r="U271" s="166">
        <v>-2.392654105104226E-2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89.33</v>
      </c>
      <c r="E272" s="67">
        <v>15055</v>
      </c>
      <c r="F272" s="146">
        <v>0</v>
      </c>
      <c r="G272" s="146">
        <v>0</v>
      </c>
      <c r="H272" s="91">
        <v>15055</v>
      </c>
      <c r="I272" s="67">
        <v>0</v>
      </c>
      <c r="J272" s="20">
        <v>15055</v>
      </c>
      <c r="K272" s="132" t="s">
        <v>621</v>
      </c>
      <c r="L272" s="151">
        <v>0</v>
      </c>
      <c r="M272" s="128">
        <v>89.33</v>
      </c>
      <c r="N272" s="67">
        <v>204</v>
      </c>
      <c r="O272" s="67">
        <v>15259</v>
      </c>
      <c r="P272" s="270"/>
      <c r="Q272" s="71">
        <v>170.81607522668756</v>
      </c>
      <c r="R272" s="449"/>
      <c r="S272" s="67">
        <v>16765</v>
      </c>
      <c r="T272" s="163">
        <v>-1506</v>
      </c>
      <c r="U272" s="166">
        <v>-8.9830002982403817E-2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161.88999999999999</v>
      </c>
      <c r="E273" s="67">
        <v>27283</v>
      </c>
      <c r="F273" s="146">
        <v>0</v>
      </c>
      <c r="G273" s="146">
        <v>0</v>
      </c>
      <c r="H273" s="91">
        <v>27283</v>
      </c>
      <c r="I273" s="67">
        <v>0</v>
      </c>
      <c r="J273" s="20">
        <v>27283</v>
      </c>
      <c r="K273" s="132" t="s">
        <v>621</v>
      </c>
      <c r="L273" s="151">
        <v>0</v>
      </c>
      <c r="M273" s="128">
        <v>161.88999999999999</v>
      </c>
      <c r="N273" s="67">
        <v>370</v>
      </c>
      <c r="O273" s="67">
        <v>27653</v>
      </c>
      <c r="P273" s="270"/>
      <c r="Q273" s="71">
        <v>170.81351534992899</v>
      </c>
      <c r="R273" s="449"/>
      <c r="S273" s="67">
        <v>28441</v>
      </c>
      <c r="T273" s="163">
        <v>-788</v>
      </c>
      <c r="U273" s="166">
        <v>-2.7706480081572379E-2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149.11000000000001</v>
      </c>
      <c r="E274" s="67">
        <v>25129</v>
      </c>
      <c r="F274" s="146">
        <v>0</v>
      </c>
      <c r="G274" s="146">
        <v>0</v>
      </c>
      <c r="H274" s="91">
        <v>25129</v>
      </c>
      <c r="I274" s="67">
        <v>0</v>
      </c>
      <c r="J274" s="20">
        <v>25129</v>
      </c>
      <c r="K274" s="132" t="s">
        <v>621</v>
      </c>
      <c r="L274" s="151">
        <v>0</v>
      </c>
      <c r="M274" s="128">
        <v>149.11000000000001</v>
      </c>
      <c r="N274" s="67">
        <v>341</v>
      </c>
      <c r="O274" s="67">
        <v>25470</v>
      </c>
      <c r="P274" s="270"/>
      <c r="Q274" s="71">
        <v>170.81349339413853</v>
      </c>
      <c r="R274" s="449"/>
      <c r="S274" s="67">
        <v>24170</v>
      </c>
      <c r="T274" s="163">
        <v>1300</v>
      </c>
      <c r="U274" s="166">
        <v>5.3785684733140257E-2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723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 t="e">
        <v>#DIV/0!</v>
      </c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2488</v>
      </c>
      <c r="E276" s="67">
        <v>419302</v>
      </c>
      <c r="F276" s="146">
        <v>0</v>
      </c>
      <c r="G276" s="146">
        <v>0</v>
      </c>
      <c r="H276" s="91">
        <v>419302</v>
      </c>
      <c r="I276" s="67">
        <v>0</v>
      </c>
      <c r="J276" s="20">
        <v>419302</v>
      </c>
      <c r="K276" s="132" t="s">
        <v>621</v>
      </c>
      <c r="L276" s="151">
        <v>0</v>
      </c>
      <c r="M276" s="128">
        <v>2488</v>
      </c>
      <c r="N276" s="67">
        <v>5688</v>
      </c>
      <c r="O276" s="67">
        <v>424990</v>
      </c>
      <c r="P276" s="270"/>
      <c r="Q276" s="71">
        <v>170.81591639871382</v>
      </c>
      <c r="R276" s="449"/>
      <c r="S276" s="67">
        <v>372041</v>
      </c>
      <c r="T276" s="163">
        <v>52949</v>
      </c>
      <c r="U276" s="166">
        <v>0.14232033566192973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35.89</v>
      </c>
      <c r="E277" s="67">
        <v>6049</v>
      </c>
      <c r="F277" s="146">
        <v>0</v>
      </c>
      <c r="G277" s="146">
        <v>0</v>
      </c>
      <c r="H277" s="91">
        <v>6049</v>
      </c>
      <c r="I277" s="67">
        <v>0</v>
      </c>
      <c r="J277" s="20">
        <v>6049</v>
      </c>
      <c r="K277" s="132" t="s">
        <v>1306</v>
      </c>
      <c r="L277" s="151">
        <v>0</v>
      </c>
      <c r="M277" s="128">
        <v>35.89</v>
      </c>
      <c r="N277" s="67">
        <v>82</v>
      </c>
      <c r="O277" s="67">
        <v>6131</v>
      </c>
      <c r="P277" s="270"/>
      <c r="Q277" s="71">
        <v>170.82752855948732</v>
      </c>
      <c r="R277" s="449"/>
      <c r="S277" s="67">
        <v>4749</v>
      </c>
      <c r="T277" s="163">
        <v>1382</v>
      </c>
      <c r="U277" s="166">
        <v>0.29100863339650451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14.44</v>
      </c>
      <c r="E278" s="67">
        <v>2434</v>
      </c>
      <c r="F278" s="146">
        <v>0</v>
      </c>
      <c r="G278" s="146">
        <v>0</v>
      </c>
      <c r="H278" s="91">
        <v>2434</v>
      </c>
      <c r="I278" s="67">
        <v>0</v>
      </c>
      <c r="J278" s="20">
        <v>2434</v>
      </c>
      <c r="K278" s="132" t="s">
        <v>1306</v>
      </c>
      <c r="L278" s="151">
        <v>0</v>
      </c>
      <c r="M278" s="128">
        <v>14.44</v>
      </c>
      <c r="N278" s="67">
        <v>33</v>
      </c>
      <c r="O278" s="67">
        <v>2467</v>
      </c>
      <c r="P278" s="270"/>
      <c r="Q278" s="71">
        <v>170.84487534626038</v>
      </c>
      <c r="R278" s="449"/>
      <c r="S278" s="67">
        <v>4067</v>
      </c>
      <c r="T278" s="163">
        <v>-1600</v>
      </c>
      <c r="U278" s="166">
        <v>-0.39341037619867225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1223</v>
      </c>
      <c r="E279" s="67">
        <v>206112</v>
      </c>
      <c r="F279" s="146">
        <v>0</v>
      </c>
      <c r="G279" s="146">
        <v>0</v>
      </c>
      <c r="H279" s="91">
        <v>206112</v>
      </c>
      <c r="I279" s="67">
        <v>0</v>
      </c>
      <c r="J279" s="20">
        <v>206112</v>
      </c>
      <c r="K279" s="132" t="s">
        <v>621</v>
      </c>
      <c r="L279" s="151">
        <v>0</v>
      </c>
      <c r="M279" s="128">
        <v>1223</v>
      </c>
      <c r="N279" s="67">
        <v>2796</v>
      </c>
      <c r="O279" s="67">
        <v>208908</v>
      </c>
      <c r="P279" s="270"/>
      <c r="Q279" s="71">
        <v>170.81602616516761</v>
      </c>
      <c r="R279" s="449"/>
      <c r="S279" s="67">
        <v>224866</v>
      </c>
      <c r="T279" s="163">
        <v>-15958</v>
      </c>
      <c r="U279" s="166">
        <v>-7.0966709062285985E-2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723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 t="e">
        <v>#DIV/0!</v>
      </c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784.22</v>
      </c>
      <c r="E281" s="67">
        <v>132164</v>
      </c>
      <c r="F281" s="146">
        <v>0</v>
      </c>
      <c r="G281" s="146">
        <v>0</v>
      </c>
      <c r="H281" s="91">
        <v>132164</v>
      </c>
      <c r="I281" s="67">
        <v>0</v>
      </c>
      <c r="J281" s="20">
        <v>132164</v>
      </c>
      <c r="K281" s="132" t="s">
        <v>621</v>
      </c>
      <c r="L281" s="151">
        <v>0</v>
      </c>
      <c r="M281" s="128">
        <v>784.22</v>
      </c>
      <c r="N281" s="67">
        <v>1793</v>
      </c>
      <c r="O281" s="67">
        <v>133957</v>
      </c>
      <c r="P281" s="270"/>
      <c r="Q281" s="71">
        <v>170.81558746270179</v>
      </c>
      <c r="R281" s="449"/>
      <c r="S281" s="67">
        <v>146563</v>
      </c>
      <c r="T281" s="163">
        <v>-12606</v>
      </c>
      <c r="U281" s="166">
        <v>-8.6010793993026885E-2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1215.22</v>
      </c>
      <c r="E282" s="67">
        <v>204801</v>
      </c>
      <c r="F282" s="146">
        <v>0</v>
      </c>
      <c r="G282" s="146">
        <v>0</v>
      </c>
      <c r="H282" s="91">
        <v>204801</v>
      </c>
      <c r="I282" s="67">
        <v>0</v>
      </c>
      <c r="J282" s="20">
        <v>204801</v>
      </c>
      <c r="K282" s="132" t="s">
        <v>621</v>
      </c>
      <c r="L282" s="151">
        <v>0</v>
      </c>
      <c r="M282" s="128">
        <v>1215.22</v>
      </c>
      <c r="N282" s="67">
        <v>2778</v>
      </c>
      <c r="O282" s="67">
        <v>207579</v>
      </c>
      <c r="P282" s="270"/>
      <c r="Q282" s="71">
        <v>170.81598393706489</v>
      </c>
      <c r="R282" s="449"/>
      <c r="S282" s="67">
        <v>202604</v>
      </c>
      <c r="T282" s="163">
        <v>4975</v>
      </c>
      <c r="U282" s="166">
        <v>2.4555290122603698E-2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344.44</v>
      </c>
      <c r="E283" s="67">
        <v>58048</v>
      </c>
      <c r="F283" s="146">
        <v>0</v>
      </c>
      <c r="G283" s="146">
        <v>0</v>
      </c>
      <c r="H283" s="91">
        <v>58048</v>
      </c>
      <c r="I283" s="67">
        <v>0</v>
      </c>
      <c r="J283" s="20">
        <v>58048</v>
      </c>
      <c r="K283" s="132" t="s">
        <v>621</v>
      </c>
      <c r="L283" s="151">
        <v>0</v>
      </c>
      <c r="M283" s="128">
        <v>344.44</v>
      </c>
      <c r="N283" s="67">
        <v>787</v>
      </c>
      <c r="O283" s="67">
        <v>58835</v>
      </c>
      <c r="P283" s="270"/>
      <c r="Q283" s="71">
        <v>170.81349436766925</v>
      </c>
      <c r="R283" s="449"/>
      <c r="S283" s="67">
        <v>61992</v>
      </c>
      <c r="T283" s="163">
        <v>-3157</v>
      </c>
      <c r="U283" s="166">
        <v>-5.0925925925925923E-2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64.33</v>
      </c>
      <c r="E284" s="67">
        <v>10842</v>
      </c>
      <c r="F284" s="146">
        <v>0</v>
      </c>
      <c r="G284" s="146">
        <v>0</v>
      </c>
      <c r="H284" s="91">
        <v>10842</v>
      </c>
      <c r="I284" s="67">
        <v>0</v>
      </c>
      <c r="J284" s="20">
        <v>10842</v>
      </c>
      <c r="K284" s="132" t="s">
        <v>1306</v>
      </c>
      <c r="L284" s="151">
        <v>0</v>
      </c>
      <c r="M284" s="128">
        <v>64.33</v>
      </c>
      <c r="N284" s="67">
        <v>147</v>
      </c>
      <c r="O284" s="67">
        <v>10989</v>
      </c>
      <c r="P284" s="270"/>
      <c r="Q284" s="71">
        <v>170.82232240012436</v>
      </c>
      <c r="R284" s="449"/>
      <c r="S284" s="67">
        <v>9858</v>
      </c>
      <c r="T284" s="163">
        <v>1131</v>
      </c>
      <c r="U284" s="166">
        <v>0.11472915398660986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723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 t="e">
        <v>#DIV/0!</v>
      </c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5.1100000000000003</v>
      </c>
      <c r="E286" s="67">
        <v>861</v>
      </c>
      <c r="F286" s="146">
        <v>0</v>
      </c>
      <c r="G286" s="146">
        <v>0</v>
      </c>
      <c r="H286" s="91">
        <v>861</v>
      </c>
      <c r="I286" s="67">
        <v>0</v>
      </c>
      <c r="J286" s="20">
        <v>861</v>
      </c>
      <c r="K286" s="132" t="s">
        <v>1306</v>
      </c>
      <c r="L286" s="151">
        <v>0</v>
      </c>
      <c r="M286" s="128">
        <v>5.1100000000000003</v>
      </c>
      <c r="N286" s="67">
        <v>12</v>
      </c>
      <c r="O286" s="67">
        <v>873</v>
      </c>
      <c r="P286" s="270"/>
      <c r="Q286" s="71">
        <v>170.84148727984342</v>
      </c>
      <c r="R286" s="449"/>
      <c r="S286" s="67">
        <v>3249</v>
      </c>
      <c r="T286" s="163">
        <v>-2376</v>
      </c>
      <c r="U286" s="166">
        <v>-0.73130193905817176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127</v>
      </c>
      <c r="E287" s="67">
        <v>21403</v>
      </c>
      <c r="F287" s="146">
        <v>0</v>
      </c>
      <c r="G287" s="146">
        <v>0</v>
      </c>
      <c r="H287" s="91">
        <v>21403</v>
      </c>
      <c r="I287" s="67">
        <v>0</v>
      </c>
      <c r="J287" s="20">
        <v>21403</v>
      </c>
      <c r="K287" s="132" t="s">
        <v>621</v>
      </c>
      <c r="L287" s="151">
        <v>0</v>
      </c>
      <c r="M287" s="128">
        <v>127</v>
      </c>
      <c r="N287" s="67">
        <v>290</v>
      </c>
      <c r="O287" s="67">
        <v>21693</v>
      </c>
      <c r="P287" s="270"/>
      <c r="Q287" s="71">
        <v>170.81102362204723</v>
      </c>
      <c r="R287" s="449"/>
      <c r="S287" s="67">
        <v>0</v>
      </c>
      <c r="T287" s="163">
        <v>21693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1576.56</v>
      </c>
      <c r="E288" s="67">
        <v>265697</v>
      </c>
      <c r="F288" s="146">
        <v>0</v>
      </c>
      <c r="G288" s="146">
        <v>0</v>
      </c>
      <c r="H288" s="91">
        <v>265697</v>
      </c>
      <c r="I288" s="67">
        <v>0</v>
      </c>
      <c r="J288" s="20">
        <v>265697</v>
      </c>
      <c r="K288" s="132" t="s">
        <v>621</v>
      </c>
      <c r="L288" s="151">
        <v>0</v>
      </c>
      <c r="M288" s="128">
        <v>1576.56</v>
      </c>
      <c r="N288" s="67">
        <v>3604</v>
      </c>
      <c r="O288" s="67">
        <v>269301</v>
      </c>
      <c r="P288" s="270"/>
      <c r="Q288" s="71">
        <v>170.81557314659767</v>
      </c>
      <c r="R288" s="449"/>
      <c r="S288" s="67">
        <v>288107</v>
      </c>
      <c r="T288" s="163">
        <v>-18806</v>
      </c>
      <c r="U288" s="166">
        <v>-6.5274359873241539E-2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100.78</v>
      </c>
      <c r="E289" s="67">
        <v>16984</v>
      </c>
      <c r="F289" s="146">
        <v>0</v>
      </c>
      <c r="G289" s="146">
        <v>0</v>
      </c>
      <c r="H289" s="91">
        <v>16984</v>
      </c>
      <c r="I289" s="67">
        <v>0</v>
      </c>
      <c r="J289" s="20">
        <v>16984</v>
      </c>
      <c r="K289" s="132" t="s">
        <v>621</v>
      </c>
      <c r="L289" s="151">
        <v>0</v>
      </c>
      <c r="M289" s="128">
        <v>100.78</v>
      </c>
      <c r="N289" s="67">
        <v>230</v>
      </c>
      <c r="O289" s="67">
        <v>17214</v>
      </c>
      <c r="P289" s="270"/>
      <c r="Q289" s="71">
        <v>170.80769994046437</v>
      </c>
      <c r="R289" s="449"/>
      <c r="S289" s="67">
        <v>20331</v>
      </c>
      <c r="T289" s="163">
        <v>-3117</v>
      </c>
      <c r="U289" s="166">
        <v>-0.15331267522502581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320.11</v>
      </c>
      <c r="E290" s="67">
        <v>53948</v>
      </c>
      <c r="F290" s="146">
        <v>0</v>
      </c>
      <c r="G290" s="146">
        <v>0</v>
      </c>
      <c r="H290" s="91">
        <v>53948</v>
      </c>
      <c r="I290" s="67">
        <v>0</v>
      </c>
      <c r="J290" s="20">
        <v>53948</v>
      </c>
      <c r="K290" s="132" t="s">
        <v>621</v>
      </c>
      <c r="L290" s="151">
        <v>0</v>
      </c>
      <c r="M290" s="128">
        <v>320.11</v>
      </c>
      <c r="N290" s="67">
        <v>732</v>
      </c>
      <c r="O290" s="67">
        <v>54680</v>
      </c>
      <c r="P290" s="270"/>
      <c r="Q290" s="71">
        <v>170.81628190309581</v>
      </c>
      <c r="R290" s="449"/>
      <c r="S290" s="67">
        <v>18014</v>
      </c>
      <c r="T290" s="163">
        <v>36666</v>
      </c>
      <c r="U290" s="166">
        <v>2.035416897968247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723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 t="e">
        <v>#DIV/0!</v>
      </c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58.22</v>
      </c>
      <c r="E292" s="67">
        <v>9812</v>
      </c>
      <c r="F292" s="146">
        <v>0</v>
      </c>
      <c r="G292" s="146">
        <v>0</v>
      </c>
      <c r="H292" s="91">
        <v>9812</v>
      </c>
      <c r="I292" s="67">
        <v>0</v>
      </c>
      <c r="J292" s="20">
        <v>9812</v>
      </c>
      <c r="K292" s="132" t="s">
        <v>644</v>
      </c>
      <c r="L292" s="151">
        <v>9812</v>
      </c>
      <c r="M292" s="128">
        <v>0</v>
      </c>
      <c r="N292" s="67">
        <v>0</v>
      </c>
      <c r="O292" s="67">
        <v>0</v>
      </c>
      <c r="P292" s="270"/>
      <c r="Q292" s="71" t="e">
        <v>#DIV/0!</v>
      </c>
      <c r="R292" s="449"/>
      <c r="S292" s="67">
        <v>0</v>
      </c>
      <c r="T292" s="163">
        <v>0</v>
      </c>
      <c r="U292" s="166">
        <v>0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199.33</v>
      </c>
      <c r="E293" s="67">
        <v>33593</v>
      </c>
      <c r="F293" s="146">
        <v>0</v>
      </c>
      <c r="G293" s="146">
        <v>0</v>
      </c>
      <c r="H293" s="91">
        <v>33593</v>
      </c>
      <c r="I293" s="67">
        <v>0</v>
      </c>
      <c r="J293" s="20">
        <v>33593</v>
      </c>
      <c r="K293" s="132" t="s">
        <v>621</v>
      </c>
      <c r="L293" s="151">
        <v>0</v>
      </c>
      <c r="M293" s="128">
        <v>199.33</v>
      </c>
      <c r="N293" s="67">
        <v>456</v>
      </c>
      <c r="O293" s="67">
        <v>34049</v>
      </c>
      <c r="P293" s="270"/>
      <c r="Q293" s="71">
        <v>170.81723774645059</v>
      </c>
      <c r="R293" s="449"/>
      <c r="S293" s="67">
        <v>33892</v>
      </c>
      <c r="T293" s="163">
        <v>157</v>
      </c>
      <c r="U293" s="166">
        <v>4.6323616192611829E-3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723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 t="e">
        <v>#DIV/0!</v>
      </c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12.11</v>
      </c>
      <c r="E295" s="67">
        <v>2041</v>
      </c>
      <c r="F295" s="146">
        <v>0</v>
      </c>
      <c r="G295" s="146">
        <v>0</v>
      </c>
      <c r="H295" s="91">
        <v>2041</v>
      </c>
      <c r="I295" s="67">
        <v>0</v>
      </c>
      <c r="J295" s="20">
        <v>2041</v>
      </c>
      <c r="K295" s="132" t="s">
        <v>644</v>
      </c>
      <c r="L295" s="151">
        <v>2041</v>
      </c>
      <c r="M295" s="128">
        <v>0</v>
      </c>
      <c r="N295" s="67">
        <v>0</v>
      </c>
      <c r="O295" s="67">
        <v>0</v>
      </c>
      <c r="P295" s="270"/>
      <c r="Q295" s="71" t="e">
        <v>#DIV/0!</v>
      </c>
      <c r="R295" s="449"/>
      <c r="S295" s="67">
        <v>0</v>
      </c>
      <c r="T295" s="163">
        <v>0</v>
      </c>
      <c r="U295" s="166">
        <v>0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723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 t="e">
        <v>#DIV/0!</v>
      </c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83.56</v>
      </c>
      <c r="E297" s="67">
        <v>14082</v>
      </c>
      <c r="F297" s="146">
        <v>0</v>
      </c>
      <c r="G297" s="146">
        <v>0</v>
      </c>
      <c r="H297" s="91">
        <v>14082</v>
      </c>
      <c r="I297" s="67">
        <v>0</v>
      </c>
      <c r="J297" s="20">
        <v>14082</v>
      </c>
      <c r="K297" s="132" t="s">
        <v>621</v>
      </c>
      <c r="L297" s="151">
        <v>0</v>
      </c>
      <c r="M297" s="128">
        <v>83.56</v>
      </c>
      <c r="N297" s="67">
        <v>191</v>
      </c>
      <c r="O297" s="67">
        <v>14273</v>
      </c>
      <c r="P297" s="270"/>
      <c r="Q297" s="71">
        <v>170.81139301101004</v>
      </c>
      <c r="R297" s="449"/>
      <c r="S297" s="67">
        <v>11109</v>
      </c>
      <c r="T297" s="163">
        <v>3164</v>
      </c>
      <c r="U297" s="166">
        <v>0.28481411468178952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723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 t="e">
        <v>#DIV/0!</v>
      </c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723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 t="e">
        <v>#DIV/0!</v>
      </c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139.56</v>
      </c>
      <c r="E300" s="67">
        <v>23520</v>
      </c>
      <c r="F300" s="146">
        <v>0</v>
      </c>
      <c r="G300" s="146">
        <v>0</v>
      </c>
      <c r="H300" s="91">
        <v>23520</v>
      </c>
      <c r="I300" s="67">
        <v>0</v>
      </c>
      <c r="J300" s="20">
        <v>23520</v>
      </c>
      <c r="K300" s="132" t="s">
        <v>621</v>
      </c>
      <c r="L300" s="151">
        <v>0</v>
      </c>
      <c r="M300" s="128">
        <v>139.56</v>
      </c>
      <c r="N300" s="67">
        <v>319</v>
      </c>
      <c r="O300" s="67">
        <v>23839</v>
      </c>
      <c r="P300" s="270"/>
      <c r="Q300" s="71">
        <v>170.81541989108626</v>
      </c>
      <c r="R300" s="449"/>
      <c r="S300" s="67">
        <v>22240</v>
      </c>
      <c r="T300" s="163">
        <v>1599</v>
      </c>
      <c r="U300" s="166">
        <v>7.1897482014388489E-2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4510</v>
      </c>
      <c r="E301" s="67">
        <v>760068</v>
      </c>
      <c r="F301" s="146">
        <v>0</v>
      </c>
      <c r="G301" s="146">
        <v>0</v>
      </c>
      <c r="H301" s="91">
        <v>760068</v>
      </c>
      <c r="I301" s="67">
        <v>0</v>
      </c>
      <c r="J301" s="20">
        <v>760068</v>
      </c>
      <c r="K301" s="132" t="s">
        <v>621</v>
      </c>
      <c r="L301" s="151">
        <v>0</v>
      </c>
      <c r="M301" s="128">
        <v>4510</v>
      </c>
      <c r="N301" s="67">
        <v>10311</v>
      </c>
      <c r="O301" s="67">
        <v>770379</v>
      </c>
      <c r="P301" s="270"/>
      <c r="Q301" s="71">
        <v>170.81574279379157</v>
      </c>
      <c r="R301" s="449"/>
      <c r="S301" s="67">
        <v>0</v>
      </c>
      <c r="T301" s="163">
        <v>770379</v>
      </c>
      <c r="U301" s="166">
        <v>0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86.78</v>
      </c>
      <c r="E302" s="67">
        <v>14625</v>
      </c>
      <c r="F302" s="146">
        <v>0</v>
      </c>
      <c r="G302" s="146">
        <v>0</v>
      </c>
      <c r="H302" s="91">
        <v>14625</v>
      </c>
      <c r="I302" s="67">
        <v>0</v>
      </c>
      <c r="J302" s="20">
        <v>14625</v>
      </c>
      <c r="K302" s="132" t="s">
        <v>644</v>
      </c>
      <c r="L302" s="151">
        <v>14625</v>
      </c>
      <c r="M302" s="128">
        <v>0</v>
      </c>
      <c r="N302" s="67">
        <v>0</v>
      </c>
      <c r="O302" s="67">
        <v>0</v>
      </c>
      <c r="P302" s="270"/>
      <c r="Q302" s="71" t="e">
        <v>#DIV/0!</v>
      </c>
      <c r="R302" s="449"/>
      <c r="S302" s="67">
        <v>13811</v>
      </c>
      <c r="T302" s="163">
        <v>-13811</v>
      </c>
      <c r="U302" s="166">
        <v>-1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128.11000000000001</v>
      </c>
      <c r="E303" s="67">
        <v>21590</v>
      </c>
      <c r="F303" s="146">
        <v>0</v>
      </c>
      <c r="G303" s="146">
        <v>0</v>
      </c>
      <c r="H303" s="91">
        <v>21590</v>
      </c>
      <c r="I303" s="67">
        <v>0</v>
      </c>
      <c r="J303" s="20">
        <v>21590</v>
      </c>
      <c r="K303" s="132" t="s">
        <v>621</v>
      </c>
      <c r="L303" s="151">
        <v>0</v>
      </c>
      <c r="M303" s="128">
        <v>128.11000000000001</v>
      </c>
      <c r="N303" s="67">
        <v>293</v>
      </c>
      <c r="O303" s="67">
        <v>21883</v>
      </c>
      <c r="P303" s="270"/>
      <c r="Q303" s="71">
        <v>170.81414409491842</v>
      </c>
      <c r="R303" s="449"/>
      <c r="S303" s="67">
        <v>26578</v>
      </c>
      <c r="T303" s="163">
        <v>-4695</v>
      </c>
      <c r="U303" s="166">
        <v>-0.17664986078711717</v>
      </c>
      <c r="X303" s="67"/>
      <c r="Y303" s="451"/>
      <c r="Z303" s="452"/>
    </row>
    <row r="304" spans="1:32">
      <c r="C304" s="105" t="s">
        <v>620</v>
      </c>
      <c r="D304" s="134">
        <v>97345.289999999979</v>
      </c>
      <c r="E304" s="67">
        <v>16405558</v>
      </c>
      <c r="F304" s="146">
        <v>0</v>
      </c>
      <c r="G304" s="146">
        <v>0</v>
      </c>
      <c r="H304" s="91">
        <v>16405555</v>
      </c>
      <c r="I304" s="71">
        <v>0</v>
      </c>
      <c r="J304" s="73">
        <v>16405555</v>
      </c>
      <c r="K304" s="132"/>
      <c r="L304" s="151">
        <v>219577</v>
      </c>
      <c r="M304" s="67">
        <v>96042.389999999985</v>
      </c>
      <c r="N304" s="88">
        <v>219574</v>
      </c>
      <c r="O304" s="88">
        <v>16415142</v>
      </c>
      <c r="P304" s="270"/>
      <c r="Q304" s="71"/>
      <c r="R304" s="72"/>
      <c r="S304" s="91">
        <v>15691218</v>
      </c>
      <c r="T304" s="91">
        <v>723924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conditionalFormatting sqref="L9:L303">
    <cfRule type="expression" dxfId="11" priority="2">
      <formula>AND($L9&gt;0,$K9="Yes")</formula>
    </cfRule>
  </conditionalFormatting>
  <conditionalFormatting sqref="C9:C303">
    <cfRule type="expression" dxfId="10" priority="1">
      <formula>AND($O9&lt;10000,$K9="Y")</formula>
    </cfRule>
  </conditionalFormatting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>
    <tabColor rgb="FF92D050"/>
  </sheetPr>
  <dimension ref="A1:AF304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E19" sqref="E1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825222</v>
      </c>
      <c r="O3" s="67">
        <v>15691218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15691218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91137.86000000003</v>
      </c>
      <c r="E7" s="88">
        <v>172.17013873268471</v>
      </c>
      <c r="F7" s="72">
        <v>0</v>
      </c>
      <c r="G7" s="72">
        <v>0</v>
      </c>
      <c r="H7" s="161">
        <v>15691218</v>
      </c>
      <c r="I7" s="73">
        <v>0</v>
      </c>
      <c r="J7" s="73">
        <v>15691218</v>
      </c>
      <c r="K7" s="72"/>
      <c r="L7" s="88">
        <v>825222</v>
      </c>
      <c r="M7" s="67">
        <v>86344.790000000023</v>
      </c>
      <c r="N7" s="88">
        <v>825222</v>
      </c>
      <c r="O7" s="88">
        <v>15691218</v>
      </c>
      <c r="P7" s="88"/>
      <c r="S7" s="91">
        <v>14969054</v>
      </c>
      <c r="T7" s="163">
        <v>722164</v>
      </c>
      <c r="U7" s="166">
        <v>-2.3382687701953835E-2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91137.86000000003</v>
      </c>
      <c r="E8" s="530">
        <v>15691218</v>
      </c>
      <c r="F8" s="530"/>
      <c r="G8" s="530"/>
      <c r="H8" s="530">
        <v>15691218</v>
      </c>
      <c r="I8" s="530"/>
      <c r="J8" s="530">
        <v>15691218</v>
      </c>
      <c r="K8" s="529"/>
      <c r="L8" s="530">
        <v>825222</v>
      </c>
      <c r="M8" s="530">
        <v>86344.790000000023</v>
      </c>
      <c r="N8" s="530">
        <v>825222</v>
      </c>
      <c r="O8" s="530">
        <v>15691218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254.5</v>
      </c>
      <c r="E9" s="67">
        <v>43817</v>
      </c>
      <c r="F9" s="146">
        <v>0</v>
      </c>
      <c r="G9" s="146">
        <v>0</v>
      </c>
      <c r="H9" s="91">
        <v>43817</v>
      </c>
      <c r="I9" s="67">
        <v>0</v>
      </c>
      <c r="J9" s="20">
        <v>43817</v>
      </c>
      <c r="K9" s="132" t="s">
        <v>621</v>
      </c>
      <c r="L9" s="151">
        <v>0</v>
      </c>
      <c r="M9" s="128">
        <v>254.5</v>
      </c>
      <c r="N9" s="67">
        <v>2432</v>
      </c>
      <c r="O9" s="67">
        <v>46249</v>
      </c>
      <c r="P9" s="270"/>
      <c r="Q9" s="71"/>
      <c r="R9" s="449"/>
      <c r="S9" s="67">
        <v>45365</v>
      </c>
      <c r="T9" s="163">
        <v>884</v>
      </c>
      <c r="U9" s="166">
        <v>1.9486388184723907E-2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1277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1277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56.75</v>
      </c>
      <c r="E12" s="67">
        <v>9771</v>
      </c>
      <c r="F12" s="146">
        <v>0</v>
      </c>
      <c r="G12" s="146">
        <v>0</v>
      </c>
      <c r="H12" s="91">
        <v>9771</v>
      </c>
      <c r="I12" s="67">
        <v>0</v>
      </c>
      <c r="J12" s="148">
        <v>9771</v>
      </c>
      <c r="K12" s="132" t="s">
        <v>644</v>
      </c>
      <c r="L12" s="151">
        <v>9771</v>
      </c>
      <c r="M12" s="128">
        <v>0</v>
      </c>
      <c r="N12" s="67">
        <v>0</v>
      </c>
      <c r="O12" s="67">
        <v>0</v>
      </c>
      <c r="P12" s="270"/>
      <c r="Q12" s="71"/>
      <c r="R12" s="449"/>
      <c r="S12" s="67">
        <v>9140</v>
      </c>
      <c r="T12" s="163">
        <v>-9140</v>
      </c>
      <c r="U12" s="166">
        <v>-1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176</v>
      </c>
      <c r="E13" s="67">
        <v>30302</v>
      </c>
      <c r="F13" s="146">
        <v>0</v>
      </c>
      <c r="G13" s="146">
        <v>0</v>
      </c>
      <c r="H13" s="91">
        <v>30302</v>
      </c>
      <c r="I13" s="67">
        <v>0</v>
      </c>
      <c r="J13" s="20">
        <v>30302</v>
      </c>
      <c r="K13" s="132" t="s">
        <v>621</v>
      </c>
      <c r="L13" s="151">
        <v>0</v>
      </c>
      <c r="M13" s="128">
        <v>176</v>
      </c>
      <c r="N13" s="67">
        <v>1682</v>
      </c>
      <c r="O13" s="67">
        <v>31984</v>
      </c>
      <c r="P13" s="270"/>
      <c r="Q13" s="71"/>
      <c r="R13" s="449"/>
      <c r="S13" s="67">
        <v>29488</v>
      </c>
      <c r="T13" s="163">
        <v>2496</v>
      </c>
      <c r="U13" s="166">
        <v>8.4644601193705912E-2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1277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1828.88</v>
      </c>
      <c r="E15" s="67">
        <v>314879</v>
      </c>
      <c r="F15" s="146">
        <v>0</v>
      </c>
      <c r="G15" s="146">
        <v>0</v>
      </c>
      <c r="H15" s="91">
        <v>314879</v>
      </c>
      <c r="I15" s="67">
        <v>0</v>
      </c>
      <c r="J15" s="20">
        <v>314879</v>
      </c>
      <c r="K15" s="132" t="s">
        <v>621</v>
      </c>
      <c r="L15" s="151">
        <v>0</v>
      </c>
      <c r="M15" s="128">
        <v>1828.88</v>
      </c>
      <c r="N15" s="67">
        <v>17479</v>
      </c>
      <c r="O15" s="67">
        <v>332358</v>
      </c>
      <c r="P15" s="270"/>
      <c r="Q15" s="71"/>
      <c r="R15" s="449"/>
      <c r="S15" s="67">
        <v>306806</v>
      </c>
      <c r="T15" s="163">
        <v>25552</v>
      </c>
      <c r="U15" s="166">
        <v>8.3283899271852577E-2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32.75</v>
      </c>
      <c r="E16" s="67">
        <v>5639</v>
      </c>
      <c r="F16" s="146">
        <v>0</v>
      </c>
      <c r="G16" s="146">
        <v>0</v>
      </c>
      <c r="H16" s="91">
        <v>5639</v>
      </c>
      <c r="I16" s="67">
        <v>0</v>
      </c>
      <c r="J16" s="20">
        <v>5639</v>
      </c>
      <c r="K16" s="132" t="s">
        <v>644</v>
      </c>
      <c r="L16" s="151">
        <v>5639</v>
      </c>
      <c r="M16" s="128">
        <v>0</v>
      </c>
      <c r="N16" s="67">
        <v>0</v>
      </c>
      <c r="O16" s="67">
        <v>0</v>
      </c>
      <c r="P16" s="270"/>
      <c r="Q16" s="71"/>
      <c r="R16" s="449"/>
      <c r="S16" s="67">
        <v>5681</v>
      </c>
      <c r="T16" s="163">
        <v>-5681</v>
      </c>
      <c r="U16" s="166">
        <v>-1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700.88</v>
      </c>
      <c r="E17" s="67">
        <v>120671</v>
      </c>
      <c r="F17" s="146">
        <v>0</v>
      </c>
      <c r="G17" s="146">
        <v>0</v>
      </c>
      <c r="H17" s="91">
        <v>120671</v>
      </c>
      <c r="I17" s="67">
        <v>0</v>
      </c>
      <c r="J17" s="20">
        <v>120671</v>
      </c>
      <c r="K17" s="132" t="s">
        <v>621</v>
      </c>
      <c r="L17" s="151">
        <v>0</v>
      </c>
      <c r="M17" s="128">
        <v>700.88</v>
      </c>
      <c r="N17" s="67">
        <v>6699</v>
      </c>
      <c r="O17" s="67">
        <v>127370</v>
      </c>
      <c r="P17" s="270"/>
      <c r="Q17" s="71"/>
      <c r="R17" s="449"/>
      <c r="S17" s="67">
        <v>120415</v>
      </c>
      <c r="T17" s="163">
        <v>6955</v>
      </c>
      <c r="U17" s="166">
        <v>5.7758584893908567E-2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1737.38</v>
      </c>
      <c r="E18" s="67">
        <v>299125</v>
      </c>
      <c r="F18" s="146">
        <v>0</v>
      </c>
      <c r="G18" s="146">
        <v>0</v>
      </c>
      <c r="H18" s="91">
        <v>299125</v>
      </c>
      <c r="I18" s="67">
        <v>0</v>
      </c>
      <c r="J18" s="20">
        <v>299125</v>
      </c>
      <c r="K18" s="132" t="s">
        <v>621</v>
      </c>
      <c r="L18" s="151">
        <v>0</v>
      </c>
      <c r="M18" s="128">
        <v>1737.38</v>
      </c>
      <c r="N18" s="67">
        <v>16605</v>
      </c>
      <c r="O18" s="67">
        <v>315730</v>
      </c>
      <c r="P18" s="270"/>
      <c r="Q18" s="71"/>
      <c r="R18" s="449"/>
      <c r="S18" s="67">
        <v>291479</v>
      </c>
      <c r="T18" s="163">
        <v>24251</v>
      </c>
      <c r="U18" s="166">
        <v>8.3199818854874624E-2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615.63</v>
      </c>
      <c r="E19" s="67">
        <v>105993</v>
      </c>
      <c r="F19" s="146">
        <v>0</v>
      </c>
      <c r="G19" s="146">
        <v>0</v>
      </c>
      <c r="H19" s="91">
        <v>105993</v>
      </c>
      <c r="I19" s="67">
        <v>0</v>
      </c>
      <c r="J19" s="20">
        <v>105993</v>
      </c>
      <c r="K19" s="132" t="s">
        <v>621</v>
      </c>
      <c r="L19" s="151">
        <v>0</v>
      </c>
      <c r="M19" s="128">
        <v>615.63</v>
      </c>
      <c r="N19" s="67">
        <v>5884</v>
      </c>
      <c r="O19" s="67">
        <v>111877</v>
      </c>
      <c r="P19" s="270"/>
      <c r="Q19" s="71"/>
      <c r="R19" s="449"/>
      <c r="S19" s="67">
        <v>98900</v>
      </c>
      <c r="T19" s="163">
        <v>12977</v>
      </c>
      <c r="U19" s="166">
        <v>0.1312133468149646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1277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/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266.5</v>
      </c>
      <c r="E21" s="67">
        <v>45883</v>
      </c>
      <c r="F21" s="146">
        <v>0</v>
      </c>
      <c r="G21" s="146">
        <v>0</v>
      </c>
      <c r="H21" s="91">
        <v>45883</v>
      </c>
      <c r="I21" s="67">
        <v>0</v>
      </c>
      <c r="J21" s="20">
        <v>45883</v>
      </c>
      <c r="K21" s="132" t="s">
        <v>621</v>
      </c>
      <c r="L21" s="151">
        <v>0</v>
      </c>
      <c r="M21" s="128">
        <v>266.5</v>
      </c>
      <c r="N21" s="67">
        <v>2547</v>
      </c>
      <c r="O21" s="67">
        <v>48430</v>
      </c>
      <c r="P21" s="270"/>
      <c r="Q21" s="71"/>
      <c r="R21" s="449"/>
      <c r="S21" s="67">
        <v>46863</v>
      </c>
      <c r="T21" s="163">
        <v>1567</v>
      </c>
      <c r="U21" s="166">
        <v>3.343789343405245E-2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1277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/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90.25</v>
      </c>
      <c r="E23" s="67">
        <v>15538</v>
      </c>
      <c r="F23" s="146">
        <v>0</v>
      </c>
      <c r="G23" s="146">
        <v>0</v>
      </c>
      <c r="H23" s="91">
        <v>15538</v>
      </c>
      <c r="I23" s="67">
        <v>0</v>
      </c>
      <c r="J23" s="20">
        <v>15538</v>
      </c>
      <c r="K23" s="132" t="s">
        <v>621</v>
      </c>
      <c r="L23" s="151">
        <v>0</v>
      </c>
      <c r="M23" s="128">
        <v>90.25</v>
      </c>
      <c r="N23" s="67">
        <v>863</v>
      </c>
      <c r="O23" s="67">
        <v>16401</v>
      </c>
      <c r="P23" s="270"/>
      <c r="Q23" s="71"/>
      <c r="R23" s="449"/>
      <c r="S23" s="67">
        <v>15680</v>
      </c>
      <c r="T23" s="163">
        <v>721</v>
      </c>
      <c r="U23" s="166">
        <v>4.598214285714286E-2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1277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/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126.63</v>
      </c>
      <c r="E25" s="67">
        <v>21802</v>
      </c>
      <c r="F25" s="146">
        <v>0</v>
      </c>
      <c r="G25" s="146">
        <v>0</v>
      </c>
      <c r="H25" s="91">
        <v>21802</v>
      </c>
      <c r="I25" s="67">
        <v>0</v>
      </c>
      <c r="J25" s="20">
        <v>21802</v>
      </c>
      <c r="K25" s="132" t="s">
        <v>621</v>
      </c>
      <c r="L25" s="151">
        <v>0</v>
      </c>
      <c r="M25" s="128">
        <v>126.63</v>
      </c>
      <c r="N25" s="67">
        <v>1210</v>
      </c>
      <c r="O25" s="67">
        <v>23012</v>
      </c>
      <c r="P25" s="270"/>
      <c r="Q25" s="71"/>
      <c r="R25" s="449"/>
      <c r="S25" s="67">
        <v>22001</v>
      </c>
      <c r="T25" s="163">
        <v>1011</v>
      </c>
      <c r="U25" s="166">
        <v>4.5952456706513344E-2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388</v>
      </c>
      <c r="E26" s="67">
        <v>66802</v>
      </c>
      <c r="F26" s="146">
        <v>0</v>
      </c>
      <c r="G26" s="146">
        <v>0</v>
      </c>
      <c r="H26" s="91">
        <v>66802</v>
      </c>
      <c r="I26" s="67">
        <v>0</v>
      </c>
      <c r="J26" s="20">
        <v>66802</v>
      </c>
      <c r="K26" s="132" t="s">
        <v>621</v>
      </c>
      <c r="L26" s="151">
        <v>0</v>
      </c>
      <c r="M26" s="128">
        <v>388</v>
      </c>
      <c r="N26" s="67">
        <v>3708</v>
      </c>
      <c r="O26" s="67">
        <v>70510</v>
      </c>
      <c r="P26" s="270"/>
      <c r="Q26" s="71"/>
      <c r="R26" s="449"/>
      <c r="S26" s="67">
        <v>70690</v>
      </c>
      <c r="T26" s="163">
        <v>-180</v>
      </c>
      <c r="U26" s="166">
        <v>-2.5463290422973548E-3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310.75</v>
      </c>
      <c r="E27" s="67">
        <v>53502</v>
      </c>
      <c r="F27" s="146">
        <v>0</v>
      </c>
      <c r="G27" s="146">
        <v>0</v>
      </c>
      <c r="H27" s="91">
        <v>53502</v>
      </c>
      <c r="I27" s="67">
        <v>0</v>
      </c>
      <c r="J27" s="20">
        <v>53502</v>
      </c>
      <c r="K27" s="132" t="s">
        <v>621</v>
      </c>
      <c r="L27" s="151">
        <v>0</v>
      </c>
      <c r="M27" s="128">
        <v>310.75</v>
      </c>
      <c r="N27" s="67">
        <v>2970</v>
      </c>
      <c r="O27" s="67">
        <v>56472</v>
      </c>
      <c r="P27" s="270"/>
      <c r="Q27" s="71"/>
      <c r="R27" s="449"/>
      <c r="S27" s="67">
        <v>58337</v>
      </c>
      <c r="T27" s="163">
        <v>-1865</v>
      </c>
      <c r="U27" s="166">
        <v>-3.1969419065087337E-2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20">
        <v>0</v>
      </c>
      <c r="K28" s="132" t="s">
        <v>1277</v>
      </c>
      <c r="L28" s="151">
        <v>0</v>
      </c>
      <c r="M28" s="128">
        <v>0</v>
      </c>
      <c r="N28" s="67">
        <v>0</v>
      </c>
      <c r="O28" s="67">
        <v>0</v>
      </c>
      <c r="P28" s="270"/>
      <c r="Q28" s="71"/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633</v>
      </c>
      <c r="E29" s="67">
        <v>108984</v>
      </c>
      <c r="F29" s="146">
        <v>0</v>
      </c>
      <c r="G29" s="146">
        <v>0</v>
      </c>
      <c r="H29" s="91">
        <v>108984</v>
      </c>
      <c r="I29" s="67">
        <v>0</v>
      </c>
      <c r="J29" s="20">
        <v>108984</v>
      </c>
      <c r="K29" s="132" t="s">
        <v>621</v>
      </c>
      <c r="L29" s="151">
        <v>0</v>
      </c>
      <c r="M29" s="128">
        <v>633</v>
      </c>
      <c r="N29" s="67">
        <v>6050</v>
      </c>
      <c r="O29" s="67">
        <v>115034</v>
      </c>
      <c r="P29" s="270"/>
      <c r="Q29" s="71"/>
      <c r="R29" s="449"/>
      <c r="S29" s="67">
        <v>105375</v>
      </c>
      <c r="T29" s="163">
        <v>9659</v>
      </c>
      <c r="U29" s="166">
        <v>9.1663107947805453E-2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107.63</v>
      </c>
      <c r="E30" s="67">
        <v>18531</v>
      </c>
      <c r="F30" s="146">
        <v>0</v>
      </c>
      <c r="G30" s="146">
        <v>0</v>
      </c>
      <c r="H30" s="91">
        <v>18531</v>
      </c>
      <c r="I30" s="67">
        <v>0</v>
      </c>
      <c r="J30" s="20">
        <v>18531</v>
      </c>
      <c r="K30" s="132" t="s">
        <v>621</v>
      </c>
      <c r="L30" s="151">
        <v>0</v>
      </c>
      <c r="M30" s="128">
        <v>107.63</v>
      </c>
      <c r="N30" s="67">
        <v>1029</v>
      </c>
      <c r="O30" s="67">
        <v>19560</v>
      </c>
      <c r="P30" s="270"/>
      <c r="Q30" s="71"/>
      <c r="R30" s="449"/>
      <c r="S30" s="67">
        <v>15371</v>
      </c>
      <c r="T30" s="163">
        <v>4189</v>
      </c>
      <c r="U30" s="166">
        <v>0.2725261856743218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1277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/>
      <c r="R31" s="449"/>
      <c r="S31" s="67">
        <v>13588</v>
      </c>
      <c r="T31" s="163">
        <v>-13588</v>
      </c>
      <c r="U31" s="166">
        <v>-1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1277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/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170.5</v>
      </c>
      <c r="E33" s="67">
        <v>29355</v>
      </c>
      <c r="F33" s="146">
        <v>0</v>
      </c>
      <c r="G33" s="146">
        <v>0</v>
      </c>
      <c r="H33" s="91">
        <v>29355</v>
      </c>
      <c r="I33" s="67">
        <v>0</v>
      </c>
      <c r="J33" s="20">
        <v>29355</v>
      </c>
      <c r="K33" s="132" t="s">
        <v>621</v>
      </c>
      <c r="L33" s="151">
        <v>0</v>
      </c>
      <c r="M33" s="128">
        <v>170.5</v>
      </c>
      <c r="N33" s="67">
        <v>1630</v>
      </c>
      <c r="O33" s="67">
        <v>30985</v>
      </c>
      <c r="P33" s="270"/>
      <c r="Q33" s="71"/>
      <c r="R33" s="449"/>
      <c r="S33" s="67">
        <v>29311</v>
      </c>
      <c r="T33" s="163">
        <v>1674</v>
      </c>
      <c r="U33" s="166">
        <v>5.7111664562792125E-2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225.5</v>
      </c>
      <c r="E34" s="67">
        <v>38824</v>
      </c>
      <c r="F34" s="146">
        <v>0</v>
      </c>
      <c r="G34" s="146">
        <v>0</v>
      </c>
      <c r="H34" s="91">
        <v>38824</v>
      </c>
      <c r="I34" s="67">
        <v>0</v>
      </c>
      <c r="J34" s="20">
        <v>38824</v>
      </c>
      <c r="K34" s="132" t="s">
        <v>621</v>
      </c>
      <c r="L34" s="151">
        <v>0</v>
      </c>
      <c r="M34" s="128">
        <v>225.5</v>
      </c>
      <c r="N34" s="67">
        <v>2155</v>
      </c>
      <c r="O34" s="67">
        <v>40979</v>
      </c>
      <c r="P34" s="270"/>
      <c r="Q34" s="71"/>
      <c r="R34" s="449"/>
      <c r="S34" s="67">
        <v>36292</v>
      </c>
      <c r="T34" s="163">
        <v>4687</v>
      </c>
      <c r="U34" s="166">
        <v>0.12914691943127962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29.5</v>
      </c>
      <c r="E35" s="67">
        <v>5079</v>
      </c>
      <c r="F35" s="146">
        <v>0</v>
      </c>
      <c r="G35" s="146">
        <v>0</v>
      </c>
      <c r="H35" s="91">
        <v>5079</v>
      </c>
      <c r="I35" s="67">
        <v>0</v>
      </c>
      <c r="J35" s="20">
        <v>5079</v>
      </c>
      <c r="K35" s="132" t="s">
        <v>1278</v>
      </c>
      <c r="L35" s="151">
        <v>5079</v>
      </c>
      <c r="M35" s="128">
        <v>0</v>
      </c>
      <c r="N35" s="67">
        <v>0</v>
      </c>
      <c r="O35" s="67">
        <v>0</v>
      </c>
      <c r="P35" s="270"/>
      <c r="Q35" s="71"/>
      <c r="R35" s="449"/>
      <c r="S35" s="67">
        <v>5660</v>
      </c>
      <c r="T35" s="163">
        <v>-5660</v>
      </c>
      <c r="U35" s="166">
        <v>-1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1277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/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231</v>
      </c>
      <c r="E37" s="67">
        <v>39771</v>
      </c>
      <c r="F37" s="146">
        <v>0</v>
      </c>
      <c r="G37" s="146">
        <v>0</v>
      </c>
      <c r="H37" s="91">
        <v>39771</v>
      </c>
      <c r="I37" s="67">
        <v>0</v>
      </c>
      <c r="J37" s="20">
        <v>39771</v>
      </c>
      <c r="K37" s="132" t="s">
        <v>621</v>
      </c>
      <c r="L37" s="151">
        <v>0</v>
      </c>
      <c r="M37" s="128">
        <v>231</v>
      </c>
      <c r="N37" s="67">
        <v>2208</v>
      </c>
      <c r="O37" s="67">
        <v>41979</v>
      </c>
      <c r="P37" s="270"/>
      <c r="Q37" s="71"/>
      <c r="R37" s="449"/>
      <c r="S37" s="67">
        <v>37349</v>
      </c>
      <c r="T37" s="163">
        <v>4630</v>
      </c>
      <c r="U37" s="166">
        <v>0.12396583576534848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239.13</v>
      </c>
      <c r="E38" s="67">
        <v>41171</v>
      </c>
      <c r="F38" s="146">
        <v>0</v>
      </c>
      <c r="G38" s="146">
        <v>0</v>
      </c>
      <c r="H38" s="91">
        <v>41171</v>
      </c>
      <c r="I38" s="67">
        <v>0</v>
      </c>
      <c r="J38" s="20">
        <v>41171</v>
      </c>
      <c r="K38" s="132" t="s">
        <v>621</v>
      </c>
      <c r="L38" s="151">
        <v>0</v>
      </c>
      <c r="M38" s="128">
        <v>239.13</v>
      </c>
      <c r="N38" s="67">
        <v>2285</v>
      </c>
      <c r="O38" s="67">
        <v>43456</v>
      </c>
      <c r="P38" s="270"/>
      <c r="Q38" s="71"/>
      <c r="R38" s="449"/>
      <c r="S38" s="67">
        <v>40872</v>
      </c>
      <c r="T38" s="163">
        <v>2584</v>
      </c>
      <c r="U38" s="166">
        <v>6.3221765511841846E-2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310</v>
      </c>
      <c r="E39" s="67">
        <v>53373</v>
      </c>
      <c r="F39" s="146">
        <v>0</v>
      </c>
      <c r="G39" s="146">
        <v>0</v>
      </c>
      <c r="H39" s="91">
        <v>53373</v>
      </c>
      <c r="I39" s="67">
        <v>0</v>
      </c>
      <c r="J39" s="20">
        <v>53373</v>
      </c>
      <c r="K39" s="132" t="s">
        <v>621</v>
      </c>
      <c r="L39" s="151">
        <v>0</v>
      </c>
      <c r="M39" s="128">
        <v>310</v>
      </c>
      <c r="N39" s="67">
        <v>2963</v>
      </c>
      <c r="O39" s="67">
        <v>56336</v>
      </c>
      <c r="P39" s="270"/>
      <c r="Q39" s="71"/>
      <c r="R39" s="449"/>
      <c r="S39" s="67">
        <v>45673</v>
      </c>
      <c r="T39" s="163">
        <v>10663</v>
      </c>
      <c r="U39" s="166">
        <v>0.23346397214984782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63.75</v>
      </c>
      <c r="E40" s="67">
        <v>10976</v>
      </c>
      <c r="F40" s="146">
        <v>0</v>
      </c>
      <c r="G40" s="146">
        <v>0</v>
      </c>
      <c r="H40" s="91">
        <v>10976</v>
      </c>
      <c r="I40" s="67">
        <v>0</v>
      </c>
      <c r="J40" s="20">
        <v>10976</v>
      </c>
      <c r="K40" s="132" t="s">
        <v>621</v>
      </c>
      <c r="L40" s="151">
        <v>0</v>
      </c>
      <c r="M40" s="128">
        <v>63.75</v>
      </c>
      <c r="N40" s="67">
        <v>609</v>
      </c>
      <c r="O40" s="67">
        <v>11585</v>
      </c>
      <c r="P40" s="270"/>
      <c r="Q40" s="71"/>
      <c r="R40" s="449"/>
      <c r="S40" s="67">
        <v>12135</v>
      </c>
      <c r="T40" s="163">
        <v>-550</v>
      </c>
      <c r="U40" s="166">
        <v>-4.5323444581788219E-2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77.63</v>
      </c>
      <c r="E41" s="67">
        <v>13366</v>
      </c>
      <c r="F41" s="146">
        <v>0</v>
      </c>
      <c r="G41" s="146">
        <v>0</v>
      </c>
      <c r="H41" s="91">
        <v>13366</v>
      </c>
      <c r="I41" s="67">
        <v>0</v>
      </c>
      <c r="J41" s="20">
        <v>13366</v>
      </c>
      <c r="K41" s="132" t="s">
        <v>621</v>
      </c>
      <c r="L41" s="151">
        <v>0</v>
      </c>
      <c r="M41" s="128">
        <v>77.63</v>
      </c>
      <c r="N41" s="67">
        <v>742</v>
      </c>
      <c r="O41" s="67">
        <v>14108</v>
      </c>
      <c r="P41" s="270"/>
      <c r="Q41" s="71"/>
      <c r="R41" s="449"/>
      <c r="S41" s="67">
        <v>13368</v>
      </c>
      <c r="T41" s="163">
        <v>740</v>
      </c>
      <c r="U41" s="166">
        <v>5.5356074207061637E-2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3</v>
      </c>
      <c r="E42" s="67">
        <v>517</v>
      </c>
      <c r="F42" s="146">
        <v>0</v>
      </c>
      <c r="G42" s="146">
        <v>0</v>
      </c>
      <c r="H42" s="91">
        <v>517</v>
      </c>
      <c r="I42" s="67">
        <v>0</v>
      </c>
      <c r="J42" s="20">
        <v>517</v>
      </c>
      <c r="K42" s="132" t="s">
        <v>1278</v>
      </c>
      <c r="L42" s="151">
        <v>517</v>
      </c>
      <c r="M42" s="128">
        <v>0</v>
      </c>
      <c r="N42" s="67">
        <v>0</v>
      </c>
      <c r="O42" s="67">
        <v>0</v>
      </c>
      <c r="P42" s="270"/>
      <c r="Q42" s="71"/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13.25</v>
      </c>
      <c r="E43" s="67">
        <v>2281</v>
      </c>
      <c r="F43" s="146">
        <v>0</v>
      </c>
      <c r="G43" s="146">
        <v>0</v>
      </c>
      <c r="H43" s="91">
        <v>2281</v>
      </c>
      <c r="I43" s="67">
        <v>0</v>
      </c>
      <c r="J43" s="20">
        <v>2281</v>
      </c>
      <c r="K43" s="132" t="s">
        <v>1278</v>
      </c>
      <c r="L43" s="151">
        <v>2281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17.38</v>
      </c>
      <c r="E44" s="67">
        <v>2992</v>
      </c>
      <c r="F44" s="146">
        <v>0</v>
      </c>
      <c r="G44" s="146">
        <v>0</v>
      </c>
      <c r="H44" s="91">
        <v>2992</v>
      </c>
      <c r="I44" s="67">
        <v>0</v>
      </c>
      <c r="J44" s="20">
        <v>2992</v>
      </c>
      <c r="K44" s="132" t="s">
        <v>1278</v>
      </c>
      <c r="L44" s="151">
        <v>2992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21</v>
      </c>
      <c r="E45" s="67">
        <v>3616</v>
      </c>
      <c r="F45" s="146">
        <v>0</v>
      </c>
      <c r="G45" s="146">
        <v>0</v>
      </c>
      <c r="H45" s="91">
        <v>3616</v>
      </c>
      <c r="I45" s="67">
        <v>0</v>
      </c>
      <c r="J45" s="20">
        <v>3616</v>
      </c>
      <c r="K45" s="132" t="s">
        <v>621</v>
      </c>
      <c r="L45" s="151">
        <v>0</v>
      </c>
      <c r="M45" s="128">
        <v>21</v>
      </c>
      <c r="N45" s="67">
        <v>201</v>
      </c>
      <c r="O45" s="67">
        <v>3817</v>
      </c>
      <c r="P45" s="270"/>
      <c r="Q45" s="71"/>
      <c r="R45" s="449"/>
      <c r="S45" s="67">
        <v>2666</v>
      </c>
      <c r="T45" s="163">
        <v>1151</v>
      </c>
      <c r="U45" s="166">
        <v>0.4317329332333083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1209.75</v>
      </c>
      <c r="E46" s="67">
        <v>208283</v>
      </c>
      <c r="F46" s="146">
        <v>0</v>
      </c>
      <c r="G46" s="146">
        <v>0</v>
      </c>
      <c r="H46" s="91">
        <v>208283</v>
      </c>
      <c r="I46" s="67">
        <v>0</v>
      </c>
      <c r="J46" s="20">
        <v>208283</v>
      </c>
      <c r="K46" s="132" t="s">
        <v>621</v>
      </c>
      <c r="L46" s="151">
        <v>0</v>
      </c>
      <c r="M46" s="128">
        <v>1209.75</v>
      </c>
      <c r="N46" s="67">
        <v>11562</v>
      </c>
      <c r="O46" s="67">
        <v>219845</v>
      </c>
      <c r="P46" s="270"/>
      <c r="Q46" s="71"/>
      <c r="R46" s="449"/>
      <c r="S46" s="67">
        <v>195685</v>
      </c>
      <c r="T46" s="163">
        <v>24160</v>
      </c>
      <c r="U46" s="166">
        <v>0.12346372997419322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1277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/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171.63</v>
      </c>
      <c r="E48" s="67">
        <v>29550</v>
      </c>
      <c r="F48" s="146">
        <v>0</v>
      </c>
      <c r="G48" s="146">
        <v>0</v>
      </c>
      <c r="H48" s="91">
        <v>29550</v>
      </c>
      <c r="I48" s="67">
        <v>0</v>
      </c>
      <c r="J48" s="20">
        <v>29550</v>
      </c>
      <c r="K48" s="132" t="s">
        <v>621</v>
      </c>
      <c r="L48" s="151">
        <v>0</v>
      </c>
      <c r="M48" s="128">
        <v>171.63</v>
      </c>
      <c r="N48" s="67">
        <v>1640</v>
      </c>
      <c r="O48" s="67">
        <v>31190</v>
      </c>
      <c r="P48" s="270"/>
      <c r="Q48" s="71"/>
      <c r="R48" s="449"/>
      <c r="S48" s="67">
        <v>28716</v>
      </c>
      <c r="T48" s="163">
        <v>2474</v>
      </c>
      <c r="U48" s="166">
        <v>8.6154060454102246E-2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1277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1277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/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91</v>
      </c>
      <c r="E51" s="67">
        <v>15667</v>
      </c>
      <c r="F51" s="146">
        <v>0</v>
      </c>
      <c r="G51" s="146">
        <v>0</v>
      </c>
      <c r="H51" s="91">
        <v>15667</v>
      </c>
      <c r="I51" s="67">
        <v>0</v>
      </c>
      <c r="J51" s="20">
        <v>15667</v>
      </c>
      <c r="K51" s="132" t="s">
        <v>621</v>
      </c>
      <c r="L51" s="151">
        <v>0</v>
      </c>
      <c r="M51" s="128">
        <v>91</v>
      </c>
      <c r="N51" s="67">
        <v>870</v>
      </c>
      <c r="O51" s="67">
        <v>16537</v>
      </c>
      <c r="P51" s="270"/>
      <c r="Q51" s="71"/>
      <c r="R51" s="449"/>
      <c r="S51" s="67">
        <v>13633</v>
      </c>
      <c r="T51" s="163">
        <v>2904</v>
      </c>
      <c r="U51" s="166">
        <v>0.21301254309396317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67</v>
      </c>
      <c r="E52" s="67">
        <v>11535</v>
      </c>
      <c r="F52" s="146">
        <v>0</v>
      </c>
      <c r="G52" s="146">
        <v>0</v>
      </c>
      <c r="H52" s="91">
        <v>11535</v>
      </c>
      <c r="I52" s="67">
        <v>0</v>
      </c>
      <c r="J52" s="20">
        <v>11535</v>
      </c>
      <c r="K52" s="132" t="s">
        <v>644</v>
      </c>
      <c r="L52" s="151">
        <v>11535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1277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/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21.63</v>
      </c>
      <c r="E54" s="67">
        <v>3724</v>
      </c>
      <c r="F54" s="146">
        <v>0</v>
      </c>
      <c r="G54" s="146">
        <v>0</v>
      </c>
      <c r="H54" s="91">
        <v>3724</v>
      </c>
      <c r="I54" s="67">
        <v>0</v>
      </c>
      <c r="J54" s="20">
        <v>3724</v>
      </c>
      <c r="K54" s="132" t="s">
        <v>621</v>
      </c>
      <c r="L54" s="151">
        <v>0</v>
      </c>
      <c r="M54" s="128">
        <v>21.63</v>
      </c>
      <c r="N54" s="67">
        <v>207</v>
      </c>
      <c r="O54" s="67">
        <v>3931</v>
      </c>
      <c r="P54" s="270"/>
      <c r="Q54" s="71"/>
      <c r="R54" s="449"/>
      <c r="S54" s="67">
        <v>3370</v>
      </c>
      <c r="T54" s="163">
        <v>561</v>
      </c>
      <c r="U54" s="166">
        <v>0.16646884272997034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1277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1277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/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34.130000000000003</v>
      </c>
      <c r="E57" s="67">
        <v>5876</v>
      </c>
      <c r="F57" s="146">
        <v>0</v>
      </c>
      <c r="G57" s="146">
        <v>0</v>
      </c>
      <c r="H57" s="91">
        <v>5876</v>
      </c>
      <c r="I57" s="67">
        <v>0</v>
      </c>
      <c r="J57" s="20">
        <v>5876</v>
      </c>
      <c r="K57" s="132" t="s">
        <v>621</v>
      </c>
      <c r="L57" s="151">
        <v>0</v>
      </c>
      <c r="M57" s="128">
        <v>34.130000000000003</v>
      </c>
      <c r="N57" s="67">
        <v>326</v>
      </c>
      <c r="O57" s="67">
        <v>6202</v>
      </c>
      <c r="P57" s="270"/>
      <c r="Q57" s="71"/>
      <c r="R57" s="449"/>
      <c r="S57" s="67">
        <v>4889</v>
      </c>
      <c r="T57" s="163">
        <v>1313</v>
      </c>
      <c r="U57" s="166">
        <v>0.26856207813458782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1277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1277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/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1277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1277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1277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1277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1277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1277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4.63</v>
      </c>
      <c r="E66" s="67">
        <v>797</v>
      </c>
      <c r="F66" s="146">
        <v>0</v>
      </c>
      <c r="G66" s="146">
        <v>0</v>
      </c>
      <c r="H66" s="91">
        <v>797</v>
      </c>
      <c r="I66" s="67">
        <v>0</v>
      </c>
      <c r="J66" s="20">
        <v>797</v>
      </c>
      <c r="K66" s="132" t="s">
        <v>1278</v>
      </c>
      <c r="L66" s="151">
        <v>797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18</v>
      </c>
      <c r="E67" s="67">
        <v>3099</v>
      </c>
      <c r="F67" s="146">
        <v>0</v>
      </c>
      <c r="G67" s="146">
        <v>0</v>
      </c>
      <c r="H67" s="91">
        <v>3099</v>
      </c>
      <c r="I67" s="67">
        <v>0</v>
      </c>
      <c r="J67" s="20">
        <v>3099</v>
      </c>
      <c r="K67" s="132" t="s">
        <v>621</v>
      </c>
      <c r="L67" s="151">
        <v>0</v>
      </c>
      <c r="M67" s="128">
        <v>18</v>
      </c>
      <c r="N67" s="67">
        <v>172</v>
      </c>
      <c r="O67" s="67">
        <v>3271</v>
      </c>
      <c r="P67" s="270"/>
      <c r="Q67" s="71"/>
      <c r="R67" s="449"/>
      <c r="S67" s="67">
        <v>2577</v>
      </c>
      <c r="T67" s="163">
        <v>694</v>
      </c>
      <c r="U67" s="166">
        <v>0.26930539386883973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1277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127.5</v>
      </c>
      <c r="E69" s="67">
        <v>21952</v>
      </c>
      <c r="F69" s="146">
        <v>0</v>
      </c>
      <c r="G69" s="146">
        <v>0</v>
      </c>
      <c r="H69" s="91">
        <v>21952</v>
      </c>
      <c r="I69" s="67">
        <v>0</v>
      </c>
      <c r="J69" s="20">
        <v>21952</v>
      </c>
      <c r="K69" s="132" t="s">
        <v>621</v>
      </c>
      <c r="L69" s="151">
        <v>0</v>
      </c>
      <c r="M69" s="128">
        <v>127.5</v>
      </c>
      <c r="N69" s="67">
        <v>1219</v>
      </c>
      <c r="O69" s="67">
        <v>23171</v>
      </c>
      <c r="P69" s="270"/>
      <c r="Q69" s="71"/>
      <c r="R69" s="449"/>
      <c r="S69" s="67">
        <v>20700</v>
      </c>
      <c r="T69" s="163">
        <v>2471</v>
      </c>
      <c r="U69" s="166">
        <v>0.1193719806763285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249.38</v>
      </c>
      <c r="E70" s="67">
        <v>42936</v>
      </c>
      <c r="F70" s="146">
        <v>0</v>
      </c>
      <c r="G70" s="146">
        <v>0</v>
      </c>
      <c r="H70" s="91">
        <v>42936</v>
      </c>
      <c r="I70" s="67">
        <v>0</v>
      </c>
      <c r="J70" s="20">
        <v>42936</v>
      </c>
      <c r="K70" s="132" t="s">
        <v>621</v>
      </c>
      <c r="L70" s="151">
        <v>0</v>
      </c>
      <c r="M70" s="128">
        <v>249.38</v>
      </c>
      <c r="N70" s="67">
        <v>2383</v>
      </c>
      <c r="O70" s="67">
        <v>45319</v>
      </c>
      <c r="P70" s="270"/>
      <c r="Q70" s="71"/>
      <c r="R70" s="449"/>
      <c r="S70" s="67">
        <v>37944</v>
      </c>
      <c r="T70" s="163">
        <v>7375</v>
      </c>
      <c r="U70" s="166">
        <v>0.19436538056082647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912.38</v>
      </c>
      <c r="E71" s="67">
        <v>157085</v>
      </c>
      <c r="F71" s="146">
        <v>0</v>
      </c>
      <c r="G71" s="146">
        <v>0</v>
      </c>
      <c r="H71" s="91">
        <v>157085</v>
      </c>
      <c r="I71" s="67">
        <v>0</v>
      </c>
      <c r="J71" s="20">
        <v>157085</v>
      </c>
      <c r="K71" s="132" t="s">
        <v>621</v>
      </c>
      <c r="L71" s="151">
        <v>0</v>
      </c>
      <c r="M71" s="128">
        <v>912.38</v>
      </c>
      <c r="N71" s="67">
        <v>8720</v>
      </c>
      <c r="O71" s="67">
        <v>165805</v>
      </c>
      <c r="P71" s="270"/>
      <c r="Q71" s="71"/>
      <c r="R71" s="449"/>
      <c r="S71" s="67">
        <v>147260</v>
      </c>
      <c r="T71" s="163">
        <v>18545</v>
      </c>
      <c r="U71" s="166">
        <v>0.125933722667391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6</v>
      </c>
      <c r="E72" s="67">
        <v>1033</v>
      </c>
      <c r="F72" s="146">
        <v>0</v>
      </c>
      <c r="G72" s="146">
        <v>0</v>
      </c>
      <c r="H72" s="91">
        <v>1033</v>
      </c>
      <c r="I72" s="67">
        <v>0</v>
      </c>
      <c r="J72" s="20">
        <v>1033</v>
      </c>
      <c r="K72" s="132" t="s">
        <v>621</v>
      </c>
      <c r="L72" s="151">
        <v>0</v>
      </c>
      <c r="M72" s="128">
        <v>6</v>
      </c>
      <c r="N72" s="67">
        <v>57</v>
      </c>
      <c r="O72" s="67">
        <v>1090</v>
      </c>
      <c r="P72" s="270"/>
      <c r="Q72" s="71"/>
      <c r="R72" s="449"/>
      <c r="S72" s="67">
        <v>1168</v>
      </c>
      <c r="T72" s="163">
        <v>-78</v>
      </c>
      <c r="U72" s="166">
        <v>-6.6780821917808222E-2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12.25</v>
      </c>
      <c r="E73" s="67">
        <v>2109</v>
      </c>
      <c r="F73" s="146">
        <v>0</v>
      </c>
      <c r="G73" s="146">
        <v>0</v>
      </c>
      <c r="H73" s="91">
        <v>2109</v>
      </c>
      <c r="I73" s="67">
        <v>0</v>
      </c>
      <c r="J73" s="20">
        <v>2109</v>
      </c>
      <c r="K73" s="132" t="s">
        <v>1278</v>
      </c>
      <c r="L73" s="151">
        <v>2109</v>
      </c>
      <c r="M73" s="128">
        <v>0</v>
      </c>
      <c r="N73" s="67">
        <v>0</v>
      </c>
      <c r="O73" s="67">
        <v>0</v>
      </c>
      <c r="P73" s="270"/>
      <c r="Q73" s="71"/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1965.25</v>
      </c>
      <c r="E74" s="67">
        <v>338357</v>
      </c>
      <c r="F74" s="146">
        <v>0</v>
      </c>
      <c r="G74" s="146">
        <v>0</v>
      </c>
      <c r="H74" s="91">
        <v>338357</v>
      </c>
      <c r="I74" s="67">
        <v>0</v>
      </c>
      <c r="J74" s="20">
        <v>338357</v>
      </c>
      <c r="K74" s="132" t="s">
        <v>621</v>
      </c>
      <c r="L74" s="151">
        <v>0</v>
      </c>
      <c r="M74" s="128">
        <v>1965.25</v>
      </c>
      <c r="N74" s="67">
        <v>18782</v>
      </c>
      <c r="O74" s="67">
        <v>357139</v>
      </c>
      <c r="P74" s="270"/>
      <c r="Q74" s="71"/>
      <c r="R74" s="449"/>
      <c r="S74" s="67">
        <v>344046</v>
      </c>
      <c r="T74" s="163">
        <v>13093</v>
      </c>
      <c r="U74" s="166">
        <v>3.8055957633572252E-2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212.5</v>
      </c>
      <c r="E75" s="67">
        <v>36586</v>
      </c>
      <c r="F75" s="146">
        <v>0</v>
      </c>
      <c r="G75" s="146">
        <v>0</v>
      </c>
      <c r="H75" s="91">
        <v>36586</v>
      </c>
      <c r="I75" s="67">
        <v>0</v>
      </c>
      <c r="J75" s="20">
        <v>36586</v>
      </c>
      <c r="K75" s="132" t="s">
        <v>621</v>
      </c>
      <c r="L75" s="151">
        <v>0</v>
      </c>
      <c r="M75" s="128">
        <v>212.5</v>
      </c>
      <c r="N75" s="67">
        <v>2031</v>
      </c>
      <c r="O75" s="67">
        <v>38617</v>
      </c>
      <c r="P75" s="270"/>
      <c r="Q75" s="71"/>
      <c r="R75" s="449"/>
      <c r="S75" s="67">
        <v>34442</v>
      </c>
      <c r="T75" s="163">
        <v>4175</v>
      </c>
      <c r="U75" s="166">
        <v>0.12121828000696824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96.25</v>
      </c>
      <c r="E76" s="67">
        <v>16571</v>
      </c>
      <c r="F76" s="146">
        <v>0</v>
      </c>
      <c r="G76" s="146">
        <v>0</v>
      </c>
      <c r="H76" s="91">
        <v>16571</v>
      </c>
      <c r="I76" s="67">
        <v>0</v>
      </c>
      <c r="J76" s="20">
        <v>16571</v>
      </c>
      <c r="K76" s="132" t="s">
        <v>621</v>
      </c>
      <c r="L76" s="151">
        <v>0</v>
      </c>
      <c r="M76" s="128">
        <v>96.25</v>
      </c>
      <c r="N76" s="67">
        <v>920</v>
      </c>
      <c r="O76" s="67">
        <v>17491</v>
      </c>
      <c r="P76" s="270"/>
      <c r="Q76" s="71"/>
      <c r="R76" s="449"/>
      <c r="S76" s="67">
        <v>0</v>
      </c>
      <c r="T76" s="163">
        <v>17491</v>
      </c>
      <c r="U76" s="166">
        <v>0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1277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/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48.13</v>
      </c>
      <c r="E78" s="67">
        <v>8287</v>
      </c>
      <c r="F78" s="146">
        <v>0</v>
      </c>
      <c r="G78" s="146">
        <v>0</v>
      </c>
      <c r="H78" s="91">
        <v>8287</v>
      </c>
      <c r="I78" s="67">
        <v>0</v>
      </c>
      <c r="J78" s="20">
        <v>8287</v>
      </c>
      <c r="K78" s="132" t="s">
        <v>621</v>
      </c>
      <c r="L78" s="151">
        <v>0</v>
      </c>
      <c r="M78" s="128">
        <v>48.13</v>
      </c>
      <c r="N78" s="67">
        <v>460</v>
      </c>
      <c r="O78" s="67">
        <v>8747</v>
      </c>
      <c r="P78" s="270"/>
      <c r="Q78" s="71"/>
      <c r="R78" s="449"/>
      <c r="S78" s="67">
        <v>7290</v>
      </c>
      <c r="T78" s="163">
        <v>1457</v>
      </c>
      <c r="U78" s="166">
        <v>0.19986282578875172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176.13</v>
      </c>
      <c r="E79" s="67">
        <v>30324</v>
      </c>
      <c r="F79" s="146">
        <v>0</v>
      </c>
      <c r="G79" s="146">
        <v>0</v>
      </c>
      <c r="H79" s="91">
        <v>30324</v>
      </c>
      <c r="I79" s="67">
        <v>0</v>
      </c>
      <c r="J79" s="20">
        <v>30324</v>
      </c>
      <c r="K79" s="132" t="s">
        <v>621</v>
      </c>
      <c r="L79" s="151">
        <v>0</v>
      </c>
      <c r="M79" s="128">
        <v>176.13</v>
      </c>
      <c r="N79" s="67">
        <v>1683</v>
      </c>
      <c r="O79" s="67">
        <v>32007</v>
      </c>
      <c r="P79" s="270"/>
      <c r="Q79" s="71"/>
      <c r="R79" s="449"/>
      <c r="S79" s="67">
        <v>27814</v>
      </c>
      <c r="T79" s="163">
        <v>4193</v>
      </c>
      <c r="U79" s="166">
        <v>0.15075142014812684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189.63</v>
      </c>
      <c r="E80" s="67">
        <v>32649</v>
      </c>
      <c r="F80" s="146">
        <v>0</v>
      </c>
      <c r="G80" s="146">
        <v>0</v>
      </c>
      <c r="H80" s="91">
        <v>32649</v>
      </c>
      <c r="I80" s="67">
        <v>0</v>
      </c>
      <c r="J80" s="20">
        <v>32649</v>
      </c>
      <c r="K80" s="132" t="s">
        <v>621</v>
      </c>
      <c r="L80" s="151">
        <v>0</v>
      </c>
      <c r="M80" s="128">
        <v>189.63</v>
      </c>
      <c r="N80" s="67">
        <v>1812</v>
      </c>
      <c r="O80" s="67">
        <v>34461</v>
      </c>
      <c r="P80" s="270"/>
      <c r="Q80" s="71"/>
      <c r="R80" s="449"/>
      <c r="S80" s="67">
        <v>31139</v>
      </c>
      <c r="T80" s="163">
        <v>3322</v>
      </c>
      <c r="U80" s="166">
        <v>0.10668293779504801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1277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/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1762.63</v>
      </c>
      <c r="E82" s="67">
        <v>303472</v>
      </c>
      <c r="F82" s="146">
        <v>0</v>
      </c>
      <c r="G82" s="146">
        <v>0</v>
      </c>
      <c r="H82" s="91">
        <v>303472</v>
      </c>
      <c r="I82" s="67">
        <v>0</v>
      </c>
      <c r="J82" s="20">
        <v>303472</v>
      </c>
      <c r="K82" s="132" t="s">
        <v>621</v>
      </c>
      <c r="L82" s="151">
        <v>0</v>
      </c>
      <c r="M82" s="128">
        <v>1762.63</v>
      </c>
      <c r="N82" s="67">
        <v>16846</v>
      </c>
      <c r="O82" s="67">
        <v>320318</v>
      </c>
      <c r="P82" s="270"/>
      <c r="Q82" s="71"/>
      <c r="R82" s="449"/>
      <c r="S82" s="67">
        <v>312114</v>
      </c>
      <c r="T82" s="163">
        <v>8204</v>
      </c>
      <c r="U82" s="166">
        <v>2.6285267562493192E-2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2187.63</v>
      </c>
      <c r="E83" s="67">
        <v>376645</v>
      </c>
      <c r="F83" s="146">
        <v>0</v>
      </c>
      <c r="G83" s="146">
        <v>0</v>
      </c>
      <c r="H83" s="91">
        <v>376645</v>
      </c>
      <c r="I83" s="67">
        <v>0</v>
      </c>
      <c r="J83" s="20">
        <v>376645</v>
      </c>
      <c r="K83" s="132" t="s">
        <v>621</v>
      </c>
      <c r="L83" s="151">
        <v>0</v>
      </c>
      <c r="M83" s="128">
        <v>2187.63</v>
      </c>
      <c r="N83" s="67">
        <v>20908</v>
      </c>
      <c r="O83" s="67">
        <v>397553</v>
      </c>
      <c r="P83" s="270"/>
      <c r="Q83" s="71"/>
      <c r="R83" s="449"/>
      <c r="S83" s="67">
        <v>356114</v>
      </c>
      <c r="T83" s="163">
        <v>41439</v>
      </c>
      <c r="U83" s="166">
        <v>0.11636442262870879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1277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3019.38</v>
      </c>
      <c r="E85" s="67">
        <v>519847</v>
      </c>
      <c r="F85" s="146">
        <v>0</v>
      </c>
      <c r="G85" s="146">
        <v>0</v>
      </c>
      <c r="H85" s="91">
        <v>519847</v>
      </c>
      <c r="I85" s="67">
        <v>0</v>
      </c>
      <c r="J85" s="20">
        <v>519847</v>
      </c>
      <c r="K85" s="132" t="s">
        <v>621</v>
      </c>
      <c r="L85" s="151">
        <v>0</v>
      </c>
      <c r="M85" s="128">
        <v>3019.38</v>
      </c>
      <c r="N85" s="67">
        <v>28857</v>
      </c>
      <c r="O85" s="67">
        <v>548704</v>
      </c>
      <c r="P85" s="270"/>
      <c r="Q85" s="71"/>
      <c r="R85" s="449"/>
      <c r="S85" s="67">
        <v>504120</v>
      </c>
      <c r="T85" s="163">
        <v>44584</v>
      </c>
      <c r="U85" s="166">
        <v>8.8439260493533289E-2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235.75</v>
      </c>
      <c r="E86" s="67">
        <v>40589</v>
      </c>
      <c r="F86" s="146">
        <v>0</v>
      </c>
      <c r="G86" s="146">
        <v>0</v>
      </c>
      <c r="H86" s="91">
        <v>40589</v>
      </c>
      <c r="I86" s="67">
        <v>0</v>
      </c>
      <c r="J86" s="20">
        <v>40589</v>
      </c>
      <c r="K86" s="132" t="s">
        <v>621</v>
      </c>
      <c r="L86" s="151">
        <v>0</v>
      </c>
      <c r="M86" s="128">
        <v>235.75</v>
      </c>
      <c r="N86" s="67">
        <v>2253</v>
      </c>
      <c r="O86" s="67">
        <v>42842</v>
      </c>
      <c r="P86" s="270"/>
      <c r="Q86" s="71"/>
      <c r="R86" s="449"/>
      <c r="S86" s="67">
        <v>41248</v>
      </c>
      <c r="T86" s="163">
        <v>1594</v>
      </c>
      <c r="U86" s="166">
        <v>3.8644297905352988E-2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360.88</v>
      </c>
      <c r="E87" s="67">
        <v>62133</v>
      </c>
      <c r="F87" s="146">
        <v>0</v>
      </c>
      <c r="G87" s="146">
        <v>0</v>
      </c>
      <c r="H87" s="91">
        <v>62133</v>
      </c>
      <c r="I87" s="67">
        <v>0</v>
      </c>
      <c r="J87" s="20">
        <v>62133</v>
      </c>
      <c r="K87" s="132" t="s">
        <v>621</v>
      </c>
      <c r="L87" s="151">
        <v>0</v>
      </c>
      <c r="M87" s="128">
        <v>360.88</v>
      </c>
      <c r="N87" s="67">
        <v>3449</v>
      </c>
      <c r="O87" s="67">
        <v>65582</v>
      </c>
      <c r="P87" s="270"/>
      <c r="Q87" s="71"/>
      <c r="R87" s="449"/>
      <c r="S87" s="67">
        <v>59899</v>
      </c>
      <c r="T87" s="163">
        <v>5683</v>
      </c>
      <c r="U87" s="166">
        <v>9.4876375231639928E-2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128.5</v>
      </c>
      <c r="E88" s="67">
        <v>22124</v>
      </c>
      <c r="F88" s="146">
        <v>0</v>
      </c>
      <c r="G88" s="146">
        <v>0</v>
      </c>
      <c r="H88" s="91">
        <v>22124</v>
      </c>
      <c r="I88" s="67">
        <v>0</v>
      </c>
      <c r="J88" s="20">
        <v>22124</v>
      </c>
      <c r="K88" s="132" t="s">
        <v>621</v>
      </c>
      <c r="L88" s="151">
        <v>0</v>
      </c>
      <c r="M88" s="128">
        <v>128.5</v>
      </c>
      <c r="N88" s="67">
        <v>1228</v>
      </c>
      <c r="O88" s="67">
        <v>23352</v>
      </c>
      <c r="P88" s="270"/>
      <c r="Q88" s="71"/>
      <c r="R88" s="449"/>
      <c r="S88" s="67">
        <v>21758</v>
      </c>
      <c r="T88" s="163">
        <v>1594</v>
      </c>
      <c r="U88" s="166">
        <v>7.3260409964151119E-2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579.63</v>
      </c>
      <c r="E89" s="67">
        <v>99795</v>
      </c>
      <c r="F89" s="146">
        <v>0</v>
      </c>
      <c r="G89" s="146">
        <v>0</v>
      </c>
      <c r="H89" s="91">
        <v>99795</v>
      </c>
      <c r="I89" s="67">
        <v>0</v>
      </c>
      <c r="J89" s="20">
        <v>99795</v>
      </c>
      <c r="K89" s="132" t="s">
        <v>621</v>
      </c>
      <c r="L89" s="151">
        <v>0</v>
      </c>
      <c r="M89" s="128">
        <v>579.63</v>
      </c>
      <c r="N89" s="67">
        <v>5540</v>
      </c>
      <c r="O89" s="67">
        <v>105335</v>
      </c>
      <c r="P89" s="270"/>
      <c r="Q89" s="71"/>
      <c r="R89" s="449"/>
      <c r="S89" s="67">
        <v>96434</v>
      </c>
      <c r="T89" s="163">
        <v>8901</v>
      </c>
      <c r="U89" s="166">
        <v>9.2301470435738428E-2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1277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1277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1277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/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31.13</v>
      </c>
      <c r="E93" s="67">
        <v>5360</v>
      </c>
      <c r="F93" s="146">
        <v>0</v>
      </c>
      <c r="G93" s="146">
        <v>0</v>
      </c>
      <c r="H93" s="91">
        <v>5360</v>
      </c>
      <c r="I93" s="67">
        <v>0</v>
      </c>
      <c r="J93" s="20">
        <v>5360</v>
      </c>
      <c r="K93" s="132" t="s">
        <v>621</v>
      </c>
      <c r="L93" s="151">
        <v>0</v>
      </c>
      <c r="M93" s="128">
        <v>31.13</v>
      </c>
      <c r="N93" s="67">
        <v>298</v>
      </c>
      <c r="O93" s="67">
        <v>5658</v>
      </c>
      <c r="P93" s="270"/>
      <c r="Q93" s="71"/>
      <c r="R93" s="449"/>
      <c r="S93" s="67">
        <v>5924</v>
      </c>
      <c r="T93" s="163">
        <v>-266</v>
      </c>
      <c r="U93" s="166">
        <v>-4.4902093180283591E-2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1277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1134.6300000000001</v>
      </c>
      <c r="E95" s="67">
        <v>195349</v>
      </c>
      <c r="F95" s="146">
        <v>0</v>
      </c>
      <c r="G95" s="146">
        <v>0</v>
      </c>
      <c r="H95" s="91">
        <v>195349</v>
      </c>
      <c r="I95" s="67">
        <v>0</v>
      </c>
      <c r="J95" s="20">
        <v>195349</v>
      </c>
      <c r="K95" s="132" t="s">
        <v>621</v>
      </c>
      <c r="L95" s="151">
        <v>0</v>
      </c>
      <c r="M95" s="128">
        <v>1134.6300000000001</v>
      </c>
      <c r="N95" s="67">
        <v>10844</v>
      </c>
      <c r="O95" s="67">
        <v>206193</v>
      </c>
      <c r="P95" s="270"/>
      <c r="Q95" s="71"/>
      <c r="R95" s="449"/>
      <c r="S95" s="67">
        <v>185907</v>
      </c>
      <c r="T95" s="163">
        <v>20286</v>
      </c>
      <c r="U95" s="166">
        <v>0.1091190756668657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572.5</v>
      </c>
      <c r="E96" s="67">
        <v>98567</v>
      </c>
      <c r="F96" s="146">
        <v>0</v>
      </c>
      <c r="G96" s="146">
        <v>0</v>
      </c>
      <c r="H96" s="91">
        <v>98567</v>
      </c>
      <c r="I96" s="67">
        <v>0</v>
      </c>
      <c r="J96" s="20">
        <v>98567</v>
      </c>
      <c r="K96" s="132" t="s">
        <v>621</v>
      </c>
      <c r="L96" s="151">
        <v>0</v>
      </c>
      <c r="M96" s="128">
        <v>572.5</v>
      </c>
      <c r="N96" s="67">
        <v>5472</v>
      </c>
      <c r="O96" s="67">
        <v>104039</v>
      </c>
      <c r="P96" s="270"/>
      <c r="Q96" s="71"/>
      <c r="R96" s="449"/>
      <c r="S96" s="67">
        <v>98724</v>
      </c>
      <c r="T96" s="163">
        <v>5315</v>
      </c>
      <c r="U96" s="166">
        <v>5.3836959604554112E-2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26.88</v>
      </c>
      <c r="E97" s="67">
        <v>4628</v>
      </c>
      <c r="F97" s="146">
        <v>0</v>
      </c>
      <c r="G97" s="146">
        <v>0</v>
      </c>
      <c r="H97" s="91">
        <v>4628</v>
      </c>
      <c r="I97" s="67">
        <v>0</v>
      </c>
      <c r="J97" s="20">
        <v>4628</v>
      </c>
      <c r="K97" s="132" t="s">
        <v>621</v>
      </c>
      <c r="L97" s="151">
        <v>0</v>
      </c>
      <c r="M97" s="128">
        <v>26.88</v>
      </c>
      <c r="N97" s="67">
        <v>257</v>
      </c>
      <c r="O97" s="67">
        <v>4885</v>
      </c>
      <c r="P97" s="270"/>
      <c r="Q97" s="71"/>
      <c r="R97" s="449"/>
      <c r="S97" s="67">
        <v>4492</v>
      </c>
      <c r="T97" s="163">
        <v>393</v>
      </c>
      <c r="U97" s="166">
        <v>8.7488869100623326E-2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1277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/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1277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/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1277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1277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1277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265.5</v>
      </c>
      <c r="E103" s="67">
        <v>45711</v>
      </c>
      <c r="F103" s="146">
        <v>0</v>
      </c>
      <c r="G103" s="146">
        <v>0</v>
      </c>
      <c r="H103" s="91">
        <v>45711</v>
      </c>
      <c r="I103" s="67">
        <v>0</v>
      </c>
      <c r="J103" s="20">
        <v>45711</v>
      </c>
      <c r="K103" s="132" t="s">
        <v>621</v>
      </c>
      <c r="L103" s="151">
        <v>0</v>
      </c>
      <c r="M103" s="128">
        <v>265.5</v>
      </c>
      <c r="N103" s="67">
        <v>2537</v>
      </c>
      <c r="O103" s="67">
        <v>48248</v>
      </c>
      <c r="P103" s="270"/>
      <c r="Q103" s="71"/>
      <c r="R103" s="449"/>
      <c r="S103" s="67">
        <v>41072</v>
      </c>
      <c r="T103" s="163">
        <v>7176</v>
      </c>
      <c r="U103" s="166">
        <v>0.17471756914686404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3594</v>
      </c>
      <c r="E104" s="67">
        <v>618779</v>
      </c>
      <c r="F104" s="146">
        <v>0</v>
      </c>
      <c r="G104" s="146">
        <v>0</v>
      </c>
      <c r="H104" s="91">
        <v>618779</v>
      </c>
      <c r="I104" s="67">
        <v>0</v>
      </c>
      <c r="J104" s="20">
        <v>618779</v>
      </c>
      <c r="K104" s="132" t="s">
        <v>621</v>
      </c>
      <c r="L104" s="151">
        <v>0</v>
      </c>
      <c r="M104" s="128">
        <v>3594</v>
      </c>
      <c r="N104" s="67">
        <v>34349</v>
      </c>
      <c r="O104" s="67">
        <v>653128</v>
      </c>
      <c r="P104" s="270"/>
      <c r="Q104" s="71"/>
      <c r="R104" s="449"/>
      <c r="S104" s="67">
        <v>608218</v>
      </c>
      <c r="T104" s="163">
        <v>44910</v>
      </c>
      <c r="U104" s="166">
        <v>7.3838656534334732E-2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24</v>
      </c>
      <c r="E105" s="67">
        <v>4132</v>
      </c>
      <c r="F105" s="146">
        <v>0</v>
      </c>
      <c r="G105" s="146">
        <v>0</v>
      </c>
      <c r="H105" s="91">
        <v>4132</v>
      </c>
      <c r="I105" s="67">
        <v>0</v>
      </c>
      <c r="J105" s="20">
        <v>4132</v>
      </c>
      <c r="K105" s="132" t="s">
        <v>621</v>
      </c>
      <c r="L105" s="151">
        <v>0</v>
      </c>
      <c r="M105" s="128">
        <v>24</v>
      </c>
      <c r="N105" s="67">
        <v>229</v>
      </c>
      <c r="O105" s="67">
        <v>4361</v>
      </c>
      <c r="P105" s="270"/>
      <c r="Q105" s="71"/>
      <c r="R105" s="449"/>
      <c r="S105" s="67">
        <v>4648</v>
      </c>
      <c r="T105" s="163">
        <v>-287</v>
      </c>
      <c r="U105" s="166">
        <v>-6.1746987951807226E-2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1277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/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40.130000000000003</v>
      </c>
      <c r="E107" s="67">
        <v>6909</v>
      </c>
      <c r="F107" s="146">
        <v>0</v>
      </c>
      <c r="G107" s="146">
        <v>0</v>
      </c>
      <c r="H107" s="91">
        <v>6909</v>
      </c>
      <c r="I107" s="67">
        <v>0</v>
      </c>
      <c r="J107" s="20">
        <v>6909</v>
      </c>
      <c r="K107" s="132" t="s">
        <v>644</v>
      </c>
      <c r="L107" s="151">
        <v>6909</v>
      </c>
      <c r="M107" s="128">
        <v>0</v>
      </c>
      <c r="N107" s="67">
        <v>0</v>
      </c>
      <c r="O107" s="67">
        <v>0</v>
      </c>
      <c r="P107" s="270"/>
      <c r="Q107" s="71"/>
      <c r="R107" s="449"/>
      <c r="S107" s="67">
        <v>7443</v>
      </c>
      <c r="T107" s="163">
        <v>-7443</v>
      </c>
      <c r="U107" s="166">
        <v>-1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33</v>
      </c>
      <c r="E108" s="67">
        <v>5682</v>
      </c>
      <c r="F108" s="146">
        <v>0</v>
      </c>
      <c r="G108" s="146">
        <v>0</v>
      </c>
      <c r="H108" s="91">
        <v>5682</v>
      </c>
      <c r="I108" s="67">
        <v>0</v>
      </c>
      <c r="J108" s="20">
        <v>5682</v>
      </c>
      <c r="K108" s="132" t="s">
        <v>1278</v>
      </c>
      <c r="L108" s="151">
        <v>5682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1277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687.88</v>
      </c>
      <c r="E110" s="67">
        <v>118432</v>
      </c>
      <c r="F110" s="146">
        <v>0</v>
      </c>
      <c r="G110" s="146">
        <v>0</v>
      </c>
      <c r="H110" s="91">
        <v>118432</v>
      </c>
      <c r="I110" s="67">
        <v>0</v>
      </c>
      <c r="J110" s="20">
        <v>118432</v>
      </c>
      <c r="K110" s="132" t="s">
        <v>621</v>
      </c>
      <c r="L110" s="151">
        <v>0</v>
      </c>
      <c r="M110" s="128">
        <v>687.88</v>
      </c>
      <c r="N110" s="67">
        <v>6574</v>
      </c>
      <c r="O110" s="67">
        <v>125006</v>
      </c>
      <c r="P110" s="270"/>
      <c r="Q110" s="71"/>
      <c r="R110" s="449"/>
      <c r="S110" s="67">
        <v>110044</v>
      </c>
      <c r="T110" s="163">
        <v>14962</v>
      </c>
      <c r="U110" s="166">
        <v>0.13596379629966196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1277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1277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1277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/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206</v>
      </c>
      <c r="E114" s="67">
        <v>35467</v>
      </c>
      <c r="F114" s="146">
        <v>0</v>
      </c>
      <c r="G114" s="146">
        <v>0</v>
      </c>
      <c r="H114" s="91">
        <v>35467</v>
      </c>
      <c r="I114" s="67">
        <v>0</v>
      </c>
      <c r="J114" s="20">
        <v>35467</v>
      </c>
      <c r="K114" s="132" t="s">
        <v>621</v>
      </c>
      <c r="L114" s="151">
        <v>0</v>
      </c>
      <c r="M114" s="128">
        <v>206</v>
      </c>
      <c r="N114" s="67">
        <v>1969</v>
      </c>
      <c r="O114" s="67">
        <v>37436</v>
      </c>
      <c r="P114" s="270"/>
      <c r="Q114" s="71"/>
      <c r="R114" s="449"/>
      <c r="S114" s="67">
        <v>34024</v>
      </c>
      <c r="T114" s="163">
        <v>3412</v>
      </c>
      <c r="U114" s="166">
        <v>0.10028215377380673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1952.75</v>
      </c>
      <c r="E115" s="67">
        <v>336205</v>
      </c>
      <c r="F115" s="146">
        <v>0</v>
      </c>
      <c r="G115" s="146">
        <v>0</v>
      </c>
      <c r="H115" s="91">
        <v>336205</v>
      </c>
      <c r="I115" s="67">
        <v>0</v>
      </c>
      <c r="J115" s="20">
        <v>336205</v>
      </c>
      <c r="K115" s="132" t="s">
        <v>621</v>
      </c>
      <c r="L115" s="151">
        <v>0</v>
      </c>
      <c r="M115" s="128">
        <v>1952.75</v>
      </c>
      <c r="N115" s="67">
        <v>18663</v>
      </c>
      <c r="O115" s="67">
        <v>354868</v>
      </c>
      <c r="P115" s="270"/>
      <c r="Q115" s="71"/>
      <c r="R115" s="449"/>
      <c r="S115" s="67">
        <v>307643</v>
      </c>
      <c r="T115" s="163">
        <v>47225</v>
      </c>
      <c r="U115" s="166">
        <v>0.15350584931235231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4398.38</v>
      </c>
      <c r="E116" s="67">
        <v>757270</v>
      </c>
      <c r="F116" s="146">
        <v>0</v>
      </c>
      <c r="G116" s="146">
        <v>0</v>
      </c>
      <c r="H116" s="91">
        <v>757270</v>
      </c>
      <c r="I116" s="67">
        <v>0</v>
      </c>
      <c r="J116" s="20">
        <v>757270</v>
      </c>
      <c r="K116" s="132" t="s">
        <v>621</v>
      </c>
      <c r="L116" s="151">
        <v>0</v>
      </c>
      <c r="M116" s="128">
        <v>4398.38</v>
      </c>
      <c r="N116" s="67">
        <v>42037</v>
      </c>
      <c r="O116" s="67">
        <v>799307</v>
      </c>
      <c r="P116" s="270"/>
      <c r="Q116" s="71"/>
      <c r="R116" s="449"/>
      <c r="S116" s="67">
        <v>712424</v>
      </c>
      <c r="T116" s="163">
        <v>86883</v>
      </c>
      <c r="U116" s="166">
        <v>0.12195406106475919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1277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/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211.38</v>
      </c>
      <c r="E118" s="67">
        <v>36393</v>
      </c>
      <c r="F118" s="146">
        <v>0</v>
      </c>
      <c r="G118" s="146">
        <v>0</v>
      </c>
      <c r="H118" s="91">
        <v>36393</v>
      </c>
      <c r="I118" s="67">
        <v>0</v>
      </c>
      <c r="J118" s="20">
        <v>36393</v>
      </c>
      <c r="K118" s="132" t="s">
        <v>621</v>
      </c>
      <c r="L118" s="151">
        <v>0</v>
      </c>
      <c r="M118" s="128">
        <v>211.38</v>
      </c>
      <c r="N118" s="67">
        <v>2020</v>
      </c>
      <c r="O118" s="67">
        <v>38413</v>
      </c>
      <c r="P118" s="270"/>
      <c r="Q118" s="71"/>
      <c r="R118" s="449"/>
      <c r="S118" s="67">
        <v>37063</v>
      </c>
      <c r="T118" s="163">
        <v>1350</v>
      </c>
      <c r="U118" s="166">
        <v>3.6424466449019234E-2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54.13</v>
      </c>
      <c r="E119" s="67">
        <v>9320</v>
      </c>
      <c r="F119" s="146">
        <v>0</v>
      </c>
      <c r="G119" s="146">
        <v>0</v>
      </c>
      <c r="H119" s="91">
        <v>9320</v>
      </c>
      <c r="I119" s="67">
        <v>0</v>
      </c>
      <c r="J119" s="20">
        <v>9320</v>
      </c>
      <c r="K119" s="132" t="s">
        <v>621</v>
      </c>
      <c r="L119" s="151">
        <v>0</v>
      </c>
      <c r="M119" s="128">
        <v>54.13</v>
      </c>
      <c r="N119" s="67">
        <v>517</v>
      </c>
      <c r="O119" s="67">
        <v>9837</v>
      </c>
      <c r="P119" s="270"/>
      <c r="Q119" s="71"/>
      <c r="R119" s="449"/>
      <c r="S119" s="67">
        <v>6674</v>
      </c>
      <c r="T119" s="163">
        <v>3163</v>
      </c>
      <c r="U119" s="166">
        <v>0.4739286784537009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1277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/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8</v>
      </c>
      <c r="E121" s="67">
        <v>1377</v>
      </c>
      <c r="F121" s="146">
        <v>0</v>
      </c>
      <c r="G121" s="146">
        <v>0</v>
      </c>
      <c r="H121" s="91">
        <v>1377</v>
      </c>
      <c r="I121" s="67">
        <v>0</v>
      </c>
      <c r="J121" s="20">
        <v>1377</v>
      </c>
      <c r="K121" s="132" t="s">
        <v>644</v>
      </c>
      <c r="L121" s="151">
        <v>1377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1829</v>
      </c>
      <c r="T121" s="163">
        <v>-1829</v>
      </c>
      <c r="U121" s="166">
        <v>-1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16</v>
      </c>
      <c r="E122" s="67">
        <v>2755</v>
      </c>
      <c r="F122" s="146">
        <v>0</v>
      </c>
      <c r="G122" s="146">
        <v>0</v>
      </c>
      <c r="H122" s="91">
        <v>2755</v>
      </c>
      <c r="I122" s="67">
        <v>0</v>
      </c>
      <c r="J122" s="20">
        <v>2755</v>
      </c>
      <c r="K122" s="132" t="s">
        <v>644</v>
      </c>
      <c r="L122" s="151">
        <v>2755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1277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306</v>
      </c>
      <c r="E124" s="67">
        <v>52684</v>
      </c>
      <c r="F124" s="146">
        <v>0</v>
      </c>
      <c r="G124" s="146">
        <v>0</v>
      </c>
      <c r="H124" s="91">
        <v>52684</v>
      </c>
      <c r="I124" s="67">
        <v>0</v>
      </c>
      <c r="J124" s="20">
        <v>52684</v>
      </c>
      <c r="K124" s="132" t="s">
        <v>621</v>
      </c>
      <c r="L124" s="151">
        <v>0</v>
      </c>
      <c r="M124" s="128">
        <v>306</v>
      </c>
      <c r="N124" s="67">
        <v>2925</v>
      </c>
      <c r="O124" s="67">
        <v>55609</v>
      </c>
      <c r="P124" s="270"/>
      <c r="Q124" s="71"/>
      <c r="R124" s="449"/>
      <c r="S124" s="67">
        <v>53865</v>
      </c>
      <c r="T124" s="163">
        <v>1744</v>
      </c>
      <c r="U124" s="166">
        <v>3.2377239394783257E-2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261.63</v>
      </c>
      <c r="E125" s="67">
        <v>45045</v>
      </c>
      <c r="F125" s="146">
        <v>0</v>
      </c>
      <c r="G125" s="146">
        <v>0</v>
      </c>
      <c r="H125" s="91">
        <v>45045</v>
      </c>
      <c r="I125" s="67">
        <v>0</v>
      </c>
      <c r="J125" s="20">
        <v>45045</v>
      </c>
      <c r="K125" s="132" t="s">
        <v>621</v>
      </c>
      <c r="L125" s="151">
        <v>0</v>
      </c>
      <c r="M125" s="128">
        <v>261.63</v>
      </c>
      <c r="N125" s="67">
        <v>2500</v>
      </c>
      <c r="O125" s="67">
        <v>47545</v>
      </c>
      <c r="P125" s="270"/>
      <c r="Q125" s="71"/>
      <c r="R125" s="449"/>
      <c r="S125" s="67">
        <v>43691</v>
      </c>
      <c r="T125" s="163">
        <v>3854</v>
      </c>
      <c r="U125" s="166">
        <v>8.8210386578471536E-2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1395</v>
      </c>
      <c r="E126" s="67">
        <v>240177</v>
      </c>
      <c r="F126" s="146">
        <v>0</v>
      </c>
      <c r="G126" s="146">
        <v>0</v>
      </c>
      <c r="H126" s="91">
        <v>240177</v>
      </c>
      <c r="I126" s="67">
        <v>0</v>
      </c>
      <c r="J126" s="20">
        <v>240177</v>
      </c>
      <c r="K126" s="132" t="s">
        <v>621</v>
      </c>
      <c r="L126" s="151">
        <v>0</v>
      </c>
      <c r="M126" s="128">
        <v>1395</v>
      </c>
      <c r="N126" s="67">
        <v>13332</v>
      </c>
      <c r="O126" s="67">
        <v>253509</v>
      </c>
      <c r="P126" s="270"/>
      <c r="Q126" s="71"/>
      <c r="R126" s="449"/>
      <c r="S126" s="67">
        <v>226075</v>
      </c>
      <c r="T126" s="163">
        <v>27434</v>
      </c>
      <c r="U126" s="166">
        <v>0.1213491098086918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70.75</v>
      </c>
      <c r="E127" s="67">
        <v>12181</v>
      </c>
      <c r="F127" s="146">
        <v>0</v>
      </c>
      <c r="G127" s="146">
        <v>0</v>
      </c>
      <c r="H127" s="91">
        <v>12181</v>
      </c>
      <c r="I127" s="67">
        <v>0</v>
      </c>
      <c r="J127" s="20">
        <v>12181</v>
      </c>
      <c r="K127" s="132" t="s">
        <v>621</v>
      </c>
      <c r="L127" s="151">
        <v>0</v>
      </c>
      <c r="M127" s="128">
        <v>70.75</v>
      </c>
      <c r="N127" s="67">
        <v>676</v>
      </c>
      <c r="O127" s="67">
        <v>12857</v>
      </c>
      <c r="P127" s="270"/>
      <c r="Q127" s="71"/>
      <c r="R127" s="449"/>
      <c r="S127" s="67">
        <v>11518</v>
      </c>
      <c r="T127" s="163">
        <v>1339</v>
      </c>
      <c r="U127" s="166">
        <v>0.1162528216704289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1277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/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1277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/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24.13</v>
      </c>
      <c r="E130" s="67">
        <v>4154</v>
      </c>
      <c r="F130" s="146">
        <v>0</v>
      </c>
      <c r="G130" s="146">
        <v>0</v>
      </c>
      <c r="H130" s="91">
        <v>4154</v>
      </c>
      <c r="I130" s="67">
        <v>0</v>
      </c>
      <c r="J130" s="20">
        <v>4154</v>
      </c>
      <c r="K130" s="132" t="s">
        <v>644</v>
      </c>
      <c r="L130" s="151">
        <v>4154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341.63</v>
      </c>
      <c r="E131" s="67">
        <v>58818</v>
      </c>
      <c r="F131" s="146">
        <v>0</v>
      </c>
      <c r="G131" s="146">
        <v>0</v>
      </c>
      <c r="H131" s="91">
        <v>58818</v>
      </c>
      <c r="I131" s="67">
        <v>0</v>
      </c>
      <c r="J131" s="20">
        <v>58818</v>
      </c>
      <c r="K131" s="132" t="s">
        <v>621</v>
      </c>
      <c r="L131" s="151">
        <v>0</v>
      </c>
      <c r="M131" s="128">
        <v>341.63</v>
      </c>
      <c r="N131" s="67">
        <v>3265</v>
      </c>
      <c r="O131" s="67">
        <v>62083</v>
      </c>
      <c r="P131" s="270"/>
      <c r="Q131" s="71"/>
      <c r="R131" s="449"/>
      <c r="S131" s="67">
        <v>54416</v>
      </c>
      <c r="T131" s="163">
        <v>7667</v>
      </c>
      <c r="U131" s="166">
        <v>0.14089605998235813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1277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5.38</v>
      </c>
      <c r="E133" s="67">
        <v>926</v>
      </c>
      <c r="F133" s="146">
        <v>0</v>
      </c>
      <c r="G133" s="146">
        <v>0</v>
      </c>
      <c r="H133" s="91">
        <v>926</v>
      </c>
      <c r="I133" s="67">
        <v>0</v>
      </c>
      <c r="J133" s="20">
        <v>926</v>
      </c>
      <c r="K133" s="132" t="s">
        <v>644</v>
      </c>
      <c r="L133" s="151">
        <v>926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596</v>
      </c>
      <c r="T133" s="163">
        <v>-596</v>
      </c>
      <c r="U133" s="166">
        <v>-1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1277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/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231.38</v>
      </c>
      <c r="E135" s="67">
        <v>39837</v>
      </c>
      <c r="F135" s="146">
        <v>0</v>
      </c>
      <c r="G135" s="146">
        <v>0</v>
      </c>
      <c r="H135" s="91">
        <v>39837</v>
      </c>
      <c r="I135" s="67">
        <v>0</v>
      </c>
      <c r="J135" s="20">
        <v>39837</v>
      </c>
      <c r="K135" s="132" t="s">
        <v>621</v>
      </c>
      <c r="L135" s="151">
        <v>0</v>
      </c>
      <c r="M135" s="128">
        <v>231.38</v>
      </c>
      <c r="N135" s="67">
        <v>2211</v>
      </c>
      <c r="O135" s="67">
        <v>42048</v>
      </c>
      <c r="P135" s="270"/>
      <c r="Q135" s="71"/>
      <c r="R135" s="449"/>
      <c r="S135" s="67">
        <v>41489</v>
      </c>
      <c r="T135" s="163">
        <v>559</v>
      </c>
      <c r="U135" s="166">
        <v>1.3473450794186411E-2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373</v>
      </c>
      <c r="E136" s="67">
        <v>64219</v>
      </c>
      <c r="F136" s="146">
        <v>0</v>
      </c>
      <c r="G136" s="146">
        <v>0</v>
      </c>
      <c r="H136" s="91">
        <v>64219</v>
      </c>
      <c r="I136" s="67">
        <v>0</v>
      </c>
      <c r="J136" s="20">
        <v>64219</v>
      </c>
      <c r="K136" s="132" t="s">
        <v>621</v>
      </c>
      <c r="L136" s="151">
        <v>0</v>
      </c>
      <c r="M136" s="128">
        <v>373</v>
      </c>
      <c r="N136" s="67">
        <v>3565</v>
      </c>
      <c r="O136" s="67">
        <v>67784</v>
      </c>
      <c r="P136" s="270"/>
      <c r="Q136" s="71"/>
      <c r="R136" s="449"/>
      <c r="S136" s="67">
        <v>64282</v>
      </c>
      <c r="T136" s="163">
        <v>3502</v>
      </c>
      <c r="U136" s="166">
        <v>5.4478703213963475E-2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1277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/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197.13</v>
      </c>
      <c r="E138" s="67">
        <v>33940</v>
      </c>
      <c r="F138" s="146">
        <v>0</v>
      </c>
      <c r="G138" s="146">
        <v>0</v>
      </c>
      <c r="H138" s="91">
        <v>33940</v>
      </c>
      <c r="I138" s="67">
        <v>0</v>
      </c>
      <c r="J138" s="20">
        <v>33940</v>
      </c>
      <c r="K138" s="132" t="s">
        <v>621</v>
      </c>
      <c r="L138" s="151">
        <v>0</v>
      </c>
      <c r="M138" s="128">
        <v>197.13</v>
      </c>
      <c r="N138" s="67">
        <v>1884</v>
      </c>
      <c r="O138" s="67">
        <v>35824</v>
      </c>
      <c r="P138" s="270"/>
      <c r="Q138" s="71"/>
      <c r="R138" s="449"/>
      <c r="S138" s="67">
        <v>35015</v>
      </c>
      <c r="T138" s="163">
        <v>809</v>
      </c>
      <c r="U138" s="166">
        <v>2.3104383835499072E-2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1277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1277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751.38</v>
      </c>
      <c r="E141" s="67">
        <v>129365</v>
      </c>
      <c r="F141" s="146">
        <v>0</v>
      </c>
      <c r="G141" s="146">
        <v>0</v>
      </c>
      <c r="H141" s="91">
        <v>129365</v>
      </c>
      <c r="I141" s="67">
        <v>0</v>
      </c>
      <c r="J141" s="20">
        <v>129365</v>
      </c>
      <c r="K141" s="132" t="s">
        <v>621</v>
      </c>
      <c r="L141" s="151">
        <v>0</v>
      </c>
      <c r="M141" s="128">
        <v>751.38</v>
      </c>
      <c r="N141" s="67">
        <v>7181</v>
      </c>
      <c r="O141" s="67">
        <v>136546</v>
      </c>
      <c r="P141" s="270"/>
      <c r="Q141" s="71"/>
      <c r="R141" s="449"/>
      <c r="S141" s="67">
        <v>130127</v>
      </c>
      <c r="T141" s="163">
        <v>6419</v>
      </c>
      <c r="U141" s="166">
        <v>4.9328732699593474E-2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1277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/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195.75</v>
      </c>
      <c r="E143" s="67">
        <v>33702</v>
      </c>
      <c r="F143" s="146">
        <v>0</v>
      </c>
      <c r="G143" s="146">
        <v>0</v>
      </c>
      <c r="H143" s="91">
        <v>33702</v>
      </c>
      <c r="I143" s="67">
        <v>0</v>
      </c>
      <c r="J143" s="20">
        <v>33702</v>
      </c>
      <c r="K143" s="132" t="s">
        <v>621</v>
      </c>
      <c r="L143" s="151">
        <v>0</v>
      </c>
      <c r="M143" s="128">
        <v>195.75</v>
      </c>
      <c r="N143" s="67">
        <v>1871</v>
      </c>
      <c r="O143" s="67">
        <v>35573</v>
      </c>
      <c r="P143" s="270"/>
      <c r="Q143" s="71"/>
      <c r="R143" s="449"/>
      <c r="S143" s="67">
        <v>25149</v>
      </c>
      <c r="T143" s="163">
        <v>10424</v>
      </c>
      <c r="U143" s="166">
        <v>0.41448964173525787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8</v>
      </c>
      <c r="E144" s="67">
        <v>1377</v>
      </c>
      <c r="F144" s="146">
        <v>0</v>
      </c>
      <c r="G144" s="146">
        <v>0</v>
      </c>
      <c r="H144" s="91">
        <v>1377</v>
      </c>
      <c r="I144" s="67">
        <v>0</v>
      </c>
      <c r="J144" s="20">
        <v>1377</v>
      </c>
      <c r="K144" s="132" t="s">
        <v>621</v>
      </c>
      <c r="L144" s="151">
        <v>0</v>
      </c>
      <c r="M144" s="128">
        <v>8</v>
      </c>
      <c r="N144" s="67">
        <v>76</v>
      </c>
      <c r="O144" s="67">
        <v>1453</v>
      </c>
      <c r="P144" s="270"/>
      <c r="Q144" s="71"/>
      <c r="R144" s="449"/>
      <c r="S144" s="67">
        <v>0</v>
      </c>
      <c r="T144" s="163">
        <v>1453</v>
      </c>
      <c r="U144" s="166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91.63</v>
      </c>
      <c r="E145" s="88">
        <v>15776</v>
      </c>
      <c r="F145" s="146">
        <v>0</v>
      </c>
      <c r="G145" s="146">
        <v>0</v>
      </c>
      <c r="H145" s="91">
        <v>15776</v>
      </c>
      <c r="I145" s="67">
        <v>0</v>
      </c>
      <c r="J145" s="20">
        <v>15776</v>
      </c>
      <c r="K145" s="132" t="s">
        <v>621</v>
      </c>
      <c r="L145" s="151">
        <v>0</v>
      </c>
      <c r="M145" s="128">
        <v>91.63</v>
      </c>
      <c r="N145" s="67">
        <v>876</v>
      </c>
      <c r="O145" s="67">
        <v>16652</v>
      </c>
      <c r="P145" s="270"/>
      <c r="Q145" s="71"/>
      <c r="R145" s="449"/>
      <c r="S145" s="67">
        <v>13016</v>
      </c>
      <c r="T145" s="163">
        <v>3636</v>
      </c>
      <c r="U145" s="166">
        <v>0.27934849416103258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125.5</v>
      </c>
      <c r="E146" s="67">
        <v>21607</v>
      </c>
      <c r="F146" s="146">
        <v>0</v>
      </c>
      <c r="G146" s="146">
        <v>0</v>
      </c>
      <c r="H146" s="91">
        <v>21607</v>
      </c>
      <c r="I146" s="67">
        <v>0</v>
      </c>
      <c r="J146" s="20">
        <v>21607</v>
      </c>
      <c r="K146" s="132" t="s">
        <v>621</v>
      </c>
      <c r="L146" s="151">
        <v>0</v>
      </c>
      <c r="M146" s="128">
        <v>125.5</v>
      </c>
      <c r="N146" s="67">
        <v>1199</v>
      </c>
      <c r="O146" s="67">
        <v>22806</v>
      </c>
      <c r="P146" s="270"/>
      <c r="Q146" s="71"/>
      <c r="R146" s="449"/>
      <c r="S146" s="67">
        <v>18786</v>
      </c>
      <c r="T146" s="163">
        <v>4020</v>
      </c>
      <c r="U146" s="166">
        <v>0.21398914084956883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7</v>
      </c>
      <c r="E147" s="67">
        <v>1205</v>
      </c>
      <c r="F147" s="146">
        <v>0</v>
      </c>
      <c r="G147" s="146">
        <v>0</v>
      </c>
      <c r="H147" s="91">
        <v>1205</v>
      </c>
      <c r="I147" s="67">
        <v>0</v>
      </c>
      <c r="J147" s="20">
        <v>1205</v>
      </c>
      <c r="K147" s="132" t="s">
        <v>621</v>
      </c>
      <c r="L147" s="151">
        <v>0</v>
      </c>
      <c r="M147" s="128">
        <v>7</v>
      </c>
      <c r="N147" s="67">
        <v>67</v>
      </c>
      <c r="O147" s="67">
        <v>1272</v>
      </c>
      <c r="P147" s="270"/>
      <c r="Q147" s="71"/>
      <c r="R147" s="449"/>
      <c r="S147" s="67">
        <v>0</v>
      </c>
      <c r="T147" s="163">
        <v>1272</v>
      </c>
      <c r="U147" s="166">
        <v>0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1277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450.75</v>
      </c>
      <c r="E149" s="67">
        <v>77606</v>
      </c>
      <c r="F149" s="146">
        <v>0</v>
      </c>
      <c r="G149" s="146">
        <v>0</v>
      </c>
      <c r="H149" s="91">
        <v>77606</v>
      </c>
      <c r="I149" s="67">
        <v>0</v>
      </c>
      <c r="J149" s="20">
        <v>77606</v>
      </c>
      <c r="K149" s="132" t="s">
        <v>621</v>
      </c>
      <c r="L149" s="151">
        <v>0</v>
      </c>
      <c r="M149" s="128">
        <v>450.75</v>
      </c>
      <c r="N149" s="67">
        <v>4308</v>
      </c>
      <c r="O149" s="67">
        <v>81914</v>
      </c>
      <c r="P149" s="270"/>
      <c r="Q149" s="71"/>
      <c r="R149" s="449"/>
      <c r="S149" s="67">
        <v>74213</v>
      </c>
      <c r="T149" s="163">
        <v>7701</v>
      </c>
      <c r="U149" s="166">
        <v>0.10376888146281649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18.88</v>
      </c>
      <c r="E150" s="67">
        <v>3251</v>
      </c>
      <c r="F150" s="146">
        <v>0</v>
      </c>
      <c r="G150" s="146">
        <v>0</v>
      </c>
      <c r="H150" s="91">
        <v>3251</v>
      </c>
      <c r="I150" s="67">
        <v>0</v>
      </c>
      <c r="J150" s="20">
        <v>3251</v>
      </c>
      <c r="K150" s="132" t="s">
        <v>644</v>
      </c>
      <c r="L150" s="151">
        <v>3251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3039</v>
      </c>
      <c r="T150" s="163">
        <v>-3039</v>
      </c>
      <c r="U150" s="166">
        <v>-1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1277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668.13</v>
      </c>
      <c r="E152" s="67">
        <v>115032</v>
      </c>
      <c r="F152" s="146">
        <v>0</v>
      </c>
      <c r="G152" s="146">
        <v>0</v>
      </c>
      <c r="H152" s="91">
        <v>115032</v>
      </c>
      <c r="I152" s="67">
        <v>0</v>
      </c>
      <c r="J152" s="20">
        <v>115032</v>
      </c>
      <c r="K152" s="132" t="s">
        <v>621</v>
      </c>
      <c r="L152" s="151">
        <v>0</v>
      </c>
      <c r="M152" s="128">
        <v>668.13</v>
      </c>
      <c r="N152" s="67">
        <v>6386</v>
      </c>
      <c r="O152" s="67">
        <v>121418</v>
      </c>
      <c r="P152" s="270"/>
      <c r="Q152" s="71"/>
      <c r="R152" s="449"/>
      <c r="S152" s="67">
        <v>109339</v>
      </c>
      <c r="T152" s="163">
        <v>12079</v>
      </c>
      <c r="U152" s="166">
        <v>0.11047293280531192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37.75</v>
      </c>
      <c r="E153" s="67">
        <v>6499</v>
      </c>
      <c r="F153" s="146">
        <v>0</v>
      </c>
      <c r="G153" s="146">
        <v>0</v>
      </c>
      <c r="H153" s="91">
        <v>6499</v>
      </c>
      <c r="I153" s="67">
        <v>0</v>
      </c>
      <c r="J153" s="20">
        <v>6499</v>
      </c>
      <c r="K153" s="132" t="s">
        <v>621</v>
      </c>
      <c r="L153" s="151">
        <v>0</v>
      </c>
      <c r="M153" s="128">
        <v>37.75</v>
      </c>
      <c r="N153" s="67">
        <v>361</v>
      </c>
      <c r="O153" s="67">
        <v>6860</v>
      </c>
      <c r="P153" s="270"/>
      <c r="Q153" s="71"/>
      <c r="R153" s="449"/>
      <c r="S153" s="67">
        <v>6210</v>
      </c>
      <c r="T153" s="163">
        <v>650</v>
      </c>
      <c r="U153" s="166">
        <v>0.10466988727858294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268.38</v>
      </c>
      <c r="E154" s="67">
        <v>46207</v>
      </c>
      <c r="F154" s="146">
        <v>0</v>
      </c>
      <c r="G154" s="146">
        <v>0</v>
      </c>
      <c r="H154" s="91">
        <v>46207</v>
      </c>
      <c r="I154" s="67">
        <v>0</v>
      </c>
      <c r="J154" s="20">
        <v>46207</v>
      </c>
      <c r="K154" s="132" t="s">
        <v>621</v>
      </c>
      <c r="L154" s="151">
        <v>0</v>
      </c>
      <c r="M154" s="128">
        <v>268.38</v>
      </c>
      <c r="N154" s="67">
        <v>2565</v>
      </c>
      <c r="O154" s="67">
        <v>48772</v>
      </c>
      <c r="P154" s="270"/>
      <c r="Q154" s="71"/>
      <c r="R154" s="449"/>
      <c r="S154" s="67">
        <v>21581</v>
      </c>
      <c r="T154" s="163">
        <v>27191</v>
      </c>
      <c r="U154" s="166">
        <v>1.2599508827209118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129.5</v>
      </c>
      <c r="E155" s="67">
        <v>22296</v>
      </c>
      <c r="F155" s="146">
        <v>0</v>
      </c>
      <c r="G155" s="146">
        <v>0</v>
      </c>
      <c r="H155" s="91">
        <v>22296</v>
      </c>
      <c r="I155" s="67">
        <v>0</v>
      </c>
      <c r="J155" s="20">
        <v>22296</v>
      </c>
      <c r="K155" s="132" t="s">
        <v>621</v>
      </c>
      <c r="L155" s="151">
        <v>0</v>
      </c>
      <c r="M155" s="128">
        <v>129.5</v>
      </c>
      <c r="N155" s="67">
        <v>1238</v>
      </c>
      <c r="O155" s="67">
        <v>23534</v>
      </c>
      <c r="P155" s="270"/>
      <c r="Q155" s="71"/>
      <c r="R155" s="449"/>
      <c r="S155" s="67">
        <v>23167</v>
      </c>
      <c r="T155" s="163">
        <v>367</v>
      </c>
      <c r="U155" s="166">
        <v>1.5841498683472181E-2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1277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/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1569.38</v>
      </c>
      <c r="E157" s="67">
        <v>270200</v>
      </c>
      <c r="F157" s="146">
        <v>0</v>
      </c>
      <c r="G157" s="146">
        <v>0</v>
      </c>
      <c r="H157" s="91">
        <v>270200</v>
      </c>
      <c r="I157" s="67">
        <v>0</v>
      </c>
      <c r="J157" s="20">
        <v>270200</v>
      </c>
      <c r="K157" s="132" t="s">
        <v>621</v>
      </c>
      <c r="L157" s="151">
        <v>0</v>
      </c>
      <c r="M157" s="128">
        <v>1569.38</v>
      </c>
      <c r="N157" s="67">
        <v>14999</v>
      </c>
      <c r="O157" s="67">
        <v>285199</v>
      </c>
      <c r="P157" s="270"/>
      <c r="Q157" s="71"/>
      <c r="R157" s="449"/>
      <c r="S157" s="67">
        <v>255892</v>
      </c>
      <c r="T157" s="163">
        <v>29307</v>
      </c>
      <c r="U157" s="166">
        <v>0.11452878558141716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2392.5</v>
      </c>
      <c r="E158" s="67">
        <v>411917</v>
      </c>
      <c r="F158" s="146">
        <v>0</v>
      </c>
      <c r="G158" s="146">
        <v>0</v>
      </c>
      <c r="H158" s="91">
        <v>411917</v>
      </c>
      <c r="I158" s="67">
        <v>0</v>
      </c>
      <c r="J158" s="20">
        <v>411917</v>
      </c>
      <c r="K158" s="132" t="s">
        <v>621</v>
      </c>
      <c r="L158" s="151">
        <v>0</v>
      </c>
      <c r="M158" s="128">
        <v>2392.5</v>
      </c>
      <c r="N158" s="67">
        <v>22866</v>
      </c>
      <c r="O158" s="67">
        <v>434783</v>
      </c>
      <c r="P158" s="270"/>
      <c r="Q158" s="71"/>
      <c r="R158" s="449"/>
      <c r="S158" s="67">
        <v>384521</v>
      </c>
      <c r="T158" s="163">
        <v>50262</v>
      </c>
      <c r="U158" s="166">
        <v>0.13071327703818517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69.63</v>
      </c>
      <c r="E159" s="67">
        <v>11988</v>
      </c>
      <c r="F159" s="146">
        <v>0</v>
      </c>
      <c r="G159" s="146">
        <v>0</v>
      </c>
      <c r="H159" s="91">
        <v>11988</v>
      </c>
      <c r="I159" s="67">
        <v>0</v>
      </c>
      <c r="J159" s="20">
        <v>11988</v>
      </c>
      <c r="K159" s="132" t="s">
        <v>621</v>
      </c>
      <c r="L159" s="151">
        <v>0</v>
      </c>
      <c r="M159" s="128">
        <v>69.63</v>
      </c>
      <c r="N159" s="67">
        <v>665</v>
      </c>
      <c r="O159" s="67">
        <v>12653</v>
      </c>
      <c r="P159" s="270"/>
      <c r="Q159" s="71"/>
      <c r="R159" s="449"/>
      <c r="S159" s="67">
        <v>11187</v>
      </c>
      <c r="T159" s="163">
        <v>1466</v>
      </c>
      <c r="U159" s="166">
        <v>0.13104496290336998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2</v>
      </c>
      <c r="E160" s="67">
        <v>344</v>
      </c>
      <c r="F160" s="146">
        <v>0</v>
      </c>
      <c r="G160" s="146">
        <v>0</v>
      </c>
      <c r="H160" s="91">
        <v>344</v>
      </c>
      <c r="I160" s="67">
        <v>0</v>
      </c>
      <c r="J160" s="20">
        <v>344</v>
      </c>
      <c r="K160" s="132" t="s">
        <v>1278</v>
      </c>
      <c r="L160" s="151">
        <v>344</v>
      </c>
      <c r="M160" s="128">
        <v>0</v>
      </c>
      <c r="N160" s="67">
        <v>0</v>
      </c>
      <c r="O160" s="67">
        <v>0</v>
      </c>
      <c r="P160" s="270"/>
      <c r="Q160" s="71"/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5</v>
      </c>
      <c r="E161" s="67">
        <v>861</v>
      </c>
      <c r="F161" s="146">
        <v>0</v>
      </c>
      <c r="G161" s="146">
        <v>0</v>
      </c>
      <c r="H161" s="91">
        <v>861</v>
      </c>
      <c r="I161" s="67">
        <v>0</v>
      </c>
      <c r="J161" s="20">
        <v>861</v>
      </c>
      <c r="K161" s="132" t="s">
        <v>1278</v>
      </c>
      <c r="L161" s="151">
        <v>861</v>
      </c>
      <c r="M161" s="128">
        <v>0</v>
      </c>
      <c r="N161" s="67">
        <v>0</v>
      </c>
      <c r="O161" s="67">
        <v>0</v>
      </c>
      <c r="P161" s="270"/>
      <c r="Q161" s="71"/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1277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1277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/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1277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/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175.38</v>
      </c>
      <c r="E165" s="67">
        <v>30195</v>
      </c>
      <c r="F165" s="146">
        <v>0</v>
      </c>
      <c r="G165" s="146">
        <v>0</v>
      </c>
      <c r="H165" s="91">
        <v>30195</v>
      </c>
      <c r="I165" s="67">
        <v>0</v>
      </c>
      <c r="J165" s="20">
        <v>30195</v>
      </c>
      <c r="K165" s="132" t="s">
        <v>621</v>
      </c>
      <c r="L165" s="151">
        <v>0</v>
      </c>
      <c r="M165" s="128">
        <v>175.38</v>
      </c>
      <c r="N165" s="67">
        <v>1676</v>
      </c>
      <c r="O165" s="67">
        <v>31871</v>
      </c>
      <c r="P165" s="270"/>
      <c r="Q165" s="71"/>
      <c r="R165" s="449"/>
      <c r="S165" s="67">
        <v>32747</v>
      </c>
      <c r="T165" s="163">
        <v>-876</v>
      </c>
      <c r="U165" s="166">
        <v>-2.675054203438483E-2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1277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/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717.38</v>
      </c>
      <c r="E167" s="67">
        <v>123511</v>
      </c>
      <c r="F167" s="146">
        <v>0</v>
      </c>
      <c r="G167" s="146">
        <v>0</v>
      </c>
      <c r="H167" s="91">
        <v>123511</v>
      </c>
      <c r="I167" s="67">
        <v>0</v>
      </c>
      <c r="J167" s="20">
        <v>123511</v>
      </c>
      <c r="K167" s="132" t="s">
        <v>621</v>
      </c>
      <c r="L167" s="151">
        <v>0</v>
      </c>
      <c r="M167" s="128">
        <v>717.38</v>
      </c>
      <c r="N167" s="67">
        <v>6856</v>
      </c>
      <c r="O167" s="67">
        <v>130367</v>
      </c>
      <c r="P167" s="270"/>
      <c r="Q167" s="71"/>
      <c r="R167" s="449"/>
      <c r="S167" s="67">
        <v>121715</v>
      </c>
      <c r="T167" s="163">
        <v>8652</v>
      </c>
      <c r="U167" s="166">
        <v>7.1084089882101631E-2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186</v>
      </c>
      <c r="E168" s="67">
        <v>32024</v>
      </c>
      <c r="F168" s="146">
        <v>0</v>
      </c>
      <c r="G168" s="146">
        <v>0</v>
      </c>
      <c r="H168" s="91">
        <v>32024</v>
      </c>
      <c r="I168" s="67">
        <v>0</v>
      </c>
      <c r="J168" s="20">
        <v>32024</v>
      </c>
      <c r="K168" s="132" t="s">
        <v>621</v>
      </c>
      <c r="L168" s="151">
        <v>0</v>
      </c>
      <c r="M168" s="128">
        <v>186</v>
      </c>
      <c r="N168" s="67">
        <v>1778</v>
      </c>
      <c r="O168" s="67">
        <v>33802</v>
      </c>
      <c r="P168" s="270"/>
      <c r="Q168" s="71"/>
      <c r="R168" s="449"/>
      <c r="S168" s="67">
        <v>32108</v>
      </c>
      <c r="T168" s="163">
        <v>1694</v>
      </c>
      <c r="U168" s="166">
        <v>5.2759436900460942E-2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96.25</v>
      </c>
      <c r="E169" s="67">
        <v>16571</v>
      </c>
      <c r="F169" s="146">
        <v>0</v>
      </c>
      <c r="G169" s="146">
        <v>0</v>
      </c>
      <c r="H169" s="91">
        <v>16571</v>
      </c>
      <c r="I169" s="67">
        <v>0</v>
      </c>
      <c r="J169" s="20">
        <v>16571</v>
      </c>
      <c r="K169" s="132" t="s">
        <v>621</v>
      </c>
      <c r="L169" s="151">
        <v>0</v>
      </c>
      <c r="M169" s="128">
        <v>96.25</v>
      </c>
      <c r="N169" s="67">
        <v>920</v>
      </c>
      <c r="O169" s="67">
        <v>17491</v>
      </c>
      <c r="P169" s="270"/>
      <c r="Q169" s="71"/>
      <c r="R169" s="449"/>
      <c r="S169" s="67">
        <v>14182</v>
      </c>
      <c r="T169" s="163">
        <v>3309</v>
      </c>
      <c r="U169" s="166">
        <v>0.23332393174446481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1277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/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489.63</v>
      </c>
      <c r="E171" s="67">
        <v>84300</v>
      </c>
      <c r="F171" s="146">
        <v>0</v>
      </c>
      <c r="G171" s="146">
        <v>0</v>
      </c>
      <c r="H171" s="91">
        <v>84300</v>
      </c>
      <c r="I171" s="67">
        <v>0</v>
      </c>
      <c r="J171" s="20">
        <v>84300</v>
      </c>
      <c r="K171" s="132" t="s">
        <v>621</v>
      </c>
      <c r="L171" s="151">
        <v>0</v>
      </c>
      <c r="M171" s="128">
        <v>489.63</v>
      </c>
      <c r="N171" s="67">
        <v>4680</v>
      </c>
      <c r="O171" s="67">
        <v>88980</v>
      </c>
      <c r="P171" s="270"/>
      <c r="Q171" s="71"/>
      <c r="R171" s="449"/>
      <c r="S171" s="67">
        <v>72210</v>
      </c>
      <c r="T171" s="163">
        <v>16770</v>
      </c>
      <c r="U171" s="166">
        <v>0.23223930203572912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1277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970.88</v>
      </c>
      <c r="E173" s="67">
        <v>167157</v>
      </c>
      <c r="F173" s="146">
        <v>0</v>
      </c>
      <c r="G173" s="146">
        <v>0</v>
      </c>
      <c r="H173" s="91">
        <v>167157</v>
      </c>
      <c r="I173" s="67">
        <v>0</v>
      </c>
      <c r="J173" s="20">
        <v>167157</v>
      </c>
      <c r="K173" s="132" t="s">
        <v>621</v>
      </c>
      <c r="L173" s="151">
        <v>0</v>
      </c>
      <c r="M173" s="128">
        <v>970.88</v>
      </c>
      <c r="N173" s="67">
        <v>9279</v>
      </c>
      <c r="O173" s="67">
        <v>176436</v>
      </c>
      <c r="P173" s="270"/>
      <c r="Q173" s="71"/>
      <c r="R173" s="449"/>
      <c r="S173" s="67">
        <v>157038</v>
      </c>
      <c r="T173" s="163">
        <v>19398</v>
      </c>
      <c r="U173" s="166">
        <v>0.12352424254002216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108.38</v>
      </c>
      <c r="E174" s="67">
        <v>18660</v>
      </c>
      <c r="F174" s="146">
        <v>0</v>
      </c>
      <c r="G174" s="146">
        <v>0</v>
      </c>
      <c r="H174" s="91">
        <v>18660</v>
      </c>
      <c r="I174" s="67">
        <v>0</v>
      </c>
      <c r="J174" s="20">
        <v>18660</v>
      </c>
      <c r="K174" s="132" t="s">
        <v>621</v>
      </c>
      <c r="L174" s="151">
        <v>0</v>
      </c>
      <c r="M174" s="128">
        <v>108.38</v>
      </c>
      <c r="N174" s="67">
        <v>1036</v>
      </c>
      <c r="O174" s="67">
        <v>19696</v>
      </c>
      <c r="P174" s="270"/>
      <c r="Q174" s="71"/>
      <c r="R174" s="449"/>
      <c r="S174" s="67">
        <v>16143</v>
      </c>
      <c r="T174" s="163">
        <v>3553</v>
      </c>
      <c r="U174" s="166">
        <v>0.22009539738586384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1277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1277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/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28.75</v>
      </c>
      <c r="E177" s="67">
        <v>4950</v>
      </c>
      <c r="F177" s="146">
        <v>0</v>
      </c>
      <c r="G177" s="146">
        <v>0</v>
      </c>
      <c r="H177" s="91">
        <v>4950</v>
      </c>
      <c r="I177" s="67">
        <v>0</v>
      </c>
      <c r="J177" s="20">
        <v>4950</v>
      </c>
      <c r="K177" s="132" t="s">
        <v>621</v>
      </c>
      <c r="L177" s="151">
        <v>0</v>
      </c>
      <c r="M177" s="128">
        <v>28.75</v>
      </c>
      <c r="N177" s="67">
        <v>275</v>
      </c>
      <c r="O177" s="67">
        <v>5225</v>
      </c>
      <c r="P177" s="270"/>
      <c r="Q177" s="71"/>
      <c r="R177" s="449"/>
      <c r="S177" s="67">
        <v>4845</v>
      </c>
      <c r="T177" s="163">
        <v>380</v>
      </c>
      <c r="U177" s="166">
        <v>7.8431372549019607E-2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41.88</v>
      </c>
      <c r="E178" s="67">
        <v>7210</v>
      </c>
      <c r="F178" s="146">
        <v>0</v>
      </c>
      <c r="G178" s="146">
        <v>0</v>
      </c>
      <c r="H178" s="91">
        <v>7210</v>
      </c>
      <c r="I178" s="67">
        <v>0</v>
      </c>
      <c r="J178" s="20">
        <v>7210</v>
      </c>
      <c r="K178" s="132" t="s">
        <v>644</v>
      </c>
      <c r="L178" s="151">
        <v>7210</v>
      </c>
      <c r="M178" s="128">
        <v>0</v>
      </c>
      <c r="N178" s="67">
        <v>0</v>
      </c>
      <c r="O178" s="67">
        <v>0</v>
      </c>
      <c r="P178" s="270"/>
      <c r="Q178" s="71"/>
      <c r="R178" s="449"/>
      <c r="S178" s="67">
        <v>7443</v>
      </c>
      <c r="T178" s="163">
        <v>-7443</v>
      </c>
      <c r="U178" s="166">
        <v>-1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1277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/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91.13</v>
      </c>
      <c r="E180" s="67">
        <v>15690</v>
      </c>
      <c r="F180" s="146">
        <v>0</v>
      </c>
      <c r="G180" s="146">
        <v>0</v>
      </c>
      <c r="H180" s="91">
        <v>15690</v>
      </c>
      <c r="I180" s="67">
        <v>0</v>
      </c>
      <c r="J180" s="20">
        <v>15690</v>
      </c>
      <c r="K180" s="132" t="s">
        <v>621</v>
      </c>
      <c r="L180" s="151">
        <v>0</v>
      </c>
      <c r="M180" s="128">
        <v>91.13</v>
      </c>
      <c r="N180" s="67">
        <v>871</v>
      </c>
      <c r="O180" s="67">
        <v>16561</v>
      </c>
      <c r="P180" s="270"/>
      <c r="Q180" s="71"/>
      <c r="R180" s="449"/>
      <c r="S180" s="67">
        <v>14226</v>
      </c>
      <c r="T180" s="163">
        <v>2335</v>
      </c>
      <c r="U180" s="166">
        <v>0.16413608885139885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223.38</v>
      </c>
      <c r="E181" s="67">
        <v>38459</v>
      </c>
      <c r="F181" s="146">
        <v>0</v>
      </c>
      <c r="G181" s="146">
        <v>0</v>
      </c>
      <c r="H181" s="91">
        <v>38459</v>
      </c>
      <c r="I181" s="67">
        <v>0</v>
      </c>
      <c r="J181" s="20">
        <v>38459</v>
      </c>
      <c r="K181" s="132" t="s">
        <v>621</v>
      </c>
      <c r="L181" s="151">
        <v>0</v>
      </c>
      <c r="M181" s="128">
        <v>223.38</v>
      </c>
      <c r="N181" s="67">
        <v>2135</v>
      </c>
      <c r="O181" s="67">
        <v>40594</v>
      </c>
      <c r="P181" s="270"/>
      <c r="Q181" s="71"/>
      <c r="R181" s="449"/>
      <c r="S181" s="67">
        <v>36447</v>
      </c>
      <c r="T181" s="163">
        <v>4147</v>
      </c>
      <c r="U181" s="166">
        <v>0.11378165555464098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81.13</v>
      </c>
      <c r="E182" s="67">
        <v>13968</v>
      </c>
      <c r="F182" s="146">
        <v>0</v>
      </c>
      <c r="G182" s="146">
        <v>0</v>
      </c>
      <c r="H182" s="91">
        <v>13968</v>
      </c>
      <c r="I182" s="67">
        <v>0</v>
      </c>
      <c r="J182" s="20">
        <v>13968</v>
      </c>
      <c r="K182" s="132" t="s">
        <v>621</v>
      </c>
      <c r="L182" s="151">
        <v>0</v>
      </c>
      <c r="M182" s="128">
        <v>81.13</v>
      </c>
      <c r="N182" s="67">
        <v>775</v>
      </c>
      <c r="O182" s="67">
        <v>14743</v>
      </c>
      <c r="P182" s="270"/>
      <c r="Q182" s="71"/>
      <c r="R182" s="449"/>
      <c r="S182" s="67">
        <v>13169</v>
      </c>
      <c r="T182" s="163">
        <v>1574</v>
      </c>
      <c r="U182" s="166">
        <v>0.11952312248462298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22.25</v>
      </c>
      <c r="E183" s="67">
        <v>3831</v>
      </c>
      <c r="F183" s="146">
        <v>0</v>
      </c>
      <c r="G183" s="146">
        <v>0</v>
      </c>
      <c r="H183" s="91">
        <v>3831</v>
      </c>
      <c r="I183" s="67">
        <v>0</v>
      </c>
      <c r="J183" s="20">
        <v>3831</v>
      </c>
      <c r="K183" s="132" t="s">
        <v>1278</v>
      </c>
      <c r="L183" s="151">
        <v>3831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3898</v>
      </c>
      <c r="T183" s="163">
        <v>-3898</v>
      </c>
      <c r="U183" s="166">
        <v>-1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1277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/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16</v>
      </c>
      <c r="E185" s="67">
        <v>2755</v>
      </c>
      <c r="F185" s="146">
        <v>0</v>
      </c>
      <c r="G185" s="146">
        <v>0</v>
      </c>
      <c r="H185" s="91">
        <v>2755</v>
      </c>
      <c r="I185" s="67">
        <v>0</v>
      </c>
      <c r="J185" s="20">
        <v>2755</v>
      </c>
      <c r="K185" s="132" t="s">
        <v>621</v>
      </c>
      <c r="L185" s="151">
        <v>0</v>
      </c>
      <c r="M185" s="128">
        <v>16</v>
      </c>
      <c r="N185" s="67">
        <v>153</v>
      </c>
      <c r="O185" s="67">
        <v>2908</v>
      </c>
      <c r="P185" s="270"/>
      <c r="Q185" s="71"/>
      <c r="R185" s="449"/>
      <c r="S185" s="67">
        <v>3062</v>
      </c>
      <c r="T185" s="163">
        <v>-154</v>
      </c>
      <c r="U185" s="166">
        <v>-5.0293925538863485E-2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1277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1277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</v>
      </c>
      <c r="E188" s="67">
        <v>17906</v>
      </c>
      <c r="F188" s="146">
        <v>0</v>
      </c>
      <c r="G188" s="146">
        <v>0</v>
      </c>
      <c r="H188" s="91">
        <v>17906</v>
      </c>
      <c r="I188" s="67">
        <v>0</v>
      </c>
      <c r="J188" s="20">
        <v>17906</v>
      </c>
      <c r="K188" s="132" t="s">
        <v>621</v>
      </c>
      <c r="L188" s="151">
        <v>0</v>
      </c>
      <c r="M188" s="128">
        <v>104</v>
      </c>
      <c r="N188" s="67">
        <v>994</v>
      </c>
      <c r="O188" s="67">
        <v>18900</v>
      </c>
      <c r="P188" s="270"/>
      <c r="Q188" s="71"/>
      <c r="R188" s="449"/>
      <c r="S188" s="67">
        <v>17376</v>
      </c>
      <c r="T188" s="163">
        <v>1524</v>
      </c>
      <c r="U188" s="166">
        <v>8.7707182320441987E-2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82.63</v>
      </c>
      <c r="E189" s="67">
        <v>14226</v>
      </c>
      <c r="F189" s="146">
        <v>0</v>
      </c>
      <c r="G189" s="146">
        <v>0</v>
      </c>
      <c r="H189" s="91">
        <v>14226</v>
      </c>
      <c r="I189" s="67">
        <v>0</v>
      </c>
      <c r="J189" s="20">
        <v>14226</v>
      </c>
      <c r="K189" s="132" t="s">
        <v>621</v>
      </c>
      <c r="L189" s="151">
        <v>0</v>
      </c>
      <c r="M189" s="128">
        <v>82.63</v>
      </c>
      <c r="N189" s="67">
        <v>790</v>
      </c>
      <c r="O189" s="67">
        <v>15016</v>
      </c>
      <c r="P189" s="270"/>
      <c r="Q189" s="71"/>
      <c r="R189" s="449"/>
      <c r="S189" s="67">
        <v>14182</v>
      </c>
      <c r="T189" s="163">
        <v>834</v>
      </c>
      <c r="U189" s="166">
        <v>5.8806938372584966E-2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35</v>
      </c>
      <c r="E190" s="67">
        <v>6026</v>
      </c>
      <c r="F190" s="146">
        <v>0</v>
      </c>
      <c r="G190" s="146">
        <v>0</v>
      </c>
      <c r="H190" s="91">
        <v>6026</v>
      </c>
      <c r="I190" s="67">
        <v>0</v>
      </c>
      <c r="J190" s="20">
        <v>6026</v>
      </c>
      <c r="K190" s="132" t="s">
        <v>621</v>
      </c>
      <c r="L190" s="151">
        <v>0</v>
      </c>
      <c r="M190" s="128">
        <v>35</v>
      </c>
      <c r="N190" s="67">
        <v>335</v>
      </c>
      <c r="O190" s="67">
        <v>6361</v>
      </c>
      <c r="P190" s="270"/>
      <c r="Q190" s="71"/>
      <c r="R190" s="449"/>
      <c r="S190" s="67">
        <v>4625</v>
      </c>
      <c r="T190" s="163">
        <v>1736</v>
      </c>
      <c r="U190" s="166">
        <v>0.37535135135135134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1372.38</v>
      </c>
      <c r="E191" s="67">
        <v>236283</v>
      </c>
      <c r="F191" s="146">
        <v>0</v>
      </c>
      <c r="G191" s="146">
        <v>0</v>
      </c>
      <c r="H191" s="91">
        <v>236283</v>
      </c>
      <c r="I191" s="67">
        <v>0</v>
      </c>
      <c r="J191" s="20">
        <v>236283</v>
      </c>
      <c r="K191" s="132" t="s">
        <v>621</v>
      </c>
      <c r="L191" s="151">
        <v>0</v>
      </c>
      <c r="M191" s="128">
        <v>1372.38</v>
      </c>
      <c r="N191" s="67">
        <v>13116</v>
      </c>
      <c r="O191" s="67">
        <v>249399</v>
      </c>
      <c r="P191" s="270"/>
      <c r="Q191" s="71"/>
      <c r="R191" s="449"/>
      <c r="S191" s="67">
        <v>232044</v>
      </c>
      <c r="T191" s="163">
        <v>17355</v>
      </c>
      <c r="U191" s="166">
        <v>7.4791849821585557E-2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14.13</v>
      </c>
      <c r="E192" s="67">
        <v>2433</v>
      </c>
      <c r="F192" s="146">
        <v>0</v>
      </c>
      <c r="G192" s="146">
        <v>0</v>
      </c>
      <c r="H192" s="91">
        <v>2433</v>
      </c>
      <c r="I192" s="67">
        <v>0</v>
      </c>
      <c r="J192" s="20">
        <v>2433</v>
      </c>
      <c r="K192" s="132" t="s">
        <v>621</v>
      </c>
      <c r="L192" s="151">
        <v>0</v>
      </c>
      <c r="M192" s="128">
        <v>14.13</v>
      </c>
      <c r="N192" s="67">
        <v>135</v>
      </c>
      <c r="O192" s="67">
        <v>2568</v>
      </c>
      <c r="P192" s="270"/>
      <c r="Q192" s="71"/>
      <c r="R192" s="449"/>
      <c r="S192" s="67">
        <v>0</v>
      </c>
      <c r="T192" s="163">
        <v>2568</v>
      </c>
      <c r="U192" s="166">
        <v>0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1277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/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5273.88</v>
      </c>
      <c r="E194" s="67">
        <v>908005</v>
      </c>
      <c r="F194" s="146">
        <v>0</v>
      </c>
      <c r="G194" s="146">
        <v>0</v>
      </c>
      <c r="H194" s="91">
        <v>908005</v>
      </c>
      <c r="I194" s="67">
        <v>0</v>
      </c>
      <c r="J194" s="20">
        <v>908005</v>
      </c>
      <c r="K194" s="132" t="s">
        <v>621</v>
      </c>
      <c r="L194" s="151">
        <v>0</v>
      </c>
      <c r="M194" s="128">
        <v>5273.88</v>
      </c>
      <c r="N194" s="67">
        <v>50404</v>
      </c>
      <c r="O194" s="67">
        <v>958409</v>
      </c>
      <c r="P194" s="270"/>
      <c r="Q194" s="71"/>
      <c r="R194" s="449"/>
      <c r="S194" s="67">
        <v>867633</v>
      </c>
      <c r="T194" s="163">
        <v>90776</v>
      </c>
      <c r="U194" s="166">
        <v>0.10462488171842242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30.38</v>
      </c>
      <c r="E195" s="67">
        <v>5231</v>
      </c>
      <c r="F195" s="146">
        <v>0</v>
      </c>
      <c r="G195" s="146">
        <v>0</v>
      </c>
      <c r="H195" s="91">
        <v>5231</v>
      </c>
      <c r="I195" s="67">
        <v>0</v>
      </c>
      <c r="J195" s="20">
        <v>5231</v>
      </c>
      <c r="K195" s="132" t="s">
        <v>621</v>
      </c>
      <c r="L195" s="151">
        <v>0</v>
      </c>
      <c r="M195" s="128">
        <v>30.38</v>
      </c>
      <c r="N195" s="67">
        <v>290</v>
      </c>
      <c r="O195" s="67">
        <v>5521</v>
      </c>
      <c r="P195" s="270"/>
      <c r="Q195" s="71"/>
      <c r="R195" s="449"/>
      <c r="S195" s="67">
        <v>5308</v>
      </c>
      <c r="T195" s="163">
        <v>213</v>
      </c>
      <c r="U195" s="166">
        <v>4.0128108515448381E-2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39.5</v>
      </c>
      <c r="E196" s="67">
        <v>6801</v>
      </c>
      <c r="F196" s="146">
        <v>0</v>
      </c>
      <c r="G196" s="146">
        <v>0</v>
      </c>
      <c r="H196" s="91">
        <v>6801</v>
      </c>
      <c r="I196" s="67">
        <v>0</v>
      </c>
      <c r="J196" s="20">
        <v>6801</v>
      </c>
      <c r="K196" s="132" t="s">
        <v>621</v>
      </c>
      <c r="L196" s="151">
        <v>0</v>
      </c>
      <c r="M196" s="128">
        <v>39.5</v>
      </c>
      <c r="N196" s="67">
        <v>378</v>
      </c>
      <c r="O196" s="67">
        <v>7179</v>
      </c>
      <c r="P196" s="270"/>
      <c r="Q196" s="71"/>
      <c r="R196" s="449"/>
      <c r="S196" s="67">
        <v>5858</v>
      </c>
      <c r="T196" s="163">
        <v>1321</v>
      </c>
      <c r="U196" s="166">
        <v>0.22550358484124275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1277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49.88</v>
      </c>
      <c r="E198" s="67">
        <v>8588</v>
      </c>
      <c r="F198" s="146">
        <v>0</v>
      </c>
      <c r="G198" s="146">
        <v>0</v>
      </c>
      <c r="H198" s="91">
        <v>8588</v>
      </c>
      <c r="I198" s="67">
        <v>0</v>
      </c>
      <c r="J198" s="20">
        <v>8588</v>
      </c>
      <c r="K198" s="132" t="s">
        <v>621</v>
      </c>
      <c r="L198" s="151">
        <v>0</v>
      </c>
      <c r="M198" s="128">
        <v>49.88</v>
      </c>
      <c r="N198" s="67">
        <v>477</v>
      </c>
      <c r="O198" s="67">
        <v>9065</v>
      </c>
      <c r="P198" s="270"/>
      <c r="Q198" s="71"/>
      <c r="R198" s="449"/>
      <c r="S198" s="67">
        <v>8765</v>
      </c>
      <c r="T198" s="163">
        <v>300</v>
      </c>
      <c r="U198" s="166">
        <v>3.4227039361095266E-2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1277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/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1.75</v>
      </c>
      <c r="E200" s="67">
        <v>301</v>
      </c>
      <c r="F200" s="146">
        <v>0</v>
      </c>
      <c r="G200" s="146">
        <v>0</v>
      </c>
      <c r="H200" s="91">
        <v>301</v>
      </c>
      <c r="I200" s="67">
        <v>0</v>
      </c>
      <c r="J200" s="20">
        <v>301</v>
      </c>
      <c r="K200" s="132" t="s">
        <v>644</v>
      </c>
      <c r="L200" s="151">
        <v>301</v>
      </c>
      <c r="M200" s="128">
        <v>0</v>
      </c>
      <c r="N200" s="67">
        <v>0</v>
      </c>
      <c r="O200" s="67">
        <v>0</v>
      </c>
      <c r="P200" s="270"/>
      <c r="Q200" s="71"/>
      <c r="R200" s="449"/>
      <c r="S200" s="67">
        <v>0</v>
      </c>
      <c r="T200" s="163">
        <v>0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39.380000000000003</v>
      </c>
      <c r="E201" s="67">
        <v>6780</v>
      </c>
      <c r="F201" s="146">
        <v>0</v>
      </c>
      <c r="G201" s="146">
        <v>0</v>
      </c>
      <c r="H201" s="91">
        <v>6780</v>
      </c>
      <c r="I201" s="67">
        <v>0</v>
      </c>
      <c r="J201" s="20">
        <v>6780</v>
      </c>
      <c r="K201" s="132" t="s">
        <v>644</v>
      </c>
      <c r="L201" s="151">
        <v>6780</v>
      </c>
      <c r="M201" s="128">
        <v>0</v>
      </c>
      <c r="N201" s="67">
        <v>0</v>
      </c>
      <c r="O201" s="67">
        <v>0</v>
      </c>
      <c r="P201" s="270"/>
      <c r="Q201" s="71"/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11.63</v>
      </c>
      <c r="E202" s="67">
        <v>2002</v>
      </c>
      <c r="F202" s="146">
        <v>0</v>
      </c>
      <c r="G202" s="146">
        <v>0</v>
      </c>
      <c r="H202" s="91">
        <v>2002</v>
      </c>
      <c r="I202" s="67">
        <v>0</v>
      </c>
      <c r="J202" s="20">
        <v>2002</v>
      </c>
      <c r="K202" s="132" t="s">
        <v>621</v>
      </c>
      <c r="L202" s="151">
        <v>0</v>
      </c>
      <c r="M202" s="128">
        <v>11.63</v>
      </c>
      <c r="N202" s="67">
        <v>111</v>
      </c>
      <c r="O202" s="67">
        <v>2113</v>
      </c>
      <c r="P202" s="270"/>
      <c r="Q202" s="71"/>
      <c r="R202" s="449"/>
      <c r="S202" s="67">
        <v>1961</v>
      </c>
      <c r="T202" s="163">
        <v>152</v>
      </c>
      <c r="U202" s="166">
        <v>7.7511473737888831E-2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53.5</v>
      </c>
      <c r="E203" s="67">
        <v>9211</v>
      </c>
      <c r="F203" s="146">
        <v>0</v>
      </c>
      <c r="G203" s="146">
        <v>0</v>
      </c>
      <c r="H203" s="91">
        <v>9211</v>
      </c>
      <c r="I203" s="67">
        <v>0</v>
      </c>
      <c r="J203" s="20">
        <v>9211</v>
      </c>
      <c r="K203" s="132" t="s">
        <v>621</v>
      </c>
      <c r="L203" s="151">
        <v>0</v>
      </c>
      <c r="M203" s="128">
        <v>53.5</v>
      </c>
      <c r="N203" s="67">
        <v>511</v>
      </c>
      <c r="O203" s="67">
        <v>9722</v>
      </c>
      <c r="P203" s="270"/>
      <c r="Q203" s="71"/>
      <c r="R203" s="449"/>
      <c r="S203" s="67">
        <v>9733</v>
      </c>
      <c r="T203" s="163">
        <v>-11</v>
      </c>
      <c r="U203" s="166">
        <v>-1.1301756909483202E-3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581.25</v>
      </c>
      <c r="E204" s="67">
        <v>100074</v>
      </c>
      <c r="F204" s="146">
        <v>0</v>
      </c>
      <c r="G204" s="146">
        <v>0</v>
      </c>
      <c r="H204" s="91">
        <v>100074</v>
      </c>
      <c r="I204" s="67">
        <v>0</v>
      </c>
      <c r="J204" s="20">
        <v>100074</v>
      </c>
      <c r="K204" s="132" t="s">
        <v>621</v>
      </c>
      <c r="L204" s="151">
        <v>0</v>
      </c>
      <c r="M204" s="128">
        <v>581.25</v>
      </c>
      <c r="N204" s="67">
        <v>5555</v>
      </c>
      <c r="O204" s="67">
        <v>105629</v>
      </c>
      <c r="P204" s="270"/>
      <c r="Q204" s="71"/>
      <c r="R204" s="449"/>
      <c r="S204" s="67">
        <v>101103</v>
      </c>
      <c r="T204" s="163">
        <v>4526</v>
      </c>
      <c r="U204" s="166">
        <v>4.4766228499648876E-2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92.63</v>
      </c>
      <c r="E205" s="67">
        <v>15948</v>
      </c>
      <c r="F205" s="146">
        <v>0</v>
      </c>
      <c r="G205" s="146">
        <v>0</v>
      </c>
      <c r="H205" s="91">
        <v>15948</v>
      </c>
      <c r="I205" s="67">
        <v>0</v>
      </c>
      <c r="J205" s="20">
        <v>15948</v>
      </c>
      <c r="K205" s="132" t="s">
        <v>621</v>
      </c>
      <c r="L205" s="151">
        <v>0</v>
      </c>
      <c r="M205" s="128">
        <v>92.63</v>
      </c>
      <c r="N205" s="67">
        <v>885</v>
      </c>
      <c r="O205" s="67">
        <v>16833</v>
      </c>
      <c r="P205" s="270"/>
      <c r="Q205" s="71"/>
      <c r="R205" s="449"/>
      <c r="S205" s="67">
        <v>11651</v>
      </c>
      <c r="T205" s="163">
        <v>5182</v>
      </c>
      <c r="U205" s="166">
        <v>0.44476868938288561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635.38</v>
      </c>
      <c r="E206" s="67">
        <v>109393</v>
      </c>
      <c r="F206" s="146">
        <v>0</v>
      </c>
      <c r="G206" s="146">
        <v>0</v>
      </c>
      <c r="H206" s="91">
        <v>109393</v>
      </c>
      <c r="I206" s="67">
        <v>0</v>
      </c>
      <c r="J206" s="20">
        <v>109393</v>
      </c>
      <c r="K206" s="132" t="s">
        <v>621</v>
      </c>
      <c r="L206" s="151">
        <v>0</v>
      </c>
      <c r="M206" s="128">
        <v>635.38</v>
      </c>
      <c r="N206" s="67">
        <v>6073</v>
      </c>
      <c r="O206" s="67">
        <v>115466</v>
      </c>
      <c r="P206" s="270"/>
      <c r="Q206" s="71"/>
      <c r="R206" s="449"/>
      <c r="S206" s="67">
        <v>101587</v>
      </c>
      <c r="T206" s="163">
        <v>13879</v>
      </c>
      <c r="U206" s="166">
        <v>0.13662181184600392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1277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/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1277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108</v>
      </c>
      <c r="E209" s="67">
        <v>18594</v>
      </c>
      <c r="F209" s="146">
        <v>0</v>
      </c>
      <c r="G209" s="146">
        <v>0</v>
      </c>
      <c r="H209" s="91">
        <v>18594</v>
      </c>
      <c r="I209" s="67">
        <v>0</v>
      </c>
      <c r="J209" s="20">
        <v>18594</v>
      </c>
      <c r="K209" s="132" t="s">
        <v>621</v>
      </c>
      <c r="L209" s="151">
        <v>0</v>
      </c>
      <c r="M209" s="128">
        <v>108</v>
      </c>
      <c r="N209" s="67">
        <v>1032</v>
      </c>
      <c r="O209" s="67">
        <v>19626</v>
      </c>
      <c r="P209" s="270"/>
      <c r="Q209" s="71"/>
      <c r="R209" s="449"/>
      <c r="S209" s="67">
        <v>18917</v>
      </c>
      <c r="T209" s="163">
        <v>709</v>
      </c>
      <c r="U209" s="166">
        <v>3.7479515779457628E-2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31</v>
      </c>
      <c r="E210" s="67">
        <v>5337</v>
      </c>
      <c r="F210" s="146">
        <v>0</v>
      </c>
      <c r="G210" s="146">
        <v>0</v>
      </c>
      <c r="H210" s="91">
        <v>5337</v>
      </c>
      <c r="I210" s="67">
        <v>0</v>
      </c>
      <c r="J210" s="20">
        <v>5337</v>
      </c>
      <c r="K210" s="132" t="s">
        <v>621</v>
      </c>
      <c r="L210" s="151">
        <v>0</v>
      </c>
      <c r="M210" s="128">
        <v>31</v>
      </c>
      <c r="N210" s="67">
        <v>296</v>
      </c>
      <c r="O210" s="67">
        <v>5633</v>
      </c>
      <c r="P210" s="270"/>
      <c r="Q210" s="71"/>
      <c r="R210" s="449"/>
      <c r="S210" s="67">
        <v>5814</v>
      </c>
      <c r="T210" s="163">
        <v>-181</v>
      </c>
      <c r="U210" s="166">
        <v>-3.1131750945992433E-2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927.75</v>
      </c>
      <c r="E211" s="67">
        <v>159731</v>
      </c>
      <c r="F211" s="146">
        <v>0</v>
      </c>
      <c r="G211" s="146">
        <v>0</v>
      </c>
      <c r="H211" s="91">
        <v>159731</v>
      </c>
      <c r="I211" s="67">
        <v>0</v>
      </c>
      <c r="J211" s="20">
        <v>159731</v>
      </c>
      <c r="K211" s="132" t="s">
        <v>621</v>
      </c>
      <c r="L211" s="151">
        <v>0</v>
      </c>
      <c r="M211" s="128">
        <v>927.75</v>
      </c>
      <c r="N211" s="67">
        <v>8867</v>
      </c>
      <c r="O211" s="67">
        <v>168598</v>
      </c>
      <c r="P211" s="270"/>
      <c r="Q211" s="71"/>
      <c r="R211" s="449"/>
      <c r="S211" s="67">
        <v>151620</v>
      </c>
      <c r="T211" s="163">
        <v>16978</v>
      </c>
      <c r="U211" s="166">
        <v>0.11197731170030339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1277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56.63</v>
      </c>
      <c r="E213" s="67">
        <v>9750</v>
      </c>
      <c r="F213" s="146">
        <v>0</v>
      </c>
      <c r="G213" s="146">
        <v>0</v>
      </c>
      <c r="H213" s="91">
        <v>9750</v>
      </c>
      <c r="I213" s="67">
        <v>0</v>
      </c>
      <c r="J213" s="20">
        <v>9750</v>
      </c>
      <c r="K213" s="132" t="s">
        <v>621</v>
      </c>
      <c r="L213" s="151">
        <v>0</v>
      </c>
      <c r="M213" s="128">
        <v>56.63</v>
      </c>
      <c r="N213" s="67">
        <v>541</v>
      </c>
      <c r="O213" s="67">
        <v>10291</v>
      </c>
      <c r="P213" s="270"/>
      <c r="Q213" s="71"/>
      <c r="R213" s="449"/>
      <c r="S213" s="67">
        <v>10306</v>
      </c>
      <c r="T213" s="163">
        <v>-15</v>
      </c>
      <c r="U213" s="166">
        <v>-1.455462837182224E-3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13.88</v>
      </c>
      <c r="E214" s="67">
        <v>2390</v>
      </c>
      <c r="F214" s="146">
        <v>0</v>
      </c>
      <c r="G214" s="146">
        <v>0</v>
      </c>
      <c r="H214" s="91">
        <v>2390</v>
      </c>
      <c r="I214" s="67">
        <v>0</v>
      </c>
      <c r="J214" s="20">
        <v>2390</v>
      </c>
      <c r="K214" s="132" t="s">
        <v>621</v>
      </c>
      <c r="L214" s="151">
        <v>0</v>
      </c>
      <c r="M214" s="128">
        <v>13.88</v>
      </c>
      <c r="N214" s="67">
        <v>133</v>
      </c>
      <c r="O214" s="67">
        <v>2523</v>
      </c>
      <c r="P214" s="270"/>
      <c r="Q214" s="71"/>
      <c r="R214" s="449"/>
      <c r="S214" s="67">
        <v>0</v>
      </c>
      <c r="T214" s="163">
        <v>2523</v>
      </c>
      <c r="U214" s="166">
        <v>0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2092.38</v>
      </c>
      <c r="E215" s="67">
        <v>360245</v>
      </c>
      <c r="F215" s="146">
        <v>0</v>
      </c>
      <c r="G215" s="146">
        <v>0</v>
      </c>
      <c r="H215" s="91">
        <v>360245</v>
      </c>
      <c r="I215" s="67">
        <v>0</v>
      </c>
      <c r="J215" s="20">
        <v>360245</v>
      </c>
      <c r="K215" s="132" t="s">
        <v>621</v>
      </c>
      <c r="L215" s="151">
        <v>0</v>
      </c>
      <c r="M215" s="128">
        <v>2092.38</v>
      </c>
      <c r="N215" s="67">
        <v>19997</v>
      </c>
      <c r="O215" s="67">
        <v>380242</v>
      </c>
      <c r="P215" s="270"/>
      <c r="Q215" s="71"/>
      <c r="R215" s="449"/>
      <c r="S215" s="67">
        <v>354901</v>
      </c>
      <c r="T215" s="163">
        <v>25341</v>
      </c>
      <c r="U215" s="166">
        <v>7.1403010980526968E-2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1277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272.25</v>
      </c>
      <c r="E217" s="67">
        <v>46873</v>
      </c>
      <c r="F217" s="146">
        <v>0</v>
      </c>
      <c r="G217" s="146">
        <v>0</v>
      </c>
      <c r="H217" s="91">
        <v>46873</v>
      </c>
      <c r="I217" s="67">
        <v>0</v>
      </c>
      <c r="J217" s="20">
        <v>46873</v>
      </c>
      <c r="K217" s="132" t="s">
        <v>621</v>
      </c>
      <c r="L217" s="151">
        <v>0</v>
      </c>
      <c r="M217" s="128">
        <v>272.25</v>
      </c>
      <c r="N217" s="67">
        <v>2602</v>
      </c>
      <c r="O217" s="67">
        <v>49475</v>
      </c>
      <c r="P217" s="270"/>
      <c r="Q217" s="71"/>
      <c r="R217" s="449"/>
      <c r="S217" s="67">
        <v>42128</v>
      </c>
      <c r="T217" s="163">
        <v>7347</v>
      </c>
      <c r="U217" s="166">
        <v>0.17439707557918724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65.5</v>
      </c>
      <c r="E218" s="67">
        <v>11277</v>
      </c>
      <c r="F218" s="146">
        <v>0</v>
      </c>
      <c r="G218" s="146">
        <v>0</v>
      </c>
      <c r="H218" s="91">
        <v>11277</v>
      </c>
      <c r="I218" s="67">
        <v>0</v>
      </c>
      <c r="J218" s="20">
        <v>11277</v>
      </c>
      <c r="K218" s="132" t="s">
        <v>621</v>
      </c>
      <c r="L218" s="151">
        <v>0</v>
      </c>
      <c r="M218" s="128">
        <v>65.5</v>
      </c>
      <c r="N218" s="67">
        <v>626</v>
      </c>
      <c r="O218" s="67">
        <v>11903</v>
      </c>
      <c r="P218" s="270"/>
      <c r="Q218" s="71"/>
      <c r="R218" s="449"/>
      <c r="S218" s="67">
        <v>11430</v>
      </c>
      <c r="T218" s="163">
        <v>473</v>
      </c>
      <c r="U218" s="166">
        <v>4.138232720909886E-2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1277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7.5</v>
      </c>
      <c r="E220" s="67">
        <v>1291</v>
      </c>
      <c r="F220" s="146">
        <v>0</v>
      </c>
      <c r="G220" s="146">
        <v>0</v>
      </c>
      <c r="H220" s="91">
        <v>1291</v>
      </c>
      <c r="I220" s="67">
        <v>0</v>
      </c>
      <c r="J220" s="20">
        <v>1291</v>
      </c>
      <c r="K220" s="132" t="s">
        <v>1278</v>
      </c>
      <c r="L220" s="151">
        <v>1291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63.5</v>
      </c>
      <c r="E221" s="67">
        <v>10933</v>
      </c>
      <c r="F221" s="146">
        <v>0</v>
      </c>
      <c r="G221" s="146">
        <v>0</v>
      </c>
      <c r="H221" s="91">
        <v>10933</v>
      </c>
      <c r="I221" s="67">
        <v>0</v>
      </c>
      <c r="J221" s="20">
        <v>10933</v>
      </c>
      <c r="K221" s="132" t="s">
        <v>621</v>
      </c>
      <c r="L221" s="151">
        <v>0</v>
      </c>
      <c r="M221" s="128">
        <v>63.5</v>
      </c>
      <c r="N221" s="67">
        <v>607</v>
      </c>
      <c r="O221" s="67">
        <v>11540</v>
      </c>
      <c r="P221" s="270"/>
      <c r="Q221" s="71"/>
      <c r="R221" s="449"/>
      <c r="S221" s="67">
        <v>9581</v>
      </c>
      <c r="T221" s="163">
        <v>1959</v>
      </c>
      <c r="U221" s="166">
        <v>0.20446717461642835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120.5</v>
      </c>
      <c r="E222" s="67">
        <v>20747</v>
      </c>
      <c r="F222" s="146">
        <v>0</v>
      </c>
      <c r="G222" s="146">
        <v>0</v>
      </c>
      <c r="H222" s="91">
        <v>20747</v>
      </c>
      <c r="I222" s="67">
        <v>0</v>
      </c>
      <c r="J222" s="20">
        <v>20747</v>
      </c>
      <c r="K222" s="132" t="s">
        <v>621</v>
      </c>
      <c r="L222" s="151">
        <v>0</v>
      </c>
      <c r="M222" s="128">
        <v>120.5</v>
      </c>
      <c r="N222" s="67">
        <v>1152</v>
      </c>
      <c r="O222" s="67">
        <v>21899</v>
      </c>
      <c r="P222" s="270"/>
      <c r="Q222" s="71"/>
      <c r="R222" s="449"/>
      <c r="S222" s="67">
        <v>17926</v>
      </c>
      <c r="T222" s="163">
        <v>3973</v>
      </c>
      <c r="U222" s="166">
        <v>0.22163338168024099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12.38</v>
      </c>
      <c r="E223" s="67">
        <v>2131</v>
      </c>
      <c r="F223" s="146">
        <v>0</v>
      </c>
      <c r="G223" s="146">
        <v>0</v>
      </c>
      <c r="H223" s="91">
        <v>2131</v>
      </c>
      <c r="I223" s="67">
        <v>0</v>
      </c>
      <c r="J223" s="20">
        <v>2131</v>
      </c>
      <c r="K223" s="132" t="s">
        <v>644</v>
      </c>
      <c r="L223" s="151">
        <v>2131</v>
      </c>
      <c r="M223" s="128">
        <v>0</v>
      </c>
      <c r="N223" s="67">
        <v>0</v>
      </c>
      <c r="O223" s="67">
        <v>0</v>
      </c>
      <c r="P223" s="270"/>
      <c r="Q223" s="71"/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0.5</v>
      </c>
      <c r="E224" s="67">
        <v>86</v>
      </c>
      <c r="F224" s="146">
        <v>0</v>
      </c>
      <c r="G224" s="146">
        <v>0</v>
      </c>
      <c r="H224" s="91">
        <v>86</v>
      </c>
      <c r="I224" s="67">
        <v>0</v>
      </c>
      <c r="J224" s="20">
        <v>86</v>
      </c>
      <c r="K224" s="132" t="s">
        <v>1278</v>
      </c>
      <c r="L224" s="151">
        <v>86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627</v>
      </c>
      <c r="E225" s="67">
        <v>107951</v>
      </c>
      <c r="F225" s="146">
        <v>0</v>
      </c>
      <c r="G225" s="146">
        <v>0</v>
      </c>
      <c r="H225" s="91">
        <v>107951</v>
      </c>
      <c r="I225" s="67">
        <v>0</v>
      </c>
      <c r="J225" s="20">
        <v>107951</v>
      </c>
      <c r="K225" s="132" t="s">
        <v>621</v>
      </c>
      <c r="L225" s="151">
        <v>0</v>
      </c>
      <c r="M225" s="128">
        <v>627</v>
      </c>
      <c r="N225" s="67">
        <v>5992</v>
      </c>
      <c r="O225" s="67">
        <v>113943</v>
      </c>
      <c r="P225" s="270"/>
      <c r="Q225" s="71"/>
      <c r="R225" s="449"/>
      <c r="S225" s="67">
        <v>103854</v>
      </c>
      <c r="T225" s="163">
        <v>10089</v>
      </c>
      <c r="U225" s="166">
        <v>9.7145993413830956E-2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51</v>
      </c>
      <c r="E226" s="67">
        <v>8781</v>
      </c>
      <c r="F226" s="146">
        <v>0</v>
      </c>
      <c r="G226" s="146">
        <v>0</v>
      </c>
      <c r="H226" s="91">
        <v>8781</v>
      </c>
      <c r="I226" s="67">
        <v>0</v>
      </c>
      <c r="J226" s="20">
        <v>8781</v>
      </c>
      <c r="K226" s="132" t="s">
        <v>621</v>
      </c>
      <c r="L226" s="151">
        <v>0</v>
      </c>
      <c r="M226" s="128">
        <v>51</v>
      </c>
      <c r="N226" s="67">
        <v>487</v>
      </c>
      <c r="O226" s="67">
        <v>9268</v>
      </c>
      <c r="P226" s="270"/>
      <c r="Q226" s="71"/>
      <c r="R226" s="449"/>
      <c r="S226" s="67">
        <v>7202</v>
      </c>
      <c r="T226" s="163">
        <v>2066</v>
      </c>
      <c r="U226" s="166">
        <v>0.28686475978894749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1277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/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5780.13</v>
      </c>
      <c r="E228" s="67">
        <v>995168</v>
      </c>
      <c r="F228" s="146">
        <v>0</v>
      </c>
      <c r="G228" s="146">
        <v>0</v>
      </c>
      <c r="H228" s="91">
        <v>995168</v>
      </c>
      <c r="I228" s="67">
        <v>0</v>
      </c>
      <c r="J228" s="20">
        <v>995168</v>
      </c>
      <c r="K228" s="132" t="s">
        <v>621</v>
      </c>
      <c r="L228" s="151">
        <v>0</v>
      </c>
      <c r="M228" s="128">
        <v>5780.13</v>
      </c>
      <c r="N228" s="67">
        <v>55244</v>
      </c>
      <c r="O228" s="303">
        <v>1050412</v>
      </c>
      <c r="P228" s="270"/>
      <c r="Q228" s="71"/>
      <c r="R228" s="449"/>
      <c r="S228" s="67">
        <v>959723</v>
      </c>
      <c r="T228" s="163">
        <v>90689</v>
      </c>
      <c r="U228" s="166">
        <v>9.4494974070643306E-2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201.88</v>
      </c>
      <c r="E229" s="67">
        <v>34758</v>
      </c>
      <c r="F229" s="146">
        <v>0</v>
      </c>
      <c r="G229" s="146">
        <v>0</v>
      </c>
      <c r="H229" s="91">
        <v>34758</v>
      </c>
      <c r="I229" s="67">
        <v>0</v>
      </c>
      <c r="J229" s="20">
        <v>34758</v>
      </c>
      <c r="K229" s="132" t="s">
        <v>621</v>
      </c>
      <c r="L229" s="151">
        <v>0</v>
      </c>
      <c r="M229" s="128">
        <v>201.88</v>
      </c>
      <c r="N229" s="67">
        <v>1929</v>
      </c>
      <c r="O229" s="67">
        <v>36687</v>
      </c>
      <c r="P229" s="270"/>
      <c r="Q229" s="71"/>
      <c r="R229" s="449"/>
      <c r="S229" s="67">
        <v>36688</v>
      </c>
      <c r="T229" s="163">
        <v>-1</v>
      </c>
      <c r="U229" s="166">
        <v>-2.7256868730920193E-5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222.88</v>
      </c>
      <c r="E230" s="67">
        <v>38373</v>
      </c>
      <c r="F230" s="146">
        <v>0</v>
      </c>
      <c r="G230" s="146">
        <v>0</v>
      </c>
      <c r="H230" s="91">
        <v>38373</v>
      </c>
      <c r="I230" s="67">
        <v>0</v>
      </c>
      <c r="J230" s="20">
        <v>38373</v>
      </c>
      <c r="K230" s="132" t="s">
        <v>621</v>
      </c>
      <c r="L230" s="151">
        <v>0</v>
      </c>
      <c r="M230" s="128">
        <v>222.88</v>
      </c>
      <c r="N230" s="67">
        <v>2130</v>
      </c>
      <c r="O230" s="67">
        <v>40503</v>
      </c>
      <c r="P230" s="270"/>
      <c r="Q230" s="71"/>
      <c r="R230" s="449"/>
      <c r="S230" s="67">
        <v>35719</v>
      </c>
      <c r="T230" s="163">
        <v>4784</v>
      </c>
      <c r="U230" s="166">
        <v>0.13393432066967159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1277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37.380000000000003</v>
      </c>
      <c r="E232" s="67">
        <v>6436</v>
      </c>
      <c r="F232" s="146">
        <v>0</v>
      </c>
      <c r="G232" s="146">
        <v>0</v>
      </c>
      <c r="H232" s="91">
        <v>6436</v>
      </c>
      <c r="I232" s="67">
        <v>0</v>
      </c>
      <c r="J232" s="20">
        <v>6436</v>
      </c>
      <c r="K232" s="132" t="s">
        <v>644</v>
      </c>
      <c r="L232" s="151">
        <v>6436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5286</v>
      </c>
      <c r="T232" s="163">
        <v>-5286</v>
      </c>
      <c r="U232" s="166">
        <v>-1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1277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/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310.5</v>
      </c>
      <c r="E234" s="67">
        <v>53459</v>
      </c>
      <c r="F234" s="146">
        <v>0</v>
      </c>
      <c r="G234" s="146">
        <v>0</v>
      </c>
      <c r="H234" s="91">
        <v>53459</v>
      </c>
      <c r="I234" s="67">
        <v>0</v>
      </c>
      <c r="J234" s="20">
        <v>53459</v>
      </c>
      <c r="K234" s="132" t="s">
        <v>621</v>
      </c>
      <c r="L234" s="151">
        <v>0</v>
      </c>
      <c r="M234" s="128">
        <v>310.5</v>
      </c>
      <c r="N234" s="67">
        <v>2968</v>
      </c>
      <c r="O234" s="67">
        <v>56427</v>
      </c>
      <c r="P234" s="270"/>
      <c r="Q234" s="71"/>
      <c r="R234" s="449"/>
      <c r="S234" s="67">
        <v>50474</v>
      </c>
      <c r="T234" s="163">
        <v>5953</v>
      </c>
      <c r="U234" s="166">
        <v>0.11794191068669017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577.88</v>
      </c>
      <c r="E235" s="67">
        <v>99494</v>
      </c>
      <c r="F235" s="146">
        <v>0</v>
      </c>
      <c r="G235" s="146">
        <v>0</v>
      </c>
      <c r="H235" s="91">
        <v>99494</v>
      </c>
      <c r="I235" s="67">
        <v>0</v>
      </c>
      <c r="J235" s="20">
        <v>99494</v>
      </c>
      <c r="K235" s="132" t="s">
        <v>621</v>
      </c>
      <c r="L235" s="151">
        <v>0</v>
      </c>
      <c r="M235" s="128">
        <v>577.88</v>
      </c>
      <c r="N235" s="67">
        <v>5523</v>
      </c>
      <c r="O235" s="67">
        <v>105017</v>
      </c>
      <c r="P235" s="270"/>
      <c r="Q235" s="71"/>
      <c r="R235" s="449"/>
      <c r="S235" s="67">
        <v>97799</v>
      </c>
      <c r="T235" s="163">
        <v>7218</v>
      </c>
      <c r="U235" s="166">
        <v>7.3804435628176152E-2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1277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1277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/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275.38</v>
      </c>
      <c r="E238" s="67">
        <v>47412</v>
      </c>
      <c r="F238" s="146">
        <v>0</v>
      </c>
      <c r="G238" s="146">
        <v>0</v>
      </c>
      <c r="H238" s="91">
        <v>47412</v>
      </c>
      <c r="I238" s="67">
        <v>0</v>
      </c>
      <c r="J238" s="20">
        <v>47412</v>
      </c>
      <c r="K238" s="132" t="s">
        <v>621</v>
      </c>
      <c r="L238" s="151">
        <v>0</v>
      </c>
      <c r="M238" s="128">
        <v>275.38</v>
      </c>
      <c r="N238" s="67">
        <v>2632</v>
      </c>
      <c r="O238" s="67">
        <v>50044</v>
      </c>
      <c r="P238" s="270"/>
      <c r="Q238" s="71"/>
      <c r="R238" s="449"/>
      <c r="S238" s="67">
        <v>43162</v>
      </c>
      <c r="T238" s="163">
        <v>6882</v>
      </c>
      <c r="U238" s="166">
        <v>0.159445808813308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118.38</v>
      </c>
      <c r="E239" s="67">
        <v>20382</v>
      </c>
      <c r="F239" s="146">
        <v>0</v>
      </c>
      <c r="G239" s="146">
        <v>0</v>
      </c>
      <c r="H239" s="91">
        <v>20382</v>
      </c>
      <c r="I239" s="67">
        <v>0</v>
      </c>
      <c r="J239" s="20">
        <v>20382</v>
      </c>
      <c r="K239" s="132" t="s">
        <v>621</v>
      </c>
      <c r="L239" s="151">
        <v>0</v>
      </c>
      <c r="M239" s="128">
        <v>118.38</v>
      </c>
      <c r="N239" s="67">
        <v>1131</v>
      </c>
      <c r="O239" s="67">
        <v>21513</v>
      </c>
      <c r="P239" s="270"/>
      <c r="Q239" s="71"/>
      <c r="R239" s="449"/>
      <c r="S239" s="67">
        <v>18587</v>
      </c>
      <c r="T239" s="163">
        <v>2926</v>
      </c>
      <c r="U239" s="166">
        <v>0.1574218539839673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82.25</v>
      </c>
      <c r="E240" s="67">
        <v>14161</v>
      </c>
      <c r="F240" s="146">
        <v>0</v>
      </c>
      <c r="G240" s="146">
        <v>0</v>
      </c>
      <c r="H240" s="91">
        <v>14161</v>
      </c>
      <c r="I240" s="67">
        <v>0</v>
      </c>
      <c r="J240" s="20">
        <v>14161</v>
      </c>
      <c r="K240" s="132" t="s">
        <v>621</v>
      </c>
      <c r="L240" s="151">
        <v>0</v>
      </c>
      <c r="M240" s="128">
        <v>82.25</v>
      </c>
      <c r="N240" s="67">
        <v>786</v>
      </c>
      <c r="O240" s="67">
        <v>14947</v>
      </c>
      <c r="P240" s="270"/>
      <c r="Q240" s="71"/>
      <c r="R240" s="449"/>
      <c r="S240" s="67">
        <v>16164</v>
      </c>
      <c r="T240" s="163">
        <v>-1217</v>
      </c>
      <c r="U240" s="166">
        <v>-7.5290769611482303E-2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65.63</v>
      </c>
      <c r="E241" s="67">
        <v>11300</v>
      </c>
      <c r="F241" s="146">
        <v>0</v>
      </c>
      <c r="G241" s="146">
        <v>0</v>
      </c>
      <c r="H241" s="91">
        <v>11300</v>
      </c>
      <c r="I241" s="67">
        <v>0</v>
      </c>
      <c r="J241" s="20">
        <v>11300</v>
      </c>
      <c r="K241" s="132" t="s">
        <v>621</v>
      </c>
      <c r="L241" s="151">
        <v>0</v>
      </c>
      <c r="M241" s="128">
        <v>65.63</v>
      </c>
      <c r="N241" s="67">
        <v>627</v>
      </c>
      <c r="O241" s="67">
        <v>11927</v>
      </c>
      <c r="P241" s="270"/>
      <c r="Q241" s="71"/>
      <c r="R241" s="449"/>
      <c r="S241" s="67">
        <v>13544</v>
      </c>
      <c r="T241" s="163">
        <v>-1617</v>
      </c>
      <c r="U241" s="166">
        <v>-0.11938865918487891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97.13</v>
      </c>
      <c r="E242" s="67">
        <v>16723</v>
      </c>
      <c r="F242" s="146">
        <v>0</v>
      </c>
      <c r="G242" s="146">
        <v>0</v>
      </c>
      <c r="H242" s="91">
        <v>16723</v>
      </c>
      <c r="I242" s="67">
        <v>0</v>
      </c>
      <c r="J242" s="20">
        <v>16723</v>
      </c>
      <c r="K242" s="132" t="s">
        <v>621</v>
      </c>
      <c r="L242" s="151">
        <v>0</v>
      </c>
      <c r="M242" s="128">
        <v>97.13</v>
      </c>
      <c r="N242" s="67">
        <v>928</v>
      </c>
      <c r="O242" s="67">
        <v>17651</v>
      </c>
      <c r="P242" s="270"/>
      <c r="Q242" s="71"/>
      <c r="R242" s="449"/>
      <c r="S242" s="67">
        <v>13853</v>
      </c>
      <c r="T242" s="163">
        <v>3798</v>
      </c>
      <c r="U242" s="166">
        <v>0.27416444091532521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12.38</v>
      </c>
      <c r="E243" s="67">
        <v>2131</v>
      </c>
      <c r="F243" s="146">
        <v>0</v>
      </c>
      <c r="G243" s="146">
        <v>0</v>
      </c>
      <c r="H243" s="91">
        <v>2131</v>
      </c>
      <c r="I243" s="67">
        <v>0</v>
      </c>
      <c r="J243" s="20">
        <v>2131</v>
      </c>
      <c r="K243" s="132" t="s">
        <v>1278</v>
      </c>
      <c r="L243" s="151">
        <v>2131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</v>
      </c>
      <c r="E244" s="67">
        <v>517</v>
      </c>
      <c r="F244" s="146">
        <v>0</v>
      </c>
      <c r="G244" s="146">
        <v>0</v>
      </c>
      <c r="H244" s="91">
        <v>517</v>
      </c>
      <c r="I244" s="67">
        <v>0</v>
      </c>
      <c r="J244" s="20">
        <v>517</v>
      </c>
      <c r="K244" s="132" t="s">
        <v>1278</v>
      </c>
      <c r="L244" s="151">
        <v>517</v>
      </c>
      <c r="M244" s="128">
        <v>0</v>
      </c>
      <c r="N244" s="67">
        <v>0</v>
      </c>
      <c r="O244" s="67">
        <v>0</v>
      </c>
      <c r="P244" s="270"/>
      <c r="Q244" s="71"/>
      <c r="R244" s="449"/>
      <c r="S244" s="67">
        <v>176</v>
      </c>
      <c r="T244" s="163">
        <v>-176</v>
      </c>
      <c r="U244" s="166">
        <v>-1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1324.63</v>
      </c>
      <c r="E245" s="67">
        <v>228062</v>
      </c>
      <c r="F245" s="146">
        <v>0</v>
      </c>
      <c r="G245" s="146">
        <v>0</v>
      </c>
      <c r="H245" s="91">
        <v>228062</v>
      </c>
      <c r="I245" s="67">
        <v>0</v>
      </c>
      <c r="J245" s="20">
        <v>228062</v>
      </c>
      <c r="K245" s="132" t="s">
        <v>621</v>
      </c>
      <c r="L245" s="151">
        <v>0</v>
      </c>
      <c r="M245" s="128">
        <v>1324.63</v>
      </c>
      <c r="N245" s="67">
        <v>12660</v>
      </c>
      <c r="O245" s="67">
        <v>240722</v>
      </c>
      <c r="P245" s="270"/>
      <c r="Q245" s="71"/>
      <c r="R245" s="449"/>
      <c r="S245" s="67">
        <v>207379</v>
      </c>
      <c r="T245" s="163">
        <v>33343</v>
      </c>
      <c r="U245" s="166">
        <v>0.16078291437416517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1277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/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1277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/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87.25</v>
      </c>
      <c r="E248" s="67">
        <v>15022</v>
      </c>
      <c r="F248" s="146">
        <v>0</v>
      </c>
      <c r="G248" s="146">
        <v>0</v>
      </c>
      <c r="H248" s="91">
        <v>15022</v>
      </c>
      <c r="I248" s="67">
        <v>0</v>
      </c>
      <c r="J248" s="20">
        <v>15022</v>
      </c>
      <c r="K248" s="132" t="s">
        <v>621</v>
      </c>
      <c r="L248" s="151">
        <v>0</v>
      </c>
      <c r="M248" s="128">
        <v>87.25</v>
      </c>
      <c r="N248" s="67">
        <v>834</v>
      </c>
      <c r="O248" s="67">
        <v>15856</v>
      </c>
      <c r="P248" s="270"/>
      <c r="Q248" s="71"/>
      <c r="R248" s="449"/>
      <c r="S248" s="67">
        <v>14535</v>
      </c>
      <c r="T248" s="163">
        <v>1321</v>
      </c>
      <c r="U248" s="166">
        <v>9.0884072927416584E-2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1277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1277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/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1277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/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64.38</v>
      </c>
      <c r="E252" s="67">
        <v>11084</v>
      </c>
      <c r="F252" s="146">
        <v>0</v>
      </c>
      <c r="G252" s="146">
        <v>0</v>
      </c>
      <c r="H252" s="91">
        <v>11084</v>
      </c>
      <c r="I252" s="67">
        <v>0</v>
      </c>
      <c r="J252" s="20">
        <v>11084</v>
      </c>
      <c r="K252" s="132" t="s">
        <v>621</v>
      </c>
      <c r="L252" s="151">
        <v>0</v>
      </c>
      <c r="M252" s="128">
        <v>64.38</v>
      </c>
      <c r="N252" s="67">
        <v>615</v>
      </c>
      <c r="O252" s="67">
        <v>11699</v>
      </c>
      <c r="P252" s="270"/>
      <c r="Q252" s="71"/>
      <c r="R252" s="449"/>
      <c r="S252" s="67">
        <v>13016</v>
      </c>
      <c r="T252" s="163">
        <v>-1317</v>
      </c>
      <c r="U252" s="166">
        <v>-0.10118315918869084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1277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/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28</v>
      </c>
      <c r="E254" s="67">
        <v>4821</v>
      </c>
      <c r="F254" s="146">
        <v>0</v>
      </c>
      <c r="G254" s="146">
        <v>0</v>
      </c>
      <c r="H254" s="91">
        <v>4821</v>
      </c>
      <c r="I254" s="67">
        <v>0</v>
      </c>
      <c r="J254" s="20">
        <v>4821</v>
      </c>
      <c r="K254" s="132" t="s">
        <v>644</v>
      </c>
      <c r="L254" s="151">
        <v>4821</v>
      </c>
      <c r="M254" s="128">
        <v>0</v>
      </c>
      <c r="N254" s="67">
        <v>0</v>
      </c>
      <c r="O254" s="67">
        <v>0</v>
      </c>
      <c r="P254" s="270"/>
      <c r="Q254" s="71"/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115.75</v>
      </c>
      <c r="E255" s="67">
        <v>19929</v>
      </c>
      <c r="F255" s="146">
        <v>0</v>
      </c>
      <c r="G255" s="146">
        <v>0</v>
      </c>
      <c r="H255" s="91">
        <v>19929</v>
      </c>
      <c r="I255" s="67">
        <v>0</v>
      </c>
      <c r="J255" s="20">
        <v>19929</v>
      </c>
      <c r="K255" s="132" t="s">
        <v>621</v>
      </c>
      <c r="L255" s="151">
        <v>0</v>
      </c>
      <c r="M255" s="128">
        <v>115.75</v>
      </c>
      <c r="N255" s="67">
        <v>1106</v>
      </c>
      <c r="O255" s="67">
        <v>21035</v>
      </c>
      <c r="P255" s="270"/>
      <c r="Q255" s="71"/>
      <c r="R255" s="449"/>
      <c r="S255" s="67">
        <v>18366</v>
      </c>
      <c r="T255" s="163">
        <v>2669</v>
      </c>
      <c r="U255" s="166">
        <v>0.14532287923336601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1277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/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256.88</v>
      </c>
      <c r="E257" s="67">
        <v>44227</v>
      </c>
      <c r="F257" s="146">
        <v>0</v>
      </c>
      <c r="G257" s="146">
        <v>0</v>
      </c>
      <c r="H257" s="91">
        <v>44227</v>
      </c>
      <c r="I257" s="67">
        <v>0</v>
      </c>
      <c r="J257" s="20">
        <v>44227</v>
      </c>
      <c r="K257" s="132" t="s">
        <v>621</v>
      </c>
      <c r="L257" s="151">
        <v>0</v>
      </c>
      <c r="M257" s="128">
        <v>256.88</v>
      </c>
      <c r="N257" s="67">
        <v>2455</v>
      </c>
      <c r="O257" s="67">
        <v>46682</v>
      </c>
      <c r="P257" s="270"/>
      <c r="Q257" s="71"/>
      <c r="R257" s="449"/>
      <c r="S257" s="67">
        <v>38273</v>
      </c>
      <c r="T257" s="163">
        <v>8409</v>
      </c>
      <c r="U257" s="166">
        <v>0.21971102343688761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1911.75</v>
      </c>
      <c r="E258" s="67">
        <v>329146</v>
      </c>
      <c r="F258" s="146">
        <v>0</v>
      </c>
      <c r="G258" s="146">
        <v>0</v>
      </c>
      <c r="H258" s="91">
        <v>329146</v>
      </c>
      <c r="I258" s="67">
        <v>0</v>
      </c>
      <c r="J258" s="20">
        <v>329146</v>
      </c>
      <c r="K258" s="132" t="s">
        <v>621</v>
      </c>
      <c r="L258" s="151">
        <v>0</v>
      </c>
      <c r="M258" s="128">
        <v>1911.75</v>
      </c>
      <c r="N258" s="67">
        <v>18271</v>
      </c>
      <c r="O258" s="67">
        <v>347417</v>
      </c>
      <c r="P258" s="270"/>
      <c r="Q258" s="71"/>
      <c r="R258" s="449"/>
      <c r="S258" s="67">
        <v>297492</v>
      </c>
      <c r="T258" s="163">
        <v>49925</v>
      </c>
      <c r="U258" s="166">
        <v>0.1678196388474312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2217.5</v>
      </c>
      <c r="E259" s="67">
        <v>381787</v>
      </c>
      <c r="F259" s="146">
        <v>0</v>
      </c>
      <c r="G259" s="146">
        <v>0</v>
      </c>
      <c r="H259" s="91">
        <v>381787</v>
      </c>
      <c r="I259" s="67">
        <v>0</v>
      </c>
      <c r="J259" s="20">
        <v>381787</v>
      </c>
      <c r="K259" s="132" t="s">
        <v>621</v>
      </c>
      <c r="L259" s="151">
        <v>0</v>
      </c>
      <c r="M259" s="128">
        <v>2217.5</v>
      </c>
      <c r="N259" s="67">
        <v>21193</v>
      </c>
      <c r="O259" s="67">
        <v>402980</v>
      </c>
      <c r="P259" s="270"/>
      <c r="Q259" s="71"/>
      <c r="R259" s="449"/>
      <c r="S259" s="67">
        <v>355651</v>
      </c>
      <c r="T259" s="163">
        <v>47329</v>
      </c>
      <c r="U259" s="166">
        <v>0.13307708961875547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1277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/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125.5</v>
      </c>
      <c r="E261" s="67">
        <v>21607</v>
      </c>
      <c r="F261" s="146">
        <v>0</v>
      </c>
      <c r="G261" s="146">
        <v>0</v>
      </c>
      <c r="H261" s="91">
        <v>21607</v>
      </c>
      <c r="I261" s="67">
        <v>0</v>
      </c>
      <c r="J261" s="20">
        <v>21607</v>
      </c>
      <c r="K261" s="132" t="s">
        <v>621</v>
      </c>
      <c r="L261" s="151">
        <v>0</v>
      </c>
      <c r="M261" s="128">
        <v>125.5</v>
      </c>
      <c r="N261" s="67">
        <v>1199</v>
      </c>
      <c r="O261" s="67">
        <v>22806</v>
      </c>
      <c r="P261" s="270"/>
      <c r="Q261" s="71"/>
      <c r="R261" s="449"/>
      <c r="S261" s="67">
        <v>20744</v>
      </c>
      <c r="T261" s="163">
        <v>2062</v>
      </c>
      <c r="U261" s="166">
        <v>9.9402236791361356E-2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1277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12.88</v>
      </c>
      <c r="E263" s="67">
        <v>2218</v>
      </c>
      <c r="F263" s="146">
        <v>0</v>
      </c>
      <c r="G263" s="146">
        <v>0</v>
      </c>
      <c r="H263" s="91">
        <v>2218</v>
      </c>
      <c r="I263" s="67">
        <v>0</v>
      </c>
      <c r="J263" s="20">
        <v>2218</v>
      </c>
      <c r="K263" s="132" t="s">
        <v>621</v>
      </c>
      <c r="L263" s="151">
        <v>0</v>
      </c>
      <c r="M263" s="128">
        <v>12.88</v>
      </c>
      <c r="N263" s="67">
        <v>123</v>
      </c>
      <c r="O263" s="67">
        <v>2341</v>
      </c>
      <c r="P263" s="270"/>
      <c r="Q263" s="71"/>
      <c r="R263" s="449"/>
      <c r="S263" s="67">
        <v>2423</v>
      </c>
      <c r="T263" s="163">
        <v>-82</v>
      </c>
      <c r="U263" s="166">
        <v>-3.3842344201403217E-2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1277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/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20.5</v>
      </c>
      <c r="E265" s="67">
        <v>3529</v>
      </c>
      <c r="F265" s="146">
        <v>0</v>
      </c>
      <c r="G265" s="146">
        <v>0</v>
      </c>
      <c r="H265" s="91">
        <v>3529</v>
      </c>
      <c r="I265" s="67">
        <v>0</v>
      </c>
      <c r="J265" s="20">
        <v>3529</v>
      </c>
      <c r="K265" s="132" t="s">
        <v>644</v>
      </c>
      <c r="L265" s="151">
        <v>3529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3634</v>
      </c>
      <c r="T265" s="163">
        <v>-3634</v>
      </c>
      <c r="U265" s="166">
        <v>-1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134.13</v>
      </c>
      <c r="E266" s="67">
        <v>23093</v>
      </c>
      <c r="F266" s="146">
        <v>0</v>
      </c>
      <c r="G266" s="146">
        <v>0</v>
      </c>
      <c r="H266" s="91">
        <v>23093</v>
      </c>
      <c r="I266" s="67">
        <v>0</v>
      </c>
      <c r="J266" s="20">
        <v>23093</v>
      </c>
      <c r="K266" s="132" t="s">
        <v>621</v>
      </c>
      <c r="L266" s="151">
        <v>0</v>
      </c>
      <c r="M266" s="128">
        <v>134.13</v>
      </c>
      <c r="N266" s="67">
        <v>1282</v>
      </c>
      <c r="O266" s="67">
        <v>24375</v>
      </c>
      <c r="P266" s="270"/>
      <c r="Q266" s="71"/>
      <c r="R266" s="449"/>
      <c r="S266" s="67">
        <v>20304</v>
      </c>
      <c r="T266" s="163">
        <v>4071</v>
      </c>
      <c r="U266" s="166">
        <v>0.20050236406619384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1360.38</v>
      </c>
      <c r="E267" s="67">
        <v>234217</v>
      </c>
      <c r="F267" s="146">
        <v>0</v>
      </c>
      <c r="G267" s="146">
        <v>0</v>
      </c>
      <c r="H267" s="91">
        <v>234217</v>
      </c>
      <c r="I267" s="67">
        <v>0</v>
      </c>
      <c r="J267" s="20">
        <v>234217</v>
      </c>
      <c r="K267" s="132" t="s">
        <v>621</v>
      </c>
      <c r="L267" s="151">
        <v>0</v>
      </c>
      <c r="M267" s="128">
        <v>1360.38</v>
      </c>
      <c r="N267" s="67">
        <v>13002</v>
      </c>
      <c r="O267" s="67">
        <v>247219</v>
      </c>
      <c r="P267" s="270"/>
      <c r="Q267" s="71"/>
      <c r="R267" s="449"/>
      <c r="S267" s="67">
        <v>248516</v>
      </c>
      <c r="T267" s="163">
        <v>-1297</v>
      </c>
      <c r="U267" s="166">
        <v>-5.2189798644755271E-3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23</v>
      </c>
      <c r="E268" s="67">
        <v>3960</v>
      </c>
      <c r="F268" s="146">
        <v>0</v>
      </c>
      <c r="G268" s="146">
        <v>0</v>
      </c>
      <c r="H268" s="91">
        <v>3960</v>
      </c>
      <c r="I268" s="67">
        <v>0</v>
      </c>
      <c r="J268" s="20">
        <v>3960</v>
      </c>
      <c r="K268" s="132" t="s">
        <v>621</v>
      </c>
      <c r="L268" s="151">
        <v>0</v>
      </c>
      <c r="M268" s="128">
        <v>23</v>
      </c>
      <c r="N268" s="67">
        <v>220</v>
      </c>
      <c r="O268" s="67">
        <v>4180</v>
      </c>
      <c r="P268" s="270"/>
      <c r="Q268" s="71"/>
      <c r="R268" s="449"/>
      <c r="S268" s="67">
        <v>2951</v>
      </c>
      <c r="T268" s="163">
        <v>1229</v>
      </c>
      <c r="U268" s="166">
        <v>0.41646899356150457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20">
        <v>0</v>
      </c>
      <c r="K269" s="132" t="s">
        <v>1277</v>
      </c>
      <c r="L269" s="151">
        <v>0</v>
      </c>
      <c r="M269" s="128">
        <v>0</v>
      </c>
      <c r="N269" s="67">
        <v>0</v>
      </c>
      <c r="O269" s="67">
        <v>0</v>
      </c>
      <c r="P269" s="270"/>
      <c r="Q269" s="71"/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1277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/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1071.5</v>
      </c>
      <c r="E271" s="67">
        <v>184480</v>
      </c>
      <c r="F271" s="146">
        <v>0</v>
      </c>
      <c r="G271" s="146">
        <v>0</v>
      </c>
      <c r="H271" s="91">
        <v>184480</v>
      </c>
      <c r="I271" s="67">
        <v>0</v>
      </c>
      <c r="J271" s="20">
        <v>184480</v>
      </c>
      <c r="K271" s="132" t="s">
        <v>621</v>
      </c>
      <c r="L271" s="151">
        <v>0</v>
      </c>
      <c r="M271" s="128">
        <v>1071.5</v>
      </c>
      <c r="N271" s="67">
        <v>10241</v>
      </c>
      <c r="O271" s="67">
        <v>194721</v>
      </c>
      <c r="P271" s="270"/>
      <c r="Q271" s="71"/>
      <c r="R271" s="449"/>
      <c r="S271" s="67">
        <v>173971</v>
      </c>
      <c r="T271" s="163">
        <v>20750</v>
      </c>
      <c r="U271" s="166">
        <v>0.11927275235527761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92.25</v>
      </c>
      <c r="E272" s="67">
        <v>15883</v>
      </c>
      <c r="F272" s="146">
        <v>0</v>
      </c>
      <c r="G272" s="146">
        <v>0</v>
      </c>
      <c r="H272" s="91">
        <v>15883</v>
      </c>
      <c r="I272" s="67">
        <v>0</v>
      </c>
      <c r="J272" s="20">
        <v>15883</v>
      </c>
      <c r="K272" s="132" t="s">
        <v>621</v>
      </c>
      <c r="L272" s="151">
        <v>0</v>
      </c>
      <c r="M272" s="128">
        <v>92.25</v>
      </c>
      <c r="N272" s="67">
        <v>882</v>
      </c>
      <c r="O272" s="67">
        <v>16765</v>
      </c>
      <c r="P272" s="270"/>
      <c r="Q272" s="71"/>
      <c r="R272" s="449"/>
      <c r="S272" s="67">
        <v>17816</v>
      </c>
      <c r="T272" s="163">
        <v>-1051</v>
      </c>
      <c r="U272" s="166">
        <v>-5.8991917377638078E-2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156.5</v>
      </c>
      <c r="E273" s="67">
        <v>26945</v>
      </c>
      <c r="F273" s="146">
        <v>0</v>
      </c>
      <c r="G273" s="146">
        <v>0</v>
      </c>
      <c r="H273" s="91">
        <v>26945</v>
      </c>
      <c r="I273" s="67">
        <v>0</v>
      </c>
      <c r="J273" s="20">
        <v>26945</v>
      </c>
      <c r="K273" s="132" t="s">
        <v>621</v>
      </c>
      <c r="L273" s="151">
        <v>0</v>
      </c>
      <c r="M273" s="128">
        <v>156.5</v>
      </c>
      <c r="N273" s="67">
        <v>1496</v>
      </c>
      <c r="O273" s="67">
        <v>28441</v>
      </c>
      <c r="P273" s="270"/>
      <c r="Q273" s="71"/>
      <c r="R273" s="449"/>
      <c r="S273" s="67">
        <v>25589</v>
      </c>
      <c r="T273" s="163">
        <v>2852</v>
      </c>
      <c r="U273" s="166">
        <v>0.11145414045097503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133</v>
      </c>
      <c r="E274" s="67">
        <v>22899</v>
      </c>
      <c r="F274" s="146">
        <v>0</v>
      </c>
      <c r="G274" s="146">
        <v>0</v>
      </c>
      <c r="H274" s="91">
        <v>22899</v>
      </c>
      <c r="I274" s="67">
        <v>0</v>
      </c>
      <c r="J274" s="148">
        <v>22899</v>
      </c>
      <c r="K274" s="132" t="s">
        <v>621</v>
      </c>
      <c r="L274" s="151">
        <v>0</v>
      </c>
      <c r="M274" s="128">
        <v>133</v>
      </c>
      <c r="N274" s="67">
        <v>1271</v>
      </c>
      <c r="O274" s="67">
        <v>24170</v>
      </c>
      <c r="P274" s="270"/>
      <c r="Q274" s="71"/>
      <c r="R274" s="449"/>
      <c r="S274" s="67">
        <v>19358</v>
      </c>
      <c r="T274" s="163">
        <v>4812</v>
      </c>
      <c r="U274" s="166">
        <v>0.24857939869821263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1277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2047.25</v>
      </c>
      <c r="E276" s="67">
        <v>352475</v>
      </c>
      <c r="F276" s="146">
        <v>0</v>
      </c>
      <c r="G276" s="146">
        <v>0</v>
      </c>
      <c r="H276" s="91">
        <v>352475</v>
      </c>
      <c r="I276" s="67">
        <v>0</v>
      </c>
      <c r="J276" s="20">
        <v>352475</v>
      </c>
      <c r="K276" s="132" t="s">
        <v>621</v>
      </c>
      <c r="L276" s="151">
        <v>0</v>
      </c>
      <c r="M276" s="128">
        <v>2047.25</v>
      </c>
      <c r="N276" s="67">
        <v>19566</v>
      </c>
      <c r="O276" s="67">
        <v>372041</v>
      </c>
      <c r="P276" s="270"/>
      <c r="Q276" s="71"/>
      <c r="R276" s="449"/>
      <c r="S276" s="67">
        <v>328542</v>
      </c>
      <c r="T276" s="163">
        <v>43499</v>
      </c>
      <c r="U276" s="166">
        <v>0.13240011931503431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26.13</v>
      </c>
      <c r="E277" s="67">
        <v>4499</v>
      </c>
      <c r="F277" s="146">
        <v>0</v>
      </c>
      <c r="G277" s="146">
        <v>0</v>
      </c>
      <c r="H277" s="91">
        <v>4499</v>
      </c>
      <c r="I277" s="67">
        <v>0</v>
      </c>
      <c r="J277" s="148">
        <v>4499</v>
      </c>
      <c r="K277" s="132" t="s">
        <v>621</v>
      </c>
      <c r="L277" s="151">
        <v>0</v>
      </c>
      <c r="M277" s="128">
        <v>26.13</v>
      </c>
      <c r="N277" s="67">
        <v>250</v>
      </c>
      <c r="O277" s="67">
        <v>4749</v>
      </c>
      <c r="P277" s="270"/>
      <c r="Q277" s="71"/>
      <c r="R277" s="449"/>
      <c r="S277" s="67">
        <v>3347</v>
      </c>
      <c r="T277" s="163">
        <v>1402</v>
      </c>
      <c r="U277" s="166">
        <v>0.41888258141619361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22.38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22.38</v>
      </c>
      <c r="N278" s="67">
        <v>214</v>
      </c>
      <c r="O278" s="67">
        <v>4067</v>
      </c>
      <c r="P278" s="270"/>
      <c r="Q278" s="71"/>
      <c r="R278" s="449"/>
      <c r="S278" s="67">
        <v>2753</v>
      </c>
      <c r="T278" s="163">
        <v>1314</v>
      </c>
      <c r="U278" s="166">
        <v>0.47729749364329821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1237.3800000000001</v>
      </c>
      <c r="E279" s="67">
        <v>213040</v>
      </c>
      <c r="F279" s="146">
        <v>0</v>
      </c>
      <c r="G279" s="146">
        <v>0</v>
      </c>
      <c r="H279" s="91">
        <v>213040</v>
      </c>
      <c r="I279" s="67">
        <v>0</v>
      </c>
      <c r="J279" s="20">
        <v>213040</v>
      </c>
      <c r="K279" s="132" t="s">
        <v>621</v>
      </c>
      <c r="L279" s="151">
        <v>0</v>
      </c>
      <c r="M279" s="128">
        <v>1237.3800000000001</v>
      </c>
      <c r="N279" s="67">
        <v>11826</v>
      </c>
      <c r="O279" s="67">
        <v>224866</v>
      </c>
      <c r="P279" s="270"/>
      <c r="Q279" s="71"/>
      <c r="R279" s="449"/>
      <c r="S279" s="67">
        <v>211496</v>
      </c>
      <c r="T279" s="163">
        <v>13370</v>
      </c>
      <c r="U279" s="166">
        <v>6.3216325604266752E-2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1277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/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806.5</v>
      </c>
      <c r="E281" s="67">
        <v>138855</v>
      </c>
      <c r="F281" s="146">
        <v>0</v>
      </c>
      <c r="G281" s="146">
        <v>0</v>
      </c>
      <c r="H281" s="91">
        <v>138855</v>
      </c>
      <c r="I281" s="67">
        <v>0</v>
      </c>
      <c r="J281" s="20">
        <v>138855</v>
      </c>
      <c r="K281" s="132" t="s">
        <v>621</v>
      </c>
      <c r="L281" s="151">
        <v>0</v>
      </c>
      <c r="M281" s="128">
        <v>806.5</v>
      </c>
      <c r="N281" s="67">
        <v>7708</v>
      </c>
      <c r="O281" s="67">
        <v>146563</v>
      </c>
      <c r="P281" s="270"/>
      <c r="Q281" s="71"/>
      <c r="R281" s="449"/>
      <c r="S281" s="67">
        <v>136315</v>
      </c>
      <c r="T281" s="163">
        <v>10248</v>
      </c>
      <c r="U281" s="166">
        <v>7.5178813776913767E-2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1114.8800000000001</v>
      </c>
      <c r="E282" s="67">
        <v>191949</v>
      </c>
      <c r="F282" s="146">
        <v>0</v>
      </c>
      <c r="G282" s="146">
        <v>0</v>
      </c>
      <c r="H282" s="91">
        <v>191949</v>
      </c>
      <c r="I282" s="67">
        <v>0</v>
      </c>
      <c r="J282" s="20">
        <v>191949</v>
      </c>
      <c r="K282" s="132" t="s">
        <v>621</v>
      </c>
      <c r="L282" s="151">
        <v>0</v>
      </c>
      <c r="M282" s="128">
        <v>1114.8800000000001</v>
      </c>
      <c r="N282" s="67">
        <v>10655</v>
      </c>
      <c r="O282" s="67">
        <v>202604</v>
      </c>
      <c r="P282" s="270"/>
      <c r="Q282" s="71"/>
      <c r="R282" s="449"/>
      <c r="S282" s="67">
        <v>163512</v>
      </c>
      <c r="T282" s="163">
        <v>39092</v>
      </c>
      <c r="U282" s="166">
        <v>0.23907725426879983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341.13</v>
      </c>
      <c r="E283" s="67">
        <v>58732</v>
      </c>
      <c r="F283" s="146">
        <v>0</v>
      </c>
      <c r="G283" s="146">
        <v>0</v>
      </c>
      <c r="H283" s="91">
        <v>58732</v>
      </c>
      <c r="I283" s="67">
        <v>0</v>
      </c>
      <c r="J283" s="20">
        <v>58732</v>
      </c>
      <c r="K283" s="132" t="s">
        <v>621</v>
      </c>
      <c r="L283" s="151">
        <v>0</v>
      </c>
      <c r="M283" s="128">
        <v>341.13</v>
      </c>
      <c r="N283" s="67">
        <v>3260</v>
      </c>
      <c r="O283" s="67">
        <v>61992</v>
      </c>
      <c r="P283" s="270"/>
      <c r="Q283" s="71"/>
      <c r="R283" s="449"/>
      <c r="S283" s="67">
        <v>52324</v>
      </c>
      <c r="T283" s="163">
        <v>9668</v>
      </c>
      <c r="U283" s="166">
        <v>0.18477180643681676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54.25</v>
      </c>
      <c r="E284" s="67">
        <v>9340</v>
      </c>
      <c r="F284" s="146">
        <v>0</v>
      </c>
      <c r="G284" s="146">
        <v>0</v>
      </c>
      <c r="H284" s="91">
        <v>9340</v>
      </c>
      <c r="I284" s="67">
        <v>0</v>
      </c>
      <c r="J284" s="20">
        <v>9340</v>
      </c>
      <c r="K284" s="132" t="s">
        <v>621</v>
      </c>
      <c r="L284" s="151">
        <v>0</v>
      </c>
      <c r="M284" s="128">
        <v>54.25</v>
      </c>
      <c r="N284" s="67">
        <v>518</v>
      </c>
      <c r="O284" s="67">
        <v>9858</v>
      </c>
      <c r="P284" s="270"/>
      <c r="Q284" s="71"/>
      <c r="R284" s="449"/>
      <c r="S284" s="67">
        <v>9733</v>
      </c>
      <c r="T284" s="163">
        <v>125</v>
      </c>
      <c r="U284" s="166">
        <v>1.2842905578958183E-2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1277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/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17.88</v>
      </c>
      <c r="E286" s="67">
        <v>3078</v>
      </c>
      <c r="F286" s="146">
        <v>0</v>
      </c>
      <c r="G286" s="146">
        <v>0</v>
      </c>
      <c r="H286" s="91">
        <v>3078</v>
      </c>
      <c r="I286" s="67">
        <v>0</v>
      </c>
      <c r="J286" s="20">
        <v>3078</v>
      </c>
      <c r="K286" s="132" t="s">
        <v>621</v>
      </c>
      <c r="L286" s="151">
        <v>0</v>
      </c>
      <c r="M286" s="128">
        <v>17.88</v>
      </c>
      <c r="N286" s="67">
        <v>171</v>
      </c>
      <c r="O286" s="67">
        <v>3249</v>
      </c>
      <c r="P286" s="270"/>
      <c r="Q286" s="71"/>
      <c r="R286" s="449"/>
      <c r="S286" s="67">
        <v>0</v>
      </c>
      <c r="T286" s="163">
        <v>3249</v>
      </c>
      <c r="U286" s="166">
        <v>0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20">
        <v>0</v>
      </c>
      <c r="K287" s="132" t="s">
        <v>1277</v>
      </c>
      <c r="L287" s="151">
        <v>0</v>
      </c>
      <c r="M287" s="128">
        <v>0</v>
      </c>
      <c r="N287" s="67">
        <v>0</v>
      </c>
      <c r="O287" s="67">
        <v>0</v>
      </c>
      <c r="P287" s="270"/>
      <c r="Q287" s="71"/>
      <c r="R287" s="449"/>
      <c r="S287" s="67">
        <v>0</v>
      </c>
      <c r="T287" s="163">
        <v>0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1585.38</v>
      </c>
      <c r="E288" s="67">
        <v>272955</v>
      </c>
      <c r="F288" s="146">
        <v>0</v>
      </c>
      <c r="G288" s="146">
        <v>0</v>
      </c>
      <c r="H288" s="91">
        <v>272955</v>
      </c>
      <c r="I288" s="67">
        <v>0</v>
      </c>
      <c r="J288" s="20">
        <v>272955</v>
      </c>
      <c r="K288" s="132" t="s">
        <v>621</v>
      </c>
      <c r="L288" s="151">
        <v>0</v>
      </c>
      <c r="M288" s="128">
        <v>1585.38</v>
      </c>
      <c r="N288" s="67">
        <v>15152</v>
      </c>
      <c r="O288" s="67">
        <v>288107</v>
      </c>
      <c r="P288" s="270"/>
      <c r="Q288" s="71"/>
      <c r="R288" s="449"/>
      <c r="S288" s="67">
        <v>270889</v>
      </c>
      <c r="T288" s="163">
        <v>17218</v>
      </c>
      <c r="U288" s="166">
        <v>6.3561089597584247E-2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111.88</v>
      </c>
      <c r="E289" s="67">
        <v>19262</v>
      </c>
      <c r="F289" s="146">
        <v>0</v>
      </c>
      <c r="G289" s="146">
        <v>0</v>
      </c>
      <c r="H289" s="91">
        <v>19262</v>
      </c>
      <c r="I289" s="67">
        <v>0</v>
      </c>
      <c r="J289" s="100">
        <v>19262</v>
      </c>
      <c r="K289" s="132" t="s">
        <v>621</v>
      </c>
      <c r="L289" s="151">
        <v>0</v>
      </c>
      <c r="M289" s="128">
        <v>111.88</v>
      </c>
      <c r="N289" s="67">
        <v>1069</v>
      </c>
      <c r="O289" s="67">
        <v>20331</v>
      </c>
      <c r="P289" s="270"/>
      <c r="Q289" s="71"/>
      <c r="R289" s="449"/>
      <c r="S289" s="67">
        <v>16054</v>
      </c>
      <c r="T289" s="163">
        <v>4277</v>
      </c>
      <c r="U289" s="166">
        <v>0.26641335492712098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99.13</v>
      </c>
      <c r="E290" s="67">
        <v>17067</v>
      </c>
      <c r="F290" s="146">
        <v>0</v>
      </c>
      <c r="G290" s="146">
        <v>0</v>
      </c>
      <c r="H290" s="91">
        <v>17067</v>
      </c>
      <c r="I290" s="67">
        <v>0</v>
      </c>
      <c r="J290" s="20">
        <v>17067</v>
      </c>
      <c r="K290" s="132" t="s">
        <v>621</v>
      </c>
      <c r="L290" s="151">
        <v>0</v>
      </c>
      <c r="M290" s="128">
        <v>99.13</v>
      </c>
      <c r="N290" s="67">
        <v>947</v>
      </c>
      <c r="O290" s="67">
        <v>18014</v>
      </c>
      <c r="P290" s="270"/>
      <c r="Q290" s="71"/>
      <c r="R290" s="449"/>
      <c r="S290" s="67">
        <v>11430</v>
      </c>
      <c r="T290" s="163">
        <v>6584</v>
      </c>
      <c r="U290" s="166">
        <v>0.57602799650043746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1277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/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40.130000000000003</v>
      </c>
      <c r="E292" s="67">
        <v>6909</v>
      </c>
      <c r="F292" s="146">
        <v>0</v>
      </c>
      <c r="G292" s="146">
        <v>0</v>
      </c>
      <c r="H292" s="91">
        <v>6909</v>
      </c>
      <c r="I292" s="67">
        <v>0</v>
      </c>
      <c r="J292" s="20">
        <v>6909</v>
      </c>
      <c r="K292" s="132" t="s">
        <v>644</v>
      </c>
      <c r="L292" s="151">
        <v>6909</v>
      </c>
      <c r="M292" s="128">
        <v>0</v>
      </c>
      <c r="N292" s="67">
        <v>0</v>
      </c>
      <c r="O292" s="67">
        <v>0</v>
      </c>
      <c r="P292" s="270"/>
      <c r="Q292" s="71"/>
      <c r="R292" s="449"/>
      <c r="S292" s="67">
        <v>5924</v>
      </c>
      <c r="T292" s="163">
        <v>-5924</v>
      </c>
      <c r="U292" s="166">
        <v>-1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186.5</v>
      </c>
      <c r="E293" s="67">
        <v>32110</v>
      </c>
      <c r="F293" s="146">
        <v>0</v>
      </c>
      <c r="G293" s="146">
        <v>0</v>
      </c>
      <c r="H293" s="91">
        <v>32110</v>
      </c>
      <c r="I293" s="67">
        <v>0</v>
      </c>
      <c r="J293" s="20">
        <v>32110</v>
      </c>
      <c r="K293" s="132" t="s">
        <v>621</v>
      </c>
      <c r="L293" s="151">
        <v>0</v>
      </c>
      <c r="M293" s="128">
        <v>186.5</v>
      </c>
      <c r="N293" s="67">
        <v>1782</v>
      </c>
      <c r="O293" s="67">
        <v>33892</v>
      </c>
      <c r="P293" s="270"/>
      <c r="Q293" s="71"/>
      <c r="R293" s="449"/>
      <c r="S293" s="67">
        <v>33076</v>
      </c>
      <c r="T293" s="163">
        <v>816</v>
      </c>
      <c r="U293" s="166">
        <v>2.4670455919700084E-2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1277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/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10.130000000000001</v>
      </c>
      <c r="E295" s="67">
        <v>1744</v>
      </c>
      <c r="F295" s="146">
        <v>0</v>
      </c>
      <c r="G295" s="146">
        <v>0</v>
      </c>
      <c r="H295" s="91">
        <v>1744</v>
      </c>
      <c r="I295" s="67">
        <v>0</v>
      </c>
      <c r="J295" s="20">
        <v>1744</v>
      </c>
      <c r="K295" s="132" t="s">
        <v>1278</v>
      </c>
      <c r="L295" s="151">
        <v>1744</v>
      </c>
      <c r="M295" s="128">
        <v>0</v>
      </c>
      <c r="N295" s="67">
        <v>0</v>
      </c>
      <c r="O295" s="67">
        <v>0</v>
      </c>
      <c r="P295" s="270"/>
      <c r="Q295" s="71"/>
      <c r="R295" s="449"/>
      <c r="S295" s="67">
        <v>2379</v>
      </c>
      <c r="T295" s="163">
        <v>-2379</v>
      </c>
      <c r="U295" s="166">
        <v>-1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1277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/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61.13</v>
      </c>
      <c r="E297" s="67">
        <v>10525</v>
      </c>
      <c r="F297" s="146">
        <v>0</v>
      </c>
      <c r="G297" s="146">
        <v>0</v>
      </c>
      <c r="H297" s="91">
        <v>10525</v>
      </c>
      <c r="I297" s="67">
        <v>0</v>
      </c>
      <c r="J297" s="20">
        <v>10525</v>
      </c>
      <c r="K297" s="132" t="s">
        <v>621</v>
      </c>
      <c r="L297" s="151">
        <v>0</v>
      </c>
      <c r="M297" s="128">
        <v>61.13</v>
      </c>
      <c r="N297" s="67">
        <v>584</v>
      </c>
      <c r="O297" s="67">
        <v>11109</v>
      </c>
      <c r="P297" s="270"/>
      <c r="Q297" s="71"/>
      <c r="R297" s="449"/>
      <c r="S297" s="67">
        <v>11364</v>
      </c>
      <c r="T297" s="163">
        <v>-255</v>
      </c>
      <c r="U297" s="166">
        <v>-2.2439281942977826E-2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1277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1277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122.38</v>
      </c>
      <c r="E300" s="67">
        <v>21070</v>
      </c>
      <c r="F300" s="146">
        <v>0</v>
      </c>
      <c r="G300" s="146">
        <v>0</v>
      </c>
      <c r="H300" s="91">
        <v>21070</v>
      </c>
      <c r="I300" s="67">
        <v>0</v>
      </c>
      <c r="J300" s="20">
        <v>21070</v>
      </c>
      <c r="K300" s="132" t="s">
        <v>621</v>
      </c>
      <c r="L300" s="151">
        <v>0</v>
      </c>
      <c r="M300" s="128">
        <v>122.38</v>
      </c>
      <c r="N300" s="67">
        <v>1170</v>
      </c>
      <c r="O300" s="67">
        <v>22240</v>
      </c>
      <c r="P300" s="270"/>
      <c r="Q300" s="71"/>
      <c r="R300" s="449"/>
      <c r="S300" s="67">
        <v>18873</v>
      </c>
      <c r="T300" s="163">
        <v>3367</v>
      </c>
      <c r="U300" s="166">
        <v>0.17840300959042019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4126.88</v>
      </c>
      <c r="E301" s="67">
        <v>710526</v>
      </c>
      <c r="F301" s="146">
        <v>0</v>
      </c>
      <c r="G301" s="146">
        <v>0</v>
      </c>
      <c r="H301" s="91">
        <v>710526</v>
      </c>
      <c r="I301" s="67">
        <v>0</v>
      </c>
      <c r="J301" s="20">
        <v>710526</v>
      </c>
      <c r="K301" s="132" t="s">
        <v>644</v>
      </c>
      <c r="L301" s="151">
        <v>710526</v>
      </c>
      <c r="M301" s="128">
        <v>0</v>
      </c>
      <c r="N301" s="67">
        <v>0</v>
      </c>
      <c r="O301" s="67">
        <v>0</v>
      </c>
      <c r="P301" s="270"/>
      <c r="Q301" s="71"/>
      <c r="R301" s="449"/>
      <c r="S301" s="67">
        <v>692164</v>
      </c>
      <c r="T301" s="163">
        <v>-692164</v>
      </c>
      <c r="U301" s="166">
        <v>-1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76</v>
      </c>
      <c r="E302" s="67">
        <v>13085</v>
      </c>
      <c r="F302" s="146">
        <v>0</v>
      </c>
      <c r="G302" s="146">
        <v>0</v>
      </c>
      <c r="H302" s="91">
        <v>13085</v>
      </c>
      <c r="I302" s="67">
        <v>0</v>
      </c>
      <c r="J302" s="20">
        <v>13085</v>
      </c>
      <c r="K302" s="132" t="s">
        <v>621</v>
      </c>
      <c r="L302" s="151">
        <v>0</v>
      </c>
      <c r="M302" s="128">
        <v>76</v>
      </c>
      <c r="N302" s="67">
        <v>726</v>
      </c>
      <c r="O302" s="67">
        <v>13811</v>
      </c>
      <c r="P302" s="270"/>
      <c r="Q302" s="71"/>
      <c r="R302" s="449"/>
      <c r="S302" s="67">
        <v>10813</v>
      </c>
      <c r="T302" s="163">
        <v>2998</v>
      </c>
      <c r="U302" s="166">
        <v>0.27725885508184595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146.25</v>
      </c>
      <c r="E303" s="67">
        <v>25180</v>
      </c>
      <c r="F303" s="146">
        <v>0</v>
      </c>
      <c r="G303" s="146">
        <v>0</v>
      </c>
      <c r="H303" s="91">
        <v>25180</v>
      </c>
      <c r="I303" s="67">
        <v>0</v>
      </c>
      <c r="J303" s="20">
        <v>25180</v>
      </c>
      <c r="K303" s="132" t="s">
        <v>621</v>
      </c>
      <c r="L303" s="151">
        <v>0</v>
      </c>
      <c r="M303" s="128">
        <v>146.25</v>
      </c>
      <c r="N303" s="67">
        <v>1398</v>
      </c>
      <c r="O303" s="67">
        <v>26578</v>
      </c>
      <c r="P303" s="270"/>
      <c r="Q303" s="71"/>
      <c r="R303" s="449"/>
      <c r="S303" s="67">
        <v>27967</v>
      </c>
      <c r="T303" s="163">
        <v>-1389</v>
      </c>
      <c r="U303" s="166">
        <v>-4.9665677405513642E-2</v>
      </c>
      <c r="X303" s="67"/>
      <c r="Y303" s="451"/>
      <c r="Z303" s="452"/>
    </row>
    <row r="304" spans="1:32">
      <c r="C304" s="105" t="s">
        <v>620</v>
      </c>
      <c r="D304" s="134">
        <v>91137.86000000003</v>
      </c>
      <c r="E304" s="67">
        <v>15691218</v>
      </c>
      <c r="F304" s="146">
        <v>0</v>
      </c>
      <c r="G304" s="146">
        <v>0</v>
      </c>
      <c r="H304" s="91">
        <v>15691218</v>
      </c>
      <c r="I304" s="71">
        <v>0</v>
      </c>
      <c r="J304" s="73">
        <v>15691218</v>
      </c>
      <c r="K304" s="132"/>
      <c r="L304" s="151">
        <v>825222</v>
      </c>
      <c r="M304" s="67">
        <v>86344.790000000023</v>
      </c>
      <c r="N304" s="88">
        <v>825222</v>
      </c>
      <c r="O304" s="88">
        <v>15691218</v>
      </c>
      <c r="P304" s="270"/>
      <c r="Q304" s="71"/>
      <c r="R304" s="72"/>
      <c r="S304" s="91">
        <v>14969054</v>
      </c>
      <c r="T304" s="91">
        <v>722164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5"/>
  <sheetViews>
    <sheetView workbookViewId="0">
      <selection activeCell="A6" sqref="A6"/>
    </sheetView>
  </sheetViews>
  <sheetFormatPr defaultRowHeight="12.75"/>
  <cols>
    <col min="2" max="2" width="10.42578125" bestFit="1" customWidth="1"/>
  </cols>
  <sheetData>
    <row r="1" spans="1:2">
      <c r="A1" s="590" t="s">
        <v>592</v>
      </c>
      <c r="B1" s="138" t="s">
        <v>309</v>
      </c>
    </row>
    <row r="2" spans="1:2">
      <c r="A2" s="590" t="s">
        <v>578</v>
      </c>
      <c r="B2" s="590" t="s">
        <v>1309</v>
      </c>
    </row>
    <row r="3" spans="1:2">
      <c r="A3" s="590" t="s">
        <v>1310</v>
      </c>
      <c r="B3">
        <v>56</v>
      </c>
    </row>
    <row r="4" spans="1:2">
      <c r="A4" s="590" t="s">
        <v>1311</v>
      </c>
      <c r="B4" s="89">
        <f>'Allocation 2012-13'!Q159</f>
        <v>170.82109169630431</v>
      </c>
    </row>
    <row r="5" spans="1:2">
      <c r="A5" s="590" t="s">
        <v>1312</v>
      </c>
      <c r="B5" s="89">
        <f>B4*B3</f>
        <v>9565.9811349930405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AF304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H19" sqref="H1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127781</v>
      </c>
      <c r="O3" s="67">
        <v>15691218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15691218</v>
      </c>
      <c r="H6" s="133" t="s">
        <v>865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91137.86000000003</v>
      </c>
      <c r="E7" s="88">
        <v>172.17013873268471</v>
      </c>
      <c r="F7" s="72">
        <v>0</v>
      </c>
      <c r="G7" s="72">
        <v>0</v>
      </c>
      <c r="H7" s="161">
        <v>15691218</v>
      </c>
      <c r="I7" s="73">
        <v>0</v>
      </c>
      <c r="J7" s="73">
        <v>15691218</v>
      </c>
      <c r="K7" s="72"/>
      <c r="L7" s="88">
        <v>127781</v>
      </c>
      <c r="M7" s="67">
        <v>90395.670000000027</v>
      </c>
      <c r="N7" s="88">
        <v>127782</v>
      </c>
      <c r="O7" s="88">
        <v>15691218</v>
      </c>
      <c r="P7" s="88"/>
      <c r="S7" s="91">
        <v>14969054</v>
      </c>
      <c r="T7" s="163">
        <v>722164</v>
      </c>
      <c r="U7" s="166">
        <v>-2.3382687701953835E-2</v>
      </c>
      <c r="V7" s="27"/>
      <c r="W7" s="26"/>
    </row>
    <row r="8" spans="1:32" s="534" customFormat="1" ht="11.25">
      <c r="A8" s="526"/>
      <c r="B8" s="527" t="s">
        <v>895</v>
      </c>
      <c r="C8" s="528" t="s">
        <v>896</v>
      </c>
      <c r="D8" s="529">
        <v>91137.86000000003</v>
      </c>
      <c r="E8" s="530">
        <v>15691218</v>
      </c>
      <c r="F8" s="530"/>
      <c r="G8" s="530"/>
      <c r="H8" s="530">
        <v>15691218</v>
      </c>
      <c r="I8" s="530"/>
      <c r="J8" s="530">
        <v>15691218</v>
      </c>
      <c r="K8" s="529"/>
      <c r="L8" s="530">
        <v>127781</v>
      </c>
      <c r="M8" s="530">
        <v>90395.670000000027</v>
      </c>
      <c r="N8" s="530">
        <v>127782</v>
      </c>
      <c r="O8" s="530">
        <v>15691218</v>
      </c>
      <c r="P8" s="531"/>
      <c r="Q8" s="531"/>
      <c r="R8" s="532"/>
      <c r="S8" s="533"/>
      <c r="T8" s="533"/>
      <c r="V8" s="535"/>
      <c r="X8" s="536"/>
    </row>
    <row r="9" spans="1:32">
      <c r="A9" s="64" t="s">
        <v>594</v>
      </c>
      <c r="B9" s="63" t="s">
        <v>132</v>
      </c>
      <c r="C9" s="63" t="s">
        <v>133</v>
      </c>
      <c r="D9" s="134">
        <v>254.5</v>
      </c>
      <c r="E9" s="67">
        <v>43817</v>
      </c>
      <c r="F9" s="146">
        <v>0</v>
      </c>
      <c r="G9" s="146">
        <v>0</v>
      </c>
      <c r="H9" s="91">
        <v>43817</v>
      </c>
      <c r="I9" s="67">
        <v>0</v>
      </c>
      <c r="J9" s="20">
        <v>43817</v>
      </c>
      <c r="K9" s="132" t="s">
        <v>621</v>
      </c>
      <c r="L9" s="151">
        <v>0</v>
      </c>
      <c r="M9" s="128">
        <v>254.5</v>
      </c>
      <c r="N9" s="67">
        <v>360</v>
      </c>
      <c r="O9" s="67">
        <v>44177</v>
      </c>
      <c r="P9" s="270"/>
      <c r="Q9" s="71"/>
      <c r="R9" s="449"/>
      <c r="S9" s="67">
        <v>45365</v>
      </c>
      <c r="T9" s="163">
        <v>-1188</v>
      </c>
      <c r="U9" s="166">
        <v>-2.6187589551416292E-2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1277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1277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56.75</v>
      </c>
      <c r="E12" s="67">
        <v>9771</v>
      </c>
      <c r="F12" s="146">
        <v>0</v>
      </c>
      <c r="G12" s="146">
        <v>0</v>
      </c>
      <c r="H12" s="91">
        <v>9771</v>
      </c>
      <c r="I12" s="67">
        <v>0</v>
      </c>
      <c r="J12" s="148">
        <v>9771</v>
      </c>
      <c r="K12" s="132" t="s">
        <v>644</v>
      </c>
      <c r="L12" s="151">
        <v>9771</v>
      </c>
      <c r="M12" s="128">
        <v>0</v>
      </c>
      <c r="N12" s="67">
        <v>0</v>
      </c>
      <c r="O12" s="67">
        <v>0</v>
      </c>
      <c r="P12" s="270"/>
      <c r="Q12" s="71"/>
      <c r="R12" s="449"/>
      <c r="S12" s="67">
        <v>9140</v>
      </c>
      <c r="T12" s="163">
        <v>-9140</v>
      </c>
      <c r="U12" s="166">
        <v>-1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176</v>
      </c>
      <c r="E13" s="67">
        <v>30302</v>
      </c>
      <c r="F13" s="146">
        <v>0</v>
      </c>
      <c r="G13" s="146">
        <v>0</v>
      </c>
      <c r="H13" s="91">
        <v>30302</v>
      </c>
      <c r="I13" s="67">
        <v>0</v>
      </c>
      <c r="J13" s="20">
        <v>30302</v>
      </c>
      <c r="K13" s="132" t="s">
        <v>621</v>
      </c>
      <c r="L13" s="151">
        <v>0</v>
      </c>
      <c r="M13" s="128">
        <v>176</v>
      </c>
      <c r="N13" s="67">
        <v>249</v>
      </c>
      <c r="O13" s="67">
        <v>30551</v>
      </c>
      <c r="P13" s="270"/>
      <c r="Q13" s="71"/>
      <c r="R13" s="449"/>
      <c r="S13" s="67">
        <v>29488</v>
      </c>
      <c r="T13" s="163">
        <v>1063</v>
      </c>
      <c r="U13" s="166">
        <v>3.6048562126966902E-2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1277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1828.88</v>
      </c>
      <c r="E15" s="67">
        <v>314879</v>
      </c>
      <c r="F15" s="146">
        <v>0</v>
      </c>
      <c r="G15" s="146">
        <v>0</v>
      </c>
      <c r="H15" s="91">
        <v>314879</v>
      </c>
      <c r="I15" s="67">
        <v>0</v>
      </c>
      <c r="J15" s="20">
        <v>314879</v>
      </c>
      <c r="K15" s="132" t="s">
        <v>621</v>
      </c>
      <c r="L15" s="151">
        <v>0</v>
      </c>
      <c r="M15" s="128">
        <v>1828.88</v>
      </c>
      <c r="N15" s="67">
        <v>2585</v>
      </c>
      <c r="O15" s="67">
        <v>317464</v>
      </c>
      <c r="P15" s="270"/>
      <c r="Q15" s="71"/>
      <c r="R15" s="449"/>
      <c r="S15" s="67">
        <v>306806</v>
      </c>
      <c r="T15" s="163">
        <v>10658</v>
      </c>
      <c r="U15" s="166">
        <v>3.4738564434854596E-2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32.75</v>
      </c>
      <c r="E16" s="67">
        <v>5639</v>
      </c>
      <c r="F16" s="146">
        <v>0</v>
      </c>
      <c r="G16" s="146">
        <v>0</v>
      </c>
      <c r="H16" s="91">
        <v>5639</v>
      </c>
      <c r="I16" s="67">
        <v>0</v>
      </c>
      <c r="J16" s="20">
        <v>5639</v>
      </c>
      <c r="K16" s="132" t="s">
        <v>644</v>
      </c>
      <c r="L16" s="151">
        <v>5639</v>
      </c>
      <c r="M16" s="128">
        <v>0</v>
      </c>
      <c r="N16" s="67">
        <v>0</v>
      </c>
      <c r="O16" s="67">
        <v>0</v>
      </c>
      <c r="P16" s="270"/>
      <c r="Q16" s="71"/>
      <c r="R16" s="449"/>
      <c r="S16" s="67">
        <v>5681</v>
      </c>
      <c r="T16" s="163">
        <v>-5681</v>
      </c>
      <c r="U16" s="166">
        <v>-1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700.88</v>
      </c>
      <c r="E17" s="67">
        <v>120671</v>
      </c>
      <c r="F17" s="146">
        <v>0</v>
      </c>
      <c r="G17" s="146">
        <v>0</v>
      </c>
      <c r="H17" s="91">
        <v>120671</v>
      </c>
      <c r="I17" s="67">
        <v>0</v>
      </c>
      <c r="J17" s="20">
        <v>120671</v>
      </c>
      <c r="K17" s="132" t="s">
        <v>621</v>
      </c>
      <c r="L17" s="151">
        <v>0</v>
      </c>
      <c r="M17" s="128">
        <v>700.88</v>
      </c>
      <c r="N17" s="67">
        <v>991</v>
      </c>
      <c r="O17" s="67">
        <v>121662</v>
      </c>
      <c r="P17" s="270"/>
      <c r="Q17" s="71"/>
      <c r="R17" s="449"/>
      <c r="S17" s="67">
        <v>120415</v>
      </c>
      <c r="T17" s="163">
        <v>1247</v>
      </c>
      <c r="U17" s="166">
        <v>1.0355852676161608E-2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1737.38</v>
      </c>
      <c r="E18" s="67">
        <v>299125</v>
      </c>
      <c r="F18" s="146">
        <v>0</v>
      </c>
      <c r="G18" s="146">
        <v>0</v>
      </c>
      <c r="H18" s="91">
        <v>299125</v>
      </c>
      <c r="I18" s="67">
        <v>0</v>
      </c>
      <c r="J18" s="20">
        <v>299125</v>
      </c>
      <c r="K18" s="132" t="s">
        <v>621</v>
      </c>
      <c r="L18" s="151">
        <v>0</v>
      </c>
      <c r="M18" s="128">
        <v>1737.38</v>
      </c>
      <c r="N18" s="67">
        <v>2456</v>
      </c>
      <c r="O18" s="67">
        <v>301581</v>
      </c>
      <c r="P18" s="270"/>
      <c r="Q18" s="71"/>
      <c r="R18" s="449"/>
      <c r="S18" s="67">
        <v>291479</v>
      </c>
      <c r="T18" s="163">
        <v>10102</v>
      </c>
      <c r="U18" s="166">
        <v>3.4657728344065955E-2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615.63</v>
      </c>
      <c r="E19" s="67">
        <v>105993</v>
      </c>
      <c r="F19" s="146">
        <v>0</v>
      </c>
      <c r="G19" s="146">
        <v>0</v>
      </c>
      <c r="H19" s="91">
        <v>105993</v>
      </c>
      <c r="I19" s="67">
        <v>0</v>
      </c>
      <c r="J19" s="20">
        <v>105993</v>
      </c>
      <c r="K19" s="132" t="s">
        <v>621</v>
      </c>
      <c r="L19" s="151">
        <v>0</v>
      </c>
      <c r="M19" s="128">
        <v>615.63</v>
      </c>
      <c r="N19" s="67">
        <v>870</v>
      </c>
      <c r="O19" s="67">
        <v>106863</v>
      </c>
      <c r="P19" s="270"/>
      <c r="Q19" s="71"/>
      <c r="R19" s="449"/>
      <c r="S19" s="67">
        <v>98900</v>
      </c>
      <c r="T19" s="163">
        <v>7963</v>
      </c>
      <c r="U19" s="166">
        <v>8.0515672396359955E-2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20">
        <v>0</v>
      </c>
      <c r="K20" s="132" t="s">
        <v>1277</v>
      </c>
      <c r="L20" s="151">
        <v>0</v>
      </c>
      <c r="M20" s="128">
        <v>0</v>
      </c>
      <c r="N20" s="67">
        <v>0</v>
      </c>
      <c r="O20" s="67">
        <v>0</v>
      </c>
      <c r="P20" s="270"/>
      <c r="Q20" s="71"/>
      <c r="R20" s="449"/>
      <c r="S20" s="67">
        <v>0</v>
      </c>
      <c r="T20" s="163">
        <v>0</v>
      </c>
      <c r="U20" s="166">
        <v>0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266.5</v>
      </c>
      <c r="E21" s="67">
        <v>45883</v>
      </c>
      <c r="F21" s="146">
        <v>0</v>
      </c>
      <c r="G21" s="146">
        <v>0</v>
      </c>
      <c r="H21" s="91">
        <v>45883</v>
      </c>
      <c r="I21" s="67">
        <v>0</v>
      </c>
      <c r="J21" s="20">
        <v>45883</v>
      </c>
      <c r="K21" s="132" t="s">
        <v>621</v>
      </c>
      <c r="L21" s="151">
        <v>0</v>
      </c>
      <c r="M21" s="128">
        <v>266.5</v>
      </c>
      <c r="N21" s="67">
        <v>377</v>
      </c>
      <c r="O21" s="67">
        <v>46260</v>
      </c>
      <c r="P21" s="270"/>
      <c r="Q21" s="71"/>
      <c r="R21" s="449"/>
      <c r="S21" s="67">
        <v>46863</v>
      </c>
      <c r="T21" s="163">
        <v>-603</v>
      </c>
      <c r="U21" s="166">
        <v>-1.2867294027270982E-2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20">
        <v>0</v>
      </c>
      <c r="K22" s="132" t="s">
        <v>1277</v>
      </c>
      <c r="L22" s="151">
        <v>0</v>
      </c>
      <c r="M22" s="128">
        <v>0</v>
      </c>
      <c r="N22" s="67">
        <v>0</v>
      </c>
      <c r="O22" s="67">
        <v>0</v>
      </c>
      <c r="P22" s="270"/>
      <c r="Q22" s="71"/>
      <c r="R22" s="449"/>
      <c r="S22" s="67">
        <v>0</v>
      </c>
      <c r="T22" s="163">
        <v>0</v>
      </c>
      <c r="U22" s="166">
        <v>0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90.25</v>
      </c>
      <c r="E23" s="67">
        <v>15538</v>
      </c>
      <c r="F23" s="146">
        <v>0</v>
      </c>
      <c r="G23" s="146">
        <v>0</v>
      </c>
      <c r="H23" s="91">
        <v>15538</v>
      </c>
      <c r="I23" s="67">
        <v>0</v>
      </c>
      <c r="J23" s="20">
        <v>15538</v>
      </c>
      <c r="K23" s="132" t="s">
        <v>621</v>
      </c>
      <c r="L23" s="151">
        <v>0</v>
      </c>
      <c r="M23" s="128">
        <v>90.25</v>
      </c>
      <c r="N23" s="67">
        <v>128</v>
      </c>
      <c r="O23" s="67">
        <v>15666</v>
      </c>
      <c r="P23" s="270"/>
      <c r="Q23" s="71"/>
      <c r="R23" s="449"/>
      <c r="S23" s="67">
        <v>15680</v>
      </c>
      <c r="T23" s="163">
        <v>-14</v>
      </c>
      <c r="U23" s="166">
        <v>-8.9285714285714283E-4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20">
        <v>0</v>
      </c>
      <c r="K24" s="132" t="s">
        <v>1277</v>
      </c>
      <c r="L24" s="151">
        <v>0</v>
      </c>
      <c r="M24" s="128">
        <v>0</v>
      </c>
      <c r="N24" s="67">
        <v>0</v>
      </c>
      <c r="O24" s="67">
        <v>0</v>
      </c>
      <c r="P24" s="270"/>
      <c r="Q24" s="71"/>
      <c r="R24" s="449"/>
      <c r="S24" s="67">
        <v>0</v>
      </c>
      <c r="T24" s="163">
        <v>0</v>
      </c>
      <c r="U24" s="166">
        <v>0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126.63</v>
      </c>
      <c r="E25" s="67">
        <v>21802</v>
      </c>
      <c r="F25" s="146">
        <v>0</v>
      </c>
      <c r="G25" s="146">
        <v>0</v>
      </c>
      <c r="H25" s="91">
        <v>21802</v>
      </c>
      <c r="I25" s="67">
        <v>0</v>
      </c>
      <c r="J25" s="20">
        <v>21802</v>
      </c>
      <c r="K25" s="132" t="s">
        <v>621</v>
      </c>
      <c r="L25" s="151">
        <v>0</v>
      </c>
      <c r="M25" s="128">
        <v>126.63</v>
      </c>
      <c r="N25" s="67">
        <v>179</v>
      </c>
      <c r="O25" s="67">
        <v>21981</v>
      </c>
      <c r="P25" s="270"/>
      <c r="Q25" s="71"/>
      <c r="R25" s="449"/>
      <c r="S25" s="67">
        <v>22001</v>
      </c>
      <c r="T25" s="163">
        <v>-20</v>
      </c>
      <c r="U25" s="166">
        <v>-9.090495886550611E-4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388</v>
      </c>
      <c r="E26" s="67">
        <v>66802</v>
      </c>
      <c r="F26" s="146">
        <v>0</v>
      </c>
      <c r="G26" s="146">
        <v>0</v>
      </c>
      <c r="H26" s="91">
        <v>66802</v>
      </c>
      <c r="I26" s="67">
        <v>0</v>
      </c>
      <c r="J26" s="20">
        <v>66802</v>
      </c>
      <c r="K26" s="132" t="s">
        <v>621</v>
      </c>
      <c r="L26" s="151">
        <v>0</v>
      </c>
      <c r="M26" s="128">
        <v>388</v>
      </c>
      <c r="N26" s="67">
        <v>548</v>
      </c>
      <c r="O26" s="67">
        <v>67350</v>
      </c>
      <c r="P26" s="270"/>
      <c r="Q26" s="71"/>
      <c r="R26" s="449"/>
      <c r="S26" s="67">
        <v>70690</v>
      </c>
      <c r="T26" s="163">
        <v>-3340</v>
      </c>
      <c r="U26" s="166">
        <v>-4.7248550007073134E-2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310.75</v>
      </c>
      <c r="E27" s="67">
        <v>53502</v>
      </c>
      <c r="F27" s="146">
        <v>0</v>
      </c>
      <c r="G27" s="146">
        <v>0</v>
      </c>
      <c r="H27" s="91">
        <v>53502</v>
      </c>
      <c r="I27" s="67">
        <v>0</v>
      </c>
      <c r="J27" s="20">
        <v>53502</v>
      </c>
      <c r="K27" s="132" t="s">
        <v>621</v>
      </c>
      <c r="L27" s="151">
        <v>0</v>
      </c>
      <c r="M27" s="128">
        <v>310.75</v>
      </c>
      <c r="N27" s="67">
        <v>439</v>
      </c>
      <c r="O27" s="67">
        <v>53941</v>
      </c>
      <c r="P27" s="270"/>
      <c r="Q27" s="71"/>
      <c r="R27" s="449"/>
      <c r="S27" s="67">
        <v>58337</v>
      </c>
      <c r="T27" s="163">
        <v>-4396</v>
      </c>
      <c r="U27" s="166">
        <v>-7.5355263383444462E-2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20">
        <v>0</v>
      </c>
      <c r="K28" s="132" t="s">
        <v>1277</v>
      </c>
      <c r="L28" s="151">
        <v>0</v>
      </c>
      <c r="M28" s="128">
        <v>0</v>
      </c>
      <c r="N28" s="67">
        <v>0</v>
      </c>
      <c r="O28" s="67">
        <v>0</v>
      </c>
      <c r="P28" s="270"/>
      <c r="Q28" s="71"/>
      <c r="R28" s="449"/>
      <c r="S28" s="67">
        <v>0</v>
      </c>
      <c r="T28" s="163">
        <v>0</v>
      </c>
      <c r="U28" s="166">
        <v>0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633</v>
      </c>
      <c r="E29" s="67">
        <v>108984</v>
      </c>
      <c r="F29" s="146">
        <v>0</v>
      </c>
      <c r="G29" s="146">
        <v>0</v>
      </c>
      <c r="H29" s="91">
        <v>108984</v>
      </c>
      <c r="I29" s="67">
        <v>0</v>
      </c>
      <c r="J29" s="20">
        <v>108984</v>
      </c>
      <c r="K29" s="132" t="s">
        <v>621</v>
      </c>
      <c r="L29" s="151">
        <v>0</v>
      </c>
      <c r="M29" s="128">
        <v>633</v>
      </c>
      <c r="N29" s="67">
        <v>895</v>
      </c>
      <c r="O29" s="67">
        <v>109879</v>
      </c>
      <c r="P29" s="270"/>
      <c r="Q29" s="71"/>
      <c r="R29" s="449"/>
      <c r="S29" s="67">
        <v>105375</v>
      </c>
      <c r="T29" s="163">
        <v>4504</v>
      </c>
      <c r="U29" s="166">
        <v>4.2742586002372476E-2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107.63</v>
      </c>
      <c r="E30" s="67">
        <v>18531</v>
      </c>
      <c r="F30" s="146">
        <v>0</v>
      </c>
      <c r="G30" s="146">
        <v>0</v>
      </c>
      <c r="H30" s="91">
        <v>18531</v>
      </c>
      <c r="I30" s="67">
        <v>0</v>
      </c>
      <c r="J30" s="20">
        <v>18531</v>
      </c>
      <c r="K30" s="132" t="s">
        <v>621</v>
      </c>
      <c r="L30" s="151">
        <v>0</v>
      </c>
      <c r="M30" s="128">
        <v>107.63</v>
      </c>
      <c r="N30" s="67">
        <v>152</v>
      </c>
      <c r="O30" s="67">
        <v>18683</v>
      </c>
      <c r="P30" s="270"/>
      <c r="Q30" s="71"/>
      <c r="R30" s="449"/>
      <c r="S30" s="67">
        <v>15371</v>
      </c>
      <c r="T30" s="163">
        <v>3312</v>
      </c>
      <c r="U30" s="166">
        <v>0.21547069156203238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20">
        <v>0</v>
      </c>
      <c r="K31" s="132" t="s">
        <v>1277</v>
      </c>
      <c r="L31" s="151">
        <v>0</v>
      </c>
      <c r="M31" s="128">
        <v>0</v>
      </c>
      <c r="N31" s="67">
        <v>0</v>
      </c>
      <c r="O31" s="67">
        <v>0</v>
      </c>
      <c r="P31" s="270"/>
      <c r="Q31" s="71"/>
      <c r="R31" s="449"/>
      <c r="S31" s="67">
        <v>13588</v>
      </c>
      <c r="T31" s="163">
        <v>-13588</v>
      </c>
      <c r="U31" s="166">
        <v>-1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20">
        <v>0</v>
      </c>
      <c r="K32" s="132" t="s">
        <v>1277</v>
      </c>
      <c r="L32" s="151">
        <v>0</v>
      </c>
      <c r="M32" s="128">
        <v>0</v>
      </c>
      <c r="N32" s="67">
        <v>0</v>
      </c>
      <c r="O32" s="67">
        <v>0</v>
      </c>
      <c r="P32" s="270"/>
      <c r="Q32" s="71"/>
      <c r="R32" s="449"/>
      <c r="S32" s="67">
        <v>0</v>
      </c>
      <c r="T32" s="163">
        <v>0</v>
      </c>
      <c r="U32" s="166">
        <v>0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170.5</v>
      </c>
      <c r="E33" s="67">
        <v>29355</v>
      </c>
      <c r="F33" s="146">
        <v>0</v>
      </c>
      <c r="G33" s="146">
        <v>0</v>
      </c>
      <c r="H33" s="91">
        <v>29355</v>
      </c>
      <c r="I33" s="67">
        <v>0</v>
      </c>
      <c r="J33" s="20">
        <v>29355</v>
      </c>
      <c r="K33" s="132" t="s">
        <v>621</v>
      </c>
      <c r="L33" s="151">
        <v>0</v>
      </c>
      <c r="M33" s="128">
        <v>170.5</v>
      </c>
      <c r="N33" s="67">
        <v>241</v>
      </c>
      <c r="O33" s="67">
        <v>29596</v>
      </c>
      <c r="P33" s="270"/>
      <c r="Q33" s="71"/>
      <c r="R33" s="449"/>
      <c r="S33" s="67">
        <v>29311</v>
      </c>
      <c r="T33" s="163">
        <v>285</v>
      </c>
      <c r="U33" s="166">
        <v>9.7233120671420294E-3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225.5</v>
      </c>
      <c r="E34" s="67">
        <v>38824</v>
      </c>
      <c r="F34" s="146">
        <v>0</v>
      </c>
      <c r="G34" s="146">
        <v>0</v>
      </c>
      <c r="H34" s="91">
        <v>38824</v>
      </c>
      <c r="I34" s="67">
        <v>0</v>
      </c>
      <c r="J34" s="20">
        <v>38824</v>
      </c>
      <c r="K34" s="132" t="s">
        <v>621</v>
      </c>
      <c r="L34" s="151">
        <v>0</v>
      </c>
      <c r="M34" s="128">
        <v>225.5</v>
      </c>
      <c r="N34" s="67">
        <v>319</v>
      </c>
      <c r="O34" s="67">
        <v>39143</v>
      </c>
      <c r="P34" s="270"/>
      <c r="Q34" s="71"/>
      <c r="R34" s="449"/>
      <c r="S34" s="67">
        <v>36292</v>
      </c>
      <c r="T34" s="163">
        <v>2851</v>
      </c>
      <c r="U34" s="166">
        <v>7.8557257797861782E-2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29.5</v>
      </c>
      <c r="E35" s="67">
        <v>5079</v>
      </c>
      <c r="F35" s="146">
        <v>0</v>
      </c>
      <c r="G35" s="146">
        <v>0</v>
      </c>
      <c r="H35" s="91">
        <v>5079</v>
      </c>
      <c r="I35" s="67">
        <v>0</v>
      </c>
      <c r="J35" s="20">
        <v>5079</v>
      </c>
      <c r="K35" s="132" t="s">
        <v>1278</v>
      </c>
      <c r="L35" s="151">
        <v>5079</v>
      </c>
      <c r="M35" s="128">
        <v>0</v>
      </c>
      <c r="N35" s="67">
        <v>0</v>
      </c>
      <c r="O35" s="67">
        <v>0</v>
      </c>
      <c r="P35" s="270"/>
      <c r="Q35" s="71"/>
      <c r="R35" s="449"/>
      <c r="S35" s="67">
        <v>5660</v>
      </c>
      <c r="T35" s="163">
        <v>-5660</v>
      </c>
      <c r="U35" s="166">
        <v>-1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146">
        <v>0</v>
      </c>
      <c r="H36" s="91">
        <v>0</v>
      </c>
      <c r="I36" s="67">
        <v>0</v>
      </c>
      <c r="J36" s="20">
        <v>0</v>
      </c>
      <c r="K36" s="132" t="s">
        <v>1277</v>
      </c>
      <c r="L36" s="151">
        <v>0</v>
      </c>
      <c r="M36" s="128">
        <v>0</v>
      </c>
      <c r="N36" s="67">
        <v>0</v>
      </c>
      <c r="O36" s="67">
        <v>0</v>
      </c>
      <c r="P36" s="270"/>
      <c r="Q36" s="71"/>
      <c r="R36" s="449"/>
      <c r="S36" s="67">
        <v>0</v>
      </c>
      <c r="T36" s="163">
        <v>0</v>
      </c>
      <c r="U36" s="166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231</v>
      </c>
      <c r="E37" s="67">
        <v>39771</v>
      </c>
      <c r="F37" s="146">
        <v>0</v>
      </c>
      <c r="G37" s="146">
        <v>0</v>
      </c>
      <c r="H37" s="91">
        <v>39771</v>
      </c>
      <c r="I37" s="67">
        <v>0</v>
      </c>
      <c r="J37" s="20">
        <v>39771</v>
      </c>
      <c r="K37" s="132" t="s">
        <v>621</v>
      </c>
      <c r="L37" s="151">
        <v>0</v>
      </c>
      <c r="M37" s="128">
        <v>231</v>
      </c>
      <c r="N37" s="67">
        <v>327</v>
      </c>
      <c r="O37" s="67">
        <v>40098</v>
      </c>
      <c r="P37" s="270"/>
      <c r="Q37" s="71"/>
      <c r="R37" s="449"/>
      <c r="S37" s="67">
        <v>37349</v>
      </c>
      <c r="T37" s="163">
        <v>2749</v>
      </c>
      <c r="U37" s="166">
        <v>7.3603041580765208E-2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239.13</v>
      </c>
      <c r="E38" s="67">
        <v>41171</v>
      </c>
      <c r="F38" s="146">
        <v>0</v>
      </c>
      <c r="G38" s="146">
        <v>0</v>
      </c>
      <c r="H38" s="91">
        <v>41171</v>
      </c>
      <c r="I38" s="67">
        <v>0</v>
      </c>
      <c r="J38" s="20">
        <v>41171</v>
      </c>
      <c r="K38" s="132" t="s">
        <v>621</v>
      </c>
      <c r="L38" s="151">
        <v>0</v>
      </c>
      <c r="M38" s="128">
        <v>239.13</v>
      </c>
      <c r="N38" s="67">
        <v>338</v>
      </c>
      <c r="O38" s="67">
        <v>41509</v>
      </c>
      <c r="P38" s="270"/>
      <c r="Q38" s="71"/>
      <c r="R38" s="449"/>
      <c r="S38" s="67">
        <v>40872</v>
      </c>
      <c r="T38" s="163">
        <v>637</v>
      </c>
      <c r="U38" s="166">
        <v>1.5585241730279899E-2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310</v>
      </c>
      <c r="E39" s="67">
        <v>53373</v>
      </c>
      <c r="F39" s="146">
        <v>0</v>
      </c>
      <c r="G39" s="146">
        <v>0</v>
      </c>
      <c r="H39" s="91">
        <v>53373</v>
      </c>
      <c r="I39" s="67">
        <v>0</v>
      </c>
      <c r="J39" s="20">
        <v>53373</v>
      </c>
      <c r="K39" s="132" t="s">
        <v>621</v>
      </c>
      <c r="L39" s="151">
        <v>0</v>
      </c>
      <c r="M39" s="128">
        <v>310</v>
      </c>
      <c r="N39" s="67">
        <v>438</v>
      </c>
      <c r="O39" s="67">
        <v>53811</v>
      </c>
      <c r="P39" s="270"/>
      <c r="Q39" s="71"/>
      <c r="R39" s="449"/>
      <c r="S39" s="67">
        <v>45673</v>
      </c>
      <c r="T39" s="163">
        <v>8138</v>
      </c>
      <c r="U39" s="166">
        <v>0.17817966851312592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63.75</v>
      </c>
      <c r="E40" s="67">
        <v>10976</v>
      </c>
      <c r="F40" s="146">
        <v>0</v>
      </c>
      <c r="G40" s="146">
        <v>0</v>
      </c>
      <c r="H40" s="91">
        <v>10976</v>
      </c>
      <c r="I40" s="67">
        <v>0</v>
      </c>
      <c r="J40" s="20">
        <v>10976</v>
      </c>
      <c r="K40" s="132" t="s">
        <v>621</v>
      </c>
      <c r="L40" s="151">
        <v>0</v>
      </c>
      <c r="M40" s="128">
        <v>63.75</v>
      </c>
      <c r="N40" s="67">
        <v>90</v>
      </c>
      <c r="O40" s="67">
        <v>11066</v>
      </c>
      <c r="P40" s="270"/>
      <c r="Q40" s="71"/>
      <c r="R40" s="449"/>
      <c r="S40" s="67">
        <v>12135</v>
      </c>
      <c r="T40" s="163">
        <v>-1069</v>
      </c>
      <c r="U40" s="166">
        <v>-8.809229501442109E-2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77.63</v>
      </c>
      <c r="E41" s="67">
        <v>13366</v>
      </c>
      <c r="F41" s="146">
        <v>0</v>
      </c>
      <c r="G41" s="146">
        <v>0</v>
      </c>
      <c r="H41" s="91">
        <v>13366</v>
      </c>
      <c r="I41" s="67">
        <v>0</v>
      </c>
      <c r="J41" s="20">
        <v>13366</v>
      </c>
      <c r="K41" s="132" t="s">
        <v>621</v>
      </c>
      <c r="L41" s="151">
        <v>0</v>
      </c>
      <c r="M41" s="128">
        <v>77.63</v>
      </c>
      <c r="N41" s="67">
        <v>110</v>
      </c>
      <c r="O41" s="67">
        <v>13476</v>
      </c>
      <c r="P41" s="270"/>
      <c r="Q41" s="71"/>
      <c r="R41" s="449"/>
      <c r="S41" s="67">
        <v>13368</v>
      </c>
      <c r="T41" s="163">
        <v>108</v>
      </c>
      <c r="U41" s="166">
        <v>8.0789946140035901E-3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3</v>
      </c>
      <c r="E42" s="67">
        <v>517</v>
      </c>
      <c r="F42" s="146">
        <v>0</v>
      </c>
      <c r="G42" s="146">
        <v>0</v>
      </c>
      <c r="H42" s="91">
        <v>517</v>
      </c>
      <c r="I42" s="67">
        <v>0</v>
      </c>
      <c r="J42" s="20">
        <v>517</v>
      </c>
      <c r="K42" s="132" t="s">
        <v>1278</v>
      </c>
      <c r="L42" s="151">
        <v>517</v>
      </c>
      <c r="M42" s="128">
        <v>0</v>
      </c>
      <c r="N42" s="67">
        <v>0</v>
      </c>
      <c r="O42" s="67">
        <v>0</v>
      </c>
      <c r="P42" s="270"/>
      <c r="Q42" s="71"/>
      <c r="R42" s="449"/>
      <c r="S42" s="67">
        <v>0</v>
      </c>
      <c r="T42" s="163">
        <v>0</v>
      </c>
      <c r="U42" s="166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13.25</v>
      </c>
      <c r="E43" s="67">
        <v>2281</v>
      </c>
      <c r="F43" s="146">
        <v>0</v>
      </c>
      <c r="G43" s="146">
        <v>0</v>
      </c>
      <c r="H43" s="91">
        <v>2281</v>
      </c>
      <c r="I43" s="67">
        <v>0</v>
      </c>
      <c r="J43" s="20">
        <v>2281</v>
      </c>
      <c r="K43" s="132" t="s">
        <v>1278</v>
      </c>
      <c r="L43" s="151">
        <v>2281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17.38</v>
      </c>
      <c r="E44" s="67">
        <v>2992</v>
      </c>
      <c r="F44" s="146">
        <v>0</v>
      </c>
      <c r="G44" s="146">
        <v>0</v>
      </c>
      <c r="H44" s="91">
        <v>2992</v>
      </c>
      <c r="I44" s="67">
        <v>0</v>
      </c>
      <c r="J44" s="20">
        <v>2992</v>
      </c>
      <c r="K44" s="132" t="s">
        <v>1278</v>
      </c>
      <c r="L44" s="151">
        <v>2992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0</v>
      </c>
      <c r="T44" s="163">
        <v>0</v>
      </c>
      <c r="U44" s="166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21</v>
      </c>
      <c r="E45" s="67">
        <v>3616</v>
      </c>
      <c r="F45" s="146">
        <v>0</v>
      </c>
      <c r="G45" s="146">
        <v>0</v>
      </c>
      <c r="H45" s="91">
        <v>3616</v>
      </c>
      <c r="I45" s="67">
        <v>0</v>
      </c>
      <c r="J45" s="20">
        <v>3616</v>
      </c>
      <c r="K45" s="132" t="s">
        <v>621</v>
      </c>
      <c r="L45" s="151">
        <v>0</v>
      </c>
      <c r="M45" s="128">
        <v>21</v>
      </c>
      <c r="N45" s="67">
        <v>30</v>
      </c>
      <c r="O45" s="67">
        <v>3646</v>
      </c>
      <c r="P45" s="270"/>
      <c r="Q45" s="71"/>
      <c r="R45" s="449"/>
      <c r="S45" s="67">
        <v>2666</v>
      </c>
      <c r="T45" s="163">
        <v>980</v>
      </c>
      <c r="U45" s="166">
        <v>0.3675918979744936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1209.75</v>
      </c>
      <c r="E46" s="67">
        <v>208283</v>
      </c>
      <c r="F46" s="146">
        <v>0</v>
      </c>
      <c r="G46" s="146">
        <v>0</v>
      </c>
      <c r="H46" s="91">
        <v>208283</v>
      </c>
      <c r="I46" s="67">
        <v>0</v>
      </c>
      <c r="J46" s="20">
        <v>208283</v>
      </c>
      <c r="K46" s="132" t="s">
        <v>621</v>
      </c>
      <c r="L46" s="151">
        <v>0</v>
      </c>
      <c r="M46" s="128">
        <v>1209.75</v>
      </c>
      <c r="N46" s="67">
        <v>1710</v>
      </c>
      <c r="O46" s="67">
        <v>209993</v>
      </c>
      <c r="P46" s="270"/>
      <c r="Q46" s="71"/>
      <c r="R46" s="449"/>
      <c r="S46" s="67">
        <v>195685</v>
      </c>
      <c r="T46" s="163">
        <v>14308</v>
      </c>
      <c r="U46" s="166">
        <v>7.3117510284385623E-2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603</v>
      </c>
      <c r="B47" s="63" t="s">
        <v>525</v>
      </c>
      <c r="C47" s="63" t="s">
        <v>526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20">
        <v>0</v>
      </c>
      <c r="K47" s="132" t="s">
        <v>1277</v>
      </c>
      <c r="L47" s="151">
        <v>0</v>
      </c>
      <c r="M47" s="128">
        <v>0</v>
      </c>
      <c r="N47" s="67">
        <v>0</v>
      </c>
      <c r="O47" s="67">
        <v>0</v>
      </c>
      <c r="P47" s="270"/>
      <c r="Q47" s="71"/>
      <c r="R47" s="449"/>
      <c r="S47" s="67">
        <v>0</v>
      </c>
      <c r="T47" s="163">
        <v>0</v>
      </c>
      <c r="U47" s="166">
        <v>0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596</v>
      </c>
      <c r="B48" s="63" t="s">
        <v>494</v>
      </c>
      <c r="C48" s="63" t="s">
        <v>495</v>
      </c>
      <c r="D48" s="134">
        <v>171.63</v>
      </c>
      <c r="E48" s="67">
        <v>29550</v>
      </c>
      <c r="F48" s="146">
        <v>0</v>
      </c>
      <c r="G48" s="146">
        <v>0</v>
      </c>
      <c r="H48" s="91">
        <v>29550</v>
      </c>
      <c r="I48" s="67">
        <v>0</v>
      </c>
      <c r="J48" s="20">
        <v>29550</v>
      </c>
      <c r="K48" s="132" t="s">
        <v>621</v>
      </c>
      <c r="L48" s="151">
        <v>0</v>
      </c>
      <c r="M48" s="128">
        <v>171.63</v>
      </c>
      <c r="N48" s="67">
        <v>243</v>
      </c>
      <c r="O48" s="67">
        <v>29793</v>
      </c>
      <c r="P48" s="270"/>
      <c r="Q48" s="71"/>
      <c r="R48" s="449"/>
      <c r="S48" s="67">
        <v>28716</v>
      </c>
      <c r="T48" s="163">
        <v>1077</v>
      </c>
      <c r="U48" s="166">
        <v>3.7505223568742162E-2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533</v>
      </c>
      <c r="C49" s="63" t="s">
        <v>534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1277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603</v>
      </c>
      <c r="B50" s="63" t="s">
        <v>464</v>
      </c>
      <c r="C50" s="63" t="s">
        <v>465</v>
      </c>
      <c r="D50" s="134">
        <v>0</v>
      </c>
      <c r="E50" s="67">
        <v>0</v>
      </c>
      <c r="F50" s="146">
        <v>0</v>
      </c>
      <c r="G50" s="146">
        <v>0</v>
      </c>
      <c r="H50" s="91">
        <v>0</v>
      </c>
      <c r="I50" s="67">
        <v>0</v>
      </c>
      <c r="J50" s="20">
        <v>0</v>
      </c>
      <c r="K50" s="132" t="s">
        <v>1277</v>
      </c>
      <c r="L50" s="151">
        <v>0</v>
      </c>
      <c r="M50" s="128">
        <v>0</v>
      </c>
      <c r="N50" s="67">
        <v>0</v>
      </c>
      <c r="O50" s="67">
        <v>0</v>
      </c>
      <c r="P50" s="270"/>
      <c r="Q50" s="71"/>
      <c r="R50" s="449"/>
      <c r="S50" s="67">
        <v>0</v>
      </c>
      <c r="T50" s="163">
        <v>0</v>
      </c>
      <c r="U50" s="166">
        <v>0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596</v>
      </c>
      <c r="B51" s="63" t="s">
        <v>498</v>
      </c>
      <c r="C51" s="63" t="s">
        <v>499</v>
      </c>
      <c r="D51" s="134">
        <v>91</v>
      </c>
      <c r="E51" s="67">
        <v>15667</v>
      </c>
      <c r="F51" s="146">
        <v>0</v>
      </c>
      <c r="G51" s="146">
        <v>0</v>
      </c>
      <c r="H51" s="91">
        <v>15667</v>
      </c>
      <c r="I51" s="67">
        <v>0</v>
      </c>
      <c r="J51" s="20">
        <v>15667</v>
      </c>
      <c r="K51" s="132" t="s">
        <v>621</v>
      </c>
      <c r="L51" s="151">
        <v>0</v>
      </c>
      <c r="M51" s="128">
        <v>91</v>
      </c>
      <c r="N51" s="67">
        <v>129</v>
      </c>
      <c r="O51" s="67">
        <v>15796</v>
      </c>
      <c r="P51" s="270"/>
      <c r="Q51" s="71"/>
      <c r="R51" s="449"/>
      <c r="S51" s="67">
        <v>13633</v>
      </c>
      <c r="T51" s="163">
        <v>2163</v>
      </c>
      <c r="U51" s="166">
        <v>0.15865913592019365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456</v>
      </c>
      <c r="C52" s="63" t="s">
        <v>457</v>
      </c>
      <c r="D52" s="134">
        <v>67</v>
      </c>
      <c r="E52" s="67">
        <v>11535</v>
      </c>
      <c r="F52" s="146">
        <v>0</v>
      </c>
      <c r="G52" s="146">
        <v>0</v>
      </c>
      <c r="H52" s="91">
        <v>11535</v>
      </c>
      <c r="I52" s="67">
        <v>0</v>
      </c>
      <c r="J52" s="20">
        <v>11535</v>
      </c>
      <c r="K52" s="132" t="s">
        <v>644</v>
      </c>
      <c r="L52" s="151">
        <v>11535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595</v>
      </c>
      <c r="B53" s="63" t="s">
        <v>376</v>
      </c>
      <c r="C53" s="63" t="s">
        <v>377</v>
      </c>
      <c r="D53" s="134">
        <v>0</v>
      </c>
      <c r="E53" s="67">
        <v>0</v>
      </c>
      <c r="F53" s="146">
        <v>0</v>
      </c>
      <c r="G53" s="146">
        <v>0</v>
      </c>
      <c r="H53" s="91">
        <v>0</v>
      </c>
      <c r="I53" s="67">
        <v>0</v>
      </c>
      <c r="J53" s="20">
        <v>0</v>
      </c>
      <c r="K53" s="132" t="s">
        <v>1277</v>
      </c>
      <c r="L53" s="151">
        <v>0</v>
      </c>
      <c r="M53" s="128">
        <v>0</v>
      </c>
      <c r="N53" s="67">
        <v>0</v>
      </c>
      <c r="O53" s="67">
        <v>0</v>
      </c>
      <c r="P53" s="270"/>
      <c r="Q53" s="71"/>
      <c r="R53" s="449"/>
      <c r="S53" s="67">
        <v>0</v>
      </c>
      <c r="T53" s="163">
        <v>0</v>
      </c>
      <c r="U53" s="166">
        <v>0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595</v>
      </c>
      <c r="B54" s="63" t="s">
        <v>384</v>
      </c>
      <c r="C54" s="63" t="s">
        <v>385</v>
      </c>
      <c r="D54" s="134">
        <v>21.63</v>
      </c>
      <c r="E54" s="67">
        <v>3724</v>
      </c>
      <c r="F54" s="146">
        <v>0</v>
      </c>
      <c r="G54" s="146">
        <v>0</v>
      </c>
      <c r="H54" s="91">
        <v>3724</v>
      </c>
      <c r="I54" s="67">
        <v>0</v>
      </c>
      <c r="J54" s="20">
        <v>3724</v>
      </c>
      <c r="K54" s="132" t="s">
        <v>621</v>
      </c>
      <c r="L54" s="151">
        <v>0</v>
      </c>
      <c r="M54" s="128">
        <v>21.63</v>
      </c>
      <c r="N54" s="67">
        <v>31</v>
      </c>
      <c r="O54" s="67">
        <v>3755</v>
      </c>
      <c r="P54" s="270"/>
      <c r="Q54" s="71"/>
      <c r="R54" s="449"/>
      <c r="S54" s="67">
        <v>3370</v>
      </c>
      <c r="T54" s="163">
        <v>385</v>
      </c>
      <c r="U54" s="166">
        <v>0.1142433234421365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594</v>
      </c>
      <c r="B55" s="63" t="s">
        <v>147</v>
      </c>
      <c r="C55" s="63" t="s">
        <v>148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1277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0</v>
      </c>
      <c r="T55" s="163">
        <v>0</v>
      </c>
      <c r="U55" s="166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601</v>
      </c>
      <c r="B56" s="63" t="s">
        <v>120</v>
      </c>
      <c r="C56" s="63" t="s">
        <v>654</v>
      </c>
      <c r="D56" s="134">
        <v>0</v>
      </c>
      <c r="E56" s="67">
        <v>0</v>
      </c>
      <c r="F56" s="146">
        <v>0</v>
      </c>
      <c r="G56" s="146">
        <v>0</v>
      </c>
      <c r="H56" s="91">
        <v>0</v>
      </c>
      <c r="I56" s="67">
        <v>0</v>
      </c>
      <c r="J56" s="20">
        <v>0</v>
      </c>
      <c r="K56" s="132" t="s">
        <v>1277</v>
      </c>
      <c r="L56" s="151">
        <v>0</v>
      </c>
      <c r="M56" s="128">
        <v>0</v>
      </c>
      <c r="N56" s="67">
        <v>0</v>
      </c>
      <c r="O56" s="67">
        <v>0</v>
      </c>
      <c r="P56" s="270"/>
      <c r="Q56" s="71"/>
      <c r="R56" s="449"/>
      <c r="S56" s="67">
        <v>0</v>
      </c>
      <c r="T56" s="163">
        <v>0</v>
      </c>
      <c r="U56" s="166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595</v>
      </c>
      <c r="B57" s="63" t="s">
        <v>159</v>
      </c>
      <c r="C57" s="63" t="s">
        <v>160</v>
      </c>
      <c r="D57" s="134">
        <v>34.130000000000003</v>
      </c>
      <c r="E57" s="67">
        <v>5876</v>
      </c>
      <c r="F57" s="146">
        <v>0</v>
      </c>
      <c r="G57" s="146">
        <v>0</v>
      </c>
      <c r="H57" s="91">
        <v>5876</v>
      </c>
      <c r="I57" s="67">
        <v>0</v>
      </c>
      <c r="J57" s="20">
        <v>5876</v>
      </c>
      <c r="K57" s="132" t="s">
        <v>621</v>
      </c>
      <c r="L57" s="151">
        <v>0</v>
      </c>
      <c r="M57" s="128">
        <v>34.130000000000003</v>
      </c>
      <c r="N57" s="67">
        <v>48</v>
      </c>
      <c r="O57" s="67">
        <v>5924</v>
      </c>
      <c r="P57" s="270"/>
      <c r="Q57" s="71"/>
      <c r="R57" s="449"/>
      <c r="S57" s="67">
        <v>4889</v>
      </c>
      <c r="T57" s="163">
        <v>1035</v>
      </c>
      <c r="U57" s="166">
        <v>0.21169973409695234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600</v>
      </c>
      <c r="B58" s="63" t="s">
        <v>41</v>
      </c>
      <c r="C58" s="63" t="s">
        <v>42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1277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603</v>
      </c>
      <c r="B59" s="63" t="s">
        <v>285</v>
      </c>
      <c r="C59" s="63" t="s">
        <v>286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20">
        <v>0</v>
      </c>
      <c r="K59" s="132" t="s">
        <v>1277</v>
      </c>
      <c r="L59" s="151">
        <v>0</v>
      </c>
      <c r="M59" s="128">
        <v>0</v>
      </c>
      <c r="N59" s="67">
        <v>0</v>
      </c>
      <c r="O59" s="67">
        <v>0</v>
      </c>
      <c r="P59" s="270"/>
      <c r="Q59" s="71"/>
      <c r="R59" s="449"/>
      <c r="S59" s="67">
        <v>0</v>
      </c>
      <c r="T59" s="163">
        <v>0</v>
      </c>
      <c r="U59" s="166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603</v>
      </c>
      <c r="B60" s="63" t="s">
        <v>96</v>
      </c>
      <c r="C60" s="63" t="s">
        <v>97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1277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338</v>
      </c>
      <c r="C61" s="63" t="s">
        <v>339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1277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605</v>
      </c>
      <c r="B62" s="63" t="s">
        <v>220</v>
      </c>
      <c r="C62" s="63" t="s">
        <v>221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1277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595</v>
      </c>
      <c r="B63" s="63" t="s">
        <v>417</v>
      </c>
      <c r="C63" s="63" t="s">
        <v>418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1277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603</v>
      </c>
      <c r="B64" s="63" t="s">
        <v>293</v>
      </c>
      <c r="C64" s="63" t="s">
        <v>294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1277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596</v>
      </c>
      <c r="B65" s="63" t="s">
        <v>66</v>
      </c>
      <c r="C65" s="63" t="s">
        <v>67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1277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444</v>
      </c>
      <c r="C66" s="63" t="s">
        <v>445</v>
      </c>
      <c r="D66" s="134">
        <v>4.63</v>
      </c>
      <c r="E66" s="67">
        <v>797</v>
      </c>
      <c r="F66" s="146">
        <v>0</v>
      </c>
      <c r="G66" s="146">
        <v>0</v>
      </c>
      <c r="H66" s="91">
        <v>797</v>
      </c>
      <c r="I66" s="67">
        <v>0</v>
      </c>
      <c r="J66" s="20">
        <v>797</v>
      </c>
      <c r="K66" s="132" t="s">
        <v>1278</v>
      </c>
      <c r="L66" s="151">
        <v>797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597</v>
      </c>
      <c r="B67" s="63" t="s">
        <v>353</v>
      </c>
      <c r="C67" s="63" t="s">
        <v>354</v>
      </c>
      <c r="D67" s="134">
        <v>18</v>
      </c>
      <c r="E67" s="67">
        <v>3099</v>
      </c>
      <c r="F67" s="146">
        <v>0</v>
      </c>
      <c r="G67" s="146">
        <v>0</v>
      </c>
      <c r="H67" s="91">
        <v>3099</v>
      </c>
      <c r="I67" s="67">
        <v>0</v>
      </c>
      <c r="J67" s="20">
        <v>3099</v>
      </c>
      <c r="K67" s="132" t="s">
        <v>621</v>
      </c>
      <c r="L67" s="151">
        <v>0</v>
      </c>
      <c r="M67" s="128">
        <v>18</v>
      </c>
      <c r="N67" s="67">
        <v>25</v>
      </c>
      <c r="O67" s="67">
        <v>3124</v>
      </c>
      <c r="P67" s="270"/>
      <c r="Q67" s="71"/>
      <c r="R67" s="449"/>
      <c r="S67" s="67">
        <v>2577</v>
      </c>
      <c r="T67" s="163">
        <v>547</v>
      </c>
      <c r="U67" s="166">
        <v>0.21226232052774544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596</v>
      </c>
      <c r="B68" s="63" t="s">
        <v>490</v>
      </c>
      <c r="C68" s="63" t="s">
        <v>491</v>
      </c>
      <c r="D68" s="134">
        <v>0</v>
      </c>
      <c r="E68" s="67">
        <v>0</v>
      </c>
      <c r="F68" s="146">
        <v>0</v>
      </c>
      <c r="G68" s="146">
        <v>0</v>
      </c>
      <c r="H68" s="91">
        <v>0</v>
      </c>
      <c r="I68" s="67">
        <v>0</v>
      </c>
      <c r="J68" s="20">
        <v>0</v>
      </c>
      <c r="K68" s="132" t="s">
        <v>1277</v>
      </c>
      <c r="L68" s="151">
        <v>0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603</v>
      </c>
      <c r="B69" s="63" t="s">
        <v>440</v>
      </c>
      <c r="C69" s="63" t="s">
        <v>674</v>
      </c>
      <c r="D69" s="134">
        <v>127.5</v>
      </c>
      <c r="E69" s="67">
        <v>21952</v>
      </c>
      <c r="F69" s="146">
        <v>0</v>
      </c>
      <c r="G69" s="146">
        <v>0</v>
      </c>
      <c r="H69" s="91">
        <v>21952</v>
      </c>
      <c r="I69" s="67">
        <v>0</v>
      </c>
      <c r="J69" s="20">
        <v>21952</v>
      </c>
      <c r="K69" s="132" t="s">
        <v>621</v>
      </c>
      <c r="L69" s="151">
        <v>0</v>
      </c>
      <c r="M69" s="128">
        <v>127.5</v>
      </c>
      <c r="N69" s="67">
        <v>180</v>
      </c>
      <c r="O69" s="67">
        <v>22132</v>
      </c>
      <c r="P69" s="270"/>
      <c r="Q69" s="71"/>
      <c r="R69" s="449"/>
      <c r="S69" s="67">
        <v>20700</v>
      </c>
      <c r="T69" s="163">
        <v>1432</v>
      </c>
      <c r="U69" s="166">
        <v>6.9178743961352651E-2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605</v>
      </c>
      <c r="B70" s="63" t="s">
        <v>549</v>
      </c>
      <c r="C70" s="63" t="s">
        <v>550</v>
      </c>
      <c r="D70" s="134">
        <v>249.38</v>
      </c>
      <c r="E70" s="67">
        <v>42936</v>
      </c>
      <c r="F70" s="146">
        <v>0</v>
      </c>
      <c r="G70" s="146">
        <v>0</v>
      </c>
      <c r="H70" s="91">
        <v>42936</v>
      </c>
      <c r="I70" s="67">
        <v>0</v>
      </c>
      <c r="J70" s="20">
        <v>42936</v>
      </c>
      <c r="K70" s="132" t="s">
        <v>621</v>
      </c>
      <c r="L70" s="151">
        <v>0</v>
      </c>
      <c r="M70" s="128">
        <v>249.38</v>
      </c>
      <c r="N70" s="67">
        <v>353</v>
      </c>
      <c r="O70" s="67">
        <v>43289</v>
      </c>
      <c r="P70" s="270"/>
      <c r="Q70" s="71"/>
      <c r="R70" s="449"/>
      <c r="S70" s="67">
        <v>37944</v>
      </c>
      <c r="T70" s="163">
        <v>5345</v>
      </c>
      <c r="U70" s="166">
        <v>0.14086548597933798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601</v>
      </c>
      <c r="B71" s="63" t="s">
        <v>88</v>
      </c>
      <c r="C71" s="63" t="s">
        <v>89</v>
      </c>
      <c r="D71" s="134">
        <v>912.38</v>
      </c>
      <c r="E71" s="67">
        <v>157085</v>
      </c>
      <c r="F71" s="146">
        <v>0</v>
      </c>
      <c r="G71" s="146">
        <v>0</v>
      </c>
      <c r="H71" s="91">
        <v>157085</v>
      </c>
      <c r="I71" s="67">
        <v>0</v>
      </c>
      <c r="J71" s="20">
        <v>157085</v>
      </c>
      <c r="K71" s="132" t="s">
        <v>621</v>
      </c>
      <c r="L71" s="151">
        <v>0</v>
      </c>
      <c r="M71" s="128">
        <v>912.38</v>
      </c>
      <c r="N71" s="67">
        <v>1290</v>
      </c>
      <c r="O71" s="67">
        <v>158375</v>
      </c>
      <c r="P71" s="270"/>
      <c r="Q71" s="71"/>
      <c r="R71" s="449"/>
      <c r="S71" s="67">
        <v>147260</v>
      </c>
      <c r="T71" s="163">
        <v>11115</v>
      </c>
      <c r="U71" s="166">
        <v>7.5478745076735021E-2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222</v>
      </c>
      <c r="C72" s="63" t="s">
        <v>223</v>
      </c>
      <c r="D72" s="134">
        <v>6</v>
      </c>
      <c r="E72" s="67">
        <v>1033</v>
      </c>
      <c r="F72" s="146">
        <v>0</v>
      </c>
      <c r="G72" s="146">
        <v>0</v>
      </c>
      <c r="H72" s="91">
        <v>1033</v>
      </c>
      <c r="I72" s="67">
        <v>0</v>
      </c>
      <c r="J72" s="20">
        <v>1033</v>
      </c>
      <c r="K72" s="132" t="s">
        <v>621</v>
      </c>
      <c r="L72" s="151">
        <v>0</v>
      </c>
      <c r="M72" s="128">
        <v>6</v>
      </c>
      <c r="N72" s="67">
        <v>8</v>
      </c>
      <c r="O72" s="67">
        <v>1041</v>
      </c>
      <c r="P72" s="270"/>
      <c r="Q72" s="71"/>
      <c r="R72" s="449"/>
      <c r="S72" s="67">
        <v>1168</v>
      </c>
      <c r="T72" s="163">
        <v>-127</v>
      </c>
      <c r="U72" s="166">
        <v>-0.10873287671232877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597</v>
      </c>
      <c r="B73" s="63" t="s">
        <v>365</v>
      </c>
      <c r="C73" s="63" t="s">
        <v>366</v>
      </c>
      <c r="D73" s="134">
        <v>12.25</v>
      </c>
      <c r="E73" s="67">
        <v>2109</v>
      </c>
      <c r="F73" s="146">
        <v>0</v>
      </c>
      <c r="G73" s="146">
        <v>0</v>
      </c>
      <c r="H73" s="91">
        <v>2109</v>
      </c>
      <c r="I73" s="67">
        <v>0</v>
      </c>
      <c r="J73" s="20">
        <v>2109</v>
      </c>
      <c r="K73" s="132" t="s">
        <v>1278</v>
      </c>
      <c r="L73" s="151">
        <v>2109</v>
      </c>
      <c r="M73" s="128">
        <v>0</v>
      </c>
      <c r="N73" s="67">
        <v>0</v>
      </c>
      <c r="O73" s="67">
        <v>0</v>
      </c>
      <c r="P73" s="270"/>
      <c r="Q73" s="71"/>
      <c r="R73" s="449"/>
      <c r="S73" s="67">
        <v>0</v>
      </c>
      <c r="T73" s="163">
        <v>0</v>
      </c>
      <c r="U73" s="166">
        <v>0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595</v>
      </c>
      <c r="B74" s="63" t="s">
        <v>401</v>
      </c>
      <c r="C74" s="63" t="s">
        <v>402</v>
      </c>
      <c r="D74" s="134">
        <v>1965.25</v>
      </c>
      <c r="E74" s="67">
        <v>338357</v>
      </c>
      <c r="F74" s="146">
        <v>0</v>
      </c>
      <c r="G74" s="146">
        <v>0</v>
      </c>
      <c r="H74" s="91">
        <v>338357</v>
      </c>
      <c r="I74" s="67">
        <v>0</v>
      </c>
      <c r="J74" s="20">
        <v>338357</v>
      </c>
      <c r="K74" s="132" t="s">
        <v>621</v>
      </c>
      <c r="L74" s="151">
        <v>0</v>
      </c>
      <c r="M74" s="128">
        <v>1965.25</v>
      </c>
      <c r="N74" s="67">
        <v>2778</v>
      </c>
      <c r="O74" s="67">
        <v>341135</v>
      </c>
      <c r="P74" s="270"/>
      <c r="Q74" s="71"/>
      <c r="R74" s="449"/>
      <c r="S74" s="67">
        <v>344046</v>
      </c>
      <c r="T74" s="163">
        <v>-2911</v>
      </c>
      <c r="U74" s="166">
        <v>-8.4610778791208152E-3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605</v>
      </c>
      <c r="B75" s="63" t="s">
        <v>226</v>
      </c>
      <c r="C75" s="63" t="s">
        <v>227</v>
      </c>
      <c r="D75" s="134">
        <v>212.5</v>
      </c>
      <c r="E75" s="67">
        <v>36586</v>
      </c>
      <c r="F75" s="146">
        <v>0</v>
      </c>
      <c r="G75" s="146">
        <v>0</v>
      </c>
      <c r="H75" s="91">
        <v>36586</v>
      </c>
      <c r="I75" s="67">
        <v>0</v>
      </c>
      <c r="J75" s="20">
        <v>36586</v>
      </c>
      <c r="K75" s="132" t="s">
        <v>621</v>
      </c>
      <c r="L75" s="151">
        <v>0</v>
      </c>
      <c r="M75" s="128">
        <v>212.5</v>
      </c>
      <c r="N75" s="67">
        <v>300</v>
      </c>
      <c r="O75" s="67">
        <v>36886</v>
      </c>
      <c r="P75" s="270"/>
      <c r="Q75" s="71"/>
      <c r="R75" s="449"/>
      <c r="S75" s="67">
        <v>34442</v>
      </c>
      <c r="T75" s="163">
        <v>2444</v>
      </c>
      <c r="U75" s="166">
        <v>7.0959874571743797E-2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594</v>
      </c>
      <c r="B76" s="63" t="s">
        <v>141</v>
      </c>
      <c r="C76" s="63" t="s">
        <v>142</v>
      </c>
      <c r="D76" s="134">
        <v>96.25</v>
      </c>
      <c r="E76" s="67">
        <v>16571</v>
      </c>
      <c r="F76" s="146">
        <v>0</v>
      </c>
      <c r="G76" s="146">
        <v>0</v>
      </c>
      <c r="H76" s="91">
        <v>16571</v>
      </c>
      <c r="I76" s="67">
        <v>0</v>
      </c>
      <c r="J76" s="20">
        <v>16571</v>
      </c>
      <c r="K76" s="132" t="s">
        <v>621</v>
      </c>
      <c r="L76" s="151">
        <v>0</v>
      </c>
      <c r="M76" s="128">
        <v>96.25</v>
      </c>
      <c r="N76" s="67">
        <v>136</v>
      </c>
      <c r="O76" s="67">
        <v>16707</v>
      </c>
      <c r="P76" s="270"/>
      <c r="Q76" s="71"/>
      <c r="R76" s="449"/>
      <c r="S76" s="67">
        <v>0</v>
      </c>
      <c r="T76" s="163">
        <v>16707</v>
      </c>
      <c r="U76" s="166">
        <v>0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603</v>
      </c>
      <c r="B77" s="63" t="s">
        <v>535</v>
      </c>
      <c r="C77" s="63" t="s">
        <v>536</v>
      </c>
      <c r="D77" s="134">
        <v>0</v>
      </c>
      <c r="E77" s="67">
        <v>0</v>
      </c>
      <c r="F77" s="146">
        <v>0</v>
      </c>
      <c r="G77" s="146">
        <v>0</v>
      </c>
      <c r="H77" s="91">
        <v>0</v>
      </c>
      <c r="I77" s="67">
        <v>0</v>
      </c>
      <c r="J77" s="20">
        <v>0</v>
      </c>
      <c r="K77" s="132" t="s">
        <v>1277</v>
      </c>
      <c r="L77" s="151">
        <v>0</v>
      </c>
      <c r="M77" s="128">
        <v>0</v>
      </c>
      <c r="N77" s="67">
        <v>0</v>
      </c>
      <c r="O77" s="67">
        <v>0</v>
      </c>
      <c r="P77" s="270"/>
      <c r="Q77" s="71"/>
      <c r="R77" s="449"/>
      <c r="S77" s="67">
        <v>0</v>
      </c>
      <c r="T77" s="163">
        <v>0</v>
      </c>
      <c r="U77" s="166">
        <v>0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601</v>
      </c>
      <c r="B78" s="63" t="s">
        <v>29</v>
      </c>
      <c r="C78" s="63" t="s">
        <v>30</v>
      </c>
      <c r="D78" s="134">
        <v>48.13</v>
      </c>
      <c r="E78" s="67">
        <v>8287</v>
      </c>
      <c r="F78" s="146">
        <v>0</v>
      </c>
      <c r="G78" s="146">
        <v>0</v>
      </c>
      <c r="H78" s="91">
        <v>8287</v>
      </c>
      <c r="I78" s="67">
        <v>0</v>
      </c>
      <c r="J78" s="20">
        <v>8287</v>
      </c>
      <c r="K78" s="132" t="s">
        <v>621</v>
      </c>
      <c r="L78" s="151">
        <v>0</v>
      </c>
      <c r="M78" s="128">
        <v>48.13</v>
      </c>
      <c r="N78" s="67">
        <v>68</v>
      </c>
      <c r="O78" s="67">
        <v>8355</v>
      </c>
      <c r="P78" s="270"/>
      <c r="Q78" s="71"/>
      <c r="R78" s="449"/>
      <c r="S78" s="67">
        <v>7290</v>
      </c>
      <c r="T78" s="163">
        <v>1065</v>
      </c>
      <c r="U78" s="166">
        <v>0.14609053497942387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597</v>
      </c>
      <c r="B79" s="63" t="s">
        <v>177</v>
      </c>
      <c r="C79" s="63" t="s">
        <v>178</v>
      </c>
      <c r="D79" s="134">
        <v>176.13</v>
      </c>
      <c r="E79" s="67">
        <v>30324</v>
      </c>
      <c r="F79" s="146">
        <v>0</v>
      </c>
      <c r="G79" s="146">
        <v>0</v>
      </c>
      <c r="H79" s="91">
        <v>30324</v>
      </c>
      <c r="I79" s="67">
        <v>0</v>
      </c>
      <c r="J79" s="20">
        <v>30324</v>
      </c>
      <c r="K79" s="132" t="s">
        <v>621</v>
      </c>
      <c r="L79" s="151">
        <v>0</v>
      </c>
      <c r="M79" s="128">
        <v>176.13</v>
      </c>
      <c r="N79" s="67">
        <v>249</v>
      </c>
      <c r="O79" s="67">
        <v>30573</v>
      </c>
      <c r="P79" s="270"/>
      <c r="Q79" s="71"/>
      <c r="R79" s="449"/>
      <c r="S79" s="67">
        <v>27814</v>
      </c>
      <c r="T79" s="163">
        <v>2759</v>
      </c>
      <c r="U79" s="166">
        <v>9.9194650176170268E-2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127</v>
      </c>
      <c r="C80" s="63" t="s">
        <v>128</v>
      </c>
      <c r="D80" s="134">
        <v>189.63</v>
      </c>
      <c r="E80" s="67">
        <v>32649</v>
      </c>
      <c r="F80" s="146">
        <v>0</v>
      </c>
      <c r="G80" s="146">
        <v>0</v>
      </c>
      <c r="H80" s="91">
        <v>32649</v>
      </c>
      <c r="I80" s="67">
        <v>0</v>
      </c>
      <c r="J80" s="20">
        <v>32649</v>
      </c>
      <c r="K80" s="132" t="s">
        <v>621</v>
      </c>
      <c r="L80" s="151">
        <v>0</v>
      </c>
      <c r="M80" s="128">
        <v>189.63</v>
      </c>
      <c r="N80" s="67">
        <v>268</v>
      </c>
      <c r="O80" s="67">
        <v>32917</v>
      </c>
      <c r="P80" s="270"/>
      <c r="Q80" s="71"/>
      <c r="R80" s="449"/>
      <c r="S80" s="67">
        <v>31139</v>
      </c>
      <c r="T80" s="163">
        <v>1778</v>
      </c>
      <c r="U80" s="166">
        <v>5.7098814990847492E-2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594</v>
      </c>
      <c r="B81" s="63" t="s">
        <v>256</v>
      </c>
      <c r="C81" s="63" t="s">
        <v>257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20">
        <v>0</v>
      </c>
      <c r="K81" s="132" t="s">
        <v>1277</v>
      </c>
      <c r="L81" s="151">
        <v>0</v>
      </c>
      <c r="M81" s="128">
        <v>0</v>
      </c>
      <c r="N81" s="67">
        <v>0</v>
      </c>
      <c r="O81" s="67">
        <v>0</v>
      </c>
      <c r="P81" s="270"/>
      <c r="Q81" s="71"/>
      <c r="R81" s="449"/>
      <c r="S81" s="67">
        <v>0</v>
      </c>
      <c r="T81" s="163">
        <v>0</v>
      </c>
      <c r="U81" s="166">
        <v>0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595</v>
      </c>
      <c r="B82" s="63" t="s">
        <v>395</v>
      </c>
      <c r="C82" s="63" t="s">
        <v>396</v>
      </c>
      <c r="D82" s="134">
        <v>1762.63</v>
      </c>
      <c r="E82" s="67">
        <v>303472</v>
      </c>
      <c r="F82" s="146">
        <v>0</v>
      </c>
      <c r="G82" s="146">
        <v>0</v>
      </c>
      <c r="H82" s="91">
        <v>303472</v>
      </c>
      <c r="I82" s="67">
        <v>0</v>
      </c>
      <c r="J82" s="20">
        <v>303472</v>
      </c>
      <c r="K82" s="132" t="s">
        <v>621</v>
      </c>
      <c r="L82" s="151">
        <v>0</v>
      </c>
      <c r="M82" s="128">
        <v>1762.63</v>
      </c>
      <c r="N82" s="67">
        <v>2492</v>
      </c>
      <c r="O82" s="67">
        <v>305964</v>
      </c>
      <c r="P82" s="270"/>
      <c r="Q82" s="71"/>
      <c r="R82" s="449"/>
      <c r="S82" s="67">
        <v>312114</v>
      </c>
      <c r="T82" s="163">
        <v>-6150</v>
      </c>
      <c r="U82" s="166">
        <v>-1.9704338799284876E-2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599</v>
      </c>
      <c r="B83" s="63" t="s">
        <v>58</v>
      </c>
      <c r="C83" s="63" t="s">
        <v>59</v>
      </c>
      <c r="D83" s="134">
        <v>2187.63</v>
      </c>
      <c r="E83" s="67">
        <v>376645</v>
      </c>
      <c r="F83" s="146">
        <v>0</v>
      </c>
      <c r="G83" s="146">
        <v>0</v>
      </c>
      <c r="H83" s="91">
        <v>376645</v>
      </c>
      <c r="I83" s="67">
        <v>0</v>
      </c>
      <c r="J83" s="20">
        <v>376645</v>
      </c>
      <c r="K83" s="132" t="s">
        <v>621</v>
      </c>
      <c r="L83" s="151">
        <v>0</v>
      </c>
      <c r="M83" s="128">
        <v>2187.63</v>
      </c>
      <c r="N83" s="67">
        <v>3092</v>
      </c>
      <c r="O83" s="67">
        <v>379737</v>
      </c>
      <c r="P83" s="270"/>
      <c r="Q83" s="71"/>
      <c r="R83" s="449"/>
      <c r="S83" s="67">
        <v>356114</v>
      </c>
      <c r="T83" s="163">
        <v>23623</v>
      </c>
      <c r="U83" s="166">
        <v>6.6335499306401882E-2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603</v>
      </c>
      <c r="B84" s="63" t="s">
        <v>462</v>
      </c>
      <c r="C84" s="63" t="s">
        <v>463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 t="s">
        <v>1277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597</v>
      </c>
      <c r="B85" s="63" t="s">
        <v>175</v>
      </c>
      <c r="C85" s="63" t="s">
        <v>176</v>
      </c>
      <c r="D85" s="134">
        <v>3019.38</v>
      </c>
      <c r="E85" s="67">
        <v>519847</v>
      </c>
      <c r="F85" s="146">
        <v>0</v>
      </c>
      <c r="G85" s="146">
        <v>0</v>
      </c>
      <c r="H85" s="91">
        <v>519847</v>
      </c>
      <c r="I85" s="67">
        <v>0</v>
      </c>
      <c r="J85" s="20">
        <v>519847</v>
      </c>
      <c r="K85" s="132" t="s">
        <v>621</v>
      </c>
      <c r="L85" s="151">
        <v>0</v>
      </c>
      <c r="M85" s="128">
        <v>3019.38</v>
      </c>
      <c r="N85" s="67">
        <v>4268</v>
      </c>
      <c r="O85" s="67">
        <v>524115</v>
      </c>
      <c r="P85" s="270"/>
      <c r="Q85" s="71"/>
      <c r="R85" s="449"/>
      <c r="S85" s="67">
        <v>504120</v>
      </c>
      <c r="T85" s="163">
        <v>19995</v>
      </c>
      <c r="U85" s="166">
        <v>3.9663175434420377E-2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595</v>
      </c>
      <c r="B86" s="63" t="s">
        <v>506</v>
      </c>
      <c r="C86" s="63" t="s">
        <v>507</v>
      </c>
      <c r="D86" s="134">
        <v>235.75</v>
      </c>
      <c r="E86" s="67">
        <v>40589</v>
      </c>
      <c r="F86" s="146">
        <v>0</v>
      </c>
      <c r="G86" s="146">
        <v>0</v>
      </c>
      <c r="H86" s="91">
        <v>40589</v>
      </c>
      <c r="I86" s="67">
        <v>0</v>
      </c>
      <c r="J86" s="20">
        <v>40589</v>
      </c>
      <c r="K86" s="132" t="s">
        <v>621</v>
      </c>
      <c r="L86" s="151">
        <v>0</v>
      </c>
      <c r="M86" s="128">
        <v>235.75</v>
      </c>
      <c r="N86" s="67">
        <v>333</v>
      </c>
      <c r="O86" s="67">
        <v>40922</v>
      </c>
      <c r="P86" s="270"/>
      <c r="Q86" s="71"/>
      <c r="R86" s="449"/>
      <c r="S86" s="67">
        <v>41248</v>
      </c>
      <c r="T86" s="163">
        <v>-326</v>
      </c>
      <c r="U86" s="166">
        <v>-7.9034134988363071E-3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597</v>
      </c>
      <c r="B87" s="63" t="s">
        <v>369</v>
      </c>
      <c r="C87" s="63" t="s">
        <v>370</v>
      </c>
      <c r="D87" s="134">
        <v>360.88</v>
      </c>
      <c r="E87" s="67">
        <v>62133</v>
      </c>
      <c r="F87" s="146">
        <v>0</v>
      </c>
      <c r="G87" s="146">
        <v>0</v>
      </c>
      <c r="H87" s="91">
        <v>62133</v>
      </c>
      <c r="I87" s="67">
        <v>0</v>
      </c>
      <c r="J87" s="20">
        <v>62133</v>
      </c>
      <c r="K87" s="132" t="s">
        <v>621</v>
      </c>
      <c r="L87" s="151">
        <v>0</v>
      </c>
      <c r="M87" s="128">
        <v>360.88</v>
      </c>
      <c r="N87" s="67">
        <v>510</v>
      </c>
      <c r="O87" s="67">
        <v>62643</v>
      </c>
      <c r="P87" s="270"/>
      <c r="Q87" s="71"/>
      <c r="R87" s="449"/>
      <c r="S87" s="67">
        <v>59899</v>
      </c>
      <c r="T87" s="163">
        <v>2744</v>
      </c>
      <c r="U87" s="166">
        <v>4.5810447586771066E-2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19</v>
      </c>
      <c r="C88" s="63" t="s">
        <v>20</v>
      </c>
      <c r="D88" s="134">
        <v>128.5</v>
      </c>
      <c r="E88" s="67">
        <v>22124</v>
      </c>
      <c r="F88" s="146">
        <v>0</v>
      </c>
      <c r="G88" s="146">
        <v>0</v>
      </c>
      <c r="H88" s="91">
        <v>22124</v>
      </c>
      <c r="I88" s="67">
        <v>0</v>
      </c>
      <c r="J88" s="20">
        <v>22124</v>
      </c>
      <c r="K88" s="132" t="s">
        <v>621</v>
      </c>
      <c r="L88" s="151">
        <v>0</v>
      </c>
      <c r="M88" s="128">
        <v>128.5</v>
      </c>
      <c r="N88" s="67">
        <v>182</v>
      </c>
      <c r="O88" s="67">
        <v>22306</v>
      </c>
      <c r="P88" s="270"/>
      <c r="Q88" s="71"/>
      <c r="R88" s="449"/>
      <c r="S88" s="67">
        <v>21758</v>
      </c>
      <c r="T88" s="163">
        <v>548</v>
      </c>
      <c r="U88" s="166">
        <v>2.518613843184116E-2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597</v>
      </c>
      <c r="B89" s="63" t="s">
        <v>361</v>
      </c>
      <c r="C89" s="63" t="s">
        <v>362</v>
      </c>
      <c r="D89" s="134">
        <v>579.63</v>
      </c>
      <c r="E89" s="67">
        <v>99795</v>
      </c>
      <c r="F89" s="146">
        <v>0</v>
      </c>
      <c r="G89" s="146">
        <v>0</v>
      </c>
      <c r="H89" s="91">
        <v>99795</v>
      </c>
      <c r="I89" s="67">
        <v>0</v>
      </c>
      <c r="J89" s="20">
        <v>99795</v>
      </c>
      <c r="K89" s="132" t="s">
        <v>621</v>
      </c>
      <c r="L89" s="151">
        <v>0</v>
      </c>
      <c r="M89" s="128">
        <v>579.63</v>
      </c>
      <c r="N89" s="67">
        <v>819</v>
      </c>
      <c r="O89" s="67">
        <v>100614</v>
      </c>
      <c r="P89" s="270"/>
      <c r="Q89" s="71"/>
      <c r="R89" s="449"/>
      <c r="S89" s="67">
        <v>96434</v>
      </c>
      <c r="T89" s="163">
        <v>4180</v>
      </c>
      <c r="U89" s="166">
        <v>4.3345707945330485E-2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603</v>
      </c>
      <c r="B90" s="63" t="s">
        <v>436</v>
      </c>
      <c r="C90" s="63" t="s">
        <v>437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 t="s">
        <v>1277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603</v>
      </c>
      <c r="B91" s="63" t="s">
        <v>529</v>
      </c>
      <c r="C91" s="63" t="s">
        <v>530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1277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599</v>
      </c>
      <c r="B92" s="63" t="s">
        <v>240</v>
      </c>
      <c r="C92" s="63" t="s">
        <v>241</v>
      </c>
      <c r="D92" s="134">
        <v>0</v>
      </c>
      <c r="E92" s="67">
        <v>0</v>
      </c>
      <c r="F92" s="146">
        <v>0</v>
      </c>
      <c r="G92" s="146">
        <v>0</v>
      </c>
      <c r="H92" s="91">
        <v>0</v>
      </c>
      <c r="I92" s="67">
        <v>0</v>
      </c>
      <c r="J92" s="20">
        <v>0</v>
      </c>
      <c r="K92" s="132" t="s">
        <v>1277</v>
      </c>
      <c r="L92" s="151">
        <v>0</v>
      </c>
      <c r="M92" s="128">
        <v>0</v>
      </c>
      <c r="N92" s="67">
        <v>0</v>
      </c>
      <c r="O92" s="67">
        <v>0</v>
      </c>
      <c r="P92" s="270"/>
      <c r="Q92" s="71"/>
      <c r="R92" s="449"/>
      <c r="S92" s="67">
        <v>0</v>
      </c>
      <c r="T92" s="163">
        <v>0</v>
      </c>
      <c r="U92" s="166">
        <v>0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605</v>
      </c>
      <c r="B93" s="63" t="s">
        <v>246</v>
      </c>
      <c r="C93" s="63" t="s">
        <v>247</v>
      </c>
      <c r="D93" s="134">
        <v>31.13</v>
      </c>
      <c r="E93" s="67">
        <v>5360</v>
      </c>
      <c r="F93" s="146">
        <v>0</v>
      </c>
      <c r="G93" s="146">
        <v>0</v>
      </c>
      <c r="H93" s="91">
        <v>5360</v>
      </c>
      <c r="I93" s="67">
        <v>0</v>
      </c>
      <c r="J93" s="20">
        <v>5360</v>
      </c>
      <c r="K93" s="132" t="s">
        <v>621</v>
      </c>
      <c r="L93" s="151">
        <v>0</v>
      </c>
      <c r="M93" s="128">
        <v>31.13</v>
      </c>
      <c r="N93" s="67">
        <v>44</v>
      </c>
      <c r="O93" s="67">
        <v>5404</v>
      </c>
      <c r="P93" s="270"/>
      <c r="Q93" s="71"/>
      <c r="R93" s="449"/>
      <c r="S93" s="67">
        <v>5924</v>
      </c>
      <c r="T93" s="163">
        <v>-520</v>
      </c>
      <c r="U93" s="166">
        <v>-8.7778528021607016E-2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601</v>
      </c>
      <c r="B94" s="63" t="s">
        <v>131</v>
      </c>
      <c r="C94" s="63" t="s">
        <v>655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1277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605</v>
      </c>
      <c r="B95" s="63" t="s">
        <v>555</v>
      </c>
      <c r="C95" s="63" t="s">
        <v>556</v>
      </c>
      <c r="D95" s="134">
        <v>1134.6300000000001</v>
      </c>
      <c r="E95" s="67">
        <v>195349</v>
      </c>
      <c r="F95" s="146">
        <v>0</v>
      </c>
      <c r="G95" s="146">
        <v>0</v>
      </c>
      <c r="H95" s="91">
        <v>195349</v>
      </c>
      <c r="I95" s="67">
        <v>0</v>
      </c>
      <c r="J95" s="20">
        <v>195349</v>
      </c>
      <c r="K95" s="132" t="s">
        <v>621</v>
      </c>
      <c r="L95" s="151">
        <v>0</v>
      </c>
      <c r="M95" s="128">
        <v>1134.6300000000001</v>
      </c>
      <c r="N95" s="67">
        <v>1604</v>
      </c>
      <c r="O95" s="67">
        <v>196953</v>
      </c>
      <c r="P95" s="270"/>
      <c r="Q95" s="71"/>
      <c r="R95" s="449"/>
      <c r="S95" s="67">
        <v>185907</v>
      </c>
      <c r="T95" s="163">
        <v>11046</v>
      </c>
      <c r="U95" s="166">
        <v>5.9416805176781939E-2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605</v>
      </c>
      <c r="B96" s="63" t="s">
        <v>563</v>
      </c>
      <c r="C96" s="63" t="s">
        <v>564</v>
      </c>
      <c r="D96" s="134">
        <v>572.5</v>
      </c>
      <c r="E96" s="67">
        <v>98567</v>
      </c>
      <c r="F96" s="146">
        <v>0</v>
      </c>
      <c r="G96" s="146">
        <v>0</v>
      </c>
      <c r="H96" s="91">
        <v>98567</v>
      </c>
      <c r="I96" s="67">
        <v>0</v>
      </c>
      <c r="J96" s="20">
        <v>98567</v>
      </c>
      <c r="K96" s="132" t="s">
        <v>621</v>
      </c>
      <c r="L96" s="151">
        <v>0</v>
      </c>
      <c r="M96" s="128">
        <v>572.5</v>
      </c>
      <c r="N96" s="67">
        <v>809</v>
      </c>
      <c r="O96" s="67">
        <v>99376</v>
      </c>
      <c r="P96" s="270"/>
      <c r="Q96" s="71"/>
      <c r="R96" s="449"/>
      <c r="S96" s="67">
        <v>98724</v>
      </c>
      <c r="T96" s="163">
        <v>652</v>
      </c>
      <c r="U96" s="166">
        <v>6.6042704914711725E-3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595</v>
      </c>
      <c r="B97" s="63" t="s">
        <v>419</v>
      </c>
      <c r="C97" s="63" t="s">
        <v>420</v>
      </c>
      <c r="D97" s="134">
        <v>26.88</v>
      </c>
      <c r="E97" s="67">
        <v>4628</v>
      </c>
      <c r="F97" s="146">
        <v>0</v>
      </c>
      <c r="G97" s="146">
        <v>0</v>
      </c>
      <c r="H97" s="91">
        <v>4628</v>
      </c>
      <c r="I97" s="67">
        <v>0</v>
      </c>
      <c r="J97" s="20">
        <v>4628</v>
      </c>
      <c r="K97" s="132" t="s">
        <v>621</v>
      </c>
      <c r="L97" s="151">
        <v>0</v>
      </c>
      <c r="M97" s="128">
        <v>26.88</v>
      </c>
      <c r="N97" s="67">
        <v>38</v>
      </c>
      <c r="O97" s="67">
        <v>4666</v>
      </c>
      <c r="P97" s="270"/>
      <c r="Q97" s="71"/>
      <c r="R97" s="449"/>
      <c r="S97" s="67">
        <v>4492</v>
      </c>
      <c r="T97" s="163">
        <v>174</v>
      </c>
      <c r="U97" s="166">
        <v>3.8735529830810328E-2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594</v>
      </c>
      <c r="B98" s="63" t="s">
        <v>297</v>
      </c>
      <c r="C98" s="63" t="s">
        <v>298</v>
      </c>
      <c r="D98" s="134">
        <v>0</v>
      </c>
      <c r="E98" s="67">
        <v>0</v>
      </c>
      <c r="F98" s="146">
        <v>0</v>
      </c>
      <c r="G98" s="146">
        <v>0</v>
      </c>
      <c r="H98" s="91">
        <v>0</v>
      </c>
      <c r="I98" s="67">
        <v>0</v>
      </c>
      <c r="J98" s="20">
        <v>0</v>
      </c>
      <c r="K98" s="132" t="s">
        <v>1277</v>
      </c>
      <c r="L98" s="151">
        <v>0</v>
      </c>
      <c r="M98" s="128">
        <v>0</v>
      </c>
      <c r="N98" s="67">
        <v>0</v>
      </c>
      <c r="O98" s="67">
        <v>0</v>
      </c>
      <c r="P98" s="270"/>
      <c r="Q98" s="71"/>
      <c r="R98" s="449"/>
      <c r="S98" s="67">
        <v>0</v>
      </c>
      <c r="T98" s="163">
        <v>0</v>
      </c>
      <c r="U98" s="166">
        <v>0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603</v>
      </c>
      <c r="B99" s="63" t="s">
        <v>426</v>
      </c>
      <c r="C99" s="63" t="s">
        <v>427</v>
      </c>
      <c r="D99" s="134">
        <v>0</v>
      </c>
      <c r="E99" s="67">
        <v>0</v>
      </c>
      <c r="F99" s="146">
        <v>0</v>
      </c>
      <c r="G99" s="146">
        <v>0</v>
      </c>
      <c r="H99" s="91">
        <v>0</v>
      </c>
      <c r="I99" s="67">
        <v>0</v>
      </c>
      <c r="J99" s="20">
        <v>0</v>
      </c>
      <c r="K99" s="132" t="s">
        <v>1277</v>
      </c>
      <c r="L99" s="151">
        <v>0</v>
      </c>
      <c r="M99" s="128">
        <v>0</v>
      </c>
      <c r="N99" s="67">
        <v>0</v>
      </c>
      <c r="O99" s="67">
        <v>0</v>
      </c>
      <c r="P99" s="270"/>
      <c r="Q99" s="71"/>
      <c r="R99" s="449"/>
      <c r="S99" s="67">
        <v>0</v>
      </c>
      <c r="T99" s="163">
        <v>0</v>
      </c>
      <c r="U99" s="166">
        <v>0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599</v>
      </c>
      <c r="B100" s="63" t="s">
        <v>54</v>
      </c>
      <c r="C100" s="63" t="s">
        <v>55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1277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594</v>
      </c>
      <c r="B101" s="63" t="s">
        <v>482</v>
      </c>
      <c r="C101" s="63" t="s">
        <v>483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1277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603</v>
      </c>
      <c r="B102" s="63" t="s">
        <v>291</v>
      </c>
      <c r="C102" s="63" t="s">
        <v>292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1277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561</v>
      </c>
      <c r="C103" s="63" t="s">
        <v>562</v>
      </c>
      <c r="D103" s="134">
        <v>265.5</v>
      </c>
      <c r="E103" s="67">
        <v>45711</v>
      </c>
      <c r="F103" s="146">
        <v>0</v>
      </c>
      <c r="G103" s="146">
        <v>0</v>
      </c>
      <c r="H103" s="91">
        <v>45711</v>
      </c>
      <c r="I103" s="67">
        <v>0</v>
      </c>
      <c r="J103" s="20">
        <v>45711</v>
      </c>
      <c r="K103" s="132" t="s">
        <v>621</v>
      </c>
      <c r="L103" s="151">
        <v>0</v>
      </c>
      <c r="M103" s="128">
        <v>265.5</v>
      </c>
      <c r="N103" s="67">
        <v>375</v>
      </c>
      <c r="O103" s="67">
        <v>46086</v>
      </c>
      <c r="P103" s="270"/>
      <c r="Q103" s="71"/>
      <c r="R103" s="449"/>
      <c r="S103" s="67">
        <v>41072</v>
      </c>
      <c r="T103" s="163">
        <v>5014</v>
      </c>
      <c r="U103" s="166">
        <v>0.12207830151928321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597</v>
      </c>
      <c r="B104" s="63" t="s">
        <v>181</v>
      </c>
      <c r="C104" s="63" t="s">
        <v>182</v>
      </c>
      <c r="D104" s="134">
        <v>3594</v>
      </c>
      <c r="E104" s="67">
        <v>618779</v>
      </c>
      <c r="F104" s="146">
        <v>0</v>
      </c>
      <c r="G104" s="146">
        <v>0</v>
      </c>
      <c r="H104" s="91">
        <v>618779</v>
      </c>
      <c r="I104" s="67">
        <v>0</v>
      </c>
      <c r="J104" s="20">
        <v>618779</v>
      </c>
      <c r="K104" s="132" t="s">
        <v>621</v>
      </c>
      <c r="L104" s="151">
        <v>0</v>
      </c>
      <c r="M104" s="128">
        <v>3594</v>
      </c>
      <c r="N104" s="67">
        <v>5080</v>
      </c>
      <c r="O104" s="67">
        <v>623859</v>
      </c>
      <c r="P104" s="270"/>
      <c r="Q104" s="71"/>
      <c r="R104" s="449"/>
      <c r="S104" s="67">
        <v>608218</v>
      </c>
      <c r="T104" s="163">
        <v>15641</v>
      </c>
      <c r="U104" s="166">
        <v>2.5716108369038732E-2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599</v>
      </c>
      <c r="B105" s="63" t="s">
        <v>51</v>
      </c>
      <c r="C105" s="63" t="s">
        <v>52</v>
      </c>
      <c r="D105" s="134">
        <v>24</v>
      </c>
      <c r="E105" s="67">
        <v>4132</v>
      </c>
      <c r="F105" s="146">
        <v>0</v>
      </c>
      <c r="G105" s="146">
        <v>0</v>
      </c>
      <c r="H105" s="91">
        <v>4132</v>
      </c>
      <c r="I105" s="67">
        <v>0</v>
      </c>
      <c r="J105" s="20">
        <v>4132</v>
      </c>
      <c r="K105" s="132" t="s">
        <v>621</v>
      </c>
      <c r="L105" s="151">
        <v>0</v>
      </c>
      <c r="M105" s="128">
        <v>24</v>
      </c>
      <c r="N105" s="67">
        <v>34</v>
      </c>
      <c r="O105" s="67">
        <v>4166</v>
      </c>
      <c r="P105" s="270"/>
      <c r="Q105" s="71"/>
      <c r="R105" s="449"/>
      <c r="S105" s="67">
        <v>4648</v>
      </c>
      <c r="T105" s="163">
        <v>-482</v>
      </c>
      <c r="U105" s="166">
        <v>-0.10370051635111877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594</v>
      </c>
      <c r="B106" s="63" t="s">
        <v>307</v>
      </c>
      <c r="C106" s="63" t="s">
        <v>308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20">
        <v>0</v>
      </c>
      <c r="K106" s="132" t="s">
        <v>1277</v>
      </c>
      <c r="L106" s="151">
        <v>0</v>
      </c>
      <c r="M106" s="128">
        <v>0</v>
      </c>
      <c r="N106" s="67">
        <v>0</v>
      </c>
      <c r="O106" s="67">
        <v>0</v>
      </c>
      <c r="P106" s="270"/>
      <c r="Q106" s="71"/>
      <c r="R106" s="449"/>
      <c r="S106" s="67">
        <v>0</v>
      </c>
      <c r="T106" s="163">
        <v>0</v>
      </c>
      <c r="U106" s="166">
        <v>0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594</v>
      </c>
      <c r="B107" s="63" t="s">
        <v>134</v>
      </c>
      <c r="C107" s="63" t="s">
        <v>135</v>
      </c>
      <c r="D107" s="134">
        <v>40.130000000000003</v>
      </c>
      <c r="E107" s="67">
        <v>6909</v>
      </c>
      <c r="F107" s="146">
        <v>0</v>
      </c>
      <c r="G107" s="146">
        <v>0</v>
      </c>
      <c r="H107" s="91">
        <v>6909</v>
      </c>
      <c r="I107" s="67">
        <v>0</v>
      </c>
      <c r="J107" s="20">
        <v>6909</v>
      </c>
      <c r="K107" s="132" t="s">
        <v>644</v>
      </c>
      <c r="L107" s="151">
        <v>6909</v>
      </c>
      <c r="M107" s="128">
        <v>0</v>
      </c>
      <c r="N107" s="67">
        <v>0</v>
      </c>
      <c r="O107" s="67">
        <v>0</v>
      </c>
      <c r="P107" s="270"/>
      <c r="Q107" s="71"/>
      <c r="R107" s="449"/>
      <c r="S107" s="67">
        <v>7443</v>
      </c>
      <c r="T107" s="163">
        <v>-7443</v>
      </c>
      <c r="U107" s="166">
        <v>-1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603</v>
      </c>
      <c r="B108" s="63" t="s">
        <v>100</v>
      </c>
      <c r="C108" s="63" t="s">
        <v>101</v>
      </c>
      <c r="D108" s="134">
        <v>33</v>
      </c>
      <c r="E108" s="67">
        <v>5682</v>
      </c>
      <c r="F108" s="146">
        <v>0</v>
      </c>
      <c r="G108" s="146">
        <v>0</v>
      </c>
      <c r="H108" s="91">
        <v>5682</v>
      </c>
      <c r="I108" s="67">
        <v>0</v>
      </c>
      <c r="J108" s="20">
        <v>5682</v>
      </c>
      <c r="K108" s="132" t="s">
        <v>1278</v>
      </c>
      <c r="L108" s="151">
        <v>5682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595</v>
      </c>
      <c r="B109" s="63" t="s">
        <v>407</v>
      </c>
      <c r="C109" s="63" t="s">
        <v>408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1277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597</v>
      </c>
      <c r="B110" s="63" t="s">
        <v>201</v>
      </c>
      <c r="C110" s="63" t="s">
        <v>202</v>
      </c>
      <c r="D110" s="134">
        <v>687.88</v>
      </c>
      <c r="E110" s="67">
        <v>118432</v>
      </c>
      <c r="F110" s="146">
        <v>0</v>
      </c>
      <c r="G110" s="146">
        <v>0</v>
      </c>
      <c r="H110" s="91">
        <v>118432</v>
      </c>
      <c r="I110" s="67">
        <v>0</v>
      </c>
      <c r="J110" s="20">
        <v>118432</v>
      </c>
      <c r="K110" s="132" t="s">
        <v>621</v>
      </c>
      <c r="L110" s="151">
        <v>0</v>
      </c>
      <c r="M110" s="128">
        <v>687.88</v>
      </c>
      <c r="N110" s="67">
        <v>972</v>
      </c>
      <c r="O110" s="67">
        <v>119404</v>
      </c>
      <c r="P110" s="270"/>
      <c r="Q110" s="71"/>
      <c r="R110" s="449"/>
      <c r="S110" s="67">
        <v>110044</v>
      </c>
      <c r="T110" s="163">
        <v>9360</v>
      </c>
      <c r="U110" s="166">
        <v>8.5056886336374538E-2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596</v>
      </c>
      <c r="B111" s="63" t="s">
        <v>110</v>
      </c>
      <c r="C111" s="63" t="s">
        <v>111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1277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599</v>
      </c>
      <c r="B112" s="63" t="s">
        <v>76</v>
      </c>
      <c r="C112" s="63" t="s">
        <v>77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1277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603</v>
      </c>
      <c r="B113" s="66" t="s">
        <v>94</v>
      </c>
      <c r="C113" s="63" t="s">
        <v>95</v>
      </c>
      <c r="D113" s="134">
        <v>0</v>
      </c>
      <c r="E113" s="67">
        <v>0</v>
      </c>
      <c r="F113" s="146">
        <v>0</v>
      </c>
      <c r="G113" s="146">
        <v>0</v>
      </c>
      <c r="H113" s="91">
        <v>0</v>
      </c>
      <c r="I113" s="67">
        <v>0</v>
      </c>
      <c r="J113" s="20">
        <v>0</v>
      </c>
      <c r="K113" s="132" t="s">
        <v>1277</v>
      </c>
      <c r="L113" s="151">
        <v>0</v>
      </c>
      <c r="M113" s="128">
        <v>0</v>
      </c>
      <c r="N113" s="67">
        <v>0</v>
      </c>
      <c r="O113" s="67">
        <v>0</v>
      </c>
      <c r="P113" s="270"/>
      <c r="Q113" s="71"/>
      <c r="R113" s="449"/>
      <c r="S113" s="67">
        <v>0</v>
      </c>
      <c r="T113" s="163">
        <v>0</v>
      </c>
      <c r="U113" s="166">
        <v>0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599</v>
      </c>
      <c r="B114" s="63" t="s">
        <v>80</v>
      </c>
      <c r="C114" s="63" t="s">
        <v>81</v>
      </c>
      <c r="D114" s="134">
        <v>206</v>
      </c>
      <c r="E114" s="67">
        <v>35467</v>
      </c>
      <c r="F114" s="146">
        <v>0</v>
      </c>
      <c r="G114" s="146">
        <v>0</v>
      </c>
      <c r="H114" s="91">
        <v>35467</v>
      </c>
      <c r="I114" s="67">
        <v>0</v>
      </c>
      <c r="J114" s="20">
        <v>35467</v>
      </c>
      <c r="K114" s="132" t="s">
        <v>621</v>
      </c>
      <c r="L114" s="151">
        <v>0</v>
      </c>
      <c r="M114" s="128">
        <v>206</v>
      </c>
      <c r="N114" s="67">
        <v>291</v>
      </c>
      <c r="O114" s="67">
        <v>35758</v>
      </c>
      <c r="P114" s="270"/>
      <c r="Q114" s="71"/>
      <c r="R114" s="449"/>
      <c r="S114" s="67">
        <v>34024</v>
      </c>
      <c r="T114" s="163">
        <v>1734</v>
      </c>
      <c r="U114" s="166">
        <v>5.0964025393839645E-2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596</v>
      </c>
      <c r="B115" s="63" t="s">
        <v>14</v>
      </c>
      <c r="C115" s="63" t="s">
        <v>15</v>
      </c>
      <c r="D115" s="134">
        <v>1952.75</v>
      </c>
      <c r="E115" s="67">
        <v>336205</v>
      </c>
      <c r="F115" s="146">
        <v>0</v>
      </c>
      <c r="G115" s="146">
        <v>0</v>
      </c>
      <c r="H115" s="91">
        <v>336205</v>
      </c>
      <c r="I115" s="67">
        <v>0</v>
      </c>
      <c r="J115" s="20">
        <v>336205</v>
      </c>
      <c r="K115" s="132" t="s">
        <v>621</v>
      </c>
      <c r="L115" s="151">
        <v>0</v>
      </c>
      <c r="M115" s="128">
        <v>1952.75</v>
      </c>
      <c r="N115" s="67">
        <v>2760</v>
      </c>
      <c r="O115" s="67">
        <v>338965</v>
      </c>
      <c r="P115" s="270"/>
      <c r="Q115" s="71"/>
      <c r="R115" s="449"/>
      <c r="S115" s="67">
        <v>307643</v>
      </c>
      <c r="T115" s="163">
        <v>31322</v>
      </c>
      <c r="U115" s="166">
        <v>0.10181281550368447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597</v>
      </c>
      <c r="B116" s="63" t="s">
        <v>207</v>
      </c>
      <c r="C116" s="63" t="s">
        <v>208</v>
      </c>
      <c r="D116" s="134">
        <v>4398.38</v>
      </c>
      <c r="E116" s="67">
        <v>757270</v>
      </c>
      <c r="F116" s="146">
        <v>0</v>
      </c>
      <c r="G116" s="146">
        <v>0</v>
      </c>
      <c r="H116" s="91">
        <v>757270</v>
      </c>
      <c r="I116" s="67">
        <v>0</v>
      </c>
      <c r="J116" s="20">
        <v>757270</v>
      </c>
      <c r="K116" s="132" t="s">
        <v>621</v>
      </c>
      <c r="L116" s="151">
        <v>0</v>
      </c>
      <c r="M116" s="128">
        <v>4398.38</v>
      </c>
      <c r="N116" s="67">
        <v>6217</v>
      </c>
      <c r="O116" s="67">
        <v>763487</v>
      </c>
      <c r="P116" s="270"/>
      <c r="Q116" s="71"/>
      <c r="R116" s="449"/>
      <c r="S116" s="67">
        <v>712424</v>
      </c>
      <c r="T116" s="163">
        <v>51063</v>
      </c>
      <c r="U116" s="166">
        <v>7.1675013755853251E-2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603</v>
      </c>
      <c r="B117" s="63" t="s">
        <v>470</v>
      </c>
      <c r="C117" s="63" t="s">
        <v>471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20">
        <v>0</v>
      </c>
      <c r="K117" s="132" t="s">
        <v>1277</v>
      </c>
      <c r="L117" s="151">
        <v>0</v>
      </c>
      <c r="M117" s="128">
        <v>0</v>
      </c>
      <c r="N117" s="67">
        <v>0</v>
      </c>
      <c r="O117" s="67">
        <v>0</v>
      </c>
      <c r="P117" s="270"/>
      <c r="Q117" s="71"/>
      <c r="R117" s="449"/>
      <c r="S117" s="67">
        <v>0</v>
      </c>
      <c r="T117" s="163">
        <v>0</v>
      </c>
      <c r="U117" s="166">
        <v>0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596</v>
      </c>
      <c r="B118" s="63" t="s">
        <v>18</v>
      </c>
      <c r="C118" s="63" t="s">
        <v>608</v>
      </c>
      <c r="D118" s="134">
        <v>211.38</v>
      </c>
      <c r="E118" s="67">
        <v>36393</v>
      </c>
      <c r="F118" s="146">
        <v>0</v>
      </c>
      <c r="G118" s="146">
        <v>0</v>
      </c>
      <c r="H118" s="91">
        <v>36393</v>
      </c>
      <c r="I118" s="67">
        <v>0</v>
      </c>
      <c r="J118" s="20">
        <v>36393</v>
      </c>
      <c r="K118" s="132" t="s">
        <v>621</v>
      </c>
      <c r="L118" s="151">
        <v>0</v>
      </c>
      <c r="M118" s="128">
        <v>211.38</v>
      </c>
      <c r="N118" s="67">
        <v>299</v>
      </c>
      <c r="O118" s="67">
        <v>36692</v>
      </c>
      <c r="P118" s="270"/>
      <c r="Q118" s="71"/>
      <c r="R118" s="449"/>
      <c r="S118" s="67">
        <v>37063</v>
      </c>
      <c r="T118" s="163">
        <v>-371</v>
      </c>
      <c r="U118" s="166">
        <v>-1.0009983001915657E-2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605</v>
      </c>
      <c r="B119" s="63" t="s">
        <v>228</v>
      </c>
      <c r="C119" s="63" t="s">
        <v>229</v>
      </c>
      <c r="D119" s="134">
        <v>54.13</v>
      </c>
      <c r="E119" s="67">
        <v>9320</v>
      </c>
      <c r="F119" s="146">
        <v>0</v>
      </c>
      <c r="G119" s="146">
        <v>0</v>
      </c>
      <c r="H119" s="91">
        <v>9320</v>
      </c>
      <c r="I119" s="67">
        <v>0</v>
      </c>
      <c r="J119" s="20">
        <v>9320</v>
      </c>
      <c r="K119" s="132" t="s">
        <v>621</v>
      </c>
      <c r="L119" s="151">
        <v>0</v>
      </c>
      <c r="M119" s="128">
        <v>54.13</v>
      </c>
      <c r="N119" s="67">
        <v>77</v>
      </c>
      <c r="O119" s="67">
        <v>9397</v>
      </c>
      <c r="P119" s="270"/>
      <c r="Q119" s="71"/>
      <c r="R119" s="449"/>
      <c r="S119" s="67">
        <v>6674</v>
      </c>
      <c r="T119" s="163">
        <v>2723</v>
      </c>
      <c r="U119" s="166">
        <v>0.40800119868145041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599</v>
      </c>
      <c r="B120" s="63" t="s">
        <v>242</v>
      </c>
      <c r="C120" s="63" t="s">
        <v>243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20">
        <v>0</v>
      </c>
      <c r="K120" s="132" t="s">
        <v>1277</v>
      </c>
      <c r="L120" s="151">
        <v>0</v>
      </c>
      <c r="M120" s="128">
        <v>0</v>
      </c>
      <c r="N120" s="67">
        <v>0</v>
      </c>
      <c r="O120" s="67">
        <v>0</v>
      </c>
      <c r="P120" s="270"/>
      <c r="Q120" s="71"/>
      <c r="R120" s="449"/>
      <c r="S120" s="67">
        <v>0</v>
      </c>
      <c r="T120" s="163">
        <v>0</v>
      </c>
      <c r="U120" s="166">
        <v>0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595</v>
      </c>
      <c r="B121" s="63" t="s">
        <v>382</v>
      </c>
      <c r="C121" s="63" t="s">
        <v>383</v>
      </c>
      <c r="D121" s="134">
        <v>8</v>
      </c>
      <c r="E121" s="67">
        <v>1377</v>
      </c>
      <c r="F121" s="146">
        <v>0</v>
      </c>
      <c r="G121" s="146">
        <v>0</v>
      </c>
      <c r="H121" s="91">
        <v>1377</v>
      </c>
      <c r="I121" s="67">
        <v>0</v>
      </c>
      <c r="J121" s="20">
        <v>1377</v>
      </c>
      <c r="K121" s="132" t="s">
        <v>644</v>
      </c>
      <c r="L121" s="151">
        <v>1377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1829</v>
      </c>
      <c r="T121" s="163">
        <v>-1829</v>
      </c>
      <c r="U121" s="166">
        <v>-1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53</v>
      </c>
      <c r="C122" s="63" t="s">
        <v>609</v>
      </c>
      <c r="D122" s="134">
        <v>16</v>
      </c>
      <c r="E122" s="67">
        <v>2755</v>
      </c>
      <c r="F122" s="146">
        <v>0</v>
      </c>
      <c r="G122" s="146">
        <v>0</v>
      </c>
      <c r="H122" s="91">
        <v>2755</v>
      </c>
      <c r="I122" s="67">
        <v>0</v>
      </c>
      <c r="J122" s="20">
        <v>2755</v>
      </c>
      <c r="K122" s="132" t="s">
        <v>644</v>
      </c>
      <c r="L122" s="151">
        <v>2755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3" t="s">
        <v>518</v>
      </c>
      <c r="C123" s="63" t="s">
        <v>645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1277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601</v>
      </c>
      <c r="B124" s="63" t="s">
        <v>31</v>
      </c>
      <c r="C124" s="63" t="s">
        <v>32</v>
      </c>
      <c r="D124" s="134">
        <v>306</v>
      </c>
      <c r="E124" s="67">
        <v>52684</v>
      </c>
      <c r="F124" s="146">
        <v>0</v>
      </c>
      <c r="G124" s="146">
        <v>0</v>
      </c>
      <c r="H124" s="91">
        <v>52684</v>
      </c>
      <c r="I124" s="67">
        <v>0</v>
      </c>
      <c r="J124" s="20">
        <v>52684</v>
      </c>
      <c r="K124" s="132" t="s">
        <v>621</v>
      </c>
      <c r="L124" s="151">
        <v>0</v>
      </c>
      <c r="M124" s="128">
        <v>306</v>
      </c>
      <c r="N124" s="67">
        <v>433</v>
      </c>
      <c r="O124" s="67">
        <v>53117</v>
      </c>
      <c r="P124" s="270"/>
      <c r="Q124" s="71"/>
      <c r="R124" s="449"/>
      <c r="S124" s="67">
        <v>53865</v>
      </c>
      <c r="T124" s="163">
        <v>-748</v>
      </c>
      <c r="U124" s="166">
        <v>-1.3886568272533185E-2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595</v>
      </c>
      <c r="B125" s="63" t="s">
        <v>397</v>
      </c>
      <c r="C125" s="63" t="s">
        <v>398</v>
      </c>
      <c r="D125" s="134">
        <v>261.63</v>
      </c>
      <c r="E125" s="67">
        <v>45045</v>
      </c>
      <c r="F125" s="146">
        <v>0</v>
      </c>
      <c r="G125" s="146">
        <v>0</v>
      </c>
      <c r="H125" s="91">
        <v>45045</v>
      </c>
      <c r="I125" s="67">
        <v>0</v>
      </c>
      <c r="J125" s="20">
        <v>45045</v>
      </c>
      <c r="K125" s="132" t="s">
        <v>621</v>
      </c>
      <c r="L125" s="151">
        <v>0</v>
      </c>
      <c r="M125" s="128">
        <v>261.63</v>
      </c>
      <c r="N125" s="67">
        <v>370</v>
      </c>
      <c r="O125" s="67">
        <v>45415</v>
      </c>
      <c r="P125" s="270"/>
      <c r="Q125" s="71"/>
      <c r="R125" s="449"/>
      <c r="S125" s="67">
        <v>43691</v>
      </c>
      <c r="T125" s="163">
        <v>1724</v>
      </c>
      <c r="U125" s="166">
        <v>3.9458927467899564E-2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205</v>
      </c>
      <c r="C126" s="63" t="s">
        <v>206</v>
      </c>
      <c r="D126" s="134">
        <v>1395</v>
      </c>
      <c r="E126" s="67">
        <v>240177</v>
      </c>
      <c r="F126" s="146">
        <v>0</v>
      </c>
      <c r="G126" s="146">
        <v>0</v>
      </c>
      <c r="H126" s="91">
        <v>240177</v>
      </c>
      <c r="I126" s="67">
        <v>0</v>
      </c>
      <c r="J126" s="20">
        <v>240177</v>
      </c>
      <c r="K126" s="132" t="s">
        <v>621</v>
      </c>
      <c r="L126" s="151">
        <v>0</v>
      </c>
      <c r="M126" s="128">
        <v>1395</v>
      </c>
      <c r="N126" s="67">
        <v>1972</v>
      </c>
      <c r="O126" s="67">
        <v>242149</v>
      </c>
      <c r="P126" s="270"/>
      <c r="Q126" s="71"/>
      <c r="R126" s="449"/>
      <c r="S126" s="67">
        <v>226075</v>
      </c>
      <c r="T126" s="163">
        <v>16074</v>
      </c>
      <c r="U126" s="166">
        <v>7.1100298573482254E-2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595</v>
      </c>
      <c r="B127" s="63" t="s">
        <v>413</v>
      </c>
      <c r="C127" s="63" t="s">
        <v>414</v>
      </c>
      <c r="D127" s="134">
        <v>70.75</v>
      </c>
      <c r="E127" s="67">
        <v>12181</v>
      </c>
      <c r="F127" s="146">
        <v>0</v>
      </c>
      <c r="G127" s="146">
        <v>0</v>
      </c>
      <c r="H127" s="91">
        <v>12181</v>
      </c>
      <c r="I127" s="67">
        <v>0</v>
      </c>
      <c r="J127" s="20">
        <v>12181</v>
      </c>
      <c r="K127" s="132" t="s">
        <v>621</v>
      </c>
      <c r="L127" s="151">
        <v>0</v>
      </c>
      <c r="M127" s="128">
        <v>70.75</v>
      </c>
      <c r="N127" s="67">
        <v>100</v>
      </c>
      <c r="O127" s="67">
        <v>12281</v>
      </c>
      <c r="P127" s="270"/>
      <c r="Q127" s="71"/>
      <c r="R127" s="449"/>
      <c r="S127" s="67">
        <v>11518</v>
      </c>
      <c r="T127" s="163">
        <v>763</v>
      </c>
      <c r="U127" s="166">
        <v>6.6244139607570765E-2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603</v>
      </c>
      <c r="B128" s="63" t="s">
        <v>519</v>
      </c>
      <c r="C128" s="63" t="s">
        <v>520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20">
        <v>0</v>
      </c>
      <c r="K128" s="132" t="s">
        <v>1277</v>
      </c>
      <c r="L128" s="151">
        <v>0</v>
      </c>
      <c r="M128" s="128">
        <v>0</v>
      </c>
      <c r="N128" s="67">
        <v>0</v>
      </c>
      <c r="O128" s="67">
        <v>0</v>
      </c>
      <c r="P128" s="270"/>
      <c r="Q128" s="71"/>
      <c r="R128" s="449"/>
      <c r="S128" s="67">
        <v>0</v>
      </c>
      <c r="T128" s="163">
        <v>0</v>
      </c>
      <c r="U128" s="166">
        <v>0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603</v>
      </c>
      <c r="B129" s="63" t="s">
        <v>441</v>
      </c>
      <c r="C129" s="63" t="s">
        <v>442</v>
      </c>
      <c r="D129" s="134">
        <v>0</v>
      </c>
      <c r="E129" s="67">
        <v>0</v>
      </c>
      <c r="F129" s="146">
        <v>0</v>
      </c>
      <c r="G129" s="146">
        <v>0</v>
      </c>
      <c r="H129" s="91">
        <v>0</v>
      </c>
      <c r="I129" s="67">
        <v>0</v>
      </c>
      <c r="J129" s="20">
        <v>0</v>
      </c>
      <c r="K129" s="132" t="s">
        <v>1277</v>
      </c>
      <c r="L129" s="151">
        <v>0</v>
      </c>
      <c r="M129" s="128">
        <v>0</v>
      </c>
      <c r="N129" s="67">
        <v>0</v>
      </c>
      <c r="O129" s="67">
        <v>0</v>
      </c>
      <c r="P129" s="270"/>
      <c r="Q129" s="71"/>
      <c r="R129" s="449"/>
      <c r="S129" s="67">
        <v>0</v>
      </c>
      <c r="T129" s="163">
        <v>0</v>
      </c>
      <c r="U129" s="166">
        <v>0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603</v>
      </c>
      <c r="B130" s="63" t="s">
        <v>6</v>
      </c>
      <c r="C130" s="63" t="s">
        <v>7</v>
      </c>
      <c r="D130" s="134">
        <v>24.13</v>
      </c>
      <c r="E130" s="67">
        <v>4154</v>
      </c>
      <c r="F130" s="146">
        <v>0</v>
      </c>
      <c r="G130" s="146">
        <v>0</v>
      </c>
      <c r="H130" s="91">
        <v>4154</v>
      </c>
      <c r="I130" s="67">
        <v>0</v>
      </c>
      <c r="J130" s="20">
        <v>4154</v>
      </c>
      <c r="K130" s="132" t="s">
        <v>644</v>
      </c>
      <c r="L130" s="151">
        <v>4154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599</v>
      </c>
      <c r="B131" s="63" t="s">
        <v>70</v>
      </c>
      <c r="C131" s="63" t="s">
        <v>71</v>
      </c>
      <c r="D131" s="134">
        <v>341.63</v>
      </c>
      <c r="E131" s="67">
        <v>58818</v>
      </c>
      <c r="F131" s="146">
        <v>0</v>
      </c>
      <c r="G131" s="146">
        <v>0</v>
      </c>
      <c r="H131" s="91">
        <v>58818</v>
      </c>
      <c r="I131" s="67">
        <v>0</v>
      </c>
      <c r="J131" s="20">
        <v>58818</v>
      </c>
      <c r="K131" s="132" t="s">
        <v>621</v>
      </c>
      <c r="L131" s="151">
        <v>0</v>
      </c>
      <c r="M131" s="128">
        <v>341.63</v>
      </c>
      <c r="N131" s="67">
        <v>483</v>
      </c>
      <c r="O131" s="67">
        <v>59301</v>
      </c>
      <c r="P131" s="270"/>
      <c r="Q131" s="71"/>
      <c r="R131" s="449"/>
      <c r="S131" s="67">
        <v>54416</v>
      </c>
      <c r="T131" s="163">
        <v>4885</v>
      </c>
      <c r="U131" s="166">
        <v>8.9771390767421341E-2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603</v>
      </c>
      <c r="B132" s="63" t="s">
        <v>458</v>
      </c>
      <c r="C132" s="63" t="s">
        <v>459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20">
        <v>0</v>
      </c>
      <c r="K132" s="132" t="s">
        <v>1277</v>
      </c>
      <c r="L132" s="151">
        <v>0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0</v>
      </c>
      <c r="T132" s="163">
        <v>0</v>
      </c>
      <c r="U132" s="166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595</v>
      </c>
      <c r="B133" s="63" t="s">
        <v>373</v>
      </c>
      <c r="C133" s="63" t="s">
        <v>374</v>
      </c>
      <c r="D133" s="134">
        <v>5.38</v>
      </c>
      <c r="E133" s="67">
        <v>926</v>
      </c>
      <c r="F133" s="146">
        <v>0</v>
      </c>
      <c r="G133" s="146">
        <v>0</v>
      </c>
      <c r="H133" s="91">
        <v>926</v>
      </c>
      <c r="I133" s="67">
        <v>0</v>
      </c>
      <c r="J133" s="20">
        <v>926</v>
      </c>
      <c r="K133" s="132" t="s">
        <v>644</v>
      </c>
      <c r="L133" s="151">
        <v>926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596</v>
      </c>
      <c r="T133" s="163">
        <v>-596</v>
      </c>
      <c r="U133" s="166">
        <v>-1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599</v>
      </c>
      <c r="B134" s="63" t="s">
        <v>250</v>
      </c>
      <c r="C134" s="63" t="s">
        <v>251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20">
        <v>0</v>
      </c>
      <c r="K134" s="132" t="s">
        <v>1277</v>
      </c>
      <c r="L134" s="151">
        <v>0</v>
      </c>
      <c r="M134" s="128">
        <v>0</v>
      </c>
      <c r="N134" s="67">
        <v>0</v>
      </c>
      <c r="O134" s="67">
        <v>0</v>
      </c>
      <c r="P134" s="270"/>
      <c r="Q134" s="71"/>
      <c r="R134" s="449"/>
      <c r="S134" s="67">
        <v>0</v>
      </c>
      <c r="T134" s="163">
        <v>0</v>
      </c>
      <c r="U134" s="166">
        <v>0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510</v>
      </c>
      <c r="C135" s="63" t="s">
        <v>511</v>
      </c>
      <c r="D135" s="134">
        <v>231.38</v>
      </c>
      <c r="E135" s="67">
        <v>39837</v>
      </c>
      <c r="F135" s="146">
        <v>0</v>
      </c>
      <c r="G135" s="146">
        <v>0</v>
      </c>
      <c r="H135" s="91">
        <v>39837</v>
      </c>
      <c r="I135" s="67">
        <v>0</v>
      </c>
      <c r="J135" s="20">
        <v>39837</v>
      </c>
      <c r="K135" s="132" t="s">
        <v>621</v>
      </c>
      <c r="L135" s="151">
        <v>0</v>
      </c>
      <c r="M135" s="128">
        <v>231.38</v>
      </c>
      <c r="N135" s="67">
        <v>327</v>
      </c>
      <c r="O135" s="67">
        <v>40164</v>
      </c>
      <c r="P135" s="270"/>
      <c r="Q135" s="71"/>
      <c r="R135" s="449"/>
      <c r="S135" s="67">
        <v>41489</v>
      </c>
      <c r="T135" s="163">
        <v>-1325</v>
      </c>
      <c r="U135" s="166">
        <v>-3.193617585384078E-2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605</v>
      </c>
      <c r="B136" s="63" t="s">
        <v>553</v>
      </c>
      <c r="C136" s="63" t="s">
        <v>554</v>
      </c>
      <c r="D136" s="134">
        <v>373</v>
      </c>
      <c r="E136" s="67">
        <v>64219</v>
      </c>
      <c r="F136" s="146">
        <v>0</v>
      </c>
      <c r="G136" s="146">
        <v>0</v>
      </c>
      <c r="H136" s="91">
        <v>64219</v>
      </c>
      <c r="I136" s="67">
        <v>0</v>
      </c>
      <c r="J136" s="20">
        <v>64219</v>
      </c>
      <c r="K136" s="132" t="s">
        <v>621</v>
      </c>
      <c r="L136" s="151">
        <v>0</v>
      </c>
      <c r="M136" s="128">
        <v>373</v>
      </c>
      <c r="N136" s="67">
        <v>527</v>
      </c>
      <c r="O136" s="67">
        <v>64746</v>
      </c>
      <c r="P136" s="270"/>
      <c r="Q136" s="71"/>
      <c r="R136" s="449"/>
      <c r="S136" s="67">
        <v>64282</v>
      </c>
      <c r="T136" s="163">
        <v>464</v>
      </c>
      <c r="U136" s="166">
        <v>7.2181948290345665E-3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601</v>
      </c>
      <c r="B137" s="63" t="s">
        <v>90</v>
      </c>
      <c r="C137" s="63" t="s">
        <v>91</v>
      </c>
      <c r="D137" s="134">
        <v>0</v>
      </c>
      <c r="E137" s="67">
        <v>0</v>
      </c>
      <c r="F137" s="146">
        <v>0</v>
      </c>
      <c r="G137" s="146">
        <v>0</v>
      </c>
      <c r="H137" s="91">
        <v>0</v>
      </c>
      <c r="I137" s="67">
        <v>0</v>
      </c>
      <c r="J137" s="20">
        <v>0</v>
      </c>
      <c r="K137" s="132" t="s">
        <v>1277</v>
      </c>
      <c r="L137" s="151">
        <v>0</v>
      </c>
      <c r="M137" s="128">
        <v>0</v>
      </c>
      <c r="N137" s="67">
        <v>0</v>
      </c>
      <c r="O137" s="67">
        <v>0</v>
      </c>
      <c r="P137" s="270"/>
      <c r="Q137" s="71"/>
      <c r="R137" s="449"/>
      <c r="S137" s="67">
        <v>0</v>
      </c>
      <c r="T137" s="163">
        <v>0</v>
      </c>
      <c r="U137" s="166">
        <v>0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601</v>
      </c>
      <c r="B138" s="63" t="s">
        <v>25</v>
      </c>
      <c r="C138" s="63" t="s">
        <v>26</v>
      </c>
      <c r="D138" s="134">
        <v>197.13</v>
      </c>
      <c r="E138" s="67">
        <v>33940</v>
      </c>
      <c r="F138" s="146">
        <v>0</v>
      </c>
      <c r="G138" s="146">
        <v>0</v>
      </c>
      <c r="H138" s="91">
        <v>33940</v>
      </c>
      <c r="I138" s="67">
        <v>0</v>
      </c>
      <c r="J138" s="20">
        <v>33940</v>
      </c>
      <c r="K138" s="132" t="s">
        <v>621</v>
      </c>
      <c r="L138" s="151">
        <v>0</v>
      </c>
      <c r="M138" s="128">
        <v>197.13</v>
      </c>
      <c r="N138" s="67">
        <v>279</v>
      </c>
      <c r="O138" s="67">
        <v>34219</v>
      </c>
      <c r="P138" s="270"/>
      <c r="Q138" s="71"/>
      <c r="R138" s="449"/>
      <c r="S138" s="67">
        <v>35015</v>
      </c>
      <c r="T138" s="163">
        <v>-796</v>
      </c>
      <c r="U138" s="166">
        <v>-2.2733114379551621E-2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594</v>
      </c>
      <c r="B139" s="63" t="s">
        <v>301</v>
      </c>
      <c r="C139" s="63" t="s">
        <v>302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1277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466</v>
      </c>
      <c r="C140" s="63" t="s">
        <v>467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1277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595</v>
      </c>
      <c r="B141" s="63" t="s">
        <v>405</v>
      </c>
      <c r="C141" s="63" t="s">
        <v>406</v>
      </c>
      <c r="D141" s="134">
        <v>751.38</v>
      </c>
      <c r="E141" s="67">
        <v>129365</v>
      </c>
      <c r="F141" s="146">
        <v>0</v>
      </c>
      <c r="G141" s="146">
        <v>0</v>
      </c>
      <c r="H141" s="91">
        <v>129365</v>
      </c>
      <c r="I141" s="67">
        <v>0</v>
      </c>
      <c r="J141" s="20">
        <v>129365</v>
      </c>
      <c r="K141" s="132" t="s">
        <v>621</v>
      </c>
      <c r="L141" s="151">
        <v>0</v>
      </c>
      <c r="M141" s="128">
        <v>751.38</v>
      </c>
      <c r="N141" s="67">
        <v>1062</v>
      </c>
      <c r="O141" s="67">
        <v>130427</v>
      </c>
      <c r="P141" s="270"/>
      <c r="Q141" s="71"/>
      <c r="R141" s="449"/>
      <c r="S141" s="67">
        <v>130127</v>
      </c>
      <c r="T141" s="163">
        <v>300</v>
      </c>
      <c r="U141" s="166">
        <v>2.3054400700853782E-3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594</v>
      </c>
      <c r="B142" s="63" t="s">
        <v>138</v>
      </c>
      <c r="C142" s="63" t="s">
        <v>656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20">
        <v>0</v>
      </c>
      <c r="K142" s="132" t="s">
        <v>1277</v>
      </c>
      <c r="L142" s="151">
        <v>0</v>
      </c>
      <c r="M142" s="128">
        <v>0</v>
      </c>
      <c r="N142" s="67">
        <v>0</v>
      </c>
      <c r="O142" s="67">
        <v>0</v>
      </c>
      <c r="P142" s="270"/>
      <c r="Q142" s="71"/>
      <c r="R142" s="449"/>
      <c r="S142" s="67">
        <v>0</v>
      </c>
      <c r="T142" s="163">
        <v>0</v>
      </c>
      <c r="U142" s="166">
        <v>0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432</v>
      </c>
      <c r="C143" s="63" t="s">
        <v>433</v>
      </c>
      <c r="D143" s="134">
        <v>195.75</v>
      </c>
      <c r="E143" s="67">
        <v>33702</v>
      </c>
      <c r="F143" s="146">
        <v>0</v>
      </c>
      <c r="G143" s="146">
        <v>0</v>
      </c>
      <c r="H143" s="91">
        <v>33702</v>
      </c>
      <c r="I143" s="67">
        <v>0</v>
      </c>
      <c r="J143" s="20">
        <v>33702</v>
      </c>
      <c r="K143" s="132" t="s">
        <v>621</v>
      </c>
      <c r="L143" s="151">
        <v>0</v>
      </c>
      <c r="M143" s="128">
        <v>195.75</v>
      </c>
      <c r="N143" s="67">
        <v>277</v>
      </c>
      <c r="O143" s="67">
        <v>33979</v>
      </c>
      <c r="P143" s="270"/>
      <c r="Q143" s="71"/>
      <c r="R143" s="449"/>
      <c r="S143" s="67">
        <v>25149</v>
      </c>
      <c r="T143" s="163">
        <v>8830</v>
      </c>
      <c r="U143" s="166">
        <v>0.35110739989661616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603</v>
      </c>
      <c r="B144" s="63" t="s">
        <v>430</v>
      </c>
      <c r="C144" s="63" t="s">
        <v>431</v>
      </c>
      <c r="D144" s="134">
        <v>8</v>
      </c>
      <c r="E144" s="67">
        <v>1377</v>
      </c>
      <c r="F144" s="146">
        <v>0</v>
      </c>
      <c r="G144" s="146">
        <v>0</v>
      </c>
      <c r="H144" s="91">
        <v>1377</v>
      </c>
      <c r="I144" s="67">
        <v>0</v>
      </c>
      <c r="J144" s="20">
        <v>1377</v>
      </c>
      <c r="K144" s="132" t="s">
        <v>621</v>
      </c>
      <c r="L144" s="151">
        <v>0</v>
      </c>
      <c r="M144" s="128">
        <v>8</v>
      </c>
      <c r="N144" s="67">
        <v>11</v>
      </c>
      <c r="O144" s="67">
        <v>1388</v>
      </c>
      <c r="P144" s="270"/>
      <c r="Q144" s="71"/>
      <c r="R144" s="449"/>
      <c r="S144" s="67">
        <v>0</v>
      </c>
      <c r="T144" s="163">
        <v>1388</v>
      </c>
      <c r="U144" s="166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597</v>
      </c>
      <c r="B145" s="63" t="s">
        <v>179</v>
      </c>
      <c r="C145" s="63" t="s">
        <v>180</v>
      </c>
      <c r="D145" s="134">
        <v>91.63</v>
      </c>
      <c r="E145" s="88">
        <v>15776</v>
      </c>
      <c r="F145" s="146">
        <v>0</v>
      </c>
      <c r="G145" s="146">
        <v>0</v>
      </c>
      <c r="H145" s="91">
        <v>15776</v>
      </c>
      <c r="I145" s="67">
        <v>0</v>
      </c>
      <c r="J145" s="20">
        <v>15776</v>
      </c>
      <c r="K145" s="132" t="s">
        <v>621</v>
      </c>
      <c r="L145" s="151">
        <v>0</v>
      </c>
      <c r="M145" s="128">
        <v>91.63</v>
      </c>
      <c r="N145" s="67">
        <v>130</v>
      </c>
      <c r="O145" s="67">
        <v>15906</v>
      </c>
      <c r="P145" s="270"/>
      <c r="Q145" s="71"/>
      <c r="R145" s="449"/>
      <c r="S145" s="67">
        <v>13016</v>
      </c>
      <c r="T145" s="163">
        <v>2890</v>
      </c>
      <c r="U145" s="166">
        <v>0.22203441917639827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512</v>
      </c>
      <c r="C146" s="63" t="s">
        <v>513</v>
      </c>
      <c r="D146" s="134">
        <v>125.5</v>
      </c>
      <c r="E146" s="67">
        <v>21607</v>
      </c>
      <c r="F146" s="146">
        <v>0</v>
      </c>
      <c r="G146" s="146">
        <v>0</v>
      </c>
      <c r="H146" s="91">
        <v>21607</v>
      </c>
      <c r="I146" s="67">
        <v>0</v>
      </c>
      <c r="J146" s="20">
        <v>21607</v>
      </c>
      <c r="K146" s="132" t="s">
        <v>621</v>
      </c>
      <c r="L146" s="151">
        <v>0</v>
      </c>
      <c r="M146" s="128">
        <v>125.5</v>
      </c>
      <c r="N146" s="67">
        <v>177</v>
      </c>
      <c r="O146" s="67">
        <v>21784</v>
      </c>
      <c r="P146" s="270"/>
      <c r="Q146" s="71"/>
      <c r="R146" s="449"/>
      <c r="S146" s="67">
        <v>18786</v>
      </c>
      <c r="T146" s="163">
        <v>2998</v>
      </c>
      <c r="U146" s="166">
        <v>0.15958692643457895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601</v>
      </c>
      <c r="B147" s="63" t="s">
        <v>319</v>
      </c>
      <c r="C147" s="63" t="s">
        <v>320</v>
      </c>
      <c r="D147" s="134">
        <v>7</v>
      </c>
      <c r="E147" s="67">
        <v>1205</v>
      </c>
      <c r="F147" s="146">
        <v>0</v>
      </c>
      <c r="G147" s="146">
        <v>0</v>
      </c>
      <c r="H147" s="91">
        <v>1205</v>
      </c>
      <c r="I147" s="67">
        <v>0</v>
      </c>
      <c r="J147" s="20">
        <v>1205</v>
      </c>
      <c r="K147" s="132" t="s">
        <v>621</v>
      </c>
      <c r="L147" s="151">
        <v>0</v>
      </c>
      <c r="M147" s="128">
        <v>7</v>
      </c>
      <c r="N147" s="67">
        <v>10</v>
      </c>
      <c r="O147" s="67">
        <v>1215</v>
      </c>
      <c r="P147" s="270"/>
      <c r="Q147" s="71"/>
      <c r="R147" s="449"/>
      <c r="S147" s="67">
        <v>0</v>
      </c>
      <c r="T147" s="163">
        <v>1215</v>
      </c>
      <c r="U147" s="166">
        <v>0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599</v>
      </c>
      <c r="B148" s="63" t="s">
        <v>391</v>
      </c>
      <c r="C148" s="63" t="s">
        <v>392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1277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595</v>
      </c>
      <c r="B149" s="63" t="s">
        <v>409</v>
      </c>
      <c r="C149" s="63" t="s">
        <v>410</v>
      </c>
      <c r="D149" s="134">
        <v>450.75</v>
      </c>
      <c r="E149" s="67">
        <v>77606</v>
      </c>
      <c r="F149" s="146">
        <v>0</v>
      </c>
      <c r="G149" s="146">
        <v>0</v>
      </c>
      <c r="H149" s="91">
        <v>77606</v>
      </c>
      <c r="I149" s="67">
        <v>0</v>
      </c>
      <c r="J149" s="20">
        <v>77606</v>
      </c>
      <c r="K149" s="132" t="s">
        <v>621</v>
      </c>
      <c r="L149" s="151">
        <v>0</v>
      </c>
      <c r="M149" s="128">
        <v>450.75</v>
      </c>
      <c r="N149" s="67">
        <v>637</v>
      </c>
      <c r="O149" s="67">
        <v>78243</v>
      </c>
      <c r="P149" s="270"/>
      <c r="Q149" s="71"/>
      <c r="R149" s="449"/>
      <c r="S149" s="67">
        <v>74213</v>
      </c>
      <c r="T149" s="163">
        <v>4030</v>
      </c>
      <c r="U149" s="166">
        <v>5.4303154433859295E-2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139</v>
      </c>
      <c r="C150" s="63" t="s">
        <v>140</v>
      </c>
      <c r="D150" s="134">
        <v>18.88</v>
      </c>
      <c r="E150" s="67">
        <v>3251</v>
      </c>
      <c r="F150" s="146">
        <v>0</v>
      </c>
      <c r="G150" s="146">
        <v>0</v>
      </c>
      <c r="H150" s="91">
        <v>3251</v>
      </c>
      <c r="I150" s="67">
        <v>0</v>
      </c>
      <c r="J150" s="20">
        <v>3251</v>
      </c>
      <c r="K150" s="132" t="s">
        <v>644</v>
      </c>
      <c r="L150" s="151">
        <v>3251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3039</v>
      </c>
      <c r="T150" s="163">
        <v>-3039</v>
      </c>
      <c r="U150" s="166">
        <v>-1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594</v>
      </c>
      <c r="B151" s="63" t="s">
        <v>260</v>
      </c>
      <c r="C151" s="63" t="s">
        <v>261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1277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601</v>
      </c>
      <c r="B152" s="63" t="s">
        <v>125</v>
      </c>
      <c r="C152" s="63" t="s">
        <v>126</v>
      </c>
      <c r="D152" s="134">
        <v>668.13</v>
      </c>
      <c r="E152" s="67">
        <v>115032</v>
      </c>
      <c r="F152" s="146">
        <v>0</v>
      </c>
      <c r="G152" s="146">
        <v>0</v>
      </c>
      <c r="H152" s="91">
        <v>115032</v>
      </c>
      <c r="I152" s="67">
        <v>0</v>
      </c>
      <c r="J152" s="20">
        <v>115032</v>
      </c>
      <c r="K152" s="132" t="s">
        <v>621</v>
      </c>
      <c r="L152" s="151">
        <v>0</v>
      </c>
      <c r="M152" s="128">
        <v>668.13</v>
      </c>
      <c r="N152" s="67">
        <v>944</v>
      </c>
      <c r="O152" s="67">
        <v>115976</v>
      </c>
      <c r="P152" s="270"/>
      <c r="Q152" s="71"/>
      <c r="R152" s="449"/>
      <c r="S152" s="67">
        <v>109339</v>
      </c>
      <c r="T152" s="163">
        <v>6637</v>
      </c>
      <c r="U152" s="166">
        <v>6.0701122197934866E-2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258</v>
      </c>
      <c r="C153" s="63" t="s">
        <v>259</v>
      </c>
      <c r="D153" s="134">
        <v>37.75</v>
      </c>
      <c r="E153" s="67">
        <v>6499</v>
      </c>
      <c r="F153" s="146">
        <v>0</v>
      </c>
      <c r="G153" s="146">
        <v>0</v>
      </c>
      <c r="H153" s="91">
        <v>6499</v>
      </c>
      <c r="I153" s="67">
        <v>0</v>
      </c>
      <c r="J153" s="20">
        <v>6499</v>
      </c>
      <c r="K153" s="132" t="s">
        <v>621</v>
      </c>
      <c r="L153" s="151">
        <v>0</v>
      </c>
      <c r="M153" s="128">
        <v>37.75</v>
      </c>
      <c r="N153" s="67">
        <v>53</v>
      </c>
      <c r="O153" s="67">
        <v>6552</v>
      </c>
      <c r="P153" s="270"/>
      <c r="Q153" s="71"/>
      <c r="R153" s="449"/>
      <c r="S153" s="67">
        <v>6210</v>
      </c>
      <c r="T153" s="163">
        <v>342</v>
      </c>
      <c r="U153" s="166">
        <v>5.5072463768115941E-2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605</v>
      </c>
      <c r="B154" s="63" t="s">
        <v>571</v>
      </c>
      <c r="C154" s="63" t="s">
        <v>572</v>
      </c>
      <c r="D154" s="134">
        <v>268.38</v>
      </c>
      <c r="E154" s="67">
        <v>46207</v>
      </c>
      <c r="F154" s="146">
        <v>0</v>
      </c>
      <c r="G154" s="146">
        <v>0</v>
      </c>
      <c r="H154" s="91">
        <v>46207</v>
      </c>
      <c r="I154" s="67">
        <v>0</v>
      </c>
      <c r="J154" s="20">
        <v>46207</v>
      </c>
      <c r="K154" s="132" t="s">
        <v>621</v>
      </c>
      <c r="L154" s="151">
        <v>0</v>
      </c>
      <c r="M154" s="128">
        <v>268.38</v>
      </c>
      <c r="N154" s="67">
        <v>379</v>
      </c>
      <c r="O154" s="67">
        <v>46586</v>
      </c>
      <c r="P154" s="270"/>
      <c r="Q154" s="71"/>
      <c r="R154" s="449"/>
      <c r="S154" s="67">
        <v>21581</v>
      </c>
      <c r="T154" s="163">
        <v>25005</v>
      </c>
      <c r="U154" s="166">
        <v>1.1586580788656689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595</v>
      </c>
      <c r="B155" s="63" t="s">
        <v>516</v>
      </c>
      <c r="C155" s="63" t="s">
        <v>517</v>
      </c>
      <c r="D155" s="134">
        <v>129.5</v>
      </c>
      <c r="E155" s="67">
        <v>22296</v>
      </c>
      <c r="F155" s="146">
        <v>0</v>
      </c>
      <c r="G155" s="146">
        <v>0</v>
      </c>
      <c r="H155" s="91">
        <v>22296</v>
      </c>
      <c r="I155" s="67">
        <v>0</v>
      </c>
      <c r="J155" s="20">
        <v>22296</v>
      </c>
      <c r="K155" s="132" t="s">
        <v>621</v>
      </c>
      <c r="L155" s="151">
        <v>0</v>
      </c>
      <c r="M155" s="128">
        <v>129.5</v>
      </c>
      <c r="N155" s="67">
        <v>183</v>
      </c>
      <c r="O155" s="67">
        <v>22479</v>
      </c>
      <c r="P155" s="270"/>
      <c r="Q155" s="71"/>
      <c r="R155" s="449"/>
      <c r="S155" s="67">
        <v>23167</v>
      </c>
      <c r="T155" s="163">
        <v>-688</v>
      </c>
      <c r="U155" s="166">
        <v>-2.9697414425691716E-2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599</v>
      </c>
      <c r="B156" s="63" t="s">
        <v>389</v>
      </c>
      <c r="C156" s="63" t="s">
        <v>390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20">
        <v>0</v>
      </c>
      <c r="K156" s="132" t="s">
        <v>1277</v>
      </c>
      <c r="L156" s="151">
        <v>0</v>
      </c>
      <c r="M156" s="128">
        <v>0</v>
      </c>
      <c r="N156" s="67">
        <v>0</v>
      </c>
      <c r="O156" s="67">
        <v>0</v>
      </c>
      <c r="P156" s="270"/>
      <c r="Q156" s="71"/>
      <c r="R156" s="449"/>
      <c r="S156" s="67">
        <v>0</v>
      </c>
      <c r="T156" s="163">
        <v>0</v>
      </c>
      <c r="U156" s="166">
        <v>0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386</v>
      </c>
      <c r="C157" s="63" t="s">
        <v>610</v>
      </c>
      <c r="D157" s="134">
        <v>1569.38</v>
      </c>
      <c r="E157" s="67">
        <v>270200</v>
      </c>
      <c r="F157" s="146">
        <v>0</v>
      </c>
      <c r="G157" s="146">
        <v>0</v>
      </c>
      <c r="H157" s="91">
        <v>270200</v>
      </c>
      <c r="I157" s="67">
        <v>0</v>
      </c>
      <c r="J157" s="20">
        <v>270200</v>
      </c>
      <c r="K157" s="132" t="s">
        <v>621</v>
      </c>
      <c r="L157" s="151">
        <v>0</v>
      </c>
      <c r="M157" s="128">
        <v>1569.38</v>
      </c>
      <c r="N157" s="67">
        <v>2218</v>
      </c>
      <c r="O157" s="67">
        <v>272418</v>
      </c>
      <c r="P157" s="270"/>
      <c r="Q157" s="71"/>
      <c r="R157" s="449"/>
      <c r="S157" s="67">
        <v>255892</v>
      </c>
      <c r="T157" s="163">
        <v>16526</v>
      </c>
      <c r="U157" s="166">
        <v>6.4581933002985634E-2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595</v>
      </c>
      <c r="B158" s="63" t="s">
        <v>399</v>
      </c>
      <c r="C158" s="63" t="s">
        <v>400</v>
      </c>
      <c r="D158" s="134">
        <v>2392.5</v>
      </c>
      <c r="E158" s="67">
        <v>411917</v>
      </c>
      <c r="F158" s="146">
        <v>0</v>
      </c>
      <c r="G158" s="146">
        <v>0</v>
      </c>
      <c r="H158" s="91">
        <v>411917</v>
      </c>
      <c r="I158" s="67">
        <v>0</v>
      </c>
      <c r="J158" s="20">
        <v>411917</v>
      </c>
      <c r="K158" s="132" t="s">
        <v>621</v>
      </c>
      <c r="L158" s="151">
        <v>0</v>
      </c>
      <c r="M158" s="128">
        <v>2392.5</v>
      </c>
      <c r="N158" s="67">
        <v>3382</v>
      </c>
      <c r="O158" s="67">
        <v>415299</v>
      </c>
      <c r="P158" s="270"/>
      <c r="Q158" s="71"/>
      <c r="R158" s="449"/>
      <c r="S158" s="67">
        <v>384521</v>
      </c>
      <c r="T158" s="163">
        <v>30778</v>
      </c>
      <c r="U158" s="166">
        <v>8.0042442415368731E-2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605</v>
      </c>
      <c r="B159" s="63" t="s">
        <v>545</v>
      </c>
      <c r="C159" s="63" t="s">
        <v>546</v>
      </c>
      <c r="D159" s="134">
        <v>69.63</v>
      </c>
      <c r="E159" s="67">
        <v>11988</v>
      </c>
      <c r="F159" s="146">
        <v>0</v>
      </c>
      <c r="G159" s="146">
        <v>0</v>
      </c>
      <c r="H159" s="91">
        <v>11988</v>
      </c>
      <c r="I159" s="67">
        <v>0</v>
      </c>
      <c r="J159" s="20">
        <v>11988</v>
      </c>
      <c r="K159" s="132" t="s">
        <v>621</v>
      </c>
      <c r="L159" s="151">
        <v>0</v>
      </c>
      <c r="M159" s="128">
        <v>69.63</v>
      </c>
      <c r="N159" s="67">
        <v>98</v>
      </c>
      <c r="O159" s="67">
        <v>12086</v>
      </c>
      <c r="P159" s="270"/>
      <c r="Q159" s="71"/>
      <c r="R159" s="449"/>
      <c r="S159" s="67">
        <v>11187</v>
      </c>
      <c r="T159" s="163">
        <v>899</v>
      </c>
      <c r="U159" s="166">
        <v>8.036113345847859E-2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594</v>
      </c>
      <c r="B160" s="63" t="s">
        <v>252</v>
      </c>
      <c r="C160" s="63" t="s">
        <v>253</v>
      </c>
      <c r="D160" s="134">
        <v>2</v>
      </c>
      <c r="E160" s="67">
        <v>344</v>
      </c>
      <c r="F160" s="146">
        <v>0</v>
      </c>
      <c r="G160" s="146">
        <v>0</v>
      </c>
      <c r="H160" s="91">
        <v>344</v>
      </c>
      <c r="I160" s="67">
        <v>0</v>
      </c>
      <c r="J160" s="20">
        <v>344</v>
      </c>
      <c r="K160" s="132" t="s">
        <v>1278</v>
      </c>
      <c r="L160" s="151">
        <v>344</v>
      </c>
      <c r="M160" s="128">
        <v>0</v>
      </c>
      <c r="N160" s="67">
        <v>0</v>
      </c>
      <c r="O160" s="67">
        <v>0</v>
      </c>
      <c r="P160" s="270"/>
      <c r="Q160" s="71"/>
      <c r="R160" s="449"/>
      <c r="S160" s="67">
        <v>0</v>
      </c>
      <c r="T160" s="163">
        <v>0</v>
      </c>
      <c r="U160" s="166">
        <v>0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599</v>
      </c>
      <c r="B161" s="63" t="s">
        <v>331</v>
      </c>
      <c r="C161" s="63" t="s">
        <v>611</v>
      </c>
      <c r="D161" s="134">
        <v>5</v>
      </c>
      <c r="E161" s="67">
        <v>861</v>
      </c>
      <c r="F161" s="146">
        <v>0</v>
      </c>
      <c r="G161" s="146">
        <v>0</v>
      </c>
      <c r="H161" s="91">
        <v>861</v>
      </c>
      <c r="I161" s="67">
        <v>0</v>
      </c>
      <c r="J161" s="20">
        <v>861</v>
      </c>
      <c r="K161" s="132" t="s">
        <v>1278</v>
      </c>
      <c r="L161" s="151">
        <v>861</v>
      </c>
      <c r="M161" s="128">
        <v>0</v>
      </c>
      <c r="N161" s="67">
        <v>0</v>
      </c>
      <c r="O161" s="67">
        <v>0</v>
      </c>
      <c r="P161" s="270"/>
      <c r="Q161" s="71"/>
      <c r="R161" s="449"/>
      <c r="S161" s="67">
        <v>0</v>
      </c>
      <c r="T161" s="163">
        <v>0</v>
      </c>
      <c r="U161" s="166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601</v>
      </c>
      <c r="B162" s="63" t="s">
        <v>309</v>
      </c>
      <c r="C162" s="63" t="s">
        <v>310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1277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603</v>
      </c>
      <c r="B163" s="63" t="s">
        <v>336</v>
      </c>
      <c r="C163" s="63" t="s">
        <v>337</v>
      </c>
      <c r="D163" s="134">
        <v>0</v>
      </c>
      <c r="E163" s="67">
        <v>0</v>
      </c>
      <c r="F163" s="146">
        <v>0</v>
      </c>
      <c r="G163" s="146">
        <v>0</v>
      </c>
      <c r="H163" s="91">
        <v>0</v>
      </c>
      <c r="I163" s="67">
        <v>0</v>
      </c>
      <c r="J163" s="20">
        <v>0</v>
      </c>
      <c r="K163" s="132" t="s">
        <v>1277</v>
      </c>
      <c r="L163" s="151">
        <v>0</v>
      </c>
      <c r="M163" s="128">
        <v>0</v>
      </c>
      <c r="N163" s="67">
        <v>0</v>
      </c>
      <c r="O163" s="67">
        <v>0</v>
      </c>
      <c r="P163" s="270"/>
      <c r="Q163" s="71"/>
      <c r="R163" s="449"/>
      <c r="S163" s="67">
        <v>0</v>
      </c>
      <c r="T163" s="163">
        <v>0</v>
      </c>
      <c r="U163" s="166">
        <v>0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603</v>
      </c>
      <c r="B164" s="63" t="s">
        <v>428</v>
      </c>
      <c r="C164" s="63" t="s">
        <v>429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20">
        <v>0</v>
      </c>
      <c r="K164" s="132" t="s">
        <v>1277</v>
      </c>
      <c r="L164" s="151">
        <v>0</v>
      </c>
      <c r="M164" s="128">
        <v>0</v>
      </c>
      <c r="N164" s="67">
        <v>0</v>
      </c>
      <c r="O164" s="67">
        <v>0</v>
      </c>
      <c r="P164" s="270"/>
      <c r="Q164" s="71"/>
      <c r="R164" s="449"/>
      <c r="S164" s="67">
        <v>0</v>
      </c>
      <c r="T164" s="163">
        <v>0</v>
      </c>
      <c r="U164" s="166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595</v>
      </c>
      <c r="B165" s="63" t="s">
        <v>514</v>
      </c>
      <c r="C165" s="63" t="s">
        <v>515</v>
      </c>
      <c r="D165" s="134">
        <v>175.38</v>
      </c>
      <c r="E165" s="67">
        <v>30195</v>
      </c>
      <c r="F165" s="146">
        <v>0</v>
      </c>
      <c r="G165" s="146">
        <v>0</v>
      </c>
      <c r="H165" s="91">
        <v>30195</v>
      </c>
      <c r="I165" s="67">
        <v>0</v>
      </c>
      <c r="J165" s="20">
        <v>30195</v>
      </c>
      <c r="K165" s="132" t="s">
        <v>621</v>
      </c>
      <c r="L165" s="151">
        <v>0</v>
      </c>
      <c r="M165" s="128">
        <v>175.38</v>
      </c>
      <c r="N165" s="67">
        <v>248</v>
      </c>
      <c r="O165" s="67">
        <v>30443</v>
      </c>
      <c r="P165" s="270"/>
      <c r="Q165" s="71"/>
      <c r="R165" s="449"/>
      <c r="S165" s="67">
        <v>32747</v>
      </c>
      <c r="T165" s="163">
        <v>-2304</v>
      </c>
      <c r="U165" s="166">
        <v>-7.0357590008245027E-2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594</v>
      </c>
      <c r="B166" s="63" t="s">
        <v>136</v>
      </c>
      <c r="C166" s="63" t="s">
        <v>137</v>
      </c>
      <c r="D166" s="134">
        <v>0</v>
      </c>
      <c r="E166" s="67">
        <v>0</v>
      </c>
      <c r="F166" s="146">
        <v>0</v>
      </c>
      <c r="G166" s="146">
        <v>0</v>
      </c>
      <c r="H166" s="91">
        <v>0</v>
      </c>
      <c r="I166" s="67">
        <v>0</v>
      </c>
      <c r="J166" s="20">
        <v>0</v>
      </c>
      <c r="K166" s="132" t="s">
        <v>1277</v>
      </c>
      <c r="L166" s="151">
        <v>0</v>
      </c>
      <c r="M166" s="128">
        <v>0</v>
      </c>
      <c r="N166" s="67">
        <v>0</v>
      </c>
      <c r="O166" s="67">
        <v>0</v>
      </c>
      <c r="P166" s="270"/>
      <c r="Q166" s="71"/>
      <c r="R166" s="449"/>
      <c r="S166" s="67">
        <v>0</v>
      </c>
      <c r="T166" s="163">
        <v>0</v>
      </c>
      <c r="U166" s="166">
        <v>0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596</v>
      </c>
      <c r="B167" s="63" t="s">
        <v>106</v>
      </c>
      <c r="C167" s="63" t="s">
        <v>107</v>
      </c>
      <c r="D167" s="134">
        <v>717.38</v>
      </c>
      <c r="E167" s="67">
        <v>123511</v>
      </c>
      <c r="F167" s="146">
        <v>0</v>
      </c>
      <c r="G167" s="146">
        <v>0</v>
      </c>
      <c r="H167" s="91">
        <v>123511</v>
      </c>
      <c r="I167" s="67">
        <v>0</v>
      </c>
      <c r="J167" s="20">
        <v>123511</v>
      </c>
      <c r="K167" s="132" t="s">
        <v>621</v>
      </c>
      <c r="L167" s="151">
        <v>0</v>
      </c>
      <c r="M167" s="128">
        <v>717.38</v>
      </c>
      <c r="N167" s="67">
        <v>1014</v>
      </c>
      <c r="O167" s="67">
        <v>124525</v>
      </c>
      <c r="P167" s="270"/>
      <c r="Q167" s="71"/>
      <c r="R167" s="449"/>
      <c r="S167" s="67">
        <v>121715</v>
      </c>
      <c r="T167" s="163">
        <v>2810</v>
      </c>
      <c r="U167" s="166">
        <v>2.3086718974653905E-2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600</v>
      </c>
      <c r="B168" s="63" t="s">
        <v>214</v>
      </c>
      <c r="C168" s="63" t="s">
        <v>215</v>
      </c>
      <c r="D168" s="134">
        <v>186</v>
      </c>
      <c r="E168" s="67">
        <v>32024</v>
      </c>
      <c r="F168" s="146">
        <v>0</v>
      </c>
      <c r="G168" s="146">
        <v>0</v>
      </c>
      <c r="H168" s="91">
        <v>32024</v>
      </c>
      <c r="I168" s="67">
        <v>0</v>
      </c>
      <c r="J168" s="20">
        <v>32024</v>
      </c>
      <c r="K168" s="132" t="s">
        <v>621</v>
      </c>
      <c r="L168" s="151">
        <v>0</v>
      </c>
      <c r="M168" s="128">
        <v>186</v>
      </c>
      <c r="N168" s="67">
        <v>263</v>
      </c>
      <c r="O168" s="67">
        <v>32287</v>
      </c>
      <c r="P168" s="270"/>
      <c r="Q168" s="71"/>
      <c r="R168" s="449"/>
      <c r="S168" s="67">
        <v>32108</v>
      </c>
      <c r="T168" s="163">
        <v>179</v>
      </c>
      <c r="U168" s="166">
        <v>5.5749345957393798E-3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600</v>
      </c>
      <c r="B169" s="63" t="s">
        <v>305</v>
      </c>
      <c r="C169" s="63" t="s">
        <v>306</v>
      </c>
      <c r="D169" s="134">
        <v>96.25</v>
      </c>
      <c r="E169" s="67">
        <v>16571</v>
      </c>
      <c r="F169" s="146">
        <v>0</v>
      </c>
      <c r="G169" s="146">
        <v>0</v>
      </c>
      <c r="H169" s="91">
        <v>16571</v>
      </c>
      <c r="I169" s="67">
        <v>0</v>
      </c>
      <c r="J169" s="20">
        <v>16571</v>
      </c>
      <c r="K169" s="132" t="s">
        <v>621</v>
      </c>
      <c r="L169" s="151">
        <v>0</v>
      </c>
      <c r="M169" s="128">
        <v>96.25</v>
      </c>
      <c r="N169" s="67">
        <v>136</v>
      </c>
      <c r="O169" s="67">
        <v>16707</v>
      </c>
      <c r="P169" s="270"/>
      <c r="Q169" s="71"/>
      <c r="R169" s="449"/>
      <c r="S169" s="67">
        <v>14182</v>
      </c>
      <c r="T169" s="163">
        <v>2525</v>
      </c>
      <c r="U169" s="166">
        <v>0.1780425891975744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594</v>
      </c>
      <c r="B170" s="63" t="s">
        <v>334</v>
      </c>
      <c r="C170" s="63" t="s">
        <v>335</v>
      </c>
      <c r="D170" s="134">
        <v>0</v>
      </c>
      <c r="E170" s="67">
        <v>0</v>
      </c>
      <c r="F170" s="146">
        <v>0</v>
      </c>
      <c r="G170" s="146">
        <v>0</v>
      </c>
      <c r="H170" s="91">
        <v>0</v>
      </c>
      <c r="I170" s="67">
        <v>0</v>
      </c>
      <c r="J170" s="20">
        <v>0</v>
      </c>
      <c r="K170" s="132" t="s">
        <v>1277</v>
      </c>
      <c r="L170" s="151">
        <v>0</v>
      </c>
      <c r="M170" s="128">
        <v>0</v>
      </c>
      <c r="N170" s="67">
        <v>0</v>
      </c>
      <c r="O170" s="67">
        <v>0</v>
      </c>
      <c r="P170" s="270"/>
      <c r="Q170" s="71"/>
      <c r="R170" s="449"/>
      <c r="S170" s="67">
        <v>0</v>
      </c>
      <c r="T170" s="163">
        <v>0</v>
      </c>
      <c r="U170" s="166">
        <v>0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474</v>
      </c>
      <c r="C171" s="63" t="s">
        <v>475</v>
      </c>
      <c r="D171" s="134">
        <v>489.63</v>
      </c>
      <c r="E171" s="67">
        <v>84300</v>
      </c>
      <c r="F171" s="146">
        <v>0</v>
      </c>
      <c r="G171" s="146">
        <v>0</v>
      </c>
      <c r="H171" s="91">
        <v>84300</v>
      </c>
      <c r="I171" s="67">
        <v>0</v>
      </c>
      <c r="J171" s="20">
        <v>84300</v>
      </c>
      <c r="K171" s="132" t="s">
        <v>621</v>
      </c>
      <c r="L171" s="151">
        <v>0</v>
      </c>
      <c r="M171" s="128">
        <v>489.63</v>
      </c>
      <c r="N171" s="67">
        <v>692</v>
      </c>
      <c r="O171" s="67">
        <v>84992</v>
      </c>
      <c r="P171" s="270"/>
      <c r="Q171" s="71"/>
      <c r="R171" s="449"/>
      <c r="S171" s="67">
        <v>72210</v>
      </c>
      <c r="T171" s="163">
        <v>12782</v>
      </c>
      <c r="U171" s="166">
        <v>0.17701149425287357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603</v>
      </c>
      <c r="B172" s="63" t="s">
        <v>468</v>
      </c>
      <c r="C172" s="63" t="s">
        <v>469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20">
        <v>0</v>
      </c>
      <c r="K172" s="132" t="s">
        <v>1277</v>
      </c>
      <c r="L172" s="151">
        <v>0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0</v>
      </c>
      <c r="T172" s="163">
        <v>0</v>
      </c>
      <c r="U172" s="166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597</v>
      </c>
      <c r="B173" s="63" t="s">
        <v>209</v>
      </c>
      <c r="C173" s="63" t="s">
        <v>210</v>
      </c>
      <c r="D173" s="134">
        <v>970.88</v>
      </c>
      <c r="E173" s="67">
        <v>167157</v>
      </c>
      <c r="F173" s="146">
        <v>0</v>
      </c>
      <c r="G173" s="146">
        <v>0</v>
      </c>
      <c r="H173" s="91">
        <v>167157</v>
      </c>
      <c r="I173" s="67">
        <v>0</v>
      </c>
      <c r="J173" s="20">
        <v>167157</v>
      </c>
      <c r="K173" s="132" t="s">
        <v>621</v>
      </c>
      <c r="L173" s="151">
        <v>0</v>
      </c>
      <c r="M173" s="128">
        <v>970.88</v>
      </c>
      <c r="N173" s="67">
        <v>1372</v>
      </c>
      <c r="O173" s="67">
        <v>168529</v>
      </c>
      <c r="P173" s="270"/>
      <c r="Q173" s="71"/>
      <c r="R173" s="449"/>
      <c r="S173" s="67">
        <v>157038</v>
      </c>
      <c r="T173" s="163">
        <v>11491</v>
      </c>
      <c r="U173" s="166">
        <v>7.3173372050077054E-2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595</v>
      </c>
      <c r="B174" s="63" t="s">
        <v>157</v>
      </c>
      <c r="C174" s="63" t="s">
        <v>158</v>
      </c>
      <c r="D174" s="134">
        <v>108.38</v>
      </c>
      <c r="E174" s="67">
        <v>18660</v>
      </c>
      <c r="F174" s="146">
        <v>0</v>
      </c>
      <c r="G174" s="146">
        <v>0</v>
      </c>
      <c r="H174" s="91">
        <v>18660</v>
      </c>
      <c r="I174" s="67">
        <v>0</v>
      </c>
      <c r="J174" s="20">
        <v>18660</v>
      </c>
      <c r="K174" s="132" t="s">
        <v>621</v>
      </c>
      <c r="L174" s="151">
        <v>0</v>
      </c>
      <c r="M174" s="128">
        <v>108.38</v>
      </c>
      <c r="N174" s="67">
        <v>153</v>
      </c>
      <c r="O174" s="67">
        <v>18813</v>
      </c>
      <c r="P174" s="270"/>
      <c r="Q174" s="71"/>
      <c r="R174" s="449"/>
      <c r="S174" s="67">
        <v>16143</v>
      </c>
      <c r="T174" s="163">
        <v>2670</v>
      </c>
      <c r="U174" s="166">
        <v>0.16539676640029735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541</v>
      </c>
      <c r="C175" s="63" t="s">
        <v>542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1277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594</v>
      </c>
      <c r="B176" s="63" t="s">
        <v>155</v>
      </c>
      <c r="C176" s="63" t="s">
        <v>156</v>
      </c>
      <c r="D176" s="134">
        <v>0</v>
      </c>
      <c r="E176" s="67">
        <v>0</v>
      </c>
      <c r="F176" s="146">
        <v>0</v>
      </c>
      <c r="G176" s="146">
        <v>0</v>
      </c>
      <c r="H176" s="91">
        <v>0</v>
      </c>
      <c r="I176" s="67">
        <v>0</v>
      </c>
      <c r="J176" s="20">
        <v>0</v>
      </c>
      <c r="K176" s="132" t="s">
        <v>1277</v>
      </c>
      <c r="L176" s="151">
        <v>0</v>
      </c>
      <c r="M176" s="128">
        <v>0</v>
      </c>
      <c r="N176" s="67">
        <v>0</v>
      </c>
      <c r="O176" s="67">
        <v>0</v>
      </c>
      <c r="P176" s="270"/>
      <c r="Q176" s="71"/>
      <c r="R176" s="449"/>
      <c r="S176" s="67">
        <v>0</v>
      </c>
      <c r="T176" s="163">
        <v>0</v>
      </c>
      <c r="U176" s="166">
        <v>0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599</v>
      </c>
      <c r="B177" s="63" t="s">
        <v>325</v>
      </c>
      <c r="C177" s="63" t="s">
        <v>326</v>
      </c>
      <c r="D177" s="134">
        <v>28.75</v>
      </c>
      <c r="E177" s="67">
        <v>4950</v>
      </c>
      <c r="F177" s="146">
        <v>0</v>
      </c>
      <c r="G177" s="146">
        <v>0</v>
      </c>
      <c r="H177" s="91">
        <v>4950</v>
      </c>
      <c r="I177" s="67">
        <v>0</v>
      </c>
      <c r="J177" s="20">
        <v>4950</v>
      </c>
      <c r="K177" s="132" t="s">
        <v>621</v>
      </c>
      <c r="L177" s="151">
        <v>0</v>
      </c>
      <c r="M177" s="128">
        <v>28.75</v>
      </c>
      <c r="N177" s="67">
        <v>41</v>
      </c>
      <c r="O177" s="67">
        <v>4991</v>
      </c>
      <c r="P177" s="270"/>
      <c r="Q177" s="71"/>
      <c r="R177" s="449"/>
      <c r="S177" s="67">
        <v>4845</v>
      </c>
      <c r="T177" s="163">
        <v>146</v>
      </c>
      <c r="U177" s="166">
        <v>3.0134158926728587E-2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594</v>
      </c>
      <c r="B178" s="63" t="s">
        <v>153</v>
      </c>
      <c r="C178" s="63" t="s">
        <v>154</v>
      </c>
      <c r="D178" s="134">
        <v>41.88</v>
      </c>
      <c r="E178" s="67">
        <v>7210</v>
      </c>
      <c r="F178" s="146">
        <v>0</v>
      </c>
      <c r="G178" s="146">
        <v>0</v>
      </c>
      <c r="H178" s="91">
        <v>7210</v>
      </c>
      <c r="I178" s="67">
        <v>0</v>
      </c>
      <c r="J178" s="20">
        <v>7210</v>
      </c>
      <c r="K178" s="132" t="s">
        <v>644</v>
      </c>
      <c r="L178" s="151">
        <v>7210</v>
      </c>
      <c r="M178" s="128">
        <v>0</v>
      </c>
      <c r="N178" s="67">
        <v>0</v>
      </c>
      <c r="O178" s="67">
        <v>0</v>
      </c>
      <c r="P178" s="270"/>
      <c r="Q178" s="71"/>
      <c r="R178" s="449"/>
      <c r="S178" s="67">
        <v>7443</v>
      </c>
      <c r="T178" s="163">
        <v>-7443</v>
      </c>
      <c r="U178" s="166">
        <v>-1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603</v>
      </c>
      <c r="B179" s="63" t="s">
        <v>287</v>
      </c>
      <c r="C179" s="63" t="s">
        <v>288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20">
        <v>0</v>
      </c>
      <c r="K179" s="132" t="s">
        <v>1277</v>
      </c>
      <c r="L179" s="151">
        <v>0</v>
      </c>
      <c r="M179" s="128">
        <v>0</v>
      </c>
      <c r="N179" s="67">
        <v>0</v>
      </c>
      <c r="O179" s="67">
        <v>0</v>
      </c>
      <c r="P179" s="270"/>
      <c r="Q179" s="71"/>
      <c r="R179" s="449"/>
      <c r="S179" s="67">
        <v>0</v>
      </c>
      <c r="T179" s="163">
        <v>0</v>
      </c>
      <c r="U179" s="166">
        <v>0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601</v>
      </c>
      <c r="B180" s="63" t="s">
        <v>313</v>
      </c>
      <c r="C180" s="63" t="s">
        <v>314</v>
      </c>
      <c r="D180" s="134">
        <v>91.13</v>
      </c>
      <c r="E180" s="67">
        <v>15690</v>
      </c>
      <c r="F180" s="146">
        <v>0</v>
      </c>
      <c r="G180" s="146">
        <v>0</v>
      </c>
      <c r="H180" s="91">
        <v>15690</v>
      </c>
      <c r="I180" s="67">
        <v>0</v>
      </c>
      <c r="J180" s="20">
        <v>15690</v>
      </c>
      <c r="K180" s="132" t="s">
        <v>621</v>
      </c>
      <c r="L180" s="151">
        <v>0</v>
      </c>
      <c r="M180" s="128">
        <v>91.13</v>
      </c>
      <c r="N180" s="67">
        <v>129</v>
      </c>
      <c r="O180" s="67">
        <v>15819</v>
      </c>
      <c r="P180" s="270"/>
      <c r="Q180" s="71"/>
      <c r="R180" s="449"/>
      <c r="S180" s="67">
        <v>14226</v>
      </c>
      <c r="T180" s="163">
        <v>1593</v>
      </c>
      <c r="U180" s="166">
        <v>0.11197806832560102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478</v>
      </c>
      <c r="C181" s="63" t="s">
        <v>479</v>
      </c>
      <c r="D181" s="134">
        <v>223.38</v>
      </c>
      <c r="E181" s="67">
        <v>38459</v>
      </c>
      <c r="F181" s="146">
        <v>0</v>
      </c>
      <c r="G181" s="146">
        <v>0</v>
      </c>
      <c r="H181" s="91">
        <v>38459</v>
      </c>
      <c r="I181" s="67">
        <v>0</v>
      </c>
      <c r="J181" s="20">
        <v>38459</v>
      </c>
      <c r="K181" s="132" t="s">
        <v>621</v>
      </c>
      <c r="L181" s="151">
        <v>0</v>
      </c>
      <c r="M181" s="128">
        <v>223.38</v>
      </c>
      <c r="N181" s="67">
        <v>316</v>
      </c>
      <c r="O181" s="67">
        <v>38775</v>
      </c>
      <c r="P181" s="270"/>
      <c r="Q181" s="71"/>
      <c r="R181" s="449"/>
      <c r="S181" s="67">
        <v>36447</v>
      </c>
      <c r="T181" s="163">
        <v>2328</v>
      </c>
      <c r="U181" s="166">
        <v>6.3873569841139191E-2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601</v>
      </c>
      <c r="B182" s="63" t="s">
        <v>311</v>
      </c>
      <c r="C182" s="63" t="s">
        <v>312</v>
      </c>
      <c r="D182" s="134">
        <v>81.13</v>
      </c>
      <c r="E182" s="67">
        <v>13968</v>
      </c>
      <c r="F182" s="146">
        <v>0</v>
      </c>
      <c r="G182" s="146">
        <v>0</v>
      </c>
      <c r="H182" s="91">
        <v>13968</v>
      </c>
      <c r="I182" s="67">
        <v>0</v>
      </c>
      <c r="J182" s="20">
        <v>13968</v>
      </c>
      <c r="K182" s="132" t="s">
        <v>621</v>
      </c>
      <c r="L182" s="151">
        <v>0</v>
      </c>
      <c r="M182" s="128">
        <v>81.13</v>
      </c>
      <c r="N182" s="67">
        <v>115</v>
      </c>
      <c r="O182" s="67">
        <v>14083</v>
      </c>
      <c r="P182" s="270"/>
      <c r="Q182" s="71"/>
      <c r="R182" s="449"/>
      <c r="S182" s="67">
        <v>13169</v>
      </c>
      <c r="T182" s="163">
        <v>914</v>
      </c>
      <c r="U182" s="166">
        <v>6.9405421823980559E-2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594</v>
      </c>
      <c r="B183" s="63" t="s">
        <v>270</v>
      </c>
      <c r="C183" s="63" t="s">
        <v>271</v>
      </c>
      <c r="D183" s="134">
        <v>22.25</v>
      </c>
      <c r="E183" s="67">
        <v>3831</v>
      </c>
      <c r="F183" s="146">
        <v>0</v>
      </c>
      <c r="G183" s="146">
        <v>0</v>
      </c>
      <c r="H183" s="91">
        <v>3831</v>
      </c>
      <c r="I183" s="67">
        <v>0</v>
      </c>
      <c r="J183" s="20">
        <v>3831</v>
      </c>
      <c r="K183" s="132" t="s">
        <v>1278</v>
      </c>
      <c r="L183" s="151">
        <v>3831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3898</v>
      </c>
      <c r="T183" s="163">
        <v>-3898</v>
      </c>
      <c r="U183" s="166">
        <v>-1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603</v>
      </c>
      <c r="B184" s="63" t="s">
        <v>448</v>
      </c>
      <c r="C184" s="63" t="s">
        <v>449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20">
        <v>0</v>
      </c>
      <c r="K184" s="132" t="s">
        <v>1277</v>
      </c>
      <c r="L184" s="151">
        <v>0</v>
      </c>
      <c r="M184" s="128">
        <v>0</v>
      </c>
      <c r="N184" s="67">
        <v>0</v>
      </c>
      <c r="O184" s="67">
        <v>0</v>
      </c>
      <c r="P184" s="270"/>
      <c r="Q184" s="71"/>
      <c r="R184" s="449"/>
      <c r="S184" s="67">
        <v>0</v>
      </c>
      <c r="T184" s="163">
        <v>0</v>
      </c>
      <c r="U184" s="166">
        <v>0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372</v>
      </c>
      <c r="C185" s="63" t="s">
        <v>613</v>
      </c>
      <c r="D185" s="134">
        <v>16</v>
      </c>
      <c r="E185" s="67">
        <v>2755</v>
      </c>
      <c r="F185" s="146">
        <v>0</v>
      </c>
      <c r="G185" s="146">
        <v>0</v>
      </c>
      <c r="H185" s="91">
        <v>2755</v>
      </c>
      <c r="I185" s="67">
        <v>0</v>
      </c>
      <c r="J185" s="20">
        <v>2755</v>
      </c>
      <c r="K185" s="132" t="s">
        <v>621</v>
      </c>
      <c r="L185" s="151">
        <v>0</v>
      </c>
      <c r="M185" s="128">
        <v>16</v>
      </c>
      <c r="N185" s="67">
        <v>23</v>
      </c>
      <c r="O185" s="67">
        <v>2778</v>
      </c>
      <c r="P185" s="270"/>
      <c r="Q185" s="71"/>
      <c r="R185" s="449"/>
      <c r="S185" s="67">
        <v>3062</v>
      </c>
      <c r="T185" s="163">
        <v>-284</v>
      </c>
      <c r="U185" s="166">
        <v>-9.2749836708033967E-2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424</v>
      </c>
      <c r="C186" s="63" t="s">
        <v>425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1277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603</v>
      </c>
      <c r="B187" s="63" t="s">
        <v>98</v>
      </c>
      <c r="C187" s="63" t="s">
        <v>99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1277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601</v>
      </c>
      <c r="B188" s="63" t="s">
        <v>82</v>
      </c>
      <c r="C188" s="63" t="s">
        <v>83</v>
      </c>
      <c r="D188" s="134">
        <v>104</v>
      </c>
      <c r="E188" s="67">
        <v>17906</v>
      </c>
      <c r="F188" s="146">
        <v>0</v>
      </c>
      <c r="G188" s="146">
        <v>0</v>
      </c>
      <c r="H188" s="91">
        <v>17906</v>
      </c>
      <c r="I188" s="67">
        <v>0</v>
      </c>
      <c r="J188" s="20">
        <v>17906</v>
      </c>
      <c r="K188" s="132" t="s">
        <v>621</v>
      </c>
      <c r="L188" s="151">
        <v>0</v>
      </c>
      <c r="M188" s="128">
        <v>104</v>
      </c>
      <c r="N188" s="67">
        <v>147</v>
      </c>
      <c r="O188" s="67">
        <v>18053</v>
      </c>
      <c r="P188" s="270"/>
      <c r="Q188" s="71"/>
      <c r="R188" s="449"/>
      <c r="S188" s="67">
        <v>17376</v>
      </c>
      <c r="T188" s="163">
        <v>677</v>
      </c>
      <c r="U188" s="166">
        <v>3.8961786372007368E-2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601</v>
      </c>
      <c r="B189" s="63" t="s">
        <v>323</v>
      </c>
      <c r="C189" s="63" t="s">
        <v>324</v>
      </c>
      <c r="D189" s="134">
        <v>82.63</v>
      </c>
      <c r="E189" s="67">
        <v>14226</v>
      </c>
      <c r="F189" s="146">
        <v>0</v>
      </c>
      <c r="G189" s="146">
        <v>0</v>
      </c>
      <c r="H189" s="91">
        <v>14226</v>
      </c>
      <c r="I189" s="67">
        <v>0</v>
      </c>
      <c r="J189" s="20">
        <v>14226</v>
      </c>
      <c r="K189" s="132" t="s">
        <v>621</v>
      </c>
      <c r="L189" s="151">
        <v>0</v>
      </c>
      <c r="M189" s="128">
        <v>82.63</v>
      </c>
      <c r="N189" s="67">
        <v>117</v>
      </c>
      <c r="O189" s="67">
        <v>14343</v>
      </c>
      <c r="P189" s="270"/>
      <c r="Q189" s="71"/>
      <c r="R189" s="449"/>
      <c r="S189" s="67">
        <v>14182</v>
      </c>
      <c r="T189" s="163">
        <v>161</v>
      </c>
      <c r="U189" s="166">
        <v>1.1352418558736426E-2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597</v>
      </c>
      <c r="B190" s="63" t="s">
        <v>355</v>
      </c>
      <c r="C190" s="63" t="s">
        <v>356</v>
      </c>
      <c r="D190" s="134">
        <v>35</v>
      </c>
      <c r="E190" s="67">
        <v>6026</v>
      </c>
      <c r="F190" s="146">
        <v>0</v>
      </c>
      <c r="G190" s="146">
        <v>0</v>
      </c>
      <c r="H190" s="91">
        <v>6026</v>
      </c>
      <c r="I190" s="67">
        <v>0</v>
      </c>
      <c r="J190" s="20">
        <v>6026</v>
      </c>
      <c r="K190" s="132" t="s">
        <v>621</v>
      </c>
      <c r="L190" s="151">
        <v>0</v>
      </c>
      <c r="M190" s="128">
        <v>35</v>
      </c>
      <c r="N190" s="67">
        <v>49</v>
      </c>
      <c r="O190" s="67">
        <v>6075</v>
      </c>
      <c r="P190" s="270"/>
      <c r="Q190" s="71"/>
      <c r="R190" s="449"/>
      <c r="S190" s="67">
        <v>4625</v>
      </c>
      <c r="T190" s="163">
        <v>1450</v>
      </c>
      <c r="U190" s="166">
        <v>0.31351351351351353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596</v>
      </c>
      <c r="B191" s="63" t="s">
        <v>4</v>
      </c>
      <c r="C191" s="63" t="s">
        <v>5</v>
      </c>
      <c r="D191" s="134">
        <v>1372.38</v>
      </c>
      <c r="E191" s="67">
        <v>236283</v>
      </c>
      <c r="F191" s="146">
        <v>0</v>
      </c>
      <c r="G191" s="146">
        <v>0</v>
      </c>
      <c r="H191" s="91">
        <v>236283</v>
      </c>
      <c r="I191" s="67">
        <v>0</v>
      </c>
      <c r="J191" s="20">
        <v>236283</v>
      </c>
      <c r="K191" s="132" t="s">
        <v>621</v>
      </c>
      <c r="L191" s="151">
        <v>0</v>
      </c>
      <c r="M191" s="128">
        <v>1372.38</v>
      </c>
      <c r="N191" s="67">
        <v>1940</v>
      </c>
      <c r="O191" s="67">
        <v>238223</v>
      </c>
      <c r="P191" s="270"/>
      <c r="Q191" s="71"/>
      <c r="R191" s="449"/>
      <c r="S191" s="67">
        <v>232044</v>
      </c>
      <c r="T191" s="163">
        <v>6179</v>
      </c>
      <c r="U191" s="166">
        <v>2.6628570443536569E-2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601</v>
      </c>
      <c r="B192" s="63" t="s">
        <v>86</v>
      </c>
      <c r="C192" s="63" t="s">
        <v>87</v>
      </c>
      <c r="D192" s="134">
        <v>14.13</v>
      </c>
      <c r="E192" s="67">
        <v>2433</v>
      </c>
      <c r="F192" s="146">
        <v>0</v>
      </c>
      <c r="G192" s="146">
        <v>0</v>
      </c>
      <c r="H192" s="91">
        <v>2433</v>
      </c>
      <c r="I192" s="67">
        <v>0</v>
      </c>
      <c r="J192" s="20">
        <v>2433</v>
      </c>
      <c r="K192" s="132" t="s">
        <v>621</v>
      </c>
      <c r="L192" s="151">
        <v>0</v>
      </c>
      <c r="M192" s="128">
        <v>14.13</v>
      </c>
      <c r="N192" s="67">
        <v>20</v>
      </c>
      <c r="O192" s="67">
        <v>2453</v>
      </c>
      <c r="P192" s="270"/>
      <c r="Q192" s="71"/>
      <c r="R192" s="449"/>
      <c r="S192" s="67">
        <v>0</v>
      </c>
      <c r="T192" s="163">
        <v>2453</v>
      </c>
      <c r="U192" s="166">
        <v>0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603</v>
      </c>
      <c r="B193" s="63" t="s">
        <v>527</v>
      </c>
      <c r="C193" s="63" t="s">
        <v>528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20">
        <v>0</v>
      </c>
      <c r="K193" s="132" t="s">
        <v>1277</v>
      </c>
      <c r="L193" s="151">
        <v>0</v>
      </c>
      <c r="M193" s="128">
        <v>0</v>
      </c>
      <c r="N193" s="67">
        <v>0</v>
      </c>
      <c r="O193" s="67">
        <v>0</v>
      </c>
      <c r="P193" s="270"/>
      <c r="Q193" s="71"/>
      <c r="R193" s="449"/>
      <c r="S193" s="67">
        <v>0</v>
      </c>
      <c r="T193" s="163">
        <v>0</v>
      </c>
      <c r="U193" s="166">
        <v>0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596</v>
      </c>
      <c r="B194" s="63" t="s">
        <v>104</v>
      </c>
      <c r="C194" s="63" t="s">
        <v>105</v>
      </c>
      <c r="D194" s="134">
        <v>5273.88</v>
      </c>
      <c r="E194" s="67">
        <v>908005</v>
      </c>
      <c r="F194" s="146">
        <v>0</v>
      </c>
      <c r="G194" s="146">
        <v>0</v>
      </c>
      <c r="H194" s="91">
        <v>908005</v>
      </c>
      <c r="I194" s="67">
        <v>0</v>
      </c>
      <c r="J194" s="20">
        <v>908005</v>
      </c>
      <c r="K194" s="132" t="s">
        <v>621</v>
      </c>
      <c r="L194" s="151">
        <v>0</v>
      </c>
      <c r="M194" s="128">
        <v>5273.88</v>
      </c>
      <c r="N194" s="67">
        <v>7455</v>
      </c>
      <c r="O194" s="67">
        <v>915460</v>
      </c>
      <c r="P194" s="270"/>
      <c r="Q194" s="71"/>
      <c r="R194" s="449"/>
      <c r="S194" s="67">
        <v>867633</v>
      </c>
      <c r="T194" s="163">
        <v>47827</v>
      </c>
      <c r="U194" s="166">
        <v>5.5123537255959608E-2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601</v>
      </c>
      <c r="B195" s="63" t="s">
        <v>317</v>
      </c>
      <c r="C195" s="63" t="s">
        <v>318</v>
      </c>
      <c r="D195" s="134">
        <v>30.38</v>
      </c>
      <c r="E195" s="67">
        <v>5231</v>
      </c>
      <c r="F195" s="146">
        <v>0</v>
      </c>
      <c r="G195" s="146">
        <v>0</v>
      </c>
      <c r="H195" s="91">
        <v>5231</v>
      </c>
      <c r="I195" s="67">
        <v>0</v>
      </c>
      <c r="J195" s="20">
        <v>5231</v>
      </c>
      <c r="K195" s="132" t="s">
        <v>621</v>
      </c>
      <c r="L195" s="151">
        <v>0</v>
      </c>
      <c r="M195" s="128">
        <v>30.38</v>
      </c>
      <c r="N195" s="67">
        <v>43</v>
      </c>
      <c r="O195" s="67">
        <v>5274</v>
      </c>
      <c r="P195" s="270"/>
      <c r="Q195" s="71"/>
      <c r="R195" s="449"/>
      <c r="S195" s="67">
        <v>5308</v>
      </c>
      <c r="T195" s="163">
        <v>-34</v>
      </c>
      <c r="U195" s="166">
        <v>-6.4054257724189901E-3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596</v>
      </c>
      <c r="B196" s="63" t="s">
        <v>16</v>
      </c>
      <c r="C196" s="63" t="s">
        <v>17</v>
      </c>
      <c r="D196" s="134">
        <v>39.5</v>
      </c>
      <c r="E196" s="67">
        <v>6801</v>
      </c>
      <c r="F196" s="146">
        <v>0</v>
      </c>
      <c r="G196" s="146">
        <v>0</v>
      </c>
      <c r="H196" s="91">
        <v>6801</v>
      </c>
      <c r="I196" s="67">
        <v>0</v>
      </c>
      <c r="J196" s="20">
        <v>6801</v>
      </c>
      <c r="K196" s="132" t="s">
        <v>621</v>
      </c>
      <c r="L196" s="151">
        <v>0</v>
      </c>
      <c r="M196" s="128">
        <v>39.5</v>
      </c>
      <c r="N196" s="67">
        <v>56</v>
      </c>
      <c r="O196" s="67">
        <v>6857</v>
      </c>
      <c r="P196" s="270"/>
      <c r="Q196" s="71"/>
      <c r="R196" s="449"/>
      <c r="S196" s="67">
        <v>5858</v>
      </c>
      <c r="T196" s="163">
        <v>999</v>
      </c>
      <c r="U196" s="166">
        <v>0.17053601911915328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594</v>
      </c>
      <c r="B197" s="63" t="s">
        <v>272</v>
      </c>
      <c r="C197" s="63" t="s">
        <v>273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1277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597</v>
      </c>
      <c r="B198" s="63" t="s">
        <v>359</v>
      </c>
      <c r="C198" s="63" t="s">
        <v>360</v>
      </c>
      <c r="D198" s="134">
        <v>49.88</v>
      </c>
      <c r="E198" s="67">
        <v>8588</v>
      </c>
      <c r="F198" s="146">
        <v>0</v>
      </c>
      <c r="G198" s="146">
        <v>0</v>
      </c>
      <c r="H198" s="91">
        <v>8588</v>
      </c>
      <c r="I198" s="67">
        <v>0</v>
      </c>
      <c r="J198" s="20">
        <v>8588</v>
      </c>
      <c r="K198" s="132" t="s">
        <v>621</v>
      </c>
      <c r="L198" s="151">
        <v>0</v>
      </c>
      <c r="M198" s="128">
        <v>49.88</v>
      </c>
      <c r="N198" s="67">
        <v>71</v>
      </c>
      <c r="O198" s="67">
        <v>8659</v>
      </c>
      <c r="P198" s="270"/>
      <c r="Q198" s="71"/>
      <c r="R198" s="449"/>
      <c r="S198" s="67">
        <v>8765</v>
      </c>
      <c r="T198" s="163">
        <v>-106</v>
      </c>
      <c r="U198" s="166">
        <v>-1.2093553907586993E-2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594</v>
      </c>
      <c r="B199" s="63" t="s">
        <v>303</v>
      </c>
      <c r="C199" s="63" t="s">
        <v>304</v>
      </c>
      <c r="D199" s="134">
        <v>0</v>
      </c>
      <c r="E199" s="67">
        <v>0</v>
      </c>
      <c r="F199" s="146">
        <v>0</v>
      </c>
      <c r="G199" s="146">
        <v>0</v>
      </c>
      <c r="H199" s="91">
        <v>0</v>
      </c>
      <c r="I199" s="67">
        <v>0</v>
      </c>
      <c r="J199" s="20">
        <v>0</v>
      </c>
      <c r="K199" s="132" t="s">
        <v>1277</v>
      </c>
      <c r="L199" s="151">
        <v>0</v>
      </c>
      <c r="M199" s="128">
        <v>0</v>
      </c>
      <c r="N199" s="67">
        <v>0</v>
      </c>
      <c r="O199" s="67">
        <v>0</v>
      </c>
      <c r="P199" s="270"/>
      <c r="Q199" s="71"/>
      <c r="R199" s="449"/>
      <c r="S199" s="67">
        <v>0</v>
      </c>
      <c r="T199" s="163">
        <v>0</v>
      </c>
      <c r="U199" s="166">
        <v>0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596</v>
      </c>
      <c r="B200" s="63" t="s">
        <v>112</v>
      </c>
      <c r="C200" s="63" t="s">
        <v>113</v>
      </c>
      <c r="D200" s="134">
        <v>1.75</v>
      </c>
      <c r="E200" s="67">
        <v>301</v>
      </c>
      <c r="F200" s="146">
        <v>0</v>
      </c>
      <c r="G200" s="146">
        <v>0</v>
      </c>
      <c r="H200" s="91">
        <v>301</v>
      </c>
      <c r="I200" s="67">
        <v>0</v>
      </c>
      <c r="J200" s="20">
        <v>301</v>
      </c>
      <c r="K200" s="132" t="s">
        <v>644</v>
      </c>
      <c r="L200" s="151">
        <v>301</v>
      </c>
      <c r="M200" s="128">
        <v>0</v>
      </c>
      <c r="N200" s="67">
        <v>0</v>
      </c>
      <c r="O200" s="67">
        <v>0</v>
      </c>
      <c r="P200" s="270"/>
      <c r="Q200" s="71"/>
      <c r="R200" s="449"/>
      <c r="S200" s="67">
        <v>0</v>
      </c>
      <c r="T200" s="163">
        <v>0</v>
      </c>
      <c r="U200" s="166">
        <v>0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600</v>
      </c>
      <c r="B201" s="63" t="s">
        <v>39</v>
      </c>
      <c r="C201" s="63" t="s">
        <v>40</v>
      </c>
      <c r="D201" s="134">
        <v>39.380000000000003</v>
      </c>
      <c r="E201" s="67">
        <v>6780</v>
      </c>
      <c r="F201" s="146">
        <v>0</v>
      </c>
      <c r="G201" s="146">
        <v>0</v>
      </c>
      <c r="H201" s="91">
        <v>6780</v>
      </c>
      <c r="I201" s="67">
        <v>0</v>
      </c>
      <c r="J201" s="20">
        <v>6780</v>
      </c>
      <c r="K201" s="132" t="s">
        <v>644</v>
      </c>
      <c r="L201" s="151">
        <v>6780</v>
      </c>
      <c r="M201" s="128">
        <v>0</v>
      </c>
      <c r="N201" s="67">
        <v>0</v>
      </c>
      <c r="O201" s="67">
        <v>0</v>
      </c>
      <c r="P201" s="270"/>
      <c r="Q201" s="71"/>
      <c r="R201" s="449"/>
      <c r="S201" s="67">
        <v>0</v>
      </c>
      <c r="T201" s="163">
        <v>0</v>
      </c>
      <c r="U201" s="166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600</v>
      </c>
      <c r="B202" s="63" t="s">
        <v>171</v>
      </c>
      <c r="C202" s="63" t="s">
        <v>172</v>
      </c>
      <c r="D202" s="134">
        <v>11.63</v>
      </c>
      <c r="E202" s="67">
        <v>2002</v>
      </c>
      <c r="F202" s="146">
        <v>0</v>
      </c>
      <c r="G202" s="146">
        <v>0</v>
      </c>
      <c r="H202" s="91">
        <v>2002</v>
      </c>
      <c r="I202" s="67">
        <v>0</v>
      </c>
      <c r="J202" s="20">
        <v>2002</v>
      </c>
      <c r="K202" s="132" t="s">
        <v>621</v>
      </c>
      <c r="L202" s="151">
        <v>0</v>
      </c>
      <c r="M202" s="128">
        <v>11.63</v>
      </c>
      <c r="N202" s="67">
        <v>16</v>
      </c>
      <c r="O202" s="67">
        <v>2018</v>
      </c>
      <c r="P202" s="270"/>
      <c r="Q202" s="71"/>
      <c r="R202" s="449"/>
      <c r="S202" s="67">
        <v>1961</v>
      </c>
      <c r="T202" s="163">
        <v>57</v>
      </c>
      <c r="U202" s="166">
        <v>2.9066802651708312E-2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596</v>
      </c>
      <c r="B203" s="63" t="s">
        <v>502</v>
      </c>
      <c r="C203" s="63" t="s">
        <v>503</v>
      </c>
      <c r="D203" s="134">
        <v>53.5</v>
      </c>
      <c r="E203" s="67">
        <v>9211</v>
      </c>
      <c r="F203" s="146">
        <v>0</v>
      </c>
      <c r="G203" s="146">
        <v>0</v>
      </c>
      <c r="H203" s="91">
        <v>9211</v>
      </c>
      <c r="I203" s="67">
        <v>0</v>
      </c>
      <c r="J203" s="20">
        <v>9211</v>
      </c>
      <c r="K203" s="132" t="s">
        <v>621</v>
      </c>
      <c r="L203" s="151">
        <v>0</v>
      </c>
      <c r="M203" s="128">
        <v>53.5</v>
      </c>
      <c r="N203" s="67">
        <v>76</v>
      </c>
      <c r="O203" s="67">
        <v>9287</v>
      </c>
      <c r="P203" s="270"/>
      <c r="Q203" s="71"/>
      <c r="R203" s="449"/>
      <c r="S203" s="67">
        <v>9733</v>
      </c>
      <c r="T203" s="163">
        <v>-446</v>
      </c>
      <c r="U203" s="166">
        <v>-4.5823487105722802E-2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596</v>
      </c>
      <c r="B204" s="63" t="s">
        <v>21</v>
      </c>
      <c r="C204" s="63" t="s">
        <v>22</v>
      </c>
      <c r="D204" s="134">
        <v>581.25</v>
      </c>
      <c r="E204" s="67">
        <v>100074</v>
      </c>
      <c r="F204" s="146">
        <v>0</v>
      </c>
      <c r="G204" s="146">
        <v>0</v>
      </c>
      <c r="H204" s="91">
        <v>100074</v>
      </c>
      <c r="I204" s="67">
        <v>0</v>
      </c>
      <c r="J204" s="20">
        <v>100074</v>
      </c>
      <c r="K204" s="132" t="s">
        <v>621</v>
      </c>
      <c r="L204" s="151">
        <v>0</v>
      </c>
      <c r="M204" s="128">
        <v>581.25</v>
      </c>
      <c r="N204" s="67">
        <v>822</v>
      </c>
      <c r="O204" s="67">
        <v>100896</v>
      </c>
      <c r="P204" s="270"/>
      <c r="Q204" s="71"/>
      <c r="R204" s="449"/>
      <c r="S204" s="67">
        <v>101103</v>
      </c>
      <c r="T204" s="163">
        <v>-207</v>
      </c>
      <c r="U204" s="166">
        <v>-2.0474169905937509E-3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603</v>
      </c>
      <c r="B205" s="63" t="s">
        <v>523</v>
      </c>
      <c r="C205" s="63" t="s">
        <v>524</v>
      </c>
      <c r="D205" s="134">
        <v>92.63</v>
      </c>
      <c r="E205" s="67">
        <v>15948</v>
      </c>
      <c r="F205" s="146">
        <v>0</v>
      </c>
      <c r="G205" s="146">
        <v>0</v>
      </c>
      <c r="H205" s="91">
        <v>15948</v>
      </c>
      <c r="I205" s="67">
        <v>0</v>
      </c>
      <c r="J205" s="20">
        <v>15948</v>
      </c>
      <c r="K205" s="132" t="s">
        <v>621</v>
      </c>
      <c r="L205" s="151">
        <v>0</v>
      </c>
      <c r="M205" s="128">
        <v>92.63</v>
      </c>
      <c r="N205" s="67">
        <v>131</v>
      </c>
      <c r="O205" s="67">
        <v>16079</v>
      </c>
      <c r="P205" s="270"/>
      <c r="Q205" s="71"/>
      <c r="R205" s="449"/>
      <c r="S205" s="67">
        <v>11651</v>
      </c>
      <c r="T205" s="163">
        <v>4428</v>
      </c>
      <c r="U205" s="166">
        <v>0.38005321431636768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597</v>
      </c>
      <c r="B206" s="63" t="s">
        <v>343</v>
      </c>
      <c r="C206" s="63" t="s">
        <v>344</v>
      </c>
      <c r="D206" s="134">
        <v>635.38</v>
      </c>
      <c r="E206" s="67">
        <v>109393</v>
      </c>
      <c r="F206" s="146">
        <v>0</v>
      </c>
      <c r="G206" s="146">
        <v>0</v>
      </c>
      <c r="H206" s="91">
        <v>109393</v>
      </c>
      <c r="I206" s="67">
        <v>0</v>
      </c>
      <c r="J206" s="20">
        <v>109393</v>
      </c>
      <c r="K206" s="132" t="s">
        <v>621</v>
      </c>
      <c r="L206" s="151">
        <v>0</v>
      </c>
      <c r="M206" s="128">
        <v>635.38</v>
      </c>
      <c r="N206" s="67">
        <v>898</v>
      </c>
      <c r="O206" s="67">
        <v>110291</v>
      </c>
      <c r="P206" s="270"/>
      <c r="Q206" s="71"/>
      <c r="R206" s="449"/>
      <c r="S206" s="67">
        <v>101587</v>
      </c>
      <c r="T206" s="163">
        <v>8704</v>
      </c>
      <c r="U206" s="166">
        <v>8.5680254363255146E-2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600</v>
      </c>
      <c r="B207" s="63" t="s">
        <v>163</v>
      </c>
      <c r="C207" s="63" t="s">
        <v>164</v>
      </c>
      <c r="D207" s="134">
        <v>0</v>
      </c>
      <c r="E207" s="67">
        <v>0</v>
      </c>
      <c r="F207" s="146">
        <v>0</v>
      </c>
      <c r="G207" s="146">
        <v>0</v>
      </c>
      <c r="H207" s="91">
        <v>0</v>
      </c>
      <c r="I207" s="67">
        <v>0</v>
      </c>
      <c r="J207" s="20">
        <v>0</v>
      </c>
      <c r="K207" s="132" t="s">
        <v>1277</v>
      </c>
      <c r="L207" s="151">
        <v>0</v>
      </c>
      <c r="M207" s="128">
        <v>0</v>
      </c>
      <c r="N207" s="67">
        <v>0</v>
      </c>
      <c r="O207" s="67">
        <v>0</v>
      </c>
      <c r="P207" s="270"/>
      <c r="Q207" s="71"/>
      <c r="R207" s="449"/>
      <c r="S207" s="67">
        <v>0</v>
      </c>
      <c r="T207" s="163">
        <v>0</v>
      </c>
      <c r="U207" s="166">
        <v>0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600</v>
      </c>
      <c r="B208" s="63" t="s">
        <v>167</v>
      </c>
      <c r="C208" s="63" t="s">
        <v>168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1277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600</v>
      </c>
      <c r="B209" s="63" t="s">
        <v>47</v>
      </c>
      <c r="C209" s="63" t="s">
        <v>48</v>
      </c>
      <c r="D209" s="134">
        <v>108</v>
      </c>
      <c r="E209" s="67">
        <v>18594</v>
      </c>
      <c r="F209" s="146">
        <v>0</v>
      </c>
      <c r="G209" s="146">
        <v>0</v>
      </c>
      <c r="H209" s="91">
        <v>18594</v>
      </c>
      <c r="I209" s="67">
        <v>0</v>
      </c>
      <c r="J209" s="20">
        <v>18594</v>
      </c>
      <c r="K209" s="132" t="s">
        <v>621</v>
      </c>
      <c r="L209" s="151">
        <v>0</v>
      </c>
      <c r="M209" s="128">
        <v>108</v>
      </c>
      <c r="N209" s="67">
        <v>153</v>
      </c>
      <c r="O209" s="67">
        <v>18747</v>
      </c>
      <c r="P209" s="270"/>
      <c r="Q209" s="71"/>
      <c r="R209" s="449"/>
      <c r="S209" s="67">
        <v>18917</v>
      </c>
      <c r="T209" s="163">
        <v>-170</v>
      </c>
      <c r="U209" s="166">
        <v>-8.9866257863297563E-3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145</v>
      </c>
      <c r="C210" s="63" t="s">
        <v>146</v>
      </c>
      <c r="D210" s="134">
        <v>31</v>
      </c>
      <c r="E210" s="67">
        <v>5337</v>
      </c>
      <c r="F210" s="146">
        <v>0</v>
      </c>
      <c r="G210" s="146">
        <v>0</v>
      </c>
      <c r="H210" s="91">
        <v>5337</v>
      </c>
      <c r="I210" s="67">
        <v>0</v>
      </c>
      <c r="J210" s="20">
        <v>5337</v>
      </c>
      <c r="K210" s="132" t="s">
        <v>621</v>
      </c>
      <c r="L210" s="151">
        <v>0</v>
      </c>
      <c r="M210" s="128">
        <v>31</v>
      </c>
      <c r="N210" s="67">
        <v>44</v>
      </c>
      <c r="O210" s="67">
        <v>5381</v>
      </c>
      <c r="P210" s="270"/>
      <c r="Q210" s="71"/>
      <c r="R210" s="449"/>
      <c r="S210" s="67">
        <v>5814</v>
      </c>
      <c r="T210" s="163">
        <v>-433</v>
      </c>
      <c r="U210" s="166">
        <v>-7.4475404196766432E-2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601</v>
      </c>
      <c r="B211" s="63" t="s">
        <v>116</v>
      </c>
      <c r="C211" s="63" t="s">
        <v>117</v>
      </c>
      <c r="D211" s="134">
        <v>927.75</v>
      </c>
      <c r="E211" s="67">
        <v>159731</v>
      </c>
      <c r="F211" s="146">
        <v>0</v>
      </c>
      <c r="G211" s="146">
        <v>0</v>
      </c>
      <c r="H211" s="91">
        <v>159731</v>
      </c>
      <c r="I211" s="67">
        <v>0</v>
      </c>
      <c r="J211" s="20">
        <v>159731</v>
      </c>
      <c r="K211" s="132" t="s">
        <v>621</v>
      </c>
      <c r="L211" s="151">
        <v>0</v>
      </c>
      <c r="M211" s="128">
        <v>927.75</v>
      </c>
      <c r="N211" s="67">
        <v>1311</v>
      </c>
      <c r="O211" s="67">
        <v>161042</v>
      </c>
      <c r="P211" s="270"/>
      <c r="Q211" s="71"/>
      <c r="R211" s="449"/>
      <c r="S211" s="67">
        <v>151620</v>
      </c>
      <c r="T211" s="163">
        <v>9422</v>
      </c>
      <c r="U211" s="166">
        <v>6.214219759926131E-2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594</v>
      </c>
      <c r="B212" s="63" t="s">
        <v>480</v>
      </c>
      <c r="C212" s="63" t="s">
        <v>481</v>
      </c>
      <c r="D212" s="134">
        <v>0</v>
      </c>
      <c r="E212" s="67">
        <v>0</v>
      </c>
      <c r="F212" s="146">
        <v>0</v>
      </c>
      <c r="G212" s="146">
        <v>0</v>
      </c>
      <c r="H212" s="91">
        <v>0</v>
      </c>
      <c r="I212" s="67">
        <v>0</v>
      </c>
      <c r="J212" s="20">
        <v>0</v>
      </c>
      <c r="K212" s="132" t="s">
        <v>1277</v>
      </c>
      <c r="L212" s="151">
        <v>0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0</v>
      </c>
      <c r="T212" s="163">
        <v>0</v>
      </c>
      <c r="U212" s="166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594</v>
      </c>
      <c r="B213" s="63" t="s">
        <v>327</v>
      </c>
      <c r="C213" s="63" t="s">
        <v>328</v>
      </c>
      <c r="D213" s="134">
        <v>56.63</v>
      </c>
      <c r="E213" s="67">
        <v>9750</v>
      </c>
      <c r="F213" s="146">
        <v>0</v>
      </c>
      <c r="G213" s="146">
        <v>0</v>
      </c>
      <c r="H213" s="91">
        <v>9750</v>
      </c>
      <c r="I213" s="67">
        <v>0</v>
      </c>
      <c r="J213" s="20">
        <v>9750</v>
      </c>
      <c r="K213" s="132" t="s">
        <v>621</v>
      </c>
      <c r="L213" s="151">
        <v>0</v>
      </c>
      <c r="M213" s="128">
        <v>56.63</v>
      </c>
      <c r="N213" s="67">
        <v>80</v>
      </c>
      <c r="O213" s="67">
        <v>9830</v>
      </c>
      <c r="P213" s="270"/>
      <c r="Q213" s="71"/>
      <c r="R213" s="449"/>
      <c r="S213" s="67">
        <v>10306</v>
      </c>
      <c r="T213" s="163">
        <v>-476</v>
      </c>
      <c r="U213" s="166">
        <v>-4.6186687366582574E-2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603</v>
      </c>
      <c r="B214" s="63" t="s">
        <v>282</v>
      </c>
      <c r="C214" s="63" t="s">
        <v>665</v>
      </c>
      <c r="D214" s="134">
        <v>13.88</v>
      </c>
      <c r="E214" s="67">
        <v>2390</v>
      </c>
      <c r="F214" s="146">
        <v>0</v>
      </c>
      <c r="G214" s="146">
        <v>0</v>
      </c>
      <c r="H214" s="91">
        <v>2390</v>
      </c>
      <c r="I214" s="67">
        <v>0</v>
      </c>
      <c r="J214" s="20">
        <v>2390</v>
      </c>
      <c r="K214" s="132" t="s">
        <v>621</v>
      </c>
      <c r="L214" s="151">
        <v>0</v>
      </c>
      <c r="M214" s="128">
        <v>13.88</v>
      </c>
      <c r="N214" s="67">
        <v>20</v>
      </c>
      <c r="O214" s="67">
        <v>2410</v>
      </c>
      <c r="P214" s="270"/>
      <c r="Q214" s="71"/>
      <c r="R214" s="449"/>
      <c r="S214" s="67">
        <v>0</v>
      </c>
      <c r="T214" s="163">
        <v>2410</v>
      </c>
      <c r="U214" s="166">
        <v>0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597</v>
      </c>
      <c r="B215" s="63" t="s">
        <v>185</v>
      </c>
      <c r="C215" s="63" t="s">
        <v>186</v>
      </c>
      <c r="D215" s="134">
        <v>2092.38</v>
      </c>
      <c r="E215" s="67">
        <v>360245</v>
      </c>
      <c r="F215" s="146">
        <v>0</v>
      </c>
      <c r="G215" s="146">
        <v>0</v>
      </c>
      <c r="H215" s="91">
        <v>360245</v>
      </c>
      <c r="I215" s="67">
        <v>0</v>
      </c>
      <c r="J215" s="20">
        <v>360245</v>
      </c>
      <c r="K215" s="132" t="s">
        <v>621</v>
      </c>
      <c r="L215" s="151">
        <v>0</v>
      </c>
      <c r="M215" s="128">
        <v>2092.38</v>
      </c>
      <c r="N215" s="67">
        <v>2958</v>
      </c>
      <c r="O215" s="67">
        <v>363203</v>
      </c>
      <c r="P215" s="270"/>
      <c r="Q215" s="71"/>
      <c r="R215" s="449"/>
      <c r="S215" s="67">
        <v>354901</v>
      </c>
      <c r="T215" s="163">
        <v>8302</v>
      </c>
      <c r="U215" s="166">
        <v>2.3392439018205077E-2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603</v>
      </c>
      <c r="B216" s="63" t="s">
        <v>102</v>
      </c>
      <c r="C216" s="63" t="s">
        <v>103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 t="s">
        <v>1277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596</v>
      </c>
      <c r="B217" s="63" t="s">
        <v>23</v>
      </c>
      <c r="C217" s="63" t="s">
        <v>24</v>
      </c>
      <c r="D217" s="134">
        <v>272.25</v>
      </c>
      <c r="E217" s="67">
        <v>46873</v>
      </c>
      <c r="F217" s="146">
        <v>0</v>
      </c>
      <c r="G217" s="146">
        <v>0</v>
      </c>
      <c r="H217" s="91">
        <v>46873</v>
      </c>
      <c r="I217" s="67">
        <v>0</v>
      </c>
      <c r="J217" s="20">
        <v>46873</v>
      </c>
      <c r="K217" s="132" t="s">
        <v>621</v>
      </c>
      <c r="L217" s="151">
        <v>0</v>
      </c>
      <c r="M217" s="128">
        <v>272.25</v>
      </c>
      <c r="N217" s="67">
        <v>385</v>
      </c>
      <c r="O217" s="67">
        <v>47258</v>
      </c>
      <c r="P217" s="270"/>
      <c r="Q217" s="71"/>
      <c r="R217" s="449"/>
      <c r="S217" s="67">
        <v>42128</v>
      </c>
      <c r="T217" s="163">
        <v>5130</v>
      </c>
      <c r="U217" s="166">
        <v>0.12177174325864033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599</v>
      </c>
      <c r="B218" s="63" t="s">
        <v>64</v>
      </c>
      <c r="C218" s="63" t="s">
        <v>65</v>
      </c>
      <c r="D218" s="134">
        <v>65.5</v>
      </c>
      <c r="E218" s="67">
        <v>11277</v>
      </c>
      <c r="F218" s="146">
        <v>0</v>
      </c>
      <c r="G218" s="146">
        <v>0</v>
      </c>
      <c r="H218" s="91">
        <v>11277</v>
      </c>
      <c r="I218" s="67">
        <v>0</v>
      </c>
      <c r="J218" s="20">
        <v>11277</v>
      </c>
      <c r="K218" s="132" t="s">
        <v>621</v>
      </c>
      <c r="L218" s="151">
        <v>0</v>
      </c>
      <c r="M218" s="128">
        <v>65.5</v>
      </c>
      <c r="N218" s="67">
        <v>93</v>
      </c>
      <c r="O218" s="67">
        <v>11370</v>
      </c>
      <c r="P218" s="270"/>
      <c r="Q218" s="71"/>
      <c r="R218" s="449"/>
      <c r="S218" s="67">
        <v>11430</v>
      </c>
      <c r="T218" s="163">
        <v>-60</v>
      </c>
      <c r="U218" s="166">
        <v>-5.2493438320209973E-3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603</v>
      </c>
      <c r="B219" s="63" t="s">
        <v>8</v>
      </c>
      <c r="C219" s="63" t="s">
        <v>9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1277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603</v>
      </c>
      <c r="B220" s="63" t="s">
        <v>446</v>
      </c>
      <c r="C220" s="63" t="s">
        <v>447</v>
      </c>
      <c r="D220" s="134">
        <v>7.5</v>
      </c>
      <c r="E220" s="67">
        <v>1291</v>
      </c>
      <c r="F220" s="146">
        <v>0</v>
      </c>
      <c r="G220" s="146">
        <v>0</v>
      </c>
      <c r="H220" s="91">
        <v>1291</v>
      </c>
      <c r="I220" s="67">
        <v>0</v>
      </c>
      <c r="J220" s="20">
        <v>1291</v>
      </c>
      <c r="K220" s="132" t="s">
        <v>1278</v>
      </c>
      <c r="L220" s="151">
        <v>1291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597</v>
      </c>
      <c r="B221" s="63" t="s">
        <v>193</v>
      </c>
      <c r="C221" s="63" t="s">
        <v>194</v>
      </c>
      <c r="D221" s="134">
        <v>63.5</v>
      </c>
      <c r="E221" s="67">
        <v>10933</v>
      </c>
      <c r="F221" s="146">
        <v>0</v>
      </c>
      <c r="G221" s="146">
        <v>0</v>
      </c>
      <c r="H221" s="91">
        <v>10933</v>
      </c>
      <c r="I221" s="67">
        <v>0</v>
      </c>
      <c r="J221" s="20">
        <v>10933</v>
      </c>
      <c r="K221" s="132" t="s">
        <v>621</v>
      </c>
      <c r="L221" s="151">
        <v>0</v>
      </c>
      <c r="M221" s="128">
        <v>63.5</v>
      </c>
      <c r="N221" s="67">
        <v>90</v>
      </c>
      <c r="O221" s="67">
        <v>11023</v>
      </c>
      <c r="P221" s="270"/>
      <c r="Q221" s="71"/>
      <c r="R221" s="449"/>
      <c r="S221" s="67">
        <v>9581</v>
      </c>
      <c r="T221" s="163">
        <v>1442</v>
      </c>
      <c r="U221" s="166">
        <v>0.15050621020770275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484</v>
      </c>
      <c r="C222" s="63" t="s">
        <v>485</v>
      </c>
      <c r="D222" s="134">
        <v>120.5</v>
      </c>
      <c r="E222" s="67">
        <v>20747</v>
      </c>
      <c r="F222" s="146">
        <v>0</v>
      </c>
      <c r="G222" s="146">
        <v>0</v>
      </c>
      <c r="H222" s="91">
        <v>20747</v>
      </c>
      <c r="I222" s="67">
        <v>0</v>
      </c>
      <c r="J222" s="20">
        <v>20747</v>
      </c>
      <c r="K222" s="132" t="s">
        <v>621</v>
      </c>
      <c r="L222" s="151">
        <v>0</v>
      </c>
      <c r="M222" s="128">
        <v>120.5</v>
      </c>
      <c r="N222" s="67">
        <v>170</v>
      </c>
      <c r="O222" s="67">
        <v>20917</v>
      </c>
      <c r="P222" s="270"/>
      <c r="Q222" s="71"/>
      <c r="R222" s="449"/>
      <c r="S222" s="67">
        <v>17926</v>
      </c>
      <c r="T222" s="163">
        <v>2991</v>
      </c>
      <c r="U222" s="166">
        <v>0.16685261631150283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599</v>
      </c>
      <c r="B223" s="63" t="s">
        <v>244</v>
      </c>
      <c r="C223" s="63" t="s">
        <v>245</v>
      </c>
      <c r="D223" s="134">
        <v>12.38</v>
      </c>
      <c r="E223" s="67">
        <v>2131</v>
      </c>
      <c r="F223" s="146">
        <v>0</v>
      </c>
      <c r="G223" s="146">
        <v>0</v>
      </c>
      <c r="H223" s="91">
        <v>2131</v>
      </c>
      <c r="I223" s="67">
        <v>0</v>
      </c>
      <c r="J223" s="20">
        <v>2131</v>
      </c>
      <c r="K223" s="132" t="s">
        <v>644</v>
      </c>
      <c r="L223" s="151">
        <v>2131</v>
      </c>
      <c r="M223" s="128">
        <v>0</v>
      </c>
      <c r="N223" s="67">
        <v>0</v>
      </c>
      <c r="O223" s="67">
        <v>0</v>
      </c>
      <c r="P223" s="270"/>
      <c r="Q223" s="71"/>
      <c r="R223" s="449"/>
      <c r="S223" s="67">
        <v>0</v>
      </c>
      <c r="T223" s="163">
        <v>0</v>
      </c>
      <c r="U223" s="166">
        <v>0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603</v>
      </c>
      <c r="B224" s="63" t="s">
        <v>537</v>
      </c>
      <c r="C224" s="63" t="s">
        <v>538</v>
      </c>
      <c r="D224" s="134">
        <v>0.5</v>
      </c>
      <c r="E224" s="67">
        <v>86</v>
      </c>
      <c r="F224" s="146">
        <v>0</v>
      </c>
      <c r="G224" s="146">
        <v>0</v>
      </c>
      <c r="H224" s="91">
        <v>86</v>
      </c>
      <c r="I224" s="67">
        <v>0</v>
      </c>
      <c r="J224" s="20">
        <v>86</v>
      </c>
      <c r="K224" s="132" t="s">
        <v>1278</v>
      </c>
      <c r="L224" s="151">
        <v>86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605</v>
      </c>
      <c r="B225" s="63" t="s">
        <v>123</v>
      </c>
      <c r="C225" s="63" t="s">
        <v>124</v>
      </c>
      <c r="D225" s="134">
        <v>627</v>
      </c>
      <c r="E225" s="67">
        <v>107951</v>
      </c>
      <c r="F225" s="146">
        <v>0</v>
      </c>
      <c r="G225" s="146">
        <v>0</v>
      </c>
      <c r="H225" s="91">
        <v>107951</v>
      </c>
      <c r="I225" s="67">
        <v>0</v>
      </c>
      <c r="J225" s="20">
        <v>107951</v>
      </c>
      <c r="K225" s="132" t="s">
        <v>621</v>
      </c>
      <c r="L225" s="151">
        <v>0</v>
      </c>
      <c r="M225" s="128">
        <v>627</v>
      </c>
      <c r="N225" s="67">
        <v>886</v>
      </c>
      <c r="O225" s="67">
        <v>108837</v>
      </c>
      <c r="P225" s="270"/>
      <c r="Q225" s="71"/>
      <c r="R225" s="449"/>
      <c r="S225" s="67">
        <v>103854</v>
      </c>
      <c r="T225" s="163">
        <v>4983</v>
      </c>
      <c r="U225" s="166">
        <v>4.7980819226991739E-2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595</v>
      </c>
      <c r="B226" s="63" t="s">
        <v>375</v>
      </c>
      <c r="C226" s="63" t="s">
        <v>614</v>
      </c>
      <c r="D226" s="134">
        <v>51</v>
      </c>
      <c r="E226" s="67">
        <v>8781</v>
      </c>
      <c r="F226" s="146">
        <v>0</v>
      </c>
      <c r="G226" s="146">
        <v>0</v>
      </c>
      <c r="H226" s="91">
        <v>8781</v>
      </c>
      <c r="I226" s="67">
        <v>0</v>
      </c>
      <c r="J226" s="20">
        <v>8781</v>
      </c>
      <c r="K226" s="132" t="s">
        <v>621</v>
      </c>
      <c r="L226" s="151">
        <v>0</v>
      </c>
      <c r="M226" s="128">
        <v>51</v>
      </c>
      <c r="N226" s="67">
        <v>72</v>
      </c>
      <c r="O226" s="67">
        <v>8853</v>
      </c>
      <c r="P226" s="270"/>
      <c r="Q226" s="71"/>
      <c r="R226" s="449"/>
      <c r="S226" s="67">
        <v>7202</v>
      </c>
      <c r="T226" s="163">
        <v>1651</v>
      </c>
      <c r="U226" s="166">
        <v>0.2292418772563177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594</v>
      </c>
      <c r="B227" s="63" t="s">
        <v>149</v>
      </c>
      <c r="C227" s="63" t="s">
        <v>150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20">
        <v>0</v>
      </c>
      <c r="K227" s="132" t="s">
        <v>1277</v>
      </c>
      <c r="L227" s="151">
        <v>0</v>
      </c>
      <c r="M227" s="128">
        <v>0</v>
      </c>
      <c r="N227" s="67">
        <v>0</v>
      </c>
      <c r="O227" s="67">
        <v>0</v>
      </c>
      <c r="P227" s="270"/>
      <c r="Q227" s="71"/>
      <c r="R227" s="449"/>
      <c r="S227" s="67">
        <v>0</v>
      </c>
      <c r="T227" s="163">
        <v>0</v>
      </c>
      <c r="U227" s="166">
        <v>0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597</v>
      </c>
      <c r="B228" s="63" t="s">
        <v>173</v>
      </c>
      <c r="C228" s="63" t="s">
        <v>174</v>
      </c>
      <c r="D228" s="134">
        <v>5780.13</v>
      </c>
      <c r="E228" s="67">
        <v>995168</v>
      </c>
      <c r="F228" s="146">
        <v>0</v>
      </c>
      <c r="G228" s="146">
        <v>0</v>
      </c>
      <c r="H228" s="91">
        <v>995168</v>
      </c>
      <c r="I228" s="67">
        <v>0</v>
      </c>
      <c r="J228" s="20">
        <v>995168</v>
      </c>
      <c r="K228" s="132" t="s">
        <v>621</v>
      </c>
      <c r="L228" s="151">
        <v>0</v>
      </c>
      <c r="M228" s="128">
        <v>5780.13</v>
      </c>
      <c r="N228" s="67">
        <v>8173</v>
      </c>
      <c r="O228" s="303">
        <v>1003340</v>
      </c>
      <c r="P228" s="270"/>
      <c r="Q228" s="71"/>
      <c r="R228" s="449"/>
      <c r="S228" s="67">
        <v>959723</v>
      </c>
      <c r="T228" s="163">
        <v>43617</v>
      </c>
      <c r="U228" s="166">
        <v>4.5447488494075892E-2</v>
      </c>
      <c r="V228" s="61"/>
      <c r="X228" s="303"/>
      <c r="Y228" s="451"/>
      <c r="Z228" s="452"/>
      <c r="AC228" s="36"/>
      <c r="AD228" s="36"/>
      <c r="AE228" s="36"/>
      <c r="AF228" s="19"/>
    </row>
    <row r="229" spans="1:32">
      <c r="A229" s="64" t="s">
        <v>595</v>
      </c>
      <c r="B229" s="63" t="s">
        <v>379</v>
      </c>
      <c r="C229" s="63" t="s">
        <v>615</v>
      </c>
      <c r="D229" s="134">
        <v>201.88</v>
      </c>
      <c r="E229" s="67">
        <v>34758</v>
      </c>
      <c r="F229" s="146">
        <v>0</v>
      </c>
      <c r="G229" s="146">
        <v>0</v>
      </c>
      <c r="H229" s="91">
        <v>34758</v>
      </c>
      <c r="I229" s="67">
        <v>0</v>
      </c>
      <c r="J229" s="20">
        <v>34758</v>
      </c>
      <c r="K229" s="132" t="s">
        <v>621</v>
      </c>
      <c r="L229" s="151">
        <v>0</v>
      </c>
      <c r="M229" s="128">
        <v>201.88</v>
      </c>
      <c r="N229" s="67">
        <v>285</v>
      </c>
      <c r="O229" s="67">
        <v>35043</v>
      </c>
      <c r="P229" s="270"/>
      <c r="Q229" s="71"/>
      <c r="R229" s="449"/>
      <c r="S229" s="67">
        <v>36688</v>
      </c>
      <c r="T229" s="163">
        <v>-1645</v>
      </c>
      <c r="U229" s="166">
        <v>-4.4837549062363716E-2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 s="112" customFormat="1">
      <c r="A230" s="138" t="s">
        <v>605</v>
      </c>
      <c r="B230" s="139" t="s">
        <v>551</v>
      </c>
      <c r="C230" s="63" t="s">
        <v>552</v>
      </c>
      <c r="D230" s="134">
        <v>222.88</v>
      </c>
      <c r="E230" s="67">
        <v>38373</v>
      </c>
      <c r="F230" s="146">
        <v>0</v>
      </c>
      <c r="G230" s="146">
        <v>0</v>
      </c>
      <c r="H230" s="91">
        <v>38373</v>
      </c>
      <c r="I230" s="67">
        <v>0</v>
      </c>
      <c r="J230" s="20">
        <v>38373</v>
      </c>
      <c r="K230" s="132" t="s">
        <v>621</v>
      </c>
      <c r="L230" s="151">
        <v>0</v>
      </c>
      <c r="M230" s="128">
        <v>222.88</v>
      </c>
      <c r="N230" s="67">
        <v>315</v>
      </c>
      <c r="O230" s="67">
        <v>38688</v>
      </c>
      <c r="P230" s="270"/>
      <c r="Q230" s="71"/>
      <c r="R230" s="449"/>
      <c r="S230" s="67">
        <v>35719</v>
      </c>
      <c r="T230" s="163">
        <v>2969</v>
      </c>
      <c r="U230" s="166">
        <v>8.3121028024300797E-2</v>
      </c>
      <c r="V230" s="115"/>
      <c r="X230" s="67"/>
      <c r="Y230" s="451"/>
      <c r="Z230" s="452"/>
      <c r="AC230" s="116"/>
      <c r="AD230" s="116"/>
      <c r="AE230" s="116"/>
      <c r="AF230" s="117"/>
    </row>
    <row r="231" spans="1:32">
      <c r="A231" s="64" t="s">
        <v>603</v>
      </c>
      <c r="B231" s="63" t="s">
        <v>340</v>
      </c>
      <c r="C231" s="63" t="s">
        <v>341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1277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600</v>
      </c>
      <c r="B232" s="63" t="s">
        <v>43</v>
      </c>
      <c r="C232" s="63" t="s">
        <v>44</v>
      </c>
      <c r="D232" s="134">
        <v>37.380000000000003</v>
      </c>
      <c r="E232" s="67">
        <v>6436</v>
      </c>
      <c r="F232" s="146">
        <v>0</v>
      </c>
      <c r="G232" s="146">
        <v>0</v>
      </c>
      <c r="H232" s="91">
        <v>6436</v>
      </c>
      <c r="I232" s="67">
        <v>0</v>
      </c>
      <c r="J232" s="20">
        <v>6436</v>
      </c>
      <c r="K232" s="132" t="s">
        <v>644</v>
      </c>
      <c r="L232" s="151">
        <v>6436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5286</v>
      </c>
      <c r="T232" s="163">
        <v>-5286</v>
      </c>
      <c r="U232" s="166">
        <v>-1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595</v>
      </c>
      <c r="B233" s="63" t="s">
        <v>371</v>
      </c>
      <c r="C233" s="63" t="s">
        <v>670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20">
        <v>0</v>
      </c>
      <c r="K233" s="132" t="s">
        <v>1277</v>
      </c>
      <c r="L233" s="151">
        <v>0</v>
      </c>
      <c r="M233" s="128">
        <v>0</v>
      </c>
      <c r="N233" s="67">
        <v>0</v>
      </c>
      <c r="O233" s="67">
        <v>0</v>
      </c>
      <c r="P233" s="270"/>
      <c r="Q233" s="71"/>
      <c r="R233" s="449"/>
      <c r="S233" s="67">
        <v>0</v>
      </c>
      <c r="T233" s="163">
        <v>0</v>
      </c>
      <c r="U233" s="166">
        <v>0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299</v>
      </c>
      <c r="C234" s="63" t="s">
        <v>300</v>
      </c>
      <c r="D234" s="134">
        <v>310.5</v>
      </c>
      <c r="E234" s="67">
        <v>53459</v>
      </c>
      <c r="F234" s="146">
        <v>0</v>
      </c>
      <c r="G234" s="146">
        <v>0</v>
      </c>
      <c r="H234" s="91">
        <v>53459</v>
      </c>
      <c r="I234" s="67">
        <v>0</v>
      </c>
      <c r="J234" s="20">
        <v>53459</v>
      </c>
      <c r="K234" s="132" t="s">
        <v>621</v>
      </c>
      <c r="L234" s="151">
        <v>0</v>
      </c>
      <c r="M234" s="128">
        <v>310.5</v>
      </c>
      <c r="N234" s="67">
        <v>439</v>
      </c>
      <c r="O234" s="67">
        <v>53898</v>
      </c>
      <c r="P234" s="270"/>
      <c r="Q234" s="71"/>
      <c r="R234" s="449"/>
      <c r="S234" s="67">
        <v>50474</v>
      </c>
      <c r="T234" s="163">
        <v>3424</v>
      </c>
      <c r="U234" s="166">
        <v>6.7836906129888658E-2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597</v>
      </c>
      <c r="B235" s="63" t="s">
        <v>203</v>
      </c>
      <c r="C235" s="63" t="s">
        <v>204</v>
      </c>
      <c r="D235" s="134">
        <v>577.88</v>
      </c>
      <c r="E235" s="67">
        <v>99494</v>
      </c>
      <c r="F235" s="146">
        <v>0</v>
      </c>
      <c r="G235" s="146">
        <v>0</v>
      </c>
      <c r="H235" s="91">
        <v>99494</v>
      </c>
      <c r="I235" s="67">
        <v>0</v>
      </c>
      <c r="J235" s="20">
        <v>99494</v>
      </c>
      <c r="K235" s="132" t="s">
        <v>621</v>
      </c>
      <c r="L235" s="151">
        <v>0</v>
      </c>
      <c r="M235" s="128">
        <v>577.88</v>
      </c>
      <c r="N235" s="67">
        <v>817</v>
      </c>
      <c r="O235" s="67">
        <v>100311</v>
      </c>
      <c r="P235" s="270"/>
      <c r="Q235" s="71"/>
      <c r="R235" s="449"/>
      <c r="S235" s="67">
        <v>97799</v>
      </c>
      <c r="T235" s="163">
        <v>2512</v>
      </c>
      <c r="U235" s="166">
        <v>2.5685334205871227E-2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599</v>
      </c>
      <c r="B236" s="63" t="s">
        <v>387</v>
      </c>
      <c r="C236" s="63" t="s">
        <v>388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1277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597</v>
      </c>
      <c r="B237" s="63" t="s">
        <v>187</v>
      </c>
      <c r="C237" s="63" t="s">
        <v>188</v>
      </c>
      <c r="D237" s="134">
        <v>0</v>
      </c>
      <c r="E237" s="67">
        <v>0</v>
      </c>
      <c r="F237" s="146">
        <v>0</v>
      </c>
      <c r="G237" s="146">
        <v>0</v>
      </c>
      <c r="H237" s="91">
        <v>0</v>
      </c>
      <c r="I237" s="67">
        <v>0</v>
      </c>
      <c r="J237" s="20">
        <v>0</v>
      </c>
      <c r="K237" s="132" t="s">
        <v>1277</v>
      </c>
      <c r="L237" s="151">
        <v>0</v>
      </c>
      <c r="M237" s="128">
        <v>0</v>
      </c>
      <c r="N237" s="67">
        <v>0</v>
      </c>
      <c r="O237" s="67">
        <v>0</v>
      </c>
      <c r="P237" s="270"/>
      <c r="Q237" s="71"/>
      <c r="R237" s="449"/>
      <c r="S237" s="67">
        <v>0</v>
      </c>
      <c r="T237" s="163">
        <v>0</v>
      </c>
      <c r="U237" s="166">
        <v>0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411</v>
      </c>
      <c r="C238" s="63" t="s">
        <v>412</v>
      </c>
      <c r="D238" s="134">
        <v>275.38</v>
      </c>
      <c r="E238" s="67">
        <v>47412</v>
      </c>
      <c r="F238" s="146">
        <v>0</v>
      </c>
      <c r="G238" s="146">
        <v>0</v>
      </c>
      <c r="H238" s="91">
        <v>47412</v>
      </c>
      <c r="I238" s="67">
        <v>0</v>
      </c>
      <c r="J238" s="20">
        <v>47412</v>
      </c>
      <c r="K238" s="132" t="s">
        <v>621</v>
      </c>
      <c r="L238" s="151">
        <v>0</v>
      </c>
      <c r="M238" s="128">
        <v>275.38</v>
      </c>
      <c r="N238" s="67">
        <v>389</v>
      </c>
      <c r="O238" s="67">
        <v>47801</v>
      </c>
      <c r="P238" s="270"/>
      <c r="Q238" s="71"/>
      <c r="R238" s="449"/>
      <c r="S238" s="67">
        <v>43162</v>
      </c>
      <c r="T238" s="163">
        <v>4639</v>
      </c>
      <c r="U238" s="166">
        <v>0.10747880079699736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597</v>
      </c>
      <c r="B239" s="63" t="s">
        <v>199</v>
      </c>
      <c r="C239" s="63" t="s">
        <v>200</v>
      </c>
      <c r="D239" s="134">
        <v>118.38</v>
      </c>
      <c r="E239" s="67">
        <v>20382</v>
      </c>
      <c r="F239" s="146">
        <v>0</v>
      </c>
      <c r="G239" s="146">
        <v>0</v>
      </c>
      <c r="H239" s="91">
        <v>20382</v>
      </c>
      <c r="I239" s="67">
        <v>0</v>
      </c>
      <c r="J239" s="20">
        <v>20382</v>
      </c>
      <c r="K239" s="132" t="s">
        <v>621</v>
      </c>
      <c r="L239" s="151">
        <v>0</v>
      </c>
      <c r="M239" s="128">
        <v>118.38</v>
      </c>
      <c r="N239" s="67">
        <v>167</v>
      </c>
      <c r="O239" s="67">
        <v>20549</v>
      </c>
      <c r="P239" s="270"/>
      <c r="Q239" s="71"/>
      <c r="R239" s="449"/>
      <c r="S239" s="67">
        <v>18587</v>
      </c>
      <c r="T239" s="163">
        <v>1962</v>
      </c>
      <c r="U239" s="166">
        <v>0.10555764781836767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601</v>
      </c>
      <c r="B240" s="63" t="s">
        <v>121</v>
      </c>
      <c r="C240" s="63" t="s">
        <v>122</v>
      </c>
      <c r="D240" s="134">
        <v>82.25</v>
      </c>
      <c r="E240" s="67">
        <v>14161</v>
      </c>
      <c r="F240" s="146">
        <v>0</v>
      </c>
      <c r="G240" s="146">
        <v>0</v>
      </c>
      <c r="H240" s="91">
        <v>14161</v>
      </c>
      <c r="I240" s="67">
        <v>0</v>
      </c>
      <c r="J240" s="20">
        <v>14161</v>
      </c>
      <c r="K240" s="132" t="s">
        <v>621</v>
      </c>
      <c r="L240" s="151">
        <v>0</v>
      </c>
      <c r="M240" s="128">
        <v>82.25</v>
      </c>
      <c r="N240" s="67">
        <v>116</v>
      </c>
      <c r="O240" s="67">
        <v>14277</v>
      </c>
      <c r="P240" s="270"/>
      <c r="Q240" s="71"/>
      <c r="R240" s="449"/>
      <c r="S240" s="67">
        <v>16164</v>
      </c>
      <c r="T240" s="163">
        <v>-1887</v>
      </c>
      <c r="U240" s="166">
        <v>-0.11674090571640683</v>
      </c>
      <c r="V240" s="61"/>
      <c r="X240" s="67"/>
      <c r="Y240" s="451"/>
      <c r="Z240" s="452"/>
      <c r="AC240" s="36"/>
      <c r="AD240" s="36"/>
      <c r="AE240" s="36"/>
      <c r="AF240" s="19"/>
    </row>
    <row r="241" spans="1:32">
      <c r="A241" s="64" t="s">
        <v>594</v>
      </c>
      <c r="B241" s="63" t="s">
        <v>329</v>
      </c>
      <c r="C241" s="63" t="s">
        <v>330</v>
      </c>
      <c r="D241" s="134">
        <v>65.63</v>
      </c>
      <c r="E241" s="67">
        <v>11300</v>
      </c>
      <c r="F241" s="146">
        <v>0</v>
      </c>
      <c r="G241" s="146">
        <v>0</v>
      </c>
      <c r="H241" s="91">
        <v>11300</v>
      </c>
      <c r="I241" s="67">
        <v>0</v>
      </c>
      <c r="J241" s="20">
        <v>11300</v>
      </c>
      <c r="K241" s="132" t="s">
        <v>621</v>
      </c>
      <c r="L241" s="151">
        <v>0</v>
      </c>
      <c r="M241" s="128">
        <v>65.63</v>
      </c>
      <c r="N241" s="67">
        <v>93</v>
      </c>
      <c r="O241" s="67">
        <v>11393</v>
      </c>
      <c r="P241" s="270"/>
      <c r="Q241" s="71"/>
      <c r="R241" s="449"/>
      <c r="S241" s="67">
        <v>13544</v>
      </c>
      <c r="T241" s="163">
        <v>-2151</v>
      </c>
      <c r="U241" s="166">
        <v>-0.15881571175428233</v>
      </c>
      <c r="V241" s="61"/>
      <c r="X241" s="67"/>
      <c r="Y241" s="451"/>
      <c r="Z241" s="452"/>
      <c r="AC241" s="36"/>
      <c r="AD241" s="36"/>
      <c r="AE241" s="36"/>
      <c r="AF241" s="19"/>
    </row>
    <row r="242" spans="1:32">
      <c r="A242" s="64" t="s">
        <v>600</v>
      </c>
      <c r="B242" s="63" t="s">
        <v>218</v>
      </c>
      <c r="C242" s="63" t="s">
        <v>219</v>
      </c>
      <c r="D242" s="134">
        <v>97.13</v>
      </c>
      <c r="E242" s="67">
        <v>16723</v>
      </c>
      <c r="F242" s="146">
        <v>0</v>
      </c>
      <c r="G242" s="146">
        <v>0</v>
      </c>
      <c r="H242" s="91">
        <v>16723</v>
      </c>
      <c r="I242" s="67">
        <v>0</v>
      </c>
      <c r="J242" s="20">
        <v>16723</v>
      </c>
      <c r="K242" s="132" t="s">
        <v>621</v>
      </c>
      <c r="L242" s="151">
        <v>0</v>
      </c>
      <c r="M242" s="128">
        <v>97.13</v>
      </c>
      <c r="N242" s="67">
        <v>137</v>
      </c>
      <c r="O242" s="67">
        <v>16860</v>
      </c>
      <c r="P242" s="270"/>
      <c r="Q242" s="71"/>
      <c r="R242" s="449"/>
      <c r="S242" s="67">
        <v>13853</v>
      </c>
      <c r="T242" s="163">
        <v>3007</v>
      </c>
      <c r="U242" s="166">
        <v>0.21706489569046417</v>
      </c>
      <c r="V242" s="61"/>
      <c r="X242" s="67"/>
      <c r="Y242" s="451"/>
      <c r="Z242" s="452"/>
      <c r="AC242" s="36"/>
      <c r="AD242" s="36"/>
      <c r="AE242" s="36"/>
      <c r="AF242" s="19"/>
    </row>
    <row r="243" spans="1:32">
      <c r="A243" s="64" t="s">
        <v>595</v>
      </c>
      <c r="B243" s="63" t="s">
        <v>161</v>
      </c>
      <c r="C243" s="63" t="s">
        <v>162</v>
      </c>
      <c r="D243" s="134">
        <v>12.38</v>
      </c>
      <c r="E243" s="67">
        <v>2131</v>
      </c>
      <c r="F243" s="146">
        <v>0</v>
      </c>
      <c r="G243" s="146">
        <v>0</v>
      </c>
      <c r="H243" s="91">
        <v>2131</v>
      </c>
      <c r="I243" s="67">
        <v>0</v>
      </c>
      <c r="J243" s="20">
        <v>2131</v>
      </c>
      <c r="K243" s="132" t="s">
        <v>1278</v>
      </c>
      <c r="L243" s="151">
        <v>2131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594</v>
      </c>
      <c r="B244" s="63" t="s">
        <v>295</v>
      </c>
      <c r="C244" s="63" t="s">
        <v>296</v>
      </c>
      <c r="D244" s="134">
        <v>3</v>
      </c>
      <c r="E244" s="67">
        <v>517</v>
      </c>
      <c r="F244" s="146">
        <v>0</v>
      </c>
      <c r="G244" s="146">
        <v>0</v>
      </c>
      <c r="H244" s="91">
        <v>517</v>
      </c>
      <c r="I244" s="67">
        <v>0</v>
      </c>
      <c r="J244" s="20">
        <v>517</v>
      </c>
      <c r="K244" s="132" t="s">
        <v>1278</v>
      </c>
      <c r="L244" s="151">
        <v>517</v>
      </c>
      <c r="M244" s="128">
        <v>0</v>
      </c>
      <c r="N244" s="67">
        <v>0</v>
      </c>
      <c r="O244" s="67">
        <v>0</v>
      </c>
      <c r="P244" s="270"/>
      <c r="Q244" s="71"/>
      <c r="R244" s="449"/>
      <c r="S244" s="67">
        <v>176</v>
      </c>
      <c r="T244" s="163">
        <v>-176</v>
      </c>
      <c r="U244" s="166">
        <v>-1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603</v>
      </c>
      <c r="B245" s="63" t="s">
        <v>422</v>
      </c>
      <c r="C245" s="63" t="s">
        <v>423</v>
      </c>
      <c r="D245" s="134">
        <v>1324.63</v>
      </c>
      <c r="E245" s="67">
        <v>228062</v>
      </c>
      <c r="F245" s="146">
        <v>0</v>
      </c>
      <c r="G245" s="146">
        <v>0</v>
      </c>
      <c r="H245" s="91">
        <v>228062</v>
      </c>
      <c r="I245" s="67">
        <v>0</v>
      </c>
      <c r="J245" s="20">
        <v>228062</v>
      </c>
      <c r="K245" s="132" t="s">
        <v>621</v>
      </c>
      <c r="L245" s="151">
        <v>0</v>
      </c>
      <c r="M245" s="128">
        <v>1324.63</v>
      </c>
      <c r="N245" s="67">
        <v>1872</v>
      </c>
      <c r="O245" s="67">
        <v>229934</v>
      </c>
      <c r="P245" s="270"/>
      <c r="Q245" s="71"/>
      <c r="R245" s="449"/>
      <c r="S245" s="67">
        <v>207379</v>
      </c>
      <c r="T245" s="163">
        <v>22555</v>
      </c>
      <c r="U245" s="166">
        <v>0.10876221796806812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603</v>
      </c>
      <c r="B246" s="63" t="s">
        <v>280</v>
      </c>
      <c r="C246" s="63" t="s">
        <v>281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20">
        <v>0</v>
      </c>
      <c r="K246" s="132" t="s">
        <v>1277</v>
      </c>
      <c r="L246" s="151">
        <v>0</v>
      </c>
      <c r="M246" s="128">
        <v>0</v>
      </c>
      <c r="N246" s="67">
        <v>0</v>
      </c>
      <c r="O246" s="67">
        <v>0</v>
      </c>
      <c r="P246" s="270"/>
      <c r="Q246" s="71"/>
      <c r="R246" s="449"/>
      <c r="S246" s="67">
        <v>0</v>
      </c>
      <c r="T246" s="163">
        <v>0</v>
      </c>
      <c r="U246" s="166">
        <v>0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603</v>
      </c>
      <c r="B247" s="63" t="s">
        <v>539</v>
      </c>
      <c r="C247" s="63" t="s">
        <v>540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20">
        <v>0</v>
      </c>
      <c r="K247" s="132" t="s">
        <v>1277</v>
      </c>
      <c r="L247" s="151">
        <v>0</v>
      </c>
      <c r="M247" s="128">
        <v>0</v>
      </c>
      <c r="N247" s="67">
        <v>0</v>
      </c>
      <c r="O247" s="67">
        <v>0</v>
      </c>
      <c r="P247" s="270"/>
      <c r="Q247" s="71"/>
      <c r="R247" s="449"/>
      <c r="S247" s="67">
        <v>0</v>
      </c>
      <c r="T247" s="163">
        <v>0</v>
      </c>
      <c r="U247" s="166">
        <v>0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595</v>
      </c>
      <c r="B248" s="63" t="s">
        <v>421</v>
      </c>
      <c r="C248" s="63" t="s">
        <v>673</v>
      </c>
      <c r="D248" s="134">
        <v>87.25</v>
      </c>
      <c r="E248" s="67">
        <v>15022</v>
      </c>
      <c r="F248" s="146">
        <v>0</v>
      </c>
      <c r="G248" s="146">
        <v>0</v>
      </c>
      <c r="H248" s="91">
        <v>15022</v>
      </c>
      <c r="I248" s="67">
        <v>0</v>
      </c>
      <c r="J248" s="20">
        <v>15022</v>
      </c>
      <c r="K248" s="132" t="s">
        <v>621</v>
      </c>
      <c r="L248" s="151">
        <v>0</v>
      </c>
      <c r="M248" s="128">
        <v>87.25</v>
      </c>
      <c r="N248" s="67">
        <v>123</v>
      </c>
      <c r="O248" s="67">
        <v>15145</v>
      </c>
      <c r="P248" s="270"/>
      <c r="Q248" s="71"/>
      <c r="R248" s="449"/>
      <c r="S248" s="67">
        <v>14535</v>
      </c>
      <c r="T248" s="163">
        <v>610</v>
      </c>
      <c r="U248" s="166">
        <v>4.1967664258685929E-2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596</v>
      </c>
      <c r="B249" s="63" t="s">
        <v>108</v>
      </c>
      <c r="C249" s="63" t="s">
        <v>109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1277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596</v>
      </c>
      <c r="B250" s="63" t="s">
        <v>68</v>
      </c>
      <c r="C250" s="63" t="s">
        <v>69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20">
        <v>0</v>
      </c>
      <c r="K250" s="132" t="s">
        <v>1277</v>
      </c>
      <c r="L250" s="151">
        <v>0</v>
      </c>
      <c r="M250" s="128">
        <v>0</v>
      </c>
      <c r="N250" s="67">
        <v>0</v>
      </c>
      <c r="O250" s="67">
        <v>0</v>
      </c>
      <c r="P250" s="270"/>
      <c r="Q250" s="71"/>
      <c r="R250" s="449"/>
      <c r="S250" s="67">
        <v>0</v>
      </c>
      <c r="T250" s="163">
        <v>0</v>
      </c>
      <c r="U250" s="166">
        <v>0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601</v>
      </c>
      <c r="B251" s="63" t="s">
        <v>27</v>
      </c>
      <c r="C251" s="63" t="s">
        <v>28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20">
        <v>0</v>
      </c>
      <c r="K251" s="132" t="s">
        <v>1277</v>
      </c>
      <c r="L251" s="151">
        <v>0</v>
      </c>
      <c r="M251" s="128">
        <v>0</v>
      </c>
      <c r="N251" s="67">
        <v>0</v>
      </c>
      <c r="O251" s="67">
        <v>0</v>
      </c>
      <c r="P251" s="270"/>
      <c r="Q251" s="71"/>
      <c r="R251" s="449"/>
      <c r="S251" s="67">
        <v>0</v>
      </c>
      <c r="T251" s="163">
        <v>0</v>
      </c>
      <c r="U251" s="166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597</v>
      </c>
      <c r="B252" s="63" t="s">
        <v>342</v>
      </c>
      <c r="C252" s="63" t="s">
        <v>617</v>
      </c>
      <c r="D252" s="134">
        <v>64.38</v>
      </c>
      <c r="E252" s="67">
        <v>11084</v>
      </c>
      <c r="F252" s="146">
        <v>0</v>
      </c>
      <c r="G252" s="146">
        <v>0</v>
      </c>
      <c r="H252" s="91">
        <v>11084</v>
      </c>
      <c r="I252" s="67">
        <v>0</v>
      </c>
      <c r="J252" s="20">
        <v>11084</v>
      </c>
      <c r="K252" s="132" t="s">
        <v>621</v>
      </c>
      <c r="L252" s="151">
        <v>0</v>
      </c>
      <c r="M252" s="128">
        <v>64.38</v>
      </c>
      <c r="N252" s="67">
        <v>91</v>
      </c>
      <c r="O252" s="67">
        <v>11175</v>
      </c>
      <c r="P252" s="270"/>
      <c r="Q252" s="71"/>
      <c r="R252" s="449"/>
      <c r="S252" s="67">
        <v>13016</v>
      </c>
      <c r="T252" s="163">
        <v>-1841</v>
      </c>
      <c r="U252" s="166">
        <v>-0.14144130301167793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603</v>
      </c>
      <c r="B253" s="63" t="s">
        <v>531</v>
      </c>
      <c r="C253" s="63" t="s">
        <v>532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20">
        <v>0</v>
      </c>
      <c r="K253" s="132" t="s">
        <v>1277</v>
      </c>
      <c r="L253" s="151">
        <v>0</v>
      </c>
      <c r="M253" s="128">
        <v>0</v>
      </c>
      <c r="N253" s="67">
        <v>0</v>
      </c>
      <c r="O253" s="67">
        <v>0</v>
      </c>
      <c r="P253" s="270"/>
      <c r="Q253" s="71"/>
      <c r="R253" s="449"/>
      <c r="S253" s="67">
        <v>0</v>
      </c>
      <c r="T253" s="163">
        <v>0</v>
      </c>
      <c r="U253" s="166">
        <v>0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599</v>
      </c>
      <c r="B254" s="63" t="s">
        <v>393</v>
      </c>
      <c r="C254" s="63" t="s">
        <v>394</v>
      </c>
      <c r="D254" s="134">
        <v>28</v>
      </c>
      <c r="E254" s="67">
        <v>4821</v>
      </c>
      <c r="F254" s="146">
        <v>0</v>
      </c>
      <c r="G254" s="146">
        <v>0</v>
      </c>
      <c r="H254" s="91">
        <v>4821</v>
      </c>
      <c r="I254" s="67">
        <v>0</v>
      </c>
      <c r="J254" s="20">
        <v>4821</v>
      </c>
      <c r="K254" s="132" t="s">
        <v>644</v>
      </c>
      <c r="L254" s="151">
        <v>4821</v>
      </c>
      <c r="M254" s="128">
        <v>0</v>
      </c>
      <c r="N254" s="67">
        <v>0</v>
      </c>
      <c r="O254" s="67">
        <v>0</v>
      </c>
      <c r="P254" s="270"/>
      <c r="Q254" s="71"/>
      <c r="R254" s="449"/>
      <c r="S254" s="67">
        <v>0</v>
      </c>
      <c r="T254" s="163">
        <v>0</v>
      </c>
      <c r="U254" s="166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415</v>
      </c>
      <c r="C255" s="63" t="s">
        <v>416</v>
      </c>
      <c r="D255" s="134">
        <v>115.75</v>
      </c>
      <c r="E255" s="67">
        <v>19929</v>
      </c>
      <c r="F255" s="146">
        <v>0</v>
      </c>
      <c r="G255" s="146">
        <v>0</v>
      </c>
      <c r="H255" s="91">
        <v>19929</v>
      </c>
      <c r="I255" s="67">
        <v>0</v>
      </c>
      <c r="J255" s="20">
        <v>19929</v>
      </c>
      <c r="K255" s="132" t="s">
        <v>621</v>
      </c>
      <c r="L255" s="151">
        <v>0</v>
      </c>
      <c r="M255" s="128">
        <v>115.75</v>
      </c>
      <c r="N255" s="67">
        <v>164</v>
      </c>
      <c r="O255" s="67">
        <v>20093</v>
      </c>
      <c r="P255" s="270"/>
      <c r="Q255" s="71"/>
      <c r="R255" s="449"/>
      <c r="S255" s="67">
        <v>18366</v>
      </c>
      <c r="T255" s="163">
        <v>1727</v>
      </c>
      <c r="U255" s="166">
        <v>9.4032451268648592E-2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603</v>
      </c>
      <c r="B256" s="63" t="s">
        <v>460</v>
      </c>
      <c r="C256" s="63" t="s">
        <v>461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20">
        <v>0</v>
      </c>
      <c r="K256" s="132" t="s">
        <v>1277</v>
      </c>
      <c r="L256" s="151">
        <v>0</v>
      </c>
      <c r="M256" s="128">
        <v>0</v>
      </c>
      <c r="N256" s="67">
        <v>0</v>
      </c>
      <c r="O256" s="67">
        <v>0</v>
      </c>
      <c r="P256" s="270"/>
      <c r="Q256" s="71"/>
      <c r="R256" s="449"/>
      <c r="S256" s="67">
        <v>0</v>
      </c>
      <c r="T256" s="163">
        <v>0</v>
      </c>
      <c r="U256" s="166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597</v>
      </c>
      <c r="B257" s="63" t="s">
        <v>351</v>
      </c>
      <c r="C257" s="63" t="s">
        <v>352</v>
      </c>
      <c r="D257" s="134">
        <v>256.88</v>
      </c>
      <c r="E257" s="67">
        <v>44227</v>
      </c>
      <c r="F257" s="146">
        <v>0</v>
      </c>
      <c r="G257" s="146">
        <v>0</v>
      </c>
      <c r="H257" s="91">
        <v>44227</v>
      </c>
      <c r="I257" s="67">
        <v>0</v>
      </c>
      <c r="J257" s="20">
        <v>44227</v>
      </c>
      <c r="K257" s="132" t="s">
        <v>621</v>
      </c>
      <c r="L257" s="151">
        <v>0</v>
      </c>
      <c r="M257" s="128">
        <v>256.88</v>
      </c>
      <c r="N257" s="67">
        <v>363</v>
      </c>
      <c r="O257" s="67">
        <v>44590</v>
      </c>
      <c r="P257" s="270"/>
      <c r="Q257" s="71"/>
      <c r="R257" s="449"/>
      <c r="S257" s="67">
        <v>38273</v>
      </c>
      <c r="T257" s="163">
        <v>6317</v>
      </c>
      <c r="U257" s="166">
        <v>0.1650510803961017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605</v>
      </c>
      <c r="B258" s="63" t="s">
        <v>557</v>
      </c>
      <c r="C258" s="63" t="s">
        <v>558</v>
      </c>
      <c r="D258" s="134">
        <v>1911.75</v>
      </c>
      <c r="E258" s="67">
        <v>329146</v>
      </c>
      <c r="F258" s="146">
        <v>0</v>
      </c>
      <c r="G258" s="146">
        <v>0</v>
      </c>
      <c r="H258" s="91">
        <v>329146</v>
      </c>
      <c r="I258" s="67">
        <v>0</v>
      </c>
      <c r="J258" s="20">
        <v>329146</v>
      </c>
      <c r="K258" s="132" t="s">
        <v>621</v>
      </c>
      <c r="L258" s="151">
        <v>0</v>
      </c>
      <c r="M258" s="128">
        <v>1911.75</v>
      </c>
      <c r="N258" s="67">
        <v>2702</v>
      </c>
      <c r="O258" s="67">
        <v>331848</v>
      </c>
      <c r="P258" s="270"/>
      <c r="Q258" s="71"/>
      <c r="R258" s="449"/>
      <c r="S258" s="67">
        <v>297492</v>
      </c>
      <c r="T258" s="163">
        <v>34356</v>
      </c>
      <c r="U258" s="166">
        <v>0.11548545843249566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597</v>
      </c>
      <c r="B259" s="63" t="s">
        <v>345</v>
      </c>
      <c r="C259" s="63" t="s">
        <v>346</v>
      </c>
      <c r="D259" s="134">
        <v>2217.5</v>
      </c>
      <c r="E259" s="67">
        <v>381787</v>
      </c>
      <c r="F259" s="146">
        <v>0</v>
      </c>
      <c r="G259" s="146">
        <v>0</v>
      </c>
      <c r="H259" s="91">
        <v>381787</v>
      </c>
      <c r="I259" s="67">
        <v>0</v>
      </c>
      <c r="J259" s="20">
        <v>381787</v>
      </c>
      <c r="K259" s="132" t="s">
        <v>621</v>
      </c>
      <c r="L259" s="151">
        <v>0</v>
      </c>
      <c r="M259" s="128">
        <v>2217.5</v>
      </c>
      <c r="N259" s="67">
        <v>3135</v>
      </c>
      <c r="O259" s="67">
        <v>384922</v>
      </c>
      <c r="P259" s="270"/>
      <c r="Q259" s="71"/>
      <c r="R259" s="449"/>
      <c r="S259" s="67">
        <v>355651</v>
      </c>
      <c r="T259" s="163">
        <v>29271</v>
      </c>
      <c r="U259" s="166">
        <v>8.2302594397316464E-2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594</v>
      </c>
      <c r="B260" s="63" t="s">
        <v>143</v>
      </c>
      <c r="C260" s="63" t="s">
        <v>144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20">
        <v>0</v>
      </c>
      <c r="K260" s="132" t="s">
        <v>1277</v>
      </c>
      <c r="L260" s="151">
        <v>0</v>
      </c>
      <c r="M260" s="128">
        <v>0</v>
      </c>
      <c r="N260" s="67">
        <v>0</v>
      </c>
      <c r="O260" s="67">
        <v>0</v>
      </c>
      <c r="P260" s="270"/>
      <c r="Q260" s="71"/>
      <c r="R260" s="449"/>
      <c r="S260" s="67">
        <v>0</v>
      </c>
      <c r="T260" s="163">
        <v>0</v>
      </c>
      <c r="U260" s="166">
        <v>0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597</v>
      </c>
      <c r="B261" s="63" t="s">
        <v>197</v>
      </c>
      <c r="C261" s="63" t="s">
        <v>198</v>
      </c>
      <c r="D261" s="134">
        <v>125.5</v>
      </c>
      <c r="E261" s="67">
        <v>21607</v>
      </c>
      <c r="F261" s="146">
        <v>0</v>
      </c>
      <c r="G261" s="146">
        <v>0</v>
      </c>
      <c r="H261" s="91">
        <v>21607</v>
      </c>
      <c r="I261" s="67">
        <v>0</v>
      </c>
      <c r="J261" s="20">
        <v>21607</v>
      </c>
      <c r="K261" s="132" t="s">
        <v>621</v>
      </c>
      <c r="L261" s="151">
        <v>0</v>
      </c>
      <c r="M261" s="128">
        <v>125.5</v>
      </c>
      <c r="N261" s="67">
        <v>177</v>
      </c>
      <c r="O261" s="67">
        <v>21784</v>
      </c>
      <c r="P261" s="270"/>
      <c r="Q261" s="71"/>
      <c r="R261" s="449"/>
      <c r="S261" s="67">
        <v>20744</v>
      </c>
      <c r="T261" s="163">
        <v>1040</v>
      </c>
      <c r="U261" s="166">
        <v>5.0134978789047435E-2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603</v>
      </c>
      <c r="B262" s="63" t="s">
        <v>521</v>
      </c>
      <c r="C262" s="63" t="s">
        <v>522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1277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594</v>
      </c>
      <c r="B263" s="63" t="s">
        <v>486</v>
      </c>
      <c r="C263" s="63" t="s">
        <v>487</v>
      </c>
      <c r="D263" s="134">
        <v>12.88</v>
      </c>
      <c r="E263" s="67">
        <v>2218</v>
      </c>
      <c r="F263" s="146">
        <v>0</v>
      </c>
      <c r="G263" s="146">
        <v>0</v>
      </c>
      <c r="H263" s="91">
        <v>2218</v>
      </c>
      <c r="I263" s="67">
        <v>0</v>
      </c>
      <c r="J263" s="20">
        <v>2218</v>
      </c>
      <c r="K263" s="132" t="s">
        <v>621</v>
      </c>
      <c r="L263" s="151">
        <v>0</v>
      </c>
      <c r="M263" s="128">
        <v>12.88</v>
      </c>
      <c r="N263" s="67">
        <v>18</v>
      </c>
      <c r="O263" s="67">
        <v>2236</v>
      </c>
      <c r="P263" s="270"/>
      <c r="Q263" s="71"/>
      <c r="R263" s="449"/>
      <c r="S263" s="67">
        <v>2423</v>
      </c>
      <c r="T263" s="163">
        <v>-187</v>
      </c>
      <c r="U263" s="166">
        <v>-7.7177053239785395E-2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605</v>
      </c>
      <c r="B264" s="63" t="s">
        <v>224</v>
      </c>
      <c r="C264" s="63" t="s">
        <v>225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20">
        <v>0</v>
      </c>
      <c r="K264" s="132" t="s">
        <v>1277</v>
      </c>
      <c r="L264" s="151">
        <v>0</v>
      </c>
      <c r="M264" s="128">
        <v>0</v>
      </c>
      <c r="N264" s="67">
        <v>0</v>
      </c>
      <c r="O264" s="67">
        <v>0</v>
      </c>
      <c r="P264" s="270"/>
      <c r="Q264" s="71"/>
      <c r="R264" s="449"/>
      <c r="S264" s="67">
        <v>0</v>
      </c>
      <c r="T264" s="163">
        <v>0</v>
      </c>
      <c r="U264" s="166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594</v>
      </c>
      <c r="B265" s="63" t="s">
        <v>268</v>
      </c>
      <c r="C265" s="63" t="s">
        <v>269</v>
      </c>
      <c r="D265" s="134">
        <v>20.5</v>
      </c>
      <c r="E265" s="67">
        <v>3529</v>
      </c>
      <c r="F265" s="146">
        <v>0</v>
      </c>
      <c r="G265" s="146">
        <v>0</v>
      </c>
      <c r="H265" s="91">
        <v>3529</v>
      </c>
      <c r="I265" s="67">
        <v>0</v>
      </c>
      <c r="J265" s="20">
        <v>3529</v>
      </c>
      <c r="K265" s="132" t="s">
        <v>644</v>
      </c>
      <c r="L265" s="151">
        <v>3529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3634</v>
      </c>
      <c r="T265" s="163">
        <v>-3634</v>
      </c>
      <c r="U265" s="166">
        <v>-1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601</v>
      </c>
      <c r="B266" s="63" t="s">
        <v>321</v>
      </c>
      <c r="C266" s="63" t="s">
        <v>322</v>
      </c>
      <c r="D266" s="134">
        <v>134.13</v>
      </c>
      <c r="E266" s="67">
        <v>23093</v>
      </c>
      <c r="F266" s="146">
        <v>0</v>
      </c>
      <c r="G266" s="146">
        <v>0</v>
      </c>
      <c r="H266" s="91">
        <v>23093</v>
      </c>
      <c r="I266" s="67">
        <v>0</v>
      </c>
      <c r="J266" s="20">
        <v>23093</v>
      </c>
      <c r="K266" s="132" t="s">
        <v>621</v>
      </c>
      <c r="L266" s="151">
        <v>0</v>
      </c>
      <c r="M266" s="128">
        <v>134.13</v>
      </c>
      <c r="N266" s="67">
        <v>190</v>
      </c>
      <c r="O266" s="67">
        <v>23283</v>
      </c>
      <c r="P266" s="270"/>
      <c r="Q266" s="71"/>
      <c r="R266" s="449"/>
      <c r="S266" s="67">
        <v>20304</v>
      </c>
      <c r="T266" s="163">
        <v>2979</v>
      </c>
      <c r="U266" s="166">
        <v>0.14671985815602837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605</v>
      </c>
      <c r="B267" s="63" t="s">
        <v>559</v>
      </c>
      <c r="C267" s="63" t="s">
        <v>560</v>
      </c>
      <c r="D267" s="134">
        <v>1360.38</v>
      </c>
      <c r="E267" s="67">
        <v>234217</v>
      </c>
      <c r="F267" s="146">
        <v>0</v>
      </c>
      <c r="G267" s="146">
        <v>0</v>
      </c>
      <c r="H267" s="91">
        <v>234217</v>
      </c>
      <c r="I267" s="67">
        <v>0</v>
      </c>
      <c r="J267" s="20">
        <v>234217</v>
      </c>
      <c r="K267" s="132" t="s">
        <v>621</v>
      </c>
      <c r="L267" s="151">
        <v>0</v>
      </c>
      <c r="M267" s="128">
        <v>1360.38</v>
      </c>
      <c r="N267" s="67">
        <v>1923</v>
      </c>
      <c r="O267" s="67">
        <v>236140</v>
      </c>
      <c r="P267" s="270"/>
      <c r="Q267" s="71"/>
      <c r="R267" s="449"/>
      <c r="S267" s="67">
        <v>248516</v>
      </c>
      <c r="T267" s="163">
        <v>-12376</v>
      </c>
      <c r="U267" s="166">
        <v>-4.979961048785591E-2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596</v>
      </c>
      <c r="B268" s="63" t="s">
        <v>496</v>
      </c>
      <c r="C268" s="63" t="s">
        <v>497</v>
      </c>
      <c r="D268" s="134">
        <v>23</v>
      </c>
      <c r="E268" s="67">
        <v>3960</v>
      </c>
      <c r="F268" s="146">
        <v>0</v>
      </c>
      <c r="G268" s="146">
        <v>0</v>
      </c>
      <c r="H268" s="91">
        <v>3960</v>
      </c>
      <c r="I268" s="67">
        <v>0</v>
      </c>
      <c r="J268" s="20">
        <v>3960</v>
      </c>
      <c r="K268" s="132" t="s">
        <v>621</v>
      </c>
      <c r="L268" s="151">
        <v>0</v>
      </c>
      <c r="M268" s="128">
        <v>23</v>
      </c>
      <c r="N268" s="67">
        <v>33</v>
      </c>
      <c r="O268" s="67">
        <v>3993</v>
      </c>
      <c r="P268" s="270"/>
      <c r="Q268" s="71"/>
      <c r="R268" s="449"/>
      <c r="S268" s="67">
        <v>2951</v>
      </c>
      <c r="T268" s="163">
        <v>1042</v>
      </c>
      <c r="U268" s="166">
        <v>0.35310064384954254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599</v>
      </c>
      <c r="B269" s="63" t="s">
        <v>72</v>
      </c>
      <c r="C269" s="63" t="s">
        <v>73</v>
      </c>
      <c r="D269" s="134">
        <v>0</v>
      </c>
      <c r="E269" s="67">
        <v>0</v>
      </c>
      <c r="F269" s="146">
        <v>0</v>
      </c>
      <c r="G269" s="146">
        <v>0</v>
      </c>
      <c r="H269" s="91">
        <v>0</v>
      </c>
      <c r="I269" s="67">
        <v>0</v>
      </c>
      <c r="J269" s="20">
        <v>0</v>
      </c>
      <c r="K269" s="132" t="s">
        <v>1277</v>
      </c>
      <c r="L269" s="151">
        <v>0</v>
      </c>
      <c r="M269" s="128">
        <v>0</v>
      </c>
      <c r="N269" s="67">
        <v>0</v>
      </c>
      <c r="O269" s="67">
        <v>0</v>
      </c>
      <c r="P269" s="270"/>
      <c r="Q269" s="71"/>
      <c r="R269" s="449"/>
      <c r="S269" s="67">
        <v>0</v>
      </c>
      <c r="T269" s="163">
        <v>0</v>
      </c>
      <c r="U269" s="166">
        <v>0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599</v>
      </c>
      <c r="B270" s="63" t="s">
        <v>238</v>
      </c>
      <c r="C270" s="63" t="s">
        <v>239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20">
        <v>0</v>
      </c>
      <c r="K270" s="132" t="s">
        <v>1277</v>
      </c>
      <c r="L270" s="151">
        <v>0</v>
      </c>
      <c r="M270" s="128">
        <v>0</v>
      </c>
      <c r="N270" s="67">
        <v>0</v>
      </c>
      <c r="O270" s="67">
        <v>0</v>
      </c>
      <c r="P270" s="270"/>
      <c r="Q270" s="71"/>
      <c r="R270" s="449"/>
      <c r="S270" s="67">
        <v>0</v>
      </c>
      <c r="T270" s="163">
        <v>0</v>
      </c>
      <c r="U270" s="166">
        <v>0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3" t="s">
        <v>191</v>
      </c>
      <c r="C271" s="63" t="s">
        <v>192</v>
      </c>
      <c r="D271" s="134">
        <v>1071.5</v>
      </c>
      <c r="E271" s="67">
        <v>184480</v>
      </c>
      <c r="F271" s="146">
        <v>0</v>
      </c>
      <c r="G271" s="146">
        <v>0</v>
      </c>
      <c r="H271" s="91">
        <v>184480</v>
      </c>
      <c r="I271" s="67">
        <v>0</v>
      </c>
      <c r="J271" s="20">
        <v>184480</v>
      </c>
      <c r="K271" s="132" t="s">
        <v>621</v>
      </c>
      <c r="L271" s="151">
        <v>0</v>
      </c>
      <c r="M271" s="128">
        <v>1071.5</v>
      </c>
      <c r="N271" s="67">
        <v>1515</v>
      </c>
      <c r="O271" s="67">
        <v>185995</v>
      </c>
      <c r="P271" s="270"/>
      <c r="Q271" s="71"/>
      <c r="R271" s="449"/>
      <c r="S271" s="67">
        <v>173971</v>
      </c>
      <c r="T271" s="163">
        <v>12024</v>
      </c>
      <c r="U271" s="166">
        <v>6.911496743710159E-2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594</v>
      </c>
      <c r="B272" s="63" t="s">
        <v>476</v>
      </c>
      <c r="C272" s="63" t="s">
        <v>477</v>
      </c>
      <c r="D272" s="134">
        <v>92.25</v>
      </c>
      <c r="E272" s="67">
        <v>15883</v>
      </c>
      <c r="F272" s="146">
        <v>0</v>
      </c>
      <c r="G272" s="146">
        <v>0</v>
      </c>
      <c r="H272" s="91">
        <v>15883</v>
      </c>
      <c r="I272" s="67">
        <v>0</v>
      </c>
      <c r="J272" s="20">
        <v>15883</v>
      </c>
      <c r="K272" s="132" t="s">
        <v>621</v>
      </c>
      <c r="L272" s="151">
        <v>0</v>
      </c>
      <c r="M272" s="128">
        <v>92.25</v>
      </c>
      <c r="N272" s="67">
        <v>130</v>
      </c>
      <c r="O272" s="67">
        <v>16013</v>
      </c>
      <c r="P272" s="270"/>
      <c r="Q272" s="71"/>
      <c r="R272" s="449"/>
      <c r="S272" s="67">
        <v>17816</v>
      </c>
      <c r="T272" s="163">
        <v>-1803</v>
      </c>
      <c r="U272" s="166">
        <v>-0.10120116748989673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605</v>
      </c>
      <c r="B273" s="63" t="s">
        <v>543</v>
      </c>
      <c r="C273" s="63" t="s">
        <v>544</v>
      </c>
      <c r="D273" s="134">
        <v>156.5</v>
      </c>
      <c r="E273" s="67">
        <v>26945</v>
      </c>
      <c r="F273" s="146">
        <v>0</v>
      </c>
      <c r="G273" s="146">
        <v>0</v>
      </c>
      <c r="H273" s="91">
        <v>26945</v>
      </c>
      <c r="I273" s="67">
        <v>0</v>
      </c>
      <c r="J273" s="20">
        <v>26945</v>
      </c>
      <c r="K273" s="132" t="s">
        <v>621</v>
      </c>
      <c r="L273" s="151">
        <v>0</v>
      </c>
      <c r="M273" s="128">
        <v>156.5</v>
      </c>
      <c r="N273" s="67">
        <v>221</v>
      </c>
      <c r="O273" s="67">
        <v>27166</v>
      </c>
      <c r="P273" s="270"/>
      <c r="Q273" s="71"/>
      <c r="R273" s="449"/>
      <c r="S273" s="67">
        <v>25589</v>
      </c>
      <c r="T273" s="163">
        <v>1577</v>
      </c>
      <c r="U273" s="166">
        <v>6.1628043299855405E-2</v>
      </c>
      <c r="V273" s="61"/>
      <c r="X273" s="67"/>
      <c r="Y273" s="451"/>
      <c r="Z273" s="452"/>
      <c r="AC273" s="36"/>
      <c r="AD273" s="36"/>
      <c r="AE273" s="36"/>
      <c r="AF273" s="19"/>
    </row>
    <row r="274" spans="1:32" s="112" customFormat="1">
      <c r="A274" s="138" t="s">
        <v>597</v>
      </c>
      <c r="B274" s="139" t="s">
        <v>349</v>
      </c>
      <c r="C274" s="63" t="s">
        <v>350</v>
      </c>
      <c r="D274" s="134">
        <v>133</v>
      </c>
      <c r="E274" s="67">
        <v>22899</v>
      </c>
      <c r="F274" s="146">
        <v>0</v>
      </c>
      <c r="G274" s="146">
        <v>0</v>
      </c>
      <c r="H274" s="91">
        <v>22899</v>
      </c>
      <c r="I274" s="67">
        <v>0</v>
      </c>
      <c r="J274" s="148">
        <v>22899</v>
      </c>
      <c r="K274" s="132" t="s">
        <v>621</v>
      </c>
      <c r="L274" s="151">
        <v>0</v>
      </c>
      <c r="M274" s="128">
        <v>133</v>
      </c>
      <c r="N274" s="67">
        <v>188</v>
      </c>
      <c r="O274" s="67">
        <v>23087</v>
      </c>
      <c r="P274" s="270"/>
      <c r="Q274" s="71"/>
      <c r="R274" s="449"/>
      <c r="S274" s="67">
        <v>19358</v>
      </c>
      <c r="T274" s="163">
        <v>3729</v>
      </c>
      <c r="U274" s="166">
        <v>0.192633536522368</v>
      </c>
      <c r="V274" s="115"/>
      <c r="X274" s="67"/>
      <c r="Y274" s="451"/>
      <c r="Z274" s="452"/>
      <c r="AC274" s="116"/>
      <c r="AD274" s="116"/>
      <c r="AE274" s="116"/>
      <c r="AF274" s="117"/>
    </row>
    <row r="275" spans="1:32">
      <c r="A275" s="64" t="s">
        <v>603</v>
      </c>
      <c r="B275" s="63" t="s">
        <v>454</v>
      </c>
      <c r="C275" s="63" t="s">
        <v>455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1277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599</v>
      </c>
      <c r="B276" s="63" t="s">
        <v>49</v>
      </c>
      <c r="C276" s="63" t="s">
        <v>50</v>
      </c>
      <c r="D276" s="134">
        <v>2047.25</v>
      </c>
      <c r="E276" s="67">
        <v>352475</v>
      </c>
      <c r="F276" s="146">
        <v>0</v>
      </c>
      <c r="G276" s="146">
        <v>0</v>
      </c>
      <c r="H276" s="91">
        <v>352475</v>
      </c>
      <c r="I276" s="67">
        <v>0</v>
      </c>
      <c r="J276" s="20">
        <v>352475</v>
      </c>
      <c r="K276" s="132" t="s">
        <v>621</v>
      </c>
      <c r="L276" s="151">
        <v>0</v>
      </c>
      <c r="M276" s="128">
        <v>2047.25</v>
      </c>
      <c r="N276" s="67">
        <v>2894</v>
      </c>
      <c r="O276" s="67">
        <v>355369</v>
      </c>
      <c r="P276" s="270"/>
      <c r="Q276" s="71"/>
      <c r="R276" s="449"/>
      <c r="S276" s="67">
        <v>328542</v>
      </c>
      <c r="T276" s="163">
        <v>26827</v>
      </c>
      <c r="U276" s="166">
        <v>8.1654704725727612E-2</v>
      </c>
      <c r="V276" s="61"/>
      <c r="X276" s="67"/>
      <c r="Y276" s="451"/>
      <c r="Z276" s="452"/>
      <c r="AC276" s="36"/>
      <c r="AD276" s="36"/>
      <c r="AE276" s="36"/>
      <c r="AF276" s="19"/>
    </row>
    <row r="277" spans="1:32" s="112" customFormat="1">
      <c r="A277" s="138" t="s">
        <v>597</v>
      </c>
      <c r="B277" s="139" t="s">
        <v>183</v>
      </c>
      <c r="C277" s="63" t="s">
        <v>184</v>
      </c>
      <c r="D277" s="134">
        <v>26.13</v>
      </c>
      <c r="E277" s="67">
        <v>4499</v>
      </c>
      <c r="F277" s="146">
        <v>0</v>
      </c>
      <c r="G277" s="146">
        <v>0</v>
      </c>
      <c r="H277" s="91">
        <v>4499</v>
      </c>
      <c r="I277" s="67">
        <v>0</v>
      </c>
      <c r="J277" s="148">
        <v>4499</v>
      </c>
      <c r="K277" s="132" t="s">
        <v>621</v>
      </c>
      <c r="L277" s="151">
        <v>0</v>
      </c>
      <c r="M277" s="128">
        <v>26.13</v>
      </c>
      <c r="N277" s="67">
        <v>37</v>
      </c>
      <c r="O277" s="67">
        <v>4536</v>
      </c>
      <c r="P277" s="270"/>
      <c r="Q277" s="71"/>
      <c r="R277" s="449"/>
      <c r="S277" s="67">
        <v>3347</v>
      </c>
      <c r="T277" s="163">
        <v>1189</v>
      </c>
      <c r="U277" s="166">
        <v>0.35524350164326263</v>
      </c>
      <c r="V277" s="115"/>
      <c r="X277" s="67"/>
      <c r="Y277" s="451"/>
      <c r="Z277" s="452"/>
      <c r="AC277" s="116"/>
      <c r="AD277" s="116"/>
      <c r="AE277" s="116"/>
      <c r="AF277" s="117"/>
    </row>
    <row r="278" spans="1:32">
      <c r="A278" s="64" t="s">
        <v>599</v>
      </c>
      <c r="B278" s="63" t="s">
        <v>488</v>
      </c>
      <c r="C278" s="63" t="s">
        <v>489</v>
      </c>
      <c r="D278" s="134">
        <v>22.38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22.38</v>
      </c>
      <c r="N278" s="67">
        <v>32</v>
      </c>
      <c r="O278" s="67">
        <v>3885</v>
      </c>
      <c r="P278" s="270"/>
      <c r="Q278" s="71"/>
      <c r="R278" s="449"/>
      <c r="S278" s="67">
        <v>2753</v>
      </c>
      <c r="T278" s="163">
        <v>1132</v>
      </c>
      <c r="U278" s="166">
        <v>0.41118779513258263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605</v>
      </c>
      <c r="B279" s="63" t="s">
        <v>114</v>
      </c>
      <c r="C279" s="63" t="s">
        <v>115</v>
      </c>
      <c r="D279" s="134">
        <v>1237.3800000000001</v>
      </c>
      <c r="E279" s="67">
        <v>213040</v>
      </c>
      <c r="F279" s="146">
        <v>0</v>
      </c>
      <c r="G279" s="146">
        <v>0</v>
      </c>
      <c r="H279" s="91">
        <v>213040</v>
      </c>
      <c r="I279" s="67">
        <v>0</v>
      </c>
      <c r="J279" s="20">
        <v>213040</v>
      </c>
      <c r="K279" s="132" t="s">
        <v>621</v>
      </c>
      <c r="L279" s="151">
        <v>0</v>
      </c>
      <c r="M279" s="128">
        <v>1237.3800000000001</v>
      </c>
      <c r="N279" s="67">
        <v>1749</v>
      </c>
      <c r="O279" s="67">
        <v>214789</v>
      </c>
      <c r="P279" s="270"/>
      <c r="Q279" s="71"/>
      <c r="R279" s="449"/>
      <c r="S279" s="67">
        <v>211496</v>
      </c>
      <c r="T279" s="163">
        <v>3293</v>
      </c>
      <c r="U279" s="166">
        <v>1.5570034421454779E-2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596</v>
      </c>
      <c r="B280" s="63" t="s">
        <v>500</v>
      </c>
      <c r="C280" s="63" t="s">
        <v>501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20">
        <v>0</v>
      </c>
      <c r="K280" s="132" t="s">
        <v>1277</v>
      </c>
      <c r="L280" s="151">
        <v>0</v>
      </c>
      <c r="M280" s="128">
        <v>0</v>
      </c>
      <c r="N280" s="67">
        <v>0</v>
      </c>
      <c r="O280" s="67">
        <v>0</v>
      </c>
      <c r="P280" s="270"/>
      <c r="Q280" s="71"/>
      <c r="R280" s="449"/>
      <c r="S280" s="67">
        <v>0</v>
      </c>
      <c r="T280" s="163">
        <v>0</v>
      </c>
      <c r="U280" s="166">
        <v>0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492</v>
      </c>
      <c r="C281" s="63" t="s">
        <v>493</v>
      </c>
      <c r="D281" s="134">
        <v>806.5</v>
      </c>
      <c r="E281" s="67">
        <v>138855</v>
      </c>
      <c r="F281" s="146">
        <v>0</v>
      </c>
      <c r="G281" s="146">
        <v>0</v>
      </c>
      <c r="H281" s="91">
        <v>138855</v>
      </c>
      <c r="I281" s="67">
        <v>0</v>
      </c>
      <c r="J281" s="20">
        <v>138855</v>
      </c>
      <c r="K281" s="132" t="s">
        <v>621</v>
      </c>
      <c r="L281" s="151">
        <v>0</v>
      </c>
      <c r="M281" s="128">
        <v>806.5</v>
      </c>
      <c r="N281" s="67">
        <v>1140</v>
      </c>
      <c r="O281" s="67">
        <v>139995</v>
      </c>
      <c r="P281" s="270"/>
      <c r="Q281" s="71"/>
      <c r="R281" s="449"/>
      <c r="S281" s="67">
        <v>136315</v>
      </c>
      <c r="T281" s="163">
        <v>3680</v>
      </c>
      <c r="U281" s="166">
        <v>2.6996295345339837E-2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605</v>
      </c>
      <c r="B282" s="63" t="s">
        <v>567</v>
      </c>
      <c r="C282" s="63" t="s">
        <v>568</v>
      </c>
      <c r="D282" s="134">
        <v>1114.8800000000001</v>
      </c>
      <c r="E282" s="67">
        <v>191949</v>
      </c>
      <c r="F282" s="146">
        <v>0</v>
      </c>
      <c r="G282" s="146">
        <v>0</v>
      </c>
      <c r="H282" s="91">
        <v>191949</v>
      </c>
      <c r="I282" s="67">
        <v>0</v>
      </c>
      <c r="J282" s="20">
        <v>191949</v>
      </c>
      <c r="K282" s="132" t="s">
        <v>621</v>
      </c>
      <c r="L282" s="151">
        <v>0</v>
      </c>
      <c r="M282" s="128">
        <v>1114.8800000000001</v>
      </c>
      <c r="N282" s="67">
        <v>1576</v>
      </c>
      <c r="O282" s="67">
        <v>193525</v>
      </c>
      <c r="P282" s="270"/>
      <c r="Q282" s="71"/>
      <c r="R282" s="449"/>
      <c r="S282" s="67">
        <v>163512</v>
      </c>
      <c r="T282" s="163">
        <v>30013</v>
      </c>
      <c r="U282" s="166">
        <v>0.18355227750868439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601</v>
      </c>
      <c r="B283" s="63" t="s">
        <v>118</v>
      </c>
      <c r="C283" s="63" t="s">
        <v>119</v>
      </c>
      <c r="D283" s="134">
        <v>341.13</v>
      </c>
      <c r="E283" s="67">
        <v>58732</v>
      </c>
      <c r="F283" s="146">
        <v>0</v>
      </c>
      <c r="G283" s="146">
        <v>0</v>
      </c>
      <c r="H283" s="91">
        <v>58732</v>
      </c>
      <c r="I283" s="67">
        <v>0</v>
      </c>
      <c r="J283" s="20">
        <v>58732</v>
      </c>
      <c r="K283" s="132" t="s">
        <v>621</v>
      </c>
      <c r="L283" s="151">
        <v>0</v>
      </c>
      <c r="M283" s="128">
        <v>341.13</v>
      </c>
      <c r="N283" s="67">
        <v>482</v>
      </c>
      <c r="O283" s="67">
        <v>59214</v>
      </c>
      <c r="P283" s="270"/>
      <c r="Q283" s="71"/>
      <c r="R283" s="449"/>
      <c r="S283" s="67">
        <v>52324</v>
      </c>
      <c r="T283" s="163">
        <v>6890</v>
      </c>
      <c r="U283" s="166">
        <v>0.1316795352037306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599</v>
      </c>
      <c r="B284" s="63" t="s">
        <v>56</v>
      </c>
      <c r="C284" s="63" t="s">
        <v>57</v>
      </c>
      <c r="D284" s="134">
        <v>54.25</v>
      </c>
      <c r="E284" s="67">
        <v>9340</v>
      </c>
      <c r="F284" s="146">
        <v>0</v>
      </c>
      <c r="G284" s="146">
        <v>0</v>
      </c>
      <c r="H284" s="91">
        <v>9340</v>
      </c>
      <c r="I284" s="67">
        <v>0</v>
      </c>
      <c r="J284" s="20">
        <v>9340</v>
      </c>
      <c r="K284" s="132" t="s">
        <v>621</v>
      </c>
      <c r="L284" s="151">
        <v>0</v>
      </c>
      <c r="M284" s="128">
        <v>54.25</v>
      </c>
      <c r="N284" s="67">
        <v>77</v>
      </c>
      <c r="O284" s="67">
        <v>9417</v>
      </c>
      <c r="P284" s="270"/>
      <c r="Q284" s="71"/>
      <c r="R284" s="449"/>
      <c r="S284" s="67">
        <v>9733</v>
      </c>
      <c r="T284" s="163">
        <v>-316</v>
      </c>
      <c r="U284" s="166">
        <v>-3.246686530360629E-2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603</v>
      </c>
      <c r="B285" s="63" t="s">
        <v>0</v>
      </c>
      <c r="C285" s="63" t="s">
        <v>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20">
        <v>0</v>
      </c>
      <c r="K285" s="132" t="s">
        <v>1277</v>
      </c>
      <c r="L285" s="151">
        <v>0</v>
      </c>
      <c r="M285" s="128">
        <v>0</v>
      </c>
      <c r="N285" s="67">
        <v>0</v>
      </c>
      <c r="O285" s="67">
        <v>0</v>
      </c>
      <c r="P285" s="270"/>
      <c r="Q285" s="71"/>
      <c r="R285" s="449"/>
      <c r="S285" s="67">
        <v>0</v>
      </c>
      <c r="T285" s="163">
        <v>0</v>
      </c>
      <c r="U285" s="166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601</v>
      </c>
      <c r="B286" s="63" t="s">
        <v>92</v>
      </c>
      <c r="C286" s="63" t="s">
        <v>93</v>
      </c>
      <c r="D286" s="134">
        <v>17.88</v>
      </c>
      <c r="E286" s="67">
        <v>3078</v>
      </c>
      <c r="F286" s="146">
        <v>0</v>
      </c>
      <c r="G286" s="146">
        <v>0</v>
      </c>
      <c r="H286" s="91">
        <v>3078</v>
      </c>
      <c r="I286" s="67">
        <v>0</v>
      </c>
      <c r="J286" s="20">
        <v>3078</v>
      </c>
      <c r="K286" s="132" t="s">
        <v>621</v>
      </c>
      <c r="L286" s="151">
        <v>0</v>
      </c>
      <c r="M286" s="128">
        <v>17.88</v>
      </c>
      <c r="N286" s="67">
        <v>25</v>
      </c>
      <c r="O286" s="67">
        <v>3103</v>
      </c>
      <c r="P286" s="270"/>
      <c r="Q286" s="71"/>
      <c r="R286" s="449"/>
      <c r="S286" s="67">
        <v>0</v>
      </c>
      <c r="T286" s="163">
        <v>3103</v>
      </c>
      <c r="U286" s="166">
        <v>0</v>
      </c>
      <c r="V286" s="61"/>
      <c r="X286" s="67"/>
      <c r="Y286" s="451"/>
      <c r="Z286" s="452"/>
      <c r="AC286" s="36"/>
      <c r="AD286" s="36"/>
      <c r="AE286" s="36"/>
      <c r="AF286" s="19"/>
    </row>
    <row r="287" spans="1:32">
      <c r="A287" s="64" t="s">
        <v>603</v>
      </c>
      <c r="B287" s="63" t="s">
        <v>452</v>
      </c>
      <c r="C287" s="63" t="s">
        <v>453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20">
        <v>0</v>
      </c>
      <c r="K287" s="132" t="s">
        <v>1277</v>
      </c>
      <c r="L287" s="151">
        <v>0</v>
      </c>
      <c r="M287" s="128">
        <v>0</v>
      </c>
      <c r="N287" s="67">
        <v>0</v>
      </c>
      <c r="O287" s="67">
        <v>0</v>
      </c>
      <c r="P287" s="270"/>
      <c r="Q287" s="71"/>
      <c r="R287" s="449"/>
      <c r="S287" s="67">
        <v>0</v>
      </c>
      <c r="T287" s="163">
        <v>0</v>
      </c>
      <c r="U287" s="166">
        <v>0</v>
      </c>
      <c r="V287" s="61"/>
      <c r="X287" s="67"/>
      <c r="Y287" s="451"/>
      <c r="Z287" s="452"/>
      <c r="AC287" s="36"/>
      <c r="AD287" s="36"/>
      <c r="AE287" s="36"/>
      <c r="AF287" s="19"/>
    </row>
    <row r="288" spans="1:32">
      <c r="A288" s="64" t="s">
        <v>601</v>
      </c>
      <c r="B288" s="63" t="s">
        <v>37</v>
      </c>
      <c r="C288" s="63" t="s">
        <v>38</v>
      </c>
      <c r="D288" s="134">
        <v>1585.38</v>
      </c>
      <c r="E288" s="67">
        <v>272955</v>
      </c>
      <c r="F288" s="146">
        <v>0</v>
      </c>
      <c r="G288" s="146">
        <v>0</v>
      </c>
      <c r="H288" s="91">
        <v>272955</v>
      </c>
      <c r="I288" s="67">
        <v>0</v>
      </c>
      <c r="J288" s="20">
        <v>272955</v>
      </c>
      <c r="K288" s="132" t="s">
        <v>621</v>
      </c>
      <c r="L288" s="151">
        <v>0</v>
      </c>
      <c r="M288" s="128">
        <v>1585.38</v>
      </c>
      <c r="N288" s="67">
        <v>2241</v>
      </c>
      <c r="O288" s="67">
        <v>275196</v>
      </c>
      <c r="P288" s="270"/>
      <c r="Q288" s="71"/>
      <c r="R288" s="449"/>
      <c r="S288" s="67">
        <v>270889</v>
      </c>
      <c r="T288" s="163">
        <v>4307</v>
      </c>
      <c r="U288" s="166">
        <v>1.5899501271738607E-2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144" t="s">
        <v>603</v>
      </c>
      <c r="B289" s="131" t="s">
        <v>443</v>
      </c>
      <c r="C289" s="63" t="s">
        <v>675</v>
      </c>
      <c r="D289" s="134">
        <v>111.88</v>
      </c>
      <c r="E289" s="67">
        <v>19262</v>
      </c>
      <c r="F289" s="146">
        <v>0</v>
      </c>
      <c r="G289" s="146">
        <v>0</v>
      </c>
      <c r="H289" s="91">
        <v>19262</v>
      </c>
      <c r="I289" s="67">
        <v>0</v>
      </c>
      <c r="J289" s="100">
        <v>19262</v>
      </c>
      <c r="K289" s="132" t="s">
        <v>621</v>
      </c>
      <c r="L289" s="151">
        <v>0</v>
      </c>
      <c r="M289" s="128">
        <v>111.88</v>
      </c>
      <c r="N289" s="67">
        <v>158</v>
      </c>
      <c r="O289" s="67">
        <v>19420</v>
      </c>
      <c r="P289" s="270"/>
      <c r="Q289" s="71"/>
      <c r="R289" s="449"/>
      <c r="S289" s="67">
        <v>16054</v>
      </c>
      <c r="T289" s="163">
        <v>3366</v>
      </c>
      <c r="U289" s="166">
        <v>0.20966737261741622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605</v>
      </c>
      <c r="B290" s="63" t="s">
        <v>569</v>
      </c>
      <c r="C290" s="63" t="s">
        <v>570</v>
      </c>
      <c r="D290" s="134">
        <v>99.13</v>
      </c>
      <c r="E290" s="67">
        <v>17067</v>
      </c>
      <c r="F290" s="146">
        <v>0</v>
      </c>
      <c r="G290" s="146">
        <v>0</v>
      </c>
      <c r="H290" s="91">
        <v>17067</v>
      </c>
      <c r="I290" s="67">
        <v>0</v>
      </c>
      <c r="J290" s="20">
        <v>17067</v>
      </c>
      <c r="K290" s="132" t="s">
        <v>621</v>
      </c>
      <c r="L290" s="151">
        <v>0</v>
      </c>
      <c r="M290" s="128">
        <v>99.13</v>
      </c>
      <c r="N290" s="67">
        <v>140</v>
      </c>
      <c r="O290" s="67">
        <v>17207</v>
      </c>
      <c r="P290" s="270"/>
      <c r="Q290" s="71"/>
      <c r="R290" s="449"/>
      <c r="S290" s="67">
        <v>11430</v>
      </c>
      <c r="T290" s="163">
        <v>5777</v>
      </c>
      <c r="U290" s="166">
        <v>0.50542432195975506</v>
      </c>
      <c r="V290" s="61"/>
      <c r="X290" s="67"/>
      <c r="Y290" s="451"/>
      <c r="Z290" s="452"/>
      <c r="AC290" s="36"/>
      <c r="AD290" s="36"/>
      <c r="AE290" s="36"/>
      <c r="AF290" s="19"/>
    </row>
    <row r="291" spans="1:32">
      <c r="A291" s="64" t="s">
        <v>594</v>
      </c>
      <c r="B291" s="63" t="s">
        <v>276</v>
      </c>
      <c r="C291" s="63" t="s">
        <v>277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20">
        <v>0</v>
      </c>
      <c r="K291" s="132" t="s">
        <v>1277</v>
      </c>
      <c r="L291" s="151">
        <v>0</v>
      </c>
      <c r="M291" s="128">
        <v>0</v>
      </c>
      <c r="N291" s="67">
        <v>0</v>
      </c>
      <c r="O291" s="67">
        <v>0</v>
      </c>
      <c r="P291" s="270"/>
      <c r="Q291" s="71"/>
      <c r="R291" s="449"/>
      <c r="S291" s="67">
        <v>0</v>
      </c>
      <c r="T291" s="163">
        <v>0</v>
      </c>
      <c r="U291" s="166">
        <v>0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597</v>
      </c>
      <c r="B292" s="63" t="s">
        <v>367</v>
      </c>
      <c r="C292" s="63" t="s">
        <v>368</v>
      </c>
      <c r="D292" s="134">
        <v>40.130000000000003</v>
      </c>
      <c r="E292" s="67">
        <v>6909</v>
      </c>
      <c r="F292" s="146">
        <v>0</v>
      </c>
      <c r="G292" s="146">
        <v>0</v>
      </c>
      <c r="H292" s="91">
        <v>6909</v>
      </c>
      <c r="I292" s="67">
        <v>0</v>
      </c>
      <c r="J292" s="20">
        <v>6909</v>
      </c>
      <c r="K292" s="132" t="s">
        <v>644</v>
      </c>
      <c r="L292" s="151">
        <v>6909</v>
      </c>
      <c r="M292" s="128">
        <v>0</v>
      </c>
      <c r="N292" s="67">
        <v>0</v>
      </c>
      <c r="O292" s="67">
        <v>0</v>
      </c>
      <c r="P292" s="270"/>
      <c r="Q292" s="71"/>
      <c r="R292" s="449"/>
      <c r="S292" s="67">
        <v>5924</v>
      </c>
      <c r="T292" s="163">
        <v>-5924</v>
      </c>
      <c r="U292" s="166">
        <v>-1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599</v>
      </c>
      <c r="B293" s="63" t="s">
        <v>248</v>
      </c>
      <c r="C293" s="63" t="s">
        <v>249</v>
      </c>
      <c r="D293" s="134">
        <v>186.5</v>
      </c>
      <c r="E293" s="67">
        <v>32110</v>
      </c>
      <c r="F293" s="146">
        <v>0</v>
      </c>
      <c r="G293" s="146">
        <v>0</v>
      </c>
      <c r="H293" s="91">
        <v>32110</v>
      </c>
      <c r="I293" s="67">
        <v>0</v>
      </c>
      <c r="J293" s="20">
        <v>32110</v>
      </c>
      <c r="K293" s="132" t="s">
        <v>621</v>
      </c>
      <c r="L293" s="151">
        <v>0</v>
      </c>
      <c r="M293" s="128">
        <v>186.5</v>
      </c>
      <c r="N293" s="67">
        <v>264</v>
      </c>
      <c r="O293" s="67">
        <v>32374</v>
      </c>
      <c r="P293" s="270"/>
      <c r="Q293" s="71"/>
      <c r="R293" s="449"/>
      <c r="S293" s="67">
        <v>33076</v>
      </c>
      <c r="T293" s="163">
        <v>-702</v>
      </c>
      <c r="U293" s="166">
        <v>-2.1223848107389042E-2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603</v>
      </c>
      <c r="B294" s="63" t="s">
        <v>289</v>
      </c>
      <c r="C294" s="63" t="s">
        <v>290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1277</v>
      </c>
      <c r="L294" s="151">
        <v>0</v>
      </c>
      <c r="M294" s="128">
        <v>0</v>
      </c>
      <c r="N294" s="67">
        <v>0</v>
      </c>
      <c r="O294" s="67">
        <v>0</v>
      </c>
      <c r="P294" s="270"/>
      <c r="Q294" s="71"/>
      <c r="R294" s="449"/>
      <c r="S294" s="67">
        <v>0</v>
      </c>
      <c r="T294" s="163">
        <v>0</v>
      </c>
      <c r="U294" s="166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594</v>
      </c>
      <c r="B295" s="63" t="s">
        <v>332</v>
      </c>
      <c r="C295" s="63" t="s">
        <v>333</v>
      </c>
      <c r="D295" s="134">
        <v>10.130000000000001</v>
      </c>
      <c r="E295" s="67">
        <v>1744</v>
      </c>
      <c r="F295" s="146">
        <v>0</v>
      </c>
      <c r="G295" s="146">
        <v>0</v>
      </c>
      <c r="H295" s="91">
        <v>1744</v>
      </c>
      <c r="I295" s="67">
        <v>0</v>
      </c>
      <c r="J295" s="20">
        <v>1744</v>
      </c>
      <c r="K295" s="132" t="s">
        <v>1278</v>
      </c>
      <c r="L295" s="151">
        <v>1744</v>
      </c>
      <c r="M295" s="128">
        <v>0</v>
      </c>
      <c r="N295" s="67">
        <v>0</v>
      </c>
      <c r="O295" s="67">
        <v>0</v>
      </c>
      <c r="P295" s="270"/>
      <c r="Q295" s="71"/>
      <c r="R295" s="449"/>
      <c r="S295" s="67">
        <v>2379</v>
      </c>
      <c r="T295" s="163">
        <v>-2379</v>
      </c>
      <c r="U295" s="166">
        <v>-1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129</v>
      </c>
      <c r="C296" s="63" t="s">
        <v>130</v>
      </c>
      <c r="D296" s="134">
        <v>0</v>
      </c>
      <c r="E296" s="67">
        <v>0</v>
      </c>
      <c r="F296" s="146">
        <v>0</v>
      </c>
      <c r="G296" s="146">
        <v>0</v>
      </c>
      <c r="H296" s="91">
        <v>0</v>
      </c>
      <c r="I296" s="67">
        <v>0</v>
      </c>
      <c r="J296" s="20">
        <v>0</v>
      </c>
      <c r="K296" s="132" t="s">
        <v>1277</v>
      </c>
      <c r="L296" s="151">
        <v>0</v>
      </c>
      <c r="M296" s="128">
        <v>0</v>
      </c>
      <c r="N296" s="67">
        <v>0</v>
      </c>
      <c r="O296" s="67">
        <v>0</v>
      </c>
      <c r="P296" s="270"/>
      <c r="Q296" s="71"/>
      <c r="R296" s="449"/>
      <c r="S296" s="67">
        <v>0</v>
      </c>
      <c r="T296" s="163">
        <v>0</v>
      </c>
      <c r="U296" s="166">
        <v>0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594</v>
      </c>
      <c r="B297" s="63" t="s">
        <v>264</v>
      </c>
      <c r="C297" s="63" t="s">
        <v>265</v>
      </c>
      <c r="D297" s="134">
        <v>61.13</v>
      </c>
      <c r="E297" s="67">
        <v>10525</v>
      </c>
      <c r="F297" s="146">
        <v>0</v>
      </c>
      <c r="G297" s="146">
        <v>0</v>
      </c>
      <c r="H297" s="91">
        <v>10525</v>
      </c>
      <c r="I297" s="67">
        <v>0</v>
      </c>
      <c r="J297" s="20">
        <v>10525</v>
      </c>
      <c r="K297" s="132" t="s">
        <v>621</v>
      </c>
      <c r="L297" s="151">
        <v>0</v>
      </c>
      <c r="M297" s="128">
        <v>61.13</v>
      </c>
      <c r="N297" s="67">
        <v>86</v>
      </c>
      <c r="O297" s="67">
        <v>10611</v>
      </c>
      <c r="P297" s="270"/>
      <c r="Q297" s="71"/>
      <c r="R297" s="449"/>
      <c r="S297" s="67">
        <v>11364</v>
      </c>
      <c r="T297" s="163">
        <v>-753</v>
      </c>
      <c r="U297" s="166">
        <v>-6.6261879619852165E-2</v>
      </c>
      <c r="V297" s="60"/>
      <c r="X297" s="67"/>
      <c r="Y297" s="451"/>
      <c r="Z297" s="452"/>
    </row>
    <row r="298" spans="1:32">
      <c r="A298" s="64" t="s">
        <v>594</v>
      </c>
      <c r="B298" s="63" t="s">
        <v>151</v>
      </c>
      <c r="C298" s="63" t="s">
        <v>152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1277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2"/>
      <c r="X298" s="67"/>
      <c r="Y298" s="451"/>
      <c r="Z298" s="452"/>
    </row>
    <row r="299" spans="1:32">
      <c r="A299" s="64" t="s">
        <v>599</v>
      </c>
      <c r="B299" s="63" t="s">
        <v>232</v>
      </c>
      <c r="C299" s="63" t="s">
        <v>233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1277</v>
      </c>
      <c r="L299" s="151">
        <v>0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X299" s="67"/>
      <c r="Y299" s="451"/>
      <c r="Z299" s="452"/>
    </row>
    <row r="300" spans="1:32">
      <c r="A300" s="64" t="s">
        <v>599</v>
      </c>
      <c r="B300" s="63" t="s">
        <v>78</v>
      </c>
      <c r="C300" s="63" t="s">
        <v>79</v>
      </c>
      <c r="D300" s="134">
        <v>122.38</v>
      </c>
      <c r="E300" s="67">
        <v>21070</v>
      </c>
      <c r="F300" s="146">
        <v>0</v>
      </c>
      <c r="G300" s="146">
        <v>0</v>
      </c>
      <c r="H300" s="91">
        <v>21070</v>
      </c>
      <c r="I300" s="67">
        <v>0</v>
      </c>
      <c r="J300" s="20">
        <v>21070</v>
      </c>
      <c r="K300" s="132" t="s">
        <v>621</v>
      </c>
      <c r="L300" s="151">
        <v>0</v>
      </c>
      <c r="M300" s="128">
        <v>122.38</v>
      </c>
      <c r="N300" s="67">
        <v>173</v>
      </c>
      <c r="O300" s="67">
        <v>21243</v>
      </c>
      <c r="P300" s="270"/>
      <c r="Q300" s="71"/>
      <c r="R300" s="449"/>
      <c r="S300" s="67">
        <v>18873</v>
      </c>
      <c r="T300" s="163">
        <v>2370</v>
      </c>
      <c r="U300" s="166">
        <v>0.12557621999682086</v>
      </c>
      <c r="X300" s="67"/>
      <c r="Y300" s="451"/>
      <c r="Z300" s="452"/>
    </row>
    <row r="301" spans="1:32">
      <c r="A301" s="64" t="s">
        <v>605</v>
      </c>
      <c r="B301" s="63" t="s">
        <v>547</v>
      </c>
      <c r="C301" s="63" t="s">
        <v>548</v>
      </c>
      <c r="D301" s="134">
        <v>4126.88</v>
      </c>
      <c r="E301" s="67">
        <v>710526</v>
      </c>
      <c r="F301" s="146">
        <v>0</v>
      </c>
      <c r="G301" s="146">
        <v>0</v>
      </c>
      <c r="H301" s="91">
        <v>710526</v>
      </c>
      <c r="I301" s="67">
        <v>0</v>
      </c>
      <c r="J301" s="20">
        <v>710526</v>
      </c>
      <c r="K301" s="132" t="s">
        <v>621</v>
      </c>
      <c r="L301" s="151">
        <v>0</v>
      </c>
      <c r="M301" s="128">
        <v>4126.88</v>
      </c>
      <c r="N301" s="67">
        <v>5834</v>
      </c>
      <c r="O301" s="67">
        <v>716360</v>
      </c>
      <c r="P301" s="270"/>
      <c r="Q301" s="71"/>
      <c r="R301" s="449"/>
      <c r="S301" s="67">
        <v>692164</v>
      </c>
      <c r="T301" s="163">
        <v>24196</v>
      </c>
      <c r="U301" s="166">
        <v>3.4957033304245815E-2</v>
      </c>
      <c r="X301" s="67"/>
      <c r="Y301" s="451"/>
      <c r="Z301" s="452"/>
    </row>
    <row r="302" spans="1:32">
      <c r="A302" s="64" t="s">
        <v>594</v>
      </c>
      <c r="B302" s="63" t="s">
        <v>472</v>
      </c>
      <c r="C302" s="63" t="s">
        <v>473</v>
      </c>
      <c r="D302" s="134">
        <v>76</v>
      </c>
      <c r="E302" s="67">
        <v>13085</v>
      </c>
      <c r="F302" s="146">
        <v>0</v>
      </c>
      <c r="G302" s="146">
        <v>0</v>
      </c>
      <c r="H302" s="91">
        <v>13085</v>
      </c>
      <c r="I302" s="67">
        <v>0</v>
      </c>
      <c r="J302" s="20">
        <v>13085</v>
      </c>
      <c r="K302" s="132" t="s">
        <v>644</v>
      </c>
      <c r="L302" s="151">
        <v>13085</v>
      </c>
      <c r="M302" s="128">
        <v>0</v>
      </c>
      <c r="N302" s="67">
        <v>0</v>
      </c>
      <c r="O302" s="67">
        <v>0</v>
      </c>
      <c r="P302" s="270"/>
      <c r="Q302" s="71"/>
      <c r="R302" s="449"/>
      <c r="S302" s="67">
        <v>10813</v>
      </c>
      <c r="T302" s="163">
        <v>-10813</v>
      </c>
      <c r="U302" s="166">
        <v>-1</v>
      </c>
      <c r="X302" s="67"/>
      <c r="Y302" s="451"/>
      <c r="Z302" s="452"/>
    </row>
    <row r="303" spans="1:32">
      <c r="A303" s="64" t="s">
        <v>605</v>
      </c>
      <c r="B303" s="63" t="s">
        <v>565</v>
      </c>
      <c r="C303" s="63" t="s">
        <v>566</v>
      </c>
      <c r="D303" s="134">
        <v>146.25</v>
      </c>
      <c r="E303" s="67">
        <v>25180</v>
      </c>
      <c r="F303" s="146">
        <v>0</v>
      </c>
      <c r="G303" s="146">
        <v>0</v>
      </c>
      <c r="H303" s="91">
        <v>25180</v>
      </c>
      <c r="I303" s="67">
        <v>0</v>
      </c>
      <c r="J303" s="20">
        <v>25180</v>
      </c>
      <c r="K303" s="132" t="s">
        <v>621</v>
      </c>
      <c r="L303" s="151">
        <v>0</v>
      </c>
      <c r="M303" s="128">
        <v>146.25</v>
      </c>
      <c r="N303" s="67">
        <v>207</v>
      </c>
      <c r="O303" s="67">
        <v>25387</v>
      </c>
      <c r="P303" s="270"/>
      <c r="Q303" s="71"/>
      <c r="R303" s="449"/>
      <c r="S303" s="67">
        <v>27967</v>
      </c>
      <c r="T303" s="163">
        <v>-2580</v>
      </c>
      <c r="U303" s="166">
        <v>-9.2251582221904382E-2</v>
      </c>
      <c r="X303" s="67"/>
      <c r="Y303" s="451"/>
      <c r="Z303" s="452"/>
    </row>
    <row r="304" spans="1:32">
      <c r="C304" s="105" t="s">
        <v>620</v>
      </c>
      <c r="D304" s="134">
        <v>91137.86000000003</v>
      </c>
      <c r="E304" s="67">
        <v>15691218</v>
      </c>
      <c r="F304" s="146">
        <v>0</v>
      </c>
      <c r="G304" s="146">
        <v>0</v>
      </c>
      <c r="H304" s="91">
        <v>15691218</v>
      </c>
      <c r="I304" s="71">
        <v>0</v>
      </c>
      <c r="J304" s="73">
        <v>15691218</v>
      </c>
      <c r="K304" s="132"/>
      <c r="L304" s="151">
        <v>127781</v>
      </c>
      <c r="M304" s="67">
        <v>90395.670000000027</v>
      </c>
      <c r="N304" s="88">
        <v>127782</v>
      </c>
      <c r="O304" s="88">
        <v>15691218</v>
      </c>
      <c r="P304" s="270"/>
      <c r="Q304" s="71"/>
      <c r="R304" s="72"/>
      <c r="S304" s="91">
        <v>14969054</v>
      </c>
      <c r="T304" s="91">
        <v>722164</v>
      </c>
      <c r="U304" s="161"/>
      <c r="V304" s="72"/>
      <c r="W304" s="72"/>
      <c r="X304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2"/>
  <sheetViews>
    <sheetView workbookViewId="0">
      <selection activeCell="C2" sqref="C2"/>
    </sheetView>
  </sheetViews>
  <sheetFormatPr defaultColWidth="9.140625" defaultRowHeight="15"/>
  <cols>
    <col min="1" max="1" width="9.140625" style="804"/>
    <col min="2" max="2" width="29.85546875" style="804" bestFit="1" customWidth="1"/>
    <col min="3" max="16384" width="9.140625" style="804"/>
  </cols>
  <sheetData>
    <row r="1" spans="1:3">
      <c r="B1" s="828" t="s">
        <v>1731</v>
      </c>
    </row>
    <row r="2" spans="1:3">
      <c r="B2" s="805" t="s">
        <v>578</v>
      </c>
      <c r="C2" s="805" t="s">
        <v>1703</v>
      </c>
    </row>
    <row r="3" spans="1:3">
      <c r="A3" s="784" t="s">
        <v>380</v>
      </c>
      <c r="B3" s="784" t="s">
        <v>1541</v>
      </c>
      <c r="C3" s="740">
        <v>6190</v>
      </c>
    </row>
    <row r="4" spans="1:3">
      <c r="A4" s="784" t="s">
        <v>213</v>
      </c>
      <c r="B4" s="784" t="s">
        <v>1463</v>
      </c>
      <c r="C4" s="740">
        <v>5615</v>
      </c>
    </row>
    <row r="5" spans="1:3">
      <c r="A5" s="784" t="s">
        <v>266</v>
      </c>
      <c r="B5" s="784" t="s">
        <v>1487</v>
      </c>
      <c r="C5" s="740">
        <v>348</v>
      </c>
    </row>
    <row r="6" spans="1:3">
      <c r="A6" s="784" t="s">
        <v>74</v>
      </c>
      <c r="B6" s="784" t="s">
        <v>1401</v>
      </c>
      <c r="C6" s="740">
        <v>3791</v>
      </c>
    </row>
    <row r="7" spans="1:3">
      <c r="A7" s="784" t="s">
        <v>169</v>
      </c>
      <c r="B7" s="784" t="s">
        <v>1446</v>
      </c>
      <c r="C7" s="740">
        <v>1217</v>
      </c>
    </row>
    <row r="8" spans="1:3">
      <c r="A8" s="784" t="s">
        <v>10</v>
      </c>
      <c r="B8" s="784" t="s">
        <v>1373</v>
      </c>
      <c r="C8" s="740">
        <v>3321</v>
      </c>
    </row>
    <row r="9" spans="1:3">
      <c r="A9" s="784" t="s">
        <v>230</v>
      </c>
      <c r="B9" s="784" t="s">
        <v>1471</v>
      </c>
      <c r="C9" s="740">
        <v>2312</v>
      </c>
    </row>
    <row r="10" spans="1:3">
      <c r="A10" s="784" t="s">
        <v>456</v>
      </c>
      <c r="B10" s="784" t="s">
        <v>1580</v>
      </c>
      <c r="C10" s="740">
        <v>2764</v>
      </c>
    </row>
    <row r="11" spans="1:3">
      <c r="A11" s="784" t="s">
        <v>384</v>
      </c>
      <c r="B11" s="784" t="s">
        <v>1543</v>
      </c>
      <c r="C11" s="740">
        <v>2556</v>
      </c>
    </row>
    <row r="12" spans="1:3">
      <c r="A12" s="784" t="s">
        <v>147</v>
      </c>
      <c r="B12" s="784" t="s">
        <v>1435</v>
      </c>
      <c r="C12" s="740">
        <v>105</v>
      </c>
    </row>
    <row r="13" spans="1:3">
      <c r="A13" s="784" t="s">
        <v>159</v>
      </c>
      <c r="B13" s="784" t="s">
        <v>1441</v>
      </c>
      <c r="C13" s="740">
        <v>3181</v>
      </c>
    </row>
    <row r="14" spans="1:3">
      <c r="A14" s="784" t="s">
        <v>417</v>
      </c>
      <c r="B14" s="784" t="s">
        <v>1559</v>
      </c>
      <c r="C14" s="740">
        <v>279</v>
      </c>
    </row>
    <row r="15" spans="1:3">
      <c r="A15" s="784" t="s">
        <v>66</v>
      </c>
      <c r="B15" s="784" t="s">
        <v>758</v>
      </c>
      <c r="C15" s="740">
        <v>243</v>
      </c>
    </row>
    <row r="16" spans="1:3">
      <c r="A16" s="784" t="s">
        <v>444</v>
      </c>
      <c r="B16" s="784" t="s">
        <v>1574</v>
      </c>
      <c r="C16" s="740">
        <v>2417</v>
      </c>
    </row>
    <row r="17" spans="1:3">
      <c r="A17" s="784" t="s">
        <v>353</v>
      </c>
      <c r="B17" s="784" t="s">
        <v>1528</v>
      </c>
      <c r="C17" s="740">
        <v>8310</v>
      </c>
    </row>
    <row r="18" spans="1:3">
      <c r="A18" s="784" t="s">
        <v>365</v>
      </c>
      <c r="B18" s="784" t="s">
        <v>1532</v>
      </c>
      <c r="C18" s="740">
        <v>817</v>
      </c>
    </row>
    <row r="19" spans="1:3">
      <c r="A19" s="784" t="s">
        <v>29</v>
      </c>
      <c r="B19" s="784" t="s">
        <v>1382</v>
      </c>
      <c r="C19" s="740">
        <v>5546</v>
      </c>
    </row>
    <row r="20" spans="1:3">
      <c r="A20" s="784" t="s">
        <v>256</v>
      </c>
      <c r="B20" s="784" t="s">
        <v>1483</v>
      </c>
      <c r="C20" s="740">
        <v>678</v>
      </c>
    </row>
    <row r="21" spans="1:3">
      <c r="A21" s="802" t="s">
        <v>1689</v>
      </c>
      <c r="B21" s="23" t="s">
        <v>1688</v>
      </c>
      <c r="C21" s="740">
        <v>1773</v>
      </c>
    </row>
    <row r="22" spans="1:3">
      <c r="A22" s="784" t="s">
        <v>246</v>
      </c>
      <c r="B22" s="784" t="s">
        <v>1479</v>
      </c>
      <c r="C22" s="740">
        <v>3512</v>
      </c>
    </row>
    <row r="23" spans="1:3">
      <c r="A23" s="784" t="s">
        <v>419</v>
      </c>
      <c r="B23" s="784" t="s">
        <v>1560</v>
      </c>
      <c r="C23" s="740">
        <v>6711</v>
      </c>
    </row>
    <row r="24" spans="1:3">
      <c r="A24" s="802" t="s">
        <v>1701</v>
      </c>
      <c r="B24" s="23" t="s">
        <v>1697</v>
      </c>
      <c r="C24" s="740">
        <v>1374</v>
      </c>
    </row>
    <row r="25" spans="1:3">
      <c r="A25" s="784" t="s">
        <v>482</v>
      </c>
      <c r="B25" s="784" t="s">
        <v>1592</v>
      </c>
      <c r="C25" s="740">
        <v>609</v>
      </c>
    </row>
    <row r="26" spans="1:3">
      <c r="A26" s="784" t="s">
        <v>51</v>
      </c>
      <c r="B26" s="784" t="s">
        <v>1391</v>
      </c>
      <c r="C26" s="740">
        <v>5685</v>
      </c>
    </row>
    <row r="27" spans="1:3">
      <c r="A27" s="784" t="s">
        <v>134</v>
      </c>
      <c r="B27" s="784" t="s">
        <v>748</v>
      </c>
      <c r="C27" s="740">
        <v>8815</v>
      </c>
    </row>
    <row r="28" spans="1:3">
      <c r="A28" s="812" t="s">
        <v>1715</v>
      </c>
      <c r="B28" s="543" t="s">
        <v>1718</v>
      </c>
      <c r="C28" s="740">
        <v>8398</v>
      </c>
    </row>
    <row r="29" spans="1:3">
      <c r="A29" s="784" t="s">
        <v>228</v>
      </c>
      <c r="B29" s="784" t="s">
        <v>1470</v>
      </c>
      <c r="C29" s="740">
        <v>6329</v>
      </c>
    </row>
    <row r="30" spans="1:3">
      <c r="A30" s="784" t="s">
        <v>53</v>
      </c>
      <c r="B30" s="784" t="s">
        <v>1392</v>
      </c>
      <c r="C30" s="740">
        <v>3703</v>
      </c>
    </row>
    <row r="31" spans="1:3">
      <c r="A31" s="784" t="s">
        <v>441</v>
      </c>
      <c r="B31" s="784" t="s">
        <v>1572</v>
      </c>
      <c r="C31" s="740">
        <v>696</v>
      </c>
    </row>
    <row r="32" spans="1:3">
      <c r="A32" s="785" t="s">
        <v>6</v>
      </c>
      <c r="B32" s="784" t="s">
        <v>1371</v>
      </c>
      <c r="C32" s="740">
        <v>3582</v>
      </c>
    </row>
    <row r="33" spans="1:3">
      <c r="A33" s="784" t="s">
        <v>373</v>
      </c>
      <c r="B33" s="784" t="s">
        <v>1539</v>
      </c>
      <c r="C33" s="740">
        <v>2695</v>
      </c>
    </row>
    <row r="34" spans="1:3">
      <c r="A34" s="784" t="s">
        <v>250</v>
      </c>
      <c r="B34" s="784" t="s">
        <v>1481</v>
      </c>
      <c r="C34" s="740">
        <v>1286</v>
      </c>
    </row>
    <row r="35" spans="1:3">
      <c r="A35" s="784" t="s">
        <v>90</v>
      </c>
      <c r="B35" s="784" t="s">
        <v>1409</v>
      </c>
      <c r="C35" s="740">
        <v>852</v>
      </c>
    </row>
    <row r="36" spans="1:3">
      <c r="A36" s="784" t="s">
        <v>430</v>
      </c>
      <c r="B36" s="784" t="s">
        <v>1566</v>
      </c>
      <c r="C36" s="740">
        <v>678</v>
      </c>
    </row>
    <row r="37" spans="1:3">
      <c r="A37" s="784" t="s">
        <v>319</v>
      </c>
      <c r="B37" s="784" t="s">
        <v>1512</v>
      </c>
      <c r="C37" s="740">
        <v>1582</v>
      </c>
    </row>
    <row r="38" spans="1:3">
      <c r="A38" s="784" t="s">
        <v>139</v>
      </c>
      <c r="B38" s="784" t="s">
        <v>1432</v>
      </c>
      <c r="C38" s="740">
        <v>3147</v>
      </c>
    </row>
    <row r="39" spans="1:3">
      <c r="A39" s="784" t="s">
        <v>258</v>
      </c>
      <c r="B39" s="784" t="s">
        <v>1356</v>
      </c>
      <c r="C39" s="740">
        <v>6954</v>
      </c>
    </row>
    <row r="40" spans="1:3">
      <c r="A40" s="784" t="s">
        <v>252</v>
      </c>
      <c r="B40" s="784" t="s">
        <v>1482</v>
      </c>
      <c r="C40" s="740">
        <v>2869</v>
      </c>
    </row>
    <row r="41" spans="1:3">
      <c r="A41" s="784" t="s">
        <v>331</v>
      </c>
      <c r="B41" s="784" t="s">
        <v>1516</v>
      </c>
      <c r="C41" s="740">
        <v>3130</v>
      </c>
    </row>
    <row r="42" spans="1:3">
      <c r="A42" s="784" t="s">
        <v>136</v>
      </c>
      <c r="B42" s="784" t="s">
        <v>1430</v>
      </c>
      <c r="C42" s="740">
        <v>1477</v>
      </c>
    </row>
    <row r="43" spans="1:3">
      <c r="A43" s="784" t="s">
        <v>155</v>
      </c>
      <c r="B43" s="784" t="s">
        <v>1439</v>
      </c>
      <c r="C43" s="740">
        <v>6798</v>
      </c>
    </row>
    <row r="44" spans="1:3">
      <c r="A44" s="784" t="s">
        <v>325</v>
      </c>
      <c r="B44" s="831" t="s">
        <v>712</v>
      </c>
      <c r="C44" s="832">
        <v>6207</v>
      </c>
    </row>
    <row r="45" spans="1:3">
      <c r="A45" s="784" t="s">
        <v>153</v>
      </c>
      <c r="B45" s="784" t="s">
        <v>1438</v>
      </c>
      <c r="C45" s="740">
        <v>5877</v>
      </c>
    </row>
    <row r="46" spans="1:3">
      <c r="A46" s="784" t="s">
        <v>270</v>
      </c>
      <c r="B46" s="784" t="s">
        <v>1489</v>
      </c>
      <c r="C46" s="740">
        <v>4172</v>
      </c>
    </row>
    <row r="47" spans="1:3">
      <c r="A47" s="784" t="s">
        <v>372</v>
      </c>
      <c r="B47" s="784" t="s">
        <v>1538</v>
      </c>
      <c r="C47" s="740">
        <v>4625</v>
      </c>
    </row>
    <row r="48" spans="1:3">
      <c r="A48" s="784" t="s">
        <v>82</v>
      </c>
      <c r="B48" s="831" t="s">
        <v>1405</v>
      </c>
      <c r="C48" s="832">
        <v>9041</v>
      </c>
    </row>
    <row r="49" spans="1:3">
      <c r="A49" s="784" t="s">
        <v>323</v>
      </c>
      <c r="B49" s="831" t="s">
        <v>1513</v>
      </c>
      <c r="C49" s="832">
        <v>9424</v>
      </c>
    </row>
    <row r="50" spans="1:3">
      <c r="A50" s="784" t="s">
        <v>355</v>
      </c>
      <c r="B50" s="784" t="s">
        <v>1529</v>
      </c>
      <c r="C50" s="740">
        <v>6190</v>
      </c>
    </row>
    <row r="51" spans="1:3">
      <c r="A51" s="784" t="s">
        <v>86</v>
      </c>
      <c r="B51" s="784" t="s">
        <v>1407</v>
      </c>
      <c r="C51" s="740">
        <v>1530</v>
      </c>
    </row>
    <row r="52" spans="1:3">
      <c r="A52" s="784" t="s">
        <v>317</v>
      </c>
      <c r="B52" s="784" t="s">
        <v>1511</v>
      </c>
      <c r="C52" s="740">
        <v>4572</v>
      </c>
    </row>
    <row r="53" spans="1:3">
      <c r="A53" s="784" t="s">
        <v>16</v>
      </c>
      <c r="B53" s="784" t="s">
        <v>1375</v>
      </c>
      <c r="C53" s="740">
        <v>3878</v>
      </c>
    </row>
    <row r="54" spans="1:3">
      <c r="A54" s="784" t="s">
        <v>303</v>
      </c>
      <c r="B54" s="784" t="s">
        <v>1505</v>
      </c>
      <c r="C54" s="740">
        <v>1617</v>
      </c>
    </row>
    <row r="55" spans="1:3">
      <c r="A55" s="784" t="s">
        <v>112</v>
      </c>
      <c r="B55" s="784" t="s">
        <v>1420</v>
      </c>
      <c r="C55" s="740">
        <v>417</v>
      </c>
    </row>
    <row r="56" spans="1:3">
      <c r="A56" s="784" t="s">
        <v>39</v>
      </c>
      <c r="B56" s="784" t="s">
        <v>1385</v>
      </c>
      <c r="C56" s="740">
        <v>6641</v>
      </c>
    </row>
    <row r="57" spans="1:3">
      <c r="A57" s="784" t="s">
        <v>171</v>
      </c>
      <c r="B57" s="784" t="s">
        <v>1447</v>
      </c>
      <c r="C57" s="740">
        <v>4294</v>
      </c>
    </row>
    <row r="58" spans="1:3">
      <c r="A58" s="784" t="s">
        <v>145</v>
      </c>
      <c r="B58" s="784" t="s">
        <v>607</v>
      </c>
      <c r="C58" s="740">
        <v>3408</v>
      </c>
    </row>
    <row r="59" spans="1:3">
      <c r="A59" s="784" t="s">
        <v>327</v>
      </c>
      <c r="B59" s="784" t="s">
        <v>1514</v>
      </c>
      <c r="C59" s="740">
        <v>8589</v>
      </c>
    </row>
    <row r="60" spans="1:3">
      <c r="A60" s="784" t="s">
        <v>282</v>
      </c>
      <c r="B60" s="784" t="s">
        <v>1494</v>
      </c>
      <c r="C60" s="740">
        <v>1200</v>
      </c>
    </row>
    <row r="61" spans="1:3">
      <c r="A61" s="784" t="s">
        <v>446</v>
      </c>
      <c r="B61" s="784" t="s">
        <v>1575</v>
      </c>
      <c r="C61" s="740">
        <v>1182</v>
      </c>
    </row>
    <row r="62" spans="1:3">
      <c r="A62" s="784" t="s">
        <v>244</v>
      </c>
      <c r="B62" s="784" t="s">
        <v>1478</v>
      </c>
      <c r="C62" s="740">
        <v>1687</v>
      </c>
    </row>
    <row r="63" spans="1:3">
      <c r="A63" s="784" t="s">
        <v>375</v>
      </c>
      <c r="B63" s="831" t="s">
        <v>1269</v>
      </c>
      <c r="C63" s="832">
        <v>5025</v>
      </c>
    </row>
    <row r="64" spans="1:3">
      <c r="A64" s="784" t="s">
        <v>43</v>
      </c>
      <c r="B64" s="784" t="s">
        <v>1387</v>
      </c>
      <c r="C64" s="740">
        <v>7024</v>
      </c>
    </row>
    <row r="65" spans="1:3">
      <c r="A65" s="36" t="s">
        <v>1692</v>
      </c>
      <c r="B65" s="23" t="s">
        <v>1698</v>
      </c>
      <c r="C65" s="740">
        <v>2399</v>
      </c>
    </row>
    <row r="66" spans="1:3">
      <c r="A66" s="784" t="s">
        <v>161</v>
      </c>
      <c r="B66" s="784" t="s">
        <v>1442</v>
      </c>
      <c r="C66" s="740">
        <v>1217</v>
      </c>
    </row>
    <row r="67" spans="1:3">
      <c r="A67" s="36" t="s">
        <v>1691</v>
      </c>
      <c r="B67" s="23" t="s">
        <v>1696</v>
      </c>
      <c r="C67" s="740">
        <v>1165</v>
      </c>
    </row>
    <row r="68" spans="1:3">
      <c r="A68" s="784" t="s">
        <v>393</v>
      </c>
      <c r="B68" s="784" t="s">
        <v>1548</v>
      </c>
      <c r="C68" s="740">
        <v>3929</v>
      </c>
    </row>
    <row r="69" spans="1:3">
      <c r="A69" s="36" t="s">
        <v>1694</v>
      </c>
      <c r="B69" s="23" t="s">
        <v>1700</v>
      </c>
      <c r="C69" s="740">
        <v>1721</v>
      </c>
    </row>
    <row r="70" spans="1:3">
      <c r="A70" s="36" t="s">
        <v>1693</v>
      </c>
      <c r="B70" s="23" t="s">
        <v>1699</v>
      </c>
      <c r="C70" s="740">
        <v>3721</v>
      </c>
    </row>
    <row r="71" spans="1:3">
      <c r="A71" s="784" t="s">
        <v>521</v>
      </c>
      <c r="B71" s="784" t="s">
        <v>1609</v>
      </c>
      <c r="C71" s="740">
        <v>122</v>
      </c>
    </row>
    <row r="72" spans="1:3">
      <c r="A72" s="784" t="s">
        <v>486</v>
      </c>
      <c r="B72" s="784" t="s">
        <v>1594</v>
      </c>
      <c r="C72" s="740">
        <v>1981</v>
      </c>
    </row>
    <row r="73" spans="1:3">
      <c r="A73" s="784" t="s">
        <v>268</v>
      </c>
      <c r="B73" s="784" t="s">
        <v>1488</v>
      </c>
      <c r="C73" s="740">
        <v>921</v>
      </c>
    </row>
    <row r="74" spans="1:3">
      <c r="A74" s="784" t="s">
        <v>496</v>
      </c>
      <c r="B74" s="784" t="s">
        <v>1598</v>
      </c>
      <c r="C74" s="740">
        <v>4434</v>
      </c>
    </row>
    <row r="75" spans="1:3">
      <c r="A75" s="784" t="s">
        <v>238</v>
      </c>
      <c r="B75" s="784" t="s">
        <v>1475</v>
      </c>
      <c r="C75" s="740">
        <v>835</v>
      </c>
    </row>
    <row r="76" spans="1:3">
      <c r="A76" s="784" t="s">
        <v>183</v>
      </c>
      <c r="B76" s="784" t="s">
        <v>1453</v>
      </c>
      <c r="C76" s="740">
        <v>9214</v>
      </c>
    </row>
    <row r="77" spans="1:3">
      <c r="A77" s="784" t="s">
        <v>488</v>
      </c>
      <c r="B77" s="784" t="s">
        <v>1595</v>
      </c>
      <c r="C77" s="740">
        <v>2348</v>
      </c>
    </row>
    <row r="78" spans="1:3">
      <c r="A78" s="784" t="s">
        <v>500</v>
      </c>
      <c r="B78" s="784" t="s">
        <v>1600</v>
      </c>
      <c r="C78" s="740">
        <v>1095</v>
      </c>
    </row>
    <row r="79" spans="1:3">
      <c r="A79" s="784" t="s">
        <v>56</v>
      </c>
      <c r="B79" s="784" t="s">
        <v>854</v>
      </c>
      <c r="C79" s="740">
        <v>9422</v>
      </c>
    </row>
    <row r="80" spans="1:3">
      <c r="A80" s="784" t="s">
        <v>92</v>
      </c>
      <c r="B80" s="784" t="s">
        <v>1410</v>
      </c>
      <c r="C80" s="740">
        <v>1912</v>
      </c>
    </row>
    <row r="81" spans="1:3">
      <c r="A81" s="784" t="s">
        <v>332</v>
      </c>
      <c r="B81" s="784" t="s">
        <v>1517</v>
      </c>
      <c r="C81" s="740">
        <v>834</v>
      </c>
    </row>
    <row r="82" spans="1:3">
      <c r="A82" s="812" t="s">
        <v>1717</v>
      </c>
      <c r="B82" s="543" t="s">
        <v>1719</v>
      </c>
      <c r="C82" s="740">
        <v>1704</v>
      </c>
    </row>
  </sheetData>
  <sortState xmlns:xlrd2="http://schemas.microsoft.com/office/spreadsheetml/2017/richdata2" ref="A3:C82">
    <sortCondition ref="B3:B82"/>
  </sortState>
  <conditionalFormatting sqref="B81:B82 B3:B74">
    <cfRule type="expression" dxfId="103" priority="3">
      <formula>AND($O3&lt;10000,$O3&gt;0,$K3="Y")</formula>
    </cfRule>
  </conditionalFormatting>
  <conditionalFormatting sqref="B75:B80">
    <cfRule type="expression" dxfId="102" priority="2">
      <formula>AND($O75&lt;10000,$O75&gt;0,$K75="Y")</formula>
    </cfRule>
  </conditionalFormatting>
  <conditionalFormatting sqref="C3:C82">
    <cfRule type="expression" dxfId="101" priority="1">
      <formula>AND($L3&gt;0,$K3="Yes")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">
    <tabColor rgb="FF92D050"/>
  </sheetPr>
  <dimension ref="A1:AF317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J24" sqref="J24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/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66614</v>
      </c>
      <c r="O3" s="67">
        <v>14969054</v>
      </c>
      <c r="Q3" s="151"/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868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14969054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85347.489999999962</v>
      </c>
      <c r="E7" s="88">
        <v>175.38950471771352</v>
      </c>
      <c r="F7" s="72">
        <v>0</v>
      </c>
      <c r="G7" s="72">
        <v>0</v>
      </c>
      <c r="H7" s="161">
        <v>14969054</v>
      </c>
      <c r="I7" s="73">
        <v>0</v>
      </c>
      <c r="J7" s="73">
        <v>14969054</v>
      </c>
      <c r="K7" s="72"/>
      <c r="L7" s="88">
        <v>66614</v>
      </c>
      <c r="M7" s="67">
        <v>84967.689999999973</v>
      </c>
      <c r="N7" s="88">
        <v>66617</v>
      </c>
      <c r="O7" s="88">
        <v>14969054</v>
      </c>
      <c r="P7" s="88"/>
      <c r="S7" s="91">
        <v>15327451</v>
      </c>
      <c r="T7" s="163">
        <v>-358397</v>
      </c>
      <c r="U7" s="166">
        <v>-2.3382687701953835E-2</v>
      </c>
      <c r="V7" s="27"/>
      <c r="W7" s="26"/>
    </row>
    <row r="8" spans="1:32">
      <c r="A8" s="77"/>
      <c r="B8" s="78"/>
      <c r="C8" s="78"/>
      <c r="D8" s="70"/>
      <c r="E8" s="74"/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257.5</v>
      </c>
      <c r="E9" s="67">
        <v>45163</v>
      </c>
      <c r="F9" s="146">
        <v>0</v>
      </c>
      <c r="G9" s="146">
        <v>0</v>
      </c>
      <c r="H9" s="91">
        <v>45163</v>
      </c>
      <c r="I9" s="67">
        <v>0</v>
      </c>
      <c r="J9" s="20">
        <v>45163</v>
      </c>
      <c r="K9" s="132" t="s">
        <v>621</v>
      </c>
      <c r="L9" s="151">
        <v>0</v>
      </c>
      <c r="M9" s="128">
        <v>257.5</v>
      </c>
      <c r="N9" s="67">
        <v>202</v>
      </c>
      <c r="O9" s="67">
        <v>45365</v>
      </c>
      <c r="P9" s="270"/>
      <c r="Q9" s="71"/>
      <c r="R9" s="449"/>
      <c r="S9" s="67">
        <v>48058</v>
      </c>
      <c r="T9" s="163">
        <v>-2693</v>
      </c>
      <c r="U9" s="166">
        <v>-5.603645594906155E-2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621</v>
      </c>
      <c r="L10" s="151">
        <v>0</v>
      </c>
      <c r="M10" s="128">
        <v>0</v>
      </c>
      <c r="N10" s="67">
        <v>0</v>
      </c>
      <c r="O10" s="67">
        <v>0</v>
      </c>
      <c r="P10" s="270"/>
      <c r="Q10" s="71"/>
      <c r="R10" s="450"/>
      <c r="S10" s="67">
        <v>0</v>
      </c>
      <c r="T10" s="163">
        <v>0</v>
      </c>
      <c r="U10" s="166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621</v>
      </c>
      <c r="L11" s="151">
        <v>0</v>
      </c>
      <c r="M11" s="128">
        <v>0</v>
      </c>
      <c r="N11" s="67">
        <v>0</v>
      </c>
      <c r="O11" s="67">
        <v>0</v>
      </c>
      <c r="P11" s="270"/>
      <c r="Q11" s="71"/>
      <c r="R11" s="448"/>
      <c r="S11" s="67">
        <v>0</v>
      </c>
      <c r="T11" s="163">
        <v>0</v>
      </c>
      <c r="U11" s="166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51.88</v>
      </c>
      <c r="E12" s="67">
        <v>9099</v>
      </c>
      <c r="F12" s="146">
        <v>0</v>
      </c>
      <c r="G12" s="146">
        <v>0</v>
      </c>
      <c r="H12" s="91">
        <v>9099</v>
      </c>
      <c r="I12" s="67">
        <v>0</v>
      </c>
      <c r="J12" s="148">
        <v>9099</v>
      </c>
      <c r="K12" s="132" t="s">
        <v>621</v>
      </c>
      <c r="L12" s="151">
        <v>0</v>
      </c>
      <c r="M12" s="128">
        <v>51.88</v>
      </c>
      <c r="N12" s="67">
        <v>41</v>
      </c>
      <c r="O12" s="67">
        <v>9140</v>
      </c>
      <c r="P12" s="270"/>
      <c r="Q12" s="71"/>
      <c r="R12" s="449"/>
      <c r="S12" s="67">
        <v>9538</v>
      </c>
      <c r="T12" s="163">
        <v>-398</v>
      </c>
      <c r="U12" s="166">
        <v>-4.172782553994548E-2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167.38</v>
      </c>
      <c r="E13" s="67">
        <v>29357</v>
      </c>
      <c r="F13" s="146">
        <v>0</v>
      </c>
      <c r="G13" s="146">
        <v>0</v>
      </c>
      <c r="H13" s="91">
        <v>29357</v>
      </c>
      <c r="I13" s="67">
        <v>0</v>
      </c>
      <c r="J13" s="20">
        <v>29357</v>
      </c>
      <c r="K13" s="132" t="s">
        <v>621</v>
      </c>
      <c r="L13" s="151">
        <v>0</v>
      </c>
      <c r="M13" s="128">
        <v>167.38</v>
      </c>
      <c r="N13" s="67">
        <v>131</v>
      </c>
      <c r="O13" s="67">
        <v>29488</v>
      </c>
      <c r="P13" s="270"/>
      <c r="Q13" s="71"/>
      <c r="R13" s="449"/>
      <c r="S13" s="67">
        <v>32268</v>
      </c>
      <c r="T13" s="163">
        <v>-2780</v>
      </c>
      <c r="U13" s="166">
        <v>-8.6153464732862284E-2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621</v>
      </c>
      <c r="L14" s="151">
        <v>0</v>
      </c>
      <c r="M14" s="128">
        <v>0</v>
      </c>
      <c r="N14" s="67">
        <v>0</v>
      </c>
      <c r="O14" s="67">
        <v>0</v>
      </c>
      <c r="P14" s="270"/>
      <c r="Q14" s="71"/>
      <c r="R14" s="449"/>
      <c r="S14" s="67">
        <v>0</v>
      </c>
      <c r="T14" s="163">
        <v>0</v>
      </c>
      <c r="U14" s="166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1741.5</v>
      </c>
      <c r="E15" s="67">
        <v>305441</v>
      </c>
      <c r="F15" s="146">
        <v>0</v>
      </c>
      <c r="G15" s="146">
        <v>0</v>
      </c>
      <c r="H15" s="91">
        <v>305441</v>
      </c>
      <c r="I15" s="67">
        <v>0</v>
      </c>
      <c r="J15" s="20">
        <v>305441</v>
      </c>
      <c r="K15" s="132" t="s">
        <v>621</v>
      </c>
      <c r="L15" s="151">
        <v>0</v>
      </c>
      <c r="M15" s="128">
        <v>1741.5</v>
      </c>
      <c r="N15" s="67">
        <v>1365</v>
      </c>
      <c r="O15" s="67">
        <v>306806</v>
      </c>
      <c r="P15" s="270"/>
      <c r="Q15" s="71"/>
      <c r="R15" s="449"/>
      <c r="S15" s="67">
        <v>312286</v>
      </c>
      <c r="T15" s="163">
        <v>-5480</v>
      </c>
      <c r="U15" s="166">
        <v>-1.7548016881960768E-2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32.25</v>
      </c>
      <c r="E16" s="67">
        <v>5656</v>
      </c>
      <c r="F16" s="146">
        <v>0</v>
      </c>
      <c r="G16" s="146">
        <v>0</v>
      </c>
      <c r="H16" s="91">
        <v>5656</v>
      </c>
      <c r="I16" s="67">
        <v>0</v>
      </c>
      <c r="J16" s="20">
        <v>5656</v>
      </c>
      <c r="K16" s="132" t="s">
        <v>621</v>
      </c>
      <c r="L16" s="151">
        <v>0</v>
      </c>
      <c r="M16" s="128">
        <v>32.25</v>
      </c>
      <c r="N16" s="67">
        <v>25</v>
      </c>
      <c r="O16" s="67">
        <v>5681</v>
      </c>
      <c r="P16" s="270"/>
      <c r="Q16" s="71"/>
      <c r="R16" s="449"/>
      <c r="S16" s="67">
        <v>5194</v>
      </c>
      <c r="T16" s="163">
        <v>487</v>
      </c>
      <c r="U16" s="166">
        <v>9.3762033115132842E-2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146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/>
      <c r="Q17" s="71"/>
      <c r="R17" s="449"/>
      <c r="S17" s="67">
        <v>0</v>
      </c>
      <c r="T17" s="163">
        <v>0</v>
      </c>
      <c r="U17" s="166">
        <v>0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683.5</v>
      </c>
      <c r="E18" s="67">
        <v>119879</v>
      </c>
      <c r="F18" s="146">
        <v>0</v>
      </c>
      <c r="G18" s="146">
        <v>0</v>
      </c>
      <c r="H18" s="91">
        <v>119879</v>
      </c>
      <c r="I18" s="67">
        <v>0</v>
      </c>
      <c r="J18" s="20">
        <v>119879</v>
      </c>
      <c r="K18" s="132" t="s">
        <v>621</v>
      </c>
      <c r="L18" s="151">
        <v>0</v>
      </c>
      <c r="M18" s="128">
        <v>683.5</v>
      </c>
      <c r="N18" s="67">
        <v>536</v>
      </c>
      <c r="O18" s="67">
        <v>120415</v>
      </c>
      <c r="P18" s="270"/>
      <c r="Q18" s="71"/>
      <c r="R18" s="449"/>
      <c r="S18" s="67">
        <v>119095</v>
      </c>
      <c r="T18" s="163">
        <v>1320</v>
      </c>
      <c r="U18" s="166">
        <v>1.1083588731684789E-2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1654.5</v>
      </c>
      <c r="E19" s="67">
        <v>290182</v>
      </c>
      <c r="F19" s="146">
        <v>0</v>
      </c>
      <c r="G19" s="146">
        <v>0</v>
      </c>
      <c r="H19" s="91">
        <v>290182</v>
      </c>
      <c r="I19" s="67">
        <v>0</v>
      </c>
      <c r="J19" s="20">
        <v>290182</v>
      </c>
      <c r="K19" s="132" t="s">
        <v>621</v>
      </c>
      <c r="L19" s="151">
        <v>0</v>
      </c>
      <c r="M19" s="128">
        <v>1654.5</v>
      </c>
      <c r="N19" s="67">
        <v>1297</v>
      </c>
      <c r="O19" s="67">
        <v>291479</v>
      </c>
      <c r="P19" s="270"/>
      <c r="Q19" s="71"/>
      <c r="R19" s="449"/>
      <c r="S19" s="67">
        <v>295579</v>
      </c>
      <c r="T19" s="163">
        <v>-4100</v>
      </c>
      <c r="U19" s="166">
        <v>-1.3871080151160942E-2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561.38</v>
      </c>
      <c r="E20" s="67">
        <v>98460</v>
      </c>
      <c r="F20" s="146">
        <v>0</v>
      </c>
      <c r="G20" s="146">
        <v>0</v>
      </c>
      <c r="H20" s="91">
        <v>98460</v>
      </c>
      <c r="I20" s="67">
        <v>0</v>
      </c>
      <c r="J20" s="20">
        <v>98460</v>
      </c>
      <c r="K20" s="132" t="s">
        <v>621</v>
      </c>
      <c r="L20" s="151">
        <v>0</v>
      </c>
      <c r="M20" s="128">
        <v>561.38</v>
      </c>
      <c r="N20" s="67">
        <v>440</v>
      </c>
      <c r="O20" s="67">
        <v>98900</v>
      </c>
      <c r="P20" s="270"/>
      <c r="Q20" s="71"/>
      <c r="R20" s="449"/>
      <c r="S20" s="67">
        <v>104180</v>
      </c>
      <c r="T20" s="163">
        <v>-5280</v>
      </c>
      <c r="U20" s="166">
        <v>-5.0681512766365906E-2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146">
        <v>0</v>
      </c>
      <c r="H21" s="91">
        <v>0</v>
      </c>
      <c r="I21" s="67">
        <v>0</v>
      </c>
      <c r="J21" s="20">
        <v>0</v>
      </c>
      <c r="K21" s="132" t="s">
        <v>621</v>
      </c>
      <c r="L21" s="151">
        <v>0</v>
      </c>
      <c r="M21" s="128">
        <v>0</v>
      </c>
      <c r="N21" s="67">
        <v>0</v>
      </c>
      <c r="O21" s="67">
        <v>0</v>
      </c>
      <c r="P21" s="270"/>
      <c r="Q21" s="71"/>
      <c r="R21" s="449"/>
      <c r="S21" s="67">
        <v>0</v>
      </c>
      <c r="T21" s="163">
        <v>0</v>
      </c>
      <c r="U21" s="166">
        <v>0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266</v>
      </c>
      <c r="E22" s="67">
        <v>46654</v>
      </c>
      <c r="F22" s="146">
        <v>0</v>
      </c>
      <c r="G22" s="146">
        <v>0</v>
      </c>
      <c r="H22" s="91">
        <v>46654</v>
      </c>
      <c r="I22" s="67">
        <v>0</v>
      </c>
      <c r="J22" s="20">
        <v>46654</v>
      </c>
      <c r="K22" s="132" t="s">
        <v>621</v>
      </c>
      <c r="L22" s="151">
        <v>0</v>
      </c>
      <c r="M22" s="128">
        <v>266</v>
      </c>
      <c r="N22" s="67">
        <v>209</v>
      </c>
      <c r="O22" s="67">
        <v>46863</v>
      </c>
      <c r="P22" s="270"/>
      <c r="Q22" s="71"/>
      <c r="R22" s="449"/>
      <c r="S22" s="67">
        <v>47252</v>
      </c>
      <c r="T22" s="163">
        <v>-389</v>
      </c>
      <c r="U22" s="166">
        <v>-8.2324557690679756E-3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20">
        <v>0</v>
      </c>
      <c r="K23" s="132" t="s">
        <v>621</v>
      </c>
      <c r="L23" s="151">
        <v>0</v>
      </c>
      <c r="M23" s="128">
        <v>0</v>
      </c>
      <c r="N23" s="67">
        <v>0</v>
      </c>
      <c r="O23" s="67">
        <v>0</v>
      </c>
      <c r="P23" s="270"/>
      <c r="Q23" s="71"/>
      <c r="R23" s="449"/>
      <c r="S23" s="67">
        <v>0</v>
      </c>
      <c r="T23" s="163">
        <v>0</v>
      </c>
      <c r="U23" s="166">
        <v>0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89</v>
      </c>
      <c r="E24" s="67">
        <v>15610</v>
      </c>
      <c r="F24" s="146">
        <v>0</v>
      </c>
      <c r="G24" s="146">
        <v>0</v>
      </c>
      <c r="H24" s="91">
        <v>15610</v>
      </c>
      <c r="I24" s="67">
        <v>0</v>
      </c>
      <c r="J24" s="20">
        <v>15610</v>
      </c>
      <c r="K24" s="132" t="s">
        <v>621</v>
      </c>
      <c r="L24" s="151">
        <v>0</v>
      </c>
      <c r="M24" s="128">
        <v>89</v>
      </c>
      <c r="N24" s="67">
        <v>70</v>
      </c>
      <c r="O24" s="67">
        <v>15680</v>
      </c>
      <c r="P24" s="270"/>
      <c r="Q24" s="71"/>
      <c r="R24" s="449"/>
      <c r="S24" s="67">
        <v>17490</v>
      </c>
      <c r="T24" s="163">
        <v>-1810</v>
      </c>
      <c r="U24" s="166">
        <v>-0.10348770726129217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146">
        <v>0</v>
      </c>
      <c r="H25" s="91">
        <v>0</v>
      </c>
      <c r="I25" s="67">
        <v>0</v>
      </c>
      <c r="J25" s="20">
        <v>0</v>
      </c>
      <c r="K25" s="132" t="s">
        <v>621</v>
      </c>
      <c r="L25" s="151">
        <v>0</v>
      </c>
      <c r="M25" s="128">
        <v>0</v>
      </c>
      <c r="N25" s="67">
        <v>0</v>
      </c>
      <c r="O25" s="67">
        <v>0</v>
      </c>
      <c r="P25" s="270"/>
      <c r="Q25" s="71"/>
      <c r="R25" s="449"/>
      <c r="S25" s="67">
        <v>0</v>
      </c>
      <c r="T25" s="163">
        <v>0</v>
      </c>
      <c r="U25" s="166">
        <v>0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124.88</v>
      </c>
      <c r="E26" s="67">
        <v>21903</v>
      </c>
      <c r="F26" s="146">
        <v>0</v>
      </c>
      <c r="G26" s="146">
        <v>0</v>
      </c>
      <c r="H26" s="91">
        <v>21903</v>
      </c>
      <c r="I26" s="67">
        <v>0</v>
      </c>
      <c r="J26" s="20">
        <v>21903</v>
      </c>
      <c r="K26" s="132" t="s">
        <v>621</v>
      </c>
      <c r="L26" s="151">
        <v>0</v>
      </c>
      <c r="M26" s="128">
        <v>124.88</v>
      </c>
      <c r="N26" s="67">
        <v>98</v>
      </c>
      <c r="O26" s="67">
        <v>22001</v>
      </c>
      <c r="P26" s="270"/>
      <c r="Q26" s="71"/>
      <c r="R26" s="449"/>
      <c r="S26" s="67">
        <v>23764</v>
      </c>
      <c r="T26" s="163">
        <v>-1763</v>
      </c>
      <c r="U26" s="166">
        <v>-7.4187847163777146E-2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401.25</v>
      </c>
      <c r="E27" s="67">
        <v>70375</v>
      </c>
      <c r="F27" s="146">
        <v>0</v>
      </c>
      <c r="G27" s="146">
        <v>0</v>
      </c>
      <c r="H27" s="91">
        <v>70375</v>
      </c>
      <c r="I27" s="67">
        <v>0</v>
      </c>
      <c r="J27" s="20">
        <v>70375</v>
      </c>
      <c r="K27" s="132" t="s">
        <v>621</v>
      </c>
      <c r="L27" s="151">
        <v>0</v>
      </c>
      <c r="M27" s="128">
        <v>401.25</v>
      </c>
      <c r="N27" s="67">
        <v>315</v>
      </c>
      <c r="O27" s="67">
        <v>70690</v>
      </c>
      <c r="P27" s="270"/>
      <c r="Q27" s="71"/>
      <c r="R27" s="449"/>
      <c r="S27" s="67">
        <v>60306</v>
      </c>
      <c r="T27" s="163">
        <v>10384</v>
      </c>
      <c r="U27" s="166">
        <v>0.17218850528968926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331.13</v>
      </c>
      <c r="E28" s="67">
        <v>58077</v>
      </c>
      <c r="F28" s="146">
        <v>0</v>
      </c>
      <c r="G28" s="146">
        <v>0</v>
      </c>
      <c r="H28" s="91">
        <v>58077</v>
      </c>
      <c r="I28" s="67">
        <v>0</v>
      </c>
      <c r="J28" s="20">
        <v>58077</v>
      </c>
      <c r="K28" s="132" t="s">
        <v>621</v>
      </c>
      <c r="L28" s="151">
        <v>0</v>
      </c>
      <c r="M28" s="128">
        <v>331.13</v>
      </c>
      <c r="N28" s="67">
        <v>260</v>
      </c>
      <c r="O28" s="67">
        <v>58337</v>
      </c>
      <c r="P28" s="270"/>
      <c r="Q28" s="71"/>
      <c r="R28" s="449"/>
      <c r="S28" s="67">
        <v>64927</v>
      </c>
      <c r="T28" s="163">
        <v>-6590</v>
      </c>
      <c r="U28" s="166">
        <v>-0.10149860612688096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146">
        <v>0</v>
      </c>
      <c r="H29" s="91">
        <v>0</v>
      </c>
      <c r="I29" s="67">
        <v>0</v>
      </c>
      <c r="J29" s="20">
        <v>0</v>
      </c>
      <c r="K29" s="132" t="s">
        <v>621</v>
      </c>
      <c r="L29" s="151">
        <v>0</v>
      </c>
      <c r="M29" s="128">
        <v>0</v>
      </c>
      <c r="N29" s="67">
        <v>0</v>
      </c>
      <c r="O29" s="67">
        <v>0</v>
      </c>
      <c r="P29" s="270"/>
      <c r="Q29" s="71"/>
      <c r="R29" s="449"/>
      <c r="S29" s="67">
        <v>0</v>
      </c>
      <c r="T29" s="163">
        <v>0</v>
      </c>
      <c r="U29" s="166">
        <v>0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598.13</v>
      </c>
      <c r="E30" s="67">
        <v>104906</v>
      </c>
      <c r="F30" s="146">
        <v>0</v>
      </c>
      <c r="G30" s="146">
        <v>0</v>
      </c>
      <c r="H30" s="91">
        <v>104906</v>
      </c>
      <c r="I30" s="67">
        <v>0</v>
      </c>
      <c r="J30" s="20">
        <v>104906</v>
      </c>
      <c r="K30" s="132" t="s">
        <v>621</v>
      </c>
      <c r="L30" s="151">
        <v>0</v>
      </c>
      <c r="M30" s="128">
        <v>598.13</v>
      </c>
      <c r="N30" s="67">
        <v>469</v>
      </c>
      <c r="O30" s="67">
        <v>105375</v>
      </c>
      <c r="P30" s="270"/>
      <c r="Q30" s="71"/>
      <c r="R30" s="449"/>
      <c r="S30" s="67">
        <v>106524</v>
      </c>
      <c r="T30" s="163">
        <v>-1149</v>
      </c>
      <c r="U30" s="166">
        <v>-1.0786301678494987E-2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87.25</v>
      </c>
      <c r="E31" s="67">
        <v>15303</v>
      </c>
      <c r="F31" s="146">
        <v>0</v>
      </c>
      <c r="G31" s="146">
        <v>0</v>
      </c>
      <c r="H31" s="91">
        <v>15303</v>
      </c>
      <c r="I31" s="67">
        <v>0</v>
      </c>
      <c r="J31" s="20">
        <v>15303</v>
      </c>
      <c r="K31" s="132" t="s">
        <v>621</v>
      </c>
      <c r="L31" s="151">
        <v>0</v>
      </c>
      <c r="M31" s="128">
        <v>87.25</v>
      </c>
      <c r="N31" s="67">
        <v>68</v>
      </c>
      <c r="O31" s="67">
        <v>15371</v>
      </c>
      <c r="P31" s="270"/>
      <c r="Q31" s="71"/>
      <c r="R31" s="449"/>
      <c r="S31" s="67">
        <v>16547</v>
      </c>
      <c r="T31" s="163">
        <v>-1176</v>
      </c>
      <c r="U31" s="166">
        <v>-7.1070284643742071E-2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77.13</v>
      </c>
      <c r="E32" s="67">
        <v>13528</v>
      </c>
      <c r="F32" s="146">
        <v>0</v>
      </c>
      <c r="G32" s="146">
        <v>0</v>
      </c>
      <c r="H32" s="91">
        <v>13528</v>
      </c>
      <c r="I32" s="67">
        <v>0</v>
      </c>
      <c r="J32" s="20">
        <v>13528</v>
      </c>
      <c r="K32" s="132" t="s">
        <v>621</v>
      </c>
      <c r="L32" s="151">
        <v>0</v>
      </c>
      <c r="M32" s="128">
        <v>77.13</v>
      </c>
      <c r="N32" s="67">
        <v>60</v>
      </c>
      <c r="O32" s="67">
        <v>13588</v>
      </c>
      <c r="P32" s="270"/>
      <c r="Q32" s="71"/>
      <c r="R32" s="449"/>
      <c r="S32" s="67">
        <v>28752</v>
      </c>
      <c r="T32" s="163">
        <v>-15164</v>
      </c>
      <c r="U32" s="166">
        <v>-0.5274067890929327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146">
        <v>0</v>
      </c>
      <c r="H33" s="91">
        <v>0</v>
      </c>
      <c r="I33" s="67">
        <v>0</v>
      </c>
      <c r="J33" s="20">
        <v>0</v>
      </c>
      <c r="K33" s="132" t="s">
        <v>621</v>
      </c>
      <c r="L33" s="151">
        <v>0</v>
      </c>
      <c r="M33" s="128">
        <v>0</v>
      </c>
      <c r="N33" s="67">
        <v>0</v>
      </c>
      <c r="O33" s="67">
        <v>0</v>
      </c>
      <c r="P33" s="270"/>
      <c r="Q33" s="71"/>
      <c r="R33" s="449"/>
      <c r="S33" s="67">
        <v>0</v>
      </c>
      <c r="T33" s="163">
        <v>0</v>
      </c>
      <c r="U33" s="166">
        <v>0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166.38</v>
      </c>
      <c r="E34" s="67">
        <v>29181</v>
      </c>
      <c r="F34" s="146">
        <v>0</v>
      </c>
      <c r="G34" s="146">
        <v>0</v>
      </c>
      <c r="H34" s="91">
        <v>29181</v>
      </c>
      <c r="I34" s="67">
        <v>0</v>
      </c>
      <c r="J34" s="20">
        <v>29181</v>
      </c>
      <c r="K34" s="132" t="s">
        <v>621</v>
      </c>
      <c r="L34" s="151">
        <v>0</v>
      </c>
      <c r="M34" s="128">
        <v>166.38</v>
      </c>
      <c r="N34" s="67">
        <v>130</v>
      </c>
      <c r="O34" s="67">
        <v>29311</v>
      </c>
      <c r="P34" s="270"/>
      <c r="Q34" s="71"/>
      <c r="R34" s="449"/>
      <c r="S34" s="67">
        <v>27395</v>
      </c>
      <c r="T34" s="163">
        <v>1916</v>
      </c>
      <c r="U34" s="166">
        <v>6.9939770031027554E-2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206</v>
      </c>
      <c r="E35" s="67">
        <v>36130</v>
      </c>
      <c r="F35" s="146">
        <v>0</v>
      </c>
      <c r="G35" s="146">
        <v>0</v>
      </c>
      <c r="H35" s="91">
        <v>36130</v>
      </c>
      <c r="I35" s="67">
        <v>0</v>
      </c>
      <c r="J35" s="20">
        <v>36130</v>
      </c>
      <c r="K35" s="132" t="s">
        <v>621</v>
      </c>
      <c r="L35" s="151">
        <v>0</v>
      </c>
      <c r="M35" s="128">
        <v>206</v>
      </c>
      <c r="N35" s="67">
        <v>162</v>
      </c>
      <c r="O35" s="67">
        <v>36292</v>
      </c>
      <c r="P35" s="270"/>
      <c r="Q35" s="71"/>
      <c r="R35" s="449"/>
      <c r="S35" s="67">
        <v>32797</v>
      </c>
      <c r="T35" s="163">
        <v>3495</v>
      </c>
      <c r="U35" s="166">
        <v>0.10656462481324512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32.130000000000003</v>
      </c>
      <c r="E36" s="67">
        <v>5635</v>
      </c>
      <c r="F36" s="146">
        <v>0</v>
      </c>
      <c r="G36" s="146">
        <v>0</v>
      </c>
      <c r="H36" s="91">
        <v>5635</v>
      </c>
      <c r="I36" s="67">
        <v>0</v>
      </c>
      <c r="J36" s="20">
        <v>5635</v>
      </c>
      <c r="K36" s="132" t="s">
        <v>621</v>
      </c>
      <c r="L36" s="151">
        <v>0</v>
      </c>
      <c r="M36" s="128">
        <v>32.130000000000003</v>
      </c>
      <c r="N36" s="67">
        <v>25</v>
      </c>
      <c r="O36" s="67">
        <v>5660</v>
      </c>
      <c r="P36" s="270"/>
      <c r="Q36" s="71"/>
      <c r="R36" s="449"/>
      <c r="S36" s="67">
        <v>6367</v>
      </c>
      <c r="T36" s="163">
        <v>-707</v>
      </c>
      <c r="U36" s="166">
        <v>-0.11104130673786712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20">
        <v>0</v>
      </c>
      <c r="K37" s="132" t="s">
        <v>621</v>
      </c>
      <c r="L37" s="151">
        <v>0</v>
      </c>
      <c r="M37" s="128">
        <v>0</v>
      </c>
      <c r="N37" s="67">
        <v>0</v>
      </c>
      <c r="O37" s="67">
        <v>0</v>
      </c>
      <c r="P37" s="270"/>
      <c r="Q37" s="71"/>
      <c r="R37" s="449"/>
      <c r="S37" s="67">
        <v>0</v>
      </c>
      <c r="T37" s="163">
        <v>0</v>
      </c>
      <c r="U37" s="166">
        <v>0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212</v>
      </c>
      <c r="E38" s="67">
        <v>37183</v>
      </c>
      <c r="F38" s="146">
        <v>0</v>
      </c>
      <c r="G38" s="146">
        <v>0</v>
      </c>
      <c r="H38" s="91">
        <v>37183</v>
      </c>
      <c r="I38" s="67">
        <v>0</v>
      </c>
      <c r="J38" s="20">
        <v>37183</v>
      </c>
      <c r="K38" s="132" t="s">
        <v>621</v>
      </c>
      <c r="L38" s="151">
        <v>0</v>
      </c>
      <c r="M38" s="128">
        <v>212</v>
      </c>
      <c r="N38" s="67">
        <v>166</v>
      </c>
      <c r="O38" s="67">
        <v>37349</v>
      </c>
      <c r="P38" s="270"/>
      <c r="Q38" s="71"/>
      <c r="R38" s="449"/>
      <c r="S38" s="67">
        <v>37853</v>
      </c>
      <c r="T38" s="163">
        <v>-504</v>
      </c>
      <c r="U38" s="166">
        <v>-1.3314664623675799E-2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232</v>
      </c>
      <c r="E39" s="67">
        <v>40690</v>
      </c>
      <c r="F39" s="146">
        <v>0</v>
      </c>
      <c r="G39" s="146">
        <v>0</v>
      </c>
      <c r="H39" s="91">
        <v>40690</v>
      </c>
      <c r="I39" s="67">
        <v>0</v>
      </c>
      <c r="J39" s="20">
        <v>40690</v>
      </c>
      <c r="K39" s="132" t="s">
        <v>621</v>
      </c>
      <c r="L39" s="151">
        <v>0</v>
      </c>
      <c r="M39" s="128">
        <v>232</v>
      </c>
      <c r="N39" s="67">
        <v>182</v>
      </c>
      <c r="O39" s="67">
        <v>40872</v>
      </c>
      <c r="P39" s="270"/>
      <c r="Q39" s="71"/>
      <c r="R39" s="449"/>
      <c r="S39" s="67">
        <v>39094</v>
      </c>
      <c r="T39" s="163">
        <v>1778</v>
      </c>
      <c r="U39" s="166">
        <v>4.5480124827339236E-2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259.25</v>
      </c>
      <c r="E40" s="67">
        <v>45470</v>
      </c>
      <c r="F40" s="146">
        <v>0</v>
      </c>
      <c r="G40" s="146">
        <v>0</v>
      </c>
      <c r="H40" s="91">
        <v>45470</v>
      </c>
      <c r="I40" s="67">
        <v>0</v>
      </c>
      <c r="J40" s="20">
        <v>45470</v>
      </c>
      <c r="K40" s="132" t="s">
        <v>621</v>
      </c>
      <c r="L40" s="151">
        <v>0</v>
      </c>
      <c r="M40" s="128">
        <v>259.25</v>
      </c>
      <c r="N40" s="67">
        <v>203</v>
      </c>
      <c r="O40" s="67">
        <v>45673</v>
      </c>
      <c r="P40" s="270"/>
      <c r="Q40" s="71"/>
      <c r="R40" s="449"/>
      <c r="S40" s="67">
        <v>47965</v>
      </c>
      <c r="T40" s="163">
        <v>-2292</v>
      </c>
      <c r="U40" s="166">
        <v>-4.7784843114771186E-2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68.88</v>
      </c>
      <c r="E41" s="67">
        <v>12081</v>
      </c>
      <c r="F41" s="146">
        <v>0</v>
      </c>
      <c r="G41" s="146">
        <v>0</v>
      </c>
      <c r="H41" s="91">
        <v>12081</v>
      </c>
      <c r="I41" s="67">
        <v>0</v>
      </c>
      <c r="J41" s="20">
        <v>12081</v>
      </c>
      <c r="K41" s="132" t="s">
        <v>621</v>
      </c>
      <c r="L41" s="151">
        <v>0</v>
      </c>
      <c r="M41" s="128">
        <v>68.88</v>
      </c>
      <c r="N41" s="67">
        <v>54</v>
      </c>
      <c r="O41" s="67">
        <v>12135</v>
      </c>
      <c r="P41" s="270"/>
      <c r="Q41" s="71"/>
      <c r="R41" s="449"/>
      <c r="S41" s="67">
        <v>12895</v>
      </c>
      <c r="T41" s="163">
        <v>-760</v>
      </c>
      <c r="U41" s="166">
        <v>-5.8937572702597904E-2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75.88</v>
      </c>
      <c r="E42" s="67">
        <v>13309</v>
      </c>
      <c r="F42" s="146">
        <v>0</v>
      </c>
      <c r="G42" s="146">
        <v>0</v>
      </c>
      <c r="H42" s="91">
        <v>13309</v>
      </c>
      <c r="I42" s="67">
        <v>0</v>
      </c>
      <c r="J42" s="20">
        <v>13309</v>
      </c>
      <c r="K42" s="132" t="s">
        <v>621</v>
      </c>
      <c r="L42" s="151">
        <v>0</v>
      </c>
      <c r="M42" s="128">
        <v>75.88</v>
      </c>
      <c r="N42" s="67">
        <v>59</v>
      </c>
      <c r="O42" s="67">
        <v>13368</v>
      </c>
      <c r="P42" s="270"/>
      <c r="Q42" s="71"/>
      <c r="R42" s="449"/>
      <c r="S42" s="67">
        <v>14157</v>
      </c>
      <c r="T42" s="163">
        <v>-789</v>
      </c>
      <c r="U42" s="166">
        <v>-5.5732146641237552E-2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2</v>
      </c>
      <c r="E43" s="67">
        <v>351</v>
      </c>
      <c r="F43" s="146">
        <v>0</v>
      </c>
      <c r="G43" s="146">
        <v>0</v>
      </c>
      <c r="H43" s="91">
        <v>351</v>
      </c>
      <c r="I43" s="67">
        <v>0</v>
      </c>
      <c r="J43" s="20">
        <v>351</v>
      </c>
      <c r="K43" s="132" t="s">
        <v>644</v>
      </c>
      <c r="L43" s="151">
        <v>351</v>
      </c>
      <c r="M43" s="128">
        <v>0</v>
      </c>
      <c r="N43" s="67">
        <v>0</v>
      </c>
      <c r="O43" s="67">
        <v>0</v>
      </c>
      <c r="P43" s="270"/>
      <c r="Q43" s="71"/>
      <c r="R43" s="449"/>
      <c r="S43" s="67">
        <v>0</v>
      </c>
      <c r="T43" s="163">
        <v>0</v>
      </c>
      <c r="U43" s="166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10.38</v>
      </c>
      <c r="E44" s="67">
        <v>1821</v>
      </c>
      <c r="F44" s="146">
        <v>0</v>
      </c>
      <c r="G44" s="146">
        <v>0</v>
      </c>
      <c r="H44" s="91">
        <v>1821</v>
      </c>
      <c r="I44" s="67">
        <v>0</v>
      </c>
      <c r="J44" s="20">
        <v>1821</v>
      </c>
      <c r="K44" s="132" t="s">
        <v>644</v>
      </c>
      <c r="L44" s="151">
        <v>1821</v>
      </c>
      <c r="M44" s="128">
        <v>0</v>
      </c>
      <c r="N44" s="67">
        <v>0</v>
      </c>
      <c r="O44" s="67">
        <v>0</v>
      </c>
      <c r="P44" s="270"/>
      <c r="Q44" s="71"/>
      <c r="R44" s="449"/>
      <c r="S44" s="67">
        <v>2344</v>
      </c>
      <c r="T44" s="163">
        <v>-2344</v>
      </c>
      <c r="U44" s="166">
        <v>-1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22.25</v>
      </c>
      <c r="E45" s="67">
        <v>3902</v>
      </c>
      <c r="F45" s="146">
        <v>0</v>
      </c>
      <c r="G45" s="146">
        <v>0</v>
      </c>
      <c r="H45" s="91">
        <v>3902</v>
      </c>
      <c r="I45" s="67">
        <v>0</v>
      </c>
      <c r="J45" s="20">
        <v>3902</v>
      </c>
      <c r="K45" s="132" t="s">
        <v>644</v>
      </c>
      <c r="L45" s="151">
        <v>3902</v>
      </c>
      <c r="M45" s="128">
        <v>0</v>
      </c>
      <c r="N45" s="67">
        <v>0</v>
      </c>
      <c r="O45" s="67">
        <v>0</v>
      </c>
      <c r="P45" s="270"/>
      <c r="Q45" s="71"/>
      <c r="R45" s="449"/>
      <c r="S45" s="67">
        <v>4320</v>
      </c>
      <c r="T45" s="163">
        <v>-4320</v>
      </c>
      <c r="U45" s="166">
        <v>-1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15.13</v>
      </c>
      <c r="E46" s="67">
        <v>2654</v>
      </c>
      <c r="F46" s="146">
        <v>0</v>
      </c>
      <c r="G46" s="146">
        <v>0</v>
      </c>
      <c r="H46" s="91">
        <v>2654</v>
      </c>
      <c r="I46" s="67">
        <v>0</v>
      </c>
      <c r="J46" s="20">
        <v>2654</v>
      </c>
      <c r="K46" s="132" t="s">
        <v>621</v>
      </c>
      <c r="L46" s="151">
        <v>0</v>
      </c>
      <c r="M46" s="128">
        <v>15.13</v>
      </c>
      <c r="N46" s="67">
        <v>12</v>
      </c>
      <c r="O46" s="67">
        <v>2666</v>
      </c>
      <c r="P46" s="270"/>
      <c r="Q46" s="71"/>
      <c r="R46" s="449"/>
      <c r="S46" s="67">
        <v>2782</v>
      </c>
      <c r="T46" s="163">
        <v>-116</v>
      </c>
      <c r="U46" s="166">
        <v>-4.1696621135873475E-2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1110.75</v>
      </c>
      <c r="E47" s="67">
        <v>194814</v>
      </c>
      <c r="F47" s="146">
        <v>0</v>
      </c>
      <c r="G47" s="146">
        <v>0</v>
      </c>
      <c r="H47" s="91">
        <v>194814</v>
      </c>
      <c r="I47" s="67">
        <v>0</v>
      </c>
      <c r="J47" s="20">
        <v>194814</v>
      </c>
      <c r="K47" s="132" t="s">
        <v>621</v>
      </c>
      <c r="L47" s="151">
        <v>0</v>
      </c>
      <c r="M47" s="128">
        <v>1110.75</v>
      </c>
      <c r="N47" s="67">
        <v>871</v>
      </c>
      <c r="O47" s="67">
        <v>195685</v>
      </c>
      <c r="P47" s="270"/>
      <c r="Q47" s="71"/>
      <c r="R47" s="449"/>
      <c r="S47" s="67">
        <v>208083</v>
      </c>
      <c r="T47" s="163">
        <v>-12398</v>
      </c>
      <c r="U47" s="166">
        <v>-5.9581993723658348E-2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146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/>
      <c r="Q48" s="71"/>
      <c r="R48" s="449"/>
      <c r="S48" s="67">
        <v>0</v>
      </c>
      <c r="T48" s="163">
        <v>0</v>
      </c>
      <c r="U48" s="166">
        <v>0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621</v>
      </c>
      <c r="L49" s="151">
        <v>0</v>
      </c>
      <c r="M49" s="128">
        <v>0</v>
      </c>
      <c r="N49" s="67">
        <v>0</v>
      </c>
      <c r="O49" s="67">
        <v>0</v>
      </c>
      <c r="P49" s="270"/>
      <c r="Q49" s="71"/>
      <c r="R49" s="449"/>
      <c r="S49" s="67">
        <v>0</v>
      </c>
      <c r="T49" s="163">
        <v>0</v>
      </c>
      <c r="U49" s="166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163</v>
      </c>
      <c r="E50" s="67">
        <v>28588</v>
      </c>
      <c r="F50" s="146">
        <v>0</v>
      </c>
      <c r="G50" s="146">
        <v>0</v>
      </c>
      <c r="H50" s="91">
        <v>28588</v>
      </c>
      <c r="I50" s="67">
        <v>0</v>
      </c>
      <c r="J50" s="20">
        <v>28588</v>
      </c>
      <c r="K50" s="132" t="s">
        <v>621</v>
      </c>
      <c r="L50" s="151">
        <v>0</v>
      </c>
      <c r="M50" s="128">
        <v>163</v>
      </c>
      <c r="N50" s="67">
        <v>128</v>
      </c>
      <c r="O50" s="67">
        <v>28716</v>
      </c>
      <c r="P50" s="270"/>
      <c r="Q50" s="71"/>
      <c r="R50" s="449"/>
      <c r="S50" s="67">
        <v>27971</v>
      </c>
      <c r="T50" s="163">
        <v>745</v>
      </c>
      <c r="U50" s="166">
        <v>2.6634728826284367E-2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20">
        <v>0</v>
      </c>
      <c r="K51" s="132" t="s">
        <v>621</v>
      </c>
      <c r="L51" s="151">
        <v>0</v>
      </c>
      <c r="M51" s="128">
        <v>0</v>
      </c>
      <c r="N51" s="67">
        <v>0</v>
      </c>
      <c r="O51" s="67">
        <v>0</v>
      </c>
      <c r="P51" s="270"/>
      <c r="Q51" s="71"/>
      <c r="R51" s="449"/>
      <c r="S51" s="67">
        <v>0</v>
      </c>
      <c r="T51" s="163">
        <v>0</v>
      </c>
      <c r="U51" s="166">
        <v>0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20">
        <v>0</v>
      </c>
      <c r="K52" s="132" t="s">
        <v>621</v>
      </c>
      <c r="L52" s="151">
        <v>0</v>
      </c>
      <c r="M52" s="128">
        <v>0</v>
      </c>
      <c r="N52" s="67">
        <v>0</v>
      </c>
      <c r="O52" s="67">
        <v>0</v>
      </c>
      <c r="P52" s="270"/>
      <c r="Q52" s="71"/>
      <c r="R52" s="449"/>
      <c r="S52" s="67">
        <v>0</v>
      </c>
      <c r="T52" s="163">
        <v>0</v>
      </c>
      <c r="U52" s="166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77.38</v>
      </c>
      <c r="E53" s="67">
        <v>13572</v>
      </c>
      <c r="F53" s="146">
        <v>0</v>
      </c>
      <c r="G53" s="146">
        <v>0</v>
      </c>
      <c r="H53" s="91">
        <v>13572</v>
      </c>
      <c r="I53" s="67">
        <v>0</v>
      </c>
      <c r="J53" s="20">
        <v>13572</v>
      </c>
      <c r="K53" s="132" t="s">
        <v>621</v>
      </c>
      <c r="L53" s="151">
        <v>0</v>
      </c>
      <c r="M53" s="128">
        <v>77.38</v>
      </c>
      <c r="N53" s="67">
        <v>61</v>
      </c>
      <c r="O53" s="67">
        <v>13633</v>
      </c>
      <c r="P53" s="270"/>
      <c r="Q53" s="71"/>
      <c r="R53" s="449"/>
      <c r="S53" s="67">
        <v>13468</v>
      </c>
      <c r="T53" s="163">
        <v>165</v>
      </c>
      <c r="U53" s="166">
        <v>1.2251262251262251E-2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51.38</v>
      </c>
      <c r="E54" s="67">
        <v>9012</v>
      </c>
      <c r="F54" s="146">
        <v>0</v>
      </c>
      <c r="G54" s="146">
        <v>0</v>
      </c>
      <c r="H54" s="91">
        <v>9012</v>
      </c>
      <c r="I54" s="67">
        <v>0</v>
      </c>
      <c r="J54" s="20">
        <v>9012</v>
      </c>
      <c r="K54" s="132" t="s">
        <v>644</v>
      </c>
      <c r="L54" s="151">
        <v>9012</v>
      </c>
      <c r="M54" s="128">
        <v>0</v>
      </c>
      <c r="N54" s="67">
        <v>0</v>
      </c>
      <c r="O54" s="67">
        <v>0</v>
      </c>
      <c r="P54" s="270"/>
      <c r="Q54" s="71"/>
      <c r="R54" s="449"/>
      <c r="S54" s="67">
        <v>0</v>
      </c>
      <c r="T54" s="163">
        <v>0</v>
      </c>
      <c r="U54" s="166">
        <v>0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20">
        <v>0</v>
      </c>
      <c r="K55" s="132" t="s">
        <v>621</v>
      </c>
      <c r="L55" s="151">
        <v>0</v>
      </c>
      <c r="M55" s="128">
        <v>0</v>
      </c>
      <c r="N55" s="67">
        <v>0</v>
      </c>
      <c r="O55" s="67">
        <v>0</v>
      </c>
      <c r="P55" s="270"/>
      <c r="Q55" s="71"/>
      <c r="R55" s="449"/>
      <c r="S55" s="67">
        <v>229</v>
      </c>
      <c r="T55" s="163">
        <v>-229</v>
      </c>
      <c r="U55" s="166">
        <v>-1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19.13</v>
      </c>
      <c r="E56" s="67">
        <v>3355</v>
      </c>
      <c r="F56" s="146">
        <v>0</v>
      </c>
      <c r="G56" s="146">
        <v>0</v>
      </c>
      <c r="H56" s="91">
        <v>3355</v>
      </c>
      <c r="I56" s="67">
        <v>0</v>
      </c>
      <c r="J56" s="20">
        <v>3355</v>
      </c>
      <c r="K56" s="132" t="s">
        <v>621</v>
      </c>
      <c r="L56" s="151">
        <v>0</v>
      </c>
      <c r="M56" s="128">
        <v>19.13</v>
      </c>
      <c r="N56" s="67">
        <v>15</v>
      </c>
      <c r="O56" s="67">
        <v>3370</v>
      </c>
      <c r="P56" s="270"/>
      <c r="Q56" s="71"/>
      <c r="R56" s="449"/>
      <c r="S56" s="67">
        <v>3861</v>
      </c>
      <c r="T56" s="163">
        <v>-491</v>
      </c>
      <c r="U56" s="166">
        <v>-0.12716912716912718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146">
        <v>0</v>
      </c>
      <c r="H57" s="91">
        <v>0</v>
      </c>
      <c r="I57" s="67">
        <v>0</v>
      </c>
      <c r="J57" s="20">
        <v>0</v>
      </c>
      <c r="K57" s="132" t="s">
        <v>621</v>
      </c>
      <c r="L57" s="151">
        <v>0</v>
      </c>
      <c r="M57" s="128">
        <v>0</v>
      </c>
      <c r="N57" s="67">
        <v>0</v>
      </c>
      <c r="O57" s="67">
        <v>0</v>
      </c>
      <c r="P57" s="270"/>
      <c r="Q57" s="71"/>
      <c r="R57" s="449"/>
      <c r="S57" s="67">
        <v>0</v>
      </c>
      <c r="T57" s="163">
        <v>0</v>
      </c>
      <c r="U57" s="166">
        <v>0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621</v>
      </c>
      <c r="L58" s="151">
        <v>0</v>
      </c>
      <c r="M58" s="128">
        <v>0</v>
      </c>
      <c r="N58" s="67">
        <v>0</v>
      </c>
      <c r="O58" s="67">
        <v>0</v>
      </c>
      <c r="P58" s="270"/>
      <c r="Q58" s="71"/>
      <c r="R58" s="449"/>
      <c r="S58" s="67">
        <v>0</v>
      </c>
      <c r="T58" s="163">
        <v>0</v>
      </c>
      <c r="U58" s="166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27.75</v>
      </c>
      <c r="E59" s="67">
        <v>4867</v>
      </c>
      <c r="F59" s="146">
        <v>0</v>
      </c>
      <c r="G59" s="146">
        <v>0</v>
      </c>
      <c r="H59" s="91">
        <v>4867</v>
      </c>
      <c r="I59" s="67">
        <v>0</v>
      </c>
      <c r="J59" s="20">
        <v>4867</v>
      </c>
      <c r="K59" s="132" t="s">
        <v>621</v>
      </c>
      <c r="L59" s="151">
        <v>0</v>
      </c>
      <c r="M59" s="128">
        <v>27.75</v>
      </c>
      <c r="N59" s="67">
        <v>22</v>
      </c>
      <c r="O59" s="67">
        <v>4889</v>
      </c>
      <c r="P59" s="270"/>
      <c r="Q59" s="71"/>
      <c r="R59" s="449"/>
      <c r="S59" s="67">
        <v>4505</v>
      </c>
      <c r="T59" s="163">
        <v>384</v>
      </c>
      <c r="U59" s="166">
        <v>8.5238623751387341E-2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621</v>
      </c>
      <c r="L60" s="151">
        <v>0</v>
      </c>
      <c r="M60" s="128">
        <v>0</v>
      </c>
      <c r="N60" s="67">
        <v>0</v>
      </c>
      <c r="O60" s="67">
        <v>0</v>
      </c>
      <c r="P60" s="270"/>
      <c r="Q60" s="71"/>
      <c r="R60" s="449"/>
      <c r="S60" s="67">
        <v>0</v>
      </c>
      <c r="T60" s="163">
        <v>0</v>
      </c>
      <c r="U60" s="166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621</v>
      </c>
      <c r="L61" s="151">
        <v>0</v>
      </c>
      <c r="M61" s="128">
        <v>0</v>
      </c>
      <c r="N61" s="67">
        <v>0</v>
      </c>
      <c r="O61" s="67">
        <v>0</v>
      </c>
      <c r="P61" s="270"/>
      <c r="Q61" s="71"/>
      <c r="R61" s="449"/>
      <c r="S61" s="67">
        <v>0</v>
      </c>
      <c r="T61" s="163">
        <v>0</v>
      </c>
      <c r="U61" s="166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621</v>
      </c>
      <c r="L62" s="151">
        <v>0</v>
      </c>
      <c r="M62" s="128">
        <v>0</v>
      </c>
      <c r="N62" s="67">
        <v>0</v>
      </c>
      <c r="O62" s="67">
        <v>0</v>
      </c>
      <c r="P62" s="270"/>
      <c r="Q62" s="71"/>
      <c r="R62" s="449"/>
      <c r="S62" s="67">
        <v>0</v>
      </c>
      <c r="T62" s="163">
        <v>0</v>
      </c>
      <c r="U62" s="166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621</v>
      </c>
      <c r="L63" s="151">
        <v>0</v>
      </c>
      <c r="M63" s="128">
        <v>0</v>
      </c>
      <c r="N63" s="67">
        <v>0</v>
      </c>
      <c r="O63" s="67">
        <v>0</v>
      </c>
      <c r="P63" s="270"/>
      <c r="Q63" s="71"/>
      <c r="R63" s="449"/>
      <c r="S63" s="67">
        <v>0</v>
      </c>
      <c r="T63" s="163">
        <v>0</v>
      </c>
      <c r="U63" s="166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621</v>
      </c>
      <c r="L64" s="151">
        <v>0</v>
      </c>
      <c r="M64" s="128">
        <v>0</v>
      </c>
      <c r="N64" s="67">
        <v>0</v>
      </c>
      <c r="O64" s="67">
        <v>0</v>
      </c>
      <c r="P64" s="270"/>
      <c r="Q64" s="71"/>
      <c r="R64" s="449"/>
      <c r="S64" s="67">
        <v>0</v>
      </c>
      <c r="T64" s="163">
        <v>0</v>
      </c>
      <c r="U64" s="166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621</v>
      </c>
      <c r="L65" s="151">
        <v>0</v>
      </c>
      <c r="M65" s="128">
        <v>0</v>
      </c>
      <c r="N65" s="67">
        <v>0</v>
      </c>
      <c r="O65" s="67">
        <v>0</v>
      </c>
      <c r="P65" s="270"/>
      <c r="Q65" s="71"/>
      <c r="R65" s="449"/>
      <c r="S65" s="67">
        <v>0</v>
      </c>
      <c r="T65" s="163">
        <v>0</v>
      </c>
      <c r="U65" s="166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20">
        <v>0</v>
      </c>
      <c r="K66" s="132" t="s">
        <v>621</v>
      </c>
      <c r="L66" s="151">
        <v>0</v>
      </c>
      <c r="M66" s="128">
        <v>0</v>
      </c>
      <c r="N66" s="67">
        <v>0</v>
      </c>
      <c r="O66" s="67">
        <v>0</v>
      </c>
      <c r="P66" s="270"/>
      <c r="Q66" s="71"/>
      <c r="R66" s="449"/>
      <c r="S66" s="67">
        <v>0</v>
      </c>
      <c r="T66" s="163">
        <v>0</v>
      </c>
      <c r="U66" s="166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0</v>
      </c>
      <c r="E67" s="67">
        <v>0</v>
      </c>
      <c r="F67" s="146">
        <v>0</v>
      </c>
      <c r="G67" s="146">
        <v>0</v>
      </c>
      <c r="H67" s="91">
        <v>0</v>
      </c>
      <c r="I67" s="67">
        <v>0</v>
      </c>
      <c r="J67" s="20">
        <v>0</v>
      </c>
      <c r="K67" s="132" t="s">
        <v>621</v>
      </c>
      <c r="L67" s="151">
        <v>0</v>
      </c>
      <c r="M67" s="128">
        <v>0</v>
      </c>
      <c r="N67" s="67">
        <v>0</v>
      </c>
      <c r="O67" s="67">
        <v>0</v>
      </c>
      <c r="P67" s="270"/>
      <c r="Q67" s="71"/>
      <c r="R67" s="449"/>
      <c r="S67" s="67">
        <v>0</v>
      </c>
      <c r="T67" s="163">
        <v>0</v>
      </c>
      <c r="U67" s="166">
        <v>0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4</v>
      </c>
      <c r="E68" s="67">
        <v>702</v>
      </c>
      <c r="F68" s="146">
        <v>0</v>
      </c>
      <c r="G68" s="146">
        <v>0</v>
      </c>
      <c r="H68" s="91">
        <v>702</v>
      </c>
      <c r="I68" s="67">
        <v>0</v>
      </c>
      <c r="J68" s="20">
        <v>702</v>
      </c>
      <c r="K68" s="132" t="s">
        <v>644</v>
      </c>
      <c r="L68" s="151">
        <v>702</v>
      </c>
      <c r="M68" s="128">
        <v>0</v>
      </c>
      <c r="N68" s="67">
        <v>0</v>
      </c>
      <c r="O68" s="67">
        <v>0</v>
      </c>
      <c r="P68" s="270"/>
      <c r="Q68" s="71"/>
      <c r="R68" s="449"/>
      <c r="S68" s="67">
        <v>0</v>
      </c>
      <c r="T68" s="163">
        <v>0</v>
      </c>
      <c r="U68" s="166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14.63</v>
      </c>
      <c r="E69" s="67">
        <v>2566</v>
      </c>
      <c r="F69" s="146">
        <v>0</v>
      </c>
      <c r="G69" s="146">
        <v>0</v>
      </c>
      <c r="H69" s="91">
        <v>2566</v>
      </c>
      <c r="I69" s="67">
        <v>0</v>
      </c>
      <c r="J69" s="20">
        <v>2566</v>
      </c>
      <c r="K69" s="132" t="s">
        <v>621</v>
      </c>
      <c r="L69" s="151">
        <v>0</v>
      </c>
      <c r="M69" s="128">
        <v>14.63</v>
      </c>
      <c r="N69" s="67">
        <v>11</v>
      </c>
      <c r="O69" s="67">
        <v>2577</v>
      </c>
      <c r="P69" s="270"/>
      <c r="Q69" s="71"/>
      <c r="R69" s="449"/>
      <c r="S69" s="67">
        <v>1655</v>
      </c>
      <c r="T69" s="163">
        <v>922</v>
      </c>
      <c r="U69" s="166">
        <v>0.55709969788519642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20">
        <v>0</v>
      </c>
      <c r="K70" s="132" t="s">
        <v>621</v>
      </c>
      <c r="L70" s="151">
        <v>0</v>
      </c>
      <c r="M70" s="128">
        <v>0</v>
      </c>
      <c r="N70" s="67">
        <v>0</v>
      </c>
      <c r="O70" s="67">
        <v>0</v>
      </c>
      <c r="P70" s="270"/>
      <c r="Q70" s="71"/>
      <c r="R70" s="449"/>
      <c r="S70" s="67">
        <v>0</v>
      </c>
      <c r="T70" s="163">
        <v>0</v>
      </c>
      <c r="U70" s="166">
        <v>0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117.5</v>
      </c>
      <c r="E71" s="67">
        <v>20608</v>
      </c>
      <c r="F71" s="146">
        <v>0</v>
      </c>
      <c r="G71" s="146">
        <v>0</v>
      </c>
      <c r="H71" s="91">
        <v>20608</v>
      </c>
      <c r="I71" s="67">
        <v>0</v>
      </c>
      <c r="J71" s="20">
        <v>20608</v>
      </c>
      <c r="K71" s="132" t="s">
        <v>621</v>
      </c>
      <c r="L71" s="151">
        <v>0</v>
      </c>
      <c r="M71" s="128">
        <v>117.5</v>
      </c>
      <c r="N71" s="67">
        <v>92</v>
      </c>
      <c r="O71" s="67">
        <v>20700</v>
      </c>
      <c r="P71" s="270"/>
      <c r="Q71" s="71"/>
      <c r="R71" s="449"/>
      <c r="S71" s="67">
        <v>20294</v>
      </c>
      <c r="T71" s="163">
        <v>406</v>
      </c>
      <c r="U71" s="166">
        <v>2.0005913077756971E-2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215.38</v>
      </c>
      <c r="E72" s="67">
        <v>37775</v>
      </c>
      <c r="F72" s="146">
        <v>0</v>
      </c>
      <c r="G72" s="146">
        <v>0</v>
      </c>
      <c r="H72" s="91">
        <v>37775</v>
      </c>
      <c r="I72" s="67">
        <v>0</v>
      </c>
      <c r="J72" s="20">
        <v>37775</v>
      </c>
      <c r="K72" s="132" t="s">
        <v>621</v>
      </c>
      <c r="L72" s="151">
        <v>0</v>
      </c>
      <c r="M72" s="128">
        <v>215.38</v>
      </c>
      <c r="N72" s="67">
        <v>169</v>
      </c>
      <c r="O72" s="67">
        <v>37944</v>
      </c>
      <c r="P72" s="270"/>
      <c r="Q72" s="71"/>
      <c r="R72" s="449"/>
      <c r="S72" s="67">
        <v>42518</v>
      </c>
      <c r="T72" s="163">
        <v>-4574</v>
      </c>
      <c r="U72" s="166">
        <v>-0.10757796697869138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835.88</v>
      </c>
      <c r="E73" s="67">
        <v>146605</v>
      </c>
      <c r="F73" s="146">
        <v>0</v>
      </c>
      <c r="G73" s="146">
        <v>0</v>
      </c>
      <c r="H73" s="91">
        <v>146605</v>
      </c>
      <c r="I73" s="67">
        <v>0</v>
      </c>
      <c r="J73" s="20">
        <v>146605</v>
      </c>
      <c r="K73" s="132" t="s">
        <v>621</v>
      </c>
      <c r="L73" s="151">
        <v>0</v>
      </c>
      <c r="M73" s="128">
        <v>835.88</v>
      </c>
      <c r="N73" s="67">
        <v>655</v>
      </c>
      <c r="O73" s="67">
        <v>147260</v>
      </c>
      <c r="P73" s="270"/>
      <c r="Q73" s="71"/>
      <c r="R73" s="449"/>
      <c r="S73" s="67">
        <v>150605</v>
      </c>
      <c r="T73" s="163">
        <v>-3345</v>
      </c>
      <c r="U73" s="166">
        <v>-2.2210417980810731E-2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6.63</v>
      </c>
      <c r="E74" s="67">
        <v>1163</v>
      </c>
      <c r="F74" s="146">
        <v>0</v>
      </c>
      <c r="G74" s="146">
        <v>0</v>
      </c>
      <c r="H74" s="91">
        <v>1163</v>
      </c>
      <c r="I74" s="67">
        <v>0</v>
      </c>
      <c r="J74" s="20">
        <v>1163</v>
      </c>
      <c r="K74" s="132" t="s">
        <v>621</v>
      </c>
      <c r="L74" s="151">
        <v>0</v>
      </c>
      <c r="M74" s="128">
        <v>6.63</v>
      </c>
      <c r="N74" s="67">
        <v>5</v>
      </c>
      <c r="O74" s="67">
        <v>1168</v>
      </c>
      <c r="P74" s="270"/>
      <c r="Q74" s="71"/>
      <c r="R74" s="449"/>
      <c r="S74" s="67">
        <v>1103</v>
      </c>
      <c r="T74" s="163">
        <v>65</v>
      </c>
      <c r="U74" s="166">
        <v>5.8930190389845878E-2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13</v>
      </c>
      <c r="E75" s="67">
        <v>2280</v>
      </c>
      <c r="F75" s="146">
        <v>0</v>
      </c>
      <c r="G75" s="146">
        <v>0</v>
      </c>
      <c r="H75" s="91">
        <v>2280</v>
      </c>
      <c r="I75" s="67">
        <v>0</v>
      </c>
      <c r="J75" s="20">
        <v>2280</v>
      </c>
      <c r="K75" s="132" t="s">
        <v>644</v>
      </c>
      <c r="L75" s="151">
        <v>2280</v>
      </c>
      <c r="M75" s="128">
        <v>0</v>
      </c>
      <c r="N75" s="67">
        <v>0</v>
      </c>
      <c r="O75" s="67">
        <v>0</v>
      </c>
      <c r="P75" s="270"/>
      <c r="Q75" s="71"/>
      <c r="R75" s="449"/>
      <c r="S75" s="67">
        <v>2322</v>
      </c>
      <c r="T75" s="163">
        <v>-2322</v>
      </c>
      <c r="U75" s="166">
        <v>-1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1952.88</v>
      </c>
      <c r="E76" s="67">
        <v>342515</v>
      </c>
      <c r="F76" s="146">
        <v>0</v>
      </c>
      <c r="G76" s="146">
        <v>0</v>
      </c>
      <c r="H76" s="91">
        <v>342515</v>
      </c>
      <c r="I76" s="67">
        <v>0</v>
      </c>
      <c r="J76" s="20">
        <v>342515</v>
      </c>
      <c r="K76" s="132" t="s">
        <v>621</v>
      </c>
      <c r="L76" s="151">
        <v>0</v>
      </c>
      <c r="M76" s="128">
        <v>1952.88</v>
      </c>
      <c r="N76" s="67">
        <v>1531</v>
      </c>
      <c r="O76" s="67">
        <v>344046</v>
      </c>
      <c r="P76" s="270"/>
      <c r="Q76" s="71"/>
      <c r="R76" s="449"/>
      <c r="S76" s="67">
        <v>353976</v>
      </c>
      <c r="T76" s="163">
        <v>-9930</v>
      </c>
      <c r="U76" s="166">
        <v>-2.8052749338938233E-2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195.5</v>
      </c>
      <c r="E77" s="67">
        <v>34289</v>
      </c>
      <c r="F77" s="146">
        <v>0</v>
      </c>
      <c r="G77" s="146">
        <v>0</v>
      </c>
      <c r="H77" s="91">
        <v>34289</v>
      </c>
      <c r="I77" s="67">
        <v>0</v>
      </c>
      <c r="J77" s="20">
        <v>34289</v>
      </c>
      <c r="K77" s="132" t="s">
        <v>621</v>
      </c>
      <c r="L77" s="151">
        <v>0</v>
      </c>
      <c r="M77" s="128">
        <v>195.5</v>
      </c>
      <c r="N77" s="67">
        <v>153</v>
      </c>
      <c r="O77" s="67">
        <v>34442</v>
      </c>
      <c r="P77" s="270"/>
      <c r="Q77" s="71"/>
      <c r="R77" s="449"/>
      <c r="S77" s="67">
        <v>32246</v>
      </c>
      <c r="T77" s="163">
        <v>2196</v>
      </c>
      <c r="U77" s="166">
        <v>6.8101469949761212E-2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81.88</v>
      </c>
      <c r="E78" s="67">
        <v>14361</v>
      </c>
      <c r="F78" s="146">
        <v>0</v>
      </c>
      <c r="G78" s="146">
        <v>0</v>
      </c>
      <c r="H78" s="91">
        <v>14361</v>
      </c>
      <c r="I78" s="67">
        <v>0</v>
      </c>
      <c r="J78" s="20">
        <v>14361</v>
      </c>
      <c r="K78" s="132" t="s">
        <v>644</v>
      </c>
      <c r="L78" s="151">
        <v>14361</v>
      </c>
      <c r="M78" s="128">
        <v>0</v>
      </c>
      <c r="N78" s="67">
        <v>0</v>
      </c>
      <c r="O78" s="67">
        <v>0</v>
      </c>
      <c r="P78" s="270"/>
      <c r="Q78" s="71"/>
      <c r="R78" s="449"/>
      <c r="S78" s="67">
        <v>13538</v>
      </c>
      <c r="T78" s="163">
        <v>-13538</v>
      </c>
      <c r="U78" s="166">
        <v>-1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20">
        <v>0</v>
      </c>
      <c r="K79" s="132" t="s">
        <v>621</v>
      </c>
      <c r="L79" s="151">
        <v>0</v>
      </c>
      <c r="M79" s="128">
        <v>0</v>
      </c>
      <c r="N79" s="67">
        <v>0</v>
      </c>
      <c r="O79" s="67">
        <v>0</v>
      </c>
      <c r="P79" s="270"/>
      <c r="Q79" s="71"/>
      <c r="R79" s="449"/>
      <c r="S79" s="67">
        <v>0</v>
      </c>
      <c r="T79" s="163">
        <v>0</v>
      </c>
      <c r="U79" s="166">
        <v>0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41.38</v>
      </c>
      <c r="E80" s="67">
        <v>7258</v>
      </c>
      <c r="F80" s="146">
        <v>0</v>
      </c>
      <c r="G80" s="146">
        <v>0</v>
      </c>
      <c r="H80" s="91">
        <v>7258</v>
      </c>
      <c r="I80" s="67">
        <v>0</v>
      </c>
      <c r="J80" s="20">
        <v>7258</v>
      </c>
      <c r="K80" s="132" t="s">
        <v>621</v>
      </c>
      <c r="L80" s="151">
        <v>0</v>
      </c>
      <c r="M80" s="128">
        <v>41.38</v>
      </c>
      <c r="N80" s="67">
        <v>32</v>
      </c>
      <c r="O80" s="67">
        <v>7290</v>
      </c>
      <c r="P80" s="270"/>
      <c r="Q80" s="71"/>
      <c r="R80" s="449"/>
      <c r="S80" s="67">
        <v>0</v>
      </c>
      <c r="T80" s="163">
        <v>7290</v>
      </c>
      <c r="U80" s="166">
        <v>0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157.88</v>
      </c>
      <c r="E81" s="67">
        <v>27690</v>
      </c>
      <c r="F81" s="146">
        <v>0</v>
      </c>
      <c r="G81" s="146">
        <v>0</v>
      </c>
      <c r="H81" s="91">
        <v>27690</v>
      </c>
      <c r="I81" s="67">
        <v>0</v>
      </c>
      <c r="J81" s="20">
        <v>27690</v>
      </c>
      <c r="K81" s="132" t="s">
        <v>621</v>
      </c>
      <c r="L81" s="151">
        <v>0</v>
      </c>
      <c r="M81" s="128">
        <v>157.88</v>
      </c>
      <c r="N81" s="67">
        <v>124</v>
      </c>
      <c r="O81" s="67">
        <v>27814</v>
      </c>
      <c r="P81" s="270"/>
      <c r="Q81" s="71"/>
      <c r="R81" s="449"/>
      <c r="S81" s="67">
        <v>26384</v>
      </c>
      <c r="T81" s="163">
        <v>1430</v>
      </c>
      <c r="U81" s="166">
        <v>5.4199514857489389E-2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176.75</v>
      </c>
      <c r="E82" s="67">
        <v>31000</v>
      </c>
      <c r="F82" s="146">
        <v>0</v>
      </c>
      <c r="G82" s="146">
        <v>0</v>
      </c>
      <c r="H82" s="91">
        <v>31000</v>
      </c>
      <c r="I82" s="67">
        <v>0</v>
      </c>
      <c r="J82" s="20">
        <v>31000</v>
      </c>
      <c r="K82" s="132" t="s">
        <v>621</v>
      </c>
      <c r="L82" s="151">
        <v>0</v>
      </c>
      <c r="M82" s="128">
        <v>176.75</v>
      </c>
      <c r="N82" s="67">
        <v>139</v>
      </c>
      <c r="O82" s="67">
        <v>31139</v>
      </c>
      <c r="P82" s="270"/>
      <c r="Q82" s="71"/>
      <c r="R82" s="449"/>
      <c r="S82" s="67">
        <v>29579</v>
      </c>
      <c r="T82" s="163">
        <v>1560</v>
      </c>
      <c r="U82" s="166">
        <v>5.2740119679502352E-2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/>
      <c r="Q83" s="71"/>
      <c r="R83" s="449"/>
      <c r="S83" s="67">
        <v>0</v>
      </c>
      <c r="T83" s="163">
        <v>0</v>
      </c>
      <c r="U83" s="166">
        <v>0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/>
      <c r="Q84" s="71"/>
      <c r="R84" s="449"/>
      <c r="S84" s="67">
        <v>0</v>
      </c>
      <c r="T84" s="163">
        <v>0</v>
      </c>
      <c r="U84" s="166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/>
      <c r="Q85" s="71"/>
      <c r="R85" s="449"/>
      <c r="S85" s="67">
        <v>0</v>
      </c>
      <c r="T85" s="163">
        <v>0</v>
      </c>
      <c r="U85" s="166">
        <v>0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146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/>
      <c r="Q86" s="71"/>
      <c r="R86" s="449"/>
      <c r="S86" s="67">
        <v>0</v>
      </c>
      <c r="T86" s="163">
        <v>0</v>
      </c>
      <c r="U86" s="166">
        <v>0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/>
      <c r="Q87" s="71"/>
      <c r="R87" s="449"/>
      <c r="S87" s="67">
        <v>0</v>
      </c>
      <c r="T87" s="163">
        <v>0</v>
      </c>
      <c r="U87" s="166">
        <v>0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/>
      <c r="Q88" s="71"/>
      <c r="R88" s="449"/>
      <c r="S88" s="67">
        <v>0</v>
      </c>
      <c r="T88" s="163">
        <v>0</v>
      </c>
      <c r="U88" s="166">
        <v>0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/>
      <c r="Q89" s="71"/>
      <c r="R89" s="449"/>
      <c r="S89" s="67">
        <v>0</v>
      </c>
      <c r="T89" s="163">
        <v>0</v>
      </c>
      <c r="U89" s="166">
        <v>0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/>
      <c r="Q90" s="71"/>
      <c r="R90" s="449"/>
      <c r="S90" s="67">
        <v>0</v>
      </c>
      <c r="T90" s="163">
        <v>0</v>
      </c>
      <c r="U90" s="166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621</v>
      </c>
      <c r="L91" s="151">
        <v>0</v>
      </c>
      <c r="M91" s="128">
        <v>0</v>
      </c>
      <c r="N91" s="67">
        <v>0</v>
      </c>
      <c r="O91" s="67">
        <v>0</v>
      </c>
      <c r="P91" s="270"/>
      <c r="Q91" s="71"/>
      <c r="R91" s="449"/>
      <c r="S91" s="67">
        <v>0</v>
      </c>
      <c r="T91" s="163">
        <v>0</v>
      </c>
      <c r="U91" s="166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1771.63</v>
      </c>
      <c r="E92" s="67">
        <v>310725</v>
      </c>
      <c r="F92" s="146">
        <v>0</v>
      </c>
      <c r="G92" s="146">
        <v>0</v>
      </c>
      <c r="H92" s="91">
        <v>310725</v>
      </c>
      <c r="I92" s="67">
        <v>0</v>
      </c>
      <c r="J92" s="20">
        <v>310725</v>
      </c>
      <c r="K92" s="132" t="s">
        <v>621</v>
      </c>
      <c r="L92" s="151">
        <v>0</v>
      </c>
      <c r="M92" s="128">
        <v>1771.63</v>
      </c>
      <c r="N92" s="67">
        <v>1389</v>
      </c>
      <c r="O92" s="67">
        <v>312114</v>
      </c>
      <c r="P92" s="270"/>
      <c r="Q92" s="71"/>
      <c r="R92" s="449"/>
      <c r="S92" s="67">
        <v>313551</v>
      </c>
      <c r="T92" s="163">
        <v>-1437</v>
      </c>
      <c r="U92" s="166">
        <v>-4.5829864998038596E-3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2021.38</v>
      </c>
      <c r="E93" s="67">
        <v>354529</v>
      </c>
      <c r="F93" s="146">
        <v>0</v>
      </c>
      <c r="G93" s="146">
        <v>0</v>
      </c>
      <c r="H93" s="91">
        <v>354529</v>
      </c>
      <c r="I93" s="67">
        <v>0</v>
      </c>
      <c r="J93" s="20">
        <v>354529</v>
      </c>
      <c r="K93" s="132" t="s">
        <v>621</v>
      </c>
      <c r="L93" s="151">
        <v>0</v>
      </c>
      <c r="M93" s="128">
        <v>2021.38</v>
      </c>
      <c r="N93" s="67">
        <v>1585</v>
      </c>
      <c r="O93" s="67">
        <v>356114</v>
      </c>
      <c r="P93" s="270"/>
      <c r="Q93" s="71"/>
      <c r="R93" s="449"/>
      <c r="S93" s="67">
        <v>381095</v>
      </c>
      <c r="T93" s="163">
        <v>-24981</v>
      </c>
      <c r="U93" s="166">
        <v>-6.5550584499927844E-2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621</v>
      </c>
      <c r="L94" s="151">
        <v>0</v>
      </c>
      <c r="M94" s="128">
        <v>0</v>
      </c>
      <c r="N94" s="67">
        <v>0</v>
      </c>
      <c r="O94" s="67">
        <v>0</v>
      </c>
      <c r="P94" s="270"/>
      <c r="Q94" s="71"/>
      <c r="R94" s="449"/>
      <c r="S94" s="67">
        <v>0</v>
      </c>
      <c r="T94" s="163">
        <v>0</v>
      </c>
      <c r="U94" s="166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2861.5</v>
      </c>
      <c r="E95" s="67">
        <v>501877</v>
      </c>
      <c r="F95" s="146">
        <v>0</v>
      </c>
      <c r="G95" s="146">
        <v>0</v>
      </c>
      <c r="H95" s="91">
        <v>501877</v>
      </c>
      <c r="I95" s="67">
        <v>0</v>
      </c>
      <c r="J95" s="20">
        <v>501877</v>
      </c>
      <c r="K95" s="132" t="s">
        <v>621</v>
      </c>
      <c r="L95" s="151">
        <v>0</v>
      </c>
      <c r="M95" s="128">
        <v>2861.5</v>
      </c>
      <c r="N95" s="67">
        <v>2243</v>
      </c>
      <c r="O95" s="67">
        <v>504120</v>
      </c>
      <c r="P95" s="270"/>
      <c r="Q95" s="71"/>
      <c r="R95" s="449"/>
      <c r="S95" s="67">
        <v>493090</v>
      </c>
      <c r="T95" s="163">
        <v>11030</v>
      </c>
      <c r="U95" s="166">
        <v>2.2369141536027905E-2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234.13</v>
      </c>
      <c r="E96" s="67">
        <v>41064</v>
      </c>
      <c r="F96" s="146">
        <v>0</v>
      </c>
      <c r="G96" s="146">
        <v>0</v>
      </c>
      <c r="H96" s="91">
        <v>41064</v>
      </c>
      <c r="I96" s="67">
        <v>0</v>
      </c>
      <c r="J96" s="20">
        <v>41064</v>
      </c>
      <c r="K96" s="132" t="s">
        <v>621</v>
      </c>
      <c r="L96" s="151">
        <v>0</v>
      </c>
      <c r="M96" s="128">
        <v>234.13</v>
      </c>
      <c r="N96" s="67">
        <v>184</v>
      </c>
      <c r="O96" s="67">
        <v>41248</v>
      </c>
      <c r="P96" s="270"/>
      <c r="Q96" s="71"/>
      <c r="R96" s="449"/>
      <c r="S96" s="67">
        <v>41599</v>
      </c>
      <c r="T96" s="163">
        <v>-351</v>
      </c>
      <c r="U96" s="166">
        <v>-8.4377028293949382E-3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340</v>
      </c>
      <c r="E97" s="67">
        <v>59632</v>
      </c>
      <c r="F97" s="146">
        <v>0</v>
      </c>
      <c r="G97" s="146">
        <v>0</v>
      </c>
      <c r="H97" s="91">
        <v>59632</v>
      </c>
      <c r="I97" s="67">
        <v>0</v>
      </c>
      <c r="J97" s="20">
        <v>59632</v>
      </c>
      <c r="K97" s="132" t="s">
        <v>621</v>
      </c>
      <c r="L97" s="151">
        <v>0</v>
      </c>
      <c r="M97" s="128">
        <v>340</v>
      </c>
      <c r="N97" s="67">
        <v>267</v>
      </c>
      <c r="O97" s="67">
        <v>59899</v>
      </c>
      <c r="P97" s="270"/>
      <c r="Q97" s="71"/>
      <c r="R97" s="449"/>
      <c r="S97" s="67">
        <v>61433</v>
      </c>
      <c r="T97" s="163">
        <v>-1534</v>
      </c>
      <c r="U97" s="166">
        <v>-2.4970292839353442E-2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123.5</v>
      </c>
      <c r="E98" s="67">
        <v>21661</v>
      </c>
      <c r="F98" s="146">
        <v>0</v>
      </c>
      <c r="G98" s="146">
        <v>0</v>
      </c>
      <c r="H98" s="91">
        <v>21661</v>
      </c>
      <c r="I98" s="67">
        <v>0</v>
      </c>
      <c r="J98" s="20">
        <v>21661</v>
      </c>
      <c r="K98" s="132" t="s">
        <v>621</v>
      </c>
      <c r="L98" s="151">
        <v>0</v>
      </c>
      <c r="M98" s="128">
        <v>123.5</v>
      </c>
      <c r="N98" s="67">
        <v>97</v>
      </c>
      <c r="O98" s="67">
        <v>21758</v>
      </c>
      <c r="P98" s="270"/>
      <c r="Q98" s="71"/>
      <c r="R98" s="449"/>
      <c r="S98" s="67">
        <v>21466</v>
      </c>
      <c r="T98" s="163">
        <v>292</v>
      </c>
      <c r="U98" s="166">
        <v>1.3602906922575235E-2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547.38</v>
      </c>
      <c r="E99" s="67">
        <v>96005</v>
      </c>
      <c r="F99" s="146">
        <v>0</v>
      </c>
      <c r="G99" s="146">
        <v>0</v>
      </c>
      <c r="H99" s="91">
        <v>96005</v>
      </c>
      <c r="I99" s="67">
        <v>0</v>
      </c>
      <c r="J99" s="20">
        <v>96005</v>
      </c>
      <c r="K99" s="132" t="s">
        <v>621</v>
      </c>
      <c r="L99" s="151">
        <v>0</v>
      </c>
      <c r="M99" s="128">
        <v>547.38</v>
      </c>
      <c r="N99" s="67">
        <v>429</v>
      </c>
      <c r="O99" s="67">
        <v>96434</v>
      </c>
      <c r="P99" s="270"/>
      <c r="Q99" s="71"/>
      <c r="R99" s="449"/>
      <c r="S99" s="67">
        <v>94666</v>
      </c>
      <c r="T99" s="163">
        <v>1768</v>
      </c>
      <c r="U99" s="166">
        <v>1.8676187860477891E-2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621</v>
      </c>
      <c r="L100" s="151">
        <v>0</v>
      </c>
      <c r="M100" s="128">
        <v>0</v>
      </c>
      <c r="N100" s="67">
        <v>0</v>
      </c>
      <c r="O100" s="67">
        <v>0</v>
      </c>
      <c r="P100" s="270"/>
      <c r="Q100" s="71"/>
      <c r="R100" s="449"/>
      <c r="S100" s="67">
        <v>0</v>
      </c>
      <c r="T100" s="163">
        <v>0</v>
      </c>
      <c r="U100" s="166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621</v>
      </c>
      <c r="L101" s="151">
        <v>0</v>
      </c>
      <c r="M101" s="128">
        <v>0</v>
      </c>
      <c r="N101" s="67">
        <v>0</v>
      </c>
      <c r="O101" s="67">
        <v>0</v>
      </c>
      <c r="P101" s="270"/>
      <c r="Q101" s="71"/>
      <c r="R101" s="449"/>
      <c r="S101" s="67">
        <v>0</v>
      </c>
      <c r="T101" s="163">
        <v>0</v>
      </c>
      <c r="U101" s="166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621</v>
      </c>
      <c r="L102" s="151">
        <v>0</v>
      </c>
      <c r="M102" s="128">
        <v>0</v>
      </c>
      <c r="N102" s="67">
        <v>0</v>
      </c>
      <c r="O102" s="67">
        <v>0</v>
      </c>
      <c r="P102" s="270"/>
      <c r="Q102" s="71"/>
      <c r="R102" s="449"/>
      <c r="S102" s="67">
        <v>0</v>
      </c>
      <c r="T102" s="163">
        <v>0</v>
      </c>
      <c r="U102" s="166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33.630000000000003</v>
      </c>
      <c r="E103" s="67">
        <v>5898</v>
      </c>
      <c r="F103" s="146">
        <v>0</v>
      </c>
      <c r="G103" s="146">
        <v>0</v>
      </c>
      <c r="H103" s="91">
        <v>5898</v>
      </c>
      <c r="I103" s="67">
        <v>0</v>
      </c>
      <c r="J103" s="20">
        <v>5898</v>
      </c>
      <c r="K103" s="132" t="s">
        <v>621</v>
      </c>
      <c r="L103" s="151">
        <v>0</v>
      </c>
      <c r="M103" s="128">
        <v>33.630000000000003</v>
      </c>
      <c r="N103" s="67">
        <v>26</v>
      </c>
      <c r="O103" s="67">
        <v>5924</v>
      </c>
      <c r="P103" s="270"/>
      <c r="Q103" s="71"/>
      <c r="R103" s="449"/>
      <c r="S103" s="67">
        <v>6551</v>
      </c>
      <c r="T103" s="163">
        <v>-627</v>
      </c>
      <c r="U103" s="166">
        <v>-9.571057853762785E-2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20">
        <v>0</v>
      </c>
      <c r="K104" s="132" t="s">
        <v>621</v>
      </c>
      <c r="L104" s="151">
        <v>0</v>
      </c>
      <c r="M104" s="128">
        <v>0</v>
      </c>
      <c r="N104" s="67">
        <v>0</v>
      </c>
      <c r="O104" s="67">
        <v>0</v>
      </c>
      <c r="P104" s="270"/>
      <c r="Q104" s="71"/>
      <c r="R104" s="449"/>
      <c r="S104" s="67">
        <v>0</v>
      </c>
      <c r="T104" s="163">
        <v>0</v>
      </c>
      <c r="U104" s="166">
        <v>0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1055.25</v>
      </c>
      <c r="E105" s="67">
        <v>185080</v>
      </c>
      <c r="F105" s="146">
        <v>0</v>
      </c>
      <c r="G105" s="146">
        <v>0</v>
      </c>
      <c r="H105" s="91">
        <v>185080</v>
      </c>
      <c r="I105" s="67">
        <v>0</v>
      </c>
      <c r="J105" s="20">
        <v>185080</v>
      </c>
      <c r="K105" s="132" t="s">
        <v>621</v>
      </c>
      <c r="L105" s="151">
        <v>0</v>
      </c>
      <c r="M105" s="128">
        <v>1055.25</v>
      </c>
      <c r="N105" s="67">
        <v>827</v>
      </c>
      <c r="O105" s="67">
        <v>185907</v>
      </c>
      <c r="P105" s="270"/>
      <c r="Q105" s="71"/>
      <c r="R105" s="449"/>
      <c r="S105" s="67">
        <v>179171</v>
      </c>
      <c r="T105" s="163">
        <v>6736</v>
      </c>
      <c r="U105" s="166">
        <v>3.7595369786405167E-2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560.38</v>
      </c>
      <c r="E106" s="67">
        <v>98285</v>
      </c>
      <c r="F106" s="146">
        <v>0</v>
      </c>
      <c r="G106" s="146">
        <v>0</v>
      </c>
      <c r="H106" s="91">
        <v>98285</v>
      </c>
      <c r="I106" s="67">
        <v>0</v>
      </c>
      <c r="J106" s="20">
        <v>98285</v>
      </c>
      <c r="K106" s="132" t="s">
        <v>621</v>
      </c>
      <c r="L106" s="151">
        <v>0</v>
      </c>
      <c r="M106" s="128">
        <v>560.38</v>
      </c>
      <c r="N106" s="67">
        <v>439</v>
      </c>
      <c r="O106" s="67">
        <v>98724</v>
      </c>
      <c r="P106" s="270"/>
      <c r="Q106" s="71"/>
      <c r="R106" s="449"/>
      <c r="S106" s="67">
        <v>104248</v>
      </c>
      <c r="T106" s="163">
        <v>-5524</v>
      </c>
      <c r="U106" s="166">
        <v>-5.2989026168367738E-2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25.5</v>
      </c>
      <c r="E107" s="67">
        <v>4472</v>
      </c>
      <c r="F107" s="146">
        <v>0</v>
      </c>
      <c r="G107" s="146">
        <v>0</v>
      </c>
      <c r="H107" s="91">
        <v>4472</v>
      </c>
      <c r="I107" s="67">
        <v>0</v>
      </c>
      <c r="J107" s="20">
        <v>4472</v>
      </c>
      <c r="K107" s="132" t="s">
        <v>621</v>
      </c>
      <c r="L107" s="151">
        <v>0</v>
      </c>
      <c r="M107" s="128">
        <v>25.5</v>
      </c>
      <c r="N107" s="67">
        <v>20</v>
      </c>
      <c r="O107" s="67">
        <v>4492</v>
      </c>
      <c r="P107" s="270"/>
      <c r="Q107" s="71"/>
      <c r="R107" s="449"/>
      <c r="S107" s="67">
        <v>4320</v>
      </c>
      <c r="T107" s="163">
        <v>172</v>
      </c>
      <c r="U107" s="166">
        <v>3.9814814814814817E-2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621</v>
      </c>
      <c r="L108" s="151">
        <v>0</v>
      </c>
      <c r="M108" s="128">
        <v>0</v>
      </c>
      <c r="N108" s="67">
        <v>0</v>
      </c>
      <c r="O108" s="67">
        <v>0</v>
      </c>
      <c r="P108" s="270"/>
      <c r="Q108" s="71"/>
      <c r="R108" s="449"/>
      <c r="S108" s="67">
        <v>0</v>
      </c>
      <c r="T108" s="163">
        <v>0</v>
      </c>
      <c r="U108" s="166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621</v>
      </c>
      <c r="L109" s="151">
        <v>0</v>
      </c>
      <c r="M109" s="128">
        <v>0</v>
      </c>
      <c r="N109" s="67">
        <v>0</v>
      </c>
      <c r="O109" s="67">
        <v>0</v>
      </c>
      <c r="P109" s="270"/>
      <c r="Q109" s="71"/>
      <c r="R109" s="449"/>
      <c r="S109" s="67">
        <v>0</v>
      </c>
      <c r="T109" s="163">
        <v>0</v>
      </c>
      <c r="U109" s="166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</v>
      </c>
      <c r="E110" s="67">
        <v>0</v>
      </c>
      <c r="F110" s="146">
        <v>0</v>
      </c>
      <c r="G110" s="146">
        <v>0</v>
      </c>
      <c r="H110" s="91">
        <v>0</v>
      </c>
      <c r="I110" s="67">
        <v>0</v>
      </c>
      <c r="J110" s="20">
        <v>0</v>
      </c>
      <c r="K110" s="132" t="s">
        <v>621</v>
      </c>
      <c r="L110" s="151">
        <v>0</v>
      </c>
      <c r="M110" s="128">
        <v>0</v>
      </c>
      <c r="N110" s="67">
        <v>0</v>
      </c>
      <c r="O110" s="67">
        <v>0</v>
      </c>
      <c r="P110" s="270"/>
      <c r="Q110" s="71"/>
      <c r="R110" s="449"/>
      <c r="S110" s="67">
        <v>0</v>
      </c>
      <c r="T110" s="163">
        <v>0</v>
      </c>
      <c r="U110" s="166">
        <v>0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621</v>
      </c>
      <c r="L111" s="151">
        <v>0</v>
      </c>
      <c r="M111" s="128">
        <v>0</v>
      </c>
      <c r="N111" s="67">
        <v>0</v>
      </c>
      <c r="O111" s="67">
        <v>0</v>
      </c>
      <c r="P111" s="270"/>
      <c r="Q111" s="71"/>
      <c r="R111" s="449"/>
      <c r="S111" s="67">
        <v>0</v>
      </c>
      <c r="T111" s="163">
        <v>0</v>
      </c>
      <c r="U111" s="166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621</v>
      </c>
      <c r="L112" s="151">
        <v>0</v>
      </c>
      <c r="M112" s="128">
        <v>0</v>
      </c>
      <c r="N112" s="67">
        <v>0</v>
      </c>
      <c r="O112" s="67">
        <v>0</v>
      </c>
      <c r="P112" s="270"/>
      <c r="Q112" s="71"/>
      <c r="R112" s="449"/>
      <c r="S112" s="67">
        <v>0</v>
      </c>
      <c r="T112" s="163">
        <v>0</v>
      </c>
      <c r="U112" s="166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233.13</v>
      </c>
      <c r="E113" s="67">
        <v>40889</v>
      </c>
      <c r="F113" s="146">
        <v>0</v>
      </c>
      <c r="G113" s="146">
        <v>0</v>
      </c>
      <c r="H113" s="91">
        <v>40889</v>
      </c>
      <c r="I113" s="67">
        <v>0</v>
      </c>
      <c r="J113" s="20">
        <v>40889</v>
      </c>
      <c r="K113" s="132" t="s">
        <v>621</v>
      </c>
      <c r="L113" s="151">
        <v>0</v>
      </c>
      <c r="M113" s="128">
        <v>233.13</v>
      </c>
      <c r="N113" s="67">
        <v>183</v>
      </c>
      <c r="O113" s="67">
        <v>41072</v>
      </c>
      <c r="P113" s="270"/>
      <c r="Q113" s="71"/>
      <c r="R113" s="449"/>
      <c r="S113" s="67">
        <v>40519</v>
      </c>
      <c r="T113" s="163">
        <v>553</v>
      </c>
      <c r="U113" s="166">
        <v>1.3647918260569115E-2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3452.38</v>
      </c>
      <c r="E114" s="67">
        <v>605511</v>
      </c>
      <c r="F114" s="146">
        <v>0</v>
      </c>
      <c r="G114" s="146">
        <v>0</v>
      </c>
      <c r="H114" s="91">
        <v>605511</v>
      </c>
      <c r="I114" s="67">
        <v>0</v>
      </c>
      <c r="J114" s="20">
        <v>605511</v>
      </c>
      <c r="K114" s="132" t="s">
        <v>621</v>
      </c>
      <c r="L114" s="151">
        <v>0</v>
      </c>
      <c r="M114" s="128">
        <v>3452.38</v>
      </c>
      <c r="N114" s="67">
        <v>2707</v>
      </c>
      <c r="O114" s="67">
        <v>608218</v>
      </c>
      <c r="P114" s="270"/>
      <c r="Q114" s="71"/>
      <c r="R114" s="449"/>
      <c r="S114" s="67">
        <v>636823</v>
      </c>
      <c r="T114" s="163">
        <v>-28605</v>
      </c>
      <c r="U114" s="166">
        <v>-4.4918289697451257E-2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26.38</v>
      </c>
      <c r="E115" s="67">
        <v>4627</v>
      </c>
      <c r="F115" s="146">
        <v>0</v>
      </c>
      <c r="G115" s="146">
        <v>0</v>
      </c>
      <c r="H115" s="91">
        <v>4627</v>
      </c>
      <c r="I115" s="67">
        <v>0</v>
      </c>
      <c r="J115" s="20">
        <v>4627</v>
      </c>
      <c r="K115" s="132" t="s">
        <v>621</v>
      </c>
      <c r="L115" s="151">
        <v>0</v>
      </c>
      <c r="M115" s="128">
        <v>26.38</v>
      </c>
      <c r="N115" s="67">
        <v>21</v>
      </c>
      <c r="O115" s="67">
        <v>4648</v>
      </c>
      <c r="P115" s="270"/>
      <c r="Q115" s="71"/>
      <c r="R115" s="449"/>
      <c r="S115" s="67">
        <v>3907</v>
      </c>
      <c r="T115" s="163">
        <v>741</v>
      </c>
      <c r="U115" s="166">
        <v>0.18965958535961094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146">
        <v>0</v>
      </c>
      <c r="H116" s="91">
        <v>0</v>
      </c>
      <c r="I116" s="67">
        <v>0</v>
      </c>
      <c r="J116" s="20">
        <v>0</v>
      </c>
      <c r="K116" s="132" t="s">
        <v>621</v>
      </c>
      <c r="L116" s="151">
        <v>0</v>
      </c>
      <c r="M116" s="128">
        <v>0</v>
      </c>
      <c r="N116" s="67">
        <v>0</v>
      </c>
      <c r="O116" s="67">
        <v>0</v>
      </c>
      <c r="P116" s="270"/>
      <c r="Q116" s="71"/>
      <c r="R116" s="449"/>
      <c r="S116" s="67">
        <v>0</v>
      </c>
      <c r="T116" s="163">
        <v>0</v>
      </c>
      <c r="U116" s="166">
        <v>0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42.25</v>
      </c>
      <c r="E117" s="67">
        <v>7410</v>
      </c>
      <c r="F117" s="146">
        <v>0</v>
      </c>
      <c r="G117" s="146">
        <v>0</v>
      </c>
      <c r="H117" s="91">
        <v>7410</v>
      </c>
      <c r="I117" s="67">
        <v>0</v>
      </c>
      <c r="J117" s="20">
        <v>7410</v>
      </c>
      <c r="K117" s="132" t="s">
        <v>621</v>
      </c>
      <c r="L117" s="151">
        <v>0</v>
      </c>
      <c r="M117" s="128">
        <v>42.25</v>
      </c>
      <c r="N117" s="67">
        <v>33</v>
      </c>
      <c r="O117" s="67">
        <v>7443</v>
      </c>
      <c r="P117" s="270"/>
      <c r="Q117" s="71"/>
      <c r="R117" s="449"/>
      <c r="S117" s="67">
        <v>8068</v>
      </c>
      <c r="T117" s="163">
        <v>-625</v>
      </c>
      <c r="U117" s="166">
        <v>-7.746653445711453E-2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20">
        <v>0</v>
      </c>
      <c r="K118" s="132" t="s">
        <v>621</v>
      </c>
      <c r="L118" s="151">
        <v>0</v>
      </c>
      <c r="M118" s="128">
        <v>0</v>
      </c>
      <c r="N118" s="67">
        <v>0</v>
      </c>
      <c r="O118" s="67">
        <v>0</v>
      </c>
      <c r="P118" s="270"/>
      <c r="Q118" s="71"/>
      <c r="R118" s="449"/>
      <c r="S118" s="67">
        <v>0</v>
      </c>
      <c r="T118" s="163">
        <v>0</v>
      </c>
      <c r="U118" s="166">
        <v>0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0.5</v>
      </c>
      <c r="E119" s="67">
        <v>88</v>
      </c>
      <c r="F119" s="146">
        <v>0</v>
      </c>
      <c r="G119" s="146">
        <v>0</v>
      </c>
      <c r="H119" s="91">
        <v>88</v>
      </c>
      <c r="I119" s="67">
        <v>0</v>
      </c>
      <c r="J119" s="20">
        <v>88</v>
      </c>
      <c r="K119" s="132" t="s">
        <v>644</v>
      </c>
      <c r="L119" s="151">
        <v>88</v>
      </c>
      <c r="M119" s="128">
        <v>0</v>
      </c>
      <c r="N119" s="67">
        <v>0</v>
      </c>
      <c r="O119" s="67">
        <v>0</v>
      </c>
      <c r="P119" s="270"/>
      <c r="Q119" s="71"/>
      <c r="R119" s="449"/>
      <c r="S119" s="67">
        <v>0</v>
      </c>
      <c r="T119" s="163">
        <v>0</v>
      </c>
      <c r="U119" s="166">
        <v>0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624.63</v>
      </c>
      <c r="E120" s="67">
        <v>109554</v>
      </c>
      <c r="F120" s="146">
        <v>0</v>
      </c>
      <c r="G120" s="146">
        <v>0</v>
      </c>
      <c r="H120" s="91">
        <v>109554</v>
      </c>
      <c r="I120" s="67">
        <v>0</v>
      </c>
      <c r="J120" s="20">
        <v>109554</v>
      </c>
      <c r="K120" s="132" t="s">
        <v>621</v>
      </c>
      <c r="L120" s="151">
        <v>0</v>
      </c>
      <c r="M120" s="128">
        <v>624.63</v>
      </c>
      <c r="N120" s="67">
        <v>490</v>
      </c>
      <c r="O120" s="67">
        <v>110044</v>
      </c>
      <c r="P120" s="270"/>
      <c r="Q120" s="71"/>
      <c r="R120" s="449"/>
      <c r="S120" s="67">
        <v>110799</v>
      </c>
      <c r="T120" s="163">
        <v>-755</v>
      </c>
      <c r="U120" s="166">
        <v>-6.814140921849475E-3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621</v>
      </c>
      <c r="L121" s="151">
        <v>0</v>
      </c>
      <c r="M121" s="128">
        <v>0</v>
      </c>
      <c r="N121" s="67">
        <v>0</v>
      </c>
      <c r="O121" s="67">
        <v>0</v>
      </c>
      <c r="P121" s="270"/>
      <c r="Q121" s="71"/>
      <c r="R121" s="449"/>
      <c r="S121" s="67">
        <v>0</v>
      </c>
      <c r="T121" s="163">
        <v>0</v>
      </c>
      <c r="U121" s="166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146">
        <v>0</v>
      </c>
      <c r="H122" s="91">
        <v>0</v>
      </c>
      <c r="I122" s="67">
        <v>0</v>
      </c>
      <c r="J122" s="20">
        <v>0</v>
      </c>
      <c r="K122" s="132" t="s">
        <v>621</v>
      </c>
      <c r="L122" s="151">
        <v>0</v>
      </c>
      <c r="M122" s="128">
        <v>0</v>
      </c>
      <c r="N122" s="67">
        <v>0</v>
      </c>
      <c r="O122" s="67">
        <v>0</v>
      </c>
      <c r="P122" s="270"/>
      <c r="Q122" s="71"/>
      <c r="R122" s="449"/>
      <c r="S122" s="67">
        <v>0</v>
      </c>
      <c r="T122" s="163">
        <v>0</v>
      </c>
      <c r="U122" s="166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621</v>
      </c>
      <c r="L123" s="151">
        <v>0</v>
      </c>
      <c r="M123" s="128">
        <v>0</v>
      </c>
      <c r="N123" s="67">
        <v>0</v>
      </c>
      <c r="O123" s="67">
        <v>0</v>
      </c>
      <c r="P123" s="270"/>
      <c r="Q123" s="71"/>
      <c r="R123" s="449"/>
      <c r="S123" s="67">
        <v>0</v>
      </c>
      <c r="T123" s="163">
        <v>0</v>
      </c>
      <c r="U123" s="166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193.13</v>
      </c>
      <c r="E124" s="67">
        <v>33873</v>
      </c>
      <c r="F124" s="146">
        <v>0</v>
      </c>
      <c r="G124" s="146">
        <v>0</v>
      </c>
      <c r="H124" s="91">
        <v>33873</v>
      </c>
      <c r="I124" s="67">
        <v>0</v>
      </c>
      <c r="J124" s="20">
        <v>33873</v>
      </c>
      <c r="K124" s="132" t="s">
        <v>621</v>
      </c>
      <c r="L124" s="151">
        <v>0</v>
      </c>
      <c r="M124" s="128">
        <v>193.13</v>
      </c>
      <c r="N124" s="67">
        <v>151</v>
      </c>
      <c r="O124" s="67">
        <v>34024</v>
      </c>
      <c r="P124" s="270"/>
      <c r="Q124" s="71"/>
      <c r="R124" s="449"/>
      <c r="S124" s="67">
        <v>33324</v>
      </c>
      <c r="T124" s="163">
        <v>700</v>
      </c>
      <c r="U124" s="166">
        <v>2.1005881646861121E-2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1746.25</v>
      </c>
      <c r="E125" s="67">
        <v>306274</v>
      </c>
      <c r="F125" s="146">
        <v>0</v>
      </c>
      <c r="G125" s="146">
        <v>0</v>
      </c>
      <c r="H125" s="91">
        <v>306274</v>
      </c>
      <c r="I125" s="67">
        <v>0</v>
      </c>
      <c r="J125" s="20">
        <v>306274</v>
      </c>
      <c r="K125" s="132" t="s">
        <v>621</v>
      </c>
      <c r="L125" s="151">
        <v>0</v>
      </c>
      <c r="M125" s="128">
        <v>1746.25</v>
      </c>
      <c r="N125" s="67">
        <v>1369</v>
      </c>
      <c r="O125" s="67">
        <v>307643</v>
      </c>
      <c r="P125" s="270"/>
      <c r="Q125" s="71"/>
      <c r="R125" s="449"/>
      <c r="S125" s="67">
        <v>296819</v>
      </c>
      <c r="T125" s="163">
        <v>10824</v>
      </c>
      <c r="U125" s="166">
        <v>3.6466668238893066E-2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4043.88</v>
      </c>
      <c r="E126" s="67">
        <v>709254</v>
      </c>
      <c r="F126" s="146">
        <v>0</v>
      </c>
      <c r="G126" s="146">
        <v>0</v>
      </c>
      <c r="H126" s="91">
        <v>709254</v>
      </c>
      <c r="I126" s="67">
        <v>0</v>
      </c>
      <c r="J126" s="20">
        <v>709254</v>
      </c>
      <c r="K126" s="132" t="s">
        <v>621</v>
      </c>
      <c r="L126" s="151">
        <v>0</v>
      </c>
      <c r="M126" s="128">
        <v>4043.88</v>
      </c>
      <c r="N126" s="67">
        <v>3170</v>
      </c>
      <c r="O126" s="67">
        <v>712424</v>
      </c>
      <c r="P126" s="270"/>
      <c r="Q126" s="71"/>
      <c r="R126" s="449"/>
      <c r="S126" s="67">
        <v>728661</v>
      </c>
      <c r="T126" s="163">
        <v>-16237</v>
      </c>
      <c r="U126" s="166">
        <v>-2.2283338891473537E-2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146">
        <v>0</v>
      </c>
      <c r="H127" s="91">
        <v>0</v>
      </c>
      <c r="I127" s="67">
        <v>0</v>
      </c>
      <c r="J127" s="20">
        <v>0</v>
      </c>
      <c r="K127" s="132" t="s">
        <v>621</v>
      </c>
      <c r="L127" s="151">
        <v>0</v>
      </c>
      <c r="M127" s="128">
        <v>0</v>
      </c>
      <c r="N127" s="67">
        <v>0</v>
      </c>
      <c r="O127" s="67">
        <v>0</v>
      </c>
      <c r="P127" s="270"/>
      <c r="Q127" s="71"/>
      <c r="R127" s="449"/>
      <c r="S127" s="67">
        <v>0</v>
      </c>
      <c r="T127" s="163">
        <v>0</v>
      </c>
      <c r="U127" s="166">
        <v>0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210.38</v>
      </c>
      <c r="E128" s="67">
        <v>36898</v>
      </c>
      <c r="F128" s="146">
        <v>0</v>
      </c>
      <c r="G128" s="146">
        <v>0</v>
      </c>
      <c r="H128" s="91">
        <v>36898</v>
      </c>
      <c r="I128" s="67">
        <v>0</v>
      </c>
      <c r="J128" s="20">
        <v>36898</v>
      </c>
      <c r="K128" s="132" t="s">
        <v>621</v>
      </c>
      <c r="L128" s="151">
        <v>0</v>
      </c>
      <c r="M128" s="128">
        <v>210.38</v>
      </c>
      <c r="N128" s="67">
        <v>165</v>
      </c>
      <c r="O128" s="67">
        <v>37063</v>
      </c>
      <c r="P128" s="270"/>
      <c r="Q128" s="71"/>
      <c r="R128" s="449"/>
      <c r="S128" s="67">
        <v>38932</v>
      </c>
      <c r="T128" s="163">
        <v>-1869</v>
      </c>
      <c r="U128" s="166">
        <v>-4.8006781054145693E-2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37.880000000000003</v>
      </c>
      <c r="E129" s="67">
        <v>6644</v>
      </c>
      <c r="F129" s="146">
        <v>0</v>
      </c>
      <c r="G129" s="146">
        <v>0</v>
      </c>
      <c r="H129" s="91">
        <v>6644</v>
      </c>
      <c r="I129" s="67">
        <v>0</v>
      </c>
      <c r="J129" s="20">
        <v>6644</v>
      </c>
      <c r="K129" s="132" t="s">
        <v>621</v>
      </c>
      <c r="L129" s="151">
        <v>0</v>
      </c>
      <c r="M129" s="128">
        <v>37.880000000000003</v>
      </c>
      <c r="N129" s="67">
        <v>30</v>
      </c>
      <c r="O129" s="67">
        <v>6674</v>
      </c>
      <c r="P129" s="270"/>
      <c r="Q129" s="71"/>
      <c r="R129" s="449"/>
      <c r="S129" s="67">
        <v>7287</v>
      </c>
      <c r="T129" s="163">
        <v>-613</v>
      </c>
      <c r="U129" s="166">
        <v>-8.412240977082476E-2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20">
        <v>0</v>
      </c>
      <c r="K130" s="132" t="s">
        <v>621</v>
      </c>
      <c r="L130" s="151">
        <v>0</v>
      </c>
      <c r="M130" s="128">
        <v>0</v>
      </c>
      <c r="N130" s="67">
        <v>0</v>
      </c>
      <c r="O130" s="67">
        <v>0</v>
      </c>
      <c r="P130" s="270"/>
      <c r="Q130" s="71"/>
      <c r="R130" s="449"/>
      <c r="S130" s="67">
        <v>0</v>
      </c>
      <c r="T130" s="163">
        <v>0</v>
      </c>
      <c r="U130" s="166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10.38</v>
      </c>
      <c r="E131" s="67">
        <v>1821</v>
      </c>
      <c r="F131" s="146">
        <v>0</v>
      </c>
      <c r="G131" s="146">
        <v>0</v>
      </c>
      <c r="H131" s="91">
        <v>1821</v>
      </c>
      <c r="I131" s="67">
        <v>0</v>
      </c>
      <c r="J131" s="20">
        <v>1821</v>
      </c>
      <c r="K131" s="132" t="s">
        <v>621</v>
      </c>
      <c r="L131" s="151">
        <v>0</v>
      </c>
      <c r="M131" s="128">
        <v>10.38</v>
      </c>
      <c r="N131" s="67">
        <v>8</v>
      </c>
      <c r="O131" s="67">
        <v>1829</v>
      </c>
      <c r="P131" s="270"/>
      <c r="Q131" s="71"/>
      <c r="R131" s="449"/>
      <c r="S131" s="67">
        <v>2068</v>
      </c>
      <c r="T131" s="163">
        <v>-239</v>
      </c>
      <c r="U131" s="166">
        <v>-0.1155705996131528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19.38</v>
      </c>
      <c r="E132" s="67">
        <v>3399</v>
      </c>
      <c r="F132" s="146">
        <v>0</v>
      </c>
      <c r="G132" s="146">
        <v>0</v>
      </c>
      <c r="H132" s="91">
        <v>3399</v>
      </c>
      <c r="I132" s="67">
        <v>0</v>
      </c>
      <c r="J132" s="20">
        <v>3399</v>
      </c>
      <c r="K132" s="132" t="s">
        <v>644</v>
      </c>
      <c r="L132" s="151">
        <v>3399</v>
      </c>
      <c r="M132" s="128">
        <v>0</v>
      </c>
      <c r="N132" s="67">
        <v>0</v>
      </c>
      <c r="O132" s="67">
        <v>0</v>
      </c>
      <c r="P132" s="270"/>
      <c r="Q132" s="71"/>
      <c r="R132" s="449"/>
      <c r="S132" s="67">
        <v>3126</v>
      </c>
      <c r="T132" s="163">
        <v>-3126</v>
      </c>
      <c r="U132" s="166">
        <v>-1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20">
        <v>0</v>
      </c>
      <c r="K133" s="132" t="s">
        <v>621</v>
      </c>
      <c r="L133" s="151">
        <v>0</v>
      </c>
      <c r="M133" s="128">
        <v>0</v>
      </c>
      <c r="N133" s="67">
        <v>0</v>
      </c>
      <c r="O133" s="67">
        <v>0</v>
      </c>
      <c r="P133" s="270"/>
      <c r="Q133" s="71"/>
      <c r="R133" s="449"/>
      <c r="S133" s="67">
        <v>0</v>
      </c>
      <c r="T133" s="163">
        <v>0</v>
      </c>
      <c r="U133" s="166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305.75</v>
      </c>
      <c r="E134" s="67">
        <v>53625</v>
      </c>
      <c r="F134" s="146">
        <v>0</v>
      </c>
      <c r="G134" s="146">
        <v>0</v>
      </c>
      <c r="H134" s="91">
        <v>53625</v>
      </c>
      <c r="I134" s="67">
        <v>0</v>
      </c>
      <c r="J134" s="20">
        <v>53625</v>
      </c>
      <c r="K134" s="132" t="s">
        <v>621</v>
      </c>
      <c r="L134" s="151">
        <v>0</v>
      </c>
      <c r="M134" s="128">
        <v>305.75</v>
      </c>
      <c r="N134" s="67">
        <v>240</v>
      </c>
      <c r="O134" s="67">
        <v>53865</v>
      </c>
      <c r="P134" s="270"/>
      <c r="Q134" s="71"/>
      <c r="R134" s="449"/>
      <c r="S134" s="67">
        <v>50975</v>
      </c>
      <c r="T134" s="163">
        <v>2890</v>
      </c>
      <c r="U134" s="166">
        <v>5.6694458067680233E-2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248</v>
      </c>
      <c r="E135" s="67">
        <v>43497</v>
      </c>
      <c r="F135" s="146">
        <v>0</v>
      </c>
      <c r="G135" s="146">
        <v>0</v>
      </c>
      <c r="H135" s="91">
        <v>43497</v>
      </c>
      <c r="I135" s="67">
        <v>0</v>
      </c>
      <c r="J135" s="20">
        <v>43497</v>
      </c>
      <c r="K135" s="132" t="s">
        <v>621</v>
      </c>
      <c r="L135" s="151">
        <v>0</v>
      </c>
      <c r="M135" s="128">
        <v>248</v>
      </c>
      <c r="N135" s="67">
        <v>194</v>
      </c>
      <c r="O135" s="67">
        <v>43691</v>
      </c>
      <c r="P135" s="270"/>
      <c r="Q135" s="71"/>
      <c r="R135" s="449"/>
      <c r="S135" s="67">
        <v>40542</v>
      </c>
      <c r="T135" s="163">
        <v>3149</v>
      </c>
      <c r="U135" s="166">
        <v>7.767253712199694E-2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/>
      <c r="Q136" s="71"/>
      <c r="R136" s="449"/>
      <c r="S136" s="67">
        <v>0</v>
      </c>
      <c r="T136" s="163">
        <v>0</v>
      </c>
      <c r="U136" s="166">
        <v>0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1283.25</v>
      </c>
      <c r="E137" s="67">
        <v>225069</v>
      </c>
      <c r="F137" s="146">
        <v>0</v>
      </c>
      <c r="G137" s="146">
        <v>0</v>
      </c>
      <c r="H137" s="91">
        <v>225069</v>
      </c>
      <c r="I137" s="67">
        <v>0</v>
      </c>
      <c r="J137" s="20">
        <v>225069</v>
      </c>
      <c r="K137" s="132" t="s">
        <v>621</v>
      </c>
      <c r="L137" s="151">
        <v>0</v>
      </c>
      <c r="M137" s="128">
        <v>1283.25</v>
      </c>
      <c r="N137" s="67">
        <v>1006</v>
      </c>
      <c r="O137" s="67">
        <v>226075</v>
      </c>
      <c r="P137" s="270"/>
      <c r="Q137" s="71"/>
      <c r="R137" s="449"/>
      <c r="S137" s="67">
        <v>227067</v>
      </c>
      <c r="T137" s="163">
        <v>-992</v>
      </c>
      <c r="U137" s="166">
        <v>-4.3687545966608976E-3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65.38</v>
      </c>
      <c r="E138" s="67">
        <v>11467</v>
      </c>
      <c r="F138" s="146">
        <v>0</v>
      </c>
      <c r="G138" s="146">
        <v>0</v>
      </c>
      <c r="H138" s="91">
        <v>11467</v>
      </c>
      <c r="I138" s="67">
        <v>0</v>
      </c>
      <c r="J138" s="20">
        <v>11467</v>
      </c>
      <c r="K138" s="132" t="s">
        <v>621</v>
      </c>
      <c r="L138" s="151">
        <v>0</v>
      </c>
      <c r="M138" s="128">
        <v>65.38</v>
      </c>
      <c r="N138" s="67">
        <v>51</v>
      </c>
      <c r="O138" s="67">
        <v>11518</v>
      </c>
      <c r="P138" s="270"/>
      <c r="Q138" s="71"/>
      <c r="R138" s="449"/>
      <c r="S138" s="67">
        <v>12664</v>
      </c>
      <c r="T138" s="163">
        <v>-1146</v>
      </c>
      <c r="U138" s="166">
        <v>-9.0492735312697414E-2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621</v>
      </c>
      <c r="L139" s="151">
        <v>0</v>
      </c>
      <c r="M139" s="128">
        <v>0</v>
      </c>
      <c r="N139" s="67">
        <v>0</v>
      </c>
      <c r="O139" s="67">
        <v>0</v>
      </c>
      <c r="P139" s="270"/>
      <c r="Q139" s="71"/>
      <c r="R139" s="449"/>
      <c r="S139" s="67">
        <v>0</v>
      </c>
      <c r="T139" s="163">
        <v>0</v>
      </c>
      <c r="U139" s="166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621</v>
      </c>
      <c r="L140" s="151">
        <v>0</v>
      </c>
      <c r="M140" s="128">
        <v>0</v>
      </c>
      <c r="N140" s="67">
        <v>0</v>
      </c>
      <c r="O140" s="67">
        <v>0</v>
      </c>
      <c r="P140" s="270"/>
      <c r="Q140" s="71"/>
      <c r="R140" s="449"/>
      <c r="S140" s="67">
        <v>0</v>
      </c>
      <c r="T140" s="163">
        <v>0</v>
      </c>
      <c r="U140" s="166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25.38</v>
      </c>
      <c r="E141" s="67">
        <v>4451</v>
      </c>
      <c r="F141" s="146">
        <v>0</v>
      </c>
      <c r="G141" s="146">
        <v>0</v>
      </c>
      <c r="H141" s="91">
        <v>4451</v>
      </c>
      <c r="I141" s="67">
        <v>0</v>
      </c>
      <c r="J141" s="20">
        <v>4451</v>
      </c>
      <c r="K141" s="132" t="s">
        <v>644</v>
      </c>
      <c r="L141" s="151">
        <v>4451</v>
      </c>
      <c r="M141" s="128">
        <v>0</v>
      </c>
      <c r="N141" s="67">
        <v>0</v>
      </c>
      <c r="O141" s="67">
        <v>0</v>
      </c>
      <c r="P141" s="270"/>
      <c r="Q141" s="71"/>
      <c r="R141" s="449"/>
      <c r="S141" s="67">
        <v>0</v>
      </c>
      <c r="T141" s="163">
        <v>0</v>
      </c>
      <c r="U141" s="166">
        <v>0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308.88</v>
      </c>
      <c r="E142" s="67">
        <v>54174</v>
      </c>
      <c r="F142" s="146">
        <v>0</v>
      </c>
      <c r="G142" s="146">
        <v>0</v>
      </c>
      <c r="H142" s="91">
        <v>54174</v>
      </c>
      <c r="I142" s="67">
        <v>0</v>
      </c>
      <c r="J142" s="20">
        <v>54174</v>
      </c>
      <c r="K142" s="132" t="s">
        <v>621</v>
      </c>
      <c r="L142" s="151">
        <v>0</v>
      </c>
      <c r="M142" s="128">
        <v>308.88</v>
      </c>
      <c r="N142" s="67">
        <v>242</v>
      </c>
      <c r="O142" s="67">
        <v>54416</v>
      </c>
      <c r="P142" s="270"/>
      <c r="Q142" s="71"/>
      <c r="R142" s="449"/>
      <c r="S142" s="67">
        <v>58651</v>
      </c>
      <c r="T142" s="163">
        <v>-4235</v>
      </c>
      <c r="U142" s="166">
        <v>-7.2206782493052124E-2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20">
        <v>0</v>
      </c>
      <c r="K143" s="132" t="s">
        <v>621</v>
      </c>
      <c r="L143" s="151">
        <v>0</v>
      </c>
      <c r="M143" s="128">
        <v>0</v>
      </c>
      <c r="N143" s="67">
        <v>0</v>
      </c>
      <c r="O143" s="67">
        <v>0</v>
      </c>
      <c r="P143" s="270"/>
      <c r="Q143" s="71"/>
      <c r="R143" s="449"/>
      <c r="S143" s="67">
        <v>0</v>
      </c>
      <c r="T143" s="163">
        <v>0</v>
      </c>
      <c r="U143" s="166">
        <v>0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3.38</v>
      </c>
      <c r="E144" s="67">
        <v>593</v>
      </c>
      <c r="F144" s="146">
        <v>0</v>
      </c>
      <c r="G144" s="146">
        <v>0</v>
      </c>
      <c r="H144" s="91">
        <v>593</v>
      </c>
      <c r="I144" s="67">
        <v>0</v>
      </c>
      <c r="J144" s="20">
        <v>593</v>
      </c>
      <c r="K144" s="132" t="s">
        <v>621</v>
      </c>
      <c r="L144" s="151">
        <v>0</v>
      </c>
      <c r="M144" s="128">
        <v>3.38</v>
      </c>
      <c r="N144" s="67">
        <v>3</v>
      </c>
      <c r="O144" s="67">
        <v>596</v>
      </c>
      <c r="P144" s="270"/>
      <c r="Q144" s="71"/>
      <c r="R144" s="449"/>
      <c r="S144" s="67">
        <v>1127</v>
      </c>
      <c r="T144" s="163">
        <v>-531</v>
      </c>
      <c r="U144" s="166">
        <v>-0.47116237799467614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0</v>
      </c>
      <c r="E145" s="67">
        <v>0</v>
      </c>
      <c r="F145" s="146">
        <v>0</v>
      </c>
      <c r="G145" s="146">
        <v>0</v>
      </c>
      <c r="H145" s="91">
        <v>0</v>
      </c>
      <c r="I145" s="67">
        <v>0</v>
      </c>
      <c r="J145" s="20">
        <v>0</v>
      </c>
      <c r="K145" s="132" t="s">
        <v>621</v>
      </c>
      <c r="L145" s="151">
        <v>0</v>
      </c>
      <c r="M145" s="128">
        <v>0</v>
      </c>
      <c r="N145" s="67">
        <v>0</v>
      </c>
      <c r="O145" s="67">
        <v>0</v>
      </c>
      <c r="P145" s="270"/>
      <c r="Q145" s="71"/>
      <c r="R145" s="449"/>
      <c r="S145" s="67">
        <v>0</v>
      </c>
      <c r="T145" s="163">
        <v>0</v>
      </c>
      <c r="U145" s="166">
        <v>0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235.5</v>
      </c>
      <c r="E146" s="67">
        <v>41304</v>
      </c>
      <c r="F146" s="146">
        <v>0</v>
      </c>
      <c r="G146" s="146">
        <v>0</v>
      </c>
      <c r="H146" s="91">
        <v>41304</v>
      </c>
      <c r="I146" s="67">
        <v>0</v>
      </c>
      <c r="J146" s="20">
        <v>41304</v>
      </c>
      <c r="K146" s="132" t="s">
        <v>621</v>
      </c>
      <c r="L146" s="151">
        <v>0</v>
      </c>
      <c r="M146" s="128">
        <v>235.5</v>
      </c>
      <c r="N146" s="67">
        <v>185</v>
      </c>
      <c r="O146" s="67">
        <v>41489</v>
      </c>
      <c r="P146" s="270"/>
      <c r="Q146" s="71"/>
      <c r="R146" s="449"/>
      <c r="S146" s="67">
        <v>42472</v>
      </c>
      <c r="T146" s="163">
        <v>-983</v>
      </c>
      <c r="U146" s="166">
        <v>-2.3144660011301565E-2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364.88</v>
      </c>
      <c r="E147" s="67">
        <v>63996</v>
      </c>
      <c r="F147" s="146">
        <v>0</v>
      </c>
      <c r="G147" s="146">
        <v>0</v>
      </c>
      <c r="H147" s="91">
        <v>63996</v>
      </c>
      <c r="I147" s="67">
        <v>0</v>
      </c>
      <c r="J147" s="20">
        <v>63996</v>
      </c>
      <c r="K147" s="132" t="s">
        <v>621</v>
      </c>
      <c r="L147" s="151">
        <v>0</v>
      </c>
      <c r="M147" s="128">
        <v>364.88</v>
      </c>
      <c r="N147" s="67">
        <v>286</v>
      </c>
      <c r="O147" s="67">
        <v>64282</v>
      </c>
      <c r="P147" s="270"/>
      <c r="Q147" s="71"/>
      <c r="R147" s="449"/>
      <c r="S147" s="67">
        <v>66811</v>
      </c>
      <c r="T147" s="163">
        <v>-2529</v>
      </c>
      <c r="U147" s="166">
        <v>-3.7853048150753618E-2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20">
        <v>0</v>
      </c>
      <c r="K148" s="132" t="s">
        <v>621</v>
      </c>
      <c r="L148" s="151">
        <v>0</v>
      </c>
      <c r="M148" s="128">
        <v>0</v>
      </c>
      <c r="N148" s="67">
        <v>0</v>
      </c>
      <c r="O148" s="67">
        <v>0</v>
      </c>
      <c r="P148" s="270"/>
      <c r="Q148" s="71"/>
      <c r="R148" s="449"/>
      <c r="S148" s="67">
        <v>0</v>
      </c>
      <c r="T148" s="163">
        <v>0</v>
      </c>
      <c r="U148" s="166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198.75</v>
      </c>
      <c r="E149" s="67">
        <v>34859</v>
      </c>
      <c r="F149" s="146">
        <v>0</v>
      </c>
      <c r="G149" s="146">
        <v>0</v>
      </c>
      <c r="H149" s="91">
        <v>34859</v>
      </c>
      <c r="I149" s="67">
        <v>0</v>
      </c>
      <c r="J149" s="20">
        <v>34859</v>
      </c>
      <c r="K149" s="132" t="s">
        <v>621</v>
      </c>
      <c r="L149" s="151">
        <v>0</v>
      </c>
      <c r="M149" s="128">
        <v>198.75</v>
      </c>
      <c r="N149" s="67">
        <v>156</v>
      </c>
      <c r="O149" s="67">
        <v>35015</v>
      </c>
      <c r="P149" s="270"/>
      <c r="Q149" s="71"/>
      <c r="R149" s="449"/>
      <c r="S149" s="67">
        <v>38978</v>
      </c>
      <c r="T149" s="163">
        <v>-3963</v>
      </c>
      <c r="U149" s="166">
        <v>-0.10167273846785366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146">
        <v>0</v>
      </c>
      <c r="H150" s="91">
        <v>0</v>
      </c>
      <c r="I150" s="67">
        <v>0</v>
      </c>
      <c r="J150" s="20">
        <v>0</v>
      </c>
      <c r="K150" s="132" t="s">
        <v>621</v>
      </c>
      <c r="L150" s="151">
        <v>0</v>
      </c>
      <c r="M150" s="128">
        <v>0</v>
      </c>
      <c r="N150" s="67">
        <v>0</v>
      </c>
      <c r="O150" s="67">
        <v>0</v>
      </c>
      <c r="P150" s="270"/>
      <c r="Q150" s="71"/>
      <c r="R150" s="449"/>
      <c r="S150" s="67">
        <v>0</v>
      </c>
      <c r="T150" s="163">
        <v>0</v>
      </c>
      <c r="U150" s="166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621</v>
      </c>
      <c r="L151" s="151">
        <v>0</v>
      </c>
      <c r="M151" s="128">
        <v>0</v>
      </c>
      <c r="N151" s="67">
        <v>0</v>
      </c>
      <c r="O151" s="67">
        <v>0</v>
      </c>
      <c r="P151" s="270"/>
      <c r="Q151" s="71"/>
      <c r="R151" s="449"/>
      <c r="S151" s="67">
        <v>0</v>
      </c>
      <c r="T151" s="163">
        <v>0</v>
      </c>
      <c r="U151" s="166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738.63</v>
      </c>
      <c r="E152" s="67">
        <v>129548</v>
      </c>
      <c r="F152" s="146">
        <v>0</v>
      </c>
      <c r="G152" s="146">
        <v>0</v>
      </c>
      <c r="H152" s="91">
        <v>129548</v>
      </c>
      <c r="I152" s="67">
        <v>0</v>
      </c>
      <c r="J152" s="20">
        <v>129548</v>
      </c>
      <c r="K152" s="132" t="s">
        <v>621</v>
      </c>
      <c r="L152" s="151">
        <v>0</v>
      </c>
      <c r="M152" s="128">
        <v>738.63</v>
      </c>
      <c r="N152" s="67">
        <v>579</v>
      </c>
      <c r="O152" s="67">
        <v>130127</v>
      </c>
      <c r="P152" s="270"/>
      <c r="Q152" s="71"/>
      <c r="R152" s="449"/>
      <c r="S152" s="67">
        <v>131322</v>
      </c>
      <c r="T152" s="163">
        <v>-1195</v>
      </c>
      <c r="U152" s="166">
        <v>-9.0997700309163737E-3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20">
        <v>0</v>
      </c>
      <c r="K153" s="132" t="s">
        <v>621</v>
      </c>
      <c r="L153" s="151">
        <v>0</v>
      </c>
      <c r="M153" s="128">
        <v>0</v>
      </c>
      <c r="N153" s="67">
        <v>0</v>
      </c>
      <c r="O153" s="67">
        <v>0</v>
      </c>
      <c r="P153" s="270"/>
      <c r="Q153" s="71"/>
      <c r="R153" s="449"/>
      <c r="S153" s="67">
        <v>0</v>
      </c>
      <c r="T153" s="163">
        <v>0</v>
      </c>
      <c r="U153" s="166">
        <v>0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142.75</v>
      </c>
      <c r="E154" s="67">
        <v>25037</v>
      </c>
      <c r="F154" s="146">
        <v>0</v>
      </c>
      <c r="G154" s="146">
        <v>0</v>
      </c>
      <c r="H154" s="91">
        <v>25037</v>
      </c>
      <c r="I154" s="67">
        <v>0</v>
      </c>
      <c r="J154" s="20">
        <v>25037</v>
      </c>
      <c r="K154" s="132" t="s">
        <v>621</v>
      </c>
      <c r="L154" s="151">
        <v>0</v>
      </c>
      <c r="M154" s="128">
        <v>142.75</v>
      </c>
      <c r="N154" s="67">
        <v>112</v>
      </c>
      <c r="O154" s="67">
        <v>25149</v>
      </c>
      <c r="P154" s="270"/>
      <c r="Q154" s="71"/>
      <c r="R154" s="449"/>
      <c r="S154" s="67">
        <v>25649</v>
      </c>
      <c r="T154" s="163">
        <v>-500</v>
      </c>
      <c r="U154" s="166">
        <v>-1.9493937385473118E-2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10.38</v>
      </c>
      <c r="E155" s="67">
        <v>1821</v>
      </c>
      <c r="F155" s="146">
        <v>0</v>
      </c>
      <c r="G155" s="146">
        <v>0</v>
      </c>
      <c r="H155" s="91">
        <v>1821</v>
      </c>
      <c r="I155" s="67">
        <v>0</v>
      </c>
      <c r="J155" s="20">
        <v>1821</v>
      </c>
      <c r="K155" s="132" t="s">
        <v>644</v>
      </c>
      <c r="L155" s="151">
        <v>1821</v>
      </c>
      <c r="M155" s="128">
        <v>0</v>
      </c>
      <c r="N155" s="67">
        <v>0</v>
      </c>
      <c r="O155" s="67">
        <v>0</v>
      </c>
      <c r="P155" s="270"/>
      <c r="Q155" s="71"/>
      <c r="R155" s="449"/>
      <c r="S155" s="67">
        <v>0</v>
      </c>
      <c r="T155" s="163">
        <v>0</v>
      </c>
      <c r="U155" s="166">
        <v>0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73.88</v>
      </c>
      <c r="E156" s="88">
        <v>12958</v>
      </c>
      <c r="F156" s="146">
        <v>0</v>
      </c>
      <c r="G156" s="146">
        <v>0</v>
      </c>
      <c r="H156" s="91">
        <v>12958</v>
      </c>
      <c r="I156" s="67">
        <v>0</v>
      </c>
      <c r="J156" s="20">
        <v>12958</v>
      </c>
      <c r="K156" s="132" t="s">
        <v>621</v>
      </c>
      <c r="L156" s="151">
        <v>0</v>
      </c>
      <c r="M156" s="128">
        <v>73.88</v>
      </c>
      <c r="N156" s="67">
        <v>58</v>
      </c>
      <c r="O156" s="67">
        <v>13016</v>
      </c>
      <c r="P156" s="270"/>
      <c r="Q156" s="71"/>
      <c r="R156" s="449"/>
      <c r="S156" s="67">
        <v>13606</v>
      </c>
      <c r="T156" s="163">
        <v>-590</v>
      </c>
      <c r="U156" s="166">
        <v>-4.3363222107893576E-2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106.63</v>
      </c>
      <c r="E157" s="67">
        <v>18702</v>
      </c>
      <c r="F157" s="146">
        <v>0</v>
      </c>
      <c r="G157" s="146">
        <v>0</v>
      </c>
      <c r="H157" s="91">
        <v>18702</v>
      </c>
      <c r="I157" s="67">
        <v>0</v>
      </c>
      <c r="J157" s="20">
        <v>18702</v>
      </c>
      <c r="K157" s="132" t="s">
        <v>621</v>
      </c>
      <c r="L157" s="151">
        <v>0</v>
      </c>
      <c r="M157" s="128">
        <v>106.63</v>
      </c>
      <c r="N157" s="67">
        <v>84</v>
      </c>
      <c r="O157" s="67">
        <v>18786</v>
      </c>
      <c r="P157" s="270"/>
      <c r="Q157" s="71"/>
      <c r="R157" s="449"/>
      <c r="S157" s="67">
        <v>23649</v>
      </c>
      <c r="T157" s="163">
        <v>-4863</v>
      </c>
      <c r="U157" s="166">
        <v>-0.20563237346187999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5.63</v>
      </c>
      <c r="E158" s="67">
        <v>987</v>
      </c>
      <c r="F158" s="146">
        <v>0</v>
      </c>
      <c r="G158" s="146">
        <v>0</v>
      </c>
      <c r="H158" s="91">
        <v>987</v>
      </c>
      <c r="I158" s="67">
        <v>0</v>
      </c>
      <c r="J158" s="20">
        <v>987</v>
      </c>
      <c r="K158" s="132" t="s">
        <v>644</v>
      </c>
      <c r="L158" s="151">
        <v>987</v>
      </c>
      <c r="M158" s="128">
        <v>0</v>
      </c>
      <c r="N158" s="67">
        <v>0</v>
      </c>
      <c r="O158" s="67">
        <v>0</v>
      </c>
      <c r="P158" s="270"/>
      <c r="Q158" s="71"/>
      <c r="R158" s="449"/>
      <c r="S158" s="67">
        <v>0</v>
      </c>
      <c r="T158" s="163">
        <v>0</v>
      </c>
      <c r="U158" s="166">
        <v>0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20">
        <v>0</v>
      </c>
      <c r="K159" s="132" t="s">
        <v>621</v>
      </c>
      <c r="L159" s="151">
        <v>0</v>
      </c>
      <c r="M159" s="128">
        <v>0</v>
      </c>
      <c r="N159" s="67">
        <v>0</v>
      </c>
      <c r="O159" s="67">
        <v>0</v>
      </c>
      <c r="P159" s="270"/>
      <c r="Q159" s="71"/>
      <c r="R159" s="449"/>
      <c r="S159" s="67">
        <v>0</v>
      </c>
      <c r="T159" s="163">
        <v>0</v>
      </c>
      <c r="U159" s="166">
        <v>0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421.25</v>
      </c>
      <c r="E160" s="67">
        <v>73883</v>
      </c>
      <c r="F160" s="146">
        <v>0</v>
      </c>
      <c r="G160" s="146">
        <v>0</v>
      </c>
      <c r="H160" s="91">
        <v>73883</v>
      </c>
      <c r="I160" s="67">
        <v>0</v>
      </c>
      <c r="J160" s="20">
        <v>73883</v>
      </c>
      <c r="K160" s="132" t="s">
        <v>621</v>
      </c>
      <c r="L160" s="151">
        <v>0</v>
      </c>
      <c r="M160" s="128">
        <v>421.25</v>
      </c>
      <c r="N160" s="67">
        <v>330</v>
      </c>
      <c r="O160" s="67">
        <v>74213</v>
      </c>
      <c r="P160" s="270"/>
      <c r="Q160" s="71"/>
      <c r="R160" s="449"/>
      <c r="S160" s="67">
        <v>76740</v>
      </c>
      <c r="T160" s="163">
        <v>-2527</v>
      </c>
      <c r="U160" s="166">
        <v>-3.2929371905134217E-2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17.25</v>
      </c>
      <c r="E161" s="67">
        <v>3025</v>
      </c>
      <c r="F161" s="146">
        <v>0</v>
      </c>
      <c r="G161" s="146">
        <v>0</v>
      </c>
      <c r="H161" s="91">
        <v>3025</v>
      </c>
      <c r="I161" s="67">
        <v>0</v>
      </c>
      <c r="J161" s="20">
        <v>3025</v>
      </c>
      <c r="K161" s="132" t="s">
        <v>621</v>
      </c>
      <c r="L161" s="151">
        <v>0</v>
      </c>
      <c r="M161" s="128">
        <v>17.25</v>
      </c>
      <c r="N161" s="67">
        <v>14</v>
      </c>
      <c r="O161" s="67">
        <v>3039</v>
      </c>
      <c r="P161" s="270"/>
      <c r="Q161" s="71"/>
      <c r="R161" s="449"/>
      <c r="S161" s="67">
        <v>3355</v>
      </c>
      <c r="T161" s="163">
        <v>-316</v>
      </c>
      <c r="U161" s="166">
        <v>-9.4187779433681076E-2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621</v>
      </c>
      <c r="L162" s="151">
        <v>0</v>
      </c>
      <c r="M162" s="128">
        <v>0</v>
      </c>
      <c r="N162" s="67">
        <v>0</v>
      </c>
      <c r="O162" s="67">
        <v>0</v>
      </c>
      <c r="P162" s="270"/>
      <c r="Q162" s="71"/>
      <c r="R162" s="449"/>
      <c r="S162" s="67">
        <v>0</v>
      </c>
      <c r="T162" s="163">
        <v>0</v>
      </c>
      <c r="U162" s="166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620.63</v>
      </c>
      <c r="E163" s="67">
        <v>108852</v>
      </c>
      <c r="F163" s="146">
        <v>0</v>
      </c>
      <c r="G163" s="146">
        <v>0</v>
      </c>
      <c r="H163" s="91">
        <v>108852</v>
      </c>
      <c r="I163" s="67">
        <v>0</v>
      </c>
      <c r="J163" s="20">
        <v>108852</v>
      </c>
      <c r="K163" s="132" t="s">
        <v>621</v>
      </c>
      <c r="L163" s="151">
        <v>0</v>
      </c>
      <c r="M163" s="128">
        <v>620.63</v>
      </c>
      <c r="N163" s="67">
        <v>487</v>
      </c>
      <c r="O163" s="67">
        <v>109339</v>
      </c>
      <c r="P163" s="270"/>
      <c r="Q163" s="71"/>
      <c r="R163" s="449"/>
      <c r="S163" s="67">
        <v>108042</v>
      </c>
      <c r="T163" s="163">
        <v>1297</v>
      </c>
      <c r="U163" s="166">
        <v>1.2004590807278651E-2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35.25</v>
      </c>
      <c r="E164" s="67">
        <v>6182</v>
      </c>
      <c r="F164" s="146">
        <v>0</v>
      </c>
      <c r="G164" s="146">
        <v>0</v>
      </c>
      <c r="H164" s="91">
        <v>6182</v>
      </c>
      <c r="I164" s="67">
        <v>0</v>
      </c>
      <c r="J164" s="20">
        <v>6182</v>
      </c>
      <c r="K164" s="132" t="s">
        <v>621</v>
      </c>
      <c r="L164" s="151">
        <v>0</v>
      </c>
      <c r="M164" s="128">
        <v>35.25</v>
      </c>
      <c r="N164" s="67">
        <v>28</v>
      </c>
      <c r="O164" s="67">
        <v>6210</v>
      </c>
      <c r="P164" s="270"/>
      <c r="Q164" s="71"/>
      <c r="R164" s="449"/>
      <c r="S164" s="67">
        <v>7792</v>
      </c>
      <c r="T164" s="163">
        <v>-1582</v>
      </c>
      <c r="U164" s="166">
        <v>-0.20302874743326488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122.5</v>
      </c>
      <c r="E165" s="67">
        <v>21485</v>
      </c>
      <c r="F165" s="146">
        <v>0</v>
      </c>
      <c r="G165" s="146">
        <v>0</v>
      </c>
      <c r="H165" s="91">
        <v>21485</v>
      </c>
      <c r="I165" s="67">
        <v>0</v>
      </c>
      <c r="J165" s="20">
        <v>21485</v>
      </c>
      <c r="K165" s="132" t="s">
        <v>621</v>
      </c>
      <c r="L165" s="151">
        <v>0</v>
      </c>
      <c r="M165" s="128">
        <v>122.5</v>
      </c>
      <c r="N165" s="67">
        <v>96</v>
      </c>
      <c r="O165" s="67">
        <v>21581</v>
      </c>
      <c r="P165" s="270"/>
      <c r="Q165" s="71"/>
      <c r="R165" s="449"/>
      <c r="S165" s="67">
        <v>20846</v>
      </c>
      <c r="T165" s="163">
        <v>735</v>
      </c>
      <c r="U165" s="166">
        <v>3.5258562793821356E-2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131.5</v>
      </c>
      <c r="E166" s="67">
        <v>23064</v>
      </c>
      <c r="F166" s="146">
        <v>0</v>
      </c>
      <c r="G166" s="146">
        <v>0</v>
      </c>
      <c r="H166" s="91">
        <v>23064</v>
      </c>
      <c r="I166" s="67">
        <v>0</v>
      </c>
      <c r="J166" s="20">
        <v>23064</v>
      </c>
      <c r="K166" s="132" t="s">
        <v>621</v>
      </c>
      <c r="L166" s="151">
        <v>0</v>
      </c>
      <c r="M166" s="128">
        <v>131.5</v>
      </c>
      <c r="N166" s="67">
        <v>103</v>
      </c>
      <c r="O166" s="67">
        <v>23167</v>
      </c>
      <c r="P166" s="270"/>
      <c r="Q166" s="71"/>
      <c r="R166" s="449"/>
      <c r="S166" s="67">
        <v>29233</v>
      </c>
      <c r="T166" s="163">
        <v>-6066</v>
      </c>
      <c r="U166" s="166">
        <v>-0.20750521670714603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20">
        <v>0</v>
      </c>
      <c r="K167" s="132" t="s">
        <v>621</v>
      </c>
      <c r="L167" s="151">
        <v>0</v>
      </c>
      <c r="M167" s="128">
        <v>0</v>
      </c>
      <c r="N167" s="67">
        <v>0</v>
      </c>
      <c r="O167" s="67">
        <v>0</v>
      </c>
      <c r="P167" s="270"/>
      <c r="Q167" s="71"/>
      <c r="R167" s="449"/>
      <c r="S167" s="67">
        <v>0</v>
      </c>
      <c r="T167" s="163">
        <v>0</v>
      </c>
      <c r="U167" s="166">
        <v>0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1452.5</v>
      </c>
      <c r="E168" s="67">
        <v>254753</v>
      </c>
      <c r="F168" s="146">
        <v>0</v>
      </c>
      <c r="G168" s="146">
        <v>0</v>
      </c>
      <c r="H168" s="91">
        <v>254753</v>
      </c>
      <c r="I168" s="67">
        <v>0</v>
      </c>
      <c r="J168" s="20">
        <v>254753</v>
      </c>
      <c r="K168" s="132" t="s">
        <v>621</v>
      </c>
      <c r="L168" s="151">
        <v>0</v>
      </c>
      <c r="M168" s="128">
        <v>1452.5</v>
      </c>
      <c r="N168" s="67">
        <v>1139</v>
      </c>
      <c r="O168" s="67">
        <v>255892</v>
      </c>
      <c r="P168" s="270"/>
      <c r="Q168" s="71"/>
      <c r="R168" s="449"/>
      <c r="S168" s="67">
        <v>259840</v>
      </c>
      <c r="T168" s="163">
        <v>-3948</v>
      </c>
      <c r="U168" s="166">
        <v>-1.5193965517241378E-2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2182.63</v>
      </c>
      <c r="E169" s="67">
        <v>382810</v>
      </c>
      <c r="F169" s="146">
        <v>0</v>
      </c>
      <c r="G169" s="146">
        <v>0</v>
      </c>
      <c r="H169" s="91">
        <v>382810</v>
      </c>
      <c r="I169" s="67">
        <v>0</v>
      </c>
      <c r="J169" s="20">
        <v>382810</v>
      </c>
      <c r="K169" s="132" t="s">
        <v>621</v>
      </c>
      <c r="L169" s="151">
        <v>0</v>
      </c>
      <c r="M169" s="128">
        <v>2182.63</v>
      </c>
      <c r="N169" s="67">
        <v>1711</v>
      </c>
      <c r="O169" s="67">
        <v>384521</v>
      </c>
      <c r="P169" s="270"/>
      <c r="Q169" s="71"/>
      <c r="R169" s="449"/>
      <c r="S169" s="67">
        <v>414812</v>
      </c>
      <c r="T169" s="163">
        <v>-30291</v>
      </c>
      <c r="U169" s="166">
        <v>-7.302344194478462E-2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63.5</v>
      </c>
      <c r="E170" s="67">
        <v>11137</v>
      </c>
      <c r="F170" s="146">
        <v>0</v>
      </c>
      <c r="G170" s="146">
        <v>0</v>
      </c>
      <c r="H170" s="91">
        <v>11137</v>
      </c>
      <c r="I170" s="67">
        <v>0</v>
      </c>
      <c r="J170" s="20">
        <v>11137</v>
      </c>
      <c r="K170" s="132" t="s">
        <v>621</v>
      </c>
      <c r="L170" s="151">
        <v>0</v>
      </c>
      <c r="M170" s="128">
        <v>63.5</v>
      </c>
      <c r="N170" s="67">
        <v>50</v>
      </c>
      <c r="O170" s="67">
        <v>11187</v>
      </c>
      <c r="P170" s="270"/>
      <c r="Q170" s="71"/>
      <c r="R170" s="449"/>
      <c r="S170" s="67">
        <v>12043</v>
      </c>
      <c r="T170" s="163">
        <v>-856</v>
      </c>
      <c r="U170" s="166">
        <v>-7.1078634891638293E-2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1.25</v>
      </c>
      <c r="E171" s="67">
        <v>219</v>
      </c>
      <c r="F171" s="146">
        <v>0</v>
      </c>
      <c r="G171" s="146">
        <v>0</v>
      </c>
      <c r="H171" s="91">
        <v>219</v>
      </c>
      <c r="I171" s="67">
        <v>0</v>
      </c>
      <c r="J171" s="20">
        <v>219</v>
      </c>
      <c r="K171" s="132" t="s">
        <v>644</v>
      </c>
      <c r="L171" s="151">
        <v>219</v>
      </c>
      <c r="M171" s="128">
        <v>0</v>
      </c>
      <c r="N171" s="67">
        <v>0</v>
      </c>
      <c r="O171" s="67">
        <v>0</v>
      </c>
      <c r="P171" s="270"/>
      <c r="Q171" s="71"/>
      <c r="R171" s="449"/>
      <c r="S171" s="67">
        <v>70</v>
      </c>
      <c r="T171" s="163">
        <v>-70</v>
      </c>
      <c r="U171" s="166">
        <v>-1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5</v>
      </c>
      <c r="E172" s="67">
        <v>877</v>
      </c>
      <c r="F172" s="146">
        <v>0</v>
      </c>
      <c r="G172" s="146">
        <v>0</v>
      </c>
      <c r="H172" s="91">
        <v>877</v>
      </c>
      <c r="I172" s="67">
        <v>0</v>
      </c>
      <c r="J172" s="20">
        <v>877</v>
      </c>
      <c r="K172" s="132" t="s">
        <v>644</v>
      </c>
      <c r="L172" s="151">
        <v>877</v>
      </c>
      <c r="M172" s="128">
        <v>0</v>
      </c>
      <c r="N172" s="67">
        <v>0</v>
      </c>
      <c r="O172" s="67">
        <v>0</v>
      </c>
      <c r="P172" s="270"/>
      <c r="Q172" s="71"/>
      <c r="R172" s="449"/>
      <c r="S172" s="67">
        <v>1081</v>
      </c>
      <c r="T172" s="163">
        <v>-1081</v>
      </c>
      <c r="U172" s="166">
        <v>-1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20">
        <v>0</v>
      </c>
      <c r="K173" s="132" t="s">
        <v>621</v>
      </c>
      <c r="L173" s="151">
        <v>0</v>
      </c>
      <c r="M173" s="128">
        <v>0</v>
      </c>
      <c r="N173" s="67">
        <v>0</v>
      </c>
      <c r="O173" s="67">
        <v>0</v>
      </c>
      <c r="P173" s="270"/>
      <c r="Q173" s="71"/>
      <c r="R173" s="449"/>
      <c r="S173" s="67">
        <v>0</v>
      </c>
      <c r="T173" s="163">
        <v>0</v>
      </c>
      <c r="U173" s="166">
        <v>0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146">
        <v>0</v>
      </c>
      <c r="H174" s="91">
        <v>0</v>
      </c>
      <c r="I174" s="67">
        <v>0</v>
      </c>
      <c r="J174" s="20">
        <v>0</v>
      </c>
      <c r="K174" s="132" t="s">
        <v>621</v>
      </c>
      <c r="L174" s="151">
        <v>0</v>
      </c>
      <c r="M174" s="128">
        <v>0</v>
      </c>
      <c r="N174" s="67">
        <v>0</v>
      </c>
      <c r="O174" s="67">
        <v>0</v>
      </c>
      <c r="P174" s="270"/>
      <c r="Q174" s="71"/>
      <c r="R174" s="449"/>
      <c r="S174" s="67">
        <v>0</v>
      </c>
      <c r="T174" s="163">
        <v>0</v>
      </c>
      <c r="U174" s="166">
        <v>0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621</v>
      </c>
      <c r="L175" s="151">
        <v>0</v>
      </c>
      <c r="M175" s="128">
        <v>0</v>
      </c>
      <c r="N175" s="67">
        <v>0</v>
      </c>
      <c r="O175" s="67">
        <v>0</v>
      </c>
      <c r="P175" s="270"/>
      <c r="Q175" s="71"/>
      <c r="R175" s="449"/>
      <c r="S175" s="67">
        <v>0</v>
      </c>
      <c r="T175" s="163">
        <v>0</v>
      </c>
      <c r="U175" s="166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185.88</v>
      </c>
      <c r="E176" s="67">
        <v>32601</v>
      </c>
      <c r="F176" s="146">
        <v>0</v>
      </c>
      <c r="G176" s="146">
        <v>0</v>
      </c>
      <c r="H176" s="91">
        <v>32601</v>
      </c>
      <c r="I176" s="67">
        <v>0</v>
      </c>
      <c r="J176" s="20">
        <v>32601</v>
      </c>
      <c r="K176" s="132" t="s">
        <v>621</v>
      </c>
      <c r="L176" s="151">
        <v>0</v>
      </c>
      <c r="M176" s="128">
        <v>185.88</v>
      </c>
      <c r="N176" s="67">
        <v>146</v>
      </c>
      <c r="O176" s="67">
        <v>32747</v>
      </c>
      <c r="P176" s="270"/>
      <c r="Q176" s="71"/>
      <c r="R176" s="449"/>
      <c r="S176" s="67">
        <v>31808</v>
      </c>
      <c r="T176" s="163">
        <v>939</v>
      </c>
      <c r="U176" s="166">
        <v>2.9520875251509055E-2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146">
        <v>0</v>
      </c>
      <c r="H177" s="91">
        <v>0</v>
      </c>
      <c r="I177" s="67">
        <v>0</v>
      </c>
      <c r="J177" s="20">
        <v>0</v>
      </c>
      <c r="K177" s="132" t="s">
        <v>621</v>
      </c>
      <c r="L177" s="151">
        <v>0</v>
      </c>
      <c r="M177" s="128">
        <v>0</v>
      </c>
      <c r="N177" s="67">
        <v>0</v>
      </c>
      <c r="O177" s="67">
        <v>0</v>
      </c>
      <c r="P177" s="270"/>
      <c r="Q177" s="71"/>
      <c r="R177" s="449"/>
      <c r="S177" s="67">
        <v>0</v>
      </c>
      <c r="T177" s="163">
        <v>0</v>
      </c>
      <c r="U177" s="166">
        <v>0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690.88</v>
      </c>
      <c r="E178" s="67">
        <v>121173</v>
      </c>
      <c r="F178" s="146">
        <v>0</v>
      </c>
      <c r="G178" s="146">
        <v>0</v>
      </c>
      <c r="H178" s="91">
        <v>121173</v>
      </c>
      <c r="I178" s="67">
        <v>0</v>
      </c>
      <c r="J178" s="20">
        <v>121173</v>
      </c>
      <c r="K178" s="132" t="s">
        <v>621</v>
      </c>
      <c r="L178" s="151">
        <v>0</v>
      </c>
      <c r="M178" s="128">
        <v>690.88</v>
      </c>
      <c r="N178" s="67">
        <v>542</v>
      </c>
      <c r="O178" s="67">
        <v>121715</v>
      </c>
      <c r="P178" s="270"/>
      <c r="Q178" s="71"/>
      <c r="R178" s="449"/>
      <c r="S178" s="67">
        <v>123348</v>
      </c>
      <c r="T178" s="163">
        <v>-1633</v>
      </c>
      <c r="U178" s="166">
        <v>-1.3238966176995168E-2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182.25</v>
      </c>
      <c r="E179" s="67">
        <v>31965</v>
      </c>
      <c r="F179" s="146">
        <v>0</v>
      </c>
      <c r="G179" s="146">
        <v>0</v>
      </c>
      <c r="H179" s="91">
        <v>31965</v>
      </c>
      <c r="I179" s="67">
        <v>0</v>
      </c>
      <c r="J179" s="20">
        <v>31965</v>
      </c>
      <c r="K179" s="132" t="s">
        <v>621</v>
      </c>
      <c r="L179" s="151">
        <v>0</v>
      </c>
      <c r="M179" s="128">
        <v>182.25</v>
      </c>
      <c r="N179" s="67">
        <v>143</v>
      </c>
      <c r="O179" s="67">
        <v>32108</v>
      </c>
      <c r="P179" s="270"/>
      <c r="Q179" s="71"/>
      <c r="R179" s="449"/>
      <c r="S179" s="67">
        <v>38564</v>
      </c>
      <c r="T179" s="163">
        <v>-6456</v>
      </c>
      <c r="U179" s="166">
        <v>-0.16741001970749922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80.5</v>
      </c>
      <c r="E180" s="67">
        <v>14119</v>
      </c>
      <c r="F180" s="146">
        <v>0</v>
      </c>
      <c r="G180" s="146">
        <v>0</v>
      </c>
      <c r="H180" s="91">
        <v>14119</v>
      </c>
      <c r="I180" s="67">
        <v>0</v>
      </c>
      <c r="J180" s="20">
        <v>14119</v>
      </c>
      <c r="K180" s="132" t="s">
        <v>621</v>
      </c>
      <c r="L180" s="151">
        <v>0</v>
      </c>
      <c r="M180" s="128">
        <v>80.5</v>
      </c>
      <c r="N180" s="67">
        <v>63</v>
      </c>
      <c r="O180" s="67">
        <v>14182</v>
      </c>
      <c r="P180" s="270"/>
      <c r="Q180" s="71"/>
      <c r="R180" s="449"/>
      <c r="S180" s="67">
        <v>14203</v>
      </c>
      <c r="T180" s="163">
        <v>-21</v>
      </c>
      <c r="U180" s="166">
        <v>-1.4785608674223755E-3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20">
        <v>0</v>
      </c>
      <c r="K181" s="132" t="s">
        <v>621</v>
      </c>
      <c r="L181" s="151">
        <v>0</v>
      </c>
      <c r="M181" s="128">
        <v>0</v>
      </c>
      <c r="N181" s="67">
        <v>0</v>
      </c>
      <c r="O181" s="67">
        <v>0</v>
      </c>
      <c r="P181" s="270"/>
      <c r="Q181" s="71"/>
      <c r="R181" s="449"/>
      <c r="S181" s="67">
        <v>0</v>
      </c>
      <c r="T181" s="163">
        <v>0</v>
      </c>
      <c r="U181" s="166">
        <v>0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409.88</v>
      </c>
      <c r="E182" s="67">
        <v>71889</v>
      </c>
      <c r="F182" s="146">
        <v>0</v>
      </c>
      <c r="G182" s="146">
        <v>0</v>
      </c>
      <c r="H182" s="91">
        <v>71889</v>
      </c>
      <c r="I182" s="67">
        <v>0</v>
      </c>
      <c r="J182" s="20">
        <v>71889</v>
      </c>
      <c r="K182" s="132" t="s">
        <v>621</v>
      </c>
      <c r="L182" s="151">
        <v>0</v>
      </c>
      <c r="M182" s="128">
        <v>409.88</v>
      </c>
      <c r="N182" s="67">
        <v>321</v>
      </c>
      <c r="O182" s="67">
        <v>72210</v>
      </c>
      <c r="P182" s="270"/>
      <c r="Q182" s="71"/>
      <c r="R182" s="449"/>
      <c r="S182" s="67">
        <v>66971</v>
      </c>
      <c r="T182" s="163">
        <v>5239</v>
      </c>
      <c r="U182" s="166">
        <v>7.8227889683594398E-2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20">
        <v>0</v>
      </c>
      <c r="K183" s="132" t="s">
        <v>621</v>
      </c>
      <c r="L183" s="151">
        <v>0</v>
      </c>
      <c r="M183" s="128">
        <v>0</v>
      </c>
      <c r="N183" s="67">
        <v>0</v>
      </c>
      <c r="O183" s="67">
        <v>0</v>
      </c>
      <c r="P183" s="270"/>
      <c r="Q183" s="71"/>
      <c r="R183" s="449"/>
      <c r="S183" s="67">
        <v>0</v>
      </c>
      <c r="T183" s="163">
        <v>0</v>
      </c>
      <c r="U183" s="166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891.38</v>
      </c>
      <c r="E184" s="67">
        <v>156339</v>
      </c>
      <c r="F184" s="146">
        <v>0</v>
      </c>
      <c r="G184" s="146">
        <v>0</v>
      </c>
      <c r="H184" s="91">
        <v>156339</v>
      </c>
      <c r="I184" s="67">
        <v>0</v>
      </c>
      <c r="J184" s="20">
        <v>156339</v>
      </c>
      <c r="K184" s="132" t="s">
        <v>621</v>
      </c>
      <c r="L184" s="151">
        <v>0</v>
      </c>
      <c r="M184" s="128">
        <v>891.38</v>
      </c>
      <c r="N184" s="67">
        <v>699</v>
      </c>
      <c r="O184" s="67">
        <v>157038</v>
      </c>
      <c r="P184" s="270"/>
      <c r="Q184" s="71"/>
      <c r="R184" s="449"/>
      <c r="S184" s="67">
        <v>164487</v>
      </c>
      <c r="T184" s="163">
        <v>-7449</v>
      </c>
      <c r="U184" s="166">
        <v>-4.5286253624906528E-2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91.63</v>
      </c>
      <c r="E185" s="67">
        <v>16071</v>
      </c>
      <c r="F185" s="146">
        <v>0</v>
      </c>
      <c r="G185" s="146">
        <v>0</v>
      </c>
      <c r="H185" s="91">
        <v>16071</v>
      </c>
      <c r="I185" s="67">
        <v>0</v>
      </c>
      <c r="J185" s="20">
        <v>16071</v>
      </c>
      <c r="K185" s="132" t="s">
        <v>621</v>
      </c>
      <c r="L185" s="151">
        <v>0</v>
      </c>
      <c r="M185" s="128">
        <v>91.63</v>
      </c>
      <c r="N185" s="67">
        <v>72</v>
      </c>
      <c r="O185" s="67">
        <v>16143</v>
      </c>
      <c r="P185" s="270"/>
      <c r="Q185" s="71"/>
      <c r="R185" s="449"/>
      <c r="S185" s="67">
        <v>22960</v>
      </c>
      <c r="T185" s="163">
        <v>-6817</v>
      </c>
      <c r="U185" s="166">
        <v>-0.29690766550522646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621</v>
      </c>
      <c r="L186" s="151">
        <v>0</v>
      </c>
      <c r="M186" s="128">
        <v>0</v>
      </c>
      <c r="N186" s="67">
        <v>0</v>
      </c>
      <c r="O186" s="67">
        <v>0</v>
      </c>
      <c r="P186" s="270"/>
      <c r="Q186" s="71"/>
      <c r="R186" s="449"/>
      <c r="S186" s="67">
        <v>0</v>
      </c>
      <c r="T186" s="163">
        <v>0</v>
      </c>
      <c r="U186" s="166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621</v>
      </c>
      <c r="L187" s="151">
        <v>0</v>
      </c>
      <c r="M187" s="128">
        <v>0</v>
      </c>
      <c r="N187" s="67">
        <v>0</v>
      </c>
      <c r="O187" s="67">
        <v>0</v>
      </c>
      <c r="P187" s="270"/>
      <c r="Q187" s="71"/>
      <c r="R187" s="449"/>
      <c r="S187" s="67">
        <v>0</v>
      </c>
      <c r="T187" s="163">
        <v>0</v>
      </c>
      <c r="U187" s="166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27.5</v>
      </c>
      <c r="E188" s="67">
        <v>4823</v>
      </c>
      <c r="F188" s="146">
        <v>0</v>
      </c>
      <c r="G188" s="146">
        <v>0</v>
      </c>
      <c r="H188" s="91">
        <v>4823</v>
      </c>
      <c r="I188" s="67">
        <v>0</v>
      </c>
      <c r="J188" s="20">
        <v>4823</v>
      </c>
      <c r="K188" s="132" t="s">
        <v>621</v>
      </c>
      <c r="L188" s="151">
        <v>0</v>
      </c>
      <c r="M188" s="128">
        <v>27.5</v>
      </c>
      <c r="N188" s="67">
        <v>22</v>
      </c>
      <c r="O188" s="67">
        <v>4845</v>
      </c>
      <c r="P188" s="270"/>
      <c r="Q188" s="71"/>
      <c r="R188" s="449"/>
      <c r="S188" s="67">
        <v>6367</v>
      </c>
      <c r="T188" s="163">
        <v>-1522</v>
      </c>
      <c r="U188" s="166">
        <v>-0.23904507617402229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42.25</v>
      </c>
      <c r="E189" s="67">
        <v>7410</v>
      </c>
      <c r="F189" s="146">
        <v>0</v>
      </c>
      <c r="G189" s="146">
        <v>0</v>
      </c>
      <c r="H189" s="91">
        <v>7410</v>
      </c>
      <c r="I189" s="67">
        <v>0</v>
      </c>
      <c r="J189" s="20">
        <v>7410</v>
      </c>
      <c r="K189" s="132" t="s">
        <v>621</v>
      </c>
      <c r="L189" s="151">
        <v>0</v>
      </c>
      <c r="M189" s="128">
        <v>42.25</v>
      </c>
      <c r="N189" s="67">
        <v>33</v>
      </c>
      <c r="O189" s="67">
        <v>7443</v>
      </c>
      <c r="P189" s="270"/>
      <c r="Q189" s="71"/>
      <c r="R189" s="449"/>
      <c r="S189" s="67">
        <v>7262</v>
      </c>
      <c r="T189" s="163">
        <v>181</v>
      </c>
      <c r="U189" s="166">
        <v>2.4924263288350318E-2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146">
        <v>0</v>
      </c>
      <c r="H190" s="91">
        <v>0</v>
      </c>
      <c r="I190" s="67">
        <v>0</v>
      </c>
      <c r="J190" s="20">
        <v>0</v>
      </c>
      <c r="K190" s="132" t="s">
        <v>621</v>
      </c>
      <c r="L190" s="151">
        <v>0</v>
      </c>
      <c r="M190" s="128">
        <v>0</v>
      </c>
      <c r="N190" s="67">
        <v>0</v>
      </c>
      <c r="O190" s="67">
        <v>0</v>
      </c>
      <c r="P190" s="270"/>
      <c r="Q190" s="71"/>
      <c r="R190" s="449"/>
      <c r="S190" s="67">
        <v>0</v>
      </c>
      <c r="T190" s="163">
        <v>0</v>
      </c>
      <c r="U190" s="166">
        <v>0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80.75</v>
      </c>
      <c r="E191" s="67">
        <v>14163</v>
      </c>
      <c r="F191" s="146">
        <v>0</v>
      </c>
      <c r="G191" s="146">
        <v>0</v>
      </c>
      <c r="H191" s="91">
        <v>14163</v>
      </c>
      <c r="I191" s="67">
        <v>0</v>
      </c>
      <c r="J191" s="20">
        <v>14163</v>
      </c>
      <c r="K191" s="132" t="s">
        <v>621</v>
      </c>
      <c r="L191" s="151">
        <v>0</v>
      </c>
      <c r="M191" s="128">
        <v>80.75</v>
      </c>
      <c r="N191" s="67">
        <v>63</v>
      </c>
      <c r="O191" s="67">
        <v>14226</v>
      </c>
      <c r="P191" s="270"/>
      <c r="Q191" s="71"/>
      <c r="R191" s="449"/>
      <c r="S191" s="67">
        <v>13974</v>
      </c>
      <c r="T191" s="163">
        <v>252</v>
      </c>
      <c r="U191" s="166">
        <v>1.8033490768570203E-2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206.88</v>
      </c>
      <c r="E192" s="67">
        <v>36285</v>
      </c>
      <c r="F192" s="146">
        <v>0</v>
      </c>
      <c r="G192" s="146">
        <v>0</v>
      </c>
      <c r="H192" s="91">
        <v>36285</v>
      </c>
      <c r="I192" s="67">
        <v>0</v>
      </c>
      <c r="J192" s="20">
        <v>36285</v>
      </c>
      <c r="K192" s="132" t="s">
        <v>621</v>
      </c>
      <c r="L192" s="151">
        <v>0</v>
      </c>
      <c r="M192" s="128">
        <v>206.88</v>
      </c>
      <c r="N192" s="67">
        <v>162</v>
      </c>
      <c r="O192" s="67">
        <v>36447</v>
      </c>
      <c r="P192" s="270"/>
      <c r="Q192" s="71"/>
      <c r="R192" s="449"/>
      <c r="S192" s="67">
        <v>36174</v>
      </c>
      <c r="T192" s="163">
        <v>273</v>
      </c>
      <c r="U192" s="166">
        <v>7.5468568585171673E-3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74.75</v>
      </c>
      <c r="E193" s="67">
        <v>13110</v>
      </c>
      <c r="F193" s="146">
        <v>0</v>
      </c>
      <c r="G193" s="146">
        <v>0</v>
      </c>
      <c r="H193" s="91">
        <v>13110</v>
      </c>
      <c r="I193" s="67">
        <v>0</v>
      </c>
      <c r="J193" s="20">
        <v>13110</v>
      </c>
      <c r="K193" s="132" t="s">
        <v>621</v>
      </c>
      <c r="L193" s="151">
        <v>0</v>
      </c>
      <c r="M193" s="128">
        <v>74.75</v>
      </c>
      <c r="N193" s="67">
        <v>59</v>
      </c>
      <c r="O193" s="67">
        <v>13169</v>
      </c>
      <c r="P193" s="270"/>
      <c r="Q193" s="71"/>
      <c r="R193" s="449"/>
      <c r="S193" s="67">
        <v>14341</v>
      </c>
      <c r="T193" s="163">
        <v>-1172</v>
      </c>
      <c r="U193" s="166">
        <v>-8.1723729168119374E-2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22.13</v>
      </c>
      <c r="E194" s="67">
        <v>3881</v>
      </c>
      <c r="F194" s="146">
        <v>0</v>
      </c>
      <c r="G194" s="146">
        <v>0</v>
      </c>
      <c r="H194" s="91">
        <v>3881</v>
      </c>
      <c r="I194" s="67">
        <v>0</v>
      </c>
      <c r="J194" s="20">
        <v>3881</v>
      </c>
      <c r="K194" s="132" t="s">
        <v>621</v>
      </c>
      <c r="L194" s="151">
        <v>0</v>
      </c>
      <c r="M194" s="128">
        <v>22.13</v>
      </c>
      <c r="N194" s="67">
        <v>17</v>
      </c>
      <c r="O194" s="67">
        <v>3898</v>
      </c>
      <c r="P194" s="270"/>
      <c r="Q194" s="71"/>
      <c r="R194" s="449"/>
      <c r="S194" s="67">
        <v>2874</v>
      </c>
      <c r="T194" s="163">
        <v>1024</v>
      </c>
      <c r="U194" s="166">
        <v>0.35629784272790538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146">
        <v>0</v>
      </c>
      <c r="H195" s="91">
        <v>0</v>
      </c>
      <c r="I195" s="67">
        <v>0</v>
      </c>
      <c r="J195" s="20">
        <v>0</v>
      </c>
      <c r="K195" s="132" t="s">
        <v>621</v>
      </c>
      <c r="L195" s="151">
        <v>0</v>
      </c>
      <c r="M195" s="128">
        <v>0</v>
      </c>
      <c r="N195" s="67">
        <v>0</v>
      </c>
      <c r="O195" s="67">
        <v>0</v>
      </c>
      <c r="P195" s="270"/>
      <c r="Q195" s="71"/>
      <c r="R195" s="449"/>
      <c r="S195" s="67">
        <v>0</v>
      </c>
      <c r="T195" s="163">
        <v>0</v>
      </c>
      <c r="U195" s="166">
        <v>0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17.38</v>
      </c>
      <c r="E196" s="67">
        <v>3048</v>
      </c>
      <c r="F196" s="146">
        <v>0</v>
      </c>
      <c r="G196" s="146">
        <v>0</v>
      </c>
      <c r="H196" s="91">
        <v>3048</v>
      </c>
      <c r="I196" s="67">
        <v>0</v>
      </c>
      <c r="J196" s="20">
        <v>3048</v>
      </c>
      <c r="K196" s="132" t="s">
        <v>621</v>
      </c>
      <c r="L196" s="151">
        <v>0</v>
      </c>
      <c r="M196" s="128">
        <v>17.38</v>
      </c>
      <c r="N196" s="67">
        <v>14</v>
      </c>
      <c r="O196" s="67">
        <v>3062</v>
      </c>
      <c r="P196" s="270"/>
      <c r="Q196" s="71"/>
      <c r="R196" s="449"/>
      <c r="S196" s="67">
        <v>1725</v>
      </c>
      <c r="T196" s="163">
        <v>1337</v>
      </c>
      <c r="U196" s="166">
        <v>0.77507246376811589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621</v>
      </c>
      <c r="L197" s="151">
        <v>0</v>
      </c>
      <c r="M197" s="128">
        <v>0</v>
      </c>
      <c r="N197" s="67">
        <v>0</v>
      </c>
      <c r="O197" s="67">
        <v>0</v>
      </c>
      <c r="P197" s="270"/>
      <c r="Q197" s="71"/>
      <c r="R197" s="449"/>
      <c r="S197" s="67">
        <v>0</v>
      </c>
      <c r="T197" s="163">
        <v>0</v>
      </c>
      <c r="U197" s="166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146">
        <v>0</v>
      </c>
      <c r="H198" s="91">
        <v>0</v>
      </c>
      <c r="I198" s="67">
        <v>0</v>
      </c>
      <c r="J198" s="20">
        <v>0</v>
      </c>
      <c r="K198" s="132" t="s">
        <v>621</v>
      </c>
      <c r="L198" s="151">
        <v>0</v>
      </c>
      <c r="M198" s="128">
        <v>0</v>
      </c>
      <c r="N198" s="67">
        <v>0</v>
      </c>
      <c r="O198" s="67">
        <v>0</v>
      </c>
      <c r="P198" s="270"/>
      <c r="Q198" s="71"/>
      <c r="R198" s="449"/>
      <c r="S198" s="67">
        <v>0</v>
      </c>
      <c r="T198" s="163">
        <v>0</v>
      </c>
      <c r="U198" s="166">
        <v>0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98.63</v>
      </c>
      <c r="E199" s="67">
        <v>17299</v>
      </c>
      <c r="F199" s="146">
        <v>0</v>
      </c>
      <c r="G199" s="146">
        <v>0</v>
      </c>
      <c r="H199" s="91">
        <v>17299</v>
      </c>
      <c r="I199" s="67">
        <v>0</v>
      </c>
      <c r="J199" s="20">
        <v>17299</v>
      </c>
      <c r="K199" s="132" t="s">
        <v>621</v>
      </c>
      <c r="L199" s="151">
        <v>0</v>
      </c>
      <c r="M199" s="128">
        <v>98.63</v>
      </c>
      <c r="N199" s="67">
        <v>77</v>
      </c>
      <c r="O199" s="67">
        <v>17376</v>
      </c>
      <c r="P199" s="270"/>
      <c r="Q199" s="71"/>
      <c r="R199" s="449"/>
      <c r="S199" s="67">
        <v>16364</v>
      </c>
      <c r="T199" s="163">
        <v>1012</v>
      </c>
      <c r="U199" s="166">
        <v>6.1843070153996579E-2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80.5</v>
      </c>
      <c r="E200" s="67">
        <v>14119</v>
      </c>
      <c r="F200" s="146">
        <v>0</v>
      </c>
      <c r="G200" s="146">
        <v>0</v>
      </c>
      <c r="H200" s="91">
        <v>14119</v>
      </c>
      <c r="I200" s="67">
        <v>0</v>
      </c>
      <c r="J200" s="20">
        <v>14119</v>
      </c>
      <c r="K200" s="132" t="s">
        <v>621</v>
      </c>
      <c r="L200" s="151">
        <v>0</v>
      </c>
      <c r="M200" s="128">
        <v>80.5</v>
      </c>
      <c r="N200" s="67">
        <v>63</v>
      </c>
      <c r="O200" s="67">
        <v>14182</v>
      </c>
      <c r="P200" s="270"/>
      <c r="Q200" s="71"/>
      <c r="R200" s="449"/>
      <c r="S200" s="67">
        <v>13584</v>
      </c>
      <c r="T200" s="163">
        <v>598</v>
      </c>
      <c r="U200" s="166">
        <v>4.4022379269729094E-2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26.25</v>
      </c>
      <c r="E201" s="67">
        <v>4604</v>
      </c>
      <c r="F201" s="146">
        <v>0</v>
      </c>
      <c r="G201" s="146">
        <v>0</v>
      </c>
      <c r="H201" s="91">
        <v>4604</v>
      </c>
      <c r="I201" s="67">
        <v>0</v>
      </c>
      <c r="J201" s="20">
        <v>4604</v>
      </c>
      <c r="K201" s="132" t="s">
        <v>621</v>
      </c>
      <c r="L201" s="151">
        <v>0</v>
      </c>
      <c r="M201" s="128">
        <v>26.25</v>
      </c>
      <c r="N201" s="67">
        <v>21</v>
      </c>
      <c r="O201" s="67">
        <v>4625</v>
      </c>
      <c r="P201" s="270"/>
      <c r="Q201" s="71"/>
      <c r="R201" s="449"/>
      <c r="S201" s="67">
        <v>4988</v>
      </c>
      <c r="T201" s="163">
        <v>-363</v>
      </c>
      <c r="U201" s="166">
        <v>-7.2774659182036891E-2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1317.13</v>
      </c>
      <c r="E202" s="67">
        <v>231011</v>
      </c>
      <c r="F202" s="146">
        <v>0</v>
      </c>
      <c r="G202" s="146">
        <v>0</v>
      </c>
      <c r="H202" s="91">
        <v>231011</v>
      </c>
      <c r="I202" s="67">
        <v>0</v>
      </c>
      <c r="J202" s="20">
        <v>231011</v>
      </c>
      <c r="K202" s="132" t="s">
        <v>621</v>
      </c>
      <c r="L202" s="151">
        <v>0</v>
      </c>
      <c r="M202" s="128">
        <v>1317.13</v>
      </c>
      <c r="N202" s="67">
        <v>1033</v>
      </c>
      <c r="O202" s="67">
        <v>232044</v>
      </c>
      <c r="P202" s="270"/>
      <c r="Q202" s="71"/>
      <c r="R202" s="449"/>
      <c r="S202" s="67">
        <v>240994</v>
      </c>
      <c r="T202" s="163">
        <v>-8950</v>
      </c>
      <c r="U202" s="166">
        <v>-3.713785405445779E-2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12.63</v>
      </c>
      <c r="E203" s="67">
        <v>2215</v>
      </c>
      <c r="F203" s="146">
        <v>0</v>
      </c>
      <c r="G203" s="146">
        <v>0</v>
      </c>
      <c r="H203" s="91">
        <v>2215</v>
      </c>
      <c r="I203" s="67">
        <v>0</v>
      </c>
      <c r="J203" s="20">
        <v>2215</v>
      </c>
      <c r="K203" s="132" t="s">
        <v>644</v>
      </c>
      <c r="L203" s="151">
        <v>2215</v>
      </c>
      <c r="M203" s="128">
        <v>0</v>
      </c>
      <c r="N203" s="67">
        <v>0</v>
      </c>
      <c r="O203" s="67">
        <v>0</v>
      </c>
      <c r="P203" s="270"/>
      <c r="Q203" s="71"/>
      <c r="R203" s="449"/>
      <c r="S203" s="67">
        <v>3586</v>
      </c>
      <c r="T203" s="163">
        <v>-3586</v>
      </c>
      <c r="U203" s="166">
        <v>-1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146">
        <v>0</v>
      </c>
      <c r="H204" s="91">
        <v>0</v>
      </c>
      <c r="I204" s="67">
        <v>0</v>
      </c>
      <c r="J204" s="20">
        <v>0</v>
      </c>
      <c r="K204" s="132" t="s">
        <v>621</v>
      </c>
      <c r="L204" s="151">
        <v>0</v>
      </c>
      <c r="M204" s="128">
        <v>0</v>
      </c>
      <c r="N204" s="67">
        <v>0</v>
      </c>
      <c r="O204" s="67">
        <v>0</v>
      </c>
      <c r="P204" s="270"/>
      <c r="Q204" s="71"/>
      <c r="R204" s="449"/>
      <c r="S204" s="67">
        <v>0</v>
      </c>
      <c r="T204" s="163">
        <v>0</v>
      </c>
      <c r="U204" s="166">
        <v>0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4924.88</v>
      </c>
      <c r="E205" s="67">
        <v>863772</v>
      </c>
      <c r="F205" s="146">
        <v>0</v>
      </c>
      <c r="G205" s="146">
        <v>0</v>
      </c>
      <c r="H205" s="91">
        <v>863772</v>
      </c>
      <c r="I205" s="67">
        <v>0</v>
      </c>
      <c r="J205" s="20">
        <v>863772</v>
      </c>
      <c r="K205" s="132" t="s">
        <v>621</v>
      </c>
      <c r="L205" s="151">
        <v>0</v>
      </c>
      <c r="M205" s="128">
        <v>4924.88</v>
      </c>
      <c r="N205" s="67">
        <v>3861</v>
      </c>
      <c r="O205" s="67">
        <v>867633</v>
      </c>
      <c r="P205" s="270"/>
      <c r="Q205" s="71"/>
      <c r="R205" s="449"/>
      <c r="S205" s="67">
        <v>880529</v>
      </c>
      <c r="T205" s="163">
        <v>-12896</v>
      </c>
      <c r="U205" s="166">
        <v>-1.4645741366837436E-2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30.13</v>
      </c>
      <c r="E206" s="67">
        <v>5284</v>
      </c>
      <c r="F206" s="146">
        <v>0</v>
      </c>
      <c r="G206" s="146">
        <v>0</v>
      </c>
      <c r="H206" s="91">
        <v>5284</v>
      </c>
      <c r="I206" s="67">
        <v>0</v>
      </c>
      <c r="J206" s="20">
        <v>5284</v>
      </c>
      <c r="K206" s="132" t="s">
        <v>621</v>
      </c>
      <c r="L206" s="151">
        <v>0</v>
      </c>
      <c r="M206" s="128">
        <v>30.13</v>
      </c>
      <c r="N206" s="67">
        <v>24</v>
      </c>
      <c r="O206" s="67">
        <v>5308</v>
      </c>
      <c r="P206" s="270"/>
      <c r="Q206" s="71"/>
      <c r="R206" s="449"/>
      <c r="S206" s="67">
        <v>5632</v>
      </c>
      <c r="T206" s="163">
        <v>-324</v>
      </c>
      <c r="U206" s="166">
        <v>-5.7528409090909088E-2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33.25</v>
      </c>
      <c r="E207" s="67">
        <v>5832</v>
      </c>
      <c r="F207" s="146">
        <v>0</v>
      </c>
      <c r="G207" s="146">
        <v>0</v>
      </c>
      <c r="H207" s="91">
        <v>5832</v>
      </c>
      <c r="I207" s="67">
        <v>0</v>
      </c>
      <c r="J207" s="20">
        <v>5832</v>
      </c>
      <c r="K207" s="132" t="s">
        <v>621</v>
      </c>
      <c r="L207" s="151">
        <v>0</v>
      </c>
      <c r="M207" s="128">
        <v>33.25</v>
      </c>
      <c r="N207" s="67">
        <v>26</v>
      </c>
      <c r="O207" s="67">
        <v>5858</v>
      </c>
      <c r="P207" s="270"/>
      <c r="Q207" s="71"/>
      <c r="R207" s="449"/>
      <c r="S207" s="67">
        <v>6067</v>
      </c>
      <c r="T207" s="163">
        <v>-209</v>
      </c>
      <c r="U207" s="166">
        <v>-3.4448656667216089E-2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621</v>
      </c>
      <c r="L208" s="151">
        <v>0</v>
      </c>
      <c r="M208" s="128">
        <v>0</v>
      </c>
      <c r="N208" s="67">
        <v>0</v>
      </c>
      <c r="O208" s="67">
        <v>0</v>
      </c>
      <c r="P208" s="270"/>
      <c r="Q208" s="71"/>
      <c r="R208" s="449"/>
      <c r="S208" s="67">
        <v>0</v>
      </c>
      <c r="T208" s="163">
        <v>0</v>
      </c>
      <c r="U208" s="166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49.75</v>
      </c>
      <c r="E209" s="67">
        <v>8726</v>
      </c>
      <c r="F209" s="146">
        <v>0</v>
      </c>
      <c r="G209" s="146">
        <v>0</v>
      </c>
      <c r="H209" s="91">
        <v>8726</v>
      </c>
      <c r="I209" s="67">
        <v>0</v>
      </c>
      <c r="J209" s="20">
        <v>8726</v>
      </c>
      <c r="K209" s="132" t="s">
        <v>621</v>
      </c>
      <c r="L209" s="151">
        <v>0</v>
      </c>
      <c r="M209" s="128">
        <v>49.75</v>
      </c>
      <c r="N209" s="67">
        <v>39</v>
      </c>
      <c r="O209" s="67">
        <v>8765</v>
      </c>
      <c r="P209" s="270"/>
      <c r="Q209" s="71"/>
      <c r="R209" s="449"/>
      <c r="S209" s="67">
        <v>11883</v>
      </c>
      <c r="T209" s="163">
        <v>-3118</v>
      </c>
      <c r="U209" s="166">
        <v>-0.26239165193974584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146">
        <v>0</v>
      </c>
      <c r="H210" s="91">
        <v>0</v>
      </c>
      <c r="I210" s="67">
        <v>0</v>
      </c>
      <c r="J210" s="20">
        <v>0</v>
      </c>
      <c r="K210" s="132" t="s">
        <v>621</v>
      </c>
      <c r="L210" s="151">
        <v>0</v>
      </c>
      <c r="M210" s="128">
        <v>0</v>
      </c>
      <c r="N210" s="67">
        <v>0</v>
      </c>
      <c r="O210" s="67">
        <v>0</v>
      </c>
      <c r="P210" s="270"/>
      <c r="Q210" s="71"/>
      <c r="R210" s="449"/>
      <c r="S210" s="67">
        <v>0</v>
      </c>
      <c r="T210" s="163">
        <v>0</v>
      </c>
      <c r="U210" s="166">
        <v>0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2</v>
      </c>
      <c r="E211" s="67">
        <v>351</v>
      </c>
      <c r="F211" s="146">
        <v>0</v>
      </c>
      <c r="G211" s="146">
        <v>0</v>
      </c>
      <c r="H211" s="91">
        <v>351</v>
      </c>
      <c r="I211" s="67">
        <v>0</v>
      </c>
      <c r="J211" s="20">
        <v>351</v>
      </c>
      <c r="K211" s="132" t="s">
        <v>644</v>
      </c>
      <c r="L211" s="151">
        <v>351</v>
      </c>
      <c r="M211" s="128">
        <v>0</v>
      </c>
      <c r="N211" s="67">
        <v>0</v>
      </c>
      <c r="O211" s="67">
        <v>0</v>
      </c>
      <c r="P211" s="270"/>
      <c r="Q211" s="71"/>
      <c r="R211" s="449"/>
      <c r="S211" s="67">
        <v>0</v>
      </c>
      <c r="T211" s="163">
        <v>0</v>
      </c>
      <c r="U211" s="166">
        <v>0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45.75</v>
      </c>
      <c r="E212" s="67">
        <v>8024</v>
      </c>
      <c r="F212" s="146">
        <v>0</v>
      </c>
      <c r="G212" s="146">
        <v>0</v>
      </c>
      <c r="H212" s="91">
        <v>8024</v>
      </c>
      <c r="I212" s="67">
        <v>0</v>
      </c>
      <c r="J212" s="20">
        <v>8024</v>
      </c>
      <c r="K212" s="132" t="s">
        <v>644</v>
      </c>
      <c r="L212" s="151">
        <v>8024</v>
      </c>
      <c r="M212" s="128">
        <v>0</v>
      </c>
      <c r="N212" s="67">
        <v>0</v>
      </c>
      <c r="O212" s="67">
        <v>0</v>
      </c>
      <c r="P212" s="270"/>
      <c r="Q212" s="71"/>
      <c r="R212" s="449"/>
      <c r="S212" s="67">
        <v>9055</v>
      </c>
      <c r="T212" s="163">
        <v>-9055</v>
      </c>
      <c r="U212" s="166">
        <v>-1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11.13</v>
      </c>
      <c r="E213" s="67">
        <v>1952</v>
      </c>
      <c r="F213" s="146">
        <v>0</v>
      </c>
      <c r="G213" s="146">
        <v>0</v>
      </c>
      <c r="H213" s="91">
        <v>1952</v>
      </c>
      <c r="I213" s="67">
        <v>0</v>
      </c>
      <c r="J213" s="20">
        <v>1952</v>
      </c>
      <c r="K213" s="132" t="s">
        <v>621</v>
      </c>
      <c r="L213" s="151">
        <v>0</v>
      </c>
      <c r="M213" s="128">
        <v>11.13</v>
      </c>
      <c r="N213" s="67">
        <v>9</v>
      </c>
      <c r="O213" s="67">
        <v>1961</v>
      </c>
      <c r="P213" s="270"/>
      <c r="Q213" s="71"/>
      <c r="R213" s="449"/>
      <c r="S213" s="67">
        <v>3011</v>
      </c>
      <c r="T213" s="163">
        <v>-1050</v>
      </c>
      <c r="U213" s="166">
        <v>-0.34872135503155099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55.25</v>
      </c>
      <c r="E214" s="67">
        <v>9690</v>
      </c>
      <c r="F214" s="146">
        <v>0</v>
      </c>
      <c r="G214" s="146">
        <v>0</v>
      </c>
      <c r="H214" s="91">
        <v>9690</v>
      </c>
      <c r="I214" s="67">
        <v>0</v>
      </c>
      <c r="J214" s="20">
        <v>9690</v>
      </c>
      <c r="K214" s="132" t="s">
        <v>621</v>
      </c>
      <c r="L214" s="151">
        <v>0</v>
      </c>
      <c r="M214" s="128">
        <v>55.25</v>
      </c>
      <c r="N214" s="67">
        <v>43</v>
      </c>
      <c r="O214" s="67">
        <v>9733</v>
      </c>
      <c r="P214" s="270"/>
      <c r="Q214" s="71"/>
      <c r="R214" s="449"/>
      <c r="S214" s="67">
        <v>13400</v>
      </c>
      <c r="T214" s="163">
        <v>-3667</v>
      </c>
      <c r="U214" s="166">
        <v>-0.27365671641791045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573.88</v>
      </c>
      <c r="E215" s="67">
        <v>100653</v>
      </c>
      <c r="F215" s="146">
        <v>0</v>
      </c>
      <c r="G215" s="146">
        <v>0</v>
      </c>
      <c r="H215" s="91">
        <v>100653</v>
      </c>
      <c r="I215" s="67">
        <v>0</v>
      </c>
      <c r="J215" s="20">
        <v>100653</v>
      </c>
      <c r="K215" s="132" t="s">
        <v>621</v>
      </c>
      <c r="L215" s="151">
        <v>0</v>
      </c>
      <c r="M215" s="128">
        <v>573.88</v>
      </c>
      <c r="N215" s="67">
        <v>450</v>
      </c>
      <c r="O215" s="67">
        <v>101103</v>
      </c>
      <c r="P215" s="270"/>
      <c r="Q215" s="71"/>
      <c r="R215" s="449"/>
      <c r="S215" s="67">
        <v>96572</v>
      </c>
      <c r="T215" s="163">
        <v>4531</v>
      </c>
      <c r="U215" s="166">
        <v>4.6918361429814023E-2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/>
      <c r="Q216" s="71"/>
      <c r="R216" s="449"/>
      <c r="S216" s="67">
        <v>0</v>
      </c>
      <c r="T216" s="163">
        <v>0</v>
      </c>
      <c r="U216" s="166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66.13</v>
      </c>
      <c r="E217" s="67">
        <v>11599</v>
      </c>
      <c r="F217" s="146">
        <v>0</v>
      </c>
      <c r="G217" s="146">
        <v>0</v>
      </c>
      <c r="H217" s="91">
        <v>11599</v>
      </c>
      <c r="I217" s="67">
        <v>0</v>
      </c>
      <c r="J217" s="20">
        <v>11599</v>
      </c>
      <c r="K217" s="132" t="s">
        <v>621</v>
      </c>
      <c r="L217" s="151">
        <v>0</v>
      </c>
      <c r="M217" s="128">
        <v>66.13</v>
      </c>
      <c r="N217" s="67">
        <v>52</v>
      </c>
      <c r="O217" s="67">
        <v>11651</v>
      </c>
      <c r="P217" s="270"/>
      <c r="Q217" s="71"/>
      <c r="R217" s="449"/>
      <c r="S217" s="67">
        <v>12410</v>
      </c>
      <c r="T217" s="163">
        <v>-759</v>
      </c>
      <c r="U217" s="166">
        <v>-6.1160354552780016E-2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576.63</v>
      </c>
      <c r="E218" s="67">
        <v>101135</v>
      </c>
      <c r="F218" s="146">
        <v>0</v>
      </c>
      <c r="G218" s="146">
        <v>0</v>
      </c>
      <c r="H218" s="91">
        <v>101135</v>
      </c>
      <c r="I218" s="67">
        <v>0</v>
      </c>
      <c r="J218" s="20">
        <v>101135</v>
      </c>
      <c r="K218" s="132" t="s">
        <v>621</v>
      </c>
      <c r="L218" s="151">
        <v>0</v>
      </c>
      <c r="M218" s="128">
        <v>576.63</v>
      </c>
      <c r="N218" s="67">
        <v>452</v>
      </c>
      <c r="O218" s="67">
        <v>101587</v>
      </c>
      <c r="P218" s="270"/>
      <c r="Q218" s="71"/>
      <c r="R218" s="449"/>
      <c r="S218" s="67">
        <v>106179</v>
      </c>
      <c r="T218" s="163">
        <v>-4592</v>
      </c>
      <c r="U218" s="166">
        <v>-4.3247723184433831E-2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621</v>
      </c>
      <c r="L219" s="151">
        <v>0</v>
      </c>
      <c r="M219" s="128">
        <v>0</v>
      </c>
      <c r="N219" s="67">
        <v>0</v>
      </c>
      <c r="O219" s="67">
        <v>0</v>
      </c>
      <c r="P219" s="270"/>
      <c r="Q219" s="71"/>
      <c r="R219" s="449"/>
      <c r="S219" s="67">
        <v>0</v>
      </c>
      <c r="T219" s="163">
        <v>0</v>
      </c>
      <c r="U219" s="166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146">
        <v>0</v>
      </c>
      <c r="H220" s="91">
        <v>0</v>
      </c>
      <c r="I220" s="67">
        <v>0</v>
      </c>
      <c r="J220" s="20">
        <v>0</v>
      </c>
      <c r="K220" s="132" t="s">
        <v>621</v>
      </c>
      <c r="L220" s="151">
        <v>0</v>
      </c>
      <c r="M220" s="128">
        <v>0</v>
      </c>
      <c r="N220" s="67">
        <v>0</v>
      </c>
      <c r="O220" s="67">
        <v>0</v>
      </c>
      <c r="P220" s="270"/>
      <c r="Q220" s="71"/>
      <c r="R220" s="449"/>
      <c r="S220" s="67">
        <v>0</v>
      </c>
      <c r="T220" s="163">
        <v>0</v>
      </c>
      <c r="U220" s="166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107.38</v>
      </c>
      <c r="E221" s="67">
        <v>18833</v>
      </c>
      <c r="F221" s="146">
        <v>0</v>
      </c>
      <c r="G221" s="146">
        <v>0</v>
      </c>
      <c r="H221" s="91">
        <v>18833</v>
      </c>
      <c r="I221" s="67">
        <v>0</v>
      </c>
      <c r="J221" s="20">
        <v>18833</v>
      </c>
      <c r="K221" s="132" t="s">
        <v>621</v>
      </c>
      <c r="L221" s="151">
        <v>0</v>
      </c>
      <c r="M221" s="128">
        <v>107.38</v>
      </c>
      <c r="N221" s="67">
        <v>84</v>
      </c>
      <c r="O221" s="67">
        <v>18917</v>
      </c>
      <c r="P221" s="270"/>
      <c r="Q221" s="71"/>
      <c r="R221" s="449"/>
      <c r="S221" s="67">
        <v>19949</v>
      </c>
      <c r="T221" s="163">
        <v>-1032</v>
      </c>
      <c r="U221" s="166">
        <v>-5.1731916386786307E-2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33</v>
      </c>
      <c r="E222" s="67">
        <v>5788</v>
      </c>
      <c r="F222" s="146">
        <v>0</v>
      </c>
      <c r="G222" s="146">
        <v>0</v>
      </c>
      <c r="H222" s="91">
        <v>5788</v>
      </c>
      <c r="I222" s="67">
        <v>0</v>
      </c>
      <c r="J222" s="20">
        <v>5788</v>
      </c>
      <c r="K222" s="132" t="s">
        <v>621</v>
      </c>
      <c r="L222" s="151">
        <v>0</v>
      </c>
      <c r="M222" s="128">
        <v>33</v>
      </c>
      <c r="N222" s="67">
        <v>26</v>
      </c>
      <c r="O222" s="67">
        <v>5814</v>
      </c>
      <c r="P222" s="270"/>
      <c r="Q222" s="71"/>
      <c r="R222" s="449"/>
      <c r="S222" s="67">
        <v>7194</v>
      </c>
      <c r="T222" s="163">
        <v>-1380</v>
      </c>
      <c r="U222" s="166">
        <v>-0.19182652210175147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860.63</v>
      </c>
      <c r="E223" s="67">
        <v>150945</v>
      </c>
      <c r="F223" s="146">
        <v>0</v>
      </c>
      <c r="G223" s="146">
        <v>0</v>
      </c>
      <c r="H223" s="91">
        <v>150945</v>
      </c>
      <c r="I223" s="67">
        <v>0</v>
      </c>
      <c r="J223" s="20">
        <v>150945</v>
      </c>
      <c r="K223" s="132" t="s">
        <v>621</v>
      </c>
      <c r="L223" s="151">
        <v>0</v>
      </c>
      <c r="M223" s="128">
        <v>860.63</v>
      </c>
      <c r="N223" s="67">
        <v>675</v>
      </c>
      <c r="O223" s="67">
        <v>151620</v>
      </c>
      <c r="P223" s="270"/>
      <c r="Q223" s="71"/>
      <c r="R223" s="449"/>
      <c r="S223" s="67">
        <v>153685</v>
      </c>
      <c r="T223" s="163">
        <v>-2065</v>
      </c>
      <c r="U223" s="166">
        <v>-1.343657481211569E-2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621</v>
      </c>
      <c r="L224" s="151">
        <v>0</v>
      </c>
      <c r="M224" s="128">
        <v>0</v>
      </c>
      <c r="N224" s="67">
        <v>0</v>
      </c>
      <c r="O224" s="67">
        <v>0</v>
      </c>
      <c r="P224" s="270"/>
      <c r="Q224" s="71"/>
      <c r="R224" s="449"/>
      <c r="S224" s="67">
        <v>0</v>
      </c>
      <c r="T224" s="163">
        <v>0</v>
      </c>
      <c r="U224" s="166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58.5</v>
      </c>
      <c r="E225" s="67">
        <v>10260</v>
      </c>
      <c r="F225" s="146">
        <v>0</v>
      </c>
      <c r="G225" s="146">
        <v>0</v>
      </c>
      <c r="H225" s="91">
        <v>10260</v>
      </c>
      <c r="I225" s="67">
        <v>0</v>
      </c>
      <c r="J225" s="20">
        <v>10260</v>
      </c>
      <c r="K225" s="132" t="s">
        <v>621</v>
      </c>
      <c r="L225" s="151">
        <v>0</v>
      </c>
      <c r="M225" s="128">
        <v>58.5</v>
      </c>
      <c r="N225" s="67">
        <v>46</v>
      </c>
      <c r="O225" s="67">
        <v>10306</v>
      </c>
      <c r="P225" s="270"/>
      <c r="Q225" s="71"/>
      <c r="R225" s="449"/>
      <c r="S225" s="67">
        <v>11928</v>
      </c>
      <c r="T225" s="163">
        <v>-1622</v>
      </c>
      <c r="U225" s="166">
        <v>-0.13598256203890008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146">
        <v>0</v>
      </c>
      <c r="H226" s="91">
        <v>0</v>
      </c>
      <c r="I226" s="67">
        <v>0</v>
      </c>
      <c r="J226" s="20">
        <v>0</v>
      </c>
      <c r="K226" s="132" t="s">
        <v>621</v>
      </c>
      <c r="L226" s="151">
        <v>0</v>
      </c>
      <c r="M226" s="128">
        <v>0</v>
      </c>
      <c r="N226" s="67">
        <v>0</v>
      </c>
      <c r="O226" s="67">
        <v>0</v>
      </c>
      <c r="P226" s="270"/>
      <c r="Q226" s="71"/>
      <c r="R226" s="449"/>
      <c r="S226" s="67">
        <v>0</v>
      </c>
      <c r="T226" s="163">
        <v>0</v>
      </c>
      <c r="U226" s="166">
        <v>0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2014.5</v>
      </c>
      <c r="E227" s="67">
        <v>353322</v>
      </c>
      <c r="F227" s="146">
        <v>0</v>
      </c>
      <c r="G227" s="146">
        <v>0</v>
      </c>
      <c r="H227" s="91">
        <v>353322</v>
      </c>
      <c r="I227" s="67">
        <v>0</v>
      </c>
      <c r="J227" s="20">
        <v>353322</v>
      </c>
      <c r="K227" s="132" t="s">
        <v>621</v>
      </c>
      <c r="L227" s="151">
        <v>0</v>
      </c>
      <c r="M227" s="128">
        <v>2014.5</v>
      </c>
      <c r="N227" s="67">
        <v>1579</v>
      </c>
      <c r="O227" s="67">
        <v>354901</v>
      </c>
      <c r="P227" s="270"/>
      <c r="Q227" s="71"/>
      <c r="R227" s="449"/>
      <c r="S227" s="67">
        <v>375166</v>
      </c>
      <c r="T227" s="163">
        <v>-20265</v>
      </c>
      <c r="U227" s="166">
        <v>-5.4016088877990011E-2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146">
        <v>0</v>
      </c>
      <c r="H228" s="91">
        <v>0</v>
      </c>
      <c r="I228" s="67">
        <v>0</v>
      </c>
      <c r="J228" s="20">
        <v>0</v>
      </c>
      <c r="K228" s="132" t="s">
        <v>621</v>
      </c>
      <c r="L228" s="151">
        <v>0</v>
      </c>
      <c r="M228" s="128">
        <v>0</v>
      </c>
      <c r="N228" s="67">
        <v>0</v>
      </c>
      <c r="O228" s="67">
        <v>0</v>
      </c>
      <c r="P228" s="270"/>
      <c r="Q228" s="71"/>
      <c r="R228" s="449"/>
      <c r="S228" s="67">
        <v>0</v>
      </c>
      <c r="T228" s="163">
        <v>0</v>
      </c>
      <c r="U228" s="166">
        <v>0</v>
      </c>
      <c r="V228" s="61"/>
      <c r="X228" s="67"/>
      <c r="Y228" s="451"/>
      <c r="Z228" s="452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239.13</v>
      </c>
      <c r="E229" s="67">
        <v>41941</v>
      </c>
      <c r="F229" s="146">
        <v>0</v>
      </c>
      <c r="G229" s="146">
        <v>0</v>
      </c>
      <c r="H229" s="91">
        <v>41941</v>
      </c>
      <c r="I229" s="67">
        <v>0</v>
      </c>
      <c r="J229" s="20">
        <v>41941</v>
      </c>
      <c r="K229" s="132" t="s">
        <v>621</v>
      </c>
      <c r="L229" s="151">
        <v>0</v>
      </c>
      <c r="M229" s="128">
        <v>239.13</v>
      </c>
      <c r="N229" s="67">
        <v>187</v>
      </c>
      <c r="O229" s="67">
        <v>42128</v>
      </c>
      <c r="P229" s="270"/>
      <c r="Q229" s="71"/>
      <c r="R229" s="449"/>
      <c r="S229" s="67">
        <v>43645</v>
      </c>
      <c r="T229" s="163">
        <v>-1517</v>
      </c>
      <c r="U229" s="166">
        <v>-3.4757704204376218E-2</v>
      </c>
      <c r="V229" s="61"/>
      <c r="X229" s="67"/>
      <c r="Y229" s="451"/>
      <c r="Z229" s="452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64.88</v>
      </c>
      <c r="E230" s="67">
        <v>11379</v>
      </c>
      <c r="F230" s="146">
        <v>0</v>
      </c>
      <c r="G230" s="146">
        <v>0</v>
      </c>
      <c r="H230" s="91">
        <v>11379</v>
      </c>
      <c r="I230" s="67">
        <v>0</v>
      </c>
      <c r="J230" s="20">
        <v>11379</v>
      </c>
      <c r="K230" s="132" t="s">
        <v>621</v>
      </c>
      <c r="L230" s="151">
        <v>0</v>
      </c>
      <c r="M230" s="128">
        <v>64.88</v>
      </c>
      <c r="N230" s="67">
        <v>51</v>
      </c>
      <c r="O230" s="67">
        <v>11430</v>
      </c>
      <c r="P230" s="270"/>
      <c r="Q230" s="71"/>
      <c r="R230" s="449"/>
      <c r="S230" s="67">
        <v>12573</v>
      </c>
      <c r="T230" s="163">
        <v>-1143</v>
      </c>
      <c r="U230" s="166">
        <v>-9.0909090909090912E-2</v>
      </c>
      <c r="V230" s="61"/>
      <c r="X230" s="67"/>
      <c r="Y230" s="451"/>
      <c r="Z230" s="452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621</v>
      </c>
      <c r="L231" s="151">
        <v>0</v>
      </c>
      <c r="M231" s="128">
        <v>0</v>
      </c>
      <c r="N231" s="67">
        <v>0</v>
      </c>
      <c r="O231" s="67">
        <v>0</v>
      </c>
      <c r="P231" s="270"/>
      <c r="Q231" s="71"/>
      <c r="R231" s="449"/>
      <c r="S231" s="67">
        <v>0</v>
      </c>
      <c r="T231" s="163">
        <v>0</v>
      </c>
      <c r="U231" s="166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10</v>
      </c>
      <c r="E232" s="67">
        <v>1754</v>
      </c>
      <c r="F232" s="146">
        <v>0</v>
      </c>
      <c r="G232" s="146">
        <v>0</v>
      </c>
      <c r="H232" s="91">
        <v>1754</v>
      </c>
      <c r="I232" s="67">
        <v>0</v>
      </c>
      <c r="J232" s="20">
        <v>1754</v>
      </c>
      <c r="K232" s="132" t="s">
        <v>644</v>
      </c>
      <c r="L232" s="151">
        <v>1754</v>
      </c>
      <c r="M232" s="128">
        <v>0</v>
      </c>
      <c r="N232" s="67">
        <v>0</v>
      </c>
      <c r="O232" s="67">
        <v>0</v>
      </c>
      <c r="P232" s="270"/>
      <c r="Q232" s="71"/>
      <c r="R232" s="449"/>
      <c r="S232" s="67">
        <v>0</v>
      </c>
      <c r="T232" s="163">
        <v>0</v>
      </c>
      <c r="U232" s="166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54.38</v>
      </c>
      <c r="E233" s="67">
        <v>9538</v>
      </c>
      <c r="F233" s="146">
        <v>0</v>
      </c>
      <c r="G233" s="146">
        <v>0</v>
      </c>
      <c r="H233" s="91">
        <v>9538</v>
      </c>
      <c r="I233" s="67">
        <v>0</v>
      </c>
      <c r="J233" s="20">
        <v>9538</v>
      </c>
      <c r="K233" s="132" t="s">
        <v>621</v>
      </c>
      <c r="L233" s="151">
        <v>0</v>
      </c>
      <c r="M233" s="128">
        <v>54.38</v>
      </c>
      <c r="N233" s="67">
        <v>43</v>
      </c>
      <c r="O233" s="67">
        <v>9581</v>
      </c>
      <c r="P233" s="270"/>
      <c r="Q233" s="71"/>
      <c r="R233" s="449"/>
      <c r="S233" s="67">
        <v>10688</v>
      </c>
      <c r="T233" s="163">
        <v>-1107</v>
      </c>
      <c r="U233" s="166">
        <v>-0.10357410179640719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101.75</v>
      </c>
      <c r="E234" s="67">
        <v>17846</v>
      </c>
      <c r="F234" s="146">
        <v>0</v>
      </c>
      <c r="G234" s="146">
        <v>0</v>
      </c>
      <c r="H234" s="91">
        <v>17846</v>
      </c>
      <c r="I234" s="67">
        <v>0</v>
      </c>
      <c r="J234" s="20">
        <v>17846</v>
      </c>
      <c r="K234" s="132" t="s">
        <v>621</v>
      </c>
      <c r="L234" s="151">
        <v>0</v>
      </c>
      <c r="M234" s="128">
        <v>101.75</v>
      </c>
      <c r="N234" s="67">
        <v>80</v>
      </c>
      <c r="O234" s="67">
        <v>17926</v>
      </c>
      <c r="P234" s="270"/>
      <c r="Q234" s="71"/>
      <c r="R234" s="449"/>
      <c r="S234" s="67">
        <v>24109</v>
      </c>
      <c r="T234" s="163">
        <v>-6183</v>
      </c>
      <c r="U234" s="166">
        <v>-0.25646024306275667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10</v>
      </c>
      <c r="E235" s="67">
        <v>1754</v>
      </c>
      <c r="F235" s="146">
        <v>0</v>
      </c>
      <c r="G235" s="146">
        <v>0</v>
      </c>
      <c r="H235" s="91">
        <v>1754</v>
      </c>
      <c r="I235" s="67">
        <v>0</v>
      </c>
      <c r="J235" s="20">
        <v>1754</v>
      </c>
      <c r="K235" s="132" t="s">
        <v>644</v>
      </c>
      <c r="L235" s="151">
        <v>1754</v>
      </c>
      <c r="M235" s="128">
        <v>0</v>
      </c>
      <c r="N235" s="67">
        <v>0</v>
      </c>
      <c r="O235" s="67">
        <v>0</v>
      </c>
      <c r="P235" s="270"/>
      <c r="Q235" s="71"/>
      <c r="R235" s="449"/>
      <c r="S235" s="67">
        <v>2298</v>
      </c>
      <c r="T235" s="163">
        <v>-2298</v>
      </c>
      <c r="U235" s="166">
        <v>-1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621</v>
      </c>
      <c r="L236" s="151">
        <v>0</v>
      </c>
      <c r="M236" s="128">
        <v>0</v>
      </c>
      <c r="N236" s="67">
        <v>0</v>
      </c>
      <c r="O236" s="67">
        <v>0</v>
      </c>
      <c r="P236" s="270"/>
      <c r="Q236" s="71"/>
      <c r="R236" s="449"/>
      <c r="S236" s="67">
        <v>0</v>
      </c>
      <c r="T236" s="163">
        <v>0</v>
      </c>
      <c r="U236" s="166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589.5</v>
      </c>
      <c r="E237" s="67">
        <v>103392</v>
      </c>
      <c r="F237" s="146">
        <v>0</v>
      </c>
      <c r="G237" s="146">
        <v>0</v>
      </c>
      <c r="H237" s="91">
        <v>103392</v>
      </c>
      <c r="I237" s="67">
        <v>0</v>
      </c>
      <c r="J237" s="20">
        <v>103392</v>
      </c>
      <c r="K237" s="132" t="s">
        <v>621</v>
      </c>
      <c r="L237" s="151">
        <v>0</v>
      </c>
      <c r="M237" s="128">
        <v>589.5</v>
      </c>
      <c r="N237" s="67">
        <v>462</v>
      </c>
      <c r="O237" s="67">
        <v>103854</v>
      </c>
      <c r="P237" s="270"/>
      <c r="Q237" s="71"/>
      <c r="R237" s="449"/>
      <c r="S237" s="67">
        <v>102456</v>
      </c>
      <c r="T237" s="163">
        <v>1398</v>
      </c>
      <c r="U237" s="166">
        <v>1.3644881705317405E-2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40.880000000000003</v>
      </c>
      <c r="E238" s="67">
        <v>7170</v>
      </c>
      <c r="F238" s="146">
        <v>0</v>
      </c>
      <c r="G238" s="146">
        <v>0</v>
      </c>
      <c r="H238" s="91">
        <v>7170</v>
      </c>
      <c r="I238" s="67">
        <v>0</v>
      </c>
      <c r="J238" s="20">
        <v>7170</v>
      </c>
      <c r="K238" s="132" t="s">
        <v>621</v>
      </c>
      <c r="L238" s="151">
        <v>0</v>
      </c>
      <c r="M238" s="128">
        <v>40.880000000000003</v>
      </c>
      <c r="N238" s="67">
        <v>32</v>
      </c>
      <c r="O238" s="67">
        <v>7202</v>
      </c>
      <c r="P238" s="270"/>
      <c r="Q238" s="71"/>
      <c r="R238" s="449"/>
      <c r="S238" s="67">
        <v>5586</v>
      </c>
      <c r="T238" s="163">
        <v>1616</v>
      </c>
      <c r="U238" s="166">
        <v>0.28929466523451486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20">
        <v>0</v>
      </c>
      <c r="K239" s="132" t="s">
        <v>621</v>
      </c>
      <c r="L239" s="151">
        <v>0</v>
      </c>
      <c r="M239" s="128">
        <v>0</v>
      </c>
      <c r="N239" s="67">
        <v>0</v>
      </c>
      <c r="O239" s="67">
        <v>0</v>
      </c>
      <c r="P239" s="270"/>
      <c r="Q239" s="71"/>
      <c r="R239" s="449"/>
      <c r="S239" s="67">
        <v>0</v>
      </c>
      <c r="T239" s="163">
        <v>0</v>
      </c>
      <c r="U239" s="166">
        <v>0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5447.63</v>
      </c>
      <c r="E240" s="67">
        <v>955457</v>
      </c>
      <c r="F240" s="146">
        <v>0</v>
      </c>
      <c r="G240" s="146">
        <v>0</v>
      </c>
      <c r="H240" s="91">
        <v>955455</v>
      </c>
      <c r="I240" s="67">
        <v>0</v>
      </c>
      <c r="J240" s="20">
        <v>955455</v>
      </c>
      <c r="K240" s="132" t="s">
        <v>621</v>
      </c>
      <c r="L240" s="151">
        <v>0</v>
      </c>
      <c r="M240" s="128">
        <v>5447.63</v>
      </c>
      <c r="N240" s="67">
        <v>4271</v>
      </c>
      <c r="O240" s="303">
        <v>959723</v>
      </c>
      <c r="P240" s="270"/>
      <c r="Q240" s="71"/>
      <c r="R240" s="449"/>
      <c r="S240" s="67">
        <v>981952</v>
      </c>
      <c r="T240" s="163">
        <v>-22229</v>
      </c>
      <c r="U240" s="166">
        <v>-2.2637562732190575E-2</v>
      </c>
      <c r="V240" s="61"/>
      <c r="X240" s="303"/>
      <c r="Y240" s="451"/>
      <c r="Z240" s="452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208.25</v>
      </c>
      <c r="E241" s="67">
        <v>36525</v>
      </c>
      <c r="F241" s="146">
        <v>0</v>
      </c>
      <c r="G241" s="146">
        <v>0</v>
      </c>
      <c r="H241" s="91">
        <v>36525</v>
      </c>
      <c r="I241" s="67">
        <v>0</v>
      </c>
      <c r="J241" s="20">
        <v>36525</v>
      </c>
      <c r="K241" s="132" t="s">
        <v>621</v>
      </c>
      <c r="L241" s="151">
        <v>0</v>
      </c>
      <c r="M241" s="128">
        <v>208.25</v>
      </c>
      <c r="N241" s="67">
        <v>163</v>
      </c>
      <c r="O241" s="67">
        <v>36688</v>
      </c>
      <c r="P241" s="270"/>
      <c r="Q241" s="71"/>
      <c r="R241" s="449"/>
      <c r="S241" s="67">
        <v>41531</v>
      </c>
      <c r="T241" s="163">
        <v>-4843</v>
      </c>
      <c r="U241" s="166">
        <v>-0.11661168765500469</v>
      </c>
      <c r="V241" s="61"/>
      <c r="X241" s="67"/>
      <c r="Y241" s="451"/>
      <c r="Z241" s="452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202.75</v>
      </c>
      <c r="E242" s="67">
        <v>35560</v>
      </c>
      <c r="F242" s="146">
        <v>0</v>
      </c>
      <c r="G242" s="146">
        <v>0</v>
      </c>
      <c r="H242" s="91">
        <v>35560</v>
      </c>
      <c r="I242" s="67">
        <v>0</v>
      </c>
      <c r="J242" s="148">
        <v>35560</v>
      </c>
      <c r="K242" s="132" t="s">
        <v>621</v>
      </c>
      <c r="L242" s="151">
        <v>0</v>
      </c>
      <c r="M242" s="128">
        <v>202.75</v>
      </c>
      <c r="N242" s="67">
        <v>159</v>
      </c>
      <c r="O242" s="67">
        <v>35719</v>
      </c>
      <c r="P242" s="270"/>
      <c r="Q242" s="71"/>
      <c r="R242" s="449"/>
      <c r="S242" s="67">
        <v>32015</v>
      </c>
      <c r="T242" s="163">
        <v>3704</v>
      </c>
      <c r="U242" s="166">
        <v>0.11569576760893331</v>
      </c>
      <c r="V242" s="115"/>
      <c r="X242" s="67"/>
      <c r="Y242" s="451"/>
      <c r="Z242" s="452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146">
        <v>0</v>
      </c>
      <c r="H243" s="91">
        <v>0</v>
      </c>
      <c r="I243" s="67">
        <v>0</v>
      </c>
      <c r="J243" s="20">
        <v>0</v>
      </c>
      <c r="K243" s="132" t="s">
        <v>621</v>
      </c>
      <c r="L243" s="151">
        <v>0</v>
      </c>
      <c r="M243" s="128">
        <v>0</v>
      </c>
      <c r="N243" s="67">
        <v>0</v>
      </c>
      <c r="O243" s="67">
        <v>0</v>
      </c>
      <c r="P243" s="270"/>
      <c r="Q243" s="71"/>
      <c r="R243" s="449"/>
      <c r="S243" s="67">
        <v>0</v>
      </c>
      <c r="T243" s="163">
        <v>0</v>
      </c>
      <c r="U243" s="166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30</v>
      </c>
      <c r="E244" s="67">
        <v>5262</v>
      </c>
      <c r="F244" s="146">
        <v>0</v>
      </c>
      <c r="G244" s="146">
        <v>0</v>
      </c>
      <c r="H244" s="91">
        <v>5262</v>
      </c>
      <c r="I244" s="67">
        <v>0</v>
      </c>
      <c r="J244" s="20">
        <v>5262</v>
      </c>
      <c r="K244" s="132" t="s">
        <v>621</v>
      </c>
      <c r="L244" s="151">
        <v>0</v>
      </c>
      <c r="M244" s="128">
        <v>30</v>
      </c>
      <c r="N244" s="67">
        <v>24</v>
      </c>
      <c r="O244" s="67">
        <v>5286</v>
      </c>
      <c r="P244" s="270"/>
      <c r="Q244" s="71"/>
      <c r="R244" s="449"/>
      <c r="S244" s="67">
        <v>7148</v>
      </c>
      <c r="T244" s="163">
        <v>-1862</v>
      </c>
      <c r="U244" s="166">
        <v>-0.26049244543928374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20">
        <v>0</v>
      </c>
      <c r="K245" s="132" t="s">
        <v>621</v>
      </c>
      <c r="L245" s="151">
        <v>0</v>
      </c>
      <c r="M245" s="128">
        <v>0</v>
      </c>
      <c r="N245" s="67">
        <v>0</v>
      </c>
      <c r="O245" s="67">
        <v>0</v>
      </c>
      <c r="P245" s="270"/>
      <c r="Q245" s="71"/>
      <c r="R245" s="449"/>
      <c r="S245" s="67">
        <v>0</v>
      </c>
      <c r="T245" s="163">
        <v>0</v>
      </c>
      <c r="U245" s="166">
        <v>0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286.5</v>
      </c>
      <c r="E246" s="67">
        <v>50249</v>
      </c>
      <c r="F246" s="146">
        <v>0</v>
      </c>
      <c r="G246" s="146">
        <v>0</v>
      </c>
      <c r="H246" s="91">
        <v>50249</v>
      </c>
      <c r="I246" s="67">
        <v>0</v>
      </c>
      <c r="J246" s="20">
        <v>50249</v>
      </c>
      <c r="K246" s="132" t="s">
        <v>621</v>
      </c>
      <c r="L246" s="151">
        <v>0</v>
      </c>
      <c r="M246" s="128">
        <v>286.5</v>
      </c>
      <c r="N246" s="67">
        <v>225</v>
      </c>
      <c r="O246" s="67">
        <v>50474</v>
      </c>
      <c r="P246" s="270"/>
      <c r="Q246" s="71"/>
      <c r="R246" s="449"/>
      <c r="S246" s="67">
        <v>50240</v>
      </c>
      <c r="T246" s="163">
        <v>234</v>
      </c>
      <c r="U246" s="166">
        <v>4.6576433121019107E-3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555.13</v>
      </c>
      <c r="E247" s="67">
        <v>97364</v>
      </c>
      <c r="F247" s="146">
        <v>0</v>
      </c>
      <c r="G247" s="146">
        <v>0</v>
      </c>
      <c r="H247" s="91">
        <v>97364</v>
      </c>
      <c r="I247" s="67">
        <v>0</v>
      </c>
      <c r="J247" s="20">
        <v>97364</v>
      </c>
      <c r="K247" s="132" t="s">
        <v>621</v>
      </c>
      <c r="L247" s="151">
        <v>0</v>
      </c>
      <c r="M247" s="128">
        <v>555.13</v>
      </c>
      <c r="N247" s="67">
        <v>435</v>
      </c>
      <c r="O247" s="67">
        <v>97799</v>
      </c>
      <c r="P247" s="270"/>
      <c r="Q247" s="71"/>
      <c r="R247" s="449"/>
      <c r="S247" s="67">
        <v>103583</v>
      </c>
      <c r="T247" s="163">
        <v>-5784</v>
      </c>
      <c r="U247" s="166">
        <v>-5.583927864610988E-2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20">
        <v>0</v>
      </c>
      <c r="K248" s="132" t="s">
        <v>621</v>
      </c>
      <c r="L248" s="151">
        <v>0</v>
      </c>
      <c r="M248" s="128">
        <v>0</v>
      </c>
      <c r="N248" s="67">
        <v>0</v>
      </c>
      <c r="O248" s="67">
        <v>0</v>
      </c>
      <c r="P248" s="270"/>
      <c r="Q248" s="71"/>
      <c r="R248" s="449"/>
      <c r="S248" s="67">
        <v>0</v>
      </c>
      <c r="T248" s="163">
        <v>0</v>
      </c>
      <c r="U248" s="166">
        <v>0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621</v>
      </c>
      <c r="L249" s="151">
        <v>0</v>
      </c>
      <c r="M249" s="128">
        <v>0</v>
      </c>
      <c r="N249" s="67">
        <v>0</v>
      </c>
      <c r="O249" s="67">
        <v>0</v>
      </c>
      <c r="P249" s="270"/>
      <c r="Q249" s="71"/>
      <c r="R249" s="449"/>
      <c r="S249" s="67">
        <v>0</v>
      </c>
      <c r="T249" s="163">
        <v>0</v>
      </c>
      <c r="U249" s="166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245</v>
      </c>
      <c r="E250" s="67">
        <v>42970</v>
      </c>
      <c r="F250" s="146">
        <v>0</v>
      </c>
      <c r="G250" s="146">
        <v>0</v>
      </c>
      <c r="H250" s="91">
        <v>42970</v>
      </c>
      <c r="I250" s="67">
        <v>0</v>
      </c>
      <c r="J250" s="20">
        <v>42970</v>
      </c>
      <c r="K250" s="132" t="s">
        <v>621</v>
      </c>
      <c r="L250" s="151">
        <v>0</v>
      </c>
      <c r="M250" s="128">
        <v>245</v>
      </c>
      <c r="N250" s="67">
        <v>192</v>
      </c>
      <c r="O250" s="67">
        <v>43162</v>
      </c>
      <c r="P250" s="270"/>
      <c r="Q250" s="71"/>
      <c r="R250" s="449"/>
      <c r="S250" s="67">
        <v>42518</v>
      </c>
      <c r="T250" s="163">
        <v>644</v>
      </c>
      <c r="U250" s="166">
        <v>1.5146526177148501E-2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105.5</v>
      </c>
      <c r="E251" s="67">
        <v>18504</v>
      </c>
      <c r="F251" s="146">
        <v>0</v>
      </c>
      <c r="G251" s="146">
        <v>0</v>
      </c>
      <c r="H251" s="91">
        <v>18504</v>
      </c>
      <c r="I251" s="67">
        <v>0</v>
      </c>
      <c r="J251" s="20">
        <v>18504</v>
      </c>
      <c r="K251" s="132" t="s">
        <v>621</v>
      </c>
      <c r="L251" s="151">
        <v>0</v>
      </c>
      <c r="M251" s="128">
        <v>105.5</v>
      </c>
      <c r="N251" s="67">
        <v>83</v>
      </c>
      <c r="O251" s="67">
        <v>18587</v>
      </c>
      <c r="P251" s="270"/>
      <c r="Q251" s="71"/>
      <c r="R251" s="449"/>
      <c r="S251" s="67">
        <v>16571</v>
      </c>
      <c r="T251" s="163">
        <v>2016</v>
      </c>
      <c r="U251" s="166">
        <v>0.12165831874962284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91.75</v>
      </c>
      <c r="E252" s="67">
        <v>16092</v>
      </c>
      <c r="F252" s="146">
        <v>0</v>
      </c>
      <c r="G252" s="146">
        <v>0</v>
      </c>
      <c r="H252" s="91">
        <v>16092</v>
      </c>
      <c r="I252" s="67">
        <v>0</v>
      </c>
      <c r="J252" s="20">
        <v>16092</v>
      </c>
      <c r="K252" s="132" t="s">
        <v>621</v>
      </c>
      <c r="L252" s="151">
        <v>0</v>
      </c>
      <c r="M252" s="128">
        <v>91.75</v>
      </c>
      <c r="N252" s="67">
        <v>72</v>
      </c>
      <c r="O252" s="67">
        <v>16164</v>
      </c>
      <c r="P252" s="270"/>
      <c r="Q252" s="71"/>
      <c r="R252" s="449"/>
      <c r="S252" s="67">
        <v>17053</v>
      </c>
      <c r="T252" s="163">
        <v>-889</v>
      </c>
      <c r="U252" s="166">
        <v>-5.2131589749604176E-2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76.88</v>
      </c>
      <c r="E253" s="67">
        <v>13484</v>
      </c>
      <c r="F253" s="146">
        <v>0</v>
      </c>
      <c r="G253" s="146">
        <v>0</v>
      </c>
      <c r="H253" s="91">
        <v>13484</v>
      </c>
      <c r="I253" s="67">
        <v>0</v>
      </c>
      <c r="J253" s="20">
        <v>13484</v>
      </c>
      <c r="K253" s="132" t="s">
        <v>621</v>
      </c>
      <c r="L253" s="151">
        <v>0</v>
      </c>
      <c r="M253" s="128">
        <v>76.88</v>
      </c>
      <c r="N253" s="67">
        <v>60</v>
      </c>
      <c r="O253" s="67">
        <v>13544</v>
      </c>
      <c r="P253" s="270"/>
      <c r="Q253" s="71"/>
      <c r="R253" s="449"/>
      <c r="S253" s="67">
        <v>15606</v>
      </c>
      <c r="T253" s="163">
        <v>-2062</v>
      </c>
      <c r="U253" s="166">
        <v>-0.13212866846084839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78.63</v>
      </c>
      <c r="E254" s="67">
        <v>13791</v>
      </c>
      <c r="F254" s="146">
        <v>0</v>
      </c>
      <c r="G254" s="146">
        <v>0</v>
      </c>
      <c r="H254" s="91">
        <v>13791</v>
      </c>
      <c r="I254" s="67">
        <v>0</v>
      </c>
      <c r="J254" s="20">
        <v>13791</v>
      </c>
      <c r="K254" s="132" t="s">
        <v>621</v>
      </c>
      <c r="L254" s="151">
        <v>0</v>
      </c>
      <c r="M254" s="128">
        <v>78.63</v>
      </c>
      <c r="N254" s="67">
        <v>62</v>
      </c>
      <c r="O254" s="67">
        <v>13853</v>
      </c>
      <c r="P254" s="270"/>
      <c r="Q254" s="71"/>
      <c r="R254" s="449"/>
      <c r="S254" s="67">
        <v>11492</v>
      </c>
      <c r="T254" s="163">
        <v>2361</v>
      </c>
      <c r="U254" s="166">
        <v>0.20544726766446222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12.88</v>
      </c>
      <c r="E255" s="67">
        <v>2259</v>
      </c>
      <c r="F255" s="146">
        <v>0</v>
      </c>
      <c r="G255" s="146">
        <v>0</v>
      </c>
      <c r="H255" s="91">
        <v>2259</v>
      </c>
      <c r="I255" s="67">
        <v>0</v>
      </c>
      <c r="J255" s="20">
        <v>2259</v>
      </c>
      <c r="K255" s="132" t="s">
        <v>644</v>
      </c>
      <c r="L255" s="151">
        <v>2259</v>
      </c>
      <c r="M255" s="128">
        <v>0</v>
      </c>
      <c r="N255" s="67">
        <v>0</v>
      </c>
      <c r="O255" s="67">
        <v>0</v>
      </c>
      <c r="P255" s="270"/>
      <c r="Q255" s="71"/>
      <c r="R255" s="449"/>
      <c r="S255" s="67">
        <v>1793</v>
      </c>
      <c r="T255" s="163">
        <v>-1793</v>
      </c>
      <c r="U255" s="166">
        <v>-1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1</v>
      </c>
      <c r="E256" s="67">
        <v>175</v>
      </c>
      <c r="F256" s="146">
        <v>0</v>
      </c>
      <c r="G256" s="146">
        <v>0</v>
      </c>
      <c r="H256" s="91">
        <v>175</v>
      </c>
      <c r="I256" s="67">
        <v>0</v>
      </c>
      <c r="J256" s="20">
        <v>175</v>
      </c>
      <c r="K256" s="132" t="s">
        <v>621</v>
      </c>
      <c r="L256" s="151">
        <v>0</v>
      </c>
      <c r="M256" s="128">
        <v>1</v>
      </c>
      <c r="N256" s="67">
        <v>1</v>
      </c>
      <c r="O256" s="67">
        <v>176</v>
      </c>
      <c r="P256" s="270"/>
      <c r="Q256" s="71"/>
      <c r="R256" s="449"/>
      <c r="S256" s="67">
        <v>551</v>
      </c>
      <c r="T256" s="163">
        <v>-375</v>
      </c>
      <c r="U256" s="166">
        <v>-0.68058076225045372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1177.1300000000001</v>
      </c>
      <c r="E257" s="67">
        <v>206456</v>
      </c>
      <c r="F257" s="146">
        <v>0</v>
      </c>
      <c r="G257" s="146">
        <v>0</v>
      </c>
      <c r="H257" s="91">
        <v>206456</v>
      </c>
      <c r="I257" s="67">
        <v>0</v>
      </c>
      <c r="J257" s="20">
        <v>206456</v>
      </c>
      <c r="K257" s="132" t="s">
        <v>621</v>
      </c>
      <c r="L257" s="151">
        <v>0</v>
      </c>
      <c r="M257" s="128">
        <v>1177.1300000000001</v>
      </c>
      <c r="N257" s="67">
        <v>923</v>
      </c>
      <c r="O257" s="67">
        <v>207379</v>
      </c>
      <c r="P257" s="270"/>
      <c r="Q257" s="71"/>
      <c r="R257" s="449"/>
      <c r="S257" s="67">
        <v>199787</v>
      </c>
      <c r="T257" s="163">
        <v>7592</v>
      </c>
      <c r="U257" s="166">
        <v>3.8000470501083655E-2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146">
        <v>0</v>
      </c>
      <c r="H258" s="91">
        <v>0</v>
      </c>
      <c r="I258" s="67">
        <v>0</v>
      </c>
      <c r="J258" s="20">
        <v>0</v>
      </c>
      <c r="K258" s="132" t="s">
        <v>621</v>
      </c>
      <c r="L258" s="151">
        <v>0</v>
      </c>
      <c r="M258" s="128">
        <v>0</v>
      </c>
      <c r="N258" s="67">
        <v>0</v>
      </c>
      <c r="O258" s="67">
        <v>0</v>
      </c>
      <c r="P258" s="270"/>
      <c r="Q258" s="71"/>
      <c r="R258" s="449"/>
      <c r="S258" s="67">
        <v>0</v>
      </c>
      <c r="T258" s="163">
        <v>0</v>
      </c>
      <c r="U258" s="166">
        <v>0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146">
        <v>0</v>
      </c>
      <c r="H259" s="91">
        <v>0</v>
      </c>
      <c r="I259" s="67">
        <v>0</v>
      </c>
      <c r="J259" s="20">
        <v>0</v>
      </c>
      <c r="K259" s="132" t="s">
        <v>621</v>
      </c>
      <c r="L259" s="151">
        <v>0</v>
      </c>
      <c r="M259" s="128">
        <v>0</v>
      </c>
      <c r="N259" s="67">
        <v>0</v>
      </c>
      <c r="O259" s="67">
        <v>0</v>
      </c>
      <c r="P259" s="270"/>
      <c r="Q259" s="71"/>
      <c r="R259" s="449"/>
      <c r="S259" s="67">
        <v>0</v>
      </c>
      <c r="T259" s="163">
        <v>0</v>
      </c>
      <c r="U259" s="166">
        <v>0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82.5</v>
      </c>
      <c r="E260" s="67">
        <v>14470</v>
      </c>
      <c r="F260" s="146">
        <v>0</v>
      </c>
      <c r="G260" s="146">
        <v>0</v>
      </c>
      <c r="H260" s="91">
        <v>14470</v>
      </c>
      <c r="I260" s="67">
        <v>0</v>
      </c>
      <c r="J260" s="20">
        <v>14470</v>
      </c>
      <c r="K260" s="132" t="s">
        <v>621</v>
      </c>
      <c r="L260" s="151">
        <v>0</v>
      </c>
      <c r="M260" s="128">
        <v>82.5</v>
      </c>
      <c r="N260" s="67">
        <v>65</v>
      </c>
      <c r="O260" s="67">
        <v>14535</v>
      </c>
      <c r="P260" s="270"/>
      <c r="Q260" s="71"/>
      <c r="R260" s="449"/>
      <c r="S260" s="67">
        <v>14019</v>
      </c>
      <c r="T260" s="163">
        <v>516</v>
      </c>
      <c r="U260" s="166">
        <v>3.6807190241814683E-2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20">
        <v>0</v>
      </c>
      <c r="K261" s="132" t="s">
        <v>621</v>
      </c>
      <c r="L261" s="151">
        <v>0</v>
      </c>
      <c r="M261" s="128">
        <v>0</v>
      </c>
      <c r="N261" s="67">
        <v>0</v>
      </c>
      <c r="O261" s="67">
        <v>0</v>
      </c>
      <c r="P261" s="270"/>
      <c r="Q261" s="71"/>
      <c r="R261" s="449"/>
      <c r="S261" s="67">
        <v>0</v>
      </c>
      <c r="T261" s="163">
        <v>0</v>
      </c>
      <c r="U261" s="166">
        <v>0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621</v>
      </c>
      <c r="L262" s="151">
        <v>0</v>
      </c>
      <c r="M262" s="128">
        <v>0</v>
      </c>
      <c r="N262" s="67">
        <v>0</v>
      </c>
      <c r="O262" s="67">
        <v>0</v>
      </c>
      <c r="P262" s="270"/>
      <c r="Q262" s="71"/>
      <c r="R262" s="449"/>
      <c r="S262" s="67">
        <v>0</v>
      </c>
      <c r="T262" s="163">
        <v>0</v>
      </c>
      <c r="U262" s="166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20">
        <v>0</v>
      </c>
      <c r="K263" s="132" t="s">
        <v>621</v>
      </c>
      <c r="L263" s="151">
        <v>0</v>
      </c>
      <c r="M263" s="128">
        <v>0</v>
      </c>
      <c r="N263" s="67">
        <v>0</v>
      </c>
      <c r="O263" s="67">
        <v>0</v>
      </c>
      <c r="P263" s="270"/>
      <c r="Q263" s="71"/>
      <c r="R263" s="449"/>
      <c r="S263" s="67">
        <v>0</v>
      </c>
      <c r="T263" s="163">
        <v>0</v>
      </c>
      <c r="U263" s="166">
        <v>0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73.88</v>
      </c>
      <c r="E264" s="67">
        <v>12958</v>
      </c>
      <c r="F264" s="146">
        <v>0</v>
      </c>
      <c r="G264" s="146">
        <v>0</v>
      </c>
      <c r="H264" s="91">
        <v>12958</v>
      </c>
      <c r="I264" s="67">
        <v>0</v>
      </c>
      <c r="J264" s="20">
        <v>12958</v>
      </c>
      <c r="K264" s="132" t="s">
        <v>621</v>
      </c>
      <c r="L264" s="151">
        <v>0</v>
      </c>
      <c r="M264" s="128">
        <v>73.88</v>
      </c>
      <c r="N264" s="67">
        <v>58</v>
      </c>
      <c r="O264" s="67">
        <v>13016</v>
      </c>
      <c r="P264" s="270"/>
      <c r="Q264" s="71"/>
      <c r="R264" s="449"/>
      <c r="S264" s="67">
        <v>13767</v>
      </c>
      <c r="T264" s="163">
        <v>-751</v>
      </c>
      <c r="U264" s="166">
        <v>-5.4550737270284012E-2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20">
        <v>0</v>
      </c>
      <c r="K265" s="132" t="s">
        <v>621</v>
      </c>
      <c r="L265" s="151">
        <v>0</v>
      </c>
      <c r="M265" s="128">
        <v>0</v>
      </c>
      <c r="N265" s="67">
        <v>0</v>
      </c>
      <c r="O265" s="67">
        <v>0</v>
      </c>
      <c r="P265" s="270"/>
      <c r="Q265" s="71"/>
      <c r="R265" s="449"/>
      <c r="S265" s="67">
        <v>0</v>
      </c>
      <c r="T265" s="163">
        <v>0</v>
      </c>
      <c r="U265" s="166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20.25</v>
      </c>
      <c r="E266" s="67">
        <v>3552</v>
      </c>
      <c r="F266" s="146">
        <v>0</v>
      </c>
      <c r="G266" s="146">
        <v>0</v>
      </c>
      <c r="H266" s="91">
        <v>3552</v>
      </c>
      <c r="I266" s="67">
        <v>0</v>
      </c>
      <c r="J266" s="20">
        <v>3552</v>
      </c>
      <c r="K266" s="132" t="s">
        <v>644</v>
      </c>
      <c r="L266" s="151">
        <v>3552</v>
      </c>
      <c r="M266" s="128">
        <v>0</v>
      </c>
      <c r="N266" s="67">
        <v>0</v>
      </c>
      <c r="O266" s="67">
        <v>0</v>
      </c>
      <c r="P266" s="270"/>
      <c r="Q266" s="71"/>
      <c r="R266" s="449"/>
      <c r="S266" s="67">
        <v>3861</v>
      </c>
      <c r="T266" s="163">
        <v>-3861</v>
      </c>
      <c r="U266" s="166">
        <v>-1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104.25</v>
      </c>
      <c r="E267" s="67">
        <v>18284</v>
      </c>
      <c r="F267" s="146">
        <v>0</v>
      </c>
      <c r="G267" s="146">
        <v>0</v>
      </c>
      <c r="H267" s="91">
        <v>18284</v>
      </c>
      <c r="I267" s="67">
        <v>0</v>
      </c>
      <c r="J267" s="20">
        <v>18284</v>
      </c>
      <c r="K267" s="132" t="s">
        <v>621</v>
      </c>
      <c r="L267" s="151">
        <v>0</v>
      </c>
      <c r="M267" s="128">
        <v>104.25</v>
      </c>
      <c r="N267" s="67">
        <v>82</v>
      </c>
      <c r="O267" s="67">
        <v>18366</v>
      </c>
      <c r="P267" s="270"/>
      <c r="Q267" s="71"/>
      <c r="R267" s="449"/>
      <c r="S267" s="67">
        <v>18800</v>
      </c>
      <c r="T267" s="163">
        <v>-434</v>
      </c>
      <c r="U267" s="166">
        <v>-2.3085106382978723E-2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146">
        <v>0</v>
      </c>
      <c r="H268" s="91">
        <v>0</v>
      </c>
      <c r="I268" s="67">
        <v>0</v>
      </c>
      <c r="J268" s="20">
        <v>0</v>
      </c>
      <c r="K268" s="132" t="s">
        <v>621</v>
      </c>
      <c r="L268" s="151">
        <v>0</v>
      </c>
      <c r="M268" s="128">
        <v>0</v>
      </c>
      <c r="N268" s="67">
        <v>0</v>
      </c>
      <c r="O268" s="67">
        <v>0</v>
      </c>
      <c r="P268" s="270"/>
      <c r="Q268" s="71"/>
      <c r="R268" s="449"/>
      <c r="S268" s="67">
        <v>0</v>
      </c>
      <c r="T268" s="163">
        <v>0</v>
      </c>
      <c r="U268" s="166">
        <v>0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217.25</v>
      </c>
      <c r="E269" s="67">
        <v>38103</v>
      </c>
      <c r="F269" s="146">
        <v>0</v>
      </c>
      <c r="G269" s="146">
        <v>0</v>
      </c>
      <c r="H269" s="91">
        <v>38103</v>
      </c>
      <c r="I269" s="67">
        <v>0</v>
      </c>
      <c r="J269" s="20">
        <v>38103</v>
      </c>
      <c r="K269" s="132" t="s">
        <v>621</v>
      </c>
      <c r="L269" s="151">
        <v>0</v>
      </c>
      <c r="M269" s="128">
        <v>217.25</v>
      </c>
      <c r="N269" s="67">
        <v>170</v>
      </c>
      <c r="O269" s="67">
        <v>38273</v>
      </c>
      <c r="P269" s="270"/>
      <c r="Q269" s="71"/>
      <c r="R269" s="449"/>
      <c r="S269" s="67">
        <v>38037</v>
      </c>
      <c r="T269" s="163">
        <v>236</v>
      </c>
      <c r="U269" s="166">
        <v>6.2044851066067252E-3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1688.63</v>
      </c>
      <c r="E270" s="67">
        <v>296168</v>
      </c>
      <c r="F270" s="146">
        <v>0</v>
      </c>
      <c r="G270" s="146">
        <v>0</v>
      </c>
      <c r="H270" s="91">
        <v>296168</v>
      </c>
      <c r="I270" s="67">
        <v>0</v>
      </c>
      <c r="J270" s="20">
        <v>296168</v>
      </c>
      <c r="K270" s="132" t="s">
        <v>621</v>
      </c>
      <c r="L270" s="151">
        <v>0</v>
      </c>
      <c r="M270" s="128">
        <v>1688.63</v>
      </c>
      <c r="N270" s="67">
        <v>1324</v>
      </c>
      <c r="O270" s="67">
        <v>297492</v>
      </c>
      <c r="P270" s="270"/>
      <c r="Q270" s="71"/>
      <c r="R270" s="449"/>
      <c r="S270" s="67">
        <v>305921</v>
      </c>
      <c r="T270" s="163">
        <v>-8429</v>
      </c>
      <c r="U270" s="166">
        <v>-2.7552864955331605E-2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146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/>
      <c r="Q271" s="71"/>
      <c r="R271" s="449"/>
      <c r="S271" s="67">
        <v>0</v>
      </c>
      <c r="T271" s="163">
        <v>0</v>
      </c>
      <c r="U271" s="166">
        <v>0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2018.75</v>
      </c>
      <c r="E272" s="67">
        <v>354068</v>
      </c>
      <c r="F272" s="146">
        <v>0</v>
      </c>
      <c r="G272" s="146">
        <v>0</v>
      </c>
      <c r="H272" s="91">
        <v>354068</v>
      </c>
      <c r="I272" s="67">
        <v>0</v>
      </c>
      <c r="J272" s="20">
        <v>354068</v>
      </c>
      <c r="K272" s="132" t="s">
        <v>621</v>
      </c>
      <c r="L272" s="151">
        <v>0</v>
      </c>
      <c r="M272" s="128">
        <v>2018.75</v>
      </c>
      <c r="N272" s="67">
        <v>1583</v>
      </c>
      <c r="O272" s="67">
        <v>355651</v>
      </c>
      <c r="P272" s="270"/>
      <c r="Q272" s="71"/>
      <c r="R272" s="449"/>
      <c r="S272" s="67">
        <v>343106</v>
      </c>
      <c r="T272" s="163">
        <v>12545</v>
      </c>
      <c r="U272" s="166">
        <v>3.6563044656753307E-2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20">
        <v>0</v>
      </c>
      <c r="K273" s="132" t="s">
        <v>621</v>
      </c>
      <c r="L273" s="151">
        <v>0</v>
      </c>
      <c r="M273" s="128">
        <v>0</v>
      </c>
      <c r="N273" s="67">
        <v>0</v>
      </c>
      <c r="O273" s="67">
        <v>0</v>
      </c>
      <c r="P273" s="270"/>
      <c r="Q273" s="71"/>
      <c r="R273" s="449"/>
      <c r="S273" s="67">
        <v>0</v>
      </c>
      <c r="T273" s="163">
        <v>0</v>
      </c>
      <c r="U273" s="166">
        <v>0</v>
      </c>
      <c r="V273" s="61"/>
      <c r="X273" s="67"/>
      <c r="Y273" s="451"/>
      <c r="Z273" s="452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117.75</v>
      </c>
      <c r="E274" s="67">
        <v>20652</v>
      </c>
      <c r="F274" s="146">
        <v>0</v>
      </c>
      <c r="G274" s="146">
        <v>0</v>
      </c>
      <c r="H274" s="91">
        <v>20652</v>
      </c>
      <c r="I274" s="67">
        <v>0</v>
      </c>
      <c r="J274" s="20">
        <v>20652</v>
      </c>
      <c r="K274" s="132" t="s">
        <v>621</v>
      </c>
      <c r="L274" s="151">
        <v>0</v>
      </c>
      <c r="M274" s="128">
        <v>117.75</v>
      </c>
      <c r="N274" s="67">
        <v>92</v>
      </c>
      <c r="O274" s="67">
        <v>20744</v>
      </c>
      <c r="P274" s="270"/>
      <c r="Q274" s="71"/>
      <c r="R274" s="449"/>
      <c r="S274" s="67">
        <v>28866</v>
      </c>
      <c r="T274" s="163">
        <v>-8122</v>
      </c>
      <c r="U274" s="166">
        <v>-0.28136908473636807</v>
      </c>
      <c r="V274" s="61"/>
      <c r="X274" s="67"/>
      <c r="Y274" s="451"/>
      <c r="Z274" s="452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621</v>
      </c>
      <c r="L275" s="151">
        <v>0</v>
      </c>
      <c r="M275" s="128">
        <v>0</v>
      </c>
      <c r="N275" s="67">
        <v>0</v>
      </c>
      <c r="O275" s="67">
        <v>0</v>
      </c>
      <c r="P275" s="270"/>
      <c r="Q275" s="71"/>
      <c r="R275" s="449"/>
      <c r="S275" s="67">
        <v>0</v>
      </c>
      <c r="T275" s="163">
        <v>0</v>
      </c>
      <c r="U275" s="166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13.75</v>
      </c>
      <c r="E276" s="67">
        <v>2412</v>
      </c>
      <c r="F276" s="146">
        <v>0</v>
      </c>
      <c r="G276" s="146">
        <v>0</v>
      </c>
      <c r="H276" s="91">
        <v>2412</v>
      </c>
      <c r="I276" s="67">
        <v>0</v>
      </c>
      <c r="J276" s="20">
        <v>2412</v>
      </c>
      <c r="K276" s="132" t="s">
        <v>621</v>
      </c>
      <c r="L276" s="151">
        <v>0</v>
      </c>
      <c r="M276" s="128">
        <v>13.75</v>
      </c>
      <c r="N276" s="67">
        <v>11</v>
      </c>
      <c r="O276" s="67">
        <v>2423</v>
      </c>
      <c r="P276" s="270"/>
      <c r="Q276" s="71"/>
      <c r="R276" s="449"/>
      <c r="S276" s="67">
        <v>2506</v>
      </c>
      <c r="T276" s="163">
        <v>-83</v>
      </c>
      <c r="U276" s="166">
        <v>-3.3120510774142062E-2</v>
      </c>
      <c r="V276" s="61"/>
      <c r="X276" s="67"/>
      <c r="Y276" s="451"/>
      <c r="Z276" s="452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20">
        <v>0</v>
      </c>
      <c r="K277" s="132" t="s">
        <v>621</v>
      </c>
      <c r="L277" s="151">
        <v>0</v>
      </c>
      <c r="M277" s="128">
        <v>0</v>
      </c>
      <c r="N277" s="67">
        <v>0</v>
      </c>
      <c r="O277" s="67">
        <v>0</v>
      </c>
      <c r="P277" s="270"/>
      <c r="Q277" s="71"/>
      <c r="R277" s="449"/>
      <c r="S277" s="67">
        <v>0</v>
      </c>
      <c r="T277" s="163">
        <v>0</v>
      </c>
      <c r="U277" s="166">
        <v>0</v>
      </c>
      <c r="V277" s="61"/>
      <c r="X277" s="67"/>
      <c r="Y277" s="451"/>
      <c r="Z277" s="452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20.63</v>
      </c>
      <c r="E278" s="67">
        <v>3618</v>
      </c>
      <c r="F278" s="146">
        <v>0</v>
      </c>
      <c r="G278" s="146">
        <v>0</v>
      </c>
      <c r="H278" s="91">
        <v>3618</v>
      </c>
      <c r="I278" s="67">
        <v>0</v>
      </c>
      <c r="J278" s="20">
        <v>3618</v>
      </c>
      <c r="K278" s="132" t="s">
        <v>621</v>
      </c>
      <c r="L278" s="151">
        <v>0</v>
      </c>
      <c r="M278" s="128">
        <v>20.63</v>
      </c>
      <c r="N278" s="67">
        <v>16</v>
      </c>
      <c r="O278" s="67">
        <v>3634</v>
      </c>
      <c r="P278" s="270"/>
      <c r="Q278" s="71"/>
      <c r="R278" s="449"/>
      <c r="S278" s="67">
        <v>3861</v>
      </c>
      <c r="T278" s="163">
        <v>-227</v>
      </c>
      <c r="U278" s="166">
        <v>-5.8793058793058794E-2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115.25</v>
      </c>
      <c r="E279" s="67">
        <v>20214</v>
      </c>
      <c r="F279" s="146">
        <v>0</v>
      </c>
      <c r="G279" s="146">
        <v>0</v>
      </c>
      <c r="H279" s="91">
        <v>20214</v>
      </c>
      <c r="I279" s="67">
        <v>0</v>
      </c>
      <c r="J279" s="20">
        <v>20214</v>
      </c>
      <c r="K279" s="132" t="s">
        <v>621</v>
      </c>
      <c r="L279" s="151">
        <v>0</v>
      </c>
      <c r="M279" s="128">
        <v>115.25</v>
      </c>
      <c r="N279" s="67">
        <v>90</v>
      </c>
      <c r="O279" s="67">
        <v>20304</v>
      </c>
      <c r="P279" s="270"/>
      <c r="Q279" s="71"/>
      <c r="R279" s="449"/>
      <c r="S279" s="67">
        <v>17169</v>
      </c>
      <c r="T279" s="163">
        <v>3135</v>
      </c>
      <c r="U279" s="166">
        <v>0.18259654027607897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1410.63</v>
      </c>
      <c r="E280" s="67">
        <v>247410</v>
      </c>
      <c r="F280" s="146">
        <v>0</v>
      </c>
      <c r="G280" s="146">
        <v>0</v>
      </c>
      <c r="H280" s="91">
        <v>247410</v>
      </c>
      <c r="I280" s="67">
        <v>0</v>
      </c>
      <c r="J280" s="20">
        <v>247410</v>
      </c>
      <c r="K280" s="132" t="s">
        <v>621</v>
      </c>
      <c r="L280" s="151">
        <v>0</v>
      </c>
      <c r="M280" s="128">
        <v>1410.63</v>
      </c>
      <c r="N280" s="67">
        <v>1106</v>
      </c>
      <c r="O280" s="67">
        <v>248516</v>
      </c>
      <c r="P280" s="270"/>
      <c r="Q280" s="71"/>
      <c r="R280" s="449"/>
      <c r="S280" s="67">
        <v>252486</v>
      </c>
      <c r="T280" s="163">
        <v>-3970</v>
      </c>
      <c r="U280" s="166">
        <v>-1.5723644083236298E-2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16.75</v>
      </c>
      <c r="E281" s="67">
        <v>2938</v>
      </c>
      <c r="F281" s="146">
        <v>0</v>
      </c>
      <c r="G281" s="146">
        <v>0</v>
      </c>
      <c r="H281" s="91">
        <v>2938</v>
      </c>
      <c r="I281" s="67">
        <v>0</v>
      </c>
      <c r="J281" s="20">
        <v>2938</v>
      </c>
      <c r="K281" s="132" t="s">
        <v>621</v>
      </c>
      <c r="L281" s="151">
        <v>0</v>
      </c>
      <c r="M281" s="128">
        <v>16.75</v>
      </c>
      <c r="N281" s="67">
        <v>13</v>
      </c>
      <c r="O281" s="67">
        <v>2951</v>
      </c>
      <c r="P281" s="270"/>
      <c r="Q281" s="71"/>
      <c r="R281" s="449"/>
      <c r="S281" s="67">
        <v>4344</v>
      </c>
      <c r="T281" s="163">
        <v>-1393</v>
      </c>
      <c r="U281" s="166">
        <v>-0.32067219152854515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20">
        <v>0</v>
      </c>
      <c r="K282" s="132" t="s">
        <v>621</v>
      </c>
      <c r="L282" s="151">
        <v>0</v>
      </c>
      <c r="M282" s="128">
        <v>0</v>
      </c>
      <c r="N282" s="67">
        <v>0</v>
      </c>
      <c r="O282" s="67">
        <v>0</v>
      </c>
      <c r="P282" s="270"/>
      <c r="Q282" s="71"/>
      <c r="R282" s="449"/>
      <c r="S282" s="67">
        <v>0</v>
      </c>
      <c r="T282" s="163">
        <v>0</v>
      </c>
      <c r="U282" s="166">
        <v>0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20">
        <v>0</v>
      </c>
      <c r="K283" s="132" t="s">
        <v>621</v>
      </c>
      <c r="L283" s="151">
        <v>0</v>
      </c>
      <c r="M283" s="128">
        <v>0</v>
      </c>
      <c r="N283" s="67">
        <v>0</v>
      </c>
      <c r="O283" s="67">
        <v>0</v>
      </c>
      <c r="P283" s="270"/>
      <c r="Q283" s="71"/>
      <c r="R283" s="449"/>
      <c r="S283" s="67">
        <v>0</v>
      </c>
      <c r="T283" s="163">
        <v>0</v>
      </c>
      <c r="U283" s="166">
        <v>0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987.5</v>
      </c>
      <c r="E284" s="67">
        <v>173197</v>
      </c>
      <c r="F284" s="146">
        <v>0</v>
      </c>
      <c r="G284" s="146">
        <v>0</v>
      </c>
      <c r="H284" s="91">
        <v>173197</v>
      </c>
      <c r="I284" s="67">
        <v>0</v>
      </c>
      <c r="J284" s="20">
        <v>173197</v>
      </c>
      <c r="K284" s="132" t="s">
        <v>621</v>
      </c>
      <c r="L284" s="151">
        <v>0</v>
      </c>
      <c r="M284" s="128">
        <v>987.5</v>
      </c>
      <c r="N284" s="67">
        <v>774</v>
      </c>
      <c r="O284" s="67">
        <v>173971</v>
      </c>
      <c r="P284" s="270"/>
      <c r="Q284" s="71"/>
      <c r="R284" s="449"/>
      <c r="S284" s="67">
        <v>180918</v>
      </c>
      <c r="T284" s="163">
        <v>-6947</v>
      </c>
      <c r="U284" s="166">
        <v>-3.839861152566356E-2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101.13</v>
      </c>
      <c r="E285" s="67">
        <v>17737</v>
      </c>
      <c r="F285" s="146">
        <v>0</v>
      </c>
      <c r="G285" s="146">
        <v>0</v>
      </c>
      <c r="H285" s="91">
        <v>17737</v>
      </c>
      <c r="I285" s="67">
        <v>0</v>
      </c>
      <c r="J285" s="20">
        <v>17737</v>
      </c>
      <c r="K285" s="132" t="s">
        <v>621</v>
      </c>
      <c r="L285" s="151">
        <v>0</v>
      </c>
      <c r="M285" s="128">
        <v>101.13</v>
      </c>
      <c r="N285" s="67">
        <v>79</v>
      </c>
      <c r="O285" s="67">
        <v>17816</v>
      </c>
      <c r="P285" s="270"/>
      <c r="Q285" s="71"/>
      <c r="R285" s="449"/>
      <c r="S285" s="67">
        <v>17697</v>
      </c>
      <c r="T285" s="163">
        <v>119</v>
      </c>
      <c r="U285" s="166">
        <v>6.7243035542747355E-3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145.25</v>
      </c>
      <c r="E286" s="67">
        <v>25475</v>
      </c>
      <c r="F286" s="146">
        <v>0</v>
      </c>
      <c r="G286" s="146">
        <v>0</v>
      </c>
      <c r="H286" s="91">
        <v>25475</v>
      </c>
      <c r="I286" s="67">
        <v>0</v>
      </c>
      <c r="J286" s="20">
        <v>25475</v>
      </c>
      <c r="K286" s="132" t="s">
        <v>621</v>
      </c>
      <c r="L286" s="151">
        <v>0</v>
      </c>
      <c r="M286" s="128">
        <v>145.25</v>
      </c>
      <c r="N286" s="67">
        <v>114</v>
      </c>
      <c r="O286" s="67">
        <v>25589</v>
      </c>
      <c r="P286" s="270"/>
      <c r="Q286" s="71"/>
      <c r="R286" s="449"/>
      <c r="S286" s="67">
        <v>22891</v>
      </c>
      <c r="T286" s="163">
        <v>2698</v>
      </c>
      <c r="U286" s="166">
        <v>0.11786291555633219</v>
      </c>
      <c r="V286" s="61"/>
      <c r="X286" s="67"/>
      <c r="Y286" s="451"/>
      <c r="Z286" s="452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109.88</v>
      </c>
      <c r="E287" s="67">
        <v>19272</v>
      </c>
      <c r="F287" s="146">
        <v>0</v>
      </c>
      <c r="G287" s="146">
        <v>0</v>
      </c>
      <c r="H287" s="91">
        <v>19272</v>
      </c>
      <c r="I287" s="67">
        <v>0</v>
      </c>
      <c r="J287" s="148">
        <v>19272</v>
      </c>
      <c r="K287" s="132" t="s">
        <v>621</v>
      </c>
      <c r="L287" s="151">
        <v>0</v>
      </c>
      <c r="M287" s="128">
        <v>109.88</v>
      </c>
      <c r="N287" s="67">
        <v>86</v>
      </c>
      <c r="O287" s="67">
        <v>19358</v>
      </c>
      <c r="P287" s="270"/>
      <c r="Q287" s="71"/>
      <c r="R287" s="449"/>
      <c r="S287" s="67">
        <v>19973</v>
      </c>
      <c r="T287" s="163">
        <v>-615</v>
      </c>
      <c r="U287" s="166">
        <v>-3.0791568617633807E-2</v>
      </c>
      <c r="V287" s="115"/>
      <c r="X287" s="67"/>
      <c r="Y287" s="451"/>
      <c r="Z287" s="452"/>
      <c r="AC287" s="116"/>
      <c r="AD287" s="116"/>
      <c r="AE287" s="116"/>
      <c r="AF287" s="117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20">
        <v>0</v>
      </c>
      <c r="K288" s="132" t="s">
        <v>621</v>
      </c>
      <c r="L288" s="151">
        <v>0</v>
      </c>
      <c r="M288" s="128">
        <v>0</v>
      </c>
      <c r="N288" s="67">
        <v>0</v>
      </c>
      <c r="O288" s="67">
        <v>0</v>
      </c>
      <c r="P288" s="270"/>
      <c r="Q288" s="71"/>
      <c r="R288" s="449"/>
      <c r="S288" s="67">
        <v>0</v>
      </c>
      <c r="T288" s="163">
        <v>0</v>
      </c>
      <c r="U288" s="166">
        <v>0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1864.88</v>
      </c>
      <c r="E289" s="67">
        <v>327080</v>
      </c>
      <c r="F289" s="146">
        <v>0</v>
      </c>
      <c r="G289" s="146">
        <v>0</v>
      </c>
      <c r="H289" s="91">
        <v>327080</v>
      </c>
      <c r="I289" s="67">
        <v>0</v>
      </c>
      <c r="J289" s="20">
        <v>327080</v>
      </c>
      <c r="K289" s="132" t="s">
        <v>621</v>
      </c>
      <c r="L289" s="151">
        <v>0</v>
      </c>
      <c r="M289" s="128">
        <v>1864.88</v>
      </c>
      <c r="N289" s="67">
        <v>1462</v>
      </c>
      <c r="O289" s="67">
        <v>328542</v>
      </c>
      <c r="P289" s="270"/>
      <c r="Q289" s="71"/>
      <c r="R289" s="449"/>
      <c r="S289" s="67">
        <v>342393</v>
      </c>
      <c r="T289" s="163">
        <v>-13851</v>
      </c>
      <c r="U289" s="166">
        <v>-4.0453513944502369E-2</v>
      </c>
      <c r="V289" s="61"/>
      <c r="X289" s="67"/>
      <c r="Y289" s="451"/>
      <c r="Z289" s="452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63" t="s">
        <v>184</v>
      </c>
      <c r="D290" s="134">
        <v>19</v>
      </c>
      <c r="E290" s="67">
        <v>3332</v>
      </c>
      <c r="F290" s="146">
        <v>0</v>
      </c>
      <c r="G290" s="146">
        <v>0</v>
      </c>
      <c r="H290" s="91">
        <v>3332</v>
      </c>
      <c r="I290" s="67">
        <v>0</v>
      </c>
      <c r="J290" s="148">
        <v>3332</v>
      </c>
      <c r="K290" s="132" t="s">
        <v>621</v>
      </c>
      <c r="L290" s="151">
        <v>0</v>
      </c>
      <c r="M290" s="128">
        <v>19</v>
      </c>
      <c r="N290" s="67">
        <v>15</v>
      </c>
      <c r="O290" s="67">
        <v>3347</v>
      </c>
      <c r="P290" s="270"/>
      <c r="Q290" s="71"/>
      <c r="R290" s="449"/>
      <c r="S290" s="67">
        <v>3793</v>
      </c>
      <c r="T290" s="163">
        <v>-446</v>
      </c>
      <c r="U290" s="166">
        <v>-0.11758502504613762</v>
      </c>
      <c r="V290" s="115"/>
      <c r="X290" s="67"/>
      <c r="Y290" s="451"/>
      <c r="Z290" s="452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15.63</v>
      </c>
      <c r="E291" s="67">
        <v>2741</v>
      </c>
      <c r="F291" s="146">
        <v>0</v>
      </c>
      <c r="G291" s="146">
        <v>0</v>
      </c>
      <c r="H291" s="91">
        <v>2741</v>
      </c>
      <c r="I291" s="67">
        <v>0</v>
      </c>
      <c r="J291" s="20">
        <v>2741</v>
      </c>
      <c r="K291" s="132" t="s">
        <v>621</v>
      </c>
      <c r="L291" s="151">
        <v>0</v>
      </c>
      <c r="M291" s="128">
        <v>15.63</v>
      </c>
      <c r="N291" s="67">
        <v>12</v>
      </c>
      <c r="O291" s="67">
        <v>2753</v>
      </c>
      <c r="P291" s="270"/>
      <c r="Q291" s="71"/>
      <c r="R291" s="449"/>
      <c r="S291" s="67">
        <v>714</v>
      </c>
      <c r="T291" s="163">
        <v>2039</v>
      </c>
      <c r="U291" s="166">
        <v>2.8557422969187676</v>
      </c>
      <c r="V291" s="61"/>
      <c r="X291" s="67"/>
      <c r="Y291" s="451"/>
      <c r="Z291" s="452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1200.5</v>
      </c>
      <c r="E292" s="67">
        <v>210555</v>
      </c>
      <c r="F292" s="146">
        <v>0</v>
      </c>
      <c r="G292" s="146">
        <v>0</v>
      </c>
      <c r="H292" s="91">
        <v>210555</v>
      </c>
      <c r="I292" s="67">
        <v>0</v>
      </c>
      <c r="J292" s="20">
        <v>210555</v>
      </c>
      <c r="K292" s="132" t="s">
        <v>621</v>
      </c>
      <c r="L292" s="151">
        <v>0</v>
      </c>
      <c r="M292" s="128">
        <v>1200.5</v>
      </c>
      <c r="N292" s="67">
        <v>941</v>
      </c>
      <c r="O292" s="67">
        <v>211496</v>
      </c>
      <c r="P292" s="270"/>
      <c r="Q292" s="71"/>
      <c r="R292" s="449"/>
      <c r="S292" s="67">
        <v>212244</v>
      </c>
      <c r="T292" s="163">
        <v>-748</v>
      </c>
      <c r="U292" s="166">
        <v>-3.5242456795009517E-3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20">
        <v>0</v>
      </c>
      <c r="K293" s="132" t="s">
        <v>621</v>
      </c>
      <c r="L293" s="151">
        <v>0</v>
      </c>
      <c r="M293" s="128">
        <v>0</v>
      </c>
      <c r="N293" s="67">
        <v>0</v>
      </c>
      <c r="O293" s="67">
        <v>0</v>
      </c>
      <c r="P293" s="270"/>
      <c r="Q293" s="71"/>
      <c r="R293" s="449"/>
      <c r="S293" s="67">
        <v>0</v>
      </c>
      <c r="T293" s="163">
        <v>0</v>
      </c>
      <c r="U293" s="166">
        <v>0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773.75</v>
      </c>
      <c r="E294" s="67">
        <v>135708</v>
      </c>
      <c r="F294" s="146">
        <v>0</v>
      </c>
      <c r="G294" s="146">
        <v>0</v>
      </c>
      <c r="H294" s="91">
        <v>135708</v>
      </c>
      <c r="I294" s="67">
        <v>0</v>
      </c>
      <c r="J294" s="20">
        <v>135708</v>
      </c>
      <c r="K294" s="132" t="s">
        <v>621</v>
      </c>
      <c r="L294" s="151">
        <v>0</v>
      </c>
      <c r="M294" s="128">
        <v>773.75</v>
      </c>
      <c r="N294" s="67">
        <v>607</v>
      </c>
      <c r="O294" s="67">
        <v>136315</v>
      </c>
      <c r="P294" s="270"/>
      <c r="Q294" s="71"/>
      <c r="R294" s="449"/>
      <c r="S294" s="67">
        <v>141780</v>
      </c>
      <c r="T294" s="163">
        <v>-5465</v>
      </c>
      <c r="U294" s="166">
        <v>-3.8545634080970517E-2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928.13</v>
      </c>
      <c r="E295" s="67">
        <v>162784</v>
      </c>
      <c r="F295" s="146">
        <v>0</v>
      </c>
      <c r="G295" s="146">
        <v>0</v>
      </c>
      <c r="H295" s="91">
        <v>162784</v>
      </c>
      <c r="I295" s="67">
        <v>0</v>
      </c>
      <c r="J295" s="20">
        <v>162784</v>
      </c>
      <c r="K295" s="132" t="s">
        <v>621</v>
      </c>
      <c r="L295" s="151">
        <v>0</v>
      </c>
      <c r="M295" s="128">
        <v>928.13</v>
      </c>
      <c r="N295" s="67">
        <v>728</v>
      </c>
      <c r="O295" s="67">
        <v>163512</v>
      </c>
      <c r="P295" s="270"/>
      <c r="Q295" s="71"/>
      <c r="R295" s="449"/>
      <c r="S295" s="67">
        <v>184711</v>
      </c>
      <c r="T295" s="163">
        <v>-21199</v>
      </c>
      <c r="U295" s="166">
        <v>-0.11476847616005544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297</v>
      </c>
      <c r="E296" s="67">
        <v>52091</v>
      </c>
      <c r="F296" s="146">
        <v>0</v>
      </c>
      <c r="G296" s="146">
        <v>0</v>
      </c>
      <c r="H296" s="91">
        <v>52091</v>
      </c>
      <c r="I296" s="67">
        <v>0</v>
      </c>
      <c r="J296" s="20">
        <v>52091</v>
      </c>
      <c r="K296" s="132" t="s">
        <v>621</v>
      </c>
      <c r="L296" s="151">
        <v>0</v>
      </c>
      <c r="M296" s="128">
        <v>297</v>
      </c>
      <c r="N296" s="67">
        <v>233</v>
      </c>
      <c r="O296" s="67">
        <v>52324</v>
      </c>
      <c r="P296" s="270"/>
      <c r="Q296" s="71"/>
      <c r="R296" s="449"/>
      <c r="S296" s="67">
        <v>53941</v>
      </c>
      <c r="T296" s="163">
        <v>-1617</v>
      </c>
      <c r="U296" s="166">
        <v>-2.9977197308170039E-2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55.25</v>
      </c>
      <c r="E297" s="67">
        <v>9690</v>
      </c>
      <c r="F297" s="146">
        <v>0</v>
      </c>
      <c r="G297" s="146">
        <v>0</v>
      </c>
      <c r="H297" s="91">
        <v>9690</v>
      </c>
      <c r="I297" s="67">
        <v>0</v>
      </c>
      <c r="J297" s="20">
        <v>9690</v>
      </c>
      <c r="K297" s="132" t="s">
        <v>621</v>
      </c>
      <c r="L297" s="151">
        <v>0</v>
      </c>
      <c r="M297" s="128">
        <v>55.25</v>
      </c>
      <c r="N297" s="67">
        <v>43</v>
      </c>
      <c r="O297" s="67">
        <v>9733</v>
      </c>
      <c r="P297" s="270"/>
      <c r="Q297" s="71"/>
      <c r="R297" s="449"/>
      <c r="S297" s="67">
        <v>8252</v>
      </c>
      <c r="T297" s="163">
        <v>1481</v>
      </c>
      <c r="U297" s="166">
        <v>0.17947164323800291</v>
      </c>
      <c r="V297" s="61"/>
      <c r="X297" s="67"/>
      <c r="Y297" s="451"/>
      <c r="Z297" s="452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146">
        <v>0</v>
      </c>
      <c r="H298" s="91">
        <v>0</v>
      </c>
      <c r="I298" s="67">
        <v>0</v>
      </c>
      <c r="J298" s="20">
        <v>0</v>
      </c>
      <c r="K298" s="132" t="s">
        <v>621</v>
      </c>
      <c r="L298" s="151">
        <v>0</v>
      </c>
      <c r="M298" s="128">
        <v>0</v>
      </c>
      <c r="N298" s="67">
        <v>0</v>
      </c>
      <c r="O298" s="67">
        <v>0</v>
      </c>
      <c r="P298" s="270"/>
      <c r="Q298" s="71"/>
      <c r="R298" s="449"/>
      <c r="S298" s="67">
        <v>0</v>
      </c>
      <c r="T298" s="163">
        <v>0</v>
      </c>
      <c r="U298" s="166">
        <v>0</v>
      </c>
      <c r="V298" s="61"/>
      <c r="X298" s="67"/>
      <c r="Y298" s="451"/>
      <c r="Z298" s="452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13.88</v>
      </c>
      <c r="E299" s="67">
        <v>2434</v>
      </c>
      <c r="F299" s="146">
        <v>0</v>
      </c>
      <c r="G299" s="146">
        <v>0</v>
      </c>
      <c r="H299" s="91">
        <v>2434</v>
      </c>
      <c r="I299" s="67">
        <v>0</v>
      </c>
      <c r="J299" s="20">
        <v>2434</v>
      </c>
      <c r="K299" s="132" t="s">
        <v>644</v>
      </c>
      <c r="L299" s="151">
        <v>2434</v>
      </c>
      <c r="M299" s="128">
        <v>0</v>
      </c>
      <c r="N299" s="67">
        <v>0</v>
      </c>
      <c r="O299" s="67">
        <v>0</v>
      </c>
      <c r="P299" s="270"/>
      <c r="Q299" s="71"/>
      <c r="R299" s="449"/>
      <c r="S299" s="67">
        <v>0</v>
      </c>
      <c r="T299" s="163">
        <v>0</v>
      </c>
      <c r="U299" s="166">
        <v>0</v>
      </c>
      <c r="V299" s="61"/>
      <c r="X299" s="67"/>
      <c r="Y299" s="451"/>
      <c r="Z299" s="452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146">
        <v>0</v>
      </c>
      <c r="H300" s="91">
        <v>0</v>
      </c>
      <c r="I300" s="67">
        <v>0</v>
      </c>
      <c r="J300" s="20">
        <v>0</v>
      </c>
      <c r="K300" s="132" t="s">
        <v>621</v>
      </c>
      <c r="L300" s="151">
        <v>0</v>
      </c>
      <c r="M300" s="128">
        <v>0</v>
      </c>
      <c r="N300" s="67">
        <v>0</v>
      </c>
      <c r="O300" s="67">
        <v>0</v>
      </c>
      <c r="P300" s="270"/>
      <c r="Q300" s="71"/>
      <c r="R300" s="449"/>
      <c r="S300" s="67">
        <v>0</v>
      </c>
      <c r="T300" s="163">
        <v>0</v>
      </c>
      <c r="U300" s="166">
        <v>0</v>
      </c>
      <c r="V300" s="61"/>
      <c r="X300" s="67"/>
      <c r="Y300" s="451"/>
      <c r="Z300" s="452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1537.63</v>
      </c>
      <c r="E301" s="67">
        <v>269684</v>
      </c>
      <c r="F301" s="146">
        <v>0</v>
      </c>
      <c r="G301" s="146">
        <v>0</v>
      </c>
      <c r="H301" s="91">
        <v>269684</v>
      </c>
      <c r="I301" s="67">
        <v>0</v>
      </c>
      <c r="J301" s="20">
        <v>269684</v>
      </c>
      <c r="K301" s="132" t="s">
        <v>621</v>
      </c>
      <c r="L301" s="151">
        <v>0</v>
      </c>
      <c r="M301" s="128">
        <v>1537.63</v>
      </c>
      <c r="N301" s="67">
        <v>1205</v>
      </c>
      <c r="O301" s="67">
        <v>270889</v>
      </c>
      <c r="P301" s="270"/>
      <c r="Q301" s="71"/>
      <c r="R301" s="449"/>
      <c r="S301" s="67">
        <v>269309</v>
      </c>
      <c r="T301" s="163">
        <v>1580</v>
      </c>
      <c r="U301" s="166">
        <v>5.8668666847376061E-3</v>
      </c>
      <c r="V301" s="61"/>
      <c r="X301" s="67"/>
      <c r="Y301" s="451"/>
      <c r="Z301" s="452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63" t="s">
        <v>675</v>
      </c>
      <c r="D302" s="134">
        <v>91.13</v>
      </c>
      <c r="E302" s="67">
        <v>15983</v>
      </c>
      <c r="F302" s="146">
        <v>0</v>
      </c>
      <c r="G302" s="146">
        <v>0</v>
      </c>
      <c r="H302" s="91">
        <v>15983</v>
      </c>
      <c r="I302" s="67">
        <v>0</v>
      </c>
      <c r="J302" s="100">
        <v>15983</v>
      </c>
      <c r="K302" s="132" t="s">
        <v>621</v>
      </c>
      <c r="L302" s="151">
        <v>0</v>
      </c>
      <c r="M302" s="128">
        <v>91.13</v>
      </c>
      <c r="N302" s="67">
        <v>71</v>
      </c>
      <c r="O302" s="67">
        <v>16054</v>
      </c>
      <c r="P302" s="270"/>
      <c r="Q302" s="71"/>
      <c r="R302" s="449"/>
      <c r="S302" s="67">
        <v>16571</v>
      </c>
      <c r="T302" s="163">
        <v>-517</v>
      </c>
      <c r="U302" s="166">
        <v>-3.1199082734898315E-2</v>
      </c>
      <c r="V302" s="61"/>
      <c r="X302" s="67"/>
      <c r="Y302" s="451"/>
      <c r="Z302" s="452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64.88</v>
      </c>
      <c r="E303" s="67">
        <v>11379</v>
      </c>
      <c r="F303" s="146">
        <v>0</v>
      </c>
      <c r="G303" s="146">
        <v>0</v>
      </c>
      <c r="H303" s="91">
        <v>11379</v>
      </c>
      <c r="I303" s="67">
        <v>0</v>
      </c>
      <c r="J303" s="20">
        <v>11379</v>
      </c>
      <c r="K303" s="132" t="s">
        <v>621</v>
      </c>
      <c r="L303" s="151">
        <v>0</v>
      </c>
      <c r="M303" s="128">
        <v>64.88</v>
      </c>
      <c r="N303" s="67">
        <v>51</v>
      </c>
      <c r="O303" s="67">
        <v>11430</v>
      </c>
      <c r="P303" s="270"/>
      <c r="Q303" s="71"/>
      <c r="R303" s="449"/>
      <c r="S303" s="67">
        <v>10320</v>
      </c>
      <c r="T303" s="163">
        <v>1110</v>
      </c>
      <c r="U303" s="166">
        <v>0.10755813953488372</v>
      </c>
      <c r="V303" s="61"/>
      <c r="X303" s="67"/>
      <c r="Y303" s="451"/>
      <c r="Z303" s="452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146">
        <v>0</v>
      </c>
      <c r="H304" s="91">
        <v>0</v>
      </c>
      <c r="I304" s="67">
        <v>0</v>
      </c>
      <c r="J304" s="20">
        <v>0</v>
      </c>
      <c r="K304" s="132" t="s">
        <v>621</v>
      </c>
      <c r="L304" s="151">
        <v>0</v>
      </c>
      <c r="M304" s="128">
        <v>0</v>
      </c>
      <c r="N304" s="67">
        <v>0</v>
      </c>
      <c r="O304" s="67">
        <v>0</v>
      </c>
      <c r="P304" s="270"/>
      <c r="Q304" s="71"/>
      <c r="R304" s="449"/>
      <c r="S304" s="67">
        <v>0</v>
      </c>
      <c r="T304" s="163">
        <v>0</v>
      </c>
      <c r="U304" s="166">
        <v>0</v>
      </c>
      <c r="V304" s="61"/>
      <c r="X304" s="67"/>
      <c r="Y304" s="451"/>
      <c r="Z304" s="452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33.630000000000003</v>
      </c>
      <c r="E305" s="67">
        <v>5898</v>
      </c>
      <c r="F305" s="146">
        <v>0</v>
      </c>
      <c r="G305" s="146">
        <v>0</v>
      </c>
      <c r="H305" s="91">
        <v>5898</v>
      </c>
      <c r="I305" s="67">
        <v>0</v>
      </c>
      <c r="J305" s="20">
        <v>5898</v>
      </c>
      <c r="K305" s="132" t="s">
        <v>621</v>
      </c>
      <c r="L305" s="151">
        <v>0</v>
      </c>
      <c r="M305" s="128">
        <v>33.630000000000003</v>
      </c>
      <c r="N305" s="67">
        <v>26</v>
      </c>
      <c r="O305" s="67">
        <v>5924</v>
      </c>
      <c r="P305" s="270"/>
      <c r="Q305" s="71"/>
      <c r="R305" s="449"/>
      <c r="S305" s="67">
        <v>6229</v>
      </c>
      <c r="T305" s="163">
        <v>-305</v>
      </c>
      <c r="U305" s="166">
        <v>-4.8964520789853909E-2</v>
      </c>
      <c r="V305" s="61"/>
      <c r="X305" s="67"/>
      <c r="Y305" s="451"/>
      <c r="Z305" s="452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187.75</v>
      </c>
      <c r="E306" s="67">
        <v>32929</v>
      </c>
      <c r="F306" s="146">
        <v>0</v>
      </c>
      <c r="G306" s="146">
        <v>0</v>
      </c>
      <c r="H306" s="91">
        <v>32929</v>
      </c>
      <c r="I306" s="67">
        <v>0</v>
      </c>
      <c r="J306" s="20">
        <v>32929</v>
      </c>
      <c r="K306" s="132" t="s">
        <v>621</v>
      </c>
      <c r="L306" s="151">
        <v>0</v>
      </c>
      <c r="M306" s="128">
        <v>187.75</v>
      </c>
      <c r="N306" s="67">
        <v>147</v>
      </c>
      <c r="O306" s="67">
        <v>33076</v>
      </c>
      <c r="P306" s="270"/>
      <c r="Q306" s="71"/>
      <c r="R306" s="449"/>
      <c r="S306" s="67">
        <v>34841</v>
      </c>
      <c r="T306" s="163">
        <v>-1765</v>
      </c>
      <c r="U306" s="166">
        <v>-5.0658706696133864E-2</v>
      </c>
      <c r="V306" s="61"/>
      <c r="X306" s="67"/>
      <c r="Y306" s="451"/>
      <c r="Z306" s="452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146">
        <v>0</v>
      </c>
      <c r="H307" s="91">
        <v>0</v>
      </c>
      <c r="I307" s="67">
        <v>0</v>
      </c>
      <c r="J307" s="20">
        <v>0</v>
      </c>
      <c r="K307" s="132" t="s">
        <v>621</v>
      </c>
      <c r="L307" s="151">
        <v>0</v>
      </c>
      <c r="M307" s="128">
        <v>0</v>
      </c>
      <c r="N307" s="67">
        <v>0</v>
      </c>
      <c r="O307" s="67">
        <v>0</v>
      </c>
      <c r="P307" s="270"/>
      <c r="Q307" s="71"/>
      <c r="R307" s="449"/>
      <c r="S307" s="67">
        <v>0</v>
      </c>
      <c r="T307" s="163">
        <v>0</v>
      </c>
      <c r="U307" s="166">
        <v>0</v>
      </c>
      <c r="V307" s="61"/>
      <c r="X307" s="67"/>
      <c r="Y307" s="451"/>
      <c r="Z307" s="452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13.5</v>
      </c>
      <c r="E308" s="67">
        <v>2368</v>
      </c>
      <c r="F308" s="146">
        <v>0</v>
      </c>
      <c r="G308" s="146">
        <v>0</v>
      </c>
      <c r="H308" s="91">
        <v>2368</v>
      </c>
      <c r="I308" s="67">
        <v>0</v>
      </c>
      <c r="J308" s="20">
        <v>2368</v>
      </c>
      <c r="K308" s="132" t="s">
        <v>621</v>
      </c>
      <c r="L308" s="151">
        <v>0</v>
      </c>
      <c r="M308" s="128">
        <v>13.5</v>
      </c>
      <c r="N308" s="67">
        <v>11</v>
      </c>
      <c r="O308" s="67">
        <v>2379</v>
      </c>
      <c r="P308" s="270"/>
      <c r="Q308" s="71"/>
      <c r="R308" s="449"/>
      <c r="S308" s="67">
        <v>2574</v>
      </c>
      <c r="T308" s="163">
        <v>-195</v>
      </c>
      <c r="U308" s="166">
        <v>-7.575757575757576E-2</v>
      </c>
      <c r="V308" s="61"/>
      <c r="X308" s="67"/>
      <c r="Y308" s="451"/>
      <c r="Z308" s="452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20">
        <v>0</v>
      </c>
      <c r="K309" s="132" t="s">
        <v>621</v>
      </c>
      <c r="L309" s="151">
        <v>0</v>
      </c>
      <c r="M309" s="128">
        <v>0</v>
      </c>
      <c r="N309" s="67">
        <v>0</v>
      </c>
      <c r="O309" s="67">
        <v>0</v>
      </c>
      <c r="P309" s="270"/>
      <c r="Q309" s="71"/>
      <c r="R309" s="449"/>
      <c r="S309" s="67">
        <v>0</v>
      </c>
      <c r="T309" s="163">
        <v>0</v>
      </c>
      <c r="U309" s="166">
        <v>0</v>
      </c>
      <c r="V309" s="61"/>
      <c r="X309" s="67"/>
      <c r="Y309" s="451"/>
      <c r="Z309" s="452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64.5</v>
      </c>
      <c r="E310" s="67">
        <v>11313</v>
      </c>
      <c r="F310" s="146">
        <v>0</v>
      </c>
      <c r="G310" s="146">
        <v>0</v>
      </c>
      <c r="H310" s="91">
        <v>11313</v>
      </c>
      <c r="I310" s="67">
        <v>0</v>
      </c>
      <c r="J310" s="20">
        <v>11313</v>
      </c>
      <c r="K310" s="132" t="s">
        <v>621</v>
      </c>
      <c r="L310" s="151">
        <v>0</v>
      </c>
      <c r="M310" s="128">
        <v>64.5</v>
      </c>
      <c r="N310" s="67">
        <v>51</v>
      </c>
      <c r="O310" s="67">
        <v>11364</v>
      </c>
      <c r="P310" s="270"/>
      <c r="Q310" s="71"/>
      <c r="R310" s="449"/>
      <c r="S310" s="67">
        <v>12962</v>
      </c>
      <c r="T310" s="163">
        <v>-1598</v>
      </c>
      <c r="U310" s="166">
        <v>-0.1232834439129764</v>
      </c>
      <c r="V310" s="60"/>
      <c r="X310" s="67"/>
      <c r="Y310" s="451"/>
      <c r="Z310" s="452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20">
        <v>0</v>
      </c>
      <c r="K311" s="132" t="s">
        <v>621</v>
      </c>
      <c r="L311" s="151">
        <v>0</v>
      </c>
      <c r="M311" s="128">
        <v>0</v>
      </c>
      <c r="N311" s="67">
        <v>0</v>
      </c>
      <c r="O311" s="67">
        <v>0</v>
      </c>
      <c r="P311" s="270"/>
      <c r="Q311" s="71"/>
      <c r="R311" s="449"/>
      <c r="S311" s="67">
        <v>0</v>
      </c>
      <c r="T311" s="163">
        <v>0</v>
      </c>
      <c r="U311" s="166">
        <v>0</v>
      </c>
      <c r="V311" s="62"/>
      <c r="X311" s="67"/>
      <c r="Y311" s="451"/>
      <c r="Z311" s="45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20">
        <v>0</v>
      </c>
      <c r="K312" s="132" t="s">
        <v>621</v>
      </c>
      <c r="L312" s="151">
        <v>0</v>
      </c>
      <c r="M312" s="128">
        <v>0</v>
      </c>
      <c r="N312" s="67">
        <v>0</v>
      </c>
      <c r="O312" s="67">
        <v>0</v>
      </c>
      <c r="P312" s="270"/>
      <c r="Q312" s="71"/>
      <c r="R312" s="449"/>
      <c r="S312" s="67">
        <v>0</v>
      </c>
      <c r="T312" s="163">
        <v>0</v>
      </c>
      <c r="U312" s="166">
        <v>0</v>
      </c>
      <c r="X312" s="67"/>
      <c r="Y312" s="451"/>
      <c r="Z312" s="452"/>
    </row>
    <row r="313" spans="1:32">
      <c r="A313" s="64" t="s">
        <v>599</v>
      </c>
      <c r="B313" s="63" t="s">
        <v>78</v>
      </c>
      <c r="C313" s="63" t="s">
        <v>79</v>
      </c>
      <c r="D313" s="134">
        <v>107.13</v>
      </c>
      <c r="E313" s="67">
        <v>18789</v>
      </c>
      <c r="F313" s="146">
        <v>0</v>
      </c>
      <c r="G313" s="146">
        <v>0</v>
      </c>
      <c r="H313" s="91">
        <v>18789</v>
      </c>
      <c r="I313" s="67">
        <v>0</v>
      </c>
      <c r="J313" s="20">
        <v>18789</v>
      </c>
      <c r="K313" s="132" t="s">
        <v>621</v>
      </c>
      <c r="L313" s="151">
        <v>0</v>
      </c>
      <c r="M313" s="128">
        <v>107.13</v>
      </c>
      <c r="N313" s="67">
        <v>84</v>
      </c>
      <c r="O313" s="67">
        <v>18873</v>
      </c>
      <c r="P313" s="270"/>
      <c r="Q313" s="71"/>
      <c r="R313" s="449"/>
      <c r="S313" s="67">
        <v>18272</v>
      </c>
      <c r="T313" s="163">
        <v>601</v>
      </c>
      <c r="U313" s="166">
        <v>3.2891856392294222E-2</v>
      </c>
      <c r="X313" s="67"/>
      <c r="Y313" s="451"/>
      <c r="Z313" s="452"/>
    </row>
    <row r="314" spans="1:32">
      <c r="A314" s="64" t="s">
        <v>605</v>
      </c>
      <c r="B314" s="63" t="s">
        <v>547</v>
      </c>
      <c r="C314" s="63" t="s">
        <v>548</v>
      </c>
      <c r="D314" s="134">
        <v>3928.88</v>
      </c>
      <c r="E314" s="67">
        <v>689084</v>
      </c>
      <c r="F314" s="146">
        <v>0</v>
      </c>
      <c r="G314" s="146">
        <v>0</v>
      </c>
      <c r="H314" s="91">
        <v>689084</v>
      </c>
      <c r="I314" s="67">
        <v>0</v>
      </c>
      <c r="J314" s="20">
        <v>689084</v>
      </c>
      <c r="K314" s="132" t="s">
        <v>621</v>
      </c>
      <c r="L314" s="151">
        <v>0</v>
      </c>
      <c r="M314" s="128">
        <v>3928.88</v>
      </c>
      <c r="N314" s="67">
        <v>3080</v>
      </c>
      <c r="O314" s="67">
        <v>692164</v>
      </c>
      <c r="P314" s="270"/>
      <c r="Q314" s="71"/>
      <c r="R314" s="449"/>
      <c r="S314" s="67">
        <v>693038</v>
      </c>
      <c r="T314" s="163">
        <v>-874</v>
      </c>
      <c r="U314" s="166">
        <v>-1.2611141091830463E-3</v>
      </c>
      <c r="X314" s="67"/>
      <c r="Y314" s="451"/>
      <c r="Z314" s="452"/>
    </row>
    <row r="315" spans="1:32">
      <c r="A315" s="64" t="s">
        <v>594</v>
      </c>
      <c r="B315" s="63" t="s">
        <v>472</v>
      </c>
      <c r="C315" s="63" t="s">
        <v>473</v>
      </c>
      <c r="D315" s="134">
        <v>61.38</v>
      </c>
      <c r="E315" s="67">
        <v>10765</v>
      </c>
      <c r="F315" s="146">
        <v>0</v>
      </c>
      <c r="G315" s="146">
        <v>0</v>
      </c>
      <c r="H315" s="91">
        <v>10765</v>
      </c>
      <c r="I315" s="67">
        <v>0</v>
      </c>
      <c r="J315" s="20">
        <v>10765</v>
      </c>
      <c r="K315" s="132" t="s">
        <v>621</v>
      </c>
      <c r="L315" s="151">
        <v>0</v>
      </c>
      <c r="M315" s="128">
        <v>61.38</v>
      </c>
      <c r="N315" s="67">
        <v>48</v>
      </c>
      <c r="O315" s="67">
        <v>10813</v>
      </c>
      <c r="P315" s="270"/>
      <c r="Q315" s="71"/>
      <c r="R315" s="449"/>
      <c r="S315" s="67">
        <v>8665</v>
      </c>
      <c r="T315" s="163">
        <v>2148</v>
      </c>
      <c r="U315" s="166">
        <v>0.24789382573571841</v>
      </c>
      <c r="X315" s="67"/>
      <c r="Y315" s="451"/>
      <c r="Z315" s="452"/>
    </row>
    <row r="316" spans="1:32">
      <c r="A316" s="64" t="s">
        <v>605</v>
      </c>
      <c r="B316" s="63" t="s">
        <v>565</v>
      </c>
      <c r="C316" s="63" t="s">
        <v>566</v>
      </c>
      <c r="D316" s="134">
        <v>158.75</v>
      </c>
      <c r="E316" s="67">
        <v>27843</v>
      </c>
      <c r="F316" s="146">
        <v>0</v>
      </c>
      <c r="G316" s="146">
        <v>0</v>
      </c>
      <c r="H316" s="91">
        <v>27843</v>
      </c>
      <c r="I316" s="67">
        <v>0</v>
      </c>
      <c r="J316" s="20">
        <v>27843</v>
      </c>
      <c r="K316" s="132" t="s">
        <v>621</v>
      </c>
      <c r="L316" s="151">
        <v>0</v>
      </c>
      <c r="M316" s="128">
        <v>158.75</v>
      </c>
      <c r="N316" s="67">
        <v>124</v>
      </c>
      <c r="O316" s="67">
        <v>27967</v>
      </c>
      <c r="P316" s="270"/>
      <c r="Q316" s="71"/>
      <c r="R316" s="449"/>
      <c r="S316" s="67">
        <v>27235</v>
      </c>
      <c r="T316" s="163">
        <v>732</v>
      </c>
      <c r="U316" s="166">
        <v>2.687718009913714E-2</v>
      </c>
      <c r="X316" s="67"/>
      <c r="Y316" s="451"/>
      <c r="Z316" s="452"/>
    </row>
    <row r="317" spans="1:32">
      <c r="C317" s="105" t="s">
        <v>620</v>
      </c>
      <c r="D317" s="134">
        <v>85347.489999999962</v>
      </c>
      <c r="E317" s="67">
        <v>14969056</v>
      </c>
      <c r="F317" s="146">
        <v>0</v>
      </c>
      <c r="G317" s="146">
        <v>0</v>
      </c>
      <c r="H317" s="91">
        <v>14969054</v>
      </c>
      <c r="I317" s="71">
        <v>0</v>
      </c>
      <c r="J317" s="73">
        <v>14969054</v>
      </c>
      <c r="K317" s="132"/>
      <c r="L317" s="151">
        <v>66614</v>
      </c>
      <c r="M317" s="67">
        <v>84967.689999999973</v>
      </c>
      <c r="N317" s="88">
        <v>66617</v>
      </c>
      <c r="O317" s="88">
        <v>14969054</v>
      </c>
      <c r="P317" s="270"/>
      <c r="Q317" s="71"/>
      <c r="R317" s="72"/>
      <c r="S317" s="67" t="e">
        <v>#N/A</v>
      </c>
      <c r="T317" s="91">
        <v>-358397</v>
      </c>
      <c r="U317" s="161"/>
      <c r="V317" s="72"/>
      <c r="W317" s="72"/>
      <c r="X317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">
    <tabColor indexed="47"/>
    <pageSetUpPr fitToPage="1"/>
  </sheetPr>
  <dimension ref="A1:O324"/>
  <sheetViews>
    <sheetView topLeftCell="B1" zoomScale="115" zoomScaleNormal="115" workbookViewId="0">
      <selection activeCell="AH28" sqref="AH28"/>
    </sheetView>
  </sheetViews>
  <sheetFormatPr defaultRowHeight="12.75"/>
  <cols>
    <col min="1" max="1" width="0" hidden="1" customWidth="1"/>
    <col min="3" max="3" width="25.5703125" style="55" customWidth="1"/>
    <col min="4" max="4" width="14.5703125" bestFit="1" customWidth="1"/>
    <col min="5" max="5" width="11.42578125" style="2" customWidth="1"/>
    <col min="6" max="7" width="11.5703125" bestFit="1" customWidth="1"/>
    <col min="8" max="8" width="12.42578125" bestFit="1" customWidth="1"/>
    <col min="9" max="9" width="12.85546875" bestFit="1" customWidth="1"/>
    <col min="13" max="13" width="21.140625" bestFit="1" customWidth="1"/>
    <col min="14" max="14" width="10.85546875" bestFit="1" customWidth="1"/>
    <col min="15" max="15" width="9.5703125" bestFit="1" customWidth="1"/>
  </cols>
  <sheetData>
    <row r="1" spans="1:15" ht="15">
      <c r="A1" s="109" t="s">
        <v>771</v>
      </c>
      <c r="B1" s="109"/>
      <c r="C1" s="814"/>
      <c r="D1" s="109"/>
      <c r="G1" s="55"/>
      <c r="H1" s="55"/>
      <c r="I1" s="55"/>
      <c r="J1" s="55"/>
      <c r="K1" s="55"/>
      <c r="L1" s="55"/>
      <c r="M1" s="55"/>
      <c r="N1" s="55"/>
      <c r="O1" s="55"/>
    </row>
    <row r="2" spans="1:15" ht="23.25">
      <c r="B2" s="103" t="s">
        <v>1794</v>
      </c>
      <c r="G2" s="103" t="s">
        <v>1794</v>
      </c>
      <c r="H2" s="55"/>
    </row>
    <row r="3" spans="1:15">
      <c r="B3" s="104"/>
      <c r="G3" s="104"/>
      <c r="H3" s="55"/>
    </row>
    <row r="4" spans="1:15" ht="7.5" customHeight="1">
      <c r="H4" s="55"/>
    </row>
    <row r="5" spans="1:15" s="55" customFormat="1">
      <c r="D5" s="883">
        <f>+D6+I6</f>
        <v>17723576</v>
      </c>
      <c r="E5" s="883"/>
    </row>
    <row r="6" spans="1:15">
      <c r="D6" s="623">
        <f>SUM(D8:D324)</f>
        <v>16815097</v>
      </c>
      <c r="H6" s="55"/>
      <c r="I6" s="20">
        <f>SUM(I8:I139)</f>
        <v>908479</v>
      </c>
      <c r="N6" s="89"/>
    </row>
    <row r="7" spans="1:15">
      <c r="B7" s="101" t="s">
        <v>709</v>
      </c>
      <c r="C7" s="815" t="s">
        <v>578</v>
      </c>
      <c r="D7" s="102" t="s">
        <v>885</v>
      </c>
      <c r="E7" s="102"/>
      <c r="F7" s="59"/>
      <c r="G7" s="101" t="s">
        <v>709</v>
      </c>
      <c r="H7" s="815" t="s">
        <v>578</v>
      </c>
      <c r="I7" s="102" t="s">
        <v>884</v>
      </c>
    </row>
    <row r="8" spans="1:15">
      <c r="B8" s="784" t="s">
        <v>132</v>
      </c>
      <c r="C8" s="784" t="s">
        <v>1429</v>
      </c>
      <c r="D8" s="2">
        <f>IF(VLOOKUP($B8,'Allocation 2021-22'!$B:$AA,10,0)="Y",VLOOKUP(iGRANTS!$B8,'Allocation 2021-22'!$B:$U,20,0),0)</f>
        <v>59966</v>
      </c>
      <c r="F8" s="2"/>
      <c r="G8" s="856" t="s">
        <v>195</v>
      </c>
      <c r="H8" s="853" t="s">
        <v>1362</v>
      </c>
      <c r="I8" s="2">
        <v>513944</v>
      </c>
      <c r="L8" s="785"/>
      <c r="M8" s="784"/>
      <c r="N8" s="88"/>
      <c r="O8" s="88"/>
    </row>
    <row r="9" spans="1:15">
      <c r="B9" s="784" t="s">
        <v>262</v>
      </c>
      <c r="C9" s="784" t="s">
        <v>1485</v>
      </c>
      <c r="D9" s="2">
        <f>IF(VLOOKUP($B9,'Allocation 2021-22'!$B:$AA,10,0)="Y",VLOOKUP(iGRANTS!$B9,'Allocation 2021-22'!$B:$U,20,0),0)</f>
        <v>0</v>
      </c>
      <c r="F9" s="2"/>
      <c r="G9" s="856" t="s">
        <v>1728</v>
      </c>
      <c r="H9" s="853" t="s">
        <v>681</v>
      </c>
      <c r="I9" s="2">
        <v>16541</v>
      </c>
      <c r="L9" s="784"/>
      <c r="M9" s="784"/>
      <c r="N9" s="88"/>
      <c r="O9" s="88"/>
    </row>
    <row r="10" spans="1:15">
      <c r="B10" s="784" t="s">
        <v>283</v>
      </c>
      <c r="C10" s="784" t="s">
        <v>1495</v>
      </c>
      <c r="D10" s="2">
        <f>IF(VLOOKUP($B10,'Allocation 2021-22'!$B:$AA,10,0)="Y",VLOOKUP(iGRANTS!$B10,'Allocation 2021-22'!$B:$U,20,0),0)</f>
        <v>0</v>
      </c>
      <c r="F10" s="2"/>
      <c r="G10" s="138" t="s">
        <v>484</v>
      </c>
      <c r="H10" s="854" t="s">
        <v>1593</v>
      </c>
      <c r="I10" s="2">
        <v>35876</v>
      </c>
      <c r="L10" s="784"/>
      <c r="M10" s="784"/>
      <c r="N10" s="88"/>
      <c r="O10" s="88"/>
    </row>
    <row r="11" spans="1:15">
      <c r="B11" s="784" t="s">
        <v>380</v>
      </c>
      <c r="C11" s="784" t="s">
        <v>1541</v>
      </c>
      <c r="D11" s="2">
        <f>IF(VLOOKUP($B11,'Allocation 2021-22'!$B:$AA,10,0)="Y",VLOOKUP(iGRANTS!$B11,'Allocation 2021-22'!$B:$U,20,0),0)</f>
        <v>0</v>
      </c>
      <c r="F11" s="2"/>
      <c r="G11" s="659" t="s">
        <v>325</v>
      </c>
      <c r="H11" s="855" t="s">
        <v>712</v>
      </c>
      <c r="I11" s="2">
        <v>41503</v>
      </c>
      <c r="L11" s="784"/>
      <c r="M11" s="784"/>
      <c r="N11" s="88"/>
      <c r="O11" s="88"/>
    </row>
    <row r="12" spans="1:15">
      <c r="B12" s="784" t="s">
        <v>403</v>
      </c>
      <c r="C12" s="784" t="s">
        <v>1552</v>
      </c>
      <c r="D12" s="2">
        <f>IF(VLOOKUP($B12,'Allocation 2021-22'!$B:$AA,10,0)="Y",VLOOKUP(iGRANTS!$B12,'Allocation 2021-22'!$B:$U,20,0),0)</f>
        <v>37980</v>
      </c>
      <c r="F12" s="2"/>
      <c r="G12" s="2" t="s">
        <v>386</v>
      </c>
      <c r="H12" s="659" t="s">
        <v>1544</v>
      </c>
      <c r="I12" s="2">
        <v>225616</v>
      </c>
      <c r="L12" s="784"/>
      <c r="M12" s="784"/>
      <c r="N12" s="88"/>
      <c r="O12" s="88"/>
    </row>
    <row r="13" spans="1:15">
      <c r="B13" s="784" t="s">
        <v>12</v>
      </c>
      <c r="C13" s="784" t="s">
        <v>1374</v>
      </c>
      <c r="D13" s="2">
        <f>IF(VLOOKUP($B13,'Allocation 2021-22'!$B:$AA,10,0)="Y",VLOOKUP(iGRANTS!$B13,'Allocation 2021-22'!$B:$U,20,0),0)</f>
        <v>0</v>
      </c>
      <c r="F13" s="2"/>
      <c r="G13" s="856" t="s">
        <v>355</v>
      </c>
      <c r="H13" s="659" t="s">
        <v>1529</v>
      </c>
      <c r="I13" s="2">
        <v>17640</v>
      </c>
      <c r="L13" s="784"/>
      <c r="M13" s="784"/>
      <c r="N13" s="88"/>
      <c r="O13" s="88"/>
    </row>
    <row r="14" spans="1:15">
      <c r="B14" s="784" t="s">
        <v>195</v>
      </c>
      <c r="C14" s="784" t="s">
        <v>1362</v>
      </c>
      <c r="D14" s="2">
        <f>IF(VLOOKUP($B14,'Allocation 2021-22'!$B:$AA,10,0)="Y",VLOOKUP(iGRANTS!$B14,'Allocation 2021-22'!$B:$U,20,0),0)</f>
        <v>0</v>
      </c>
      <c r="F14" s="2"/>
      <c r="G14" s="856" t="s">
        <v>270</v>
      </c>
      <c r="H14" s="659" t="s">
        <v>1489</v>
      </c>
      <c r="I14" s="2">
        <v>10341</v>
      </c>
      <c r="L14" s="784"/>
      <c r="M14" s="784"/>
      <c r="N14" s="88"/>
      <c r="O14" s="88"/>
    </row>
    <row r="15" spans="1:15">
      <c r="B15" s="784" t="s">
        <v>213</v>
      </c>
      <c r="C15" s="784" t="s">
        <v>1463</v>
      </c>
      <c r="D15" s="2">
        <f>IF(VLOOKUP($B15,'Allocation 2021-22'!$B:$AA,10,0)="Y",VLOOKUP(iGRANTS!$B15,'Allocation 2021-22'!$B:$U,20,0),0)</f>
        <v>0</v>
      </c>
      <c r="F15" s="2"/>
      <c r="G15" s="856" t="s">
        <v>375</v>
      </c>
      <c r="H15" s="659" t="s">
        <v>1269</v>
      </c>
      <c r="I15" s="2">
        <v>15147</v>
      </c>
      <c r="L15" s="857"/>
      <c r="M15" s="784"/>
      <c r="N15" s="88"/>
      <c r="O15" s="88"/>
    </row>
    <row r="16" spans="1:15">
      <c r="B16" s="784" t="s">
        <v>62</v>
      </c>
      <c r="C16" s="784" t="s">
        <v>1396</v>
      </c>
      <c r="D16" s="2">
        <f>IF(VLOOKUP($B16,'Allocation 2021-22'!$B:$AA,10,0)="Y",VLOOKUP(iGRANTS!$B16,'Allocation 2021-22'!$B:$U,20,0),0)</f>
        <v>110326</v>
      </c>
      <c r="F16" s="2"/>
      <c r="G16" t="s">
        <v>1715</v>
      </c>
      <c r="H16" t="s">
        <v>1783</v>
      </c>
      <c r="I16" s="2">
        <v>31871</v>
      </c>
      <c r="L16" s="784"/>
      <c r="M16" s="784"/>
      <c r="N16" s="88"/>
      <c r="O16" s="88"/>
    </row>
    <row r="17" spans="2:15">
      <c r="B17" s="784" t="s">
        <v>189</v>
      </c>
      <c r="C17" s="784" t="s">
        <v>1455</v>
      </c>
      <c r="D17" s="2">
        <f>IF(VLOOKUP($B17,'Allocation 2021-22'!$B:$AA,10,0)="Y",VLOOKUP(iGRANTS!$B17,'Allocation 2021-22'!$B:$U,20,0),0)</f>
        <v>424255</v>
      </c>
      <c r="F17" s="2"/>
      <c r="G17" s="856"/>
      <c r="H17" s="659"/>
      <c r="I17" s="2"/>
      <c r="L17" s="784"/>
      <c r="M17" s="784"/>
      <c r="N17" s="88"/>
      <c r="O17" s="88"/>
    </row>
    <row r="18" spans="2:15">
      <c r="B18" s="784" t="s">
        <v>504</v>
      </c>
      <c r="C18" s="784" t="s">
        <v>628</v>
      </c>
      <c r="D18" s="2">
        <f>IF(VLOOKUP($B18,'Allocation 2021-22'!$B:$AA,10,0)="Y",VLOOKUP(iGRANTS!$B18,'Allocation 2021-22'!$B:$U,20,0),0)</f>
        <v>118517</v>
      </c>
      <c r="F18" s="2"/>
      <c r="G18" s="2"/>
      <c r="H18" s="659"/>
      <c r="I18" s="302"/>
      <c r="L18" s="784"/>
      <c r="M18" s="784"/>
      <c r="N18" s="88"/>
      <c r="O18" s="88"/>
    </row>
    <row r="19" spans="2:15">
      <c r="B19" s="784" t="s">
        <v>2</v>
      </c>
      <c r="C19" s="784" t="s">
        <v>1370</v>
      </c>
      <c r="D19" s="2">
        <f>IF(VLOOKUP($B19,'Allocation 2021-22'!$B:$AA,10,0)="Y",VLOOKUP(iGRANTS!$B19,'Allocation 2021-22'!$B:$U,20,0),0)</f>
        <v>0</v>
      </c>
      <c r="F19" s="2"/>
      <c r="G19" s="2"/>
      <c r="H19" s="659"/>
      <c r="I19" s="302"/>
      <c r="L19" s="784"/>
      <c r="M19" s="784"/>
      <c r="N19" s="88"/>
      <c r="O19" s="88"/>
    </row>
    <row r="20" spans="2:15">
      <c r="B20" s="784" t="s">
        <v>363</v>
      </c>
      <c r="C20" s="784" t="s">
        <v>1531</v>
      </c>
      <c r="D20" s="2">
        <f>IF(VLOOKUP($B20,'Allocation 2021-22'!$B:$AA,10,0)="Y",VLOOKUP(iGRANTS!$B20,'Allocation 2021-22'!$B:$U,20,0),0)</f>
        <v>149952</v>
      </c>
      <c r="F20" s="2"/>
      <c r="G20" s="2"/>
      <c r="H20" s="659"/>
      <c r="I20" s="302"/>
      <c r="L20" s="784"/>
      <c r="M20" s="784"/>
      <c r="N20" s="88"/>
      <c r="O20" s="88"/>
    </row>
    <row r="21" spans="2:15">
      <c r="B21" s="784" t="s">
        <v>234</v>
      </c>
      <c r="C21" s="784" t="s">
        <v>1473</v>
      </c>
      <c r="D21" s="2">
        <f>IF(VLOOKUP($B21,'Allocation 2021-22'!$B:$AA,10,0)="Y",VLOOKUP(iGRANTS!$B21,'Allocation 2021-22'!$B:$U,20,0),0)</f>
        <v>0</v>
      </c>
      <c r="F21" s="2"/>
      <c r="G21" s="2"/>
      <c r="H21" s="659"/>
      <c r="I21" s="302"/>
      <c r="L21" s="784"/>
      <c r="M21" s="784"/>
      <c r="N21" s="88"/>
      <c r="O21" s="88"/>
    </row>
    <row r="22" spans="2:15">
      <c r="B22" s="784" t="s">
        <v>508</v>
      </c>
      <c r="C22" s="784" t="s">
        <v>1603</v>
      </c>
      <c r="D22" s="2">
        <f>IF(VLOOKUP($B22,'Allocation 2021-22'!$B:$AA,10,0)="Y",VLOOKUP(iGRANTS!$B22,'Allocation 2021-22'!$B:$U,20,0),0)</f>
        <v>13406</v>
      </c>
      <c r="F22" s="2"/>
      <c r="G22" s="2"/>
      <c r="H22" s="659"/>
      <c r="I22" s="302"/>
      <c r="L22" s="784"/>
      <c r="M22" s="784"/>
      <c r="N22" s="88"/>
      <c r="O22" s="88"/>
    </row>
    <row r="23" spans="2:15">
      <c r="B23" s="784" t="s">
        <v>266</v>
      </c>
      <c r="C23" s="784" t="s">
        <v>1487</v>
      </c>
      <c r="D23" s="2">
        <f>IF(VLOOKUP($B23,'Allocation 2021-22'!$B:$AA,10,0)="Y",VLOOKUP(iGRANTS!$B23,'Allocation 2021-22'!$B:$U,20,0),0)</f>
        <v>0</v>
      </c>
      <c r="F23" s="2"/>
      <c r="G23" s="2"/>
      <c r="H23" s="659"/>
      <c r="I23" s="302"/>
      <c r="L23" s="784"/>
      <c r="M23" s="784"/>
      <c r="N23" s="88"/>
      <c r="O23" s="88"/>
    </row>
    <row r="24" spans="2:15">
      <c r="B24" s="784" t="s">
        <v>211</v>
      </c>
      <c r="C24" s="784" t="s">
        <v>1462</v>
      </c>
      <c r="D24" s="2">
        <f>IF(VLOOKUP($B24,'Allocation 2021-22'!$B:$AA,10,0)="Y",VLOOKUP(iGRANTS!$B24,'Allocation 2021-22'!$B:$U,20,0),0)</f>
        <v>62827</v>
      </c>
      <c r="F24" s="2"/>
      <c r="G24" s="2"/>
      <c r="H24" s="659"/>
      <c r="I24" s="302"/>
      <c r="L24" s="784"/>
      <c r="M24" s="784"/>
      <c r="N24" s="88"/>
      <c r="O24" s="88"/>
    </row>
    <row r="25" spans="2:15">
      <c r="B25" s="784" t="s">
        <v>315</v>
      </c>
      <c r="C25" s="784" t="s">
        <v>1510</v>
      </c>
      <c r="D25" s="2">
        <f>IF(VLOOKUP($B25,'Allocation 2021-22'!$B:$AA,10,0)="Y",VLOOKUP(iGRANTS!$B25,'Allocation 2021-22'!$B:$U,20,0),0)</f>
        <v>47588</v>
      </c>
      <c r="F25" s="2"/>
      <c r="G25" s="2"/>
      <c r="H25" s="659"/>
      <c r="I25" s="302"/>
      <c r="L25" s="784"/>
      <c r="M25" s="784"/>
      <c r="N25" s="88"/>
      <c r="O25" s="88"/>
    </row>
    <row r="26" spans="2:15">
      <c r="B26" s="784" t="s">
        <v>84</v>
      </c>
      <c r="C26" s="784" t="s">
        <v>1406</v>
      </c>
      <c r="D26" s="2">
        <f>IF(VLOOKUP($B26,'Allocation 2021-22'!$B:$AA,10,0)="Y",VLOOKUP(iGRANTS!$B26,'Allocation 2021-22'!$B:$U,20,0),0)</f>
        <v>51960</v>
      </c>
      <c r="F26" s="2"/>
      <c r="G26" s="2"/>
      <c r="H26" s="659"/>
      <c r="I26" s="302"/>
      <c r="L26" s="784"/>
      <c r="M26" s="784"/>
      <c r="N26" s="88"/>
      <c r="O26" s="88"/>
    </row>
    <row r="27" spans="2:15">
      <c r="B27" s="784" t="s">
        <v>165</v>
      </c>
      <c r="C27" s="784" t="s">
        <v>1444</v>
      </c>
      <c r="D27" s="2">
        <f>IF(VLOOKUP($B27,'Allocation 2021-22'!$B:$AA,10,0)="Y",VLOOKUP(iGRANTS!$B27,'Allocation 2021-22'!$B:$U,20,0),0)</f>
        <v>0</v>
      </c>
      <c r="F27" s="2"/>
      <c r="G27" s="2"/>
      <c r="H27" s="659"/>
      <c r="I27" s="302"/>
      <c r="L27" s="784"/>
      <c r="M27" s="784"/>
      <c r="N27" s="88"/>
      <c r="O27" s="88"/>
    </row>
    <row r="28" spans="2:15">
      <c r="B28" s="784" t="s">
        <v>378</v>
      </c>
      <c r="C28" s="784" t="s">
        <v>629</v>
      </c>
      <c r="D28" s="2">
        <f>IF(VLOOKUP($B28,'Allocation 2021-22'!$B:$AA,10,0)="Y",VLOOKUP(iGRANTS!$B28,'Allocation 2021-22'!$B:$U,20,0),0)</f>
        <v>100165</v>
      </c>
      <c r="F28" s="2"/>
      <c r="G28" s="2"/>
      <c r="H28" s="659"/>
      <c r="I28" s="302"/>
      <c r="L28" s="784"/>
      <c r="M28" s="784"/>
      <c r="N28" s="88"/>
      <c r="O28" s="88"/>
    </row>
    <row r="29" spans="2:15">
      <c r="B29" s="784" t="s">
        <v>60</v>
      </c>
      <c r="C29" s="784" t="s">
        <v>1395</v>
      </c>
      <c r="D29" s="2">
        <f>IF(VLOOKUP($B29,'Allocation 2021-22'!$B:$AA,10,0)="Y",VLOOKUP(iGRANTS!$B29,'Allocation 2021-22'!$B:$U,20,0),0)</f>
        <v>26608</v>
      </c>
      <c r="F29" s="2"/>
      <c r="G29" s="2"/>
      <c r="H29" s="659"/>
      <c r="I29" s="302"/>
      <c r="L29" s="784"/>
      <c r="M29" s="784"/>
      <c r="N29" s="88"/>
      <c r="O29" s="88"/>
    </row>
    <row r="30" spans="2:15">
      <c r="B30" s="784" t="s">
        <v>45</v>
      </c>
      <c r="C30" s="784" t="s">
        <v>1388</v>
      </c>
      <c r="D30" s="2">
        <f>IF(VLOOKUP($B30,'Allocation 2021-22'!$B:$AA,10,0)="Y",VLOOKUP(iGRANTS!$B30,'Allocation 2021-22'!$B:$U,20,0),0)</f>
        <v>0</v>
      </c>
      <c r="F30" s="2"/>
      <c r="G30" s="2"/>
      <c r="H30" s="659"/>
      <c r="I30" s="302"/>
      <c r="L30" s="784"/>
      <c r="M30" s="784"/>
      <c r="N30" s="88"/>
      <c r="O30" s="88"/>
    </row>
    <row r="31" spans="2:15">
      <c r="B31" s="784" t="s">
        <v>347</v>
      </c>
      <c r="C31" s="784" t="s">
        <v>1525</v>
      </c>
      <c r="D31" s="2">
        <f>IF(VLOOKUP($B31,'Allocation 2021-22'!$B:$AA,10,0)="Y",VLOOKUP(iGRANTS!$B31,'Allocation 2021-22'!$B:$U,20,0),0)</f>
        <v>0</v>
      </c>
      <c r="F31" s="2"/>
      <c r="G31" s="2"/>
      <c r="H31" s="659"/>
      <c r="I31" s="302"/>
      <c r="L31" s="784"/>
      <c r="M31" s="784"/>
      <c r="N31" s="88"/>
      <c r="O31" s="88"/>
    </row>
    <row r="32" spans="2:15">
      <c r="B32" s="784" t="s">
        <v>35</v>
      </c>
      <c r="C32" s="784" t="s">
        <v>1383</v>
      </c>
      <c r="D32" s="2">
        <f>IF(VLOOKUP($B32,'Allocation 2021-22'!$B:$AA,10,0)="Y",VLOOKUP(iGRANTS!$B32,'Allocation 2021-22'!$B:$U,20,0),0)</f>
        <v>19813</v>
      </c>
      <c r="F32" s="2"/>
      <c r="G32" s="2"/>
      <c r="H32" s="659"/>
      <c r="I32" s="302"/>
      <c r="L32" s="784"/>
      <c r="M32" s="784"/>
      <c r="N32" s="88"/>
      <c r="O32" s="88"/>
    </row>
    <row r="33" spans="2:15">
      <c r="B33" s="784" t="s">
        <v>1751</v>
      </c>
      <c r="C33" s="784" t="s">
        <v>1780</v>
      </c>
      <c r="D33" s="2">
        <f>IF(VLOOKUP($B33,'Allocation 2021-22'!$B:$AA,10,0)="Y",VLOOKUP(iGRANTS!$B33,'Allocation 2021-22'!$B:$U,20,0),0)</f>
        <v>0</v>
      </c>
      <c r="F33" s="2"/>
      <c r="G33" s="2"/>
      <c r="H33" s="824"/>
      <c r="I33" s="302"/>
      <c r="L33" s="784"/>
      <c r="M33" s="784"/>
      <c r="N33" s="88"/>
      <c r="O33" s="88"/>
    </row>
    <row r="34" spans="2:15" ht="15">
      <c r="B34" s="784" t="s">
        <v>33</v>
      </c>
      <c r="C34" s="784" t="s">
        <v>878</v>
      </c>
      <c r="D34" s="2">
        <f>IF(VLOOKUP($B34,'Allocation 2021-22'!$B:$AA,10,0)="Y",VLOOKUP(iGRANTS!$B34,'Allocation 2021-22'!$B:$U,20,0),0)</f>
        <v>28646</v>
      </c>
      <c r="F34" s="2"/>
      <c r="G34" s="2"/>
      <c r="H34" s="822"/>
      <c r="I34" s="302"/>
      <c r="L34" s="784"/>
      <c r="M34" s="784"/>
      <c r="N34" s="88"/>
      <c r="O34" s="88"/>
    </row>
    <row r="35" spans="2:15" ht="15">
      <c r="B35" s="784" t="s">
        <v>74</v>
      </c>
      <c r="C35" s="784" t="s">
        <v>1401</v>
      </c>
      <c r="D35" s="2">
        <f>IF(VLOOKUP($B35,'Allocation 2021-22'!$B:$AA,10,0)="Y",VLOOKUP(iGRANTS!$B35,'Allocation 2021-22'!$B:$U,20,0),0)</f>
        <v>0</v>
      </c>
      <c r="F35" s="2"/>
      <c r="G35" s="2"/>
      <c r="H35" s="823"/>
      <c r="I35" s="302"/>
      <c r="L35" s="784"/>
      <c r="M35" s="784"/>
      <c r="N35" s="88"/>
      <c r="O35" s="88"/>
    </row>
    <row r="36" spans="2:15" ht="15">
      <c r="B36" s="784" t="s">
        <v>1753</v>
      </c>
      <c r="C36" s="784" t="s">
        <v>1781</v>
      </c>
      <c r="D36" s="2">
        <f>IF(VLOOKUP($B36,'Allocation 2021-22'!$B:$AA,10,0)="Y",VLOOKUP(iGRANTS!$B36,'Allocation 2021-22'!$B:$U,20,0),0)</f>
        <v>0</v>
      </c>
      <c r="F36" s="2"/>
      <c r="G36" s="2"/>
      <c r="H36" s="823"/>
      <c r="I36" s="302"/>
      <c r="L36" s="784"/>
      <c r="M36" s="784"/>
      <c r="N36" s="88"/>
      <c r="O36" s="88"/>
    </row>
    <row r="37" spans="2:15" ht="15">
      <c r="B37" s="784" t="s">
        <v>236</v>
      </c>
      <c r="C37" s="784" t="s">
        <v>1474</v>
      </c>
      <c r="D37" s="2">
        <f>IF(VLOOKUP($B37,'Allocation 2021-22'!$B:$AA,10,0)="Y",VLOOKUP(iGRANTS!$B37,'Allocation 2021-22'!$B:$U,20,0),0)</f>
        <v>0</v>
      </c>
      <c r="F37" s="2"/>
      <c r="G37" s="2"/>
      <c r="H37" s="823"/>
      <c r="I37" s="302"/>
    </row>
    <row r="38" spans="2:15" ht="15">
      <c r="B38" s="784" t="s">
        <v>216</v>
      </c>
      <c r="C38" s="784" t="s">
        <v>1464</v>
      </c>
      <c r="D38" s="2">
        <f>IF(VLOOKUP($B38,'Allocation 2021-22'!$B:$AA,10,0)="Y",VLOOKUP(iGRANTS!$B38,'Allocation 2021-22'!$B:$U,20,0),0)</f>
        <v>52189</v>
      </c>
      <c r="F38" s="2"/>
      <c r="G38" s="2"/>
      <c r="H38" s="823"/>
      <c r="I38" s="302"/>
    </row>
    <row r="39" spans="2:15">
      <c r="B39" s="784" t="s">
        <v>434</v>
      </c>
      <c r="C39" s="784" t="s">
        <v>1568</v>
      </c>
      <c r="D39" s="2">
        <f>IF(VLOOKUP($B39,'Allocation 2021-22'!$B:$AA,10,0)="Y",VLOOKUP(iGRANTS!$B39,'Allocation 2021-22'!$B:$U,20,0),0)</f>
        <v>70103</v>
      </c>
      <c r="F39" s="2"/>
      <c r="G39" s="2"/>
      <c r="H39" s="659"/>
      <c r="I39" s="302"/>
    </row>
    <row r="40" spans="2:15">
      <c r="B40" s="784" t="s">
        <v>278</v>
      </c>
      <c r="C40" s="784" t="s">
        <v>622</v>
      </c>
      <c r="D40" s="2">
        <f>IF(VLOOKUP($B40,'Allocation 2021-22'!$B:$AA,10,0)="Y",VLOOKUP(iGRANTS!$B40,'Allocation 2021-22'!$B:$U,20,0),0)</f>
        <v>60265</v>
      </c>
      <c r="F40" s="2"/>
      <c r="G40" s="2"/>
      <c r="H40" s="659"/>
      <c r="I40" s="302"/>
    </row>
    <row r="41" spans="2:15">
      <c r="B41" s="784" t="s">
        <v>274</v>
      </c>
      <c r="C41" s="784" t="s">
        <v>1491</v>
      </c>
      <c r="D41" s="2">
        <f>IF(VLOOKUP($B41,'Allocation 2021-22'!$B:$AA,10,0)="Y",VLOOKUP(iGRANTS!$B41,'Allocation 2021-22'!$B:$U,20,0),0)</f>
        <v>16016</v>
      </c>
      <c r="F41" s="2"/>
      <c r="G41" s="2"/>
      <c r="H41" s="659"/>
      <c r="I41" s="302"/>
    </row>
    <row r="42" spans="2:15">
      <c r="B42" s="784" t="s">
        <v>438</v>
      </c>
      <c r="C42" s="784" t="s">
        <v>1570</v>
      </c>
      <c r="D42" s="2">
        <f>IF(VLOOKUP($B42,'Allocation 2021-22'!$B:$AA,10,0)="Y",VLOOKUP(iGRANTS!$B42,'Allocation 2021-22'!$B:$U,20,0),0)</f>
        <v>27844</v>
      </c>
      <c r="F42" s="2"/>
      <c r="G42" s="2"/>
      <c r="H42" s="659"/>
      <c r="I42" s="302"/>
    </row>
    <row r="43" spans="2:15">
      <c r="B43" s="784" t="s">
        <v>450</v>
      </c>
      <c r="C43" s="784" t="s">
        <v>1577</v>
      </c>
      <c r="D43" s="2">
        <f>IF(VLOOKUP($B43,'Allocation 2021-22'!$B:$AA,10,0)="Y",VLOOKUP(iGRANTS!$B43,'Allocation 2021-22'!$B:$U,20,0),0)</f>
        <v>0</v>
      </c>
      <c r="F43" s="2"/>
      <c r="G43" s="2"/>
      <c r="H43" s="659"/>
      <c r="I43" s="302"/>
    </row>
    <row r="44" spans="2:15">
      <c r="B44" s="784" t="s">
        <v>169</v>
      </c>
      <c r="C44" s="784" t="s">
        <v>1446</v>
      </c>
      <c r="D44" s="2">
        <f>IF(VLOOKUP($B44,'Allocation 2021-22'!$B:$AA,10,0)="Y",VLOOKUP(iGRANTS!$B44,'Allocation 2021-22'!$B:$U,20,0),0)</f>
        <v>0</v>
      </c>
      <c r="F44" s="2"/>
      <c r="G44" s="2"/>
      <c r="H44" s="659"/>
      <c r="I44" s="302"/>
    </row>
    <row r="45" spans="2:15">
      <c r="B45" s="784" t="s">
        <v>10</v>
      </c>
      <c r="C45" s="784" t="s">
        <v>1373</v>
      </c>
      <c r="D45" s="2">
        <f>IF(VLOOKUP($B45,'Allocation 2021-22'!$B:$AA,10,0)="Y",VLOOKUP(iGRANTS!$B45,'Allocation 2021-22'!$B:$U,20,0),0)</f>
        <v>0</v>
      </c>
      <c r="F45" s="2"/>
      <c r="G45" s="2"/>
      <c r="H45" s="659"/>
      <c r="I45" s="302"/>
    </row>
    <row r="46" spans="2:15">
      <c r="B46" s="784" t="s">
        <v>230</v>
      </c>
      <c r="C46" s="784" t="s">
        <v>1471</v>
      </c>
      <c r="D46" s="2">
        <f>IF(VLOOKUP($B46,'Allocation 2021-22'!$B:$AA,10,0)="Y",VLOOKUP(iGRANTS!$B46,'Allocation 2021-22'!$B:$U,20,0),0)</f>
        <v>0</v>
      </c>
      <c r="F46" s="2"/>
      <c r="G46" s="2"/>
      <c r="H46" s="659"/>
      <c r="I46" s="302"/>
    </row>
    <row r="47" spans="2:15">
      <c r="B47" s="784" t="s">
        <v>357</v>
      </c>
      <c r="C47" s="784" t="s">
        <v>1530</v>
      </c>
      <c r="D47" s="2">
        <f>IF(VLOOKUP($B47,'Allocation 2021-22'!$B:$AA,10,0)="Y",VLOOKUP(iGRANTS!$B47,'Allocation 2021-22'!$B:$U,20,0),0)</f>
        <v>225889</v>
      </c>
      <c r="F47" s="2"/>
      <c r="G47" s="2"/>
      <c r="H47" s="659"/>
      <c r="I47" s="302"/>
    </row>
    <row r="48" spans="2:15">
      <c r="B48" s="784" t="s">
        <v>525</v>
      </c>
      <c r="C48" s="784" t="s">
        <v>1611</v>
      </c>
      <c r="D48" s="2">
        <f>IF(VLOOKUP($B48,'Allocation 2021-22'!$B:$AA,10,0)="Y",VLOOKUP(iGRANTS!$B48,'Allocation 2021-22'!$B:$U,20,0),0)</f>
        <v>0</v>
      </c>
      <c r="F48" s="2"/>
      <c r="G48" s="2"/>
      <c r="H48" s="659"/>
      <c r="I48" s="302"/>
    </row>
    <row r="49" spans="2:9">
      <c r="B49" s="786" t="s">
        <v>494</v>
      </c>
      <c r="C49" s="784" t="s">
        <v>1597</v>
      </c>
      <c r="D49" s="2">
        <f>IF(VLOOKUP($B49,'Allocation 2021-22'!$B:$AA,10,0)="Y",VLOOKUP(iGRANTS!$B49,'Allocation 2021-22'!$B:$U,20,0),0)</f>
        <v>42441</v>
      </c>
      <c r="F49" s="2"/>
      <c r="G49" s="2"/>
      <c r="H49" s="659"/>
      <c r="I49" s="302"/>
    </row>
    <row r="50" spans="2:9">
      <c r="B50" s="784" t="s">
        <v>533</v>
      </c>
      <c r="C50" s="784" t="s">
        <v>1615</v>
      </c>
      <c r="D50" s="2">
        <f>IF(VLOOKUP($B50,'Allocation 2021-22'!$B:$AA,10,0)="Y",VLOOKUP(iGRANTS!$B50,'Allocation 2021-22'!$B:$U,20,0),0)</f>
        <v>0</v>
      </c>
      <c r="F50" s="2"/>
      <c r="G50" s="2"/>
      <c r="H50" s="659"/>
      <c r="I50" s="302"/>
    </row>
    <row r="51" spans="2:9">
      <c r="B51" s="784" t="s">
        <v>464</v>
      </c>
      <c r="C51" s="784" t="s">
        <v>1584</v>
      </c>
      <c r="D51" s="2">
        <f>IF(VLOOKUP($B51,'Allocation 2021-22'!$B:$AA,10,0)="Y",VLOOKUP(iGRANTS!$B51,'Allocation 2021-22'!$B:$U,20,0),0)</f>
        <v>0</v>
      </c>
      <c r="F51" s="2"/>
      <c r="G51" s="2"/>
    </row>
    <row r="52" spans="2:9">
      <c r="B52" s="784" t="s">
        <v>498</v>
      </c>
      <c r="C52" s="784" t="s">
        <v>1599</v>
      </c>
      <c r="D52" s="2">
        <f>IF(VLOOKUP($B52,'Allocation 2021-22'!$B:$AA,10,0)="Y",VLOOKUP(iGRANTS!$B52,'Allocation 2021-22'!$B:$U,20,0),0)</f>
        <v>15673</v>
      </c>
      <c r="F52" s="2"/>
      <c r="G52" s="2"/>
      <c r="H52" s="659"/>
      <c r="I52" s="302"/>
    </row>
    <row r="53" spans="2:9">
      <c r="B53" s="784" t="s">
        <v>456</v>
      </c>
      <c r="C53" s="784" t="s">
        <v>1580</v>
      </c>
      <c r="D53" s="2">
        <f>IF(VLOOKUP($B53,'Allocation 2021-22'!$B:$AA,10,0)="Y",VLOOKUP(iGRANTS!$B53,'Allocation 2021-22'!$B:$U,20,0),0)</f>
        <v>0</v>
      </c>
      <c r="F53" s="2"/>
      <c r="G53" s="2"/>
      <c r="H53" s="659"/>
      <c r="I53" s="302"/>
    </row>
    <row r="54" spans="2:9">
      <c r="B54" s="784" t="s">
        <v>376</v>
      </c>
      <c r="C54" s="784" t="s">
        <v>1540</v>
      </c>
      <c r="D54" s="2">
        <f>IF(VLOOKUP($B54,'Allocation 2021-22'!$B:$AA,10,0)="Y",VLOOKUP(iGRANTS!$B54,'Allocation 2021-22'!$B:$U,20,0),0)</f>
        <v>0</v>
      </c>
      <c r="F54" s="2"/>
      <c r="G54" s="2"/>
      <c r="H54" s="659"/>
      <c r="I54" s="302"/>
    </row>
    <row r="55" spans="2:9">
      <c r="B55" s="784" t="s">
        <v>384</v>
      </c>
      <c r="C55" s="784" t="s">
        <v>1543</v>
      </c>
      <c r="D55" s="2">
        <f>IF(VLOOKUP($B55,'Allocation 2021-22'!$B:$AA,10,0)="Y",VLOOKUP(iGRANTS!$B55,'Allocation 2021-22'!$B:$U,20,0),0)</f>
        <v>0</v>
      </c>
      <c r="F55" s="2"/>
      <c r="G55" s="2"/>
      <c r="H55" s="659"/>
      <c r="I55" s="302"/>
    </row>
    <row r="56" spans="2:9">
      <c r="B56" s="784" t="s">
        <v>147</v>
      </c>
      <c r="C56" s="784" t="s">
        <v>1435</v>
      </c>
      <c r="D56" s="2">
        <f>IF(VLOOKUP($B56,'Allocation 2021-22'!$B:$AA,10,0)="Y",VLOOKUP(iGRANTS!$B56,'Allocation 2021-22'!$B:$U,20,0),0)</f>
        <v>0</v>
      </c>
      <c r="F56" s="2"/>
      <c r="G56" s="2"/>
      <c r="H56" s="659"/>
      <c r="I56" s="302"/>
    </row>
    <row r="57" spans="2:9">
      <c r="B57" s="784" t="s">
        <v>120</v>
      </c>
      <c r="C57" s="784" t="s">
        <v>1423</v>
      </c>
      <c r="D57" s="2">
        <f>IF(VLOOKUP($B57,'Allocation 2021-22'!$B:$AA,10,0)="Y",VLOOKUP(iGRANTS!$B57,'Allocation 2021-22'!$B:$U,20,0),0)</f>
        <v>0</v>
      </c>
      <c r="F57" s="2"/>
      <c r="G57" s="2"/>
      <c r="H57" s="659"/>
      <c r="I57" s="302"/>
    </row>
    <row r="58" spans="2:9">
      <c r="B58" s="784" t="s">
        <v>159</v>
      </c>
      <c r="C58" s="784" t="s">
        <v>1441</v>
      </c>
      <c r="D58" s="2">
        <f>IF(VLOOKUP($B58,'Allocation 2021-22'!$B:$AA,10,0)="Y",VLOOKUP(iGRANTS!$B58,'Allocation 2021-22'!$B:$U,20,0),0)</f>
        <v>0</v>
      </c>
      <c r="F58" s="2"/>
      <c r="G58" s="2"/>
      <c r="H58" s="659"/>
      <c r="I58" s="302"/>
    </row>
    <row r="59" spans="2:9">
      <c r="B59" s="784" t="s">
        <v>41</v>
      </c>
      <c r="C59" s="784" t="s">
        <v>1386</v>
      </c>
      <c r="D59" s="2">
        <f>IF(VLOOKUP($B59,'Allocation 2021-22'!$B:$AA,10,0)="Y",VLOOKUP(iGRANTS!$B59,'Allocation 2021-22'!$B:$U,20,0),0)</f>
        <v>0</v>
      </c>
      <c r="F59" s="2"/>
      <c r="G59" s="2"/>
      <c r="H59" s="659"/>
      <c r="I59" s="302"/>
    </row>
    <row r="60" spans="2:9">
      <c r="B60" s="784" t="s">
        <v>285</v>
      </c>
      <c r="C60" s="784" t="s">
        <v>1496</v>
      </c>
      <c r="D60" s="2">
        <f>IF(VLOOKUP($B60,'Allocation 2021-22'!$B:$AA,10,0)="Y",VLOOKUP(iGRANTS!$B60,'Allocation 2021-22'!$B:$U,20,0),0)</f>
        <v>0</v>
      </c>
      <c r="F60" s="2"/>
      <c r="G60" s="2"/>
      <c r="H60" s="659"/>
      <c r="I60" s="302"/>
    </row>
    <row r="61" spans="2:9">
      <c r="B61" s="784" t="s">
        <v>96</v>
      </c>
      <c r="C61" s="784" t="s">
        <v>1412</v>
      </c>
      <c r="D61" s="2">
        <f>IF(VLOOKUP($B61,'Allocation 2021-22'!$B:$AA,10,0)="Y",VLOOKUP(iGRANTS!$B61,'Allocation 2021-22'!$B:$U,20,0),0)</f>
        <v>0</v>
      </c>
      <c r="F61" s="2"/>
      <c r="G61" s="2"/>
      <c r="H61" s="659"/>
      <c r="I61" s="302"/>
    </row>
    <row r="62" spans="2:9">
      <c r="B62" s="784" t="s">
        <v>338</v>
      </c>
      <c r="C62" s="784" t="s">
        <v>1520</v>
      </c>
      <c r="D62" s="2">
        <f>IF(VLOOKUP($B62,'Allocation 2021-22'!$B:$AA,10,0)="Y",VLOOKUP(iGRANTS!$B62,'Allocation 2021-22'!$B:$U,20,0),0)</f>
        <v>0</v>
      </c>
      <c r="F62" s="2"/>
      <c r="G62" s="2"/>
      <c r="H62" s="659"/>
      <c r="I62" s="302"/>
    </row>
    <row r="63" spans="2:9">
      <c r="B63" s="784" t="s">
        <v>220</v>
      </c>
      <c r="C63" s="784" t="s">
        <v>1466</v>
      </c>
      <c r="D63" s="2">
        <f>IF(VLOOKUP($B63,'Allocation 2021-22'!$B:$AA,10,0)="Y",VLOOKUP(iGRANTS!$B63,'Allocation 2021-22'!$B:$U,20,0),0)</f>
        <v>0</v>
      </c>
      <c r="F63" s="2"/>
      <c r="G63" s="2"/>
      <c r="H63" s="659"/>
      <c r="I63" s="302"/>
    </row>
    <row r="64" spans="2:9">
      <c r="B64" s="784" t="s">
        <v>417</v>
      </c>
      <c r="C64" s="784" t="s">
        <v>1559</v>
      </c>
      <c r="D64" s="2">
        <f>IF(VLOOKUP($B64,'Allocation 2021-22'!$B:$AA,10,0)="Y",VLOOKUP(iGRANTS!$B64,'Allocation 2021-22'!$B:$U,20,0),0)</f>
        <v>0</v>
      </c>
      <c r="F64" s="2"/>
      <c r="G64" s="2"/>
      <c r="H64" s="659"/>
      <c r="I64" s="302"/>
    </row>
    <row r="65" spans="2:9">
      <c r="B65" s="784" t="s">
        <v>293</v>
      </c>
      <c r="C65" s="784" t="s">
        <v>1500</v>
      </c>
      <c r="D65" s="2">
        <f>IF(VLOOKUP($B65,'Allocation 2021-22'!$B:$AA,10,0)="Y",VLOOKUP(iGRANTS!$B65,'Allocation 2021-22'!$B:$U,20,0),0)</f>
        <v>0</v>
      </c>
      <c r="F65" s="2"/>
      <c r="G65" s="2"/>
      <c r="H65" s="659"/>
      <c r="I65" s="302"/>
    </row>
    <row r="66" spans="2:9">
      <c r="B66" s="784" t="s">
        <v>66</v>
      </c>
      <c r="C66" s="784" t="s">
        <v>758</v>
      </c>
      <c r="D66" s="2">
        <f>IF(VLOOKUP($B66,'Allocation 2021-22'!$B:$AA,10,0)="Y",VLOOKUP(iGRANTS!$B66,'Allocation 2021-22'!$B:$U,20,0),0)</f>
        <v>0</v>
      </c>
      <c r="F66" s="2"/>
      <c r="G66" s="2"/>
      <c r="H66" s="659"/>
      <c r="I66" s="302"/>
    </row>
    <row r="67" spans="2:9">
      <c r="B67" s="784" t="s">
        <v>444</v>
      </c>
      <c r="C67" s="784" t="s">
        <v>1574</v>
      </c>
      <c r="D67" s="2">
        <f>IF(VLOOKUP($B67,'Allocation 2021-22'!$B:$AA,10,0)="Y",VLOOKUP(iGRANTS!$B67,'Allocation 2021-22'!$B:$U,20,0),0)</f>
        <v>0</v>
      </c>
      <c r="F67" s="2"/>
      <c r="G67" s="2"/>
      <c r="H67" s="659"/>
      <c r="I67" s="302"/>
    </row>
    <row r="68" spans="2:9">
      <c r="B68" s="784" t="s">
        <v>353</v>
      </c>
      <c r="C68" s="784" t="s">
        <v>1528</v>
      </c>
      <c r="D68" s="2">
        <f>IF(VLOOKUP($B68,'Allocation 2021-22'!$B:$AA,10,0)="Y",VLOOKUP(iGRANTS!$B68,'Allocation 2021-22'!$B:$U,20,0),0)</f>
        <v>0</v>
      </c>
      <c r="F68" s="2"/>
      <c r="G68" s="2"/>
      <c r="H68" s="659"/>
      <c r="I68" s="302"/>
    </row>
    <row r="69" spans="2:9">
      <c r="B69" s="784" t="s">
        <v>490</v>
      </c>
      <c r="C69" s="784" t="s">
        <v>1596</v>
      </c>
      <c r="D69" s="2">
        <f>IF(VLOOKUP($B69,'Allocation 2021-22'!$B:$AA,10,0)="Y",VLOOKUP(iGRANTS!$B69,'Allocation 2021-22'!$B:$U,20,0),0)</f>
        <v>0</v>
      </c>
      <c r="F69" s="2"/>
      <c r="G69" s="2"/>
      <c r="H69" s="659"/>
      <c r="I69" s="302"/>
    </row>
    <row r="70" spans="2:9">
      <c r="B70" s="784" t="s">
        <v>440</v>
      </c>
      <c r="C70" s="784" t="s">
        <v>1571</v>
      </c>
      <c r="D70" s="2">
        <f>IF(VLOOKUP($B70,'Allocation 2021-22'!$B:$AA,10,0)="Y",VLOOKUP(iGRANTS!$B70,'Allocation 2021-22'!$B:$U,20,0),0)</f>
        <v>14369</v>
      </c>
      <c r="F70" s="2"/>
      <c r="G70" s="2"/>
      <c r="H70" s="659"/>
      <c r="I70" s="302"/>
    </row>
    <row r="71" spans="2:9">
      <c r="B71" s="784" t="s">
        <v>549</v>
      </c>
      <c r="C71" s="784" t="s">
        <v>1623</v>
      </c>
      <c r="D71" s="2">
        <f>IF(VLOOKUP($B71,'Allocation 2021-22'!$B:$AA,10,0)="Y",VLOOKUP(iGRANTS!$B71,'Allocation 2021-22'!$B:$U,20,0),0)</f>
        <v>47429</v>
      </c>
      <c r="F71" s="2"/>
      <c r="G71" s="2"/>
      <c r="H71" s="659"/>
      <c r="I71" s="302"/>
    </row>
    <row r="72" spans="2:9">
      <c r="B72" s="784" t="s">
        <v>88</v>
      </c>
      <c r="C72" s="784" t="s">
        <v>1408</v>
      </c>
      <c r="D72" s="2">
        <f>IF(VLOOKUP($B72,'Allocation 2021-22'!$B:$AA,10,0)="Y",VLOOKUP(iGRANTS!$B72,'Allocation 2021-22'!$B:$U,20,0),0)</f>
        <v>141213</v>
      </c>
      <c r="F72" s="2"/>
      <c r="G72" s="2"/>
      <c r="H72" s="659"/>
      <c r="I72" s="302"/>
    </row>
    <row r="73" spans="2:9">
      <c r="B73" s="784" t="s">
        <v>222</v>
      </c>
      <c r="C73" s="784" t="s">
        <v>1467</v>
      </c>
      <c r="D73" s="2">
        <f>IF(VLOOKUP($B73,'Allocation 2021-22'!$B:$AA,10,0)="Y",VLOOKUP(iGRANTS!$B73,'Allocation 2021-22'!$B:$U,20,0),0)</f>
        <v>0</v>
      </c>
      <c r="F73" s="2"/>
      <c r="G73" s="2"/>
      <c r="H73" s="659"/>
      <c r="I73" s="302"/>
    </row>
    <row r="74" spans="2:9">
      <c r="B74" s="784" t="s">
        <v>365</v>
      </c>
      <c r="C74" s="784" t="s">
        <v>1532</v>
      </c>
      <c r="D74" s="2">
        <f>IF(VLOOKUP($B74,'Allocation 2021-22'!$B:$AA,10,0)="Y",VLOOKUP(iGRANTS!$B74,'Allocation 2021-22'!$B:$U,20,0),0)</f>
        <v>0</v>
      </c>
      <c r="F74" s="2"/>
      <c r="G74" s="2"/>
      <c r="H74" s="659"/>
      <c r="I74" s="302"/>
    </row>
    <row r="75" spans="2:9">
      <c r="B75" s="784" t="s">
        <v>401</v>
      </c>
      <c r="C75" s="784" t="s">
        <v>1551</v>
      </c>
      <c r="D75" s="2">
        <f>IF(VLOOKUP($B75,'Allocation 2021-22'!$B:$AA,10,0)="Y",VLOOKUP(iGRANTS!$B75,'Allocation 2021-22'!$B:$U,20,0),0)</f>
        <v>427780</v>
      </c>
      <c r="F75" s="2"/>
      <c r="G75" s="2"/>
      <c r="H75" s="659"/>
      <c r="I75" s="302"/>
    </row>
    <row r="76" spans="2:9">
      <c r="B76" s="784" t="s">
        <v>226</v>
      </c>
      <c r="C76" s="784" t="s">
        <v>1469</v>
      </c>
      <c r="D76" s="2">
        <f>IF(VLOOKUP($B76,'Allocation 2021-22'!$B:$AA,10,0)="Y",VLOOKUP(iGRANTS!$B76,'Allocation 2021-22'!$B:$U,20,0),0)</f>
        <v>32512</v>
      </c>
      <c r="F76" s="2"/>
      <c r="G76" s="2"/>
      <c r="H76" s="659"/>
      <c r="I76" s="302"/>
    </row>
    <row r="77" spans="2:9">
      <c r="B77" s="784" t="s">
        <v>141</v>
      </c>
      <c r="C77" s="784" t="s">
        <v>1433</v>
      </c>
      <c r="D77" s="2">
        <f>IF(VLOOKUP($B77,'Allocation 2021-22'!$B:$AA,10,0)="Y",VLOOKUP(iGRANTS!$B77,'Allocation 2021-22'!$B:$U,20,0),0)</f>
        <v>16176</v>
      </c>
      <c r="F77" s="2"/>
      <c r="G77" s="2"/>
      <c r="H77" s="659"/>
      <c r="I77" s="302"/>
    </row>
    <row r="78" spans="2:9">
      <c r="B78" s="784" t="s">
        <v>535</v>
      </c>
      <c r="C78" s="784" t="s">
        <v>1616</v>
      </c>
      <c r="D78" s="2">
        <f>IF(VLOOKUP($B78,'Allocation 2021-22'!$B:$AA,10,0)="Y",VLOOKUP(iGRANTS!$B78,'Allocation 2021-22'!$B:$U,20,0),0)</f>
        <v>0</v>
      </c>
      <c r="F78" s="2"/>
      <c r="G78" s="2"/>
      <c r="H78" s="659"/>
      <c r="I78" s="302"/>
    </row>
    <row r="79" spans="2:9">
      <c r="B79" s="784" t="s">
        <v>29</v>
      </c>
      <c r="C79" s="784" t="s">
        <v>1382</v>
      </c>
      <c r="D79" s="2">
        <f>IF(VLOOKUP($B79,'Allocation 2021-22'!$B:$AA,10,0)="Y",VLOOKUP(iGRANTS!$B79,'Allocation 2021-22'!$B:$U,20,0),0)</f>
        <v>0</v>
      </c>
      <c r="F79" s="2"/>
      <c r="G79" s="2"/>
      <c r="H79" s="659"/>
      <c r="I79" s="302"/>
    </row>
    <row r="80" spans="2:9">
      <c r="B80" s="784" t="s">
        <v>177</v>
      </c>
      <c r="C80" s="784" t="s">
        <v>1450</v>
      </c>
      <c r="D80" s="2">
        <f>IF(VLOOKUP($B80,'Allocation 2021-22'!$B:$AA,10,0)="Y",VLOOKUP(iGRANTS!$B80,'Allocation 2021-22'!$B:$U,20,0),0)</f>
        <v>34456</v>
      </c>
      <c r="F80" s="2"/>
      <c r="G80" s="2"/>
      <c r="H80" s="659"/>
      <c r="I80" s="302"/>
    </row>
    <row r="81" spans="2:9">
      <c r="B81" s="784" t="s">
        <v>127</v>
      </c>
      <c r="C81" s="784" t="s">
        <v>623</v>
      </c>
      <c r="D81" s="2">
        <f>IF(VLOOKUP($B81,'Allocation 2021-22'!$B:$AA,10,0)="Y",VLOOKUP(iGRANTS!$B81,'Allocation 2021-22'!$B:$U,20,0),0)</f>
        <v>47682</v>
      </c>
      <c r="F81" s="2"/>
      <c r="G81" s="2"/>
      <c r="H81" s="659"/>
      <c r="I81" s="302"/>
    </row>
    <row r="82" spans="2:9">
      <c r="B82" s="784" t="s">
        <v>1728</v>
      </c>
      <c r="C82" s="784" t="s">
        <v>681</v>
      </c>
      <c r="D82" s="2">
        <f>IF(VLOOKUP($B82,'Allocation 2021-22'!$B:$AA,10,0)="Y",VLOOKUP(iGRANTS!$B82,'Allocation 2021-22'!$B:$U,20,0),0)</f>
        <v>0</v>
      </c>
      <c r="F82" s="2"/>
      <c r="G82" s="2"/>
      <c r="H82" s="659"/>
      <c r="I82" s="302"/>
    </row>
    <row r="83" spans="2:9">
      <c r="B83" s="784" t="s">
        <v>651</v>
      </c>
      <c r="C83" s="784" t="s">
        <v>652</v>
      </c>
      <c r="D83" s="2">
        <f>IF(VLOOKUP($B83,'Allocation 2021-22'!$B:$AA,10,0)="Y",VLOOKUP(iGRANTS!$B83,'Allocation 2021-22'!$B:$U,20,0),0)</f>
        <v>0</v>
      </c>
      <c r="F83" s="2"/>
      <c r="G83" s="2"/>
      <c r="H83" s="659"/>
      <c r="I83" s="302"/>
    </row>
    <row r="84" spans="2:9">
      <c r="B84" s="784" t="s">
        <v>678</v>
      </c>
      <c r="C84" s="784" t="s">
        <v>679</v>
      </c>
      <c r="D84" s="2">
        <f>IF(VLOOKUP($B84,'Allocation 2021-22'!$B:$AA,10,0)="Y",VLOOKUP(iGRANTS!$B84,'Allocation 2021-22'!$B:$U,20,0),0)</f>
        <v>0</v>
      </c>
      <c r="F84" s="2"/>
      <c r="G84" s="2"/>
      <c r="H84" s="659"/>
      <c r="I84" s="302"/>
    </row>
    <row r="85" spans="2:9">
      <c r="B85" s="784" t="s">
        <v>256</v>
      </c>
      <c r="C85" s="784" t="s">
        <v>1483</v>
      </c>
      <c r="D85" s="2">
        <f>IF(VLOOKUP($B85,'Allocation 2021-22'!$B:$AA,10,0)="Y",VLOOKUP(iGRANTS!$B85,'Allocation 2021-22'!$B:$U,20,0),0)</f>
        <v>0</v>
      </c>
      <c r="F85" s="2"/>
      <c r="G85" s="2"/>
      <c r="H85" s="659"/>
      <c r="I85" s="302"/>
    </row>
    <row r="86" spans="2:9">
      <c r="B86" s="784" t="s">
        <v>395</v>
      </c>
      <c r="C86" s="784" t="s">
        <v>635</v>
      </c>
      <c r="D86" s="2">
        <f>IF(VLOOKUP($B86,'Allocation 2021-22'!$B:$AA,10,0)="Y",VLOOKUP(iGRANTS!$B86,'Allocation 2021-22'!$B:$U,20,0),0)</f>
        <v>438098</v>
      </c>
      <c r="F86" s="2"/>
      <c r="G86" s="2"/>
      <c r="H86" s="659"/>
      <c r="I86" s="302"/>
    </row>
    <row r="87" spans="2:9">
      <c r="B87" s="784" t="s">
        <v>58</v>
      </c>
      <c r="C87" s="784" t="s">
        <v>1394</v>
      </c>
      <c r="D87" s="2">
        <f>IF(VLOOKUP($B87,'Allocation 2021-22'!$B:$AA,10,0)="Y",VLOOKUP(iGRANTS!$B87,'Allocation 2021-22'!$B:$U,20,0),0)</f>
        <v>465827</v>
      </c>
      <c r="F87" s="2"/>
      <c r="G87" s="2"/>
    </row>
    <row r="88" spans="2:9">
      <c r="B88" s="784" t="s">
        <v>462</v>
      </c>
      <c r="C88" s="784" t="s">
        <v>1583</v>
      </c>
      <c r="D88" s="2">
        <f>IF(VLOOKUP($B88,'Allocation 2021-22'!$B:$AA,10,0)="Y",VLOOKUP(iGRANTS!$B88,'Allocation 2021-22'!$B:$U,20,0),0)</f>
        <v>0</v>
      </c>
      <c r="F88" s="2"/>
      <c r="G88" s="2"/>
      <c r="H88" s="659"/>
      <c r="I88" s="302"/>
    </row>
    <row r="89" spans="2:9">
      <c r="B89" s="784" t="s">
        <v>175</v>
      </c>
      <c r="C89" s="784" t="s">
        <v>1449</v>
      </c>
      <c r="D89" s="2">
        <f>IF(VLOOKUP($B89,'Allocation 2021-22'!$B:$AA,10,0)="Y",VLOOKUP(iGRANTS!$B89,'Allocation 2021-22'!$B:$U,20,0),0)</f>
        <v>674030</v>
      </c>
      <c r="F89" s="2"/>
      <c r="G89" s="2"/>
      <c r="H89" s="659"/>
      <c r="I89" s="302"/>
    </row>
    <row r="90" spans="2:9">
      <c r="B90" s="784" t="s">
        <v>506</v>
      </c>
      <c r="C90" s="784" t="s">
        <v>1602</v>
      </c>
      <c r="D90" s="2">
        <f>IF(VLOOKUP($B90,'Allocation 2021-22'!$B:$AA,10,0)="Y",VLOOKUP(iGRANTS!$B90,'Allocation 2021-22'!$B:$U,20,0),0)</f>
        <v>0</v>
      </c>
      <c r="F90" s="2"/>
      <c r="G90" s="2"/>
      <c r="H90" s="659"/>
      <c r="I90" s="302"/>
    </row>
    <row r="91" spans="2:9">
      <c r="B91" s="784" t="s">
        <v>369</v>
      </c>
      <c r="C91" s="784" t="s">
        <v>1534</v>
      </c>
      <c r="D91" s="2">
        <f>IF(VLOOKUP($B91,'Allocation 2021-22'!$B:$AA,10,0)="Y",VLOOKUP(iGRANTS!$B91,'Allocation 2021-22'!$B:$U,20,0),0)</f>
        <v>72207</v>
      </c>
      <c r="F91" s="2"/>
      <c r="G91" s="2"/>
      <c r="H91" s="659"/>
      <c r="I91" s="302"/>
    </row>
    <row r="92" spans="2:9">
      <c r="B92" s="784" t="s">
        <v>19</v>
      </c>
      <c r="C92" s="784" t="s">
        <v>1377</v>
      </c>
      <c r="D92" s="2">
        <f>IF(VLOOKUP($B92,'Allocation 2021-22'!$B:$AA,10,0)="Y",VLOOKUP(iGRANTS!$B92,'Allocation 2021-22'!$B:$U,20,0),0)</f>
        <v>25283</v>
      </c>
      <c r="F92" s="2"/>
      <c r="G92" s="2"/>
      <c r="H92" s="659"/>
      <c r="I92" s="302"/>
    </row>
    <row r="93" spans="2:9">
      <c r="B93" s="784" t="s">
        <v>361</v>
      </c>
      <c r="C93" s="784" t="s">
        <v>630</v>
      </c>
      <c r="D93" s="2">
        <f>IF(VLOOKUP($B93,'Allocation 2021-22'!$B:$AA,10,0)="Y",VLOOKUP(iGRANTS!$B93,'Allocation 2021-22'!$B:$U,20,0),0)</f>
        <v>123732</v>
      </c>
      <c r="F93" s="2"/>
      <c r="G93" s="2"/>
      <c r="H93" s="659"/>
      <c r="I93" s="302"/>
    </row>
    <row r="94" spans="2:9">
      <c r="B94" s="784" t="s">
        <v>436</v>
      </c>
      <c r="C94" s="784" t="s">
        <v>1569</v>
      </c>
      <c r="D94" s="2">
        <f>IF(VLOOKUP($B94,'Allocation 2021-22'!$B:$AA,10,0)="Y",VLOOKUP(iGRANTS!$B94,'Allocation 2021-22'!$B:$U,20,0),0)</f>
        <v>0</v>
      </c>
      <c r="F94" s="2"/>
      <c r="G94" s="2"/>
      <c r="H94" s="659"/>
      <c r="I94" s="302"/>
    </row>
    <row r="95" spans="2:9">
      <c r="B95" s="784" t="s">
        <v>529</v>
      </c>
      <c r="C95" s="784" t="s">
        <v>1613</v>
      </c>
      <c r="D95" s="2">
        <f>IF(VLOOKUP($B95,'Allocation 2021-22'!$B:$AA,10,0)="Y",VLOOKUP(iGRANTS!$B95,'Allocation 2021-22'!$B:$U,20,0),0)</f>
        <v>0</v>
      </c>
      <c r="F95" s="2"/>
      <c r="G95" s="2"/>
      <c r="H95" s="659"/>
      <c r="I95" s="302"/>
    </row>
    <row r="96" spans="2:9">
      <c r="B96" s="784" t="s">
        <v>240</v>
      </c>
      <c r="C96" s="784" t="s">
        <v>1476</v>
      </c>
      <c r="D96" s="2">
        <f>IF(VLOOKUP($B96,'Allocation 2021-22'!$B:$AA,10,0)="Y",VLOOKUP(iGRANTS!$B96,'Allocation 2021-22'!$B:$U,20,0),0)</f>
        <v>0</v>
      </c>
      <c r="F96" s="2"/>
      <c r="G96" s="2"/>
      <c r="H96" s="659"/>
      <c r="I96" s="302"/>
    </row>
    <row r="97" spans="2:9">
      <c r="B97" s="784" t="s">
        <v>246</v>
      </c>
      <c r="C97" s="784" t="s">
        <v>1479</v>
      </c>
      <c r="D97" s="2">
        <f>IF(VLOOKUP($B97,'Allocation 2021-22'!$B:$AA,10,0)="Y",VLOOKUP(iGRANTS!$B97,'Allocation 2021-22'!$B:$U,20,0),0)</f>
        <v>0</v>
      </c>
      <c r="F97" s="2"/>
      <c r="G97" s="2"/>
      <c r="H97" s="659"/>
      <c r="I97" s="302"/>
    </row>
    <row r="98" spans="2:9">
      <c r="B98" s="784" t="s">
        <v>131</v>
      </c>
      <c r="C98" s="784" t="s">
        <v>1428</v>
      </c>
      <c r="D98" s="2">
        <f>IF(VLOOKUP($B98,'Allocation 2021-22'!$B:$AA,10,0)="Y",VLOOKUP(iGRANTS!$B98,'Allocation 2021-22'!$B:$U,20,0),0)</f>
        <v>16382</v>
      </c>
      <c r="F98" s="2"/>
      <c r="G98" s="2"/>
      <c r="H98" s="659"/>
      <c r="I98" s="302"/>
    </row>
    <row r="99" spans="2:9">
      <c r="B99" s="784" t="s">
        <v>555</v>
      </c>
      <c r="C99" s="784" t="s">
        <v>1625</v>
      </c>
      <c r="D99" s="2">
        <f>IF(VLOOKUP($B99,'Allocation 2021-22'!$B:$AA,10,0)="Y",VLOOKUP(iGRANTS!$B99,'Allocation 2021-22'!$B:$U,20,0),0)</f>
        <v>156726</v>
      </c>
      <c r="F99" s="2"/>
      <c r="G99" s="2"/>
      <c r="H99" s="659"/>
      <c r="I99" s="302"/>
    </row>
    <row r="100" spans="2:9">
      <c r="B100" s="784" t="s">
        <v>563</v>
      </c>
      <c r="C100" s="784" t="s">
        <v>1628</v>
      </c>
      <c r="D100" s="2">
        <f>IF(VLOOKUP($B100,'Allocation 2021-22'!$B:$AA,10,0)="Y",VLOOKUP(iGRANTS!$B100,'Allocation 2021-22'!$B:$U,20,0),0)</f>
        <v>78409</v>
      </c>
      <c r="F100" s="2"/>
      <c r="G100" s="2"/>
      <c r="H100" s="659"/>
      <c r="I100" s="302"/>
    </row>
    <row r="101" spans="2:9">
      <c r="B101" s="784" t="s">
        <v>419</v>
      </c>
      <c r="C101" s="784" t="s">
        <v>1560</v>
      </c>
      <c r="D101" s="2">
        <f>IF(VLOOKUP($B101,'Allocation 2021-22'!$B:$AA,10,0)="Y",VLOOKUP(iGRANTS!$B101,'Allocation 2021-22'!$B:$U,20,0),0)</f>
        <v>0</v>
      </c>
      <c r="F101" s="2"/>
      <c r="G101" s="2"/>
      <c r="H101" s="659"/>
      <c r="I101" s="302"/>
    </row>
    <row r="102" spans="2:9">
      <c r="B102" s="784" t="s">
        <v>297</v>
      </c>
      <c r="C102" s="784" t="s">
        <v>1502</v>
      </c>
      <c r="D102" s="2">
        <f>IF(VLOOKUP($B102,'Allocation 2021-22'!$B:$AA,10,0)="Y",VLOOKUP(iGRANTS!$B102,'Allocation 2021-22'!$B:$U,20,0),0)</f>
        <v>0</v>
      </c>
      <c r="F102" s="2"/>
      <c r="G102" s="2"/>
      <c r="H102" s="659"/>
      <c r="I102" s="302"/>
    </row>
    <row r="103" spans="2:9">
      <c r="B103" s="784" t="s">
        <v>426</v>
      </c>
      <c r="C103" s="784" t="s">
        <v>1564</v>
      </c>
      <c r="D103" s="2">
        <f>IF(VLOOKUP($B103,'Allocation 2021-22'!$B:$AA,10,0)="Y",VLOOKUP(iGRANTS!$B103,'Allocation 2021-22'!$B:$U,20,0),0)</f>
        <v>0</v>
      </c>
      <c r="F103" s="2"/>
      <c r="G103" s="2"/>
      <c r="H103" s="659"/>
      <c r="I103" s="302"/>
    </row>
    <row r="104" spans="2:9">
      <c r="B104" s="784" t="s">
        <v>54</v>
      </c>
      <c r="C104" s="784" t="s">
        <v>1393</v>
      </c>
      <c r="D104" s="2">
        <f>IF(VLOOKUP($B104,'Allocation 2021-22'!$B:$AA,10,0)="Y",VLOOKUP(iGRANTS!$B104,'Allocation 2021-22'!$B:$U,20,0),0)</f>
        <v>0</v>
      </c>
      <c r="F104" s="2"/>
      <c r="G104" s="2"/>
      <c r="H104" s="659"/>
      <c r="I104" s="302"/>
    </row>
    <row r="105" spans="2:9">
      <c r="B105" s="784" t="s">
        <v>482</v>
      </c>
      <c r="C105" s="784" t="s">
        <v>1592</v>
      </c>
      <c r="D105" s="2">
        <f>IF(VLOOKUP($B105,'Allocation 2021-22'!$B:$AA,10,0)="Y",VLOOKUP(iGRANTS!$B105,'Allocation 2021-22'!$B:$U,20,0),0)</f>
        <v>0</v>
      </c>
      <c r="F105" s="2"/>
      <c r="G105" s="2"/>
      <c r="H105" s="659"/>
      <c r="I105" s="302"/>
    </row>
    <row r="106" spans="2:9">
      <c r="B106" s="784" t="s">
        <v>291</v>
      </c>
      <c r="C106" s="784" t="s">
        <v>1499</v>
      </c>
      <c r="D106" s="2">
        <f>IF(VLOOKUP($B106,'Allocation 2021-22'!$B:$AA,10,0)="Y",VLOOKUP(iGRANTS!$B106,'Allocation 2021-22'!$B:$U,20,0),0)</f>
        <v>0</v>
      </c>
      <c r="F106" s="2"/>
      <c r="G106" s="2"/>
      <c r="H106" s="659"/>
      <c r="I106" s="302"/>
    </row>
    <row r="107" spans="2:9">
      <c r="B107" s="784" t="s">
        <v>561</v>
      </c>
      <c r="C107" s="784" t="s">
        <v>1627</v>
      </c>
      <c r="D107" s="2">
        <f>IF(VLOOKUP($B107,'Allocation 2021-22'!$B:$AA,10,0)="Y",VLOOKUP(iGRANTS!$B107,'Allocation 2021-22'!$B:$U,20,0),0)</f>
        <v>40040</v>
      </c>
      <c r="F107" s="2"/>
      <c r="G107" s="2"/>
    </row>
    <row r="108" spans="2:9">
      <c r="B108" s="784" t="s">
        <v>181</v>
      </c>
      <c r="C108" s="784" t="s">
        <v>1452</v>
      </c>
      <c r="D108" s="2">
        <f>IF(VLOOKUP($B108,'Allocation 2021-22'!$B:$AA,10,0)="Y",VLOOKUP(iGRANTS!$B108,'Allocation 2021-22'!$B:$U,20,0),0)</f>
        <v>852880</v>
      </c>
      <c r="F108" s="2"/>
      <c r="G108" s="2"/>
    </row>
    <row r="109" spans="2:9">
      <c r="B109" s="784" t="s">
        <v>51</v>
      </c>
      <c r="C109" s="784" t="s">
        <v>1391</v>
      </c>
      <c r="D109" s="2">
        <f>IF(VLOOKUP($B109,'Allocation 2021-22'!$B:$AA,10,0)="Y",VLOOKUP(iGRANTS!$B109,'Allocation 2021-22'!$B:$U,20,0),0)</f>
        <v>0</v>
      </c>
      <c r="F109" s="2"/>
      <c r="G109" s="2"/>
      <c r="H109" s="659"/>
      <c r="I109" s="302"/>
    </row>
    <row r="110" spans="2:9">
      <c r="B110" s="784" t="s">
        <v>307</v>
      </c>
      <c r="C110" s="784" t="s">
        <v>1507</v>
      </c>
      <c r="D110" s="2">
        <f>IF(VLOOKUP($B110,'Allocation 2021-22'!$B:$AA,10,0)="Y",VLOOKUP(iGRANTS!$B110,'Allocation 2021-22'!$B:$U,20,0),0)</f>
        <v>0</v>
      </c>
      <c r="F110" s="2"/>
      <c r="G110" s="2"/>
      <c r="H110" s="659"/>
      <c r="I110" s="302"/>
    </row>
    <row r="111" spans="2:9">
      <c r="B111" s="784" t="s">
        <v>134</v>
      </c>
      <c r="C111" s="784" t="s">
        <v>748</v>
      </c>
      <c r="D111" s="2">
        <f>IF(VLOOKUP($B111,'Allocation 2021-22'!$B:$AA,10,0)="Y",VLOOKUP(iGRANTS!$B111,'Allocation 2021-22'!$B:$U,20,0),0)</f>
        <v>12333</v>
      </c>
      <c r="F111" s="2"/>
      <c r="G111" s="2"/>
      <c r="H111" s="659"/>
      <c r="I111" s="302"/>
    </row>
    <row r="112" spans="2:9">
      <c r="B112" s="784" t="s">
        <v>1777</v>
      </c>
      <c r="C112" s="784" t="s">
        <v>1782</v>
      </c>
      <c r="D112" s="2">
        <f>IF(VLOOKUP($B112,'Allocation 2021-22'!$B:$AA,10,0)="Y",VLOOKUP(iGRANTS!$B112,'Allocation 2021-22'!$B:$U,20,0),0)</f>
        <v>0</v>
      </c>
      <c r="F112" s="2"/>
      <c r="G112" s="2"/>
      <c r="H112" s="659"/>
      <c r="I112" s="302"/>
    </row>
    <row r="113" spans="2:9">
      <c r="B113" s="784" t="s">
        <v>1715</v>
      </c>
      <c r="C113" s="784" t="s">
        <v>1783</v>
      </c>
      <c r="D113" s="2">
        <f>IF(VLOOKUP($B113,'Allocation 2021-22'!$B:$AA,10,0)="Y",VLOOKUP(iGRANTS!$B113,'Allocation 2021-22'!$B:$U,20,0),0)</f>
        <v>0</v>
      </c>
      <c r="F113" s="2"/>
      <c r="G113" s="2"/>
      <c r="H113" s="659"/>
      <c r="I113" s="302"/>
    </row>
    <row r="114" spans="2:9">
      <c r="B114" s="784" t="s">
        <v>1755</v>
      </c>
      <c r="C114" s="784" t="s">
        <v>1784</v>
      </c>
      <c r="D114" s="2">
        <f>IF(VLOOKUP($B114,'Allocation 2021-22'!$B:$AA,10,0)="Y",VLOOKUP(iGRANTS!$B114,'Allocation 2021-22'!$B:$U,20,0),0)</f>
        <v>0</v>
      </c>
      <c r="F114" s="2"/>
      <c r="G114" s="2"/>
      <c r="H114" s="659"/>
      <c r="I114" s="302"/>
    </row>
    <row r="115" spans="2:9">
      <c r="B115" s="785" t="s">
        <v>100</v>
      </c>
      <c r="C115" s="784" t="s">
        <v>1414</v>
      </c>
      <c r="D115" s="2">
        <f>IF(VLOOKUP($B115,'Allocation 2021-22'!$B:$AA,10,0)="Y",VLOOKUP(iGRANTS!$B115,'Allocation 2021-22'!$B:$U,20,0),0)</f>
        <v>13704</v>
      </c>
      <c r="F115" s="2"/>
      <c r="G115" s="2"/>
    </row>
    <row r="116" spans="2:9">
      <c r="B116" s="784" t="s">
        <v>407</v>
      </c>
      <c r="C116" s="784" t="s">
        <v>1554</v>
      </c>
      <c r="D116" s="2">
        <f>IF(VLOOKUP($B116,'Allocation 2021-22'!$B:$AA,10,0)="Y",VLOOKUP(iGRANTS!$B116,'Allocation 2021-22'!$B:$U,20,0),0)</f>
        <v>0</v>
      </c>
      <c r="F116" s="2"/>
      <c r="G116" s="2"/>
    </row>
    <row r="117" spans="2:9">
      <c r="B117" s="785" t="s">
        <v>201</v>
      </c>
      <c r="C117" s="784" t="s">
        <v>1458</v>
      </c>
      <c r="D117" s="2">
        <f>IF(VLOOKUP($B117,'Allocation 2021-22'!$B:$AA,10,0)="Y",VLOOKUP(iGRANTS!$B117,'Allocation 2021-22'!$B:$U,20,0),0)</f>
        <v>197497</v>
      </c>
      <c r="F117" s="2"/>
      <c r="G117" s="2"/>
      <c r="H117" s="659"/>
      <c r="I117" s="302"/>
    </row>
    <row r="118" spans="2:9">
      <c r="B118" s="784" t="s">
        <v>110</v>
      </c>
      <c r="C118" s="784" t="s">
        <v>1419</v>
      </c>
      <c r="D118" s="2">
        <f>IF(VLOOKUP($B118,'Allocation 2021-22'!$B:$AA,10,0)="Y",VLOOKUP(iGRANTS!$B118,'Allocation 2021-22'!$B:$U,20,0),0)</f>
        <v>0</v>
      </c>
      <c r="F118" s="2"/>
      <c r="G118" s="2"/>
      <c r="H118" s="659"/>
      <c r="I118" s="302"/>
    </row>
    <row r="119" spans="2:9">
      <c r="B119" s="784" t="s">
        <v>76</v>
      </c>
      <c r="C119" s="784" t="s">
        <v>1402</v>
      </c>
      <c r="D119" s="2">
        <f>IF(VLOOKUP($B119,'Allocation 2021-22'!$B:$AA,10,0)="Y",VLOOKUP(iGRANTS!$B119,'Allocation 2021-22'!$B:$U,20,0),0)</f>
        <v>0</v>
      </c>
      <c r="F119" s="2"/>
      <c r="G119" s="2"/>
      <c r="H119" s="659"/>
      <c r="I119" s="302"/>
    </row>
    <row r="120" spans="2:9">
      <c r="B120" s="784" t="s">
        <v>94</v>
      </c>
      <c r="C120" s="784" t="s">
        <v>1411</v>
      </c>
      <c r="D120" s="2">
        <f>IF(VLOOKUP($B120,'Allocation 2021-22'!$B:$AA,10,0)="Y",VLOOKUP(iGRANTS!$B120,'Allocation 2021-22'!$B:$U,20,0),0)</f>
        <v>0</v>
      </c>
      <c r="F120" s="2"/>
      <c r="G120" s="2"/>
      <c r="H120" s="659"/>
      <c r="I120" s="302"/>
    </row>
    <row r="121" spans="2:9">
      <c r="B121" s="784" t="s">
        <v>80</v>
      </c>
      <c r="C121" s="784" t="s">
        <v>1404</v>
      </c>
      <c r="D121" s="2">
        <f>IF(VLOOKUP($B121,'Allocation 2021-22'!$B:$AA,10,0)="Y",VLOOKUP(iGRANTS!$B121,'Allocation 2021-22'!$B:$U,20,0),0)</f>
        <v>41801</v>
      </c>
      <c r="F121" s="2"/>
      <c r="G121" s="2"/>
      <c r="H121" s="659"/>
      <c r="I121" s="302"/>
    </row>
    <row r="122" spans="2:9">
      <c r="B122" s="787" t="s">
        <v>14</v>
      </c>
      <c r="C122" s="784" t="s">
        <v>636</v>
      </c>
      <c r="D122" s="2">
        <f>IF(VLOOKUP($B122,'Allocation 2021-22'!$B:$AA,10,0)="Y",VLOOKUP(iGRANTS!$B122,'Allocation 2021-22'!$B:$U,20,0),0)</f>
        <v>367697</v>
      </c>
      <c r="F122" s="2"/>
      <c r="G122" s="2"/>
      <c r="H122" s="659"/>
      <c r="I122" s="302"/>
    </row>
    <row r="123" spans="2:9">
      <c r="B123" s="784" t="s">
        <v>207</v>
      </c>
      <c r="C123" s="784" t="s">
        <v>1460</v>
      </c>
      <c r="D123" s="2">
        <f>IF(VLOOKUP($B123,'Allocation 2021-22'!$B:$AA,10,0)="Y",VLOOKUP(iGRANTS!$B123,'Allocation 2021-22'!$B:$U,20,0),0)</f>
        <v>784310</v>
      </c>
      <c r="F123" s="2"/>
      <c r="G123" s="2"/>
      <c r="H123" s="659"/>
      <c r="I123" s="302"/>
    </row>
    <row r="124" spans="2:9">
      <c r="B124" s="784" t="s">
        <v>470</v>
      </c>
      <c r="C124" s="784" t="s">
        <v>1587</v>
      </c>
      <c r="D124" s="2">
        <f>IF(VLOOKUP($B124,'Allocation 2021-22'!$B:$AA,10,0)="Y",VLOOKUP(iGRANTS!$B124,'Allocation 2021-22'!$B:$U,20,0),0)</f>
        <v>0</v>
      </c>
      <c r="F124" s="2"/>
      <c r="G124" s="2"/>
      <c r="H124" s="659"/>
      <c r="I124" s="302"/>
    </row>
    <row r="125" spans="2:9">
      <c r="B125" s="784" t="s">
        <v>18</v>
      </c>
      <c r="C125" s="784" t="s">
        <v>1376</v>
      </c>
      <c r="D125" s="2">
        <f>IF(VLOOKUP($B125,'Allocation 2021-22'!$B:$AA,10,0)="Y",VLOOKUP(iGRANTS!$B125,'Allocation 2021-22'!$B:$U,20,0),0)</f>
        <v>44937</v>
      </c>
      <c r="F125" s="2"/>
      <c r="G125" s="2"/>
      <c r="H125" s="659"/>
      <c r="I125" s="302"/>
    </row>
    <row r="126" spans="2:9">
      <c r="B126" s="784" t="s">
        <v>228</v>
      </c>
      <c r="C126" s="784" t="s">
        <v>1470</v>
      </c>
      <c r="D126" s="2">
        <f>IF(VLOOKUP($B126,'Allocation 2021-22'!$B:$AA,10,0)="Y",VLOOKUP(iGRANTS!$B126,'Allocation 2021-22'!$B:$U,20,0),0)</f>
        <v>0</v>
      </c>
      <c r="F126" s="2"/>
      <c r="G126" s="2"/>
      <c r="H126" s="659"/>
      <c r="I126" s="302"/>
    </row>
    <row r="127" spans="2:9">
      <c r="B127" s="784" t="s">
        <v>242</v>
      </c>
      <c r="C127" s="784" t="s">
        <v>1477</v>
      </c>
      <c r="D127" s="2">
        <f>IF(VLOOKUP($B127,'Allocation 2021-22'!$B:$AA,10,0)="Y",VLOOKUP(iGRANTS!$B127,'Allocation 2021-22'!$B:$U,20,0),0)</f>
        <v>0</v>
      </c>
      <c r="F127" s="2"/>
      <c r="G127" s="2"/>
      <c r="H127" s="659"/>
      <c r="I127" s="302"/>
    </row>
    <row r="128" spans="2:9">
      <c r="B128" s="784" t="s">
        <v>382</v>
      </c>
      <c r="C128" s="784" t="s">
        <v>1542</v>
      </c>
      <c r="D128" s="2">
        <f>IF(VLOOKUP($B128,'Allocation 2021-22'!$B:$AA,10,0)="Y",VLOOKUP(iGRANTS!$B128,'Allocation 2021-22'!$B:$U,20,0),0)</f>
        <v>21919</v>
      </c>
      <c r="F128" s="2"/>
      <c r="G128" s="2"/>
      <c r="H128" s="659"/>
      <c r="I128" s="302"/>
    </row>
    <row r="129" spans="2:9">
      <c r="B129" s="784" t="s">
        <v>53</v>
      </c>
      <c r="C129" s="784" t="s">
        <v>1392</v>
      </c>
      <c r="D129" s="2">
        <f>IF(VLOOKUP($B129,'Allocation 2021-22'!$B:$AA,10,0)="Y",VLOOKUP(iGRANTS!$B129,'Allocation 2021-22'!$B:$U,20,0),0)</f>
        <v>0</v>
      </c>
      <c r="F129" s="2"/>
      <c r="G129" s="2"/>
      <c r="H129" s="659"/>
      <c r="I129" s="302"/>
    </row>
    <row r="130" spans="2:9">
      <c r="B130" s="784" t="s">
        <v>518</v>
      </c>
      <c r="C130" s="784" t="s">
        <v>1607</v>
      </c>
      <c r="D130" s="2">
        <f>IF(VLOOKUP($B130,'Allocation 2021-22'!$B:$AA,10,0)="Y",VLOOKUP(iGRANTS!$B130,'Allocation 2021-22'!$B:$U,20,0),0)</f>
        <v>0</v>
      </c>
      <c r="F130" s="2"/>
      <c r="G130" s="2"/>
      <c r="H130" s="659"/>
      <c r="I130" s="302"/>
    </row>
    <row r="131" spans="2:9">
      <c r="B131" s="23" t="s">
        <v>31</v>
      </c>
      <c r="C131" s="788" t="s">
        <v>624</v>
      </c>
      <c r="D131" s="2">
        <f>IF(VLOOKUP($B131,'Allocation 2021-22'!$B:$AA,10,0)="Y",VLOOKUP(iGRANTS!$B131,'Allocation 2021-22'!$B:$U,20,0),0)</f>
        <v>49604</v>
      </c>
      <c r="F131" s="2"/>
      <c r="G131" s="2"/>
      <c r="H131" s="659"/>
      <c r="I131" s="302"/>
    </row>
    <row r="132" spans="2:9">
      <c r="B132" s="36" t="s">
        <v>397</v>
      </c>
      <c r="C132" s="23" t="s">
        <v>1549</v>
      </c>
      <c r="D132" s="2">
        <f>IF(VLOOKUP($B132,'Allocation 2021-22'!$B:$AA,10,0)="Y",VLOOKUP(iGRANTS!$B132,'Allocation 2021-22'!$B:$U,20,0),0)</f>
        <v>68364</v>
      </c>
      <c r="F132" s="2"/>
      <c r="G132" s="2"/>
      <c r="H132" s="659"/>
      <c r="I132" s="302"/>
    </row>
    <row r="133" spans="2:9">
      <c r="B133" s="36" t="s">
        <v>205</v>
      </c>
      <c r="C133" s="23" t="s">
        <v>1459</v>
      </c>
      <c r="D133" s="2">
        <f>IF(VLOOKUP($B133,'Allocation 2021-22'!$B:$AA,10,0)="Y",VLOOKUP(iGRANTS!$B133,'Allocation 2021-22'!$B:$U,20,0),0)</f>
        <v>486169</v>
      </c>
      <c r="F133" s="2"/>
      <c r="G133" s="2"/>
      <c r="H133" s="659"/>
      <c r="I133" s="302"/>
    </row>
    <row r="134" spans="2:9">
      <c r="B134" s="36" t="s">
        <v>413</v>
      </c>
      <c r="C134" s="23" t="s">
        <v>1557</v>
      </c>
      <c r="D134" s="2">
        <f>IF(VLOOKUP($B134,'Allocation 2021-22'!$B:$AA,10,0)="Y",VLOOKUP(iGRANTS!$B134,'Allocation 2021-22'!$B:$U,20,0),0)</f>
        <v>23932</v>
      </c>
      <c r="F134" s="2"/>
      <c r="G134" s="2"/>
      <c r="H134" s="659"/>
      <c r="I134" s="302"/>
    </row>
    <row r="135" spans="2:9">
      <c r="B135" s="802" t="s">
        <v>519</v>
      </c>
      <c r="C135" s="23" t="s">
        <v>1608</v>
      </c>
      <c r="D135" s="2">
        <f>IF(VLOOKUP($B135,'Allocation 2021-22'!$B:$AA,10,0)="Y",VLOOKUP(iGRANTS!$B135,'Allocation 2021-22'!$B:$U,20,0),0)</f>
        <v>0</v>
      </c>
      <c r="F135" s="2"/>
      <c r="G135" s="2"/>
      <c r="H135" s="659"/>
      <c r="I135" s="302"/>
    </row>
    <row r="136" spans="2:9">
      <c r="B136" s="36" t="s">
        <v>441</v>
      </c>
      <c r="C136" s="23" t="s">
        <v>1572</v>
      </c>
      <c r="D136" s="2">
        <f>IF(VLOOKUP($B136,'Allocation 2021-22'!$B:$AA,10,0)="Y",VLOOKUP(iGRANTS!$B136,'Allocation 2021-22'!$B:$U,20,0),0)</f>
        <v>0</v>
      </c>
      <c r="F136" s="2"/>
      <c r="G136" s="2"/>
    </row>
    <row r="137" spans="2:9">
      <c r="B137" s="812" t="s">
        <v>6</v>
      </c>
      <c r="C137" s="543" t="s">
        <v>1371</v>
      </c>
      <c r="D137" s="2">
        <f>IF(VLOOKUP($B137,'Allocation 2021-22'!$B:$AA,10,0)="Y",VLOOKUP(iGRANTS!$B137,'Allocation 2021-22'!$B:$U,20,0),0)</f>
        <v>0</v>
      </c>
      <c r="F137" s="2"/>
      <c r="G137" s="2"/>
    </row>
    <row r="138" spans="2:9">
      <c r="B138" s="838" t="s">
        <v>70</v>
      </c>
      <c r="C138" t="s">
        <v>1399</v>
      </c>
      <c r="D138" s="2">
        <f>IF(VLOOKUP($B138,'Allocation 2021-22'!$B:$AA,10,0)="Y",VLOOKUP(iGRANTS!$B138,'Allocation 2021-22'!$B:$U,20,0),0)</f>
        <v>58365</v>
      </c>
      <c r="F138" s="2"/>
      <c r="G138" s="2"/>
    </row>
    <row r="139" spans="2:9">
      <c r="B139" s="838" t="s">
        <v>458</v>
      </c>
      <c r="C139" t="s">
        <v>1581</v>
      </c>
      <c r="D139" s="2">
        <f>IF(VLOOKUP($B139,'Allocation 2021-22'!$B:$AA,10,0)="Y",VLOOKUP(iGRANTS!$B139,'Allocation 2021-22'!$B:$U,20,0),0)</f>
        <v>0</v>
      </c>
      <c r="F139" s="2"/>
    </row>
    <row r="140" spans="2:9">
      <c r="B140" t="s">
        <v>373</v>
      </c>
      <c r="C140" s="55" t="s">
        <v>1539</v>
      </c>
      <c r="D140" s="2">
        <f>IF(VLOOKUP($B140,'Allocation 2021-22'!$B:$AA,10,0)="Y",VLOOKUP(iGRANTS!$B140,'Allocation 2021-22'!$B:$U,20,0),0)</f>
        <v>0</v>
      </c>
    </row>
    <row r="141" spans="2:9">
      <c r="B141" t="s">
        <v>1757</v>
      </c>
      <c r="C141" s="55" t="s">
        <v>1785</v>
      </c>
      <c r="D141" s="2">
        <f>IF(VLOOKUP($B141,'Allocation 2021-22'!$B:$AA,10,0)="Y",VLOOKUP(iGRANTS!$B141,'Allocation 2021-22'!$B:$U,20,0),0)</f>
        <v>0</v>
      </c>
    </row>
    <row r="142" spans="2:9">
      <c r="B142" t="s">
        <v>250</v>
      </c>
      <c r="C142" s="55" t="s">
        <v>1481</v>
      </c>
      <c r="D142" s="2">
        <f>IF(VLOOKUP($B142,'Allocation 2021-22'!$B:$AA,10,0)="Y",VLOOKUP(iGRANTS!$B142,'Allocation 2021-22'!$B:$U,20,0),0)</f>
        <v>0</v>
      </c>
    </row>
    <row r="143" spans="2:9">
      <c r="B143" t="s">
        <v>510</v>
      </c>
      <c r="C143" s="55" t="s">
        <v>1604</v>
      </c>
      <c r="D143" s="2">
        <f>IF(VLOOKUP($B143,'Allocation 2021-22'!$B:$AA,10,0)="Y",VLOOKUP(iGRANTS!$B143,'Allocation 2021-22'!$B:$U,20,0),0)</f>
        <v>49053</v>
      </c>
    </row>
    <row r="144" spans="2:9">
      <c r="B144" t="s">
        <v>553</v>
      </c>
      <c r="C144" s="55" t="s">
        <v>639</v>
      </c>
      <c r="D144" s="2">
        <f>IF(VLOOKUP($B144,'Allocation 2021-22'!$B:$AA,10,0)="Y",VLOOKUP(iGRANTS!$B144,'Allocation 2021-22'!$B:$U,20,0),0)</f>
        <v>49168</v>
      </c>
    </row>
    <row r="145" spans="2:4">
      <c r="B145" t="s">
        <v>90</v>
      </c>
      <c r="C145" s="55" t="s">
        <v>1409</v>
      </c>
      <c r="D145" s="2">
        <f>IF(VLOOKUP($B145,'Allocation 2021-22'!$B:$AA,10,0)="Y",VLOOKUP(iGRANTS!$B145,'Allocation 2021-22'!$B:$U,20,0),0)</f>
        <v>0</v>
      </c>
    </row>
    <row r="146" spans="2:4">
      <c r="B146" t="s">
        <v>25</v>
      </c>
      <c r="C146" s="55" t="s">
        <v>1380</v>
      </c>
      <c r="D146" s="2">
        <f>IF(VLOOKUP($B146,'Allocation 2021-22'!$B:$AA,10,0)="Y",VLOOKUP(iGRANTS!$B146,'Allocation 2021-22'!$B:$U,20,0),0)</f>
        <v>30085</v>
      </c>
    </row>
    <row r="147" spans="2:4">
      <c r="B147" t="s">
        <v>301</v>
      </c>
      <c r="C147" s="55" t="s">
        <v>1504</v>
      </c>
      <c r="D147" s="2">
        <f>IF(VLOOKUP($B147,'Allocation 2021-22'!$B:$AA,10,0)="Y",VLOOKUP(iGRANTS!$B147,'Allocation 2021-22'!$B:$U,20,0),0)</f>
        <v>0</v>
      </c>
    </row>
    <row r="148" spans="2:4">
      <c r="B148" t="s">
        <v>466</v>
      </c>
      <c r="C148" s="55" t="s">
        <v>1585</v>
      </c>
      <c r="D148" s="2">
        <f>IF(VLOOKUP($B148,'Allocation 2021-22'!$B:$AA,10,0)="Y",VLOOKUP(iGRANTS!$B148,'Allocation 2021-22'!$B:$U,20,0),0)</f>
        <v>0</v>
      </c>
    </row>
    <row r="149" spans="2:4">
      <c r="B149" t="s">
        <v>405</v>
      </c>
      <c r="C149" s="55" t="s">
        <v>1553</v>
      </c>
      <c r="D149" s="2">
        <f>IF(VLOOKUP($B149,'Allocation 2021-22'!$B:$AA,10,0)="Y",VLOOKUP(iGRANTS!$B149,'Allocation 2021-22'!$B:$U,20,0),0)</f>
        <v>175509</v>
      </c>
    </row>
    <row r="150" spans="2:4">
      <c r="B150" t="s">
        <v>138</v>
      </c>
      <c r="C150" s="55" t="s">
        <v>1431</v>
      </c>
      <c r="D150" s="2">
        <f>IF(VLOOKUP($B150,'Allocation 2021-22'!$B:$AA,10,0)="Y",VLOOKUP(iGRANTS!$B150,'Allocation 2021-22'!$B:$U,20,0),0)</f>
        <v>0</v>
      </c>
    </row>
    <row r="151" spans="2:4">
      <c r="B151" t="s">
        <v>432</v>
      </c>
      <c r="C151" s="55" t="s">
        <v>1567</v>
      </c>
      <c r="D151" s="2">
        <f>IF(VLOOKUP($B151,'Allocation 2021-22'!$B:$AA,10,0)="Y",VLOOKUP(iGRANTS!$B151,'Allocation 2021-22'!$B:$U,20,0),0)</f>
        <v>40702</v>
      </c>
    </row>
    <row r="152" spans="2:4">
      <c r="B152" t="s">
        <v>430</v>
      </c>
      <c r="C152" s="55" t="s">
        <v>1566</v>
      </c>
      <c r="D152" s="2">
        <f>IF(VLOOKUP($B152,'Allocation 2021-22'!$B:$AA,10,0)="Y",VLOOKUP(iGRANTS!$B152,'Allocation 2021-22'!$B:$U,20,0),0)</f>
        <v>0</v>
      </c>
    </row>
    <row r="153" spans="2:4">
      <c r="B153" t="s">
        <v>179</v>
      </c>
      <c r="C153" s="55" t="s">
        <v>1451</v>
      </c>
      <c r="D153" s="2">
        <f>IF(VLOOKUP($B153,'Allocation 2021-22'!$B:$AA,10,0)="Y",VLOOKUP(iGRANTS!$B153,'Allocation 2021-22'!$B:$U,20,0),0)</f>
        <v>19997</v>
      </c>
    </row>
    <row r="154" spans="2:4">
      <c r="B154" t="s">
        <v>512</v>
      </c>
      <c r="C154" s="55" t="s">
        <v>1605</v>
      </c>
      <c r="D154" s="2">
        <f>IF(VLOOKUP($B154,'Allocation 2021-22'!$B:$AA,10,0)="Y",VLOOKUP(iGRANTS!$B154,'Allocation 2021-22'!$B:$U,20,0),0)</f>
        <v>31208</v>
      </c>
    </row>
    <row r="155" spans="2:4">
      <c r="B155" t="s">
        <v>319</v>
      </c>
      <c r="C155" s="55" t="s">
        <v>1512</v>
      </c>
      <c r="D155" s="2">
        <f>IF(VLOOKUP($B155,'Allocation 2021-22'!$B:$AA,10,0)="Y",VLOOKUP(iGRANTS!$B155,'Allocation 2021-22'!$B:$U,20,0),0)</f>
        <v>0</v>
      </c>
    </row>
    <row r="156" spans="2:4">
      <c r="B156" t="s">
        <v>391</v>
      </c>
      <c r="C156" s="55" t="s">
        <v>1547</v>
      </c>
      <c r="D156" s="2">
        <f>IF(VLOOKUP($B156,'Allocation 2021-22'!$B:$AA,10,0)="Y",VLOOKUP(iGRANTS!$B156,'Allocation 2021-22'!$B:$U,20,0),0)</f>
        <v>0</v>
      </c>
    </row>
    <row r="157" spans="2:4">
      <c r="B157" t="s">
        <v>409</v>
      </c>
      <c r="C157" s="55" t="s">
        <v>1555</v>
      </c>
      <c r="D157" s="2">
        <f>IF(VLOOKUP($B157,'Allocation 2021-22'!$B:$AA,10,0)="Y",VLOOKUP(iGRANTS!$B157,'Allocation 2021-22'!$B:$U,20,0),0)</f>
        <v>89185</v>
      </c>
    </row>
    <row r="158" spans="2:4">
      <c r="B158" t="s">
        <v>139</v>
      </c>
      <c r="C158" s="55" t="s">
        <v>1432</v>
      </c>
      <c r="D158" s="2">
        <f>IF(VLOOKUP($B158,'Allocation 2021-22'!$B:$AA,10,0)="Y",VLOOKUP(iGRANTS!$B158,'Allocation 2021-22'!$B:$U,20,0),0)</f>
        <v>0</v>
      </c>
    </row>
    <row r="159" spans="2:4">
      <c r="B159" t="s">
        <v>260</v>
      </c>
      <c r="C159" s="55" t="s">
        <v>1484</v>
      </c>
      <c r="D159" s="2">
        <f>IF(VLOOKUP($B159,'Allocation 2021-22'!$B:$AA,10,0)="Y",VLOOKUP(iGRANTS!$B159,'Allocation 2021-22'!$B:$U,20,0),0)</f>
        <v>0</v>
      </c>
    </row>
    <row r="160" spans="2:4">
      <c r="B160" t="s">
        <v>125</v>
      </c>
      <c r="C160" s="55" t="s">
        <v>1426</v>
      </c>
      <c r="D160" s="2">
        <f>IF(VLOOKUP($B160,'Allocation 2021-22'!$B:$AA,10,0)="Y",VLOOKUP(iGRANTS!$B160,'Allocation 2021-22'!$B:$U,20,0),0)</f>
        <v>162377</v>
      </c>
    </row>
    <row r="161" spans="2:4">
      <c r="B161" t="s">
        <v>258</v>
      </c>
      <c r="C161" s="55" t="s">
        <v>1356</v>
      </c>
      <c r="D161" s="2">
        <f>IF(VLOOKUP($B161,'Allocation 2021-22'!$B:$AA,10,0)="Y",VLOOKUP(iGRANTS!$B161,'Allocation 2021-22'!$B:$U,20,0),0)</f>
        <v>0</v>
      </c>
    </row>
    <row r="162" spans="2:4">
      <c r="B162" t="s">
        <v>571</v>
      </c>
      <c r="C162" s="55" t="s">
        <v>1632</v>
      </c>
      <c r="D162" s="2">
        <f>IF(VLOOKUP($B162,'Allocation 2021-22'!$B:$AA,10,0)="Y",VLOOKUP(iGRANTS!$B162,'Allocation 2021-22'!$B:$U,20,0),0)</f>
        <v>60951</v>
      </c>
    </row>
    <row r="163" spans="2:4">
      <c r="B163" t="s">
        <v>516</v>
      </c>
      <c r="C163" s="55" t="s">
        <v>1606</v>
      </c>
      <c r="D163" s="2">
        <f>IF(VLOOKUP($B163,'Allocation 2021-22'!$B:$AA,10,0)="Y",VLOOKUP(iGRANTS!$B163,'Allocation 2021-22'!$B:$U,20,0),0)</f>
        <v>17297</v>
      </c>
    </row>
    <row r="164" spans="2:4">
      <c r="B164" t="s">
        <v>389</v>
      </c>
      <c r="C164" s="55" t="s">
        <v>1546</v>
      </c>
      <c r="D164" s="2">
        <f>IF(VLOOKUP($B164,'Allocation 2021-22'!$B:$AA,10,0)="Y",VLOOKUP(iGRANTS!$B164,'Allocation 2021-22'!$B:$U,20,0),0)</f>
        <v>0</v>
      </c>
    </row>
    <row r="165" spans="2:4">
      <c r="B165" t="s">
        <v>386</v>
      </c>
      <c r="C165" s="55" t="s">
        <v>1544</v>
      </c>
      <c r="D165" s="2">
        <f>IF(VLOOKUP($B165,'Allocation 2021-22'!$B:$AA,10,0)="Y",VLOOKUP(iGRANTS!$B165,'Allocation 2021-22'!$B:$U,20,0),0)</f>
        <v>0</v>
      </c>
    </row>
    <row r="166" spans="2:4">
      <c r="B166" t="s">
        <v>399</v>
      </c>
      <c r="C166" s="55" t="s">
        <v>1550</v>
      </c>
      <c r="D166" s="2">
        <f>IF(VLOOKUP($B166,'Allocation 2021-22'!$B:$AA,10,0)="Y",VLOOKUP(iGRANTS!$B166,'Allocation 2021-22'!$B:$U,20,0),0)</f>
        <v>430023</v>
      </c>
    </row>
    <row r="167" spans="2:4">
      <c r="B167" t="s">
        <v>545</v>
      </c>
      <c r="C167" s="55" t="s">
        <v>1621</v>
      </c>
      <c r="D167" s="2">
        <f>IF(VLOOKUP($B167,'Allocation 2021-22'!$B:$AA,10,0)="Y",VLOOKUP(iGRANTS!$B167,'Allocation 2021-22'!$B:$U,20,0),0)</f>
        <v>10663</v>
      </c>
    </row>
    <row r="168" spans="2:4">
      <c r="B168" t="s">
        <v>252</v>
      </c>
      <c r="C168" s="55" t="s">
        <v>1482</v>
      </c>
      <c r="D168" s="2">
        <f>IF(VLOOKUP($B168,'Allocation 2021-22'!$B:$AA,10,0)="Y",VLOOKUP(iGRANTS!$B168,'Allocation 2021-22'!$B:$U,20,0),0)</f>
        <v>0</v>
      </c>
    </row>
    <row r="169" spans="2:4">
      <c r="B169" t="s">
        <v>331</v>
      </c>
      <c r="C169" s="55" t="s">
        <v>1516</v>
      </c>
      <c r="D169" s="2">
        <f>IF(VLOOKUP($B169,'Allocation 2021-22'!$B:$AA,10,0)="Y",VLOOKUP(iGRANTS!$B169,'Allocation 2021-22'!$B:$U,20,0),0)</f>
        <v>0</v>
      </c>
    </row>
    <row r="170" spans="2:4">
      <c r="B170" t="s">
        <v>309</v>
      </c>
      <c r="C170" s="55" t="s">
        <v>1309</v>
      </c>
      <c r="D170" s="2">
        <f>IF(VLOOKUP($B170,'Allocation 2021-22'!$B:$AA,10,0)="Y",VLOOKUP(iGRANTS!$B170,'Allocation 2021-22'!$B:$U,20,0),0)</f>
        <v>17274</v>
      </c>
    </row>
    <row r="171" spans="2:4">
      <c r="B171" t="s">
        <v>336</v>
      </c>
      <c r="C171" s="55" t="s">
        <v>1519</v>
      </c>
      <c r="D171" s="2">
        <f>IF(VLOOKUP($B171,'Allocation 2021-22'!$B:$AA,10,0)="Y",VLOOKUP(iGRANTS!$B171,'Allocation 2021-22'!$B:$U,20,0),0)</f>
        <v>0</v>
      </c>
    </row>
    <row r="172" spans="2:4">
      <c r="B172" t="s">
        <v>428</v>
      </c>
      <c r="C172" s="55" t="s">
        <v>1565</v>
      </c>
      <c r="D172" s="2">
        <f>IF(VLOOKUP($B172,'Allocation 2021-22'!$B:$AA,10,0)="Y",VLOOKUP(iGRANTS!$B172,'Allocation 2021-22'!$B:$U,20,0),0)</f>
        <v>0</v>
      </c>
    </row>
    <row r="173" spans="2:4">
      <c r="B173" t="s">
        <v>514</v>
      </c>
      <c r="C173" s="55" t="s">
        <v>685</v>
      </c>
      <c r="D173" s="2">
        <f>IF(VLOOKUP($B173,'Allocation 2021-22'!$B:$AA,10,0)="Y",VLOOKUP(iGRANTS!$B173,'Allocation 2021-22'!$B:$U,20,0),0)</f>
        <v>36173</v>
      </c>
    </row>
    <row r="174" spans="2:4">
      <c r="B174" t="s">
        <v>136</v>
      </c>
      <c r="C174" s="55" t="s">
        <v>1430</v>
      </c>
      <c r="D174" s="2">
        <f>IF(VLOOKUP($B174,'Allocation 2021-22'!$B:$AA,10,0)="Y",VLOOKUP(iGRANTS!$B174,'Allocation 2021-22'!$B:$U,20,0),0)</f>
        <v>0</v>
      </c>
    </row>
    <row r="175" spans="2:4">
      <c r="B175" t="s">
        <v>106</v>
      </c>
      <c r="C175" s="55" t="s">
        <v>1417</v>
      </c>
      <c r="D175" s="2">
        <f>IF(VLOOKUP($B175,'Allocation 2021-22'!$B:$AA,10,0)="Y",VLOOKUP(iGRANTS!$B175,'Allocation 2021-22'!$B:$U,20,0),0)</f>
        <v>104033</v>
      </c>
    </row>
    <row r="176" spans="2:4">
      <c r="B176" t="s">
        <v>214</v>
      </c>
      <c r="C176" s="55" t="s">
        <v>625</v>
      </c>
      <c r="D176" s="2">
        <f>IF(VLOOKUP($B176,'Allocation 2021-22'!$B:$AA,10,0)="Y",VLOOKUP(iGRANTS!$B176,'Allocation 2021-22'!$B:$U,20,0),0)</f>
        <v>33108</v>
      </c>
    </row>
    <row r="177" spans="2:4">
      <c r="B177" t="s">
        <v>305</v>
      </c>
      <c r="C177" s="55" t="s">
        <v>1506</v>
      </c>
      <c r="D177" s="2">
        <f>IF(VLOOKUP($B177,'Allocation 2021-22'!$B:$AA,10,0)="Y",VLOOKUP(iGRANTS!$B177,'Allocation 2021-22'!$B:$U,20,0),0)</f>
        <v>47978</v>
      </c>
    </row>
    <row r="178" spans="2:4">
      <c r="B178" t="s">
        <v>334</v>
      </c>
      <c r="C178" s="55" t="s">
        <v>1518</v>
      </c>
      <c r="D178" s="2">
        <f>IF(VLOOKUP($B178,'Allocation 2021-22'!$B:$AA,10,0)="Y",VLOOKUP(iGRANTS!$B178,'Allocation 2021-22'!$B:$U,20,0),0)</f>
        <v>0</v>
      </c>
    </row>
    <row r="179" spans="2:4">
      <c r="B179" t="s">
        <v>474</v>
      </c>
      <c r="C179" s="55" t="s">
        <v>631</v>
      </c>
      <c r="D179" s="2">
        <f>IF(VLOOKUP($B179,'Allocation 2021-22'!$B:$AA,10,0)="Y",VLOOKUP(iGRANTS!$B179,'Allocation 2021-22'!$B:$U,20,0),0)</f>
        <v>117212</v>
      </c>
    </row>
    <row r="180" spans="2:4">
      <c r="B180" t="s">
        <v>468</v>
      </c>
      <c r="C180" s="55" t="s">
        <v>1586</v>
      </c>
      <c r="D180" s="2">
        <f>IF(VLOOKUP($B180,'Allocation 2021-22'!$B:$AA,10,0)="Y",VLOOKUP(iGRANTS!$B180,'Allocation 2021-22'!$B:$U,20,0),0)</f>
        <v>0</v>
      </c>
    </row>
    <row r="181" spans="2:4">
      <c r="B181" t="s">
        <v>209</v>
      </c>
      <c r="C181" s="55" t="s">
        <v>637</v>
      </c>
      <c r="D181" s="2">
        <f>IF(VLOOKUP($B181,'Allocation 2021-22'!$B:$AA,10,0)="Y",VLOOKUP(iGRANTS!$B181,'Allocation 2021-22'!$B:$U,20,0),0)</f>
        <v>300775</v>
      </c>
    </row>
    <row r="182" spans="2:4">
      <c r="B182" t="s">
        <v>157</v>
      </c>
      <c r="C182" s="55" t="s">
        <v>1440</v>
      </c>
      <c r="D182" s="2">
        <f>IF(VLOOKUP($B182,'Allocation 2021-22'!$B:$AA,10,0)="Y",VLOOKUP(iGRANTS!$B182,'Allocation 2021-22'!$B:$U,20,0),0)</f>
        <v>31619</v>
      </c>
    </row>
    <row r="183" spans="2:4">
      <c r="B183" t="s">
        <v>541</v>
      </c>
      <c r="C183" s="55" t="s">
        <v>1619</v>
      </c>
      <c r="D183" s="2">
        <f>IF(VLOOKUP($B183,'Allocation 2021-22'!$B:$AA,10,0)="Y",VLOOKUP(iGRANTS!$B183,'Allocation 2021-22'!$B:$U,20,0),0)</f>
        <v>0</v>
      </c>
    </row>
    <row r="184" spans="2:4">
      <c r="B184" t="s">
        <v>155</v>
      </c>
      <c r="C184" s="55" t="s">
        <v>1439</v>
      </c>
      <c r="D184" s="2">
        <f>IF(VLOOKUP($B184,'Allocation 2021-22'!$B:$AA,10,0)="Y",VLOOKUP(iGRANTS!$B184,'Allocation 2021-22'!$B:$U,20,0),0)</f>
        <v>0</v>
      </c>
    </row>
    <row r="185" spans="2:4">
      <c r="B185" t="s">
        <v>325</v>
      </c>
      <c r="C185" s="55" t="s">
        <v>712</v>
      </c>
      <c r="D185" s="2">
        <f>IF(VLOOKUP($B185,'Allocation 2021-22'!$B:$AA,10,0)="Y",VLOOKUP(iGRANTS!$B185,'Allocation 2021-22'!$B:$U,20,0),0)</f>
        <v>0</v>
      </c>
    </row>
    <row r="186" spans="2:4">
      <c r="B186" t="s">
        <v>153</v>
      </c>
      <c r="C186" s="55" t="s">
        <v>1438</v>
      </c>
      <c r="D186" s="2">
        <f>IF(VLOOKUP($B186,'Allocation 2021-22'!$B:$AA,10,0)="Y",VLOOKUP(iGRANTS!$B186,'Allocation 2021-22'!$B:$U,20,0),0)</f>
        <v>0</v>
      </c>
    </row>
    <row r="187" spans="2:4">
      <c r="B187" t="s">
        <v>287</v>
      </c>
      <c r="C187" s="55" t="s">
        <v>1497</v>
      </c>
      <c r="D187" s="2">
        <f>IF(VLOOKUP($B187,'Allocation 2021-22'!$B:$AA,10,0)="Y",VLOOKUP(iGRANTS!$B187,'Allocation 2021-22'!$B:$U,20,0),0)</f>
        <v>0</v>
      </c>
    </row>
    <row r="188" spans="2:4">
      <c r="B188" t="s">
        <v>313</v>
      </c>
      <c r="C188" s="55" t="s">
        <v>1509</v>
      </c>
      <c r="D188" s="2">
        <f>IF(VLOOKUP($B188,'Allocation 2021-22'!$B:$AA,10,0)="Y",VLOOKUP(iGRANTS!$B188,'Allocation 2021-22'!$B:$U,20,0),0)</f>
        <v>11944</v>
      </c>
    </row>
    <row r="189" spans="2:4">
      <c r="B189" t="s">
        <v>478</v>
      </c>
      <c r="C189" s="55" t="s">
        <v>1590</v>
      </c>
      <c r="D189" s="2">
        <f>IF(VLOOKUP($B189,'Allocation 2021-22'!$B:$AA,10,0)="Y",VLOOKUP(iGRANTS!$B189,'Allocation 2021-22'!$B:$U,20,0),0)</f>
        <v>40452</v>
      </c>
    </row>
    <row r="190" spans="2:4">
      <c r="B190" t="s">
        <v>311</v>
      </c>
      <c r="C190" s="55" t="s">
        <v>1508</v>
      </c>
      <c r="D190" s="2">
        <f>IF(VLOOKUP($B190,'Allocation 2021-22'!$B:$AA,10,0)="Y",VLOOKUP(iGRANTS!$B190,'Allocation 2021-22'!$B:$U,20,0),0)</f>
        <v>37591</v>
      </c>
    </row>
    <row r="191" spans="2:4">
      <c r="B191" t="s">
        <v>270</v>
      </c>
      <c r="C191" s="55" t="s">
        <v>1489</v>
      </c>
      <c r="D191" s="2">
        <f>IF(VLOOKUP($B191,'Allocation 2021-22'!$B:$AA,10,0)="Y",VLOOKUP(iGRANTS!$B191,'Allocation 2021-22'!$B:$U,20,0),0)</f>
        <v>0</v>
      </c>
    </row>
    <row r="192" spans="2:4">
      <c r="B192" t="s">
        <v>448</v>
      </c>
      <c r="C192" s="55" t="s">
        <v>1576</v>
      </c>
      <c r="D192" s="2">
        <f>IF(VLOOKUP($B192,'Allocation 2021-22'!$B:$AA,10,0)="Y",VLOOKUP(iGRANTS!$B192,'Allocation 2021-22'!$B:$U,20,0),0)</f>
        <v>0</v>
      </c>
    </row>
    <row r="193" spans="2:4">
      <c r="B193" t="s">
        <v>372</v>
      </c>
      <c r="C193" s="55" t="s">
        <v>1538</v>
      </c>
      <c r="D193" s="2">
        <f>IF(VLOOKUP($B193,'Allocation 2021-22'!$B:$AA,10,0)="Y",VLOOKUP(iGRANTS!$B193,'Allocation 2021-22'!$B:$U,20,0),0)</f>
        <v>0</v>
      </c>
    </row>
    <row r="194" spans="2:4">
      <c r="B194" t="s">
        <v>424</v>
      </c>
      <c r="C194" s="55" t="s">
        <v>1563</v>
      </c>
      <c r="D194" s="2">
        <f>IF(VLOOKUP($B194,'Allocation 2021-22'!$B:$AA,10,0)="Y",VLOOKUP(iGRANTS!$B194,'Allocation 2021-22'!$B:$U,20,0),0)</f>
        <v>0</v>
      </c>
    </row>
    <row r="195" spans="2:4">
      <c r="B195" t="s">
        <v>98</v>
      </c>
      <c r="C195" s="55" t="s">
        <v>1413</v>
      </c>
      <c r="D195" s="2">
        <f>IF(VLOOKUP($B195,'Allocation 2021-22'!$B:$AA,10,0)="Y",VLOOKUP(iGRANTS!$B195,'Allocation 2021-22'!$B:$U,20,0),0)</f>
        <v>0</v>
      </c>
    </row>
    <row r="196" spans="2:4">
      <c r="B196" t="s">
        <v>82</v>
      </c>
      <c r="C196" s="55" t="s">
        <v>1405</v>
      </c>
      <c r="D196" s="2">
        <f>IF(VLOOKUP($B196,'Allocation 2021-22'!$B:$AA,10,0)="Y",VLOOKUP(iGRANTS!$B196,'Allocation 2021-22'!$B:$U,20,0),0)</f>
        <v>0</v>
      </c>
    </row>
    <row r="197" spans="2:4">
      <c r="B197" t="s">
        <v>323</v>
      </c>
      <c r="C197" s="55" t="s">
        <v>1513</v>
      </c>
      <c r="D197" s="2">
        <f>IF(VLOOKUP($B197,'Allocation 2021-22'!$B:$AA,10,0)="Y",VLOOKUP(iGRANTS!$B197,'Allocation 2021-22'!$B:$U,20,0),0)</f>
        <v>0</v>
      </c>
    </row>
    <row r="198" spans="2:4">
      <c r="B198" t="s">
        <v>355</v>
      </c>
      <c r="C198" s="55" t="s">
        <v>1529</v>
      </c>
      <c r="D198" s="2">
        <f>IF(VLOOKUP($B198,'Allocation 2021-22'!$B:$AA,10,0)="Y",VLOOKUP(iGRANTS!$B198,'Allocation 2021-22'!$B:$U,20,0),0)</f>
        <v>0</v>
      </c>
    </row>
    <row r="199" spans="2:4">
      <c r="B199" t="s">
        <v>4</v>
      </c>
      <c r="C199" s="55" t="s">
        <v>632</v>
      </c>
      <c r="D199" s="2">
        <f>IF(VLOOKUP($B199,'Allocation 2021-22'!$B:$AA,10,0)="Y",VLOOKUP(iGRANTS!$B199,'Allocation 2021-22'!$B:$U,20,0),0)</f>
        <v>241333</v>
      </c>
    </row>
    <row r="200" spans="2:4">
      <c r="B200" t="s">
        <v>86</v>
      </c>
      <c r="C200" s="55" t="s">
        <v>1407</v>
      </c>
      <c r="D200" s="2">
        <f>IF(VLOOKUP($B200,'Allocation 2021-22'!$B:$AA,10,0)="Y",VLOOKUP(iGRANTS!$B200,'Allocation 2021-22'!$B:$U,20,0),0)</f>
        <v>0</v>
      </c>
    </row>
    <row r="201" spans="2:4">
      <c r="B201" t="s">
        <v>527</v>
      </c>
      <c r="C201" s="55" t="s">
        <v>1612</v>
      </c>
      <c r="D201" s="2">
        <f>IF(VLOOKUP($B201,'Allocation 2021-22'!$B:$AA,10,0)="Y",VLOOKUP(iGRANTS!$B201,'Allocation 2021-22'!$B:$U,20,0),0)</f>
        <v>0</v>
      </c>
    </row>
    <row r="202" spans="2:4">
      <c r="B202" t="s">
        <v>104</v>
      </c>
      <c r="C202" s="55" t="s">
        <v>1416</v>
      </c>
      <c r="D202" s="2">
        <f>IF(VLOOKUP($B202,'Allocation 2021-22'!$B:$AA,10,0)="Y",VLOOKUP(iGRANTS!$B202,'Allocation 2021-22'!$B:$U,20,0),0)</f>
        <v>831602</v>
      </c>
    </row>
    <row r="203" spans="2:4">
      <c r="B203" t="s">
        <v>317</v>
      </c>
      <c r="C203" s="55" t="s">
        <v>1511</v>
      </c>
      <c r="D203" s="2">
        <f>IF(VLOOKUP($B203,'Allocation 2021-22'!$B:$AA,10,0)="Y",VLOOKUP(iGRANTS!$B203,'Allocation 2021-22'!$B:$U,20,0),0)</f>
        <v>0</v>
      </c>
    </row>
    <row r="204" spans="2:4">
      <c r="B204" t="s">
        <v>16</v>
      </c>
      <c r="C204" s="55" t="s">
        <v>1375</v>
      </c>
      <c r="D204" s="2">
        <f>IF(VLOOKUP($B204,'Allocation 2021-22'!$B:$AA,10,0)="Y",VLOOKUP(iGRANTS!$B204,'Allocation 2021-22'!$B:$U,20,0),0)</f>
        <v>0</v>
      </c>
    </row>
    <row r="205" spans="2:4">
      <c r="B205" t="s">
        <v>272</v>
      </c>
      <c r="C205" s="55" t="s">
        <v>1490</v>
      </c>
      <c r="D205" s="2">
        <f>IF(VLOOKUP($B205,'Allocation 2021-22'!$B:$AA,10,0)="Y",VLOOKUP(iGRANTS!$B205,'Allocation 2021-22'!$B:$U,20,0),0)</f>
        <v>0</v>
      </c>
    </row>
    <row r="206" spans="2:4">
      <c r="B206" t="s">
        <v>359</v>
      </c>
      <c r="C206" s="55" t="s">
        <v>626</v>
      </c>
      <c r="D206" s="2">
        <f>IF(VLOOKUP($B206,'Allocation 2021-22'!$B:$AA,10,0)="Y",VLOOKUP(iGRANTS!$B206,'Allocation 2021-22'!$B:$U,20,0),0)</f>
        <v>25876</v>
      </c>
    </row>
    <row r="207" spans="2:4">
      <c r="B207" t="s">
        <v>1778</v>
      </c>
      <c r="C207" s="55" t="s">
        <v>1786</v>
      </c>
      <c r="D207" s="2">
        <f>IF(VLOOKUP($B207,'Allocation 2021-22'!$B:$AA,10,0)="Y",VLOOKUP(iGRANTS!$B207,'Allocation 2021-22'!$B:$U,20,0),0)</f>
        <v>0</v>
      </c>
    </row>
    <row r="208" spans="2:4">
      <c r="B208" t="s">
        <v>303</v>
      </c>
      <c r="C208" s="55" t="s">
        <v>1505</v>
      </c>
      <c r="D208" s="2">
        <f>IF(VLOOKUP($B208,'Allocation 2021-22'!$B:$AA,10,0)="Y",VLOOKUP(iGRANTS!$B208,'Allocation 2021-22'!$B:$U,20,0),0)</f>
        <v>0</v>
      </c>
    </row>
    <row r="209" spans="2:4">
      <c r="B209" t="s">
        <v>112</v>
      </c>
      <c r="C209" s="55" t="s">
        <v>1420</v>
      </c>
      <c r="D209" s="2">
        <f>IF(VLOOKUP($B209,'Allocation 2021-22'!$B:$AA,10,0)="Y",VLOOKUP(iGRANTS!$B209,'Allocation 2021-22'!$B:$U,20,0),0)</f>
        <v>0</v>
      </c>
    </row>
    <row r="210" spans="2:4">
      <c r="B210" t="s">
        <v>39</v>
      </c>
      <c r="C210" s="55" t="s">
        <v>1385</v>
      </c>
      <c r="D210" s="2">
        <f>IF(VLOOKUP($B210,'Allocation 2021-22'!$B:$AA,10,0)="Y",VLOOKUP(iGRANTS!$B210,'Allocation 2021-22'!$B:$U,20,0),0)</f>
        <v>0</v>
      </c>
    </row>
    <row r="211" spans="2:4">
      <c r="B211" t="s">
        <v>171</v>
      </c>
      <c r="C211" s="55" t="s">
        <v>1447</v>
      </c>
      <c r="D211" s="2">
        <f>IF(VLOOKUP($B211,'Allocation 2021-22'!$B:$AA,10,0)="Y",VLOOKUP(iGRANTS!$B211,'Allocation 2021-22'!$B:$U,20,0),0)</f>
        <v>0</v>
      </c>
    </row>
    <row r="212" spans="2:4">
      <c r="B212" t="s">
        <v>502</v>
      </c>
      <c r="C212" s="55" t="s">
        <v>1601</v>
      </c>
      <c r="D212" s="2">
        <f>IF(VLOOKUP($B212,'Allocation 2021-22'!$B:$AA,10,0)="Y",VLOOKUP(iGRANTS!$B212,'Allocation 2021-22'!$B:$U,20,0),0)</f>
        <v>11073</v>
      </c>
    </row>
    <row r="213" spans="2:4">
      <c r="B213" t="s">
        <v>1690</v>
      </c>
      <c r="C213" s="55" t="s">
        <v>1765</v>
      </c>
      <c r="D213" s="2">
        <f>IF(VLOOKUP($B213,'Allocation 2021-22'!$B:$AA,10,0)="Y",VLOOKUP(iGRANTS!$B213,'Allocation 2021-22'!$B:$U,20,0),0)</f>
        <v>0</v>
      </c>
    </row>
    <row r="214" spans="2:4">
      <c r="B214" t="s">
        <v>21</v>
      </c>
      <c r="C214" s="55" t="s">
        <v>1378</v>
      </c>
      <c r="D214" s="2">
        <f>IF(VLOOKUP($B214,'Allocation 2021-22'!$B:$AA,10,0)="Y",VLOOKUP(iGRANTS!$B214,'Allocation 2021-22'!$B:$U,20,0),0)</f>
        <v>79964</v>
      </c>
    </row>
    <row r="215" spans="2:4">
      <c r="B215" t="s">
        <v>523</v>
      </c>
      <c r="C215" s="55" t="s">
        <v>1610</v>
      </c>
      <c r="D215" s="2">
        <f>IF(VLOOKUP($B215,'Allocation 2021-22'!$B:$AA,10,0)="Y",VLOOKUP(iGRANTS!$B215,'Allocation 2021-22'!$B:$U,20,0),0)</f>
        <v>15169</v>
      </c>
    </row>
    <row r="216" spans="2:4">
      <c r="B216" t="s">
        <v>1779</v>
      </c>
      <c r="C216" s="55" t="s">
        <v>1787</v>
      </c>
      <c r="D216" s="2">
        <f>IF(VLOOKUP($B216,'Allocation 2021-22'!$B:$AA,10,0)="Y",VLOOKUP(iGRANTS!$B216,'Allocation 2021-22'!$B:$U,20,0),0)</f>
        <v>0</v>
      </c>
    </row>
    <row r="217" spans="2:4">
      <c r="B217" t="s">
        <v>343</v>
      </c>
      <c r="C217" s="55" t="s">
        <v>1523</v>
      </c>
      <c r="D217" s="2">
        <f>IF(VLOOKUP($B217,'Allocation 2021-22'!$B:$AA,10,0)="Y",VLOOKUP(iGRANTS!$B217,'Allocation 2021-22'!$B:$U,20,0),0)</f>
        <v>177454</v>
      </c>
    </row>
    <row r="218" spans="2:4">
      <c r="B218" t="s">
        <v>163</v>
      </c>
      <c r="C218" s="55" t="s">
        <v>1443</v>
      </c>
      <c r="D218" s="2">
        <f>IF(VLOOKUP($B218,'Allocation 2021-22'!$B:$AA,10,0)="Y",VLOOKUP(iGRANTS!$B218,'Allocation 2021-22'!$B:$U,20,0),0)</f>
        <v>0</v>
      </c>
    </row>
    <row r="219" spans="2:4">
      <c r="B219" t="s">
        <v>167</v>
      </c>
      <c r="C219" s="55" t="s">
        <v>1445</v>
      </c>
      <c r="D219" s="2">
        <f>IF(VLOOKUP($B219,'Allocation 2021-22'!$B:$AA,10,0)="Y",VLOOKUP(iGRANTS!$B219,'Allocation 2021-22'!$B:$U,20,0),0)</f>
        <v>0</v>
      </c>
    </row>
    <row r="220" spans="2:4">
      <c r="B220" t="s">
        <v>47</v>
      </c>
      <c r="C220" s="55" t="s">
        <v>1389</v>
      </c>
      <c r="D220" s="2">
        <f>IF(VLOOKUP($B220,'Allocation 2021-22'!$B:$AA,10,0)="Y",VLOOKUP(iGRANTS!$B220,'Allocation 2021-22'!$B:$U,20,0),0)</f>
        <v>31070</v>
      </c>
    </row>
    <row r="221" spans="2:4">
      <c r="B221" t="s">
        <v>145</v>
      </c>
      <c r="C221" s="55" t="s">
        <v>607</v>
      </c>
      <c r="D221" s="2">
        <f>IF(VLOOKUP($B221,'Allocation 2021-22'!$B:$AA,10,0)="Y",VLOOKUP(iGRANTS!$B221,'Allocation 2021-22'!$B:$U,20,0),0)</f>
        <v>0</v>
      </c>
    </row>
    <row r="222" spans="2:4">
      <c r="B222" t="s">
        <v>116</v>
      </c>
      <c r="C222" s="55" t="s">
        <v>1421</v>
      </c>
      <c r="D222" s="2">
        <f>IF(VLOOKUP($B222,'Allocation 2021-22'!$B:$AA,10,0)="Y",VLOOKUP(iGRANTS!$B222,'Allocation 2021-22'!$B:$U,20,0),0)</f>
        <v>168051</v>
      </c>
    </row>
    <row r="223" spans="2:4">
      <c r="B223" t="s">
        <v>480</v>
      </c>
      <c r="C223" s="55" t="s">
        <v>1591</v>
      </c>
      <c r="D223" s="2">
        <f>IF(VLOOKUP($B223,'Allocation 2021-22'!$B:$AA,10,0)="Y",VLOOKUP(iGRANTS!$B223,'Allocation 2021-22'!$B:$U,20,0),0)</f>
        <v>0</v>
      </c>
    </row>
    <row r="224" spans="2:4">
      <c r="B224" t="s">
        <v>1686</v>
      </c>
      <c r="C224" s="55" t="s">
        <v>1766</v>
      </c>
      <c r="D224" s="2">
        <f>IF(VLOOKUP($B224,'Allocation 2021-22'!$B:$AA,10,0)="Y",VLOOKUP(iGRANTS!$B224,'Allocation 2021-22'!$B:$U,20,0),0)</f>
        <v>11188</v>
      </c>
    </row>
    <row r="225" spans="2:4">
      <c r="B225" t="s">
        <v>1720</v>
      </c>
      <c r="C225" s="55" t="s">
        <v>1789</v>
      </c>
      <c r="D225" s="2">
        <f>IF(VLOOKUP($B225,'Allocation 2021-22'!$B:$AA,10,0)="Y",VLOOKUP(iGRANTS!$B225,'Allocation 2021-22'!$B:$U,20,0),0)</f>
        <v>0</v>
      </c>
    </row>
    <row r="226" spans="2:4">
      <c r="B226" t="s">
        <v>327</v>
      </c>
      <c r="C226" s="55" t="s">
        <v>1514</v>
      </c>
      <c r="D226" s="2">
        <f>IF(VLOOKUP($B226,'Allocation 2021-22'!$B:$AA,10,0)="Y",VLOOKUP(iGRANTS!$B226,'Allocation 2021-22'!$B:$U,20,0),0)</f>
        <v>0</v>
      </c>
    </row>
    <row r="227" spans="2:4">
      <c r="B227" t="s">
        <v>282</v>
      </c>
      <c r="C227" s="55" t="s">
        <v>1494</v>
      </c>
      <c r="D227" s="2">
        <f>IF(VLOOKUP($B227,'Allocation 2021-22'!$B:$AA,10,0)="Y",VLOOKUP(iGRANTS!$B227,'Allocation 2021-22'!$B:$U,20,0),0)</f>
        <v>0</v>
      </c>
    </row>
    <row r="228" spans="2:4">
      <c r="B228" t="s">
        <v>185</v>
      </c>
      <c r="C228" s="55" t="s">
        <v>638</v>
      </c>
      <c r="D228" s="2">
        <f>IF(VLOOKUP($B228,'Allocation 2021-22'!$B:$AA,10,0)="Y",VLOOKUP(iGRANTS!$B228,'Allocation 2021-22'!$B:$U,20,0),0)</f>
        <v>405723</v>
      </c>
    </row>
    <row r="229" spans="2:4">
      <c r="B229" t="s">
        <v>102</v>
      </c>
      <c r="C229" s="55" t="s">
        <v>1415</v>
      </c>
      <c r="D229" s="2">
        <f>IF(VLOOKUP($B229,'Allocation 2021-22'!$B:$AA,10,0)="Y",VLOOKUP(iGRANTS!$B229,'Allocation 2021-22'!$B:$U,20,0),0)</f>
        <v>0</v>
      </c>
    </row>
    <row r="230" spans="2:4">
      <c r="B230" t="s">
        <v>23</v>
      </c>
      <c r="C230" s="55" t="s">
        <v>1379</v>
      </c>
      <c r="D230" s="2">
        <f>IF(VLOOKUP($B230,'Allocation 2021-22'!$B:$AA,10,0)="Y",VLOOKUP(iGRANTS!$B230,'Allocation 2021-22'!$B:$U,20,0),0)</f>
        <v>100693</v>
      </c>
    </row>
    <row r="231" spans="2:4">
      <c r="B231" t="s">
        <v>64</v>
      </c>
      <c r="C231" s="55" t="s">
        <v>1397</v>
      </c>
      <c r="D231" s="2">
        <f>IF(VLOOKUP($B231,'Allocation 2021-22'!$B:$AA,10,0)="Y",VLOOKUP(iGRANTS!$B231,'Allocation 2021-22'!$B:$U,20,0),0)</f>
        <v>12263</v>
      </c>
    </row>
    <row r="232" spans="2:4">
      <c r="B232" t="s">
        <v>8</v>
      </c>
      <c r="C232" s="55" t="s">
        <v>1372</v>
      </c>
      <c r="D232" s="2">
        <f>IF(VLOOKUP($B232,'Allocation 2021-22'!$B:$AA,10,0)="Y",VLOOKUP(iGRANTS!$B232,'Allocation 2021-22'!$B:$U,20,0),0)</f>
        <v>0</v>
      </c>
    </row>
    <row r="233" spans="2:4">
      <c r="B233" t="s">
        <v>446</v>
      </c>
      <c r="C233" s="55" t="s">
        <v>1575</v>
      </c>
      <c r="D233" s="2">
        <f>IF(VLOOKUP($B233,'Allocation 2021-22'!$B:$AA,10,0)="Y",VLOOKUP(iGRANTS!$B233,'Allocation 2021-22'!$B:$U,20,0),0)</f>
        <v>0</v>
      </c>
    </row>
    <row r="234" spans="2:4">
      <c r="B234" t="s">
        <v>193</v>
      </c>
      <c r="C234" s="55" t="s">
        <v>1457</v>
      </c>
      <c r="D234" s="2">
        <f>IF(VLOOKUP($B234,'Allocation 2021-22'!$B:$AA,10,0)="Y",VLOOKUP(iGRANTS!$B234,'Allocation 2021-22'!$B:$U,20,0),0)</f>
        <v>24984</v>
      </c>
    </row>
    <row r="235" spans="2:4">
      <c r="B235" t="s">
        <v>484</v>
      </c>
      <c r="C235" s="55" t="s">
        <v>1593</v>
      </c>
      <c r="D235" s="2">
        <f>IF(VLOOKUP($B235,'Allocation 2021-22'!$B:$AA,10,0)="Y",VLOOKUP(iGRANTS!$B235,'Allocation 2021-22'!$B:$U,20,0),0)</f>
        <v>0</v>
      </c>
    </row>
    <row r="236" spans="2:4">
      <c r="B236" t="s">
        <v>244</v>
      </c>
      <c r="C236" s="55" t="s">
        <v>1478</v>
      </c>
      <c r="D236" s="2">
        <f>IF(VLOOKUP($B236,'Allocation 2021-22'!$B:$AA,10,0)="Y",VLOOKUP(iGRANTS!$B236,'Allocation 2021-22'!$B:$U,20,0),0)</f>
        <v>0</v>
      </c>
    </row>
    <row r="237" spans="2:4">
      <c r="B237" t="s">
        <v>537</v>
      </c>
      <c r="C237" s="55" t="s">
        <v>1617</v>
      </c>
      <c r="D237" s="2">
        <f>IF(VLOOKUP($B237,'Allocation 2021-22'!$B:$AA,10,0)="Y",VLOOKUP(iGRANTS!$B237,'Allocation 2021-22'!$B:$U,20,0),0)</f>
        <v>0</v>
      </c>
    </row>
    <row r="238" spans="2:4">
      <c r="B238" t="s">
        <v>123</v>
      </c>
      <c r="C238" s="55" t="s">
        <v>1425</v>
      </c>
      <c r="D238" s="2">
        <f>IF(VLOOKUP($B238,'Allocation 2021-22'!$B:$AA,10,0)="Y",VLOOKUP(iGRANTS!$B238,'Allocation 2021-22'!$B:$U,20,0),0)</f>
        <v>113825</v>
      </c>
    </row>
    <row r="239" spans="2:4">
      <c r="B239" t="s">
        <v>375</v>
      </c>
      <c r="C239" s="55" t="s">
        <v>1269</v>
      </c>
      <c r="D239" s="2">
        <f>IF(VLOOKUP($B239,'Allocation 2021-22'!$B:$AA,10,0)="Y",VLOOKUP(iGRANTS!$B239,'Allocation 2021-22'!$B:$U,20,0),0)</f>
        <v>0</v>
      </c>
    </row>
    <row r="240" spans="2:4">
      <c r="B240" t="s">
        <v>149</v>
      </c>
      <c r="C240" s="55" t="s">
        <v>1436</v>
      </c>
      <c r="D240" s="2">
        <f>IF(VLOOKUP($B240,'Allocation 2021-22'!$B:$AA,10,0)="Y",VLOOKUP(iGRANTS!$B240,'Allocation 2021-22'!$B:$U,20,0),0)</f>
        <v>0</v>
      </c>
    </row>
    <row r="241" spans="2:4">
      <c r="B241" t="s">
        <v>1682</v>
      </c>
      <c r="C241" s="55" t="s">
        <v>1683</v>
      </c>
      <c r="D241" s="2">
        <f>IF(VLOOKUP($B241,'Allocation 2021-22'!$B:$AA,10,0)="Y",VLOOKUP(iGRANTS!$B241,'Allocation 2021-22'!$B:$U,20,0),0)</f>
        <v>0</v>
      </c>
    </row>
    <row r="242" spans="2:4">
      <c r="B242" t="s">
        <v>1684</v>
      </c>
      <c r="C242" s="55" t="s">
        <v>1685</v>
      </c>
      <c r="D242" s="2">
        <f>IF(VLOOKUP($B242,'Allocation 2021-22'!$B:$AA,10,0)="Y",VLOOKUP(iGRANTS!$B242,'Allocation 2021-22'!$B:$U,20,0),0)</f>
        <v>0</v>
      </c>
    </row>
    <row r="243" spans="2:4">
      <c r="B243" t="s">
        <v>173</v>
      </c>
      <c r="C243" s="55" t="s">
        <v>1448</v>
      </c>
      <c r="D243" s="2">
        <f>IF(VLOOKUP($B243,'Allocation 2021-22'!$B:$AA,10,0)="Y",VLOOKUP(iGRANTS!$B243,'Allocation 2021-22'!$B:$U,20,0),0)</f>
        <v>908999</v>
      </c>
    </row>
    <row r="244" spans="2:4">
      <c r="B244" t="s">
        <v>379</v>
      </c>
      <c r="C244" s="55" t="s">
        <v>686</v>
      </c>
      <c r="D244" s="2">
        <f>IF(VLOOKUP($B244,'Allocation 2021-22'!$B:$AA,10,0)="Y",VLOOKUP(iGRANTS!$B244,'Allocation 2021-22'!$B:$U,20,0),0)</f>
        <v>50953</v>
      </c>
    </row>
    <row r="245" spans="2:4">
      <c r="B245" t="s">
        <v>551</v>
      </c>
      <c r="C245" s="55" t="s">
        <v>1624</v>
      </c>
      <c r="D245" s="2">
        <f>IF(VLOOKUP($B245,'Allocation 2021-22'!$B:$AA,10,0)="Y",VLOOKUP(iGRANTS!$B245,'Allocation 2021-22'!$B:$U,20,0),0)</f>
        <v>46926</v>
      </c>
    </row>
    <row r="246" spans="2:4">
      <c r="B246" t="s">
        <v>340</v>
      </c>
      <c r="C246" s="55" t="s">
        <v>1521</v>
      </c>
      <c r="D246" s="2">
        <f>IF(VLOOKUP($B246,'Allocation 2021-22'!$B:$AA,10,0)="Y",VLOOKUP(iGRANTS!$B246,'Allocation 2021-22'!$B:$U,20,0),0)</f>
        <v>0</v>
      </c>
    </row>
    <row r="247" spans="2:4">
      <c r="B247" t="s">
        <v>43</v>
      </c>
      <c r="C247" s="55" t="s">
        <v>1387</v>
      </c>
      <c r="D247" s="2">
        <f>IF(VLOOKUP($B247,'Allocation 2021-22'!$B:$AA,10,0)="Y",VLOOKUP(iGRANTS!$B247,'Allocation 2021-22'!$B:$U,20,0),0)</f>
        <v>0</v>
      </c>
    </row>
    <row r="248" spans="2:4">
      <c r="B248" t="s">
        <v>371</v>
      </c>
      <c r="C248" s="55" t="s">
        <v>1537</v>
      </c>
      <c r="D248" s="2">
        <f>IF(VLOOKUP($B248,'Allocation 2021-22'!$B:$AA,10,0)="Y",VLOOKUP(iGRANTS!$B248,'Allocation 2021-22'!$B:$U,20,0),0)</f>
        <v>0</v>
      </c>
    </row>
    <row r="249" spans="2:4">
      <c r="B249" t="s">
        <v>299</v>
      </c>
      <c r="C249" s="55" t="s">
        <v>1503</v>
      </c>
      <c r="D249" s="2">
        <f>IF(VLOOKUP($B249,'Allocation 2021-22'!$B:$AA,10,0)="Y",VLOOKUP(iGRANTS!$B249,'Allocation 2021-22'!$B:$U,20,0),0)</f>
        <v>121422</v>
      </c>
    </row>
    <row r="250" spans="2:4">
      <c r="B250" t="s">
        <v>203</v>
      </c>
      <c r="C250" s="55" t="s">
        <v>640</v>
      </c>
      <c r="D250" s="2">
        <f>IF(VLOOKUP($B250,'Allocation 2021-22'!$B:$AA,10,0)="Y",VLOOKUP(iGRANTS!$B250,'Allocation 2021-22'!$B:$U,20,0),0)</f>
        <v>127874</v>
      </c>
    </row>
    <row r="251" spans="2:4">
      <c r="B251" t="s">
        <v>387</v>
      </c>
      <c r="C251" s="55" t="s">
        <v>1545</v>
      </c>
      <c r="D251" s="2">
        <f>IF(VLOOKUP($B251,'Allocation 2021-22'!$B:$AA,10,0)="Y",VLOOKUP(iGRANTS!$B251,'Allocation 2021-22'!$B:$U,20,0),0)</f>
        <v>0</v>
      </c>
    </row>
    <row r="252" spans="2:4">
      <c r="B252" t="s">
        <v>187</v>
      </c>
      <c r="C252" s="55" t="s">
        <v>1454</v>
      </c>
      <c r="D252" s="2">
        <f>IF(VLOOKUP($B252,'Allocation 2021-22'!$B:$AA,10,0)="Y",VLOOKUP(iGRANTS!$B252,'Allocation 2021-22'!$B:$U,20,0),0)</f>
        <v>0</v>
      </c>
    </row>
    <row r="253" spans="2:4">
      <c r="B253" t="s">
        <v>411</v>
      </c>
      <c r="C253" s="55" t="s">
        <v>1556</v>
      </c>
      <c r="D253" s="2">
        <f>IF(VLOOKUP($B253,'Allocation 2021-22'!$B:$AA,10,0)="Y",VLOOKUP(iGRANTS!$B253,'Allocation 2021-22'!$B:$U,20,0),0)</f>
        <v>54659</v>
      </c>
    </row>
    <row r="254" spans="2:4">
      <c r="B254" t="s">
        <v>199</v>
      </c>
      <c r="C254" s="55" t="s">
        <v>1272</v>
      </c>
      <c r="D254" s="2">
        <f>IF(VLOOKUP($B254,'Allocation 2021-22'!$B:$AA,10,0)="Y",VLOOKUP(iGRANTS!$B254,'Allocation 2021-22'!$B:$U,20,0),0)</f>
        <v>34686</v>
      </c>
    </row>
    <row r="255" spans="2:4">
      <c r="B255" t="s">
        <v>121</v>
      </c>
      <c r="C255" s="55" t="s">
        <v>1424</v>
      </c>
      <c r="D255" s="2">
        <f>IF(VLOOKUP($B255,'Allocation 2021-22'!$B:$AA,10,0)="Y",VLOOKUP(iGRANTS!$B255,'Allocation 2021-22'!$B:$U,20,0),0)</f>
        <v>13406</v>
      </c>
    </row>
    <row r="256" spans="2:4">
      <c r="B256" t="s">
        <v>329</v>
      </c>
      <c r="C256" s="55" t="s">
        <v>1515</v>
      </c>
      <c r="D256" s="2">
        <f>IF(VLOOKUP($B256,'Allocation 2021-22'!$B:$AA,10,0)="Y",VLOOKUP(iGRANTS!$B256,'Allocation 2021-22'!$B:$U,20,0),0)</f>
        <v>12264</v>
      </c>
    </row>
    <row r="257" spans="2:4">
      <c r="B257" t="s">
        <v>218</v>
      </c>
      <c r="C257" s="55" t="s">
        <v>1465</v>
      </c>
      <c r="D257" s="2">
        <f>IF(VLOOKUP($B257,'Allocation 2021-22'!$B:$AA,10,0)="Y",VLOOKUP(iGRANTS!$B257,'Allocation 2021-22'!$B:$U,20,0),0)</f>
        <v>36882</v>
      </c>
    </row>
    <row r="258" spans="2:4">
      <c r="B258" t="s">
        <v>161</v>
      </c>
      <c r="C258" s="55" t="s">
        <v>1442</v>
      </c>
      <c r="D258" s="2">
        <f>IF(VLOOKUP($B258,'Allocation 2021-22'!$B:$AA,10,0)="Y",VLOOKUP(iGRANTS!$B258,'Allocation 2021-22'!$B:$U,20,0),0)</f>
        <v>0</v>
      </c>
    </row>
    <row r="259" spans="2:4">
      <c r="B259" t="s">
        <v>295</v>
      </c>
      <c r="C259" s="55" t="s">
        <v>1501</v>
      </c>
      <c r="D259" s="2">
        <f>IF(VLOOKUP($B259,'Allocation 2021-22'!$B:$AA,10,0)="Y",VLOOKUP(iGRANTS!$B259,'Allocation 2021-22'!$B:$U,20,0),0)</f>
        <v>0</v>
      </c>
    </row>
    <row r="260" spans="2:4">
      <c r="B260" t="s">
        <v>422</v>
      </c>
      <c r="C260" s="55" t="s">
        <v>1562</v>
      </c>
      <c r="D260" s="2">
        <f>IF(VLOOKUP($B260,'Allocation 2021-22'!$B:$AA,10,0)="Y",VLOOKUP(iGRANTS!$B260,'Allocation 2021-22'!$B:$U,20,0),0)</f>
        <v>262337</v>
      </c>
    </row>
    <row r="261" spans="2:4">
      <c r="B261" t="s">
        <v>1691</v>
      </c>
      <c r="C261" s="55" t="s">
        <v>1767</v>
      </c>
      <c r="D261" s="2">
        <f>IF(VLOOKUP($B261,'Allocation 2021-22'!$B:$AA,10,0)="Y",VLOOKUP(iGRANTS!$B261,'Allocation 2021-22'!$B:$U,20,0),0)</f>
        <v>0</v>
      </c>
    </row>
    <row r="262" spans="2:4">
      <c r="B262" t="s">
        <v>280</v>
      </c>
      <c r="C262" s="55" t="s">
        <v>1493</v>
      </c>
      <c r="D262" s="2">
        <f>IF(VLOOKUP($B262,'Allocation 2021-22'!$B:$AA,10,0)="Y",VLOOKUP(iGRANTS!$B262,'Allocation 2021-22'!$B:$U,20,0),0)</f>
        <v>0</v>
      </c>
    </row>
    <row r="263" spans="2:4">
      <c r="B263" t="s">
        <v>539</v>
      </c>
      <c r="C263" s="55" t="s">
        <v>1618</v>
      </c>
      <c r="D263" s="2">
        <f>IF(VLOOKUP($B263,'Allocation 2021-22'!$B:$AA,10,0)="Y",VLOOKUP(iGRANTS!$B263,'Allocation 2021-22'!$B:$U,20,0),0)</f>
        <v>0</v>
      </c>
    </row>
    <row r="264" spans="2:4">
      <c r="B264" t="s">
        <v>421</v>
      </c>
      <c r="C264" s="55" t="s">
        <v>1561</v>
      </c>
      <c r="D264" s="2">
        <f>IF(VLOOKUP($B264,'Allocation 2021-22'!$B:$AA,10,0)="Y",VLOOKUP(iGRANTS!$B264,'Allocation 2021-22'!$B:$U,20,0),0)</f>
        <v>16909</v>
      </c>
    </row>
    <row r="265" spans="2:4">
      <c r="B265" t="s">
        <v>108</v>
      </c>
      <c r="C265" s="55" t="s">
        <v>1418</v>
      </c>
      <c r="D265" s="2">
        <f>IF(VLOOKUP($B265,'Allocation 2021-22'!$B:$AA,10,0)="Y",VLOOKUP(iGRANTS!$B265,'Allocation 2021-22'!$B:$U,20,0),0)</f>
        <v>0</v>
      </c>
    </row>
    <row r="266" spans="2:4">
      <c r="B266" t="s">
        <v>68</v>
      </c>
      <c r="C266" s="55" t="s">
        <v>1398</v>
      </c>
      <c r="D266" s="2">
        <f>IF(VLOOKUP($B266,'Allocation 2021-22'!$B:$AA,10,0)="Y",VLOOKUP(iGRANTS!$B266,'Allocation 2021-22'!$B:$U,20,0),0)</f>
        <v>0</v>
      </c>
    </row>
    <row r="267" spans="2:4">
      <c r="B267" t="s">
        <v>27</v>
      </c>
      <c r="C267" s="55" t="s">
        <v>1381</v>
      </c>
      <c r="D267" s="2">
        <f>IF(VLOOKUP($B267,'Allocation 2021-22'!$B:$AA,10,0)="Y",VLOOKUP(iGRANTS!$B267,'Allocation 2021-22'!$B:$U,20,0),0)</f>
        <v>0</v>
      </c>
    </row>
    <row r="268" spans="2:4">
      <c r="B268" t="s">
        <v>342</v>
      </c>
      <c r="C268" s="55" t="s">
        <v>1522</v>
      </c>
      <c r="D268" s="2">
        <f>IF(VLOOKUP($B268,'Allocation 2021-22'!$B:$AA,10,0)="Y",VLOOKUP(iGRANTS!$B268,'Allocation 2021-22'!$B:$U,20,0),0)</f>
        <v>13957</v>
      </c>
    </row>
    <row r="269" spans="2:4">
      <c r="B269" t="s">
        <v>531</v>
      </c>
      <c r="C269" s="55" t="s">
        <v>1614</v>
      </c>
      <c r="D269" s="2">
        <f>IF(VLOOKUP($B269,'Allocation 2021-22'!$B:$AA,10,0)="Y",VLOOKUP(iGRANTS!$B269,'Allocation 2021-22'!$B:$U,20,0),0)</f>
        <v>0</v>
      </c>
    </row>
    <row r="270" spans="2:4">
      <c r="B270" t="s">
        <v>393</v>
      </c>
      <c r="C270" s="55" t="s">
        <v>1548</v>
      </c>
      <c r="D270" s="2">
        <f>IF(VLOOKUP($B270,'Allocation 2021-22'!$B:$AA,10,0)="Y",VLOOKUP(iGRANTS!$B270,'Allocation 2021-22'!$B:$U,20,0),0)</f>
        <v>0</v>
      </c>
    </row>
    <row r="271" spans="2:4">
      <c r="B271" t="s">
        <v>415</v>
      </c>
      <c r="C271" s="55" t="s">
        <v>1558</v>
      </c>
      <c r="D271" s="2">
        <f>IF(VLOOKUP($B271,'Allocation 2021-22'!$B:$AA,10,0)="Y",VLOOKUP(iGRANTS!$B271,'Allocation 2021-22'!$B:$U,20,0),0)</f>
        <v>28485</v>
      </c>
    </row>
    <row r="272" spans="2:4">
      <c r="B272" t="s">
        <v>1716</v>
      </c>
      <c r="C272" s="55" t="s">
        <v>1761</v>
      </c>
      <c r="D272" s="2">
        <f>IF(VLOOKUP($B272,'Allocation 2021-22'!$B:$AA,10,0)="Y",VLOOKUP(iGRANTS!$B272,'Allocation 2021-22'!$B:$U,20,0),0)</f>
        <v>0</v>
      </c>
    </row>
    <row r="273" spans="2:4">
      <c r="B273" t="s">
        <v>1694</v>
      </c>
      <c r="C273" s="55" t="s">
        <v>1768</v>
      </c>
      <c r="D273" s="2">
        <f>IF(VLOOKUP($B273,'Allocation 2021-22'!$B:$AA,10,0)="Y",VLOOKUP(iGRANTS!$B273,'Allocation 2021-22'!$B:$U,20,0),0)</f>
        <v>0</v>
      </c>
    </row>
    <row r="274" spans="2:4">
      <c r="B274" t="s">
        <v>1693</v>
      </c>
      <c r="C274" s="55" t="s">
        <v>1769</v>
      </c>
      <c r="D274" s="2">
        <f>IF(VLOOKUP($B274,'Allocation 2021-22'!$B:$AA,10,0)="Y",VLOOKUP(iGRANTS!$B274,'Allocation 2021-22'!$B:$U,20,0),0)</f>
        <v>0</v>
      </c>
    </row>
    <row r="275" spans="2:4">
      <c r="B275" t="s">
        <v>460</v>
      </c>
      <c r="C275" s="55" t="s">
        <v>1582</v>
      </c>
      <c r="D275" s="2">
        <f>IF(VLOOKUP($B275,'Allocation 2021-22'!$B:$AA,10,0)="Y",VLOOKUP(iGRANTS!$B275,'Allocation 2021-22'!$B:$U,20,0),0)</f>
        <v>0</v>
      </c>
    </row>
    <row r="276" spans="2:4">
      <c r="B276" t="s">
        <v>351</v>
      </c>
      <c r="C276" s="55" t="s">
        <v>1527</v>
      </c>
      <c r="D276" s="2">
        <f>IF(VLOOKUP($B276,'Allocation 2021-22'!$B:$AA,10,0)="Y",VLOOKUP(iGRANTS!$B276,'Allocation 2021-22'!$B:$U,20,0),0)</f>
        <v>54201</v>
      </c>
    </row>
    <row r="277" spans="2:4">
      <c r="B277" t="s">
        <v>557</v>
      </c>
      <c r="C277" s="55" t="s">
        <v>1626</v>
      </c>
      <c r="D277" s="2">
        <f>IF(VLOOKUP($B277,'Allocation 2021-22'!$B:$AA,10,0)="Y",VLOOKUP(iGRANTS!$B277,'Allocation 2021-22'!$B:$U,20,0),0)</f>
        <v>271809</v>
      </c>
    </row>
    <row r="278" spans="2:4">
      <c r="B278" t="s">
        <v>345</v>
      </c>
      <c r="C278" s="55" t="s">
        <v>1524</v>
      </c>
      <c r="D278" s="2">
        <f>IF(VLOOKUP($B278,'Allocation 2021-22'!$B:$AA,10,0)="Y",VLOOKUP(iGRANTS!$B278,'Allocation 2021-22'!$B:$U,20,0),0)</f>
        <v>453952</v>
      </c>
    </row>
    <row r="279" spans="2:4">
      <c r="B279" t="s">
        <v>143</v>
      </c>
      <c r="C279" s="55" t="s">
        <v>1434</v>
      </c>
      <c r="D279" s="2">
        <f>IF(VLOOKUP($B279,'Allocation 2021-22'!$B:$AA,10,0)="Y",VLOOKUP(iGRANTS!$B279,'Allocation 2021-22'!$B:$U,20,0),0)</f>
        <v>0</v>
      </c>
    </row>
    <row r="280" spans="2:4">
      <c r="B280" t="s">
        <v>197</v>
      </c>
      <c r="C280" s="55" t="s">
        <v>627</v>
      </c>
      <c r="D280" s="2">
        <f>IF(VLOOKUP($B280,'Allocation 2021-22'!$B:$AA,10,0)="Y",VLOOKUP(iGRANTS!$B280,'Allocation 2021-22'!$B:$U,20,0),0)</f>
        <v>39879</v>
      </c>
    </row>
    <row r="281" spans="2:4">
      <c r="B281" t="s">
        <v>521</v>
      </c>
      <c r="C281" s="55" t="s">
        <v>1609</v>
      </c>
      <c r="D281" s="2">
        <f>IF(VLOOKUP($B281,'Allocation 2021-22'!$B:$AA,10,0)="Y",VLOOKUP(iGRANTS!$B281,'Allocation 2021-22'!$B:$U,20,0),0)</f>
        <v>0</v>
      </c>
    </row>
    <row r="282" spans="2:4">
      <c r="B282" t="s">
        <v>486</v>
      </c>
      <c r="C282" s="55" t="s">
        <v>1594</v>
      </c>
      <c r="D282" s="2">
        <f>IF(VLOOKUP($B282,'Allocation 2021-22'!$B:$AA,10,0)="Y",VLOOKUP(iGRANTS!$B282,'Allocation 2021-22'!$B:$U,20,0),0)</f>
        <v>0</v>
      </c>
    </row>
    <row r="283" spans="2:4">
      <c r="B283" t="s">
        <v>224</v>
      </c>
      <c r="C283" s="55" t="s">
        <v>1468</v>
      </c>
      <c r="D283" s="2">
        <f>IF(VLOOKUP($B283,'Allocation 2021-22'!$B:$AA,10,0)="Y",VLOOKUP(iGRANTS!$B283,'Allocation 2021-22'!$B:$U,20,0),0)</f>
        <v>0</v>
      </c>
    </row>
    <row r="284" spans="2:4">
      <c r="B284" t="s">
        <v>268</v>
      </c>
      <c r="C284" s="55" t="s">
        <v>1488</v>
      </c>
      <c r="D284" s="2">
        <f>IF(VLOOKUP($B284,'Allocation 2021-22'!$B:$AA,10,0)="Y",VLOOKUP(iGRANTS!$B284,'Allocation 2021-22'!$B:$U,20,0),0)</f>
        <v>0</v>
      </c>
    </row>
    <row r="285" spans="2:4">
      <c r="B285" t="s">
        <v>321</v>
      </c>
      <c r="C285" s="55" t="s">
        <v>612</v>
      </c>
      <c r="D285" s="2">
        <f>IF(VLOOKUP($B285,'Allocation 2021-22'!$B:$AA,10,0)="Y",VLOOKUP(iGRANTS!$B285,'Allocation 2021-22'!$B:$U,20,0),0)</f>
        <v>18395</v>
      </c>
    </row>
    <row r="286" spans="2:4">
      <c r="B286" t="s">
        <v>559</v>
      </c>
      <c r="C286" s="55" t="s">
        <v>633</v>
      </c>
      <c r="D286" s="2">
        <f>IF(VLOOKUP($B286,'Allocation 2021-22'!$B:$AA,10,0)="Y",VLOOKUP(iGRANTS!$B286,'Allocation 2021-22'!$B:$U,20,0),0)</f>
        <v>206467</v>
      </c>
    </row>
    <row r="287" spans="2:4">
      <c r="B287" t="s">
        <v>496</v>
      </c>
      <c r="C287" s="55" t="s">
        <v>1598</v>
      </c>
      <c r="D287" s="2">
        <f>IF(VLOOKUP($B287,'Allocation 2021-22'!$B:$AA,10,0)="Y",VLOOKUP(iGRANTS!$B287,'Allocation 2021-22'!$B:$U,20,0),0)</f>
        <v>0</v>
      </c>
    </row>
    <row r="288" spans="2:4">
      <c r="B288" t="s">
        <v>72</v>
      </c>
      <c r="C288" s="55" t="s">
        <v>1400</v>
      </c>
      <c r="D288" s="2">
        <f>IF(VLOOKUP($B288,'Allocation 2021-22'!$B:$AA,10,0)="Y",VLOOKUP(iGRANTS!$B288,'Allocation 2021-22'!$B:$U,20,0),0)</f>
        <v>0</v>
      </c>
    </row>
    <row r="289" spans="2:4">
      <c r="B289" t="s">
        <v>238</v>
      </c>
      <c r="C289" s="55" t="s">
        <v>1475</v>
      </c>
      <c r="D289" s="2">
        <f>IF(VLOOKUP($B289,'Allocation 2021-22'!$B:$AA,10,0)="Y",VLOOKUP(iGRANTS!$B289,'Allocation 2021-22'!$B:$U,20,0),0)</f>
        <v>0</v>
      </c>
    </row>
    <row r="290" spans="2:4">
      <c r="B290" t="s">
        <v>191</v>
      </c>
      <c r="C290" s="55" t="s">
        <v>1456</v>
      </c>
      <c r="D290" s="2">
        <f>IF(VLOOKUP($B290,'Allocation 2021-22'!$B:$AA,10,0)="Y",VLOOKUP(iGRANTS!$B290,'Allocation 2021-22'!$B:$U,20,0),0)</f>
        <v>151942</v>
      </c>
    </row>
    <row r="291" spans="2:4">
      <c r="B291" t="s">
        <v>476</v>
      </c>
      <c r="C291" s="55" t="s">
        <v>1589</v>
      </c>
      <c r="D291" s="2">
        <f>IF(VLOOKUP($B291,'Allocation 2021-22'!$B:$AA,10,0)="Y",VLOOKUP(iGRANTS!$B291,'Allocation 2021-22'!$B:$U,20,0),0)</f>
        <v>14163</v>
      </c>
    </row>
    <row r="292" spans="2:4">
      <c r="B292" t="s">
        <v>543</v>
      </c>
      <c r="C292" s="55" t="s">
        <v>1620</v>
      </c>
      <c r="D292" s="2">
        <f>IF(VLOOKUP($B292,'Allocation 2021-22'!$B:$AA,10,0)="Y",VLOOKUP(iGRANTS!$B292,'Allocation 2021-22'!$B:$U,20,0),0)</f>
        <v>20684</v>
      </c>
    </row>
    <row r="293" spans="2:4">
      <c r="B293" t="s">
        <v>349</v>
      </c>
      <c r="C293" s="55" t="s">
        <v>1526</v>
      </c>
      <c r="D293" s="2">
        <f>IF(VLOOKUP($B293,'Allocation 2021-22'!$B:$AA,10,0)="Y",VLOOKUP(iGRANTS!$B293,'Allocation 2021-22'!$B:$U,20,0),0)</f>
        <v>38553</v>
      </c>
    </row>
    <row r="294" spans="2:4">
      <c r="B294" t="s">
        <v>454</v>
      </c>
      <c r="C294" s="55" t="s">
        <v>1579</v>
      </c>
      <c r="D294" s="2">
        <f>IF(VLOOKUP($B294,'Allocation 2021-22'!$B:$AA,10,0)="Y",VLOOKUP(iGRANTS!$B294,'Allocation 2021-22'!$B:$U,20,0),0)</f>
        <v>0</v>
      </c>
    </row>
    <row r="295" spans="2:4">
      <c r="B295" t="s">
        <v>49</v>
      </c>
      <c r="C295" s="55" t="s">
        <v>1390</v>
      </c>
      <c r="D295" s="2">
        <f>IF(VLOOKUP($B295,'Allocation 2021-22'!$B:$AA,10,0)="Y",VLOOKUP(iGRANTS!$B295,'Allocation 2021-22'!$B:$U,20,0),0)</f>
        <v>409545</v>
      </c>
    </row>
    <row r="296" spans="2:4">
      <c r="B296" t="s">
        <v>183</v>
      </c>
      <c r="C296" s="55" t="s">
        <v>1453</v>
      </c>
      <c r="D296" s="2">
        <f>IF(VLOOKUP($B296,'Allocation 2021-22'!$B:$AA,10,0)="Y",VLOOKUP(iGRANTS!$B296,'Allocation 2021-22'!$B:$U,20,0),0)</f>
        <v>10525</v>
      </c>
    </row>
    <row r="297" spans="2:4">
      <c r="B297" t="s">
        <v>488</v>
      </c>
      <c r="C297" s="55" t="s">
        <v>1595</v>
      </c>
      <c r="D297" s="2">
        <f>IF(VLOOKUP($B297,'Allocation 2021-22'!$B:$AA,10,0)="Y",VLOOKUP(iGRANTS!$B297,'Allocation 2021-22'!$B:$U,20,0),0)</f>
        <v>0</v>
      </c>
    </row>
    <row r="298" spans="2:4">
      <c r="B298" t="s">
        <v>114</v>
      </c>
      <c r="C298" s="55" t="s">
        <v>634</v>
      </c>
      <c r="D298" s="2">
        <f>IF(VLOOKUP($B298,'Allocation 2021-22'!$B:$AA,10,0)="Y",VLOOKUP(iGRANTS!$B298,'Allocation 2021-22'!$B:$U,20,0),0)</f>
        <v>171758</v>
      </c>
    </row>
    <row r="299" spans="2:4">
      <c r="B299" t="s">
        <v>500</v>
      </c>
      <c r="C299" s="55" t="s">
        <v>1600</v>
      </c>
      <c r="D299" s="2">
        <f>IF(VLOOKUP($B299,'Allocation 2021-22'!$B:$AA,10,0)="Y",VLOOKUP(iGRANTS!$B299,'Allocation 2021-22'!$B:$U,20,0),0)</f>
        <v>0</v>
      </c>
    </row>
    <row r="300" spans="2:4">
      <c r="B300" t="s">
        <v>492</v>
      </c>
      <c r="C300" s="55" t="s">
        <v>641</v>
      </c>
      <c r="D300" s="2">
        <f>IF(VLOOKUP($B300,'Allocation 2021-22'!$B:$AA,10,0)="Y",VLOOKUP(iGRANTS!$B300,'Allocation 2021-22'!$B:$U,20,0),0)</f>
        <v>112911</v>
      </c>
    </row>
    <row r="301" spans="2:4">
      <c r="B301" t="s">
        <v>567</v>
      </c>
      <c r="C301" s="55" t="s">
        <v>1630</v>
      </c>
      <c r="D301" s="2">
        <f>IF(VLOOKUP($B301,'Allocation 2021-22'!$B:$AA,10,0)="Y",VLOOKUP(iGRANTS!$B301,'Allocation 2021-22'!$B:$U,20,0),0)</f>
        <v>203101</v>
      </c>
    </row>
    <row r="302" spans="2:4">
      <c r="B302" t="s">
        <v>118</v>
      </c>
      <c r="C302" s="55" t="s">
        <v>1422</v>
      </c>
      <c r="D302" s="2">
        <f>IF(VLOOKUP($B302,'Allocation 2021-22'!$B:$AA,10,0)="Y",VLOOKUP(iGRANTS!$B302,'Allocation 2021-22'!$B:$U,20,0),0)</f>
        <v>32147</v>
      </c>
    </row>
    <row r="303" spans="2:4">
      <c r="B303" t="s">
        <v>56</v>
      </c>
      <c r="C303" s="55" t="s">
        <v>854</v>
      </c>
      <c r="D303" s="2">
        <f>IF(VLOOKUP($B303,'Allocation 2021-22'!$B:$AA,10,0)="Y",VLOOKUP(iGRANTS!$B303,'Allocation 2021-22'!$B:$U,20,0),0)</f>
        <v>0</v>
      </c>
    </row>
    <row r="304" spans="2:4">
      <c r="B304" t="s">
        <v>0</v>
      </c>
      <c r="C304" s="55" t="s">
        <v>1369</v>
      </c>
      <c r="D304" s="2">
        <f>IF(VLOOKUP($B304,'Allocation 2021-22'!$B:$AA,10,0)="Y",VLOOKUP(iGRANTS!$B304,'Allocation 2021-22'!$B:$U,20,0),0)</f>
        <v>0</v>
      </c>
    </row>
    <row r="305" spans="2:4">
      <c r="B305" t="s">
        <v>92</v>
      </c>
      <c r="C305" s="55" t="s">
        <v>1410</v>
      </c>
      <c r="D305" s="2">
        <f>IF(VLOOKUP($B305,'Allocation 2021-22'!$B:$AA,10,0)="Y",VLOOKUP(iGRANTS!$B305,'Allocation 2021-22'!$B:$U,20,0),0)</f>
        <v>0</v>
      </c>
    </row>
    <row r="306" spans="2:4">
      <c r="B306" t="s">
        <v>452</v>
      </c>
      <c r="C306" s="55" t="s">
        <v>1578</v>
      </c>
      <c r="D306" s="2">
        <f>IF(VLOOKUP($B306,'Allocation 2021-22'!$B:$AA,10,0)="Y",VLOOKUP(iGRANTS!$B306,'Allocation 2021-22'!$B:$U,20,0),0)</f>
        <v>12493</v>
      </c>
    </row>
    <row r="307" spans="2:4">
      <c r="B307" t="s">
        <v>37</v>
      </c>
      <c r="C307" s="55" t="s">
        <v>1384</v>
      </c>
      <c r="D307" s="2">
        <f>IF(VLOOKUP($B307,'Allocation 2021-22'!$B:$AA,10,0)="Y",VLOOKUP(iGRANTS!$B307,'Allocation 2021-22'!$B:$U,20,0),0)</f>
        <v>221978</v>
      </c>
    </row>
    <row r="308" spans="2:4">
      <c r="B308" t="s">
        <v>443</v>
      </c>
      <c r="C308" s="55" t="s">
        <v>1573</v>
      </c>
      <c r="D308" s="2">
        <f>IF(VLOOKUP($B308,'Allocation 2021-22'!$B:$AA,10,0)="Y",VLOOKUP(iGRANTS!$B308,'Allocation 2021-22'!$B:$U,20,0),0)</f>
        <v>15238</v>
      </c>
    </row>
    <row r="309" spans="2:4">
      <c r="B309" t="s">
        <v>569</v>
      </c>
      <c r="C309" s="55" t="s">
        <v>1631</v>
      </c>
      <c r="D309" s="2">
        <f>IF(VLOOKUP($B309,'Allocation 2021-22'!$B:$AA,10,0)="Y",VLOOKUP(iGRANTS!$B309,'Allocation 2021-22'!$B:$U,20,0),0)</f>
        <v>58411</v>
      </c>
    </row>
    <row r="310" spans="2:4">
      <c r="B310" t="s">
        <v>1759</v>
      </c>
      <c r="C310" s="55" t="s">
        <v>1788</v>
      </c>
      <c r="D310" s="2">
        <f>IF(VLOOKUP($B310,'Allocation 2021-22'!$B:$AA,10,0)="Y",VLOOKUP(iGRANTS!$B310,'Allocation 2021-22'!$B:$U,20,0),0)</f>
        <v>0</v>
      </c>
    </row>
    <row r="311" spans="2:4">
      <c r="B311" t="s">
        <v>276</v>
      </c>
      <c r="C311" s="55" t="s">
        <v>1492</v>
      </c>
      <c r="D311" s="2">
        <f>IF(VLOOKUP($B311,'Allocation 2021-22'!$B:$AA,10,0)="Y",VLOOKUP(iGRANTS!$B311,'Allocation 2021-22'!$B:$U,20,0),0)</f>
        <v>0</v>
      </c>
    </row>
    <row r="312" spans="2:4">
      <c r="B312" t="s">
        <v>367</v>
      </c>
      <c r="C312" s="55" t="s">
        <v>1533</v>
      </c>
      <c r="D312" s="2">
        <f>IF(VLOOKUP($B312,'Allocation 2021-22'!$B:$AA,10,0)="Y",VLOOKUP(iGRANTS!$B312,'Allocation 2021-22'!$B:$U,20,0),0)</f>
        <v>18052</v>
      </c>
    </row>
    <row r="313" spans="2:4">
      <c r="B313" t="s">
        <v>248</v>
      </c>
      <c r="C313" s="55" t="s">
        <v>1480</v>
      </c>
      <c r="D313" s="2">
        <f>IF(VLOOKUP($B313,'Allocation 2021-22'!$B:$AA,10,0)="Y",VLOOKUP(iGRANTS!$B313,'Allocation 2021-22'!$B:$U,20,0),0)</f>
        <v>26769</v>
      </c>
    </row>
    <row r="314" spans="2:4">
      <c r="B314" t="s">
        <v>289</v>
      </c>
      <c r="C314" s="55" t="s">
        <v>1498</v>
      </c>
      <c r="D314" s="2">
        <f>IF(VLOOKUP($B314,'Allocation 2021-22'!$B:$AA,10,0)="Y",VLOOKUP(iGRANTS!$B314,'Allocation 2021-22'!$B:$U,20,0),0)</f>
        <v>0</v>
      </c>
    </row>
    <row r="315" spans="2:4">
      <c r="B315" t="s">
        <v>332</v>
      </c>
      <c r="C315" s="55" t="s">
        <v>1517</v>
      </c>
      <c r="D315" s="2">
        <f>IF(VLOOKUP($B315,'Allocation 2021-22'!$B:$AA,10,0)="Y",VLOOKUP(iGRANTS!$B315,'Allocation 2021-22'!$B:$U,20,0),0)</f>
        <v>0</v>
      </c>
    </row>
    <row r="316" spans="2:4">
      <c r="B316" t="s">
        <v>1717</v>
      </c>
      <c r="C316" s="55" t="s">
        <v>1791</v>
      </c>
      <c r="D316" s="2">
        <f>IF(VLOOKUP($B316,'Allocation 2021-22'!$B:$AA,10,0)="Y",VLOOKUP(iGRANTS!$B316,'Allocation 2021-22'!$B:$U,20,0),0)</f>
        <v>0</v>
      </c>
    </row>
    <row r="317" spans="2:4">
      <c r="B317" t="s">
        <v>129</v>
      </c>
      <c r="C317" s="55" t="s">
        <v>1427</v>
      </c>
      <c r="D317" s="2">
        <f>IF(VLOOKUP($B317,'Allocation 2021-22'!$B:$AA,10,0)="Y",VLOOKUP(iGRANTS!$B317,'Allocation 2021-22'!$B:$U,20,0),0)</f>
        <v>0</v>
      </c>
    </row>
    <row r="318" spans="2:4">
      <c r="B318" t="s">
        <v>264</v>
      </c>
      <c r="C318" s="55" t="s">
        <v>1486</v>
      </c>
      <c r="D318" s="2">
        <f>IF(VLOOKUP($B318,'Allocation 2021-22'!$B:$AA,10,0)="Y",VLOOKUP(iGRANTS!$B318,'Allocation 2021-22'!$B:$U,20,0),0)</f>
        <v>0</v>
      </c>
    </row>
    <row r="319" spans="2:4">
      <c r="B319" t="s">
        <v>151</v>
      </c>
      <c r="C319" s="55" t="s">
        <v>1437</v>
      </c>
      <c r="D319" s="2">
        <f>IF(VLOOKUP($B319,'Allocation 2021-22'!$B:$AA,10,0)="Y",VLOOKUP(iGRANTS!$B319,'Allocation 2021-22'!$B:$U,20,0),0)</f>
        <v>0</v>
      </c>
    </row>
    <row r="320" spans="2:4">
      <c r="B320" t="s">
        <v>232</v>
      </c>
      <c r="C320" s="55" t="s">
        <v>1472</v>
      </c>
      <c r="D320" s="2">
        <f>IF(VLOOKUP($B320,'Allocation 2021-22'!$B:$AA,10,0)="Y",VLOOKUP(iGRANTS!$B320,'Allocation 2021-22'!$B:$U,20,0),0)</f>
        <v>0</v>
      </c>
    </row>
    <row r="321" spans="2:4">
      <c r="B321" t="s">
        <v>78</v>
      </c>
      <c r="C321" s="55" t="s">
        <v>1403</v>
      </c>
      <c r="D321" s="2">
        <f>IF(VLOOKUP($B321,'Allocation 2021-22'!$B:$AA,10,0)="Y",VLOOKUP(iGRANTS!$B321,'Allocation 2021-22'!$B:$U,20,0),0)</f>
        <v>26151</v>
      </c>
    </row>
    <row r="322" spans="2:4">
      <c r="B322" t="s">
        <v>547</v>
      </c>
      <c r="C322" s="55" t="s">
        <v>1622</v>
      </c>
      <c r="D322" s="2">
        <f>IF(VLOOKUP($B322,'Allocation 2021-22'!$B:$AA,10,0)="Y",VLOOKUP(iGRANTS!$B322,'Allocation 2021-22'!$B:$U,20,0),0)</f>
        <v>642709</v>
      </c>
    </row>
    <row r="323" spans="2:4">
      <c r="B323" t="s">
        <v>472</v>
      </c>
      <c r="C323" s="55" t="s">
        <v>1588</v>
      </c>
      <c r="D323" s="2">
        <f>IF(VLOOKUP($B323,'Allocation 2021-22'!$B:$AA,10,0)="Y",VLOOKUP(iGRANTS!$B323,'Allocation 2021-22'!$B:$U,20,0),0)</f>
        <v>0</v>
      </c>
    </row>
    <row r="324" spans="2:4">
      <c r="B324" t="s">
        <v>565</v>
      </c>
      <c r="C324" s="55" t="s">
        <v>1629</v>
      </c>
      <c r="D324" s="2">
        <f>IF(VLOOKUP($B324,'Allocation 2021-22'!$B:$AA,10,0)="Y",VLOOKUP(iGRANTS!$B324,'Allocation 2021-22'!$B:$U,20,0),0)</f>
        <v>20568</v>
      </c>
    </row>
  </sheetData>
  <autoFilter ref="A7:O139" xr:uid="{00000000-0009-0000-0000-000013000000}">
    <sortState xmlns:xlrd2="http://schemas.microsoft.com/office/spreadsheetml/2017/richdata2" ref="A8:O319">
      <sortCondition ref="B7:B319"/>
    </sortState>
  </autoFilter>
  <mergeCells count="1">
    <mergeCell ref="D5:E5"/>
  </mergeCells>
  <phoneticPr fontId="23" type="noConversion"/>
  <conditionalFormatting sqref="C8:C139">
    <cfRule type="expression" dxfId="9" priority="3">
      <formula>AND($O8&lt;10000,$O8&gt;0,$K8="Y")</formula>
    </cfRule>
  </conditionalFormatting>
  <conditionalFormatting sqref="M8:M36">
    <cfRule type="expression" dxfId="8" priority="2">
      <formula>AND($O8&lt;10000,$O8&gt;0,$K8="Y")</formula>
    </cfRule>
  </conditionalFormatting>
  <conditionalFormatting sqref="H16">
    <cfRule type="expression" dxfId="7" priority="1">
      <formula>AND($O16&lt;10000,$O16&gt;0,$K16="Y")</formula>
    </cfRule>
  </conditionalFormatting>
  <pageMargins left="0.5" right="0.5" top="0.5" bottom="0.5" header="0.5" footer="0.5"/>
  <pageSetup scale="71" fitToHeight="10" orientation="portrait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>
    <tabColor rgb="FF92D050"/>
  </sheetPr>
  <dimension ref="A1:AF318"/>
  <sheetViews>
    <sheetView workbookViewId="0">
      <pane xSplit="3" ySplit="8" topLeftCell="F9" activePane="bottomRight" state="frozen"/>
      <selection pane="topRight" activeCell="D1" sqref="D1"/>
      <selection pane="bottomLeft" activeCell="A5" sqref="A5"/>
      <selection pane="bottomRight" activeCell="D9" sqref="D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5" width="9.85546875" style="23" bestFit="1" customWidth="1"/>
    <col min="26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32709</v>
      </c>
      <c r="O3" s="67">
        <v>15327451</v>
      </c>
      <c r="Q3" s="151" t="s">
        <v>737</v>
      </c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729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15327451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V6" s="27"/>
      <c r="W6" s="26"/>
    </row>
    <row r="7" spans="1:32">
      <c r="A7" s="46"/>
      <c r="B7" s="47"/>
      <c r="C7" s="47" t="s">
        <v>620</v>
      </c>
      <c r="D7" s="67">
        <v>83543.129999999976</v>
      </c>
      <c r="E7" s="88">
        <v>183.46752150655601</v>
      </c>
      <c r="F7" s="72">
        <v>715000</v>
      </c>
      <c r="G7" s="72">
        <v>42000</v>
      </c>
      <c r="H7" s="161">
        <v>16084454</v>
      </c>
      <c r="I7" s="73">
        <v>0</v>
      </c>
      <c r="J7" s="73">
        <v>15327451</v>
      </c>
      <c r="K7" s="72"/>
      <c r="L7" s="88">
        <v>32709</v>
      </c>
      <c r="M7" s="67">
        <v>83364.849999999991</v>
      </c>
      <c r="N7" s="88">
        <v>32709</v>
      </c>
      <c r="O7" s="88">
        <v>15327451</v>
      </c>
      <c r="P7" s="88"/>
      <c r="S7" s="91">
        <v>13207256</v>
      </c>
      <c r="T7" s="166">
        <v>0.2712247487798754</v>
      </c>
      <c r="V7" s="27"/>
      <c r="W7" s="26"/>
    </row>
    <row r="8" spans="1:32">
      <c r="A8" s="77"/>
      <c r="B8" s="78"/>
      <c r="C8" s="78"/>
      <c r="D8" s="70"/>
      <c r="E8" s="74">
        <v>15327267.532478493</v>
      </c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261.38</v>
      </c>
      <c r="E9" s="67">
        <v>47955</v>
      </c>
      <c r="F9" s="146">
        <v>0</v>
      </c>
      <c r="G9" s="146">
        <v>0</v>
      </c>
      <c r="H9" s="91">
        <v>47955</v>
      </c>
      <c r="I9" s="67">
        <v>0</v>
      </c>
      <c r="J9" s="20">
        <v>47955</v>
      </c>
      <c r="K9" s="132" t="s">
        <v>621</v>
      </c>
      <c r="L9" s="151">
        <v>0</v>
      </c>
      <c r="M9" s="128">
        <v>261.38</v>
      </c>
      <c r="N9" s="67">
        <v>103</v>
      </c>
      <c r="O9" s="67">
        <v>48058</v>
      </c>
      <c r="P9" s="270" t="e">
        <v>#REF!</v>
      </c>
      <c r="Q9" s="71"/>
      <c r="R9" s="449"/>
      <c r="S9" s="67">
        <v>43949</v>
      </c>
      <c r="T9" s="163">
        <v>4109</v>
      </c>
      <c r="U9" s="43">
        <v>9.3494732530888081E-2</v>
      </c>
      <c r="X9" s="67"/>
      <c r="Y9" s="451"/>
      <c r="Z9" s="452"/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P10" s="270" t="e">
        <v>#REF!</v>
      </c>
      <c r="Q10" s="71"/>
      <c r="R10" s="450"/>
      <c r="S10" s="67">
        <v>0</v>
      </c>
      <c r="T10" s="163">
        <v>0</v>
      </c>
      <c r="U10" s="43">
        <v>0</v>
      </c>
      <c r="V10" s="31"/>
      <c r="X10" s="67"/>
      <c r="Y10" s="451"/>
      <c r="Z10" s="452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20">
        <v>0</v>
      </c>
      <c r="K11" s="132" t="s">
        <v>644</v>
      </c>
      <c r="L11" s="151">
        <v>0</v>
      </c>
      <c r="M11" s="128">
        <v>0</v>
      </c>
      <c r="N11" s="67">
        <v>0</v>
      </c>
      <c r="O11" s="67">
        <v>0</v>
      </c>
      <c r="P11" s="270" t="e">
        <v>#REF!</v>
      </c>
      <c r="Q11" s="71"/>
      <c r="R11" s="448"/>
      <c r="S11" s="67">
        <v>0</v>
      </c>
      <c r="T11" s="163">
        <v>0</v>
      </c>
      <c r="U11" s="43">
        <v>0</v>
      </c>
      <c r="V11" s="34"/>
      <c r="X11" s="67"/>
      <c r="Y11" s="451"/>
      <c r="Z11" s="452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51.88</v>
      </c>
      <c r="E12" s="67">
        <v>9518</v>
      </c>
      <c r="F12" s="146">
        <v>0</v>
      </c>
      <c r="G12" s="146">
        <v>4500</v>
      </c>
      <c r="H12" s="91">
        <v>14018</v>
      </c>
      <c r="I12" s="67">
        <v>0</v>
      </c>
      <c r="J12" s="148">
        <v>9518</v>
      </c>
      <c r="K12" s="132" t="s">
        <v>621</v>
      </c>
      <c r="L12" s="151">
        <v>0</v>
      </c>
      <c r="M12" s="128">
        <v>51.88</v>
      </c>
      <c r="N12" s="67">
        <v>20</v>
      </c>
      <c r="O12" s="67">
        <v>9538</v>
      </c>
      <c r="P12" s="270" t="e">
        <v>#REF!</v>
      </c>
      <c r="Q12" s="71"/>
      <c r="R12" s="449"/>
      <c r="S12" s="67">
        <v>0</v>
      </c>
      <c r="T12" s="163">
        <v>9538</v>
      </c>
      <c r="U12" s="43">
        <v>0</v>
      </c>
      <c r="V12" s="113"/>
      <c r="X12" s="67"/>
      <c r="Y12" s="451"/>
      <c r="Z12" s="452"/>
    </row>
    <row r="13" spans="1:32">
      <c r="A13" s="64" t="s">
        <v>595</v>
      </c>
      <c r="B13" s="63" t="s">
        <v>403</v>
      </c>
      <c r="C13" s="63" t="s">
        <v>404</v>
      </c>
      <c r="D13" s="134">
        <v>175.5</v>
      </c>
      <c r="E13" s="67">
        <v>32199</v>
      </c>
      <c r="F13" s="146">
        <v>0</v>
      </c>
      <c r="G13" s="146">
        <v>0</v>
      </c>
      <c r="H13" s="91">
        <v>32199</v>
      </c>
      <c r="I13" s="67">
        <v>0</v>
      </c>
      <c r="J13" s="20">
        <v>32199</v>
      </c>
      <c r="K13" s="132" t="s">
        <v>621</v>
      </c>
      <c r="L13" s="151">
        <v>0</v>
      </c>
      <c r="M13" s="128">
        <v>175.5</v>
      </c>
      <c r="N13" s="67">
        <v>69</v>
      </c>
      <c r="O13" s="67">
        <v>32268</v>
      </c>
      <c r="P13" s="270" t="e">
        <v>#REF!</v>
      </c>
      <c r="Q13" s="71"/>
      <c r="R13" s="449"/>
      <c r="S13" s="67">
        <v>26846</v>
      </c>
      <c r="T13" s="163">
        <v>5422</v>
      </c>
      <c r="U13" s="43">
        <v>0.20196677344855846</v>
      </c>
      <c r="V13" s="61"/>
      <c r="X13" s="67"/>
      <c r="Y13" s="451"/>
      <c r="Z13" s="452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20">
        <v>0</v>
      </c>
      <c r="K14" s="132" t="s">
        <v>644</v>
      </c>
      <c r="L14" s="151">
        <v>0</v>
      </c>
      <c r="M14" s="128">
        <v>0</v>
      </c>
      <c r="N14" s="67">
        <v>0</v>
      </c>
      <c r="O14" s="67">
        <v>0</v>
      </c>
      <c r="P14" s="270" t="e">
        <v>#REF!</v>
      </c>
      <c r="Q14" s="71"/>
      <c r="R14" s="449"/>
      <c r="S14" s="67">
        <v>0</v>
      </c>
      <c r="T14" s="163">
        <v>0</v>
      </c>
      <c r="U14" s="43">
        <v>0</v>
      </c>
      <c r="V14" s="61"/>
      <c r="X14" s="67"/>
      <c r="Y14" s="451"/>
      <c r="Z14" s="452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1698.5</v>
      </c>
      <c r="E15" s="67">
        <v>311620</v>
      </c>
      <c r="F15" s="146">
        <v>0</v>
      </c>
      <c r="G15" s="146">
        <v>0</v>
      </c>
      <c r="H15" s="91">
        <v>311620</v>
      </c>
      <c r="I15" s="67">
        <v>0</v>
      </c>
      <c r="J15" s="20">
        <v>311620</v>
      </c>
      <c r="K15" s="132" t="s">
        <v>621</v>
      </c>
      <c r="L15" s="151">
        <v>0</v>
      </c>
      <c r="M15" s="128">
        <v>1698.5</v>
      </c>
      <c r="N15" s="67">
        <v>666</v>
      </c>
      <c r="O15" s="67">
        <v>312286</v>
      </c>
      <c r="P15" s="270" t="e">
        <v>#REF!</v>
      </c>
      <c r="Q15" s="71"/>
      <c r="R15" s="449"/>
      <c r="S15" s="67">
        <v>255684</v>
      </c>
      <c r="T15" s="163">
        <v>56602</v>
      </c>
      <c r="U15" s="43">
        <v>0.22137482204596298</v>
      </c>
      <c r="V15" s="61"/>
      <c r="X15" s="67"/>
      <c r="Y15" s="451"/>
      <c r="Z15" s="452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28.25</v>
      </c>
      <c r="E16" s="67">
        <v>5183</v>
      </c>
      <c r="F16" s="146">
        <v>0</v>
      </c>
      <c r="G16" s="146">
        <v>0</v>
      </c>
      <c r="H16" s="91">
        <v>5183</v>
      </c>
      <c r="I16" s="67">
        <v>0</v>
      </c>
      <c r="J16" s="20">
        <v>5183</v>
      </c>
      <c r="K16" s="132" t="s">
        <v>621</v>
      </c>
      <c r="L16" s="151">
        <v>0</v>
      </c>
      <c r="M16" s="128">
        <v>28.25</v>
      </c>
      <c r="N16" s="67">
        <v>11</v>
      </c>
      <c r="O16" s="67">
        <v>5194</v>
      </c>
      <c r="P16" s="270" t="e">
        <v>#REF!</v>
      </c>
      <c r="Q16" s="71"/>
      <c r="R16" s="449"/>
      <c r="S16" s="67">
        <v>0</v>
      </c>
      <c r="T16" s="163">
        <v>5194</v>
      </c>
      <c r="U16" s="43">
        <v>0</v>
      </c>
      <c r="V16" s="61"/>
      <c r="X16" s="67"/>
      <c r="Y16" s="451"/>
      <c r="Z16" s="452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146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 t="e">
        <v>#N/A</v>
      </c>
      <c r="Q17" s="71"/>
      <c r="R17" s="449"/>
      <c r="S17" s="67">
        <v>0</v>
      </c>
      <c r="T17" s="163">
        <v>0</v>
      </c>
      <c r="U17" s="43">
        <v>0</v>
      </c>
      <c r="V17" s="61"/>
      <c r="X17" s="67"/>
      <c r="Y17" s="451"/>
      <c r="Z17" s="452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647.75</v>
      </c>
      <c r="E18" s="67">
        <v>118841</v>
      </c>
      <c r="F18" s="146">
        <v>0</v>
      </c>
      <c r="G18" s="146">
        <v>0</v>
      </c>
      <c r="H18" s="91">
        <v>118841</v>
      </c>
      <c r="I18" s="67">
        <v>0</v>
      </c>
      <c r="J18" s="20">
        <v>118841</v>
      </c>
      <c r="K18" s="132" t="s">
        <v>621</v>
      </c>
      <c r="L18" s="151">
        <v>0</v>
      </c>
      <c r="M18" s="128">
        <v>647.75</v>
      </c>
      <c r="N18" s="67">
        <v>254</v>
      </c>
      <c r="O18" s="67">
        <v>119095</v>
      </c>
      <c r="P18" s="270" t="e">
        <v>#REF!</v>
      </c>
      <c r="Q18" s="71"/>
      <c r="R18" s="449"/>
      <c r="S18" s="67">
        <v>104226</v>
      </c>
      <c r="T18" s="163">
        <v>14869</v>
      </c>
      <c r="U18" s="43">
        <v>0.1426611402145338</v>
      </c>
      <c r="V18" s="61"/>
      <c r="X18" s="67"/>
      <c r="Y18" s="451"/>
      <c r="Z18" s="452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1607.63</v>
      </c>
      <c r="E19" s="67">
        <v>294948</v>
      </c>
      <c r="F19" s="146">
        <v>50000</v>
      </c>
      <c r="G19" s="146">
        <v>0</v>
      </c>
      <c r="H19" s="91">
        <v>344948</v>
      </c>
      <c r="I19" s="67">
        <v>0</v>
      </c>
      <c r="J19" s="20">
        <v>294948</v>
      </c>
      <c r="K19" s="132" t="s">
        <v>621</v>
      </c>
      <c r="L19" s="151">
        <v>0</v>
      </c>
      <c r="M19" s="128">
        <v>1607.63</v>
      </c>
      <c r="N19" s="67">
        <v>631</v>
      </c>
      <c r="O19" s="67">
        <v>295579</v>
      </c>
      <c r="P19" s="270" t="e">
        <v>#REF!</v>
      </c>
      <c r="Q19" s="71"/>
      <c r="R19" s="449"/>
      <c r="S19" s="67">
        <v>256499</v>
      </c>
      <c r="T19" s="163">
        <v>39080</v>
      </c>
      <c r="U19" s="43">
        <v>0.15235926845718697</v>
      </c>
      <c r="V19" s="61"/>
      <c r="X19" s="67"/>
      <c r="Y19" s="451"/>
      <c r="Z19" s="452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566.63</v>
      </c>
      <c r="E20" s="67">
        <v>103958</v>
      </c>
      <c r="F20" s="146">
        <v>25000</v>
      </c>
      <c r="G20" s="146">
        <v>0</v>
      </c>
      <c r="H20" s="91">
        <v>128958</v>
      </c>
      <c r="I20" s="67">
        <v>0</v>
      </c>
      <c r="J20" s="20">
        <v>103958</v>
      </c>
      <c r="K20" s="132" t="s">
        <v>621</v>
      </c>
      <c r="L20" s="151">
        <v>0</v>
      </c>
      <c r="M20" s="128">
        <v>566.63</v>
      </c>
      <c r="N20" s="67">
        <v>222</v>
      </c>
      <c r="O20" s="67">
        <v>104180</v>
      </c>
      <c r="P20" s="270" t="e">
        <v>#REF!</v>
      </c>
      <c r="Q20" s="71"/>
      <c r="R20" s="449"/>
      <c r="S20" s="67">
        <v>93166</v>
      </c>
      <c r="T20" s="163">
        <v>11014</v>
      </c>
      <c r="U20" s="43">
        <v>0.11821909280209518</v>
      </c>
      <c r="V20" s="61"/>
      <c r="X20" s="67"/>
      <c r="Y20" s="451"/>
      <c r="Z20" s="452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146">
        <v>0</v>
      </c>
      <c r="H21" s="91">
        <v>0</v>
      </c>
      <c r="I21" s="67">
        <v>0</v>
      </c>
      <c r="J21" s="20">
        <v>0</v>
      </c>
      <c r="K21" s="132" t="s">
        <v>644</v>
      </c>
      <c r="L21" s="151">
        <v>0</v>
      </c>
      <c r="M21" s="128">
        <v>0</v>
      </c>
      <c r="N21" s="67">
        <v>0</v>
      </c>
      <c r="O21" s="67">
        <v>0</v>
      </c>
      <c r="P21" s="270" t="e">
        <v>#REF!</v>
      </c>
      <c r="Q21" s="71"/>
      <c r="R21" s="449"/>
      <c r="S21" s="67">
        <v>0</v>
      </c>
      <c r="T21" s="163">
        <v>0</v>
      </c>
      <c r="U21" s="43">
        <v>0</v>
      </c>
      <c r="V21" s="61"/>
      <c r="X21" s="67"/>
      <c r="Y21" s="451"/>
      <c r="Z21" s="452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257</v>
      </c>
      <c r="E22" s="67">
        <v>47151</v>
      </c>
      <c r="F22" s="146">
        <v>0</v>
      </c>
      <c r="G22" s="146">
        <v>0</v>
      </c>
      <c r="H22" s="91">
        <v>47151</v>
      </c>
      <c r="I22" s="67">
        <v>0</v>
      </c>
      <c r="J22" s="20">
        <v>47151</v>
      </c>
      <c r="K22" s="132" t="s">
        <v>621</v>
      </c>
      <c r="L22" s="151">
        <v>0</v>
      </c>
      <c r="M22" s="128">
        <v>257</v>
      </c>
      <c r="N22" s="67">
        <v>101</v>
      </c>
      <c r="O22" s="67">
        <v>47252</v>
      </c>
      <c r="P22" s="270" t="e">
        <v>#REF!</v>
      </c>
      <c r="Q22" s="71"/>
      <c r="R22" s="449"/>
      <c r="S22" s="67">
        <v>41628</v>
      </c>
      <c r="T22" s="163">
        <v>5624</v>
      </c>
      <c r="U22" s="43">
        <v>0.13510137407514172</v>
      </c>
      <c r="V22" s="61"/>
      <c r="X22" s="67"/>
      <c r="Y22" s="451"/>
      <c r="Z22" s="452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20">
        <v>0</v>
      </c>
      <c r="K23" s="132" t="s">
        <v>644</v>
      </c>
      <c r="L23" s="151">
        <v>0</v>
      </c>
      <c r="M23" s="128">
        <v>0</v>
      </c>
      <c r="N23" s="67">
        <v>0</v>
      </c>
      <c r="O23" s="67">
        <v>0</v>
      </c>
      <c r="P23" s="270" t="e">
        <v>#REF!</v>
      </c>
      <c r="Q23" s="71"/>
      <c r="R23" s="449"/>
      <c r="S23" s="67">
        <v>0</v>
      </c>
      <c r="T23" s="163">
        <v>0</v>
      </c>
      <c r="U23" s="43">
        <v>0</v>
      </c>
      <c r="V23" s="61"/>
      <c r="X23" s="67"/>
      <c r="Y23" s="451"/>
      <c r="Z23" s="452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95.13</v>
      </c>
      <c r="E24" s="67">
        <v>17453</v>
      </c>
      <c r="F24" s="146">
        <v>0</v>
      </c>
      <c r="G24" s="146">
        <v>0</v>
      </c>
      <c r="H24" s="91">
        <v>17453</v>
      </c>
      <c r="I24" s="67">
        <v>0</v>
      </c>
      <c r="J24" s="20">
        <v>17453</v>
      </c>
      <c r="K24" s="132" t="s">
        <v>621</v>
      </c>
      <c r="L24" s="151">
        <v>0</v>
      </c>
      <c r="M24" s="128">
        <v>95.13</v>
      </c>
      <c r="N24" s="67">
        <v>37</v>
      </c>
      <c r="O24" s="67">
        <v>17490</v>
      </c>
      <c r="P24" s="270" t="e">
        <v>#REF!</v>
      </c>
      <c r="Q24" s="71"/>
      <c r="R24" s="449"/>
      <c r="S24" s="67">
        <v>17270</v>
      </c>
      <c r="T24" s="163">
        <v>220</v>
      </c>
      <c r="U24" s="43">
        <v>1.2738853503184714E-2</v>
      </c>
      <c r="V24" s="61"/>
      <c r="X24" s="67"/>
      <c r="Y24" s="451"/>
      <c r="Z24" s="452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146">
        <v>0</v>
      </c>
      <c r="H25" s="91">
        <v>0</v>
      </c>
      <c r="I25" s="67">
        <v>0</v>
      </c>
      <c r="J25" s="20">
        <v>0</v>
      </c>
      <c r="K25" s="132" t="s">
        <v>644</v>
      </c>
      <c r="L25" s="151">
        <v>0</v>
      </c>
      <c r="M25" s="128">
        <v>0</v>
      </c>
      <c r="N25" s="67">
        <v>0</v>
      </c>
      <c r="O25" s="67">
        <v>0</v>
      </c>
      <c r="P25" s="270" t="e">
        <v>#REF!</v>
      </c>
      <c r="Q25" s="71"/>
      <c r="R25" s="449"/>
      <c r="S25" s="67">
        <v>0</v>
      </c>
      <c r="T25" s="163">
        <v>0</v>
      </c>
      <c r="U25" s="43">
        <v>0</v>
      </c>
      <c r="V25" s="61"/>
      <c r="X25" s="67"/>
      <c r="Y25" s="451"/>
      <c r="Z25" s="452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129.25</v>
      </c>
      <c r="E26" s="67">
        <v>23713</v>
      </c>
      <c r="F26" s="146">
        <v>10000</v>
      </c>
      <c r="G26" s="146">
        <v>0</v>
      </c>
      <c r="H26" s="91">
        <v>33713</v>
      </c>
      <c r="I26" s="67">
        <v>0</v>
      </c>
      <c r="J26" s="20">
        <v>23713</v>
      </c>
      <c r="K26" s="132" t="s">
        <v>621</v>
      </c>
      <c r="L26" s="151">
        <v>0</v>
      </c>
      <c r="M26" s="128">
        <v>129.25</v>
      </c>
      <c r="N26" s="67">
        <v>51</v>
      </c>
      <c r="O26" s="67">
        <v>23764</v>
      </c>
      <c r="P26" s="270" t="e">
        <v>#REF!</v>
      </c>
      <c r="Q26" s="71"/>
      <c r="R26" s="449"/>
      <c r="S26" s="67">
        <v>20594</v>
      </c>
      <c r="T26" s="163">
        <v>3170</v>
      </c>
      <c r="U26" s="43">
        <v>0.15392832863940953</v>
      </c>
      <c r="V26" s="61"/>
      <c r="X26" s="67"/>
      <c r="Y26" s="451"/>
      <c r="Z26" s="452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328</v>
      </c>
      <c r="E27" s="67">
        <v>60177</v>
      </c>
      <c r="F27" s="146">
        <v>0</v>
      </c>
      <c r="G27" s="146">
        <v>0</v>
      </c>
      <c r="H27" s="91">
        <v>60177</v>
      </c>
      <c r="I27" s="67">
        <v>0</v>
      </c>
      <c r="J27" s="20">
        <v>60177</v>
      </c>
      <c r="K27" s="132" t="s">
        <v>621</v>
      </c>
      <c r="L27" s="151">
        <v>0</v>
      </c>
      <c r="M27" s="128">
        <v>328</v>
      </c>
      <c r="N27" s="67">
        <v>129</v>
      </c>
      <c r="O27" s="67">
        <v>60306</v>
      </c>
      <c r="P27" s="270" t="e">
        <v>#REF!</v>
      </c>
      <c r="Q27" s="71"/>
      <c r="R27" s="449"/>
      <c r="S27" s="67">
        <v>61888</v>
      </c>
      <c r="T27" s="163">
        <v>-1582</v>
      </c>
      <c r="U27" s="43">
        <v>-2.5562306101344363E-2</v>
      </c>
      <c r="V27" s="61"/>
      <c r="X27" s="67"/>
      <c r="Y27" s="451"/>
      <c r="Z27" s="452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353.13</v>
      </c>
      <c r="E28" s="67">
        <v>64788</v>
      </c>
      <c r="F28" s="146">
        <v>10000</v>
      </c>
      <c r="G28" s="146">
        <v>0</v>
      </c>
      <c r="H28" s="91">
        <v>74788</v>
      </c>
      <c r="I28" s="67">
        <v>0</v>
      </c>
      <c r="J28" s="20">
        <v>64788</v>
      </c>
      <c r="K28" s="132" t="s">
        <v>621</v>
      </c>
      <c r="L28" s="151">
        <v>0</v>
      </c>
      <c r="M28" s="128">
        <v>353.13</v>
      </c>
      <c r="N28" s="67">
        <v>139</v>
      </c>
      <c r="O28" s="67">
        <v>64927</v>
      </c>
      <c r="P28" s="270" t="e">
        <v>#REF!</v>
      </c>
      <c r="Q28" s="71"/>
      <c r="R28" s="449"/>
      <c r="S28" s="67">
        <v>52521</v>
      </c>
      <c r="T28" s="163">
        <v>12406</v>
      </c>
      <c r="U28" s="43">
        <v>0.23621027779364445</v>
      </c>
      <c r="V28" s="61"/>
      <c r="X28" s="67"/>
      <c r="Y28" s="451"/>
      <c r="Z28" s="452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146">
        <v>0</v>
      </c>
      <c r="H29" s="91">
        <v>0</v>
      </c>
      <c r="I29" s="67">
        <v>0</v>
      </c>
      <c r="J29" s="20">
        <v>0</v>
      </c>
      <c r="K29" s="132" t="s">
        <v>644</v>
      </c>
      <c r="L29" s="151">
        <v>0</v>
      </c>
      <c r="M29" s="128">
        <v>0</v>
      </c>
      <c r="N29" s="67">
        <v>0</v>
      </c>
      <c r="O29" s="67">
        <v>0</v>
      </c>
      <c r="P29" s="270" t="e">
        <v>#REF!</v>
      </c>
      <c r="Q29" s="71"/>
      <c r="R29" s="449"/>
      <c r="S29" s="67">
        <v>0</v>
      </c>
      <c r="T29" s="163">
        <v>0</v>
      </c>
      <c r="U29" s="43">
        <v>0</v>
      </c>
      <c r="V29" s="61"/>
      <c r="X29" s="67"/>
      <c r="Y29" s="451"/>
      <c r="Z29" s="452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579.38</v>
      </c>
      <c r="E30" s="67">
        <v>106297</v>
      </c>
      <c r="F30" s="146">
        <v>0</v>
      </c>
      <c r="G30" s="146">
        <v>0</v>
      </c>
      <c r="H30" s="91">
        <v>106297</v>
      </c>
      <c r="I30" s="67">
        <v>0</v>
      </c>
      <c r="J30" s="20">
        <v>106297</v>
      </c>
      <c r="K30" s="132" t="s">
        <v>621</v>
      </c>
      <c r="L30" s="151">
        <v>0</v>
      </c>
      <c r="M30" s="128">
        <v>579.38</v>
      </c>
      <c r="N30" s="67">
        <v>227</v>
      </c>
      <c r="O30" s="67">
        <v>106524</v>
      </c>
      <c r="P30" s="270" t="e">
        <v>#REF!</v>
      </c>
      <c r="Q30" s="71"/>
      <c r="R30" s="449"/>
      <c r="S30" s="67">
        <v>91493</v>
      </c>
      <c r="T30" s="163">
        <v>15031</v>
      </c>
      <c r="U30" s="43">
        <v>0.16428579235569934</v>
      </c>
      <c r="V30" s="61"/>
      <c r="X30" s="67"/>
      <c r="Y30" s="451"/>
      <c r="Z30" s="452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90</v>
      </c>
      <c r="E31" s="67">
        <v>16512</v>
      </c>
      <c r="F31" s="146">
        <v>10000</v>
      </c>
      <c r="G31" s="146">
        <v>0</v>
      </c>
      <c r="H31" s="91">
        <v>26512</v>
      </c>
      <c r="I31" s="67">
        <v>0</v>
      </c>
      <c r="J31" s="20">
        <v>16512</v>
      </c>
      <c r="K31" s="132" t="s">
        <v>621</v>
      </c>
      <c r="L31" s="151">
        <v>0</v>
      </c>
      <c r="M31" s="128">
        <v>90</v>
      </c>
      <c r="N31" s="67">
        <v>35</v>
      </c>
      <c r="O31" s="67">
        <v>16547</v>
      </c>
      <c r="P31" s="270" t="e">
        <v>#REF!</v>
      </c>
      <c r="Q31" s="71"/>
      <c r="R31" s="449"/>
      <c r="S31" s="67">
        <v>20072</v>
      </c>
      <c r="T31" s="163">
        <v>-3525</v>
      </c>
      <c r="U31" s="43">
        <v>-0.17561777600637704</v>
      </c>
      <c r="V31" s="61"/>
      <c r="X31" s="67"/>
      <c r="Y31" s="451"/>
      <c r="Z31" s="452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156.38</v>
      </c>
      <c r="E32" s="67">
        <v>28691</v>
      </c>
      <c r="F32" s="146">
        <v>0</v>
      </c>
      <c r="G32" s="146">
        <v>0</v>
      </c>
      <c r="H32" s="91">
        <v>28691</v>
      </c>
      <c r="I32" s="67">
        <v>0</v>
      </c>
      <c r="J32" s="20">
        <v>28691</v>
      </c>
      <c r="K32" s="132" t="s">
        <v>621</v>
      </c>
      <c r="L32" s="151">
        <v>0</v>
      </c>
      <c r="M32" s="128">
        <v>156.38</v>
      </c>
      <c r="N32" s="67">
        <v>61</v>
      </c>
      <c r="O32" s="67">
        <v>28752</v>
      </c>
      <c r="P32" s="270" t="e">
        <v>#REF!</v>
      </c>
      <c r="Q32" s="71"/>
      <c r="R32" s="449"/>
      <c r="S32" s="67">
        <v>13402</v>
      </c>
      <c r="T32" s="163">
        <v>15350</v>
      </c>
      <c r="U32" s="43">
        <v>1.1453514400835696</v>
      </c>
      <c r="V32" s="61"/>
      <c r="X32" s="67"/>
      <c r="Y32" s="451"/>
      <c r="Z32" s="452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146">
        <v>0</v>
      </c>
      <c r="H33" s="91">
        <v>0</v>
      </c>
      <c r="I33" s="67">
        <v>0</v>
      </c>
      <c r="J33" s="20">
        <v>0</v>
      </c>
      <c r="K33" s="132" t="s">
        <v>644</v>
      </c>
      <c r="L33" s="151">
        <v>0</v>
      </c>
      <c r="M33" s="128">
        <v>0</v>
      </c>
      <c r="N33" s="67">
        <v>0</v>
      </c>
      <c r="O33" s="67">
        <v>0</v>
      </c>
      <c r="P33" s="270" t="e">
        <v>#REF!</v>
      </c>
      <c r="Q33" s="71"/>
      <c r="R33" s="449"/>
      <c r="S33" s="67">
        <v>0</v>
      </c>
      <c r="T33" s="163">
        <v>0</v>
      </c>
      <c r="U33" s="43">
        <v>0</v>
      </c>
      <c r="V33" s="61"/>
      <c r="X33" s="67"/>
      <c r="Y33" s="451"/>
      <c r="Z33" s="452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149</v>
      </c>
      <c r="E34" s="67">
        <v>27337</v>
      </c>
      <c r="F34" s="146">
        <v>0</v>
      </c>
      <c r="G34" s="146">
        <v>0</v>
      </c>
      <c r="H34" s="91">
        <v>27337</v>
      </c>
      <c r="I34" s="67">
        <v>0</v>
      </c>
      <c r="J34" s="20">
        <v>27337</v>
      </c>
      <c r="K34" s="132" t="s">
        <v>621</v>
      </c>
      <c r="L34" s="151">
        <v>0</v>
      </c>
      <c r="M34" s="128">
        <v>149</v>
      </c>
      <c r="N34" s="67">
        <v>58</v>
      </c>
      <c r="O34" s="67">
        <v>27395</v>
      </c>
      <c r="P34" s="270" t="e">
        <v>#REF!</v>
      </c>
      <c r="Q34" s="71"/>
      <c r="R34" s="449"/>
      <c r="S34" s="67">
        <v>25759</v>
      </c>
      <c r="T34" s="163">
        <v>1636</v>
      </c>
      <c r="U34" s="43">
        <v>6.3511782289685154E-2</v>
      </c>
      <c r="V34" s="61"/>
      <c r="X34" s="67"/>
      <c r="Y34" s="451"/>
      <c r="Z34" s="452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178.38</v>
      </c>
      <c r="E35" s="67">
        <v>32727</v>
      </c>
      <c r="F35" s="146">
        <v>0</v>
      </c>
      <c r="G35" s="146">
        <v>0</v>
      </c>
      <c r="H35" s="91">
        <v>32727</v>
      </c>
      <c r="I35" s="67">
        <v>0</v>
      </c>
      <c r="J35" s="20">
        <v>32727</v>
      </c>
      <c r="K35" s="132" t="s">
        <v>621</v>
      </c>
      <c r="L35" s="151">
        <v>0</v>
      </c>
      <c r="M35" s="128">
        <v>178.38</v>
      </c>
      <c r="N35" s="67">
        <v>70</v>
      </c>
      <c r="O35" s="67">
        <v>32797</v>
      </c>
      <c r="P35" s="270" t="e">
        <v>#REF!</v>
      </c>
      <c r="Q35" s="71"/>
      <c r="R35" s="449"/>
      <c r="S35" s="67">
        <v>29522</v>
      </c>
      <c r="T35" s="163">
        <v>3275</v>
      </c>
      <c r="U35" s="43">
        <v>0.1109342185488788</v>
      </c>
      <c r="V35" s="61"/>
      <c r="X35" s="67"/>
      <c r="Y35" s="451"/>
      <c r="Z35" s="452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34.630000000000003</v>
      </c>
      <c r="E36" s="67">
        <v>6353</v>
      </c>
      <c r="F36" s="146">
        <v>0</v>
      </c>
      <c r="G36" s="146">
        <v>0</v>
      </c>
      <c r="H36" s="91">
        <v>6353</v>
      </c>
      <c r="I36" s="67">
        <v>0</v>
      </c>
      <c r="J36" s="20">
        <v>6353</v>
      </c>
      <c r="K36" s="132" t="s">
        <v>621</v>
      </c>
      <c r="L36" s="151">
        <v>0</v>
      </c>
      <c r="M36" s="128">
        <v>34.630000000000003</v>
      </c>
      <c r="N36" s="67">
        <v>14</v>
      </c>
      <c r="O36" s="67">
        <v>6367</v>
      </c>
      <c r="P36" s="270" t="e">
        <v>#REF!</v>
      </c>
      <c r="Q36" s="71"/>
      <c r="R36" s="449"/>
      <c r="S36" s="67">
        <v>0</v>
      </c>
      <c r="T36" s="163">
        <v>6367</v>
      </c>
      <c r="U36" s="43">
        <v>0</v>
      </c>
      <c r="V36" s="61"/>
      <c r="X36" s="67"/>
      <c r="Y36" s="451"/>
      <c r="Z36" s="452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20">
        <v>0</v>
      </c>
      <c r="K37" s="132" t="s">
        <v>644</v>
      </c>
      <c r="L37" s="151">
        <v>0</v>
      </c>
      <c r="M37" s="128">
        <v>0</v>
      </c>
      <c r="N37" s="67">
        <v>0</v>
      </c>
      <c r="O37" s="67">
        <v>0</v>
      </c>
      <c r="P37" s="270" t="e">
        <v>#REF!</v>
      </c>
      <c r="Q37" s="71"/>
      <c r="R37" s="449"/>
      <c r="S37" s="67">
        <v>0</v>
      </c>
      <c r="T37" s="163">
        <v>0</v>
      </c>
      <c r="U37" s="43">
        <v>0</v>
      </c>
      <c r="V37" s="61"/>
      <c r="X37" s="67"/>
      <c r="Y37" s="451"/>
      <c r="Z37" s="452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205.88</v>
      </c>
      <c r="E38" s="67">
        <v>37772</v>
      </c>
      <c r="F38" s="146">
        <v>10000</v>
      </c>
      <c r="G38" s="146">
        <v>0</v>
      </c>
      <c r="H38" s="91">
        <v>47772</v>
      </c>
      <c r="I38" s="67">
        <v>0</v>
      </c>
      <c r="J38" s="20">
        <v>37772</v>
      </c>
      <c r="K38" s="132" t="s">
        <v>621</v>
      </c>
      <c r="L38" s="151">
        <v>0</v>
      </c>
      <c r="M38" s="128">
        <v>205.88</v>
      </c>
      <c r="N38" s="67">
        <v>81</v>
      </c>
      <c r="O38" s="67">
        <v>37853</v>
      </c>
      <c r="P38" s="270" t="e">
        <v>#REF!</v>
      </c>
      <c r="Q38" s="71"/>
      <c r="R38" s="449"/>
      <c r="S38" s="67">
        <v>29836</v>
      </c>
      <c r="T38" s="163">
        <v>8017</v>
      </c>
      <c r="U38" s="43">
        <v>0.26870223890601957</v>
      </c>
      <c r="V38" s="61"/>
      <c r="X38" s="67"/>
      <c r="Y38" s="451"/>
      <c r="Z38" s="452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212.63</v>
      </c>
      <c r="E39" s="67">
        <v>39011</v>
      </c>
      <c r="F39" s="146">
        <v>10000</v>
      </c>
      <c r="G39" s="146">
        <v>0</v>
      </c>
      <c r="H39" s="91">
        <v>49011</v>
      </c>
      <c r="I39" s="67">
        <v>0</v>
      </c>
      <c r="J39" s="20">
        <v>39011</v>
      </c>
      <c r="K39" s="132" t="s">
        <v>621</v>
      </c>
      <c r="L39" s="151">
        <v>0</v>
      </c>
      <c r="M39" s="128">
        <v>212.63</v>
      </c>
      <c r="N39" s="67">
        <v>83</v>
      </c>
      <c r="O39" s="67">
        <v>39094</v>
      </c>
      <c r="P39" s="270" t="e">
        <v>#REF!</v>
      </c>
      <c r="Q39" s="71"/>
      <c r="R39" s="449"/>
      <c r="S39" s="67">
        <v>32575</v>
      </c>
      <c r="T39" s="163">
        <v>6519</v>
      </c>
      <c r="U39" s="43">
        <v>0.20012279355333845</v>
      </c>
      <c r="V39" s="61"/>
      <c r="X39" s="67"/>
      <c r="Y39" s="451"/>
      <c r="Z39" s="452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260.88</v>
      </c>
      <c r="E40" s="67">
        <v>47863</v>
      </c>
      <c r="F40" s="146">
        <v>0</v>
      </c>
      <c r="G40" s="146">
        <v>0</v>
      </c>
      <c r="H40" s="91">
        <v>47863</v>
      </c>
      <c r="I40" s="67">
        <v>0</v>
      </c>
      <c r="J40" s="20">
        <v>47863</v>
      </c>
      <c r="K40" s="132" t="s">
        <v>621</v>
      </c>
      <c r="L40" s="151">
        <v>0</v>
      </c>
      <c r="M40" s="128">
        <v>260.88</v>
      </c>
      <c r="N40" s="67">
        <v>102</v>
      </c>
      <c r="O40" s="67">
        <v>47965</v>
      </c>
      <c r="P40" s="270" t="e">
        <v>#REF!</v>
      </c>
      <c r="Q40" s="71"/>
      <c r="R40" s="449"/>
      <c r="S40" s="67">
        <v>42986</v>
      </c>
      <c r="T40" s="163">
        <v>4979</v>
      </c>
      <c r="U40" s="43">
        <v>0.1158284092495231</v>
      </c>
      <c r="V40" s="61"/>
      <c r="X40" s="67"/>
      <c r="Y40" s="451"/>
      <c r="Z40" s="452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70.13</v>
      </c>
      <c r="E41" s="67">
        <v>12867</v>
      </c>
      <c r="F41" s="146">
        <v>0</v>
      </c>
      <c r="G41" s="146">
        <v>0</v>
      </c>
      <c r="H41" s="91">
        <v>12867</v>
      </c>
      <c r="I41" s="67">
        <v>0</v>
      </c>
      <c r="J41" s="20">
        <v>12867</v>
      </c>
      <c r="K41" s="132" t="s">
        <v>621</v>
      </c>
      <c r="L41" s="151">
        <v>0</v>
      </c>
      <c r="M41" s="128">
        <v>70.13</v>
      </c>
      <c r="N41" s="67">
        <v>28</v>
      </c>
      <c r="O41" s="67">
        <v>12895</v>
      </c>
      <c r="P41" s="270" t="e">
        <v>#REF!</v>
      </c>
      <c r="Q41" s="71"/>
      <c r="R41" s="449"/>
      <c r="S41" s="67">
        <v>11834</v>
      </c>
      <c r="T41" s="163">
        <v>1061</v>
      </c>
      <c r="U41" s="43">
        <v>8.9656920736859894E-2</v>
      </c>
      <c r="V41" s="61"/>
      <c r="X41" s="67"/>
      <c r="Y41" s="451"/>
      <c r="Z41" s="452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77</v>
      </c>
      <c r="E42" s="67">
        <v>14127</v>
      </c>
      <c r="F42" s="146">
        <v>0</v>
      </c>
      <c r="G42" s="146">
        <v>0</v>
      </c>
      <c r="H42" s="91">
        <v>14127</v>
      </c>
      <c r="I42" s="67">
        <v>0</v>
      </c>
      <c r="J42" s="20">
        <v>14127</v>
      </c>
      <c r="K42" s="132" t="s">
        <v>621</v>
      </c>
      <c r="L42" s="151">
        <v>0</v>
      </c>
      <c r="M42" s="128">
        <v>77</v>
      </c>
      <c r="N42" s="67">
        <v>30</v>
      </c>
      <c r="O42" s="67">
        <v>14157</v>
      </c>
      <c r="P42" s="270" t="e">
        <v>#REF!</v>
      </c>
      <c r="Q42" s="71"/>
      <c r="R42" s="449"/>
      <c r="S42" s="67">
        <v>0</v>
      </c>
      <c r="T42" s="163">
        <v>14157</v>
      </c>
      <c r="U42" s="43">
        <v>0</v>
      </c>
      <c r="V42" s="61"/>
      <c r="X42" s="67"/>
      <c r="Y42" s="451"/>
      <c r="Z42" s="452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2</v>
      </c>
      <c r="E43" s="67">
        <v>367</v>
      </c>
      <c r="F43" s="146">
        <v>0</v>
      </c>
      <c r="G43" s="146">
        <v>0</v>
      </c>
      <c r="H43" s="91">
        <v>367</v>
      </c>
      <c r="I43" s="67">
        <v>0</v>
      </c>
      <c r="J43" s="20">
        <v>367</v>
      </c>
      <c r="K43" s="132" t="s">
        <v>644</v>
      </c>
      <c r="L43" s="151">
        <v>367</v>
      </c>
      <c r="M43" s="128">
        <v>0</v>
      </c>
      <c r="N43" s="67">
        <v>0</v>
      </c>
      <c r="O43" s="67">
        <v>0</v>
      </c>
      <c r="P43" s="270" t="e">
        <v>#REF!</v>
      </c>
      <c r="Q43" s="71"/>
      <c r="R43" s="449"/>
      <c r="S43" s="67">
        <v>0</v>
      </c>
      <c r="T43" s="163">
        <v>0</v>
      </c>
      <c r="U43" s="43">
        <v>0</v>
      </c>
      <c r="V43" s="61"/>
      <c r="X43" s="67"/>
      <c r="Y43" s="451"/>
      <c r="Z43" s="452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12.75</v>
      </c>
      <c r="E44" s="67">
        <v>2339</v>
      </c>
      <c r="F44" s="146">
        <v>0</v>
      </c>
      <c r="G44" s="146">
        <v>0</v>
      </c>
      <c r="H44" s="91">
        <v>2339</v>
      </c>
      <c r="I44" s="67">
        <v>0</v>
      </c>
      <c r="J44" s="20">
        <v>2339</v>
      </c>
      <c r="K44" s="132" t="s">
        <v>621</v>
      </c>
      <c r="L44" s="151">
        <v>0</v>
      </c>
      <c r="M44" s="128">
        <v>12.75</v>
      </c>
      <c r="N44" s="67">
        <v>5</v>
      </c>
      <c r="O44" s="67">
        <v>2344</v>
      </c>
      <c r="P44" s="270" t="e">
        <v>#REF!</v>
      </c>
      <c r="Q44" s="71"/>
      <c r="R44" s="449"/>
      <c r="S44" s="67">
        <v>0</v>
      </c>
      <c r="T44" s="163">
        <v>2344</v>
      </c>
      <c r="U44" s="43">
        <v>0</v>
      </c>
      <c r="V44" s="61"/>
      <c r="X44" s="67"/>
      <c r="Y44" s="451"/>
      <c r="Z44" s="452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23.5</v>
      </c>
      <c r="E45" s="67">
        <v>4311</v>
      </c>
      <c r="F45" s="146">
        <v>0</v>
      </c>
      <c r="G45" s="146">
        <v>0</v>
      </c>
      <c r="H45" s="91">
        <v>4311</v>
      </c>
      <c r="I45" s="67">
        <v>0</v>
      </c>
      <c r="J45" s="20">
        <v>4311</v>
      </c>
      <c r="K45" s="132" t="s">
        <v>621</v>
      </c>
      <c r="L45" s="151">
        <v>0</v>
      </c>
      <c r="M45" s="128">
        <v>23.5</v>
      </c>
      <c r="N45" s="67">
        <v>9</v>
      </c>
      <c r="O45" s="67">
        <v>4320</v>
      </c>
      <c r="P45" s="270" t="e">
        <v>#REF!</v>
      </c>
      <c r="Q45" s="71"/>
      <c r="R45" s="449"/>
      <c r="S45" s="67">
        <v>4683</v>
      </c>
      <c r="T45" s="163">
        <v>-363</v>
      </c>
      <c r="U45" s="43">
        <v>-7.7514413837283788E-2</v>
      </c>
      <c r="V45" s="61"/>
      <c r="X45" s="67"/>
      <c r="Y45" s="451"/>
      <c r="Z45" s="452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15.13</v>
      </c>
      <c r="E46" s="67">
        <v>2776</v>
      </c>
      <c r="F46" s="146">
        <v>0</v>
      </c>
      <c r="G46" s="146">
        <v>0</v>
      </c>
      <c r="H46" s="91">
        <v>2776</v>
      </c>
      <c r="I46" s="67">
        <v>0</v>
      </c>
      <c r="J46" s="20">
        <v>2776</v>
      </c>
      <c r="K46" s="132" t="s">
        <v>621</v>
      </c>
      <c r="L46" s="151">
        <v>0</v>
      </c>
      <c r="M46" s="128">
        <v>15.13</v>
      </c>
      <c r="N46" s="67">
        <v>6</v>
      </c>
      <c r="O46" s="67">
        <v>2782</v>
      </c>
      <c r="P46" s="270" t="e">
        <v>#REF!</v>
      </c>
      <c r="Q46" s="71"/>
      <c r="R46" s="449"/>
      <c r="S46" s="67">
        <v>2300</v>
      </c>
      <c r="T46" s="163">
        <v>482</v>
      </c>
      <c r="U46" s="43">
        <v>0.20956521739130435</v>
      </c>
      <c r="V46" s="61"/>
      <c r="X46" s="67"/>
      <c r="Y46" s="451"/>
      <c r="Z46" s="452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1131.75</v>
      </c>
      <c r="E47" s="67">
        <v>207639</v>
      </c>
      <c r="F47" s="146">
        <v>50000</v>
      </c>
      <c r="G47" s="146">
        <v>0</v>
      </c>
      <c r="H47" s="91">
        <v>257639</v>
      </c>
      <c r="I47" s="67">
        <v>0</v>
      </c>
      <c r="J47" s="20">
        <v>207639</v>
      </c>
      <c r="K47" s="132" t="s">
        <v>621</v>
      </c>
      <c r="L47" s="151">
        <v>0</v>
      </c>
      <c r="M47" s="128">
        <v>1131.75</v>
      </c>
      <c r="N47" s="67">
        <v>444</v>
      </c>
      <c r="O47" s="67">
        <v>208083</v>
      </c>
      <c r="P47" s="270" t="e">
        <v>#REF!</v>
      </c>
      <c r="Q47" s="71"/>
      <c r="R47" s="449"/>
      <c r="S47" s="67">
        <v>183698</v>
      </c>
      <c r="T47" s="163">
        <v>24385</v>
      </c>
      <c r="U47" s="43">
        <v>0.13274504893901948</v>
      </c>
      <c r="V47" s="61"/>
      <c r="X47" s="67"/>
      <c r="Y47" s="451"/>
      <c r="Z47" s="452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146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 t="e">
        <v>#N/A</v>
      </c>
      <c r="Q48" s="71"/>
      <c r="R48" s="449"/>
      <c r="S48" s="67">
        <v>0</v>
      </c>
      <c r="T48" s="163">
        <v>0</v>
      </c>
      <c r="U48" s="43">
        <v>0</v>
      </c>
      <c r="V48" s="61"/>
      <c r="X48" s="67"/>
      <c r="Y48" s="451"/>
      <c r="Z48" s="452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20">
        <v>0</v>
      </c>
      <c r="K49" s="132" t="s">
        <v>644</v>
      </c>
      <c r="L49" s="151">
        <v>0</v>
      </c>
      <c r="M49" s="128">
        <v>0</v>
      </c>
      <c r="N49" s="67">
        <v>0</v>
      </c>
      <c r="O49" s="67">
        <v>0</v>
      </c>
      <c r="P49" s="270" t="e">
        <v>#REF!</v>
      </c>
      <c r="Q49" s="71"/>
      <c r="R49" s="449"/>
      <c r="S49" s="67">
        <v>0</v>
      </c>
      <c r="T49" s="163">
        <v>0</v>
      </c>
      <c r="U49" s="43">
        <v>0</v>
      </c>
      <c r="V49" s="61"/>
      <c r="X49" s="67"/>
      <c r="Y49" s="451"/>
      <c r="Z49" s="452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152.13</v>
      </c>
      <c r="E50" s="67">
        <v>27911</v>
      </c>
      <c r="F50" s="146">
        <v>0</v>
      </c>
      <c r="G50" s="146">
        <v>3300</v>
      </c>
      <c r="H50" s="91">
        <v>31211</v>
      </c>
      <c r="I50" s="67">
        <v>0</v>
      </c>
      <c r="J50" s="20">
        <v>27911</v>
      </c>
      <c r="K50" s="132" t="s">
        <v>621</v>
      </c>
      <c r="L50" s="151">
        <v>0</v>
      </c>
      <c r="M50" s="128">
        <v>152.13</v>
      </c>
      <c r="N50" s="67">
        <v>60</v>
      </c>
      <c r="O50" s="67">
        <v>27971</v>
      </c>
      <c r="P50" s="270" t="e">
        <v>#REF!</v>
      </c>
      <c r="Q50" s="71"/>
      <c r="R50" s="449"/>
      <c r="S50" s="67">
        <v>25089</v>
      </c>
      <c r="T50" s="163">
        <v>2882</v>
      </c>
      <c r="U50" s="43">
        <v>0.11487105902985371</v>
      </c>
      <c r="V50" s="61"/>
      <c r="X50" s="67"/>
      <c r="Y50" s="451"/>
      <c r="Z50" s="452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P51" s="270" t="e">
        <v>#REF!</v>
      </c>
      <c r="Q51" s="71"/>
      <c r="R51" s="449"/>
      <c r="S51" s="67">
        <v>0</v>
      </c>
      <c r="T51" s="163">
        <v>0</v>
      </c>
      <c r="U51" s="43">
        <v>0</v>
      </c>
      <c r="V51" s="61"/>
      <c r="X51" s="67"/>
      <c r="Y51" s="451"/>
      <c r="Z51" s="452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20">
        <v>0</v>
      </c>
      <c r="K52" s="132" t="s">
        <v>644</v>
      </c>
      <c r="L52" s="151">
        <v>0</v>
      </c>
      <c r="M52" s="128">
        <v>0</v>
      </c>
      <c r="N52" s="67">
        <v>0</v>
      </c>
      <c r="O52" s="67">
        <v>0</v>
      </c>
      <c r="P52" s="270" t="e">
        <v>#REF!</v>
      </c>
      <c r="Q52" s="71"/>
      <c r="R52" s="449"/>
      <c r="S52" s="67">
        <v>0</v>
      </c>
      <c r="T52" s="163">
        <v>0</v>
      </c>
      <c r="U52" s="43">
        <v>0</v>
      </c>
      <c r="V52" s="61"/>
      <c r="X52" s="67"/>
      <c r="Y52" s="451"/>
      <c r="Z52" s="452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73.25</v>
      </c>
      <c r="E53" s="67">
        <v>13439</v>
      </c>
      <c r="F53" s="146">
        <v>0</v>
      </c>
      <c r="G53" s="146">
        <v>0</v>
      </c>
      <c r="H53" s="91">
        <v>13439</v>
      </c>
      <c r="I53" s="67">
        <v>0</v>
      </c>
      <c r="J53" s="20">
        <v>13439</v>
      </c>
      <c r="K53" s="132" t="s">
        <v>621</v>
      </c>
      <c r="L53" s="151">
        <v>0</v>
      </c>
      <c r="M53" s="128">
        <v>73.25</v>
      </c>
      <c r="N53" s="67">
        <v>29</v>
      </c>
      <c r="O53" s="67">
        <v>13468</v>
      </c>
      <c r="P53" s="270" t="e">
        <v>#REF!</v>
      </c>
      <c r="Q53" s="71"/>
      <c r="R53" s="449"/>
      <c r="S53" s="67">
        <v>12984</v>
      </c>
      <c r="T53" s="163">
        <v>484</v>
      </c>
      <c r="U53" s="43">
        <v>3.7276648182378309E-2</v>
      </c>
      <c r="V53" s="61"/>
      <c r="X53" s="67"/>
      <c r="Y53" s="451"/>
      <c r="Z53" s="452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44.5</v>
      </c>
      <c r="E54" s="67">
        <v>8164</v>
      </c>
      <c r="F54" s="146">
        <v>0</v>
      </c>
      <c r="G54" s="146">
        <v>0</v>
      </c>
      <c r="H54" s="91">
        <v>8164</v>
      </c>
      <c r="I54" s="67">
        <v>0</v>
      </c>
      <c r="J54" s="20">
        <v>8164</v>
      </c>
      <c r="K54" s="132" t="s">
        <v>644</v>
      </c>
      <c r="L54" s="151">
        <v>8164</v>
      </c>
      <c r="M54" s="128">
        <v>0</v>
      </c>
      <c r="N54" s="67">
        <v>0</v>
      </c>
      <c r="O54" s="67">
        <v>0</v>
      </c>
      <c r="P54" s="270" t="e">
        <v>#REF!</v>
      </c>
      <c r="Q54" s="71"/>
      <c r="R54" s="449"/>
      <c r="S54" s="67">
        <v>0</v>
      </c>
      <c r="T54" s="163">
        <v>0</v>
      </c>
      <c r="U54" s="43">
        <v>0</v>
      </c>
      <c r="V54" s="61"/>
      <c r="X54" s="67"/>
      <c r="Y54" s="451"/>
      <c r="Z54" s="452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1.25</v>
      </c>
      <c r="E55" s="67">
        <v>229</v>
      </c>
      <c r="F55" s="146">
        <v>0</v>
      </c>
      <c r="G55" s="146">
        <v>0</v>
      </c>
      <c r="H55" s="91">
        <v>229</v>
      </c>
      <c r="I55" s="67">
        <v>0</v>
      </c>
      <c r="J55" s="20">
        <v>229</v>
      </c>
      <c r="K55" s="132" t="s">
        <v>621</v>
      </c>
      <c r="L55" s="151">
        <v>0</v>
      </c>
      <c r="M55" s="128">
        <v>1.25</v>
      </c>
      <c r="N55" s="67">
        <v>0</v>
      </c>
      <c r="O55" s="67">
        <v>229</v>
      </c>
      <c r="P55" s="270" t="e">
        <v>#REF!</v>
      </c>
      <c r="Q55" s="71"/>
      <c r="R55" s="449"/>
      <c r="S55" s="67">
        <v>0</v>
      </c>
      <c r="T55" s="163">
        <v>229</v>
      </c>
      <c r="U55" s="43">
        <v>0</v>
      </c>
      <c r="V55" s="61"/>
      <c r="X55" s="67"/>
      <c r="Y55" s="451"/>
      <c r="Z55" s="452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21</v>
      </c>
      <c r="E56" s="67">
        <v>3853</v>
      </c>
      <c r="F56" s="146">
        <v>0</v>
      </c>
      <c r="G56" s="146">
        <v>0</v>
      </c>
      <c r="H56" s="91">
        <v>3853</v>
      </c>
      <c r="I56" s="67">
        <v>0</v>
      </c>
      <c r="J56" s="20">
        <v>3853</v>
      </c>
      <c r="K56" s="132" t="s">
        <v>621</v>
      </c>
      <c r="L56" s="151">
        <v>0</v>
      </c>
      <c r="M56" s="128">
        <v>21</v>
      </c>
      <c r="N56" s="67">
        <v>8</v>
      </c>
      <c r="O56" s="67">
        <v>3861</v>
      </c>
      <c r="P56" s="270" t="e">
        <v>#REF!</v>
      </c>
      <c r="Q56" s="71"/>
      <c r="R56" s="449"/>
      <c r="S56" s="67">
        <v>0</v>
      </c>
      <c r="T56" s="163">
        <v>3861</v>
      </c>
      <c r="U56" s="43">
        <v>0</v>
      </c>
      <c r="V56" s="61"/>
      <c r="X56" s="67"/>
      <c r="Y56" s="451"/>
      <c r="Z56" s="452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146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P57" s="270" t="e">
        <v>#REF!</v>
      </c>
      <c r="Q57" s="71"/>
      <c r="R57" s="449"/>
      <c r="S57" s="67">
        <v>0</v>
      </c>
      <c r="T57" s="163">
        <v>0</v>
      </c>
      <c r="U57" s="43">
        <v>0</v>
      </c>
      <c r="V57" s="61"/>
      <c r="X57" s="67"/>
      <c r="Y57" s="451"/>
      <c r="Z57" s="452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20">
        <v>0</v>
      </c>
      <c r="K58" s="132" t="s">
        <v>644</v>
      </c>
      <c r="L58" s="151">
        <v>0</v>
      </c>
      <c r="M58" s="128">
        <v>0</v>
      </c>
      <c r="N58" s="67">
        <v>0</v>
      </c>
      <c r="O58" s="67">
        <v>0</v>
      </c>
      <c r="P58" s="270" t="e">
        <v>#REF!</v>
      </c>
      <c r="Q58" s="71"/>
      <c r="R58" s="449"/>
      <c r="S58" s="67">
        <v>0</v>
      </c>
      <c r="T58" s="163">
        <v>0</v>
      </c>
      <c r="U58" s="43">
        <v>0</v>
      </c>
      <c r="V58" s="61"/>
      <c r="X58" s="67"/>
      <c r="Y58" s="451"/>
      <c r="Z58" s="452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24.5</v>
      </c>
      <c r="E59" s="67">
        <v>4495</v>
      </c>
      <c r="F59" s="146">
        <v>0</v>
      </c>
      <c r="G59" s="146">
        <v>0</v>
      </c>
      <c r="H59" s="91">
        <v>4495</v>
      </c>
      <c r="I59" s="67">
        <v>0</v>
      </c>
      <c r="J59" s="20">
        <v>4495</v>
      </c>
      <c r="K59" s="132" t="s">
        <v>621</v>
      </c>
      <c r="L59" s="151">
        <v>0</v>
      </c>
      <c r="M59" s="128">
        <v>24.5</v>
      </c>
      <c r="N59" s="67">
        <v>10</v>
      </c>
      <c r="O59" s="67">
        <v>4505</v>
      </c>
      <c r="P59" s="270" t="e">
        <v>#REF!</v>
      </c>
      <c r="Q59" s="71"/>
      <c r="R59" s="449"/>
      <c r="S59" s="67">
        <v>0</v>
      </c>
      <c r="T59" s="163">
        <v>4505</v>
      </c>
      <c r="U59" s="43">
        <v>0</v>
      </c>
      <c r="V59" s="61"/>
      <c r="X59" s="67"/>
      <c r="Y59" s="451"/>
      <c r="Z59" s="452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P60" s="270" t="e">
        <v>#REF!</v>
      </c>
      <c r="Q60" s="71"/>
      <c r="R60" s="449"/>
      <c r="S60" s="67">
        <v>0</v>
      </c>
      <c r="T60" s="163">
        <v>0</v>
      </c>
      <c r="U60" s="43">
        <v>0</v>
      </c>
      <c r="V60" s="61"/>
      <c r="X60" s="67"/>
      <c r="Y60" s="451"/>
      <c r="Z60" s="452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P61" s="270" t="e">
        <v>#REF!</v>
      </c>
      <c r="Q61" s="71"/>
      <c r="R61" s="449"/>
      <c r="S61" s="67">
        <v>0</v>
      </c>
      <c r="T61" s="163">
        <v>0</v>
      </c>
      <c r="U61" s="43">
        <v>0</v>
      </c>
      <c r="V61" s="61"/>
      <c r="X61" s="67"/>
      <c r="Y61" s="451"/>
      <c r="Z61" s="452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20">
        <v>0</v>
      </c>
      <c r="K62" s="132" t="s">
        <v>644</v>
      </c>
      <c r="L62" s="151">
        <v>0</v>
      </c>
      <c r="M62" s="128">
        <v>0</v>
      </c>
      <c r="N62" s="67">
        <v>0</v>
      </c>
      <c r="O62" s="67">
        <v>0</v>
      </c>
      <c r="P62" s="270" t="e">
        <v>#REF!</v>
      </c>
      <c r="Q62" s="71"/>
      <c r="R62" s="449"/>
      <c r="S62" s="67">
        <v>0</v>
      </c>
      <c r="T62" s="163">
        <v>0</v>
      </c>
      <c r="U62" s="43">
        <v>0</v>
      </c>
      <c r="V62" s="61"/>
      <c r="X62" s="67"/>
      <c r="Y62" s="451"/>
      <c r="Z62" s="452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20">
        <v>0</v>
      </c>
      <c r="K63" s="132" t="s">
        <v>644</v>
      </c>
      <c r="L63" s="151">
        <v>0</v>
      </c>
      <c r="M63" s="128">
        <v>0</v>
      </c>
      <c r="N63" s="67">
        <v>0</v>
      </c>
      <c r="O63" s="67">
        <v>0</v>
      </c>
      <c r="P63" s="270" t="e">
        <v>#REF!</v>
      </c>
      <c r="Q63" s="71"/>
      <c r="R63" s="449"/>
      <c r="S63" s="67">
        <v>0</v>
      </c>
      <c r="T63" s="163">
        <v>0</v>
      </c>
      <c r="U63" s="43">
        <v>0</v>
      </c>
      <c r="V63" s="61"/>
      <c r="X63" s="67"/>
      <c r="Y63" s="451"/>
      <c r="Z63" s="452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P64" s="270" t="e">
        <v>#REF!</v>
      </c>
      <c r="Q64" s="71"/>
      <c r="R64" s="449"/>
      <c r="S64" s="67">
        <v>0</v>
      </c>
      <c r="T64" s="163">
        <v>0</v>
      </c>
      <c r="U64" s="43">
        <v>0</v>
      </c>
      <c r="V64" s="61"/>
      <c r="X64" s="67"/>
      <c r="Y64" s="451"/>
      <c r="Z64" s="452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P65" s="270" t="e">
        <v>#REF!</v>
      </c>
      <c r="Q65" s="71"/>
      <c r="R65" s="449"/>
      <c r="S65" s="67">
        <v>0</v>
      </c>
      <c r="T65" s="163">
        <v>0</v>
      </c>
      <c r="U65" s="43">
        <v>0</v>
      </c>
      <c r="V65" s="61"/>
      <c r="X65" s="67"/>
      <c r="Y65" s="451"/>
      <c r="Z65" s="452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20">
        <v>0</v>
      </c>
      <c r="K66" s="132" t="s">
        <v>644</v>
      </c>
      <c r="L66" s="151">
        <v>0</v>
      </c>
      <c r="M66" s="128">
        <v>0</v>
      </c>
      <c r="N66" s="67">
        <v>0</v>
      </c>
      <c r="O66" s="67">
        <v>0</v>
      </c>
      <c r="P66" s="270" t="e">
        <v>#REF!</v>
      </c>
      <c r="Q66" s="71"/>
      <c r="R66" s="449"/>
      <c r="S66" s="67">
        <v>0</v>
      </c>
      <c r="T66" s="163">
        <v>0</v>
      </c>
      <c r="U66" s="43">
        <v>0</v>
      </c>
      <c r="V66" s="61"/>
      <c r="X66" s="67"/>
      <c r="Y66" s="451"/>
      <c r="Z66" s="452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0</v>
      </c>
      <c r="E67" s="67">
        <v>0</v>
      </c>
      <c r="F67" s="146">
        <v>0</v>
      </c>
      <c r="G67" s="146">
        <v>0</v>
      </c>
      <c r="H67" s="91">
        <v>0</v>
      </c>
      <c r="I67" s="67">
        <v>0</v>
      </c>
      <c r="J67" s="20">
        <v>0</v>
      </c>
      <c r="K67" s="132" t="s">
        <v>644</v>
      </c>
      <c r="L67" s="151">
        <v>0</v>
      </c>
      <c r="M67" s="128">
        <v>0</v>
      </c>
      <c r="N67" s="67">
        <v>0</v>
      </c>
      <c r="O67" s="67">
        <v>0</v>
      </c>
      <c r="P67" s="270" t="e">
        <v>#REF!</v>
      </c>
      <c r="Q67" s="71"/>
      <c r="R67" s="449"/>
      <c r="S67" s="67">
        <v>168</v>
      </c>
      <c r="T67" s="163">
        <v>-168</v>
      </c>
      <c r="U67" s="43">
        <v>-1</v>
      </c>
      <c r="V67" s="61"/>
      <c r="X67" s="67"/>
      <c r="Y67" s="451"/>
      <c r="Z67" s="452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4</v>
      </c>
      <c r="E68" s="67">
        <v>734</v>
      </c>
      <c r="F68" s="146">
        <v>0</v>
      </c>
      <c r="G68" s="146">
        <v>0</v>
      </c>
      <c r="H68" s="91">
        <v>734</v>
      </c>
      <c r="I68" s="67">
        <v>0</v>
      </c>
      <c r="J68" s="20">
        <v>734</v>
      </c>
      <c r="K68" s="132" t="s">
        <v>644</v>
      </c>
      <c r="L68" s="151">
        <v>734</v>
      </c>
      <c r="M68" s="128">
        <v>0</v>
      </c>
      <c r="N68" s="67">
        <v>0</v>
      </c>
      <c r="O68" s="67">
        <v>0</v>
      </c>
      <c r="P68" s="270" t="e">
        <v>#REF!</v>
      </c>
      <c r="Q68" s="71"/>
      <c r="R68" s="449"/>
      <c r="S68" s="67">
        <v>0</v>
      </c>
      <c r="T68" s="163">
        <v>0</v>
      </c>
      <c r="U68" s="43">
        <v>0</v>
      </c>
      <c r="V68" s="61"/>
      <c r="X68" s="67"/>
      <c r="Y68" s="451"/>
      <c r="Z68" s="452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9</v>
      </c>
      <c r="E69" s="67">
        <v>1651</v>
      </c>
      <c r="F69" s="146">
        <v>0</v>
      </c>
      <c r="G69" s="146">
        <v>0</v>
      </c>
      <c r="H69" s="91">
        <v>1651</v>
      </c>
      <c r="I69" s="67">
        <v>0</v>
      </c>
      <c r="J69" s="20">
        <v>1651</v>
      </c>
      <c r="K69" s="132" t="s">
        <v>621</v>
      </c>
      <c r="L69" s="151">
        <v>0</v>
      </c>
      <c r="M69" s="128">
        <v>9</v>
      </c>
      <c r="N69" s="67">
        <v>4</v>
      </c>
      <c r="O69" s="67">
        <v>1655</v>
      </c>
      <c r="P69" s="270" t="e">
        <v>#REF!</v>
      </c>
      <c r="Q69" s="71"/>
      <c r="R69" s="449"/>
      <c r="S69" s="67">
        <v>0</v>
      </c>
      <c r="T69" s="163">
        <v>1655</v>
      </c>
      <c r="U69" s="43">
        <v>0</v>
      </c>
      <c r="V69" s="61"/>
      <c r="X69" s="67"/>
      <c r="Y69" s="451"/>
      <c r="Z69" s="452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20">
        <v>0</v>
      </c>
      <c r="K70" s="132" t="s">
        <v>644</v>
      </c>
      <c r="L70" s="151">
        <v>0</v>
      </c>
      <c r="M70" s="128">
        <v>0</v>
      </c>
      <c r="N70" s="67">
        <v>0</v>
      </c>
      <c r="O70" s="67">
        <v>0</v>
      </c>
      <c r="P70" s="270" t="e">
        <v>#REF!</v>
      </c>
      <c r="Q70" s="71"/>
      <c r="R70" s="449"/>
      <c r="S70" s="67">
        <v>0</v>
      </c>
      <c r="T70" s="163">
        <v>0</v>
      </c>
      <c r="U70" s="43">
        <v>0</v>
      </c>
      <c r="V70" s="61"/>
      <c r="X70" s="67"/>
      <c r="Y70" s="451"/>
      <c r="Z70" s="452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110.38</v>
      </c>
      <c r="E71" s="67">
        <v>20251</v>
      </c>
      <c r="F71" s="146">
        <v>0</v>
      </c>
      <c r="G71" s="146">
        <v>0</v>
      </c>
      <c r="H71" s="91">
        <v>20251</v>
      </c>
      <c r="I71" s="67">
        <v>0</v>
      </c>
      <c r="J71" s="20">
        <v>20251</v>
      </c>
      <c r="K71" s="132" t="s">
        <v>621</v>
      </c>
      <c r="L71" s="151">
        <v>0</v>
      </c>
      <c r="M71" s="128">
        <v>110.38</v>
      </c>
      <c r="N71" s="67">
        <v>43</v>
      </c>
      <c r="O71" s="67">
        <v>20294</v>
      </c>
      <c r="P71" s="270" t="e">
        <v>#REF!</v>
      </c>
      <c r="Q71" s="71"/>
      <c r="R71" s="449"/>
      <c r="S71" s="67">
        <v>19424</v>
      </c>
      <c r="T71" s="163">
        <v>870</v>
      </c>
      <c r="U71" s="43">
        <v>4.4789950576606258E-2</v>
      </c>
      <c r="V71" s="61"/>
      <c r="X71" s="67"/>
      <c r="Y71" s="451"/>
      <c r="Z71" s="452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231.25</v>
      </c>
      <c r="E72" s="67">
        <v>42427</v>
      </c>
      <c r="F72" s="146">
        <v>0</v>
      </c>
      <c r="G72" s="146">
        <v>0</v>
      </c>
      <c r="H72" s="91">
        <v>42427</v>
      </c>
      <c r="I72" s="67">
        <v>0</v>
      </c>
      <c r="J72" s="20">
        <v>42427</v>
      </c>
      <c r="K72" s="132" t="s">
        <v>621</v>
      </c>
      <c r="L72" s="151">
        <v>0</v>
      </c>
      <c r="M72" s="128">
        <v>231.25</v>
      </c>
      <c r="N72" s="67">
        <v>91</v>
      </c>
      <c r="O72" s="67">
        <v>42518</v>
      </c>
      <c r="P72" s="270" t="e">
        <v>#REF!</v>
      </c>
      <c r="Q72" s="71"/>
      <c r="R72" s="449"/>
      <c r="S72" s="67">
        <v>37237</v>
      </c>
      <c r="T72" s="163">
        <v>5281</v>
      </c>
      <c r="U72" s="43">
        <v>0.14182130676477697</v>
      </c>
      <c r="V72" s="61"/>
      <c r="X72" s="67"/>
      <c r="Y72" s="451"/>
      <c r="Z72" s="452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819.13</v>
      </c>
      <c r="E73" s="67">
        <v>150284</v>
      </c>
      <c r="F73" s="146">
        <v>0</v>
      </c>
      <c r="G73" s="146">
        <v>0</v>
      </c>
      <c r="H73" s="91">
        <v>150284</v>
      </c>
      <c r="I73" s="67">
        <v>0</v>
      </c>
      <c r="J73" s="20">
        <v>150284</v>
      </c>
      <c r="K73" s="132" t="s">
        <v>621</v>
      </c>
      <c r="L73" s="151">
        <v>0</v>
      </c>
      <c r="M73" s="128">
        <v>819.13</v>
      </c>
      <c r="N73" s="67">
        <v>321</v>
      </c>
      <c r="O73" s="67">
        <v>150605</v>
      </c>
      <c r="P73" s="270" t="e">
        <v>#REF!</v>
      </c>
      <c r="Q73" s="71"/>
      <c r="R73" s="449"/>
      <c r="S73" s="67">
        <v>131030</v>
      </c>
      <c r="T73" s="163">
        <v>19575</v>
      </c>
      <c r="U73" s="43">
        <v>0.14939326871708769</v>
      </c>
      <c r="V73" s="61"/>
      <c r="X73" s="67"/>
      <c r="Y73" s="451"/>
      <c r="Z73" s="452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6</v>
      </c>
      <c r="E74" s="67">
        <v>1101</v>
      </c>
      <c r="F74" s="146">
        <v>0</v>
      </c>
      <c r="G74" s="146">
        <v>0</v>
      </c>
      <c r="H74" s="91">
        <v>1101</v>
      </c>
      <c r="I74" s="67">
        <v>0</v>
      </c>
      <c r="J74" s="20">
        <v>1101</v>
      </c>
      <c r="K74" s="132" t="s">
        <v>621</v>
      </c>
      <c r="L74" s="151">
        <v>0</v>
      </c>
      <c r="M74" s="128">
        <v>6</v>
      </c>
      <c r="N74" s="67">
        <v>2</v>
      </c>
      <c r="O74" s="67">
        <v>1103</v>
      </c>
      <c r="P74" s="270" t="e">
        <v>#REF!</v>
      </c>
      <c r="Q74" s="71"/>
      <c r="R74" s="449"/>
      <c r="S74" s="67">
        <v>0</v>
      </c>
      <c r="T74" s="163">
        <v>1103</v>
      </c>
      <c r="U74" s="43">
        <v>0</v>
      </c>
      <c r="V74" s="61"/>
      <c r="X74" s="67"/>
      <c r="Y74" s="451"/>
      <c r="Z74" s="452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12.63</v>
      </c>
      <c r="E75" s="67">
        <v>2317</v>
      </c>
      <c r="F75" s="146">
        <v>0</v>
      </c>
      <c r="G75" s="146">
        <v>0</v>
      </c>
      <c r="H75" s="91">
        <v>2317</v>
      </c>
      <c r="I75" s="67">
        <v>0</v>
      </c>
      <c r="J75" s="20">
        <v>2317</v>
      </c>
      <c r="K75" s="132" t="s">
        <v>621</v>
      </c>
      <c r="L75" s="151">
        <v>0</v>
      </c>
      <c r="M75" s="128">
        <v>12.63</v>
      </c>
      <c r="N75" s="67">
        <v>5</v>
      </c>
      <c r="O75" s="67">
        <v>2322</v>
      </c>
      <c r="P75" s="270" t="e">
        <v>#REF!</v>
      </c>
      <c r="Q75" s="71"/>
      <c r="R75" s="449"/>
      <c r="S75" s="67">
        <v>0</v>
      </c>
      <c r="T75" s="163">
        <v>2322</v>
      </c>
      <c r="U75" s="43">
        <v>0</v>
      </c>
      <c r="V75" s="61"/>
      <c r="X75" s="67"/>
      <c r="Y75" s="451"/>
      <c r="Z75" s="452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1925.25</v>
      </c>
      <c r="E76" s="67">
        <v>353221</v>
      </c>
      <c r="F76" s="146">
        <v>0</v>
      </c>
      <c r="G76" s="146">
        <v>0</v>
      </c>
      <c r="H76" s="91">
        <v>353221</v>
      </c>
      <c r="I76" s="67">
        <v>0</v>
      </c>
      <c r="J76" s="20">
        <v>353221</v>
      </c>
      <c r="K76" s="132" t="s">
        <v>621</v>
      </c>
      <c r="L76" s="151">
        <v>0</v>
      </c>
      <c r="M76" s="128">
        <v>1925.25</v>
      </c>
      <c r="N76" s="67">
        <v>755</v>
      </c>
      <c r="O76" s="67">
        <v>353976</v>
      </c>
      <c r="P76" s="270" t="e">
        <v>#REF!</v>
      </c>
      <c r="Q76" s="71"/>
      <c r="R76" s="449"/>
      <c r="S76" s="67">
        <v>293736</v>
      </c>
      <c r="T76" s="163">
        <v>60240</v>
      </c>
      <c r="U76" s="43">
        <v>0.20508211455184247</v>
      </c>
      <c r="V76" s="61"/>
      <c r="X76" s="67"/>
      <c r="Y76" s="451"/>
      <c r="Z76" s="452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175.38</v>
      </c>
      <c r="E77" s="67">
        <v>32177</v>
      </c>
      <c r="F77" s="146">
        <v>0</v>
      </c>
      <c r="G77" s="146">
        <v>0</v>
      </c>
      <c r="H77" s="91">
        <v>32177</v>
      </c>
      <c r="I77" s="67">
        <v>0</v>
      </c>
      <c r="J77" s="20">
        <v>32177</v>
      </c>
      <c r="K77" s="132" t="s">
        <v>621</v>
      </c>
      <c r="L77" s="151">
        <v>0</v>
      </c>
      <c r="M77" s="128">
        <v>175.38</v>
      </c>
      <c r="N77" s="67">
        <v>69</v>
      </c>
      <c r="O77" s="67">
        <v>32246</v>
      </c>
      <c r="P77" s="270" t="e">
        <v>#REF!</v>
      </c>
      <c r="Q77" s="71"/>
      <c r="R77" s="449"/>
      <c r="S77" s="67">
        <v>30881</v>
      </c>
      <c r="T77" s="163">
        <v>1365</v>
      </c>
      <c r="U77" s="43">
        <v>4.4201936465788023E-2</v>
      </c>
      <c r="V77" s="61"/>
      <c r="X77" s="67"/>
      <c r="Y77" s="451"/>
      <c r="Z77" s="452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73.63</v>
      </c>
      <c r="E78" s="67">
        <v>13509</v>
      </c>
      <c r="F78" s="146">
        <v>0</v>
      </c>
      <c r="G78" s="146">
        <v>0</v>
      </c>
      <c r="H78" s="91">
        <v>13509</v>
      </c>
      <c r="I78" s="67">
        <v>0</v>
      </c>
      <c r="J78" s="20">
        <v>13509</v>
      </c>
      <c r="K78" s="132" t="s">
        <v>621</v>
      </c>
      <c r="L78" s="151">
        <v>0</v>
      </c>
      <c r="M78" s="128">
        <v>73.63</v>
      </c>
      <c r="N78" s="67">
        <v>29</v>
      </c>
      <c r="O78" s="67">
        <v>13538</v>
      </c>
      <c r="P78" s="270" t="e">
        <v>#REF!</v>
      </c>
      <c r="Q78" s="71"/>
      <c r="R78" s="449"/>
      <c r="S78" s="67">
        <v>0</v>
      </c>
      <c r="T78" s="163">
        <v>13538</v>
      </c>
      <c r="U78" s="43">
        <v>0</v>
      </c>
      <c r="V78" s="61"/>
      <c r="X78" s="67"/>
      <c r="Y78" s="451"/>
      <c r="Z78" s="452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20">
        <v>0</v>
      </c>
      <c r="K79" s="132" t="s">
        <v>644</v>
      </c>
      <c r="L79" s="151">
        <v>0</v>
      </c>
      <c r="M79" s="128">
        <v>0</v>
      </c>
      <c r="N79" s="67">
        <v>0</v>
      </c>
      <c r="O79" s="67">
        <v>0</v>
      </c>
      <c r="P79" s="270" t="e">
        <v>#REF!</v>
      </c>
      <c r="Q79" s="71"/>
      <c r="R79" s="449"/>
      <c r="S79" s="67">
        <v>0</v>
      </c>
      <c r="T79" s="163">
        <v>0</v>
      </c>
      <c r="U79" s="43">
        <v>0</v>
      </c>
      <c r="V79" s="61"/>
      <c r="X79" s="67"/>
      <c r="Y79" s="451"/>
      <c r="Z79" s="452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42.13</v>
      </c>
      <c r="E80" s="67">
        <v>7729</v>
      </c>
      <c r="F80" s="146">
        <v>0</v>
      </c>
      <c r="G80" s="146">
        <v>0</v>
      </c>
      <c r="H80" s="91">
        <v>7729</v>
      </c>
      <c r="I80" s="67">
        <v>0</v>
      </c>
      <c r="J80" s="20">
        <v>7729</v>
      </c>
      <c r="K80" s="132" t="s">
        <v>644</v>
      </c>
      <c r="L80" s="151">
        <v>7729</v>
      </c>
      <c r="M80" s="128">
        <v>0</v>
      </c>
      <c r="N80" s="67">
        <v>0</v>
      </c>
      <c r="O80" s="67">
        <v>0</v>
      </c>
      <c r="P80" s="270" t="e">
        <v>#REF!</v>
      </c>
      <c r="Q80" s="71"/>
      <c r="R80" s="449"/>
      <c r="S80" s="67">
        <v>0</v>
      </c>
      <c r="T80" s="163">
        <v>0</v>
      </c>
      <c r="U80" s="43">
        <v>0</v>
      </c>
      <c r="V80" s="61"/>
      <c r="X80" s="67"/>
      <c r="Y80" s="451"/>
      <c r="Z80" s="452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143.5</v>
      </c>
      <c r="E81" s="67">
        <v>26328</v>
      </c>
      <c r="F81" s="146">
        <v>0</v>
      </c>
      <c r="G81" s="146">
        <v>0</v>
      </c>
      <c r="H81" s="91">
        <v>26328</v>
      </c>
      <c r="I81" s="67">
        <v>0</v>
      </c>
      <c r="J81" s="20">
        <v>26328</v>
      </c>
      <c r="K81" s="132" t="s">
        <v>621</v>
      </c>
      <c r="L81" s="151">
        <v>0</v>
      </c>
      <c r="M81" s="128">
        <v>143.5</v>
      </c>
      <c r="N81" s="67">
        <v>56</v>
      </c>
      <c r="O81" s="67">
        <v>26384</v>
      </c>
      <c r="P81" s="270" t="e">
        <v>#REF!</v>
      </c>
      <c r="Q81" s="71"/>
      <c r="R81" s="449"/>
      <c r="S81" s="67">
        <v>20594</v>
      </c>
      <c r="T81" s="163">
        <v>5790</v>
      </c>
      <c r="U81" s="43">
        <v>0.28114984947071964</v>
      </c>
      <c r="V81" s="61"/>
      <c r="X81" s="67"/>
      <c r="Y81" s="451"/>
      <c r="Z81" s="452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160.88</v>
      </c>
      <c r="E82" s="67">
        <v>29516</v>
      </c>
      <c r="F82" s="146">
        <v>0</v>
      </c>
      <c r="G82" s="146">
        <v>0</v>
      </c>
      <c r="H82" s="91">
        <v>29516</v>
      </c>
      <c r="I82" s="67">
        <v>0</v>
      </c>
      <c r="J82" s="20">
        <v>29516</v>
      </c>
      <c r="K82" s="132" t="s">
        <v>621</v>
      </c>
      <c r="L82" s="151">
        <v>0</v>
      </c>
      <c r="M82" s="128">
        <v>160.88</v>
      </c>
      <c r="N82" s="67">
        <v>63</v>
      </c>
      <c r="O82" s="67">
        <v>29579</v>
      </c>
      <c r="P82" s="270" t="e">
        <v>#REF!</v>
      </c>
      <c r="Q82" s="71"/>
      <c r="R82" s="449"/>
      <c r="S82" s="67">
        <v>27996</v>
      </c>
      <c r="T82" s="163">
        <v>1583</v>
      </c>
      <c r="U82" s="43">
        <v>5.6543791970281469E-2</v>
      </c>
      <c r="V82" s="61"/>
      <c r="X82" s="67"/>
      <c r="Y82" s="451"/>
      <c r="Z82" s="452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 t="e">
        <v>#N/A</v>
      </c>
      <c r="Q83" s="71"/>
      <c r="R83" s="449"/>
      <c r="S83" s="67">
        <v>0</v>
      </c>
      <c r="T83" s="163">
        <v>0</v>
      </c>
      <c r="U83" s="43">
        <v>0</v>
      </c>
      <c r="V83" s="61"/>
      <c r="X83" s="67"/>
      <c r="Y83" s="451"/>
      <c r="Z83" s="452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 t="e">
        <v>#N/A</v>
      </c>
      <c r="Q84" s="71"/>
      <c r="R84" s="449"/>
      <c r="S84" s="67">
        <v>0</v>
      </c>
      <c r="T84" s="163">
        <v>0</v>
      </c>
      <c r="U84" s="43">
        <v>0</v>
      </c>
      <c r="V84" s="61"/>
      <c r="X84" s="67"/>
      <c r="Y84" s="451"/>
      <c r="Z84" s="452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 t="e">
        <v>#N/A</v>
      </c>
      <c r="Q85" s="71"/>
      <c r="R85" s="449"/>
      <c r="S85" s="67">
        <v>0</v>
      </c>
      <c r="T85" s="163">
        <v>0</v>
      </c>
      <c r="U85" s="43">
        <v>0</v>
      </c>
      <c r="V85" s="61"/>
      <c r="X85" s="67"/>
      <c r="Y85" s="451"/>
      <c r="Z85" s="452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146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 t="e">
        <v>#N/A</v>
      </c>
      <c r="Q86" s="71"/>
      <c r="R86" s="449"/>
      <c r="S86" s="67">
        <v>0</v>
      </c>
      <c r="T86" s="163">
        <v>0</v>
      </c>
      <c r="U86" s="43">
        <v>0</v>
      </c>
      <c r="V86" s="61"/>
      <c r="X86" s="67"/>
      <c r="Y86" s="451"/>
      <c r="Z86" s="452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 t="e">
        <v>#N/A</v>
      </c>
      <c r="Q87" s="71"/>
      <c r="R87" s="449"/>
      <c r="S87" s="67">
        <v>0</v>
      </c>
      <c r="T87" s="163">
        <v>0</v>
      </c>
      <c r="U87" s="43">
        <v>0</v>
      </c>
      <c r="V87" s="61"/>
      <c r="X87" s="67"/>
      <c r="Y87" s="451"/>
      <c r="Z87" s="452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 t="e">
        <v>#N/A</v>
      </c>
      <c r="Q88" s="71"/>
      <c r="R88" s="449"/>
      <c r="S88" s="67">
        <v>0</v>
      </c>
      <c r="T88" s="163">
        <v>0</v>
      </c>
      <c r="U88" s="43">
        <v>0</v>
      </c>
      <c r="V88" s="61"/>
      <c r="X88" s="67"/>
      <c r="Y88" s="451"/>
      <c r="Z88" s="452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 t="e">
        <v>#N/A</v>
      </c>
      <c r="Q89" s="71"/>
      <c r="R89" s="449"/>
      <c r="S89" s="67">
        <v>0</v>
      </c>
      <c r="T89" s="163">
        <v>0</v>
      </c>
      <c r="U89" s="43">
        <v>0</v>
      </c>
      <c r="V89" s="61"/>
      <c r="X89" s="67"/>
      <c r="Y89" s="451"/>
      <c r="Z89" s="452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146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 t="e">
        <v>#N/A</v>
      </c>
      <c r="Q90" s="71"/>
      <c r="R90" s="449"/>
      <c r="S90" s="67">
        <v>0</v>
      </c>
      <c r="T90" s="163">
        <v>0</v>
      </c>
      <c r="U90" s="43">
        <v>0</v>
      </c>
      <c r="V90" s="61"/>
      <c r="X90" s="67"/>
      <c r="Y90" s="451"/>
      <c r="Z90" s="452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146">
        <v>0</v>
      </c>
      <c r="H91" s="91">
        <v>0</v>
      </c>
      <c r="I91" s="67">
        <v>0</v>
      </c>
      <c r="J91" s="20">
        <v>0</v>
      </c>
      <c r="K91" s="132" t="s">
        <v>644</v>
      </c>
      <c r="L91" s="151">
        <v>0</v>
      </c>
      <c r="M91" s="128">
        <v>0</v>
      </c>
      <c r="N91" s="67">
        <v>0</v>
      </c>
      <c r="O91" s="67">
        <v>0</v>
      </c>
      <c r="P91" s="270" t="e">
        <v>#REF!</v>
      </c>
      <c r="Q91" s="71"/>
      <c r="R91" s="449"/>
      <c r="S91" s="67">
        <v>0</v>
      </c>
      <c r="T91" s="163">
        <v>0</v>
      </c>
      <c r="U91" s="43">
        <v>0</v>
      </c>
      <c r="V91" s="61"/>
      <c r="X91" s="67"/>
      <c r="Y91" s="451"/>
      <c r="Z91" s="452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1705.38</v>
      </c>
      <c r="E92" s="67">
        <v>312882</v>
      </c>
      <c r="F92" s="146">
        <v>50000</v>
      </c>
      <c r="G92" s="146">
        <v>0</v>
      </c>
      <c r="H92" s="91">
        <v>362882</v>
      </c>
      <c r="I92" s="67">
        <v>0</v>
      </c>
      <c r="J92" s="20">
        <v>312882</v>
      </c>
      <c r="K92" s="132" t="s">
        <v>621</v>
      </c>
      <c r="L92" s="151">
        <v>0</v>
      </c>
      <c r="M92" s="128">
        <v>1705.38</v>
      </c>
      <c r="N92" s="67">
        <v>669</v>
      </c>
      <c r="O92" s="67">
        <v>313551</v>
      </c>
      <c r="P92" s="270" t="e">
        <v>#REF!</v>
      </c>
      <c r="Q92" s="71"/>
      <c r="R92" s="449"/>
      <c r="S92" s="67">
        <v>260744</v>
      </c>
      <c r="T92" s="163">
        <v>52807</v>
      </c>
      <c r="U92" s="43">
        <v>0.20252431503697113</v>
      </c>
      <c r="V92" s="61"/>
      <c r="X92" s="67"/>
      <c r="Y92" s="451"/>
      <c r="Z92" s="452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2072.75</v>
      </c>
      <c r="E93" s="67">
        <v>380282</v>
      </c>
      <c r="F93" s="146">
        <v>0</v>
      </c>
      <c r="G93" s="146">
        <v>0</v>
      </c>
      <c r="H93" s="91">
        <v>380282</v>
      </c>
      <c r="I93" s="67">
        <v>0</v>
      </c>
      <c r="J93" s="20">
        <v>380282</v>
      </c>
      <c r="K93" s="132" t="s">
        <v>621</v>
      </c>
      <c r="L93" s="151">
        <v>0</v>
      </c>
      <c r="M93" s="128">
        <v>2072.75</v>
      </c>
      <c r="N93" s="67">
        <v>813</v>
      </c>
      <c r="O93" s="67">
        <v>381095</v>
      </c>
      <c r="P93" s="270" t="e">
        <v>#REF!</v>
      </c>
      <c r="Q93" s="71"/>
      <c r="R93" s="449"/>
      <c r="S93" s="67">
        <v>343936</v>
      </c>
      <c r="T93" s="163">
        <v>37159</v>
      </c>
      <c r="U93" s="43">
        <v>0.10804044938593227</v>
      </c>
      <c r="V93" s="61"/>
      <c r="X93" s="67"/>
      <c r="Y93" s="451"/>
      <c r="Z93" s="452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20">
        <v>0</v>
      </c>
      <c r="K94" s="132" t="s">
        <v>644</v>
      </c>
      <c r="L94" s="151">
        <v>0</v>
      </c>
      <c r="M94" s="128">
        <v>0</v>
      </c>
      <c r="N94" s="67">
        <v>0</v>
      </c>
      <c r="O94" s="67">
        <v>0</v>
      </c>
      <c r="P94" s="270" t="e">
        <v>#REF!</v>
      </c>
      <c r="Q94" s="71"/>
      <c r="R94" s="449"/>
      <c r="S94" s="67">
        <v>0</v>
      </c>
      <c r="T94" s="163">
        <v>0</v>
      </c>
      <c r="U94" s="43">
        <v>0</v>
      </c>
      <c r="V94" s="61"/>
      <c r="X94" s="67"/>
      <c r="Y94" s="451"/>
      <c r="Z94" s="452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2681.88</v>
      </c>
      <c r="E95" s="67">
        <v>492038</v>
      </c>
      <c r="F95" s="146">
        <v>0</v>
      </c>
      <c r="G95" s="146">
        <v>0</v>
      </c>
      <c r="H95" s="91">
        <v>492038</v>
      </c>
      <c r="I95" s="67">
        <v>0</v>
      </c>
      <c r="J95" s="20">
        <v>492038</v>
      </c>
      <c r="K95" s="132" t="s">
        <v>621</v>
      </c>
      <c r="L95" s="151">
        <v>0</v>
      </c>
      <c r="M95" s="128">
        <v>2681.88</v>
      </c>
      <c r="N95" s="67">
        <v>1052</v>
      </c>
      <c r="O95" s="67">
        <v>493090</v>
      </c>
      <c r="P95" s="270" t="e">
        <v>#REF!</v>
      </c>
      <c r="Q95" s="71"/>
      <c r="R95" s="449"/>
      <c r="S95" s="67">
        <v>425268</v>
      </c>
      <c r="T95" s="163">
        <v>67822</v>
      </c>
      <c r="U95" s="43">
        <v>0.15948060987424401</v>
      </c>
      <c r="V95" s="61"/>
      <c r="X95" s="67"/>
      <c r="Y95" s="451"/>
      <c r="Z95" s="452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226.25</v>
      </c>
      <c r="E96" s="67">
        <v>41510</v>
      </c>
      <c r="F96" s="146">
        <v>10000</v>
      </c>
      <c r="G96" s="146">
        <v>0</v>
      </c>
      <c r="H96" s="91">
        <v>51510</v>
      </c>
      <c r="I96" s="67">
        <v>0</v>
      </c>
      <c r="J96" s="20">
        <v>41510</v>
      </c>
      <c r="K96" s="132" t="s">
        <v>621</v>
      </c>
      <c r="L96" s="151">
        <v>0</v>
      </c>
      <c r="M96" s="128">
        <v>226.25</v>
      </c>
      <c r="N96" s="67">
        <v>89</v>
      </c>
      <c r="O96" s="67">
        <v>41599</v>
      </c>
      <c r="P96" s="270" t="e">
        <v>#REF!</v>
      </c>
      <c r="Q96" s="71"/>
      <c r="R96" s="449"/>
      <c r="S96" s="67">
        <v>37341</v>
      </c>
      <c r="T96" s="163">
        <v>4258</v>
      </c>
      <c r="U96" s="43">
        <v>0.11403015452183926</v>
      </c>
      <c r="V96" s="61"/>
      <c r="X96" s="67"/>
      <c r="Y96" s="451"/>
      <c r="Z96" s="452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334.13</v>
      </c>
      <c r="E97" s="67">
        <v>61302</v>
      </c>
      <c r="F97" s="146">
        <v>10000</v>
      </c>
      <c r="G97" s="146">
        <v>0</v>
      </c>
      <c r="H97" s="91">
        <v>71302</v>
      </c>
      <c r="I97" s="67">
        <v>0</v>
      </c>
      <c r="J97" s="20">
        <v>61302</v>
      </c>
      <c r="K97" s="132" t="s">
        <v>621</v>
      </c>
      <c r="L97" s="151">
        <v>0</v>
      </c>
      <c r="M97" s="128">
        <v>334.13</v>
      </c>
      <c r="N97" s="67">
        <v>131</v>
      </c>
      <c r="O97" s="67">
        <v>61433</v>
      </c>
      <c r="P97" s="270" t="e">
        <v>#REF!</v>
      </c>
      <c r="Q97" s="71"/>
      <c r="R97" s="449"/>
      <c r="S97" s="67">
        <v>53713</v>
      </c>
      <c r="T97" s="163">
        <v>7720</v>
      </c>
      <c r="U97" s="43">
        <v>0.14372684452553386</v>
      </c>
      <c r="V97" s="61"/>
      <c r="X97" s="67"/>
      <c r="Y97" s="451"/>
      <c r="Z97" s="452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116.75</v>
      </c>
      <c r="E98" s="67">
        <v>21420</v>
      </c>
      <c r="F98" s="146">
        <v>0</v>
      </c>
      <c r="G98" s="146">
        <v>0</v>
      </c>
      <c r="H98" s="91">
        <v>21420</v>
      </c>
      <c r="I98" s="67">
        <v>0</v>
      </c>
      <c r="J98" s="20">
        <v>21420</v>
      </c>
      <c r="K98" s="132" t="s">
        <v>621</v>
      </c>
      <c r="L98" s="151">
        <v>0</v>
      </c>
      <c r="M98" s="128">
        <v>116.75</v>
      </c>
      <c r="N98" s="67">
        <v>46</v>
      </c>
      <c r="O98" s="67">
        <v>21466</v>
      </c>
      <c r="P98" s="270" t="e">
        <v>#REF!</v>
      </c>
      <c r="Q98" s="71"/>
      <c r="R98" s="449"/>
      <c r="S98" s="67">
        <v>16475</v>
      </c>
      <c r="T98" s="163">
        <v>4991</v>
      </c>
      <c r="U98" s="43">
        <v>0.30294385432473442</v>
      </c>
      <c r="V98" s="61"/>
      <c r="X98" s="67"/>
      <c r="Y98" s="451"/>
      <c r="Z98" s="452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514.88</v>
      </c>
      <c r="E99" s="67">
        <v>94464</v>
      </c>
      <c r="F99" s="146">
        <v>0</v>
      </c>
      <c r="G99" s="146">
        <v>0</v>
      </c>
      <c r="H99" s="91">
        <v>94464</v>
      </c>
      <c r="I99" s="67">
        <v>0</v>
      </c>
      <c r="J99" s="20">
        <v>94464</v>
      </c>
      <c r="K99" s="132" t="s">
        <v>621</v>
      </c>
      <c r="L99" s="151">
        <v>0</v>
      </c>
      <c r="M99" s="128">
        <v>514.88</v>
      </c>
      <c r="N99" s="67">
        <v>202</v>
      </c>
      <c r="O99" s="67">
        <v>94666</v>
      </c>
      <c r="P99" s="270" t="e">
        <v>#REF!</v>
      </c>
      <c r="Q99" s="71"/>
      <c r="R99" s="449"/>
      <c r="S99" s="67">
        <v>76774</v>
      </c>
      <c r="T99" s="163">
        <v>17892</v>
      </c>
      <c r="U99" s="43">
        <v>0.23304764633860423</v>
      </c>
      <c r="V99" s="61"/>
      <c r="X99" s="67"/>
      <c r="Y99" s="451"/>
      <c r="Z99" s="452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146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P100" s="270" t="e">
        <v>#REF!</v>
      </c>
      <c r="Q100" s="71"/>
      <c r="R100" s="449"/>
      <c r="S100" s="67">
        <v>0</v>
      </c>
      <c r="T100" s="163">
        <v>0</v>
      </c>
      <c r="U100" s="43">
        <v>0</v>
      </c>
      <c r="V100" s="61"/>
      <c r="X100" s="67"/>
      <c r="Y100" s="451"/>
      <c r="Z100" s="452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146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P101" s="270" t="e">
        <v>#REF!</v>
      </c>
      <c r="Q101" s="71"/>
      <c r="R101" s="449"/>
      <c r="S101" s="67">
        <v>0</v>
      </c>
      <c r="T101" s="163">
        <v>0</v>
      </c>
      <c r="U101" s="43">
        <v>0</v>
      </c>
      <c r="V101" s="61"/>
      <c r="X101" s="67"/>
      <c r="Y101" s="451"/>
      <c r="Z101" s="452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146">
        <v>0</v>
      </c>
      <c r="H102" s="91">
        <v>0</v>
      </c>
      <c r="I102" s="67">
        <v>0</v>
      </c>
      <c r="J102" s="20">
        <v>0</v>
      </c>
      <c r="K102" s="132" t="s">
        <v>644</v>
      </c>
      <c r="L102" s="151">
        <v>0</v>
      </c>
      <c r="M102" s="128">
        <v>0</v>
      </c>
      <c r="N102" s="67">
        <v>0</v>
      </c>
      <c r="O102" s="67">
        <v>0</v>
      </c>
      <c r="P102" s="270" t="e">
        <v>#REF!</v>
      </c>
      <c r="Q102" s="71"/>
      <c r="R102" s="449"/>
      <c r="S102" s="67">
        <v>0</v>
      </c>
      <c r="T102" s="163">
        <v>0</v>
      </c>
      <c r="U102" s="43">
        <v>0</v>
      </c>
      <c r="V102" s="61"/>
      <c r="X102" s="67"/>
      <c r="Y102" s="451"/>
      <c r="Z102" s="452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35.630000000000003</v>
      </c>
      <c r="E103" s="67">
        <v>6537</v>
      </c>
      <c r="F103" s="146">
        <v>0</v>
      </c>
      <c r="G103" s="146">
        <v>0</v>
      </c>
      <c r="H103" s="91">
        <v>6537</v>
      </c>
      <c r="I103" s="67">
        <v>0</v>
      </c>
      <c r="J103" s="20">
        <v>6537</v>
      </c>
      <c r="K103" s="132" t="s">
        <v>621</v>
      </c>
      <c r="L103" s="151">
        <v>0</v>
      </c>
      <c r="M103" s="128">
        <v>35.630000000000003</v>
      </c>
      <c r="N103" s="67">
        <v>14</v>
      </c>
      <c r="O103" s="67">
        <v>6551</v>
      </c>
      <c r="P103" s="270" t="e">
        <v>#REF!</v>
      </c>
      <c r="Q103" s="71"/>
      <c r="R103" s="449"/>
      <c r="S103" s="67">
        <v>5938</v>
      </c>
      <c r="T103" s="163">
        <v>613</v>
      </c>
      <c r="U103" s="43">
        <v>0.10323341192320647</v>
      </c>
      <c r="V103" s="61"/>
      <c r="X103" s="67"/>
      <c r="Y103" s="451"/>
      <c r="Z103" s="452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20">
        <v>0</v>
      </c>
      <c r="K104" s="132" t="s">
        <v>644</v>
      </c>
      <c r="L104" s="151">
        <v>0</v>
      </c>
      <c r="M104" s="128">
        <v>0</v>
      </c>
      <c r="N104" s="67">
        <v>0</v>
      </c>
      <c r="O104" s="67">
        <v>0</v>
      </c>
      <c r="P104" s="270" t="e">
        <v>#REF!</v>
      </c>
      <c r="Q104" s="71"/>
      <c r="R104" s="449"/>
      <c r="S104" s="67">
        <v>0</v>
      </c>
      <c r="T104" s="163">
        <v>0</v>
      </c>
      <c r="U104" s="43">
        <v>0</v>
      </c>
      <c r="V104" s="61"/>
      <c r="X104" s="67"/>
      <c r="Y104" s="451"/>
      <c r="Z104" s="452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974.5</v>
      </c>
      <c r="E105" s="67">
        <v>178789</v>
      </c>
      <c r="F105" s="146">
        <v>10000</v>
      </c>
      <c r="G105" s="146">
        <v>0</v>
      </c>
      <c r="H105" s="91">
        <v>188789</v>
      </c>
      <c r="I105" s="67">
        <v>0</v>
      </c>
      <c r="J105" s="20">
        <v>178789</v>
      </c>
      <c r="K105" s="132" t="s">
        <v>621</v>
      </c>
      <c r="L105" s="151">
        <v>0</v>
      </c>
      <c r="M105" s="128">
        <v>974.5</v>
      </c>
      <c r="N105" s="67">
        <v>382</v>
      </c>
      <c r="O105" s="67">
        <v>179171</v>
      </c>
      <c r="P105" s="270" t="e">
        <v>#REF!</v>
      </c>
      <c r="Q105" s="71"/>
      <c r="R105" s="449"/>
      <c r="S105" s="67">
        <v>156287</v>
      </c>
      <c r="T105" s="163">
        <v>22884</v>
      </c>
      <c r="U105" s="43">
        <v>0.14642292705087434</v>
      </c>
      <c r="V105" s="61"/>
      <c r="X105" s="67"/>
      <c r="Y105" s="451"/>
      <c r="Z105" s="452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567</v>
      </c>
      <c r="E106" s="67">
        <v>104026</v>
      </c>
      <c r="F106" s="146">
        <v>0</v>
      </c>
      <c r="G106" s="146">
        <v>0</v>
      </c>
      <c r="H106" s="91">
        <v>104026</v>
      </c>
      <c r="I106" s="67">
        <v>0</v>
      </c>
      <c r="J106" s="20">
        <v>104026</v>
      </c>
      <c r="K106" s="132" t="s">
        <v>621</v>
      </c>
      <c r="L106" s="151">
        <v>0</v>
      </c>
      <c r="M106" s="128">
        <v>567</v>
      </c>
      <c r="N106" s="67">
        <v>222</v>
      </c>
      <c r="O106" s="67">
        <v>104248</v>
      </c>
      <c r="P106" s="270" t="e">
        <v>#REF!</v>
      </c>
      <c r="Q106" s="71"/>
      <c r="R106" s="449"/>
      <c r="S106" s="67">
        <v>95549</v>
      </c>
      <c r="T106" s="163">
        <v>8699</v>
      </c>
      <c r="U106" s="43">
        <v>9.1042292436341557E-2</v>
      </c>
      <c r="V106" s="61"/>
      <c r="X106" s="67"/>
      <c r="Y106" s="451"/>
      <c r="Z106" s="452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23.5</v>
      </c>
      <c r="E107" s="67">
        <v>4311</v>
      </c>
      <c r="F107" s="146">
        <v>0</v>
      </c>
      <c r="G107" s="146">
        <v>0</v>
      </c>
      <c r="H107" s="91">
        <v>4311</v>
      </c>
      <c r="I107" s="67">
        <v>0</v>
      </c>
      <c r="J107" s="20">
        <v>4311</v>
      </c>
      <c r="K107" s="132" t="s">
        <v>621</v>
      </c>
      <c r="L107" s="151">
        <v>0</v>
      </c>
      <c r="M107" s="128">
        <v>23.5</v>
      </c>
      <c r="N107" s="67">
        <v>9</v>
      </c>
      <c r="O107" s="67">
        <v>4320</v>
      </c>
      <c r="P107" s="270" t="e">
        <v>#REF!</v>
      </c>
      <c r="Q107" s="71"/>
      <c r="R107" s="449"/>
      <c r="S107" s="67">
        <v>0</v>
      </c>
      <c r="T107" s="163">
        <v>4320</v>
      </c>
      <c r="U107" s="43">
        <v>0</v>
      </c>
      <c r="V107" s="61"/>
      <c r="X107" s="67"/>
      <c r="Y107" s="451"/>
      <c r="Z107" s="452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P108" s="270" t="e">
        <v>#REF!</v>
      </c>
      <c r="Q108" s="71"/>
      <c r="R108" s="449"/>
      <c r="S108" s="67">
        <v>0</v>
      </c>
      <c r="T108" s="163">
        <v>0</v>
      </c>
      <c r="U108" s="43">
        <v>0</v>
      </c>
      <c r="V108" s="61"/>
      <c r="X108" s="67"/>
      <c r="Y108" s="451"/>
      <c r="Z108" s="452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146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P109" s="270" t="e">
        <v>#REF!</v>
      </c>
      <c r="Q109" s="71"/>
      <c r="R109" s="449"/>
      <c r="S109" s="67">
        <v>0</v>
      </c>
      <c r="T109" s="163">
        <v>0</v>
      </c>
      <c r="U109" s="43">
        <v>0</v>
      </c>
      <c r="V109" s="61"/>
      <c r="X109" s="67"/>
      <c r="Y109" s="451"/>
      <c r="Z109" s="452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</v>
      </c>
      <c r="E110" s="67">
        <v>0</v>
      </c>
      <c r="F110" s="146">
        <v>0</v>
      </c>
      <c r="G110" s="146">
        <v>0</v>
      </c>
      <c r="H110" s="91">
        <v>0</v>
      </c>
      <c r="I110" s="67">
        <v>0</v>
      </c>
      <c r="J110" s="20">
        <v>0</v>
      </c>
      <c r="K110" s="132" t="s">
        <v>644</v>
      </c>
      <c r="L110" s="151">
        <v>0</v>
      </c>
      <c r="M110" s="128">
        <v>0</v>
      </c>
      <c r="N110" s="67">
        <v>0</v>
      </c>
      <c r="O110" s="67">
        <v>0</v>
      </c>
      <c r="P110" s="270" t="e">
        <v>#REF!</v>
      </c>
      <c r="Q110" s="71"/>
      <c r="R110" s="449"/>
      <c r="S110" s="67">
        <v>0</v>
      </c>
      <c r="T110" s="163">
        <v>0</v>
      </c>
      <c r="U110" s="43">
        <v>0</v>
      </c>
      <c r="V110" s="61"/>
      <c r="X110" s="67"/>
      <c r="Y110" s="451"/>
      <c r="Z110" s="452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146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P111" s="270" t="e">
        <v>#REF!</v>
      </c>
      <c r="Q111" s="71"/>
      <c r="R111" s="449"/>
      <c r="S111" s="67">
        <v>0</v>
      </c>
      <c r="T111" s="163">
        <v>0</v>
      </c>
      <c r="U111" s="43">
        <v>0</v>
      </c>
      <c r="V111" s="61"/>
      <c r="X111" s="67"/>
      <c r="Y111" s="451"/>
      <c r="Z111" s="452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20">
        <v>0</v>
      </c>
      <c r="K112" s="132" t="s">
        <v>644</v>
      </c>
      <c r="L112" s="151">
        <v>0</v>
      </c>
      <c r="M112" s="128">
        <v>0</v>
      </c>
      <c r="N112" s="67">
        <v>0</v>
      </c>
      <c r="O112" s="67">
        <v>0</v>
      </c>
      <c r="P112" s="270" t="e">
        <v>#REF!</v>
      </c>
      <c r="Q112" s="71"/>
      <c r="R112" s="449"/>
      <c r="S112" s="67">
        <v>0</v>
      </c>
      <c r="T112" s="163">
        <v>0</v>
      </c>
      <c r="U112" s="43">
        <v>0</v>
      </c>
      <c r="V112" s="61"/>
      <c r="X112" s="67"/>
      <c r="Y112" s="451"/>
      <c r="Z112" s="452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220.38</v>
      </c>
      <c r="E113" s="67">
        <v>40433</v>
      </c>
      <c r="F113" s="146">
        <v>0</v>
      </c>
      <c r="G113" s="146">
        <v>5700</v>
      </c>
      <c r="H113" s="91">
        <v>46133</v>
      </c>
      <c r="I113" s="67">
        <v>0</v>
      </c>
      <c r="J113" s="20">
        <v>40433</v>
      </c>
      <c r="K113" s="132" t="s">
        <v>621</v>
      </c>
      <c r="L113" s="151">
        <v>0</v>
      </c>
      <c r="M113" s="128">
        <v>220.38</v>
      </c>
      <c r="N113" s="67">
        <v>86</v>
      </c>
      <c r="O113" s="67">
        <v>40519</v>
      </c>
      <c r="P113" s="270" t="e">
        <v>#REF!</v>
      </c>
      <c r="Q113" s="71"/>
      <c r="R113" s="449"/>
      <c r="S113" s="67">
        <v>35188</v>
      </c>
      <c r="T113" s="163">
        <v>5331</v>
      </c>
      <c r="U113" s="43">
        <v>0.15150051153802432</v>
      </c>
      <c r="V113" s="61"/>
      <c r="X113" s="67"/>
      <c r="Y113" s="451"/>
      <c r="Z113" s="452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3463.63</v>
      </c>
      <c r="E114" s="67">
        <v>635464</v>
      </c>
      <c r="F114" s="146">
        <v>50000</v>
      </c>
      <c r="G114" s="146">
        <v>0</v>
      </c>
      <c r="H114" s="91">
        <v>685464</v>
      </c>
      <c r="I114" s="67">
        <v>0</v>
      </c>
      <c r="J114" s="20">
        <v>635464</v>
      </c>
      <c r="K114" s="132" t="s">
        <v>621</v>
      </c>
      <c r="L114" s="151">
        <v>0</v>
      </c>
      <c r="M114" s="128">
        <v>3463.63</v>
      </c>
      <c r="N114" s="67">
        <v>1359</v>
      </c>
      <c r="O114" s="67">
        <v>636823</v>
      </c>
      <c r="P114" s="270" t="e">
        <v>#REF!</v>
      </c>
      <c r="Q114" s="71"/>
      <c r="R114" s="449"/>
      <c r="S114" s="67">
        <v>516030</v>
      </c>
      <c r="T114" s="163">
        <v>120793</v>
      </c>
      <c r="U114" s="43">
        <v>0.23408135185938803</v>
      </c>
      <c r="V114" s="61"/>
      <c r="X114" s="67"/>
      <c r="Y114" s="451"/>
      <c r="Z114" s="452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21.25</v>
      </c>
      <c r="E115" s="67">
        <v>3899</v>
      </c>
      <c r="F115" s="146">
        <v>0</v>
      </c>
      <c r="G115" s="146">
        <v>0</v>
      </c>
      <c r="H115" s="91">
        <v>3899</v>
      </c>
      <c r="I115" s="67">
        <v>0</v>
      </c>
      <c r="J115" s="20">
        <v>3899</v>
      </c>
      <c r="K115" s="132" t="s">
        <v>621</v>
      </c>
      <c r="L115" s="151">
        <v>0</v>
      </c>
      <c r="M115" s="128">
        <v>21.25</v>
      </c>
      <c r="N115" s="67">
        <v>8</v>
      </c>
      <c r="O115" s="67">
        <v>3907</v>
      </c>
      <c r="P115" s="270" t="e">
        <v>#REF!</v>
      </c>
      <c r="Q115" s="71"/>
      <c r="R115" s="449"/>
      <c r="S115" s="67">
        <v>0</v>
      </c>
      <c r="T115" s="163">
        <v>3907</v>
      </c>
      <c r="U115" s="43">
        <v>0</v>
      </c>
      <c r="V115" s="61"/>
      <c r="X115" s="67"/>
      <c r="Y115" s="451"/>
      <c r="Z115" s="452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146">
        <v>0</v>
      </c>
      <c r="H116" s="91">
        <v>0</v>
      </c>
      <c r="I116" s="67">
        <v>0</v>
      </c>
      <c r="J116" s="20">
        <v>0</v>
      </c>
      <c r="K116" s="132" t="s">
        <v>644</v>
      </c>
      <c r="L116" s="151">
        <v>0</v>
      </c>
      <c r="M116" s="128">
        <v>0</v>
      </c>
      <c r="N116" s="67">
        <v>0</v>
      </c>
      <c r="O116" s="67">
        <v>0</v>
      </c>
      <c r="P116" s="270" t="e">
        <v>#REF!</v>
      </c>
      <c r="Q116" s="71"/>
      <c r="R116" s="449"/>
      <c r="S116" s="67">
        <v>0</v>
      </c>
      <c r="T116" s="163">
        <v>0</v>
      </c>
      <c r="U116" s="43">
        <v>0</v>
      </c>
      <c r="V116" s="61"/>
      <c r="X116" s="67"/>
      <c r="Y116" s="451"/>
      <c r="Z116" s="452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43.88</v>
      </c>
      <c r="E117" s="67">
        <v>8051</v>
      </c>
      <c r="F117" s="146">
        <v>0</v>
      </c>
      <c r="G117" s="146">
        <v>0</v>
      </c>
      <c r="H117" s="91">
        <v>8051</v>
      </c>
      <c r="I117" s="67">
        <v>0</v>
      </c>
      <c r="J117" s="20">
        <v>8051</v>
      </c>
      <c r="K117" s="132" t="s">
        <v>621</v>
      </c>
      <c r="L117" s="151">
        <v>0</v>
      </c>
      <c r="M117" s="128">
        <v>43.88</v>
      </c>
      <c r="N117" s="67">
        <v>17</v>
      </c>
      <c r="O117" s="67">
        <v>8068</v>
      </c>
      <c r="P117" s="270" t="e">
        <v>#REF!</v>
      </c>
      <c r="Q117" s="71"/>
      <c r="R117" s="449"/>
      <c r="S117" s="67">
        <v>10475</v>
      </c>
      <c r="T117" s="163">
        <v>-2407</v>
      </c>
      <c r="U117" s="43">
        <v>-0.22978520286396181</v>
      </c>
      <c r="V117" s="61"/>
      <c r="X117" s="67"/>
      <c r="Y117" s="451"/>
      <c r="Z117" s="452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P118" s="270" t="e">
        <v>#REF!</v>
      </c>
      <c r="Q118" s="71"/>
      <c r="R118" s="449"/>
      <c r="S118" s="67">
        <v>0</v>
      </c>
      <c r="T118" s="163">
        <v>0</v>
      </c>
      <c r="U118" s="43">
        <v>0</v>
      </c>
      <c r="V118" s="61"/>
      <c r="X118" s="67"/>
      <c r="Y118" s="451"/>
      <c r="Z118" s="452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</v>
      </c>
      <c r="E119" s="67">
        <v>0</v>
      </c>
      <c r="F119" s="146">
        <v>0</v>
      </c>
      <c r="G119" s="146">
        <v>0</v>
      </c>
      <c r="H119" s="91">
        <v>0</v>
      </c>
      <c r="I119" s="67">
        <v>0</v>
      </c>
      <c r="J119" s="20">
        <v>0</v>
      </c>
      <c r="K119" s="132" t="s">
        <v>644</v>
      </c>
      <c r="L119" s="151">
        <v>0</v>
      </c>
      <c r="M119" s="128">
        <v>0</v>
      </c>
      <c r="N119" s="67">
        <v>0</v>
      </c>
      <c r="O119" s="67">
        <v>0</v>
      </c>
      <c r="P119" s="270" t="e">
        <v>#REF!</v>
      </c>
      <c r="Q119" s="71"/>
      <c r="R119" s="449"/>
      <c r="S119" s="67">
        <v>0</v>
      </c>
      <c r="T119" s="163">
        <v>0</v>
      </c>
      <c r="U119" s="43">
        <v>0</v>
      </c>
      <c r="V119" s="61"/>
      <c r="X119" s="67"/>
      <c r="Y119" s="451"/>
      <c r="Z119" s="452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602.63</v>
      </c>
      <c r="E120" s="67">
        <v>110563</v>
      </c>
      <c r="F120" s="146">
        <v>25000</v>
      </c>
      <c r="G120" s="146">
        <v>0</v>
      </c>
      <c r="H120" s="91">
        <v>135563</v>
      </c>
      <c r="I120" s="67">
        <v>0</v>
      </c>
      <c r="J120" s="20">
        <v>110563</v>
      </c>
      <c r="K120" s="132" t="s">
        <v>621</v>
      </c>
      <c r="L120" s="151">
        <v>0</v>
      </c>
      <c r="M120" s="128">
        <v>602.63</v>
      </c>
      <c r="N120" s="67">
        <v>236</v>
      </c>
      <c r="O120" s="67">
        <v>110799</v>
      </c>
      <c r="P120" s="270" t="e">
        <v>#REF!</v>
      </c>
      <c r="Q120" s="71"/>
      <c r="R120" s="449"/>
      <c r="S120" s="67">
        <v>83716</v>
      </c>
      <c r="T120" s="163">
        <v>27083</v>
      </c>
      <c r="U120" s="43">
        <v>0.32351044005924795</v>
      </c>
      <c r="V120" s="61"/>
      <c r="X120" s="67"/>
      <c r="Y120" s="451"/>
      <c r="Z120" s="452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P121" s="270" t="e">
        <v>#REF!</v>
      </c>
      <c r="Q121" s="71"/>
      <c r="R121" s="449"/>
      <c r="S121" s="67">
        <v>0</v>
      </c>
      <c r="T121" s="163">
        <v>0</v>
      </c>
      <c r="U121" s="43">
        <v>0</v>
      </c>
      <c r="V121" s="61"/>
      <c r="X121" s="67"/>
      <c r="Y121" s="451"/>
      <c r="Z121" s="452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146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P122" s="270" t="e">
        <v>#REF!</v>
      </c>
      <c r="Q122" s="71"/>
      <c r="R122" s="449"/>
      <c r="S122" s="67">
        <v>0</v>
      </c>
      <c r="T122" s="163">
        <v>0</v>
      </c>
      <c r="U122" s="43">
        <v>0</v>
      </c>
      <c r="V122" s="61"/>
      <c r="X122" s="67"/>
      <c r="Y122" s="451"/>
      <c r="Z122" s="452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146">
        <v>0</v>
      </c>
      <c r="H123" s="91">
        <v>0</v>
      </c>
      <c r="I123" s="67">
        <v>0</v>
      </c>
      <c r="J123" s="20">
        <v>0</v>
      </c>
      <c r="K123" s="132" t="s">
        <v>644</v>
      </c>
      <c r="L123" s="151">
        <v>0</v>
      </c>
      <c r="M123" s="128">
        <v>0</v>
      </c>
      <c r="N123" s="67">
        <v>0</v>
      </c>
      <c r="O123" s="67">
        <v>0</v>
      </c>
      <c r="P123" s="270" t="e">
        <v>#REF!</v>
      </c>
      <c r="Q123" s="71"/>
      <c r="R123" s="449"/>
      <c r="S123" s="67">
        <v>0</v>
      </c>
      <c r="T123" s="163">
        <v>0</v>
      </c>
      <c r="U123" s="43">
        <v>0</v>
      </c>
      <c r="V123" s="61"/>
      <c r="X123" s="67"/>
      <c r="Y123" s="451"/>
      <c r="Z123" s="452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181.25</v>
      </c>
      <c r="E124" s="67">
        <v>33253</v>
      </c>
      <c r="F124" s="146">
        <v>0</v>
      </c>
      <c r="G124" s="146">
        <v>0</v>
      </c>
      <c r="H124" s="91">
        <v>33253</v>
      </c>
      <c r="I124" s="67">
        <v>0</v>
      </c>
      <c r="J124" s="20">
        <v>33253</v>
      </c>
      <c r="K124" s="132" t="s">
        <v>621</v>
      </c>
      <c r="L124" s="151">
        <v>0</v>
      </c>
      <c r="M124" s="128">
        <v>181.25</v>
      </c>
      <c r="N124" s="67">
        <v>71</v>
      </c>
      <c r="O124" s="67">
        <v>33324</v>
      </c>
      <c r="P124" s="270" t="e">
        <v>#REF!</v>
      </c>
      <c r="Q124" s="71"/>
      <c r="R124" s="449"/>
      <c r="S124" s="67">
        <v>28602</v>
      </c>
      <c r="T124" s="163">
        <v>4722</v>
      </c>
      <c r="U124" s="43">
        <v>0.16509335011537654</v>
      </c>
      <c r="V124" s="61"/>
      <c r="X124" s="67"/>
      <c r="Y124" s="451"/>
      <c r="Z124" s="452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1614.38</v>
      </c>
      <c r="E125" s="67">
        <v>296186</v>
      </c>
      <c r="F125" s="146">
        <v>0</v>
      </c>
      <c r="G125" s="146">
        <v>0</v>
      </c>
      <c r="H125" s="91">
        <v>296186</v>
      </c>
      <c r="I125" s="67">
        <v>0</v>
      </c>
      <c r="J125" s="20">
        <v>296186</v>
      </c>
      <c r="K125" s="132" t="s">
        <v>621</v>
      </c>
      <c r="L125" s="151">
        <v>0</v>
      </c>
      <c r="M125" s="128">
        <v>1614.38</v>
      </c>
      <c r="N125" s="67">
        <v>633</v>
      </c>
      <c r="O125" s="67">
        <v>296819</v>
      </c>
      <c r="P125" s="270" t="e">
        <v>#REF!</v>
      </c>
      <c r="Q125" s="71"/>
      <c r="R125" s="449"/>
      <c r="S125" s="67">
        <v>240588</v>
      </c>
      <c r="T125" s="163">
        <v>56231</v>
      </c>
      <c r="U125" s="43">
        <v>0.2337232114652435</v>
      </c>
      <c r="V125" s="61"/>
      <c r="X125" s="67"/>
      <c r="Y125" s="451"/>
      <c r="Z125" s="452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3963.13</v>
      </c>
      <c r="E126" s="67">
        <v>727106</v>
      </c>
      <c r="F126" s="146">
        <v>0</v>
      </c>
      <c r="G126" s="146">
        <v>0</v>
      </c>
      <c r="H126" s="91">
        <v>727106</v>
      </c>
      <c r="I126" s="67">
        <v>0</v>
      </c>
      <c r="J126" s="20">
        <v>727106</v>
      </c>
      <c r="K126" s="132" t="s">
        <v>621</v>
      </c>
      <c r="L126" s="151">
        <v>0</v>
      </c>
      <c r="M126" s="128">
        <v>3963.13</v>
      </c>
      <c r="N126" s="67">
        <v>1555</v>
      </c>
      <c r="O126" s="67">
        <v>728661</v>
      </c>
      <c r="P126" s="270" t="e">
        <v>#REF!</v>
      </c>
      <c r="Q126" s="71"/>
      <c r="R126" s="449"/>
      <c r="S126" s="67">
        <v>644823</v>
      </c>
      <c r="T126" s="163">
        <v>83838</v>
      </c>
      <c r="U126" s="43">
        <v>0.13001707445298943</v>
      </c>
      <c r="V126" s="61"/>
      <c r="X126" s="67"/>
      <c r="Y126" s="451"/>
      <c r="Z126" s="452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146">
        <v>0</v>
      </c>
      <c r="H127" s="91">
        <v>0</v>
      </c>
      <c r="I127" s="67">
        <v>0</v>
      </c>
      <c r="J127" s="20">
        <v>0</v>
      </c>
      <c r="K127" s="132" t="s">
        <v>644</v>
      </c>
      <c r="L127" s="151">
        <v>0</v>
      </c>
      <c r="M127" s="128">
        <v>0</v>
      </c>
      <c r="N127" s="67">
        <v>0</v>
      </c>
      <c r="O127" s="67">
        <v>0</v>
      </c>
      <c r="P127" s="270" t="e">
        <v>#REF!</v>
      </c>
      <c r="Q127" s="71"/>
      <c r="R127" s="449"/>
      <c r="S127" s="67">
        <v>0</v>
      </c>
      <c r="T127" s="163">
        <v>0</v>
      </c>
      <c r="U127" s="43">
        <v>0</v>
      </c>
      <c r="V127" s="61"/>
      <c r="X127" s="67"/>
      <c r="Y127" s="451"/>
      <c r="Z127" s="452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211.75</v>
      </c>
      <c r="E128" s="67">
        <v>38849</v>
      </c>
      <c r="F128" s="146">
        <v>0</v>
      </c>
      <c r="G128" s="146">
        <v>0</v>
      </c>
      <c r="H128" s="91">
        <v>38849</v>
      </c>
      <c r="I128" s="67">
        <v>0</v>
      </c>
      <c r="J128" s="20">
        <v>38849</v>
      </c>
      <c r="K128" s="132" t="s">
        <v>621</v>
      </c>
      <c r="L128" s="151">
        <v>0</v>
      </c>
      <c r="M128" s="128">
        <v>211.75</v>
      </c>
      <c r="N128" s="67">
        <v>83</v>
      </c>
      <c r="O128" s="67">
        <v>38932</v>
      </c>
      <c r="P128" s="270" t="e">
        <v>#REF!</v>
      </c>
      <c r="Q128" s="71"/>
      <c r="R128" s="449"/>
      <c r="S128" s="67">
        <v>31529</v>
      </c>
      <c r="T128" s="163">
        <v>7403</v>
      </c>
      <c r="U128" s="43">
        <v>0.23479970820514448</v>
      </c>
      <c r="V128" s="61"/>
      <c r="X128" s="67"/>
      <c r="Y128" s="451"/>
      <c r="Z128" s="452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39.630000000000003</v>
      </c>
      <c r="E129" s="67">
        <v>7271</v>
      </c>
      <c r="F129" s="146">
        <v>0</v>
      </c>
      <c r="G129" s="146">
        <v>0</v>
      </c>
      <c r="H129" s="91">
        <v>7271</v>
      </c>
      <c r="I129" s="67">
        <v>0</v>
      </c>
      <c r="J129" s="20">
        <v>7271</v>
      </c>
      <c r="K129" s="132" t="s">
        <v>621</v>
      </c>
      <c r="L129" s="151">
        <v>0</v>
      </c>
      <c r="M129" s="128">
        <v>39.630000000000003</v>
      </c>
      <c r="N129" s="67">
        <v>16</v>
      </c>
      <c r="O129" s="67">
        <v>7287</v>
      </c>
      <c r="P129" s="270" t="e">
        <v>#REF!</v>
      </c>
      <c r="Q129" s="71"/>
      <c r="R129" s="449"/>
      <c r="S129" s="67">
        <v>6795</v>
      </c>
      <c r="T129" s="163">
        <v>492</v>
      </c>
      <c r="U129" s="43">
        <v>7.2406181015452542E-2</v>
      </c>
      <c r="V129" s="61"/>
      <c r="X129" s="67"/>
      <c r="Y129" s="451"/>
      <c r="Z129" s="452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P130" s="270" t="e">
        <v>#REF!</v>
      </c>
      <c r="Q130" s="71"/>
      <c r="R130" s="449"/>
      <c r="S130" s="67">
        <v>0</v>
      </c>
      <c r="T130" s="163">
        <v>0</v>
      </c>
      <c r="U130" s="43">
        <v>0</v>
      </c>
      <c r="V130" s="61"/>
      <c r="X130" s="67"/>
      <c r="Y130" s="451"/>
      <c r="Z130" s="452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11.25</v>
      </c>
      <c r="E131" s="67">
        <v>2064</v>
      </c>
      <c r="F131" s="146">
        <v>0</v>
      </c>
      <c r="G131" s="146">
        <v>0</v>
      </c>
      <c r="H131" s="91">
        <v>2064</v>
      </c>
      <c r="I131" s="67">
        <v>0</v>
      </c>
      <c r="J131" s="20">
        <v>2064</v>
      </c>
      <c r="K131" s="132" t="s">
        <v>621</v>
      </c>
      <c r="L131" s="151">
        <v>0</v>
      </c>
      <c r="M131" s="128">
        <v>11.25</v>
      </c>
      <c r="N131" s="67">
        <v>4</v>
      </c>
      <c r="O131" s="67">
        <v>2068</v>
      </c>
      <c r="P131" s="270" t="e">
        <v>#REF!</v>
      </c>
      <c r="Q131" s="71"/>
      <c r="R131" s="449"/>
      <c r="S131" s="67">
        <v>0</v>
      </c>
      <c r="T131" s="163">
        <v>2068</v>
      </c>
      <c r="U131" s="43">
        <v>0</v>
      </c>
      <c r="V131" s="61"/>
      <c r="X131" s="67"/>
      <c r="Y131" s="451"/>
      <c r="Z131" s="452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17</v>
      </c>
      <c r="E132" s="67">
        <v>3119</v>
      </c>
      <c r="F132" s="146">
        <v>0</v>
      </c>
      <c r="G132" s="146">
        <v>0</v>
      </c>
      <c r="H132" s="91">
        <v>3119</v>
      </c>
      <c r="I132" s="67">
        <v>0</v>
      </c>
      <c r="J132" s="20">
        <v>3119</v>
      </c>
      <c r="K132" s="132" t="s">
        <v>621</v>
      </c>
      <c r="L132" s="151">
        <v>0</v>
      </c>
      <c r="M132" s="128">
        <v>17</v>
      </c>
      <c r="N132" s="67">
        <v>7</v>
      </c>
      <c r="O132" s="67">
        <v>3126</v>
      </c>
      <c r="P132" s="270" t="e">
        <v>#REF!</v>
      </c>
      <c r="Q132" s="71"/>
      <c r="R132" s="449"/>
      <c r="S132" s="67">
        <v>0</v>
      </c>
      <c r="T132" s="163">
        <v>3126</v>
      </c>
      <c r="U132" s="43">
        <v>0</v>
      </c>
      <c r="V132" s="61"/>
      <c r="X132" s="67"/>
      <c r="Y132" s="451"/>
      <c r="Z132" s="452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146">
        <v>0</v>
      </c>
      <c r="H133" s="91">
        <v>0</v>
      </c>
      <c r="I133" s="67">
        <v>0</v>
      </c>
      <c r="J133" s="20">
        <v>0</v>
      </c>
      <c r="K133" s="132" t="s">
        <v>644</v>
      </c>
      <c r="L133" s="151">
        <v>0</v>
      </c>
      <c r="M133" s="128">
        <v>0</v>
      </c>
      <c r="N133" s="67">
        <v>0</v>
      </c>
      <c r="O133" s="67">
        <v>0</v>
      </c>
      <c r="P133" s="270" t="e">
        <v>#REF!</v>
      </c>
      <c r="Q133" s="71"/>
      <c r="R133" s="449"/>
      <c r="S133" s="67">
        <v>0</v>
      </c>
      <c r="T133" s="163">
        <v>0</v>
      </c>
      <c r="U133" s="43">
        <v>0</v>
      </c>
      <c r="V133" s="61"/>
      <c r="X133" s="67"/>
      <c r="Y133" s="451"/>
      <c r="Z133" s="452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277.25</v>
      </c>
      <c r="E134" s="67">
        <v>50866</v>
      </c>
      <c r="F134" s="146">
        <v>10000</v>
      </c>
      <c r="G134" s="146">
        <v>0</v>
      </c>
      <c r="H134" s="91">
        <v>60866</v>
      </c>
      <c r="I134" s="67">
        <v>0</v>
      </c>
      <c r="J134" s="20">
        <v>50866</v>
      </c>
      <c r="K134" s="132" t="s">
        <v>621</v>
      </c>
      <c r="L134" s="151">
        <v>0</v>
      </c>
      <c r="M134" s="128">
        <v>277.25</v>
      </c>
      <c r="N134" s="67">
        <v>109</v>
      </c>
      <c r="O134" s="67">
        <v>50975</v>
      </c>
      <c r="P134" s="270" t="e">
        <v>#REF!</v>
      </c>
      <c r="Q134" s="71"/>
      <c r="R134" s="449"/>
      <c r="S134" s="67">
        <v>43781</v>
      </c>
      <c r="T134" s="163">
        <v>7194</v>
      </c>
      <c r="U134" s="43">
        <v>0.16431785477718644</v>
      </c>
      <c r="V134" s="61"/>
      <c r="X134" s="67"/>
      <c r="Y134" s="451"/>
      <c r="Z134" s="452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220.5</v>
      </c>
      <c r="E135" s="67">
        <v>40455</v>
      </c>
      <c r="F135" s="146">
        <v>0</v>
      </c>
      <c r="G135" s="146">
        <v>0</v>
      </c>
      <c r="H135" s="91">
        <v>40455</v>
      </c>
      <c r="I135" s="67">
        <v>0</v>
      </c>
      <c r="J135" s="20">
        <v>40455</v>
      </c>
      <c r="K135" s="132" t="s">
        <v>621</v>
      </c>
      <c r="L135" s="151">
        <v>0</v>
      </c>
      <c r="M135" s="128">
        <v>220.5</v>
      </c>
      <c r="N135" s="67">
        <v>87</v>
      </c>
      <c r="O135" s="67">
        <v>40542</v>
      </c>
      <c r="P135" s="270" t="e">
        <v>#REF!</v>
      </c>
      <c r="Q135" s="71"/>
      <c r="R135" s="449"/>
      <c r="S135" s="67">
        <v>34289</v>
      </c>
      <c r="T135" s="163">
        <v>6253</v>
      </c>
      <c r="U135" s="43">
        <v>0.18236169033800928</v>
      </c>
      <c r="V135" s="61"/>
      <c r="X135" s="67"/>
      <c r="Y135" s="451"/>
      <c r="Z135" s="452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 t="e">
        <v>#N/A</v>
      </c>
      <c r="Q136" s="71"/>
      <c r="R136" s="449"/>
      <c r="S136" s="67">
        <v>0</v>
      </c>
      <c r="T136" s="163">
        <v>0</v>
      </c>
      <c r="U136" s="43">
        <v>0</v>
      </c>
      <c r="V136" s="61"/>
      <c r="X136" s="67"/>
      <c r="Y136" s="451"/>
      <c r="Z136" s="452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1235</v>
      </c>
      <c r="E137" s="67">
        <v>226582</v>
      </c>
      <c r="F137" s="146">
        <v>0</v>
      </c>
      <c r="G137" s="146">
        <v>0</v>
      </c>
      <c r="H137" s="91">
        <v>226582</v>
      </c>
      <c r="I137" s="67">
        <v>0</v>
      </c>
      <c r="J137" s="20">
        <v>226582</v>
      </c>
      <c r="K137" s="132" t="s">
        <v>621</v>
      </c>
      <c r="L137" s="151">
        <v>0</v>
      </c>
      <c r="M137" s="128">
        <v>1235</v>
      </c>
      <c r="N137" s="67">
        <v>485</v>
      </c>
      <c r="O137" s="67">
        <v>227067</v>
      </c>
      <c r="P137" s="270" t="e">
        <v>#REF!</v>
      </c>
      <c r="Q137" s="71"/>
      <c r="R137" s="449"/>
      <c r="S137" s="67">
        <v>185851</v>
      </c>
      <c r="T137" s="163">
        <v>41216</v>
      </c>
      <c r="U137" s="43">
        <v>0.22176905155204976</v>
      </c>
      <c r="V137" s="61"/>
      <c r="X137" s="67"/>
      <c r="Y137" s="451"/>
      <c r="Z137" s="452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68.88</v>
      </c>
      <c r="E138" s="67">
        <v>12637</v>
      </c>
      <c r="F138" s="146">
        <v>0</v>
      </c>
      <c r="G138" s="146">
        <v>0</v>
      </c>
      <c r="H138" s="91">
        <v>12637</v>
      </c>
      <c r="I138" s="67">
        <v>0</v>
      </c>
      <c r="J138" s="20">
        <v>12637</v>
      </c>
      <c r="K138" s="132" t="s">
        <v>621</v>
      </c>
      <c r="L138" s="151">
        <v>0</v>
      </c>
      <c r="M138" s="128">
        <v>68.88</v>
      </c>
      <c r="N138" s="67">
        <v>27</v>
      </c>
      <c r="O138" s="67">
        <v>12664</v>
      </c>
      <c r="P138" s="270" t="e">
        <v>#REF!</v>
      </c>
      <c r="Q138" s="71"/>
      <c r="R138" s="449"/>
      <c r="S138" s="67">
        <v>11813</v>
      </c>
      <c r="T138" s="163">
        <v>851</v>
      </c>
      <c r="U138" s="43">
        <v>7.2039278760687372E-2</v>
      </c>
      <c r="V138" s="61"/>
      <c r="X138" s="67"/>
      <c r="Y138" s="451"/>
      <c r="Z138" s="452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146">
        <v>0</v>
      </c>
      <c r="H139" s="91">
        <v>0</v>
      </c>
      <c r="I139" s="67">
        <v>0</v>
      </c>
      <c r="J139" s="20">
        <v>0</v>
      </c>
      <c r="K139" s="132" t="s">
        <v>644</v>
      </c>
      <c r="L139" s="151">
        <v>0</v>
      </c>
      <c r="M139" s="128">
        <v>0</v>
      </c>
      <c r="N139" s="67">
        <v>0</v>
      </c>
      <c r="O139" s="67">
        <v>0</v>
      </c>
      <c r="P139" s="270" t="e">
        <v>#REF!</v>
      </c>
      <c r="Q139" s="71"/>
      <c r="R139" s="449"/>
      <c r="S139" s="67">
        <v>0</v>
      </c>
      <c r="T139" s="163">
        <v>0</v>
      </c>
      <c r="U139" s="43">
        <v>0</v>
      </c>
      <c r="V139" s="61"/>
      <c r="X139" s="67"/>
      <c r="Y139" s="451"/>
      <c r="Z139" s="452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20">
        <v>0</v>
      </c>
      <c r="K140" s="132" t="s">
        <v>644</v>
      </c>
      <c r="L140" s="151">
        <v>0</v>
      </c>
      <c r="M140" s="128">
        <v>0</v>
      </c>
      <c r="N140" s="67">
        <v>0</v>
      </c>
      <c r="O140" s="67">
        <v>0</v>
      </c>
      <c r="P140" s="270" t="e">
        <v>#REF!</v>
      </c>
      <c r="Q140" s="71"/>
      <c r="R140" s="449"/>
      <c r="S140" s="67">
        <v>0</v>
      </c>
      <c r="T140" s="163">
        <v>0</v>
      </c>
      <c r="U140" s="43">
        <v>0</v>
      </c>
      <c r="V140" s="61"/>
      <c r="X140" s="67"/>
      <c r="Y140" s="451"/>
      <c r="Z140" s="452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22.88</v>
      </c>
      <c r="E141" s="67">
        <v>4198</v>
      </c>
      <c r="F141" s="146">
        <v>0</v>
      </c>
      <c r="G141" s="146">
        <v>0</v>
      </c>
      <c r="H141" s="91">
        <v>4198</v>
      </c>
      <c r="I141" s="67">
        <v>0</v>
      </c>
      <c r="J141" s="20">
        <v>4198</v>
      </c>
      <c r="K141" s="132" t="s">
        <v>644</v>
      </c>
      <c r="L141" s="151">
        <v>4198</v>
      </c>
      <c r="M141" s="128">
        <v>0</v>
      </c>
      <c r="N141" s="67">
        <v>0</v>
      </c>
      <c r="O141" s="67">
        <v>0</v>
      </c>
      <c r="P141" s="270" t="e">
        <v>#REF!</v>
      </c>
      <c r="Q141" s="71"/>
      <c r="R141" s="449"/>
      <c r="S141" s="67">
        <v>0</v>
      </c>
      <c r="T141" s="163">
        <v>0</v>
      </c>
      <c r="U141" s="43">
        <v>0</v>
      </c>
      <c r="V141" s="61"/>
      <c r="X141" s="67"/>
      <c r="Y141" s="451"/>
      <c r="Z141" s="452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319</v>
      </c>
      <c r="E142" s="67">
        <v>58526</v>
      </c>
      <c r="F142" s="146">
        <v>0</v>
      </c>
      <c r="G142" s="146">
        <v>0</v>
      </c>
      <c r="H142" s="91">
        <v>58526</v>
      </c>
      <c r="I142" s="67">
        <v>0</v>
      </c>
      <c r="J142" s="20">
        <v>58526</v>
      </c>
      <c r="K142" s="132" t="s">
        <v>621</v>
      </c>
      <c r="L142" s="151">
        <v>0</v>
      </c>
      <c r="M142" s="128">
        <v>319</v>
      </c>
      <c r="N142" s="67">
        <v>125</v>
      </c>
      <c r="O142" s="67">
        <v>58651</v>
      </c>
      <c r="P142" s="270" t="e">
        <v>#REF!</v>
      </c>
      <c r="Q142" s="71"/>
      <c r="R142" s="449"/>
      <c r="S142" s="67">
        <v>57057</v>
      </c>
      <c r="T142" s="163">
        <v>1594</v>
      </c>
      <c r="U142" s="43">
        <v>2.7936975305396357E-2</v>
      </c>
      <c r="V142" s="61"/>
      <c r="X142" s="67"/>
      <c r="Y142" s="451"/>
      <c r="Z142" s="452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20">
        <v>0</v>
      </c>
      <c r="K143" s="132" t="s">
        <v>644</v>
      </c>
      <c r="L143" s="151">
        <v>0</v>
      </c>
      <c r="M143" s="128">
        <v>0</v>
      </c>
      <c r="N143" s="67">
        <v>0</v>
      </c>
      <c r="O143" s="67">
        <v>0</v>
      </c>
      <c r="P143" s="270" t="e">
        <v>#REF!</v>
      </c>
      <c r="Q143" s="71"/>
      <c r="R143" s="449"/>
      <c r="S143" s="67">
        <v>0</v>
      </c>
      <c r="T143" s="163">
        <v>0</v>
      </c>
      <c r="U143" s="43">
        <v>0</v>
      </c>
      <c r="V143" s="61"/>
      <c r="X143" s="67"/>
      <c r="Y143" s="451"/>
      <c r="Z143" s="452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6.13</v>
      </c>
      <c r="E144" s="67">
        <v>1125</v>
      </c>
      <c r="F144" s="146">
        <v>0</v>
      </c>
      <c r="G144" s="146">
        <v>0</v>
      </c>
      <c r="H144" s="91">
        <v>1125</v>
      </c>
      <c r="I144" s="67">
        <v>0</v>
      </c>
      <c r="J144" s="20">
        <v>1125</v>
      </c>
      <c r="K144" s="132" t="s">
        <v>621</v>
      </c>
      <c r="L144" s="151">
        <v>0</v>
      </c>
      <c r="M144" s="128">
        <v>6.13</v>
      </c>
      <c r="N144" s="67">
        <v>2</v>
      </c>
      <c r="O144" s="67">
        <v>1127</v>
      </c>
      <c r="P144" s="270" t="e">
        <v>#REF!</v>
      </c>
      <c r="Q144" s="71"/>
      <c r="R144" s="449"/>
      <c r="S144" s="67">
        <v>0</v>
      </c>
      <c r="T144" s="163">
        <v>1127</v>
      </c>
      <c r="U144" s="43">
        <v>0</v>
      </c>
      <c r="V144" s="61"/>
      <c r="X144" s="67"/>
      <c r="Y144" s="451"/>
      <c r="Z144" s="452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0</v>
      </c>
      <c r="E145" s="67">
        <v>0</v>
      </c>
      <c r="F145" s="146">
        <v>0</v>
      </c>
      <c r="G145" s="146">
        <v>0</v>
      </c>
      <c r="H145" s="91">
        <v>0</v>
      </c>
      <c r="I145" s="67">
        <v>0</v>
      </c>
      <c r="J145" s="20">
        <v>0</v>
      </c>
      <c r="K145" s="132" t="s">
        <v>644</v>
      </c>
      <c r="L145" s="151">
        <v>0</v>
      </c>
      <c r="M145" s="128">
        <v>0</v>
      </c>
      <c r="N145" s="67">
        <v>0</v>
      </c>
      <c r="O145" s="67">
        <v>0</v>
      </c>
      <c r="P145" s="270" t="e">
        <v>#REF!</v>
      </c>
      <c r="Q145" s="71"/>
      <c r="R145" s="449"/>
      <c r="S145" s="67">
        <v>0</v>
      </c>
      <c r="T145" s="163">
        <v>0</v>
      </c>
      <c r="U145" s="43">
        <v>0</v>
      </c>
      <c r="V145" s="61"/>
      <c r="X145" s="67"/>
      <c r="Y145" s="451"/>
      <c r="Z145" s="452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231</v>
      </c>
      <c r="E146" s="67">
        <v>42381</v>
      </c>
      <c r="F146" s="146">
        <v>10000</v>
      </c>
      <c r="G146" s="146">
        <v>0</v>
      </c>
      <c r="H146" s="91">
        <v>52381</v>
      </c>
      <c r="I146" s="67">
        <v>0</v>
      </c>
      <c r="J146" s="20">
        <v>42381</v>
      </c>
      <c r="K146" s="132" t="s">
        <v>621</v>
      </c>
      <c r="L146" s="151">
        <v>0</v>
      </c>
      <c r="M146" s="128">
        <v>231</v>
      </c>
      <c r="N146" s="67">
        <v>91</v>
      </c>
      <c r="O146" s="67">
        <v>42472</v>
      </c>
      <c r="P146" s="270" t="e">
        <v>#REF!</v>
      </c>
      <c r="Q146" s="71"/>
      <c r="R146" s="449"/>
      <c r="S146" s="67">
        <v>34163</v>
      </c>
      <c r="T146" s="163">
        <v>8309</v>
      </c>
      <c r="U146" s="43">
        <v>0.24321634516874982</v>
      </c>
      <c r="V146" s="61"/>
      <c r="X146" s="67"/>
      <c r="Y146" s="451"/>
      <c r="Z146" s="452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363.38</v>
      </c>
      <c r="E147" s="67">
        <v>66668</v>
      </c>
      <c r="F147" s="146">
        <v>0</v>
      </c>
      <c r="G147" s="146">
        <v>0</v>
      </c>
      <c r="H147" s="91">
        <v>66668</v>
      </c>
      <c r="I147" s="67">
        <v>0</v>
      </c>
      <c r="J147" s="20">
        <v>66668</v>
      </c>
      <c r="K147" s="132" t="s">
        <v>621</v>
      </c>
      <c r="L147" s="151">
        <v>0</v>
      </c>
      <c r="M147" s="128">
        <v>363.38</v>
      </c>
      <c r="N147" s="67">
        <v>143</v>
      </c>
      <c r="O147" s="67">
        <v>66811</v>
      </c>
      <c r="P147" s="270" t="e">
        <v>#REF!</v>
      </c>
      <c r="Q147" s="71"/>
      <c r="R147" s="449"/>
      <c r="S147" s="67">
        <v>61741</v>
      </c>
      <c r="T147" s="163">
        <v>5070</v>
      </c>
      <c r="U147" s="43">
        <v>8.2117231661294768E-2</v>
      </c>
      <c r="V147" s="61"/>
      <c r="X147" s="67"/>
      <c r="Y147" s="451"/>
      <c r="Z147" s="452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2</v>
      </c>
      <c r="E148" s="67">
        <v>367</v>
      </c>
      <c r="F148" s="146">
        <v>0</v>
      </c>
      <c r="G148" s="146">
        <v>0</v>
      </c>
      <c r="H148" s="91">
        <v>367</v>
      </c>
      <c r="I148" s="67">
        <v>0</v>
      </c>
      <c r="J148" s="20">
        <v>367</v>
      </c>
      <c r="K148" s="132" t="s">
        <v>644</v>
      </c>
      <c r="L148" s="151">
        <v>367</v>
      </c>
      <c r="M148" s="128">
        <v>0</v>
      </c>
      <c r="N148" s="67">
        <v>0</v>
      </c>
      <c r="O148" s="67">
        <v>0</v>
      </c>
      <c r="P148" s="270" t="e">
        <v>#REF!</v>
      </c>
      <c r="Q148" s="71"/>
      <c r="R148" s="449"/>
      <c r="S148" s="67">
        <v>0</v>
      </c>
      <c r="T148" s="163">
        <v>0</v>
      </c>
      <c r="U148" s="43">
        <v>0</v>
      </c>
      <c r="V148" s="61"/>
      <c r="X148" s="67"/>
      <c r="Y148" s="451"/>
      <c r="Z148" s="452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212</v>
      </c>
      <c r="E149" s="67">
        <v>38895</v>
      </c>
      <c r="F149" s="146">
        <v>0</v>
      </c>
      <c r="G149" s="146">
        <v>0</v>
      </c>
      <c r="H149" s="91">
        <v>38895</v>
      </c>
      <c r="I149" s="67">
        <v>0</v>
      </c>
      <c r="J149" s="20">
        <v>38895</v>
      </c>
      <c r="K149" s="132" t="s">
        <v>621</v>
      </c>
      <c r="L149" s="151">
        <v>0</v>
      </c>
      <c r="M149" s="128">
        <v>212</v>
      </c>
      <c r="N149" s="67">
        <v>83</v>
      </c>
      <c r="O149" s="67">
        <v>38978</v>
      </c>
      <c r="P149" s="270" t="e">
        <v>#REF!</v>
      </c>
      <c r="Q149" s="71"/>
      <c r="R149" s="449"/>
      <c r="S149" s="67">
        <v>34895</v>
      </c>
      <c r="T149" s="163">
        <v>4083</v>
      </c>
      <c r="U149" s="43">
        <v>0.11700816735922052</v>
      </c>
      <c r="V149" s="61"/>
      <c r="X149" s="67"/>
      <c r="Y149" s="451"/>
      <c r="Z149" s="452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146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P150" s="270" t="e">
        <v>#REF!</v>
      </c>
      <c r="Q150" s="71"/>
      <c r="R150" s="449"/>
      <c r="S150" s="67">
        <v>0</v>
      </c>
      <c r="T150" s="163">
        <v>0</v>
      </c>
      <c r="U150" s="43">
        <v>0</v>
      </c>
      <c r="V150" s="61"/>
      <c r="X150" s="67"/>
      <c r="Y150" s="451"/>
      <c r="Z150" s="452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20">
        <v>0</v>
      </c>
      <c r="K151" s="132" t="s">
        <v>644</v>
      </c>
      <c r="L151" s="151">
        <v>0</v>
      </c>
      <c r="M151" s="128">
        <v>0</v>
      </c>
      <c r="N151" s="67">
        <v>0</v>
      </c>
      <c r="O151" s="67">
        <v>0</v>
      </c>
      <c r="P151" s="270" t="e">
        <v>#REF!</v>
      </c>
      <c r="Q151" s="71"/>
      <c r="R151" s="449"/>
      <c r="S151" s="67">
        <v>0</v>
      </c>
      <c r="T151" s="163">
        <v>0</v>
      </c>
      <c r="U151" s="43">
        <v>0</v>
      </c>
      <c r="V151" s="61"/>
      <c r="X151" s="67"/>
      <c r="Y151" s="451"/>
      <c r="Z151" s="452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714.25</v>
      </c>
      <c r="E152" s="67">
        <v>131042</v>
      </c>
      <c r="F152" s="146">
        <v>0</v>
      </c>
      <c r="G152" s="146">
        <v>0</v>
      </c>
      <c r="H152" s="91">
        <v>131042</v>
      </c>
      <c r="I152" s="67">
        <v>0</v>
      </c>
      <c r="J152" s="20">
        <v>131042</v>
      </c>
      <c r="K152" s="132" t="s">
        <v>621</v>
      </c>
      <c r="L152" s="151">
        <v>0</v>
      </c>
      <c r="M152" s="128">
        <v>714.25</v>
      </c>
      <c r="N152" s="67">
        <v>280</v>
      </c>
      <c r="O152" s="67">
        <v>131322</v>
      </c>
      <c r="P152" s="270" t="e">
        <v>#REF!</v>
      </c>
      <c r="Q152" s="71"/>
      <c r="R152" s="449"/>
      <c r="S152" s="67">
        <v>115789</v>
      </c>
      <c r="T152" s="163">
        <v>15533</v>
      </c>
      <c r="U152" s="43">
        <v>0.13414918515575747</v>
      </c>
      <c r="V152" s="61"/>
      <c r="X152" s="67"/>
      <c r="Y152" s="451"/>
      <c r="Z152" s="452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20">
        <v>0</v>
      </c>
      <c r="K153" s="132" t="s">
        <v>644</v>
      </c>
      <c r="L153" s="151">
        <v>0</v>
      </c>
      <c r="M153" s="128">
        <v>0</v>
      </c>
      <c r="N153" s="67">
        <v>0</v>
      </c>
      <c r="O153" s="67">
        <v>0</v>
      </c>
      <c r="P153" s="270" t="e">
        <v>#REF!</v>
      </c>
      <c r="Q153" s="71"/>
      <c r="R153" s="449"/>
      <c r="S153" s="67">
        <v>0</v>
      </c>
      <c r="T153" s="163">
        <v>0</v>
      </c>
      <c r="U153" s="43">
        <v>0</v>
      </c>
      <c r="V153" s="61"/>
      <c r="X153" s="67"/>
      <c r="Y153" s="451"/>
      <c r="Z153" s="452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139.5</v>
      </c>
      <c r="E154" s="67">
        <v>25594</v>
      </c>
      <c r="F154" s="146">
        <v>0</v>
      </c>
      <c r="G154" s="146">
        <v>0</v>
      </c>
      <c r="H154" s="91">
        <v>25594</v>
      </c>
      <c r="I154" s="67">
        <v>0</v>
      </c>
      <c r="J154" s="20">
        <v>25594</v>
      </c>
      <c r="K154" s="132" t="s">
        <v>621</v>
      </c>
      <c r="L154" s="151">
        <v>0</v>
      </c>
      <c r="M154" s="128">
        <v>139.5</v>
      </c>
      <c r="N154" s="67">
        <v>55</v>
      </c>
      <c r="O154" s="67">
        <v>25649</v>
      </c>
      <c r="P154" s="270" t="e">
        <v>#REF!</v>
      </c>
      <c r="Q154" s="71"/>
      <c r="R154" s="449"/>
      <c r="S154" s="67">
        <v>22184</v>
      </c>
      <c r="T154" s="163">
        <v>3465</v>
      </c>
      <c r="U154" s="43">
        <v>0.15619365308330327</v>
      </c>
      <c r="V154" s="61"/>
      <c r="X154" s="67"/>
      <c r="Y154" s="451"/>
      <c r="Z154" s="452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13.88</v>
      </c>
      <c r="E155" s="67">
        <v>2547</v>
      </c>
      <c r="F155" s="146">
        <v>0</v>
      </c>
      <c r="G155" s="146">
        <v>0</v>
      </c>
      <c r="H155" s="91">
        <v>2547</v>
      </c>
      <c r="I155" s="67">
        <v>0</v>
      </c>
      <c r="J155" s="20">
        <v>2547</v>
      </c>
      <c r="K155" s="132" t="s">
        <v>644</v>
      </c>
      <c r="L155" s="151">
        <v>2547</v>
      </c>
      <c r="M155" s="128">
        <v>0</v>
      </c>
      <c r="N155" s="67">
        <v>0</v>
      </c>
      <c r="O155" s="67">
        <v>0</v>
      </c>
      <c r="P155" s="270" t="e">
        <v>#REF!</v>
      </c>
      <c r="Q155" s="71"/>
      <c r="R155" s="449"/>
      <c r="S155" s="67">
        <v>0</v>
      </c>
      <c r="T155" s="163">
        <v>0</v>
      </c>
      <c r="U155" s="43">
        <v>0</v>
      </c>
      <c r="V155" s="61"/>
      <c r="X155" s="67"/>
      <c r="Y155" s="451"/>
      <c r="Z155" s="452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74</v>
      </c>
      <c r="E156" s="88">
        <v>13577</v>
      </c>
      <c r="F156" s="146">
        <v>0</v>
      </c>
      <c r="G156" s="146">
        <v>0</v>
      </c>
      <c r="H156" s="91">
        <v>13577</v>
      </c>
      <c r="I156" s="67">
        <v>0</v>
      </c>
      <c r="J156" s="20">
        <v>13577</v>
      </c>
      <c r="K156" s="132" t="s">
        <v>621</v>
      </c>
      <c r="L156" s="151">
        <v>0</v>
      </c>
      <c r="M156" s="128">
        <v>74</v>
      </c>
      <c r="N156" s="67">
        <v>29</v>
      </c>
      <c r="O156" s="67">
        <v>13606</v>
      </c>
      <c r="P156" s="270" t="e">
        <v>#REF!</v>
      </c>
      <c r="Q156" s="71"/>
      <c r="R156" s="449"/>
      <c r="S156" s="67">
        <v>10914</v>
      </c>
      <c r="T156" s="163">
        <v>2692</v>
      </c>
      <c r="U156" s="43">
        <v>0.24665567161444016</v>
      </c>
      <c r="V156" s="61"/>
      <c r="X156" s="67"/>
      <c r="Y156" s="451"/>
      <c r="Z156" s="452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128.63</v>
      </c>
      <c r="E157" s="67">
        <v>23599</v>
      </c>
      <c r="F157" s="146">
        <v>0</v>
      </c>
      <c r="G157" s="146">
        <v>5550</v>
      </c>
      <c r="H157" s="91">
        <v>29149</v>
      </c>
      <c r="I157" s="67">
        <v>0</v>
      </c>
      <c r="J157" s="20">
        <v>23599</v>
      </c>
      <c r="K157" s="132" t="s">
        <v>621</v>
      </c>
      <c r="L157" s="151">
        <v>0</v>
      </c>
      <c r="M157" s="128">
        <v>128.63</v>
      </c>
      <c r="N157" s="67">
        <v>50</v>
      </c>
      <c r="O157" s="67">
        <v>23649</v>
      </c>
      <c r="P157" s="270" t="e">
        <v>#REF!</v>
      </c>
      <c r="Q157" s="71"/>
      <c r="R157" s="449"/>
      <c r="S157" s="67">
        <v>21055</v>
      </c>
      <c r="T157" s="163">
        <v>2594</v>
      </c>
      <c r="U157" s="43">
        <v>0.12320113987176443</v>
      </c>
      <c r="V157" s="61"/>
      <c r="X157" s="67"/>
      <c r="Y157" s="451"/>
      <c r="Z157" s="452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14.38</v>
      </c>
      <c r="E158" s="67">
        <v>2638</v>
      </c>
      <c r="F158" s="146">
        <v>0</v>
      </c>
      <c r="G158" s="146">
        <v>0</v>
      </c>
      <c r="H158" s="91">
        <v>2638</v>
      </c>
      <c r="I158" s="67">
        <v>0</v>
      </c>
      <c r="J158" s="20">
        <v>2638</v>
      </c>
      <c r="K158" s="132" t="s">
        <v>644</v>
      </c>
      <c r="L158" s="151">
        <v>2638</v>
      </c>
      <c r="M158" s="128">
        <v>0</v>
      </c>
      <c r="N158" s="67">
        <v>0</v>
      </c>
      <c r="O158" s="67">
        <v>0</v>
      </c>
      <c r="P158" s="270" t="e">
        <v>#REF!</v>
      </c>
      <c r="Q158" s="71"/>
      <c r="R158" s="449"/>
      <c r="S158" s="67">
        <v>0</v>
      </c>
      <c r="T158" s="163">
        <v>0</v>
      </c>
      <c r="U158" s="43">
        <v>0</v>
      </c>
      <c r="V158" s="61"/>
      <c r="X158" s="67"/>
      <c r="Y158" s="451"/>
      <c r="Z158" s="452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20">
        <v>0</v>
      </c>
      <c r="K159" s="132" t="s">
        <v>644</v>
      </c>
      <c r="L159" s="151">
        <v>0</v>
      </c>
      <c r="M159" s="128">
        <v>0</v>
      </c>
      <c r="N159" s="67">
        <v>0</v>
      </c>
      <c r="O159" s="67">
        <v>0</v>
      </c>
      <c r="P159" s="270" t="e">
        <v>#REF!</v>
      </c>
      <c r="Q159" s="71"/>
      <c r="R159" s="449"/>
      <c r="S159" s="67">
        <v>0</v>
      </c>
      <c r="T159" s="163">
        <v>0</v>
      </c>
      <c r="U159" s="43">
        <v>0</v>
      </c>
      <c r="V159" s="61"/>
      <c r="X159" s="67"/>
      <c r="Y159" s="451"/>
      <c r="Z159" s="452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417.38</v>
      </c>
      <c r="E160" s="67">
        <v>76576</v>
      </c>
      <c r="F160" s="146">
        <v>0</v>
      </c>
      <c r="G160" s="146">
        <v>0</v>
      </c>
      <c r="H160" s="91">
        <v>76576</v>
      </c>
      <c r="I160" s="67">
        <v>0</v>
      </c>
      <c r="J160" s="20">
        <v>76576</v>
      </c>
      <c r="K160" s="132" t="s">
        <v>621</v>
      </c>
      <c r="L160" s="151">
        <v>0</v>
      </c>
      <c r="M160" s="128">
        <v>417.38</v>
      </c>
      <c r="N160" s="67">
        <v>164</v>
      </c>
      <c r="O160" s="67">
        <v>76740</v>
      </c>
      <c r="P160" s="270" t="e">
        <v>#REF!</v>
      </c>
      <c r="Q160" s="71"/>
      <c r="R160" s="449"/>
      <c r="S160" s="67">
        <v>71610</v>
      </c>
      <c r="T160" s="163">
        <v>5130</v>
      </c>
      <c r="U160" s="43">
        <v>7.1638039379974858E-2</v>
      </c>
      <c r="V160" s="61"/>
      <c r="X160" s="67"/>
      <c r="Y160" s="451"/>
      <c r="Z160" s="452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18.25</v>
      </c>
      <c r="E161" s="67">
        <v>3348</v>
      </c>
      <c r="F161" s="146">
        <v>0</v>
      </c>
      <c r="G161" s="146">
        <v>0</v>
      </c>
      <c r="H161" s="91">
        <v>3348</v>
      </c>
      <c r="I161" s="67">
        <v>0</v>
      </c>
      <c r="J161" s="20">
        <v>3348</v>
      </c>
      <c r="K161" s="132" t="s">
        <v>621</v>
      </c>
      <c r="L161" s="151">
        <v>0</v>
      </c>
      <c r="M161" s="128">
        <v>18.25</v>
      </c>
      <c r="N161" s="67">
        <v>7</v>
      </c>
      <c r="O161" s="67">
        <v>3355</v>
      </c>
      <c r="P161" s="270" t="e">
        <v>#REF!</v>
      </c>
      <c r="Q161" s="71"/>
      <c r="R161" s="449"/>
      <c r="S161" s="67">
        <v>0</v>
      </c>
      <c r="T161" s="163">
        <v>3355</v>
      </c>
      <c r="U161" s="43">
        <v>0</v>
      </c>
      <c r="V161" s="61"/>
      <c r="X161" s="67"/>
      <c r="Y161" s="451"/>
      <c r="Z161" s="452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20">
        <v>0</v>
      </c>
      <c r="K162" s="132" t="s">
        <v>644</v>
      </c>
      <c r="L162" s="151">
        <v>0</v>
      </c>
      <c r="M162" s="128">
        <v>0</v>
      </c>
      <c r="N162" s="67">
        <v>0</v>
      </c>
      <c r="O162" s="67">
        <v>0</v>
      </c>
      <c r="P162" s="270" t="e">
        <v>#REF!</v>
      </c>
      <c r="Q162" s="71"/>
      <c r="R162" s="449"/>
      <c r="S162" s="67">
        <v>0</v>
      </c>
      <c r="T162" s="163">
        <v>0</v>
      </c>
      <c r="U162" s="43">
        <v>0</v>
      </c>
      <c r="V162" s="61"/>
      <c r="X162" s="67"/>
      <c r="Y162" s="451"/>
      <c r="Z162" s="452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587.63</v>
      </c>
      <c r="E163" s="67">
        <v>107811</v>
      </c>
      <c r="F163" s="146">
        <v>0</v>
      </c>
      <c r="G163" s="146">
        <v>0</v>
      </c>
      <c r="H163" s="91">
        <v>107811</v>
      </c>
      <c r="I163" s="67">
        <v>0</v>
      </c>
      <c r="J163" s="20">
        <v>107811</v>
      </c>
      <c r="K163" s="132" t="s">
        <v>621</v>
      </c>
      <c r="L163" s="151">
        <v>0</v>
      </c>
      <c r="M163" s="128">
        <v>587.63</v>
      </c>
      <c r="N163" s="67">
        <v>231</v>
      </c>
      <c r="O163" s="67">
        <v>108042</v>
      </c>
      <c r="P163" s="270" t="e">
        <v>#REF!</v>
      </c>
      <c r="Q163" s="71"/>
      <c r="R163" s="449"/>
      <c r="S163" s="67">
        <v>99418</v>
      </c>
      <c r="T163" s="163">
        <v>8624</v>
      </c>
      <c r="U163" s="43">
        <v>8.6744855056428413E-2</v>
      </c>
      <c r="V163" s="61"/>
      <c r="X163" s="67"/>
      <c r="Y163" s="451"/>
      <c r="Z163" s="452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42.38</v>
      </c>
      <c r="E164" s="67">
        <v>7775</v>
      </c>
      <c r="F164" s="146">
        <v>0</v>
      </c>
      <c r="G164" s="146">
        <v>0</v>
      </c>
      <c r="H164" s="91">
        <v>7775</v>
      </c>
      <c r="I164" s="67">
        <v>0</v>
      </c>
      <c r="J164" s="20">
        <v>7775</v>
      </c>
      <c r="K164" s="132" t="s">
        <v>621</v>
      </c>
      <c r="L164" s="151">
        <v>0</v>
      </c>
      <c r="M164" s="128">
        <v>42.38</v>
      </c>
      <c r="N164" s="67">
        <v>17</v>
      </c>
      <c r="O164" s="67">
        <v>7792</v>
      </c>
      <c r="P164" s="270" t="e">
        <v>#REF!</v>
      </c>
      <c r="Q164" s="71"/>
      <c r="R164" s="449"/>
      <c r="S164" s="67">
        <v>0</v>
      </c>
      <c r="T164" s="163">
        <v>7792</v>
      </c>
      <c r="U164" s="43">
        <v>0</v>
      </c>
      <c r="V164" s="61"/>
      <c r="X164" s="67"/>
      <c r="Y164" s="451"/>
      <c r="Z164" s="452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113.38</v>
      </c>
      <c r="E165" s="67">
        <v>20802</v>
      </c>
      <c r="F165" s="146">
        <v>0</v>
      </c>
      <c r="G165" s="146">
        <v>0</v>
      </c>
      <c r="H165" s="91">
        <v>20802</v>
      </c>
      <c r="I165" s="67">
        <v>0</v>
      </c>
      <c r="J165" s="20">
        <v>20802</v>
      </c>
      <c r="K165" s="132" t="s">
        <v>621</v>
      </c>
      <c r="L165" s="151">
        <v>0</v>
      </c>
      <c r="M165" s="128">
        <v>113.38</v>
      </c>
      <c r="N165" s="67">
        <v>44</v>
      </c>
      <c r="O165" s="67">
        <v>20846</v>
      </c>
      <c r="P165" s="270" t="e">
        <v>#REF!</v>
      </c>
      <c r="Q165" s="71"/>
      <c r="R165" s="449"/>
      <c r="S165" s="67">
        <v>40771</v>
      </c>
      <c r="T165" s="163">
        <v>-19925</v>
      </c>
      <c r="U165" s="43">
        <v>-0.48870520713252069</v>
      </c>
      <c r="V165" s="61"/>
      <c r="X165" s="67"/>
      <c r="Y165" s="451"/>
      <c r="Z165" s="452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159</v>
      </c>
      <c r="E166" s="67">
        <v>29171</v>
      </c>
      <c r="F166" s="146">
        <v>0</v>
      </c>
      <c r="G166" s="146">
        <v>0</v>
      </c>
      <c r="H166" s="91">
        <v>29171</v>
      </c>
      <c r="I166" s="67">
        <v>0</v>
      </c>
      <c r="J166" s="20">
        <v>29171</v>
      </c>
      <c r="K166" s="132" t="s">
        <v>621</v>
      </c>
      <c r="L166" s="151">
        <v>0</v>
      </c>
      <c r="M166" s="128">
        <v>159</v>
      </c>
      <c r="N166" s="67">
        <v>62</v>
      </c>
      <c r="O166" s="67">
        <v>29233</v>
      </c>
      <c r="P166" s="270" t="e">
        <v>#REF!</v>
      </c>
      <c r="Q166" s="71"/>
      <c r="R166" s="449"/>
      <c r="S166" s="67">
        <v>26240</v>
      </c>
      <c r="T166" s="163">
        <v>2993</v>
      </c>
      <c r="U166" s="43">
        <v>0.1140625</v>
      </c>
      <c r="V166" s="61"/>
      <c r="X166" s="67"/>
      <c r="Y166" s="451"/>
      <c r="Z166" s="452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20">
        <v>0</v>
      </c>
      <c r="K167" s="132" t="s">
        <v>644</v>
      </c>
      <c r="L167" s="151">
        <v>0</v>
      </c>
      <c r="M167" s="128">
        <v>0</v>
      </c>
      <c r="N167" s="67">
        <v>0</v>
      </c>
      <c r="O167" s="67">
        <v>0</v>
      </c>
      <c r="P167" s="270" t="e">
        <v>#REF!</v>
      </c>
      <c r="Q167" s="71"/>
      <c r="R167" s="449"/>
      <c r="S167" s="67">
        <v>0</v>
      </c>
      <c r="T167" s="163">
        <v>0</v>
      </c>
      <c r="U167" s="43">
        <v>0</v>
      </c>
      <c r="V167" s="61"/>
      <c r="X167" s="67"/>
      <c r="Y167" s="451"/>
      <c r="Z167" s="452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1413.25</v>
      </c>
      <c r="E168" s="67">
        <v>259285</v>
      </c>
      <c r="F168" s="146">
        <v>50000</v>
      </c>
      <c r="G168" s="146">
        <v>0</v>
      </c>
      <c r="H168" s="91">
        <v>309285</v>
      </c>
      <c r="I168" s="67">
        <v>0</v>
      </c>
      <c r="J168" s="20">
        <v>259285</v>
      </c>
      <c r="K168" s="132" t="s">
        <v>621</v>
      </c>
      <c r="L168" s="151">
        <v>0</v>
      </c>
      <c r="M168" s="128">
        <v>1413.25</v>
      </c>
      <c r="N168" s="67">
        <v>555</v>
      </c>
      <c r="O168" s="67">
        <v>259840</v>
      </c>
      <c r="P168" s="270" t="e">
        <v>#REF!</v>
      </c>
      <c r="Q168" s="71"/>
      <c r="R168" s="449"/>
      <c r="S168" s="67">
        <v>243327</v>
      </c>
      <c r="T168" s="163">
        <v>16513</v>
      </c>
      <c r="U168" s="43">
        <v>6.7863410143551683E-2</v>
      </c>
      <c r="V168" s="61"/>
      <c r="X168" s="67"/>
      <c r="Y168" s="451"/>
      <c r="Z168" s="452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2256.13</v>
      </c>
      <c r="E169" s="67">
        <v>413927</v>
      </c>
      <c r="F169" s="146">
        <v>0</v>
      </c>
      <c r="G169" s="146">
        <v>0</v>
      </c>
      <c r="H169" s="91">
        <v>413927</v>
      </c>
      <c r="I169" s="67">
        <v>0</v>
      </c>
      <c r="J169" s="20">
        <v>413927</v>
      </c>
      <c r="K169" s="132" t="s">
        <v>621</v>
      </c>
      <c r="L169" s="151">
        <v>0</v>
      </c>
      <c r="M169" s="128">
        <v>2256.13</v>
      </c>
      <c r="N169" s="67">
        <v>885</v>
      </c>
      <c r="O169" s="67">
        <v>414812</v>
      </c>
      <c r="P169" s="270" t="e">
        <v>#REF!</v>
      </c>
      <c r="Q169" s="71"/>
      <c r="R169" s="449"/>
      <c r="S169" s="67">
        <v>358468</v>
      </c>
      <c r="T169" s="163">
        <v>56344</v>
      </c>
      <c r="U169" s="43">
        <v>0.15717999933048418</v>
      </c>
      <c r="V169" s="61"/>
      <c r="X169" s="67"/>
      <c r="Y169" s="451"/>
      <c r="Z169" s="452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65.5</v>
      </c>
      <c r="E170" s="67">
        <v>12017</v>
      </c>
      <c r="F170" s="146">
        <v>0</v>
      </c>
      <c r="G170" s="146">
        <v>0</v>
      </c>
      <c r="H170" s="91">
        <v>12017</v>
      </c>
      <c r="I170" s="67">
        <v>0</v>
      </c>
      <c r="J170" s="20">
        <v>12017</v>
      </c>
      <c r="K170" s="132" t="s">
        <v>621</v>
      </c>
      <c r="L170" s="151">
        <v>0</v>
      </c>
      <c r="M170" s="128">
        <v>65.5</v>
      </c>
      <c r="N170" s="67">
        <v>26</v>
      </c>
      <c r="O170" s="67">
        <v>12043</v>
      </c>
      <c r="P170" s="270" t="e">
        <v>#REF!</v>
      </c>
      <c r="Q170" s="71"/>
      <c r="R170" s="449"/>
      <c r="S170" s="67">
        <v>10893</v>
      </c>
      <c r="T170" s="163">
        <v>1150</v>
      </c>
      <c r="U170" s="43">
        <v>0.10557238593592215</v>
      </c>
      <c r="V170" s="61"/>
      <c r="X170" s="67"/>
      <c r="Y170" s="451"/>
      <c r="Z170" s="452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0.38</v>
      </c>
      <c r="E171" s="67">
        <v>70</v>
      </c>
      <c r="F171" s="146">
        <v>0</v>
      </c>
      <c r="G171" s="146">
        <v>0</v>
      </c>
      <c r="H171" s="91">
        <v>70</v>
      </c>
      <c r="I171" s="67">
        <v>0</v>
      </c>
      <c r="J171" s="20">
        <v>70</v>
      </c>
      <c r="K171" s="132" t="s">
        <v>621</v>
      </c>
      <c r="L171" s="151">
        <v>0</v>
      </c>
      <c r="M171" s="128">
        <v>0.38</v>
      </c>
      <c r="N171" s="67">
        <v>0</v>
      </c>
      <c r="O171" s="67">
        <v>70</v>
      </c>
      <c r="P171" s="270" t="e">
        <v>#REF!</v>
      </c>
      <c r="Q171" s="71"/>
      <c r="R171" s="449"/>
      <c r="S171" s="67">
        <v>0</v>
      </c>
      <c r="T171" s="163">
        <v>70</v>
      </c>
      <c r="U171" s="43">
        <v>0</v>
      </c>
      <c r="V171" s="61"/>
      <c r="X171" s="67"/>
      <c r="Y171" s="451"/>
      <c r="Z171" s="452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5.88</v>
      </c>
      <c r="E172" s="67">
        <v>1079</v>
      </c>
      <c r="F172" s="146">
        <v>0</v>
      </c>
      <c r="G172" s="146">
        <v>0</v>
      </c>
      <c r="H172" s="91">
        <v>1079</v>
      </c>
      <c r="I172" s="67">
        <v>0</v>
      </c>
      <c r="J172" s="20">
        <v>1079</v>
      </c>
      <c r="K172" s="132" t="s">
        <v>621</v>
      </c>
      <c r="L172" s="151">
        <v>0</v>
      </c>
      <c r="M172" s="128">
        <v>5.88</v>
      </c>
      <c r="N172" s="67">
        <v>2</v>
      </c>
      <c r="O172" s="67">
        <v>1081</v>
      </c>
      <c r="P172" s="270" t="e">
        <v>#REF!</v>
      </c>
      <c r="Q172" s="71"/>
      <c r="R172" s="449"/>
      <c r="S172" s="67">
        <v>0</v>
      </c>
      <c r="T172" s="163">
        <v>1081</v>
      </c>
      <c r="U172" s="43">
        <v>0</v>
      </c>
      <c r="V172" s="61"/>
      <c r="X172" s="67"/>
      <c r="Y172" s="451"/>
      <c r="Z172" s="452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P173" s="270" t="e">
        <v>#REF!</v>
      </c>
      <c r="Q173" s="71"/>
      <c r="R173" s="449"/>
      <c r="S173" s="67">
        <v>0</v>
      </c>
      <c r="T173" s="163">
        <v>0</v>
      </c>
      <c r="U173" s="43">
        <v>0</v>
      </c>
      <c r="V173" s="61"/>
      <c r="X173" s="67"/>
      <c r="Y173" s="451"/>
      <c r="Z173" s="452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146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P174" s="270" t="e">
        <v>#REF!</v>
      </c>
      <c r="Q174" s="71"/>
      <c r="R174" s="449"/>
      <c r="S174" s="67">
        <v>0</v>
      </c>
      <c r="T174" s="163">
        <v>0</v>
      </c>
      <c r="U174" s="43">
        <v>0</v>
      </c>
      <c r="V174" s="61"/>
      <c r="X174" s="67"/>
      <c r="Y174" s="451"/>
      <c r="Z174" s="452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146">
        <v>0</v>
      </c>
      <c r="H175" s="91">
        <v>0</v>
      </c>
      <c r="I175" s="67">
        <v>0</v>
      </c>
      <c r="J175" s="20">
        <v>0</v>
      </c>
      <c r="K175" s="132" t="s">
        <v>644</v>
      </c>
      <c r="L175" s="151">
        <v>0</v>
      </c>
      <c r="M175" s="128">
        <v>0</v>
      </c>
      <c r="N175" s="67">
        <v>0</v>
      </c>
      <c r="O175" s="67">
        <v>0</v>
      </c>
      <c r="P175" s="270" t="e">
        <v>#REF!</v>
      </c>
      <c r="Q175" s="71"/>
      <c r="R175" s="449"/>
      <c r="S175" s="67">
        <v>0</v>
      </c>
      <c r="T175" s="163">
        <v>0</v>
      </c>
      <c r="U175" s="43">
        <v>0</v>
      </c>
      <c r="V175" s="61"/>
      <c r="X175" s="67"/>
      <c r="Y175" s="451"/>
      <c r="Z175" s="452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173</v>
      </c>
      <c r="E176" s="67">
        <v>31740</v>
      </c>
      <c r="F176" s="146">
        <v>0</v>
      </c>
      <c r="G176" s="146">
        <v>3000</v>
      </c>
      <c r="H176" s="91">
        <v>34740</v>
      </c>
      <c r="I176" s="67">
        <v>0</v>
      </c>
      <c r="J176" s="20">
        <v>31740</v>
      </c>
      <c r="K176" s="132" t="s">
        <v>621</v>
      </c>
      <c r="L176" s="151">
        <v>0</v>
      </c>
      <c r="M176" s="128">
        <v>173</v>
      </c>
      <c r="N176" s="67">
        <v>68</v>
      </c>
      <c r="O176" s="67">
        <v>31808</v>
      </c>
      <c r="P176" s="270" t="e">
        <v>#REF!</v>
      </c>
      <c r="Q176" s="71"/>
      <c r="R176" s="449"/>
      <c r="S176" s="67">
        <v>27452</v>
      </c>
      <c r="T176" s="163">
        <v>4356</v>
      </c>
      <c r="U176" s="43">
        <v>0.15867696342707271</v>
      </c>
      <c r="V176" s="61"/>
      <c r="X176" s="67"/>
      <c r="Y176" s="451"/>
      <c r="Z176" s="452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146">
        <v>0</v>
      </c>
      <c r="H177" s="91">
        <v>0</v>
      </c>
      <c r="I177" s="67">
        <v>0</v>
      </c>
      <c r="J177" s="20">
        <v>0</v>
      </c>
      <c r="K177" s="132" t="s">
        <v>644</v>
      </c>
      <c r="L177" s="151">
        <v>0</v>
      </c>
      <c r="M177" s="128">
        <v>0</v>
      </c>
      <c r="N177" s="67">
        <v>0</v>
      </c>
      <c r="O177" s="67">
        <v>0</v>
      </c>
      <c r="P177" s="270" t="e">
        <v>#REF!</v>
      </c>
      <c r="Q177" s="71"/>
      <c r="R177" s="449"/>
      <c r="S177" s="67">
        <v>0</v>
      </c>
      <c r="T177" s="163">
        <v>0</v>
      </c>
      <c r="U177" s="43">
        <v>0</v>
      </c>
      <c r="V177" s="61"/>
      <c r="X177" s="67"/>
      <c r="Y177" s="451"/>
      <c r="Z177" s="452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670.88</v>
      </c>
      <c r="E178" s="67">
        <v>123085</v>
      </c>
      <c r="F178" s="146">
        <v>0</v>
      </c>
      <c r="G178" s="146">
        <v>0</v>
      </c>
      <c r="H178" s="91">
        <v>123085</v>
      </c>
      <c r="I178" s="67">
        <v>0</v>
      </c>
      <c r="J178" s="20">
        <v>123085</v>
      </c>
      <c r="K178" s="132" t="s">
        <v>621</v>
      </c>
      <c r="L178" s="151">
        <v>0</v>
      </c>
      <c r="M178" s="128">
        <v>670.88</v>
      </c>
      <c r="N178" s="67">
        <v>263</v>
      </c>
      <c r="O178" s="67">
        <v>123348</v>
      </c>
      <c r="P178" s="270" t="e">
        <v>#REF!</v>
      </c>
      <c r="Q178" s="71"/>
      <c r="R178" s="449"/>
      <c r="S178" s="67">
        <v>108512</v>
      </c>
      <c r="T178" s="163">
        <v>14836</v>
      </c>
      <c r="U178" s="43">
        <v>0.13672220583898556</v>
      </c>
      <c r="V178" s="61"/>
      <c r="X178" s="67"/>
      <c r="Y178" s="451"/>
      <c r="Z178" s="452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209.75</v>
      </c>
      <c r="E179" s="67">
        <v>38482</v>
      </c>
      <c r="F179" s="146">
        <v>10000</v>
      </c>
      <c r="G179" s="146">
        <v>0</v>
      </c>
      <c r="H179" s="91">
        <v>48482</v>
      </c>
      <c r="I179" s="67">
        <v>0</v>
      </c>
      <c r="J179" s="20">
        <v>38482</v>
      </c>
      <c r="K179" s="132" t="s">
        <v>621</v>
      </c>
      <c r="L179" s="151">
        <v>0</v>
      </c>
      <c r="M179" s="128">
        <v>209.75</v>
      </c>
      <c r="N179" s="67">
        <v>82</v>
      </c>
      <c r="O179" s="67">
        <v>38564</v>
      </c>
      <c r="P179" s="270" t="e">
        <v>#REF!</v>
      </c>
      <c r="Q179" s="71"/>
      <c r="R179" s="449"/>
      <c r="S179" s="67">
        <v>33076</v>
      </c>
      <c r="T179" s="163">
        <v>5488</v>
      </c>
      <c r="U179" s="43">
        <v>0.16592090942072801</v>
      </c>
      <c r="V179" s="61"/>
      <c r="X179" s="67"/>
      <c r="Y179" s="451"/>
      <c r="Z179" s="452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77.25</v>
      </c>
      <c r="E180" s="67">
        <v>14173</v>
      </c>
      <c r="F180" s="146">
        <v>0</v>
      </c>
      <c r="G180" s="146">
        <v>0</v>
      </c>
      <c r="H180" s="91">
        <v>14173</v>
      </c>
      <c r="I180" s="67">
        <v>0</v>
      </c>
      <c r="J180" s="20">
        <v>14173</v>
      </c>
      <c r="K180" s="132" t="s">
        <v>621</v>
      </c>
      <c r="L180" s="151">
        <v>0</v>
      </c>
      <c r="M180" s="128">
        <v>77.25</v>
      </c>
      <c r="N180" s="67">
        <v>30</v>
      </c>
      <c r="O180" s="67">
        <v>14203</v>
      </c>
      <c r="P180" s="270" t="e">
        <v>#REF!</v>
      </c>
      <c r="Q180" s="71"/>
      <c r="R180" s="449"/>
      <c r="S180" s="67">
        <v>10245</v>
      </c>
      <c r="T180" s="163">
        <v>3958</v>
      </c>
      <c r="U180" s="43">
        <v>0.38633479746217669</v>
      </c>
      <c r="V180" s="61"/>
      <c r="X180" s="67"/>
      <c r="Y180" s="451"/>
      <c r="Z180" s="452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20">
        <v>0</v>
      </c>
      <c r="K181" s="132" t="s">
        <v>644</v>
      </c>
      <c r="L181" s="151">
        <v>0</v>
      </c>
      <c r="M181" s="128">
        <v>0</v>
      </c>
      <c r="N181" s="67">
        <v>0</v>
      </c>
      <c r="O181" s="67">
        <v>0</v>
      </c>
      <c r="P181" s="270" t="e">
        <v>#REF!</v>
      </c>
      <c r="Q181" s="71"/>
      <c r="R181" s="449"/>
      <c r="S181" s="67">
        <v>0</v>
      </c>
      <c r="T181" s="163">
        <v>0</v>
      </c>
      <c r="U181" s="43">
        <v>0</v>
      </c>
      <c r="V181" s="61"/>
      <c r="X181" s="67"/>
      <c r="Y181" s="451"/>
      <c r="Z181" s="452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364.25</v>
      </c>
      <c r="E182" s="67">
        <v>66828</v>
      </c>
      <c r="F182" s="146">
        <v>25000</v>
      </c>
      <c r="G182" s="146">
        <v>0</v>
      </c>
      <c r="H182" s="91">
        <v>91828</v>
      </c>
      <c r="I182" s="67">
        <v>0</v>
      </c>
      <c r="J182" s="20">
        <v>66828</v>
      </c>
      <c r="K182" s="132" t="s">
        <v>621</v>
      </c>
      <c r="L182" s="151">
        <v>0</v>
      </c>
      <c r="M182" s="128">
        <v>364.25</v>
      </c>
      <c r="N182" s="67">
        <v>143</v>
      </c>
      <c r="O182" s="67">
        <v>66971</v>
      </c>
      <c r="P182" s="270" t="e">
        <v>#REF!</v>
      </c>
      <c r="Q182" s="71"/>
      <c r="R182" s="449"/>
      <c r="S182" s="67">
        <v>41481</v>
      </c>
      <c r="T182" s="163">
        <v>25490</v>
      </c>
      <c r="U182" s="43">
        <v>0.61449820399701072</v>
      </c>
      <c r="V182" s="61"/>
      <c r="X182" s="67"/>
      <c r="Y182" s="451"/>
      <c r="Z182" s="452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20">
        <v>0</v>
      </c>
      <c r="K183" s="132" t="s">
        <v>644</v>
      </c>
      <c r="L183" s="151">
        <v>0</v>
      </c>
      <c r="M183" s="128">
        <v>0</v>
      </c>
      <c r="N183" s="67">
        <v>0</v>
      </c>
      <c r="O183" s="67">
        <v>0</v>
      </c>
      <c r="P183" s="270" t="e">
        <v>#REF!</v>
      </c>
      <c r="Q183" s="71"/>
      <c r="R183" s="449"/>
      <c r="S183" s="67">
        <v>0</v>
      </c>
      <c r="T183" s="163">
        <v>0</v>
      </c>
      <c r="U183" s="43">
        <v>0</v>
      </c>
      <c r="V183" s="61"/>
      <c r="X183" s="67"/>
      <c r="Y183" s="451"/>
      <c r="Z183" s="452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894.63</v>
      </c>
      <c r="E184" s="67">
        <v>164136</v>
      </c>
      <c r="F184" s="146">
        <v>0</v>
      </c>
      <c r="G184" s="146">
        <v>0</v>
      </c>
      <c r="H184" s="91">
        <v>164136</v>
      </c>
      <c r="I184" s="67">
        <v>0</v>
      </c>
      <c r="J184" s="20">
        <v>164136</v>
      </c>
      <c r="K184" s="132" t="s">
        <v>621</v>
      </c>
      <c r="L184" s="151">
        <v>0</v>
      </c>
      <c r="M184" s="128">
        <v>894.63</v>
      </c>
      <c r="N184" s="67">
        <v>351</v>
      </c>
      <c r="O184" s="67">
        <v>164487</v>
      </c>
      <c r="P184" s="270" t="e">
        <v>#REF!</v>
      </c>
      <c r="Q184" s="71"/>
      <c r="R184" s="449"/>
      <c r="S184" s="67">
        <v>142467</v>
      </c>
      <c r="T184" s="163">
        <v>22020</v>
      </c>
      <c r="U184" s="43">
        <v>0.15456210912000673</v>
      </c>
      <c r="V184" s="61"/>
      <c r="X184" s="67"/>
      <c r="Y184" s="451"/>
      <c r="Z184" s="452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124.88</v>
      </c>
      <c r="E185" s="67">
        <v>22911</v>
      </c>
      <c r="F185" s="146">
        <v>10000</v>
      </c>
      <c r="G185" s="146">
        <v>0</v>
      </c>
      <c r="H185" s="91">
        <v>32911</v>
      </c>
      <c r="I185" s="67">
        <v>0</v>
      </c>
      <c r="J185" s="20">
        <v>22911</v>
      </c>
      <c r="K185" s="132" t="s">
        <v>621</v>
      </c>
      <c r="L185" s="151">
        <v>0</v>
      </c>
      <c r="M185" s="128">
        <v>124.88</v>
      </c>
      <c r="N185" s="67">
        <v>49</v>
      </c>
      <c r="O185" s="67">
        <v>22960</v>
      </c>
      <c r="P185" s="270" t="e">
        <v>#REF!</v>
      </c>
      <c r="Q185" s="71"/>
      <c r="R185" s="449"/>
      <c r="S185" s="67">
        <v>27557</v>
      </c>
      <c r="T185" s="163">
        <v>-4597</v>
      </c>
      <c r="U185" s="43">
        <v>-0.16681786841818774</v>
      </c>
      <c r="V185" s="61"/>
      <c r="X185" s="67"/>
      <c r="Y185" s="451"/>
      <c r="Z185" s="452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146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P186" s="270" t="e">
        <v>#REF!</v>
      </c>
      <c r="Q186" s="71"/>
      <c r="R186" s="449"/>
      <c r="S186" s="67">
        <v>0</v>
      </c>
      <c r="T186" s="163">
        <v>0</v>
      </c>
      <c r="U186" s="43">
        <v>0</v>
      </c>
      <c r="V186" s="61"/>
      <c r="X186" s="67"/>
      <c r="Y186" s="451"/>
      <c r="Z186" s="452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146">
        <v>0</v>
      </c>
      <c r="H187" s="91">
        <v>0</v>
      </c>
      <c r="I187" s="67">
        <v>0</v>
      </c>
      <c r="J187" s="20">
        <v>0</v>
      </c>
      <c r="K187" s="132" t="s">
        <v>644</v>
      </c>
      <c r="L187" s="151">
        <v>0</v>
      </c>
      <c r="M187" s="128">
        <v>0</v>
      </c>
      <c r="N187" s="67">
        <v>0</v>
      </c>
      <c r="O187" s="67">
        <v>0</v>
      </c>
      <c r="P187" s="270" t="e">
        <v>#REF!</v>
      </c>
      <c r="Q187" s="71"/>
      <c r="R187" s="449"/>
      <c r="S187" s="67">
        <v>0</v>
      </c>
      <c r="T187" s="163">
        <v>0</v>
      </c>
      <c r="U187" s="43">
        <v>0</v>
      </c>
      <c r="V187" s="61"/>
      <c r="X187" s="67"/>
      <c r="Y187" s="451"/>
      <c r="Z187" s="452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34.630000000000003</v>
      </c>
      <c r="E188" s="67">
        <v>6353</v>
      </c>
      <c r="F188" s="146">
        <v>0</v>
      </c>
      <c r="G188" s="146">
        <v>0</v>
      </c>
      <c r="H188" s="91">
        <v>6353</v>
      </c>
      <c r="I188" s="67">
        <v>0</v>
      </c>
      <c r="J188" s="20">
        <v>6353</v>
      </c>
      <c r="K188" s="132" t="s">
        <v>621</v>
      </c>
      <c r="L188" s="151">
        <v>0</v>
      </c>
      <c r="M188" s="128">
        <v>34.630000000000003</v>
      </c>
      <c r="N188" s="67">
        <v>14</v>
      </c>
      <c r="O188" s="67">
        <v>6367</v>
      </c>
      <c r="P188" s="270" t="e">
        <v>#REF!</v>
      </c>
      <c r="Q188" s="71"/>
      <c r="R188" s="449"/>
      <c r="S188" s="67">
        <v>5541</v>
      </c>
      <c r="T188" s="163">
        <v>826</v>
      </c>
      <c r="U188" s="43">
        <v>0.14907056487998557</v>
      </c>
      <c r="V188" s="61"/>
      <c r="X188" s="67"/>
      <c r="Y188" s="451"/>
      <c r="Z188" s="452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39.5</v>
      </c>
      <c r="E189" s="67">
        <v>7247</v>
      </c>
      <c r="F189" s="146">
        <v>0</v>
      </c>
      <c r="G189" s="146">
        <v>0</v>
      </c>
      <c r="H189" s="91">
        <v>7247</v>
      </c>
      <c r="I189" s="67">
        <v>0</v>
      </c>
      <c r="J189" s="20">
        <v>7247</v>
      </c>
      <c r="K189" s="132" t="s">
        <v>621</v>
      </c>
      <c r="L189" s="151">
        <v>0</v>
      </c>
      <c r="M189" s="128">
        <v>39.5</v>
      </c>
      <c r="N189" s="67">
        <v>15</v>
      </c>
      <c r="O189" s="67">
        <v>7262</v>
      </c>
      <c r="P189" s="270" t="e">
        <v>#REF!</v>
      </c>
      <c r="Q189" s="71"/>
      <c r="R189" s="449"/>
      <c r="S189" s="67">
        <v>0</v>
      </c>
      <c r="T189" s="163">
        <v>7262</v>
      </c>
      <c r="U189" s="43">
        <v>0</v>
      </c>
      <c r="V189" s="61"/>
      <c r="X189" s="67"/>
      <c r="Y189" s="451"/>
      <c r="Z189" s="452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146">
        <v>0</v>
      </c>
      <c r="H190" s="91">
        <v>0</v>
      </c>
      <c r="I190" s="67">
        <v>0</v>
      </c>
      <c r="J190" s="20">
        <v>0</v>
      </c>
      <c r="K190" s="132" t="s">
        <v>644</v>
      </c>
      <c r="L190" s="151">
        <v>0</v>
      </c>
      <c r="M190" s="128">
        <v>0</v>
      </c>
      <c r="N190" s="67">
        <v>0</v>
      </c>
      <c r="O190" s="67">
        <v>0</v>
      </c>
      <c r="P190" s="270" t="e">
        <v>#REF!</v>
      </c>
      <c r="Q190" s="71"/>
      <c r="R190" s="449"/>
      <c r="S190" s="67">
        <v>0</v>
      </c>
      <c r="T190" s="163">
        <v>0</v>
      </c>
      <c r="U190" s="43">
        <v>0</v>
      </c>
      <c r="V190" s="61"/>
      <c r="X190" s="67"/>
      <c r="Y190" s="451"/>
      <c r="Z190" s="452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76</v>
      </c>
      <c r="E191" s="67">
        <v>13944</v>
      </c>
      <c r="F191" s="146">
        <v>0</v>
      </c>
      <c r="G191" s="146">
        <v>0</v>
      </c>
      <c r="H191" s="91">
        <v>13944</v>
      </c>
      <c r="I191" s="67">
        <v>0</v>
      </c>
      <c r="J191" s="20">
        <v>13944</v>
      </c>
      <c r="K191" s="132" t="s">
        <v>621</v>
      </c>
      <c r="L191" s="151">
        <v>0</v>
      </c>
      <c r="M191" s="128">
        <v>76</v>
      </c>
      <c r="N191" s="67">
        <v>30</v>
      </c>
      <c r="O191" s="67">
        <v>13974</v>
      </c>
      <c r="P191" s="270" t="e">
        <v>#REF!</v>
      </c>
      <c r="Q191" s="71"/>
      <c r="R191" s="449"/>
      <c r="S191" s="67">
        <v>14092</v>
      </c>
      <c r="T191" s="163">
        <v>-118</v>
      </c>
      <c r="U191" s="43">
        <v>-8.373545273914278E-3</v>
      </c>
      <c r="V191" s="61"/>
      <c r="X191" s="67"/>
      <c r="Y191" s="451"/>
      <c r="Z191" s="452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196.75</v>
      </c>
      <c r="E192" s="67">
        <v>36097</v>
      </c>
      <c r="F192" s="146">
        <v>0</v>
      </c>
      <c r="G192" s="146">
        <v>0</v>
      </c>
      <c r="H192" s="91">
        <v>36097</v>
      </c>
      <c r="I192" s="67">
        <v>0</v>
      </c>
      <c r="J192" s="20">
        <v>36097</v>
      </c>
      <c r="K192" s="132" t="s">
        <v>621</v>
      </c>
      <c r="L192" s="151">
        <v>0</v>
      </c>
      <c r="M192" s="128">
        <v>196.75</v>
      </c>
      <c r="N192" s="67">
        <v>77</v>
      </c>
      <c r="O192" s="67">
        <v>36174</v>
      </c>
      <c r="P192" s="270" t="e">
        <v>#REF!</v>
      </c>
      <c r="Q192" s="71"/>
      <c r="R192" s="449"/>
      <c r="S192" s="67">
        <v>26783</v>
      </c>
      <c r="T192" s="163">
        <v>9391</v>
      </c>
      <c r="U192" s="43">
        <v>0.35063286413023187</v>
      </c>
      <c r="V192" s="61"/>
      <c r="X192" s="67"/>
      <c r="Y192" s="451"/>
      <c r="Z192" s="452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78</v>
      </c>
      <c r="E193" s="67">
        <v>14310</v>
      </c>
      <c r="F193" s="146">
        <v>0</v>
      </c>
      <c r="G193" s="146">
        <v>0</v>
      </c>
      <c r="H193" s="91">
        <v>14310</v>
      </c>
      <c r="I193" s="67">
        <v>0</v>
      </c>
      <c r="J193" s="20">
        <v>14310</v>
      </c>
      <c r="K193" s="132" t="s">
        <v>621</v>
      </c>
      <c r="L193" s="151">
        <v>0</v>
      </c>
      <c r="M193" s="128">
        <v>78</v>
      </c>
      <c r="N193" s="67">
        <v>31</v>
      </c>
      <c r="O193" s="67">
        <v>14341</v>
      </c>
      <c r="P193" s="270" t="e">
        <v>#REF!</v>
      </c>
      <c r="Q193" s="71"/>
      <c r="R193" s="449"/>
      <c r="S193" s="67">
        <v>12064</v>
      </c>
      <c r="T193" s="163">
        <v>2277</v>
      </c>
      <c r="U193" s="43">
        <v>0.18874336870026526</v>
      </c>
      <c r="V193" s="61"/>
      <c r="X193" s="67"/>
      <c r="Y193" s="451"/>
      <c r="Z193" s="452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15.63</v>
      </c>
      <c r="E194" s="67">
        <v>2868</v>
      </c>
      <c r="F194" s="146">
        <v>0</v>
      </c>
      <c r="G194" s="146">
        <v>0</v>
      </c>
      <c r="H194" s="91">
        <v>2868</v>
      </c>
      <c r="I194" s="67">
        <v>0</v>
      </c>
      <c r="J194" s="20">
        <v>2868</v>
      </c>
      <c r="K194" s="132" t="s">
        <v>621</v>
      </c>
      <c r="L194" s="151">
        <v>0</v>
      </c>
      <c r="M194" s="128">
        <v>15.63</v>
      </c>
      <c r="N194" s="67">
        <v>6</v>
      </c>
      <c r="O194" s="67">
        <v>2874</v>
      </c>
      <c r="P194" s="270" t="e">
        <v>#REF!</v>
      </c>
      <c r="Q194" s="71"/>
      <c r="R194" s="449"/>
      <c r="S194" s="67">
        <v>0</v>
      </c>
      <c r="T194" s="163">
        <v>2874</v>
      </c>
      <c r="U194" s="43">
        <v>0</v>
      </c>
      <c r="V194" s="61"/>
      <c r="X194" s="67"/>
      <c r="Y194" s="451"/>
      <c r="Z194" s="452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146">
        <v>0</v>
      </c>
      <c r="H195" s="91">
        <v>0</v>
      </c>
      <c r="I195" s="67">
        <v>0</v>
      </c>
      <c r="J195" s="20">
        <v>0</v>
      </c>
      <c r="K195" s="132" t="s">
        <v>644</v>
      </c>
      <c r="L195" s="151">
        <v>0</v>
      </c>
      <c r="M195" s="128">
        <v>0</v>
      </c>
      <c r="N195" s="67">
        <v>0</v>
      </c>
      <c r="O195" s="67">
        <v>0</v>
      </c>
      <c r="P195" s="270" t="e">
        <v>#REF!</v>
      </c>
      <c r="Q195" s="71"/>
      <c r="R195" s="449"/>
      <c r="S195" s="67">
        <v>0</v>
      </c>
      <c r="T195" s="163">
        <v>0</v>
      </c>
      <c r="U195" s="43">
        <v>0</v>
      </c>
      <c r="V195" s="61"/>
      <c r="X195" s="67"/>
      <c r="Y195" s="451"/>
      <c r="Z195" s="452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9.3800000000000008</v>
      </c>
      <c r="E196" s="67">
        <v>1721</v>
      </c>
      <c r="F196" s="146">
        <v>0</v>
      </c>
      <c r="G196" s="146">
        <v>0</v>
      </c>
      <c r="H196" s="91">
        <v>1721</v>
      </c>
      <c r="I196" s="67">
        <v>0</v>
      </c>
      <c r="J196" s="20">
        <v>1721</v>
      </c>
      <c r="K196" s="132" t="s">
        <v>621</v>
      </c>
      <c r="L196" s="151">
        <v>0</v>
      </c>
      <c r="M196" s="128">
        <v>9.3800000000000008</v>
      </c>
      <c r="N196" s="67">
        <v>4</v>
      </c>
      <c r="O196" s="67">
        <v>1725</v>
      </c>
      <c r="P196" s="270" t="e">
        <v>#REF!</v>
      </c>
      <c r="Q196" s="71"/>
      <c r="R196" s="449"/>
      <c r="S196" s="67">
        <v>0</v>
      </c>
      <c r="T196" s="163">
        <v>1725</v>
      </c>
      <c r="U196" s="43">
        <v>0</v>
      </c>
      <c r="V196" s="61"/>
      <c r="X196" s="67"/>
      <c r="Y196" s="451"/>
      <c r="Z196" s="452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146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P197" s="270" t="e">
        <v>#REF!</v>
      </c>
      <c r="Q197" s="71"/>
      <c r="R197" s="449"/>
      <c r="S197" s="67">
        <v>0</v>
      </c>
      <c r="T197" s="163">
        <v>0</v>
      </c>
      <c r="U197" s="43">
        <v>0</v>
      </c>
      <c r="V197" s="61"/>
      <c r="X197" s="67"/>
      <c r="Y197" s="451"/>
      <c r="Z197" s="452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146">
        <v>0</v>
      </c>
      <c r="H198" s="91">
        <v>0</v>
      </c>
      <c r="I198" s="67">
        <v>0</v>
      </c>
      <c r="J198" s="20">
        <v>0</v>
      </c>
      <c r="K198" s="132" t="s">
        <v>644</v>
      </c>
      <c r="L198" s="151">
        <v>0</v>
      </c>
      <c r="M198" s="128">
        <v>0</v>
      </c>
      <c r="N198" s="67">
        <v>0</v>
      </c>
      <c r="O198" s="67">
        <v>0</v>
      </c>
      <c r="P198" s="270" t="e">
        <v>#REF!</v>
      </c>
      <c r="Q198" s="71"/>
      <c r="R198" s="449"/>
      <c r="S198" s="67">
        <v>0</v>
      </c>
      <c r="T198" s="163">
        <v>0</v>
      </c>
      <c r="U198" s="43">
        <v>0</v>
      </c>
      <c r="V198" s="61"/>
      <c r="X198" s="67"/>
      <c r="Y198" s="451"/>
      <c r="Z198" s="452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89</v>
      </c>
      <c r="E199" s="67">
        <v>16329</v>
      </c>
      <c r="F199" s="146">
        <v>0</v>
      </c>
      <c r="G199" s="146">
        <v>0</v>
      </c>
      <c r="H199" s="91">
        <v>16329</v>
      </c>
      <c r="I199" s="67">
        <v>0</v>
      </c>
      <c r="J199" s="20">
        <v>16329</v>
      </c>
      <c r="K199" s="132" t="s">
        <v>621</v>
      </c>
      <c r="L199" s="151">
        <v>0</v>
      </c>
      <c r="M199" s="128">
        <v>89</v>
      </c>
      <c r="N199" s="67">
        <v>35</v>
      </c>
      <c r="O199" s="67">
        <v>16364</v>
      </c>
      <c r="P199" s="270" t="e">
        <v>#REF!</v>
      </c>
      <c r="Q199" s="71"/>
      <c r="R199" s="449"/>
      <c r="S199" s="67">
        <v>14050</v>
      </c>
      <c r="T199" s="163">
        <v>2314</v>
      </c>
      <c r="U199" s="43">
        <v>0.16469750889679716</v>
      </c>
      <c r="V199" s="61"/>
      <c r="X199" s="67"/>
      <c r="Y199" s="451"/>
      <c r="Z199" s="452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73.88</v>
      </c>
      <c r="E200" s="67">
        <v>13555</v>
      </c>
      <c r="F200" s="146">
        <v>0</v>
      </c>
      <c r="G200" s="146">
        <v>0</v>
      </c>
      <c r="H200" s="91">
        <v>13555</v>
      </c>
      <c r="I200" s="67">
        <v>0</v>
      </c>
      <c r="J200" s="20">
        <v>13555</v>
      </c>
      <c r="K200" s="132" t="s">
        <v>621</v>
      </c>
      <c r="L200" s="151">
        <v>0</v>
      </c>
      <c r="M200" s="128">
        <v>73.88</v>
      </c>
      <c r="N200" s="67">
        <v>29</v>
      </c>
      <c r="O200" s="67">
        <v>13584</v>
      </c>
      <c r="P200" s="270" t="e">
        <v>#REF!</v>
      </c>
      <c r="Q200" s="71"/>
      <c r="R200" s="449"/>
      <c r="S200" s="67">
        <v>14113</v>
      </c>
      <c r="T200" s="163">
        <v>-529</v>
      </c>
      <c r="U200" s="43">
        <v>-3.7483171543966555E-2</v>
      </c>
      <c r="V200" s="61"/>
      <c r="X200" s="67"/>
      <c r="Y200" s="451"/>
      <c r="Z200" s="452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27.13</v>
      </c>
      <c r="E201" s="67">
        <v>4977</v>
      </c>
      <c r="F201" s="146">
        <v>0</v>
      </c>
      <c r="G201" s="146">
        <v>0</v>
      </c>
      <c r="H201" s="91">
        <v>4977</v>
      </c>
      <c r="I201" s="67">
        <v>0</v>
      </c>
      <c r="J201" s="20">
        <v>4977</v>
      </c>
      <c r="K201" s="132" t="s">
        <v>621</v>
      </c>
      <c r="L201" s="151">
        <v>0</v>
      </c>
      <c r="M201" s="128">
        <v>27.13</v>
      </c>
      <c r="N201" s="67">
        <v>11</v>
      </c>
      <c r="O201" s="67">
        <v>4988</v>
      </c>
      <c r="P201" s="270" t="e">
        <v>#REF!</v>
      </c>
      <c r="Q201" s="71"/>
      <c r="R201" s="449"/>
      <c r="S201" s="67">
        <v>0</v>
      </c>
      <c r="T201" s="163">
        <v>4988</v>
      </c>
      <c r="U201" s="43">
        <v>0</v>
      </c>
      <c r="V201" s="61"/>
      <c r="X201" s="67"/>
      <c r="Y201" s="451"/>
      <c r="Z201" s="452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1310.75</v>
      </c>
      <c r="E202" s="67">
        <v>240480</v>
      </c>
      <c r="F202" s="146">
        <v>0</v>
      </c>
      <c r="G202" s="146">
        <v>0</v>
      </c>
      <c r="H202" s="91">
        <v>240480</v>
      </c>
      <c r="I202" s="67">
        <v>0</v>
      </c>
      <c r="J202" s="20">
        <v>240480</v>
      </c>
      <c r="K202" s="132" t="s">
        <v>621</v>
      </c>
      <c r="L202" s="151">
        <v>0</v>
      </c>
      <c r="M202" s="128">
        <v>1310.75</v>
      </c>
      <c r="N202" s="67">
        <v>514</v>
      </c>
      <c r="O202" s="67">
        <v>240994</v>
      </c>
      <c r="P202" s="270" t="e">
        <v>#REF!</v>
      </c>
      <c r="Q202" s="71"/>
      <c r="R202" s="449"/>
      <c r="S202" s="67">
        <v>216712</v>
      </c>
      <c r="T202" s="163">
        <v>24282</v>
      </c>
      <c r="U202" s="43">
        <v>0.11204732548266824</v>
      </c>
      <c r="V202" s="61"/>
      <c r="X202" s="67"/>
      <c r="Y202" s="451"/>
      <c r="Z202" s="452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19.5</v>
      </c>
      <c r="E203" s="67">
        <v>3578</v>
      </c>
      <c r="F203" s="146">
        <v>0</v>
      </c>
      <c r="G203" s="146">
        <v>0</v>
      </c>
      <c r="H203" s="91">
        <v>3578</v>
      </c>
      <c r="I203" s="67">
        <v>0</v>
      </c>
      <c r="J203" s="20">
        <v>3578</v>
      </c>
      <c r="K203" s="132" t="s">
        <v>621</v>
      </c>
      <c r="L203" s="151">
        <v>0</v>
      </c>
      <c r="M203" s="128">
        <v>19.5</v>
      </c>
      <c r="N203" s="67">
        <v>8</v>
      </c>
      <c r="O203" s="67">
        <v>3586</v>
      </c>
      <c r="P203" s="270" t="e">
        <v>#REF!</v>
      </c>
      <c r="Q203" s="71"/>
      <c r="R203" s="449"/>
      <c r="S203" s="67">
        <v>0</v>
      </c>
      <c r="T203" s="163">
        <v>3586</v>
      </c>
      <c r="U203" s="43">
        <v>0</v>
      </c>
      <c r="V203" s="61"/>
      <c r="X203" s="67"/>
      <c r="Y203" s="451"/>
      <c r="Z203" s="452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146">
        <v>0</v>
      </c>
      <c r="H204" s="91">
        <v>0</v>
      </c>
      <c r="I204" s="67">
        <v>0</v>
      </c>
      <c r="J204" s="20">
        <v>0</v>
      </c>
      <c r="K204" s="132" t="s">
        <v>644</v>
      </c>
      <c r="L204" s="151">
        <v>0</v>
      </c>
      <c r="M204" s="128">
        <v>0</v>
      </c>
      <c r="N204" s="67">
        <v>0</v>
      </c>
      <c r="O204" s="67">
        <v>0</v>
      </c>
      <c r="P204" s="270" t="e">
        <v>#REF!</v>
      </c>
      <c r="Q204" s="71"/>
      <c r="R204" s="449"/>
      <c r="S204" s="67">
        <v>0</v>
      </c>
      <c r="T204" s="163">
        <v>0</v>
      </c>
      <c r="U204" s="43">
        <v>0</v>
      </c>
      <c r="V204" s="61"/>
      <c r="X204" s="67"/>
      <c r="Y204" s="451"/>
      <c r="Z204" s="452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4789.13</v>
      </c>
      <c r="E205" s="67">
        <v>878650</v>
      </c>
      <c r="F205" s="146">
        <v>0</v>
      </c>
      <c r="G205" s="146">
        <v>0</v>
      </c>
      <c r="H205" s="91">
        <v>878650</v>
      </c>
      <c r="I205" s="67">
        <v>0</v>
      </c>
      <c r="J205" s="20">
        <v>878650</v>
      </c>
      <c r="K205" s="132" t="s">
        <v>621</v>
      </c>
      <c r="L205" s="151">
        <v>0</v>
      </c>
      <c r="M205" s="128">
        <v>4789.13</v>
      </c>
      <c r="N205" s="67">
        <v>1879</v>
      </c>
      <c r="O205" s="67">
        <v>880529</v>
      </c>
      <c r="P205" s="270" t="e">
        <v>#REF!</v>
      </c>
      <c r="Q205" s="71"/>
      <c r="R205" s="449"/>
      <c r="S205" s="67">
        <v>780536</v>
      </c>
      <c r="T205" s="163">
        <v>99993</v>
      </c>
      <c r="U205" s="43">
        <v>0.12810812057355458</v>
      </c>
      <c r="V205" s="61"/>
      <c r="X205" s="67"/>
      <c r="Y205" s="451"/>
      <c r="Z205" s="452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30.63</v>
      </c>
      <c r="E206" s="67">
        <v>5620</v>
      </c>
      <c r="F206" s="146">
        <v>0</v>
      </c>
      <c r="G206" s="146">
        <v>0</v>
      </c>
      <c r="H206" s="91">
        <v>5620</v>
      </c>
      <c r="I206" s="67">
        <v>0</v>
      </c>
      <c r="J206" s="20">
        <v>5620</v>
      </c>
      <c r="K206" s="132" t="s">
        <v>621</v>
      </c>
      <c r="L206" s="151">
        <v>0</v>
      </c>
      <c r="M206" s="128">
        <v>30.63</v>
      </c>
      <c r="N206" s="67">
        <v>12</v>
      </c>
      <c r="O206" s="67">
        <v>5632</v>
      </c>
      <c r="P206" s="270" t="e">
        <v>#REF!</v>
      </c>
      <c r="Q206" s="71"/>
      <c r="R206" s="449"/>
      <c r="S206" s="67">
        <v>6294</v>
      </c>
      <c r="T206" s="163">
        <v>-662</v>
      </c>
      <c r="U206" s="43">
        <v>-0.10517953606609469</v>
      </c>
      <c r="V206" s="61"/>
      <c r="X206" s="67"/>
      <c r="Y206" s="451"/>
      <c r="Z206" s="452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33</v>
      </c>
      <c r="E207" s="67">
        <v>6054</v>
      </c>
      <c r="F207" s="146">
        <v>0</v>
      </c>
      <c r="G207" s="146">
        <v>0</v>
      </c>
      <c r="H207" s="91">
        <v>6054</v>
      </c>
      <c r="I207" s="67">
        <v>0</v>
      </c>
      <c r="J207" s="20">
        <v>6054</v>
      </c>
      <c r="K207" s="132" t="s">
        <v>621</v>
      </c>
      <c r="L207" s="151">
        <v>0</v>
      </c>
      <c r="M207" s="128">
        <v>33</v>
      </c>
      <c r="N207" s="67">
        <v>13</v>
      </c>
      <c r="O207" s="67">
        <v>6067</v>
      </c>
      <c r="P207" s="270" t="e">
        <v>#REF!</v>
      </c>
      <c r="Q207" s="71"/>
      <c r="R207" s="449"/>
      <c r="S207" s="67">
        <v>4997</v>
      </c>
      <c r="T207" s="163">
        <v>1070</v>
      </c>
      <c r="U207" s="43">
        <v>0.21412847708625174</v>
      </c>
      <c r="V207" s="61"/>
      <c r="X207" s="67"/>
      <c r="Y207" s="451"/>
      <c r="Z207" s="452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20">
        <v>0</v>
      </c>
      <c r="K208" s="132" t="s">
        <v>644</v>
      </c>
      <c r="L208" s="151">
        <v>0</v>
      </c>
      <c r="M208" s="128">
        <v>0</v>
      </c>
      <c r="N208" s="67">
        <v>0</v>
      </c>
      <c r="O208" s="67">
        <v>0</v>
      </c>
      <c r="P208" s="270" t="e">
        <v>#REF!</v>
      </c>
      <c r="Q208" s="71"/>
      <c r="R208" s="449"/>
      <c r="S208" s="67">
        <v>0</v>
      </c>
      <c r="T208" s="163">
        <v>0</v>
      </c>
      <c r="U208" s="43">
        <v>0</v>
      </c>
      <c r="V208" s="61"/>
      <c r="X208" s="67"/>
      <c r="Y208" s="451"/>
      <c r="Z208" s="452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64.63</v>
      </c>
      <c r="E209" s="67">
        <v>11858</v>
      </c>
      <c r="F209" s="146">
        <v>0</v>
      </c>
      <c r="G209" s="146">
        <v>0</v>
      </c>
      <c r="H209" s="91">
        <v>11858</v>
      </c>
      <c r="I209" s="67">
        <v>0</v>
      </c>
      <c r="J209" s="20">
        <v>11858</v>
      </c>
      <c r="K209" s="132" t="s">
        <v>621</v>
      </c>
      <c r="L209" s="151">
        <v>0</v>
      </c>
      <c r="M209" s="128">
        <v>64.63</v>
      </c>
      <c r="N209" s="67">
        <v>25</v>
      </c>
      <c r="O209" s="67">
        <v>11883</v>
      </c>
      <c r="P209" s="270" t="e">
        <v>#REF!</v>
      </c>
      <c r="Q209" s="71"/>
      <c r="R209" s="449"/>
      <c r="S209" s="67">
        <v>9952</v>
      </c>
      <c r="T209" s="163">
        <v>1931</v>
      </c>
      <c r="U209" s="43">
        <v>0.19403135048231512</v>
      </c>
      <c r="V209" s="61"/>
      <c r="X209" s="67"/>
      <c r="Y209" s="451"/>
      <c r="Z209" s="452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146">
        <v>0</v>
      </c>
      <c r="H210" s="91">
        <v>0</v>
      </c>
      <c r="I210" s="67">
        <v>0</v>
      </c>
      <c r="J210" s="20">
        <v>0</v>
      </c>
      <c r="K210" s="132" t="s">
        <v>644</v>
      </c>
      <c r="L210" s="151">
        <v>0</v>
      </c>
      <c r="M210" s="128">
        <v>0</v>
      </c>
      <c r="N210" s="67">
        <v>0</v>
      </c>
      <c r="O210" s="67">
        <v>0</v>
      </c>
      <c r="P210" s="270" t="e">
        <v>#REF!</v>
      </c>
      <c r="Q210" s="71"/>
      <c r="R210" s="449"/>
      <c r="S210" s="67">
        <v>0</v>
      </c>
      <c r="T210" s="163">
        <v>0</v>
      </c>
      <c r="U210" s="43">
        <v>0</v>
      </c>
      <c r="V210" s="61"/>
      <c r="X210" s="67"/>
      <c r="Y210" s="451"/>
      <c r="Z210" s="452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4.38</v>
      </c>
      <c r="E211" s="67">
        <v>804</v>
      </c>
      <c r="F211" s="146">
        <v>0</v>
      </c>
      <c r="G211" s="146">
        <v>0</v>
      </c>
      <c r="H211" s="91">
        <v>804</v>
      </c>
      <c r="I211" s="67">
        <v>0</v>
      </c>
      <c r="J211" s="20">
        <v>804</v>
      </c>
      <c r="K211" s="132" t="s">
        <v>644</v>
      </c>
      <c r="L211" s="151">
        <v>804</v>
      </c>
      <c r="M211" s="128">
        <v>0</v>
      </c>
      <c r="N211" s="67">
        <v>0</v>
      </c>
      <c r="O211" s="67">
        <v>0</v>
      </c>
      <c r="P211" s="270" t="e">
        <v>#REF!</v>
      </c>
      <c r="Q211" s="71"/>
      <c r="R211" s="449"/>
      <c r="S211" s="67">
        <v>0</v>
      </c>
      <c r="T211" s="163">
        <v>0</v>
      </c>
      <c r="U211" s="43">
        <v>0</v>
      </c>
      <c r="V211" s="61"/>
      <c r="X211" s="67"/>
      <c r="Y211" s="451"/>
      <c r="Z211" s="452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49.25</v>
      </c>
      <c r="E212" s="67">
        <v>9036</v>
      </c>
      <c r="F212" s="146">
        <v>0</v>
      </c>
      <c r="G212" s="146">
        <v>0</v>
      </c>
      <c r="H212" s="91">
        <v>9036</v>
      </c>
      <c r="I212" s="67">
        <v>0</v>
      </c>
      <c r="J212" s="20">
        <v>9036</v>
      </c>
      <c r="K212" s="132" t="s">
        <v>621</v>
      </c>
      <c r="L212" s="151">
        <v>0</v>
      </c>
      <c r="M212" s="128">
        <v>49.25</v>
      </c>
      <c r="N212" s="67">
        <v>19</v>
      </c>
      <c r="O212" s="67">
        <v>9055</v>
      </c>
      <c r="P212" s="270" t="e">
        <v>#REF!</v>
      </c>
      <c r="Q212" s="71"/>
      <c r="R212" s="449"/>
      <c r="S212" s="67">
        <v>0</v>
      </c>
      <c r="T212" s="163">
        <v>9055</v>
      </c>
      <c r="U212" s="43">
        <v>0</v>
      </c>
      <c r="V212" s="61"/>
      <c r="X212" s="67"/>
      <c r="Y212" s="451"/>
      <c r="Z212" s="452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16.38</v>
      </c>
      <c r="E213" s="67">
        <v>3005</v>
      </c>
      <c r="F213" s="146">
        <v>0</v>
      </c>
      <c r="G213" s="146">
        <v>0</v>
      </c>
      <c r="H213" s="91">
        <v>3005</v>
      </c>
      <c r="I213" s="67">
        <v>0</v>
      </c>
      <c r="J213" s="20">
        <v>3005</v>
      </c>
      <c r="K213" s="132" t="s">
        <v>621</v>
      </c>
      <c r="L213" s="151">
        <v>0</v>
      </c>
      <c r="M213" s="128">
        <v>16.38</v>
      </c>
      <c r="N213" s="67">
        <v>6</v>
      </c>
      <c r="O213" s="67">
        <v>3011</v>
      </c>
      <c r="P213" s="270" t="e">
        <v>#REF!</v>
      </c>
      <c r="Q213" s="71"/>
      <c r="R213" s="449"/>
      <c r="S213" s="67">
        <v>0</v>
      </c>
      <c r="T213" s="163">
        <v>3011</v>
      </c>
      <c r="U213" s="43">
        <v>0</v>
      </c>
      <c r="V213" s="61"/>
      <c r="X213" s="67"/>
      <c r="Y213" s="451"/>
      <c r="Z213" s="452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72.88</v>
      </c>
      <c r="E214" s="67">
        <v>13371</v>
      </c>
      <c r="F214" s="146">
        <v>10000</v>
      </c>
      <c r="G214" s="146">
        <v>0</v>
      </c>
      <c r="H214" s="91">
        <v>23371</v>
      </c>
      <c r="I214" s="67">
        <v>0</v>
      </c>
      <c r="J214" s="20">
        <v>13371</v>
      </c>
      <c r="K214" s="132" t="s">
        <v>621</v>
      </c>
      <c r="L214" s="151">
        <v>0</v>
      </c>
      <c r="M214" s="128">
        <v>72.88</v>
      </c>
      <c r="N214" s="67">
        <v>29</v>
      </c>
      <c r="O214" s="67">
        <v>13400</v>
      </c>
      <c r="P214" s="270" t="e">
        <v>#REF!</v>
      </c>
      <c r="Q214" s="71"/>
      <c r="R214" s="449"/>
      <c r="S214" s="67">
        <v>14636</v>
      </c>
      <c r="T214" s="163">
        <v>-1236</v>
      </c>
      <c r="U214" s="43">
        <v>-8.4449303088275487E-2</v>
      </c>
      <c r="V214" s="61"/>
      <c r="X214" s="67"/>
      <c r="Y214" s="451"/>
      <c r="Z214" s="452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525.25</v>
      </c>
      <c r="E215" s="67">
        <v>96366</v>
      </c>
      <c r="F215" s="146">
        <v>0</v>
      </c>
      <c r="G215" s="146">
        <v>0</v>
      </c>
      <c r="H215" s="91">
        <v>96366</v>
      </c>
      <c r="I215" s="67">
        <v>0</v>
      </c>
      <c r="J215" s="20">
        <v>96366</v>
      </c>
      <c r="K215" s="132" t="s">
        <v>621</v>
      </c>
      <c r="L215" s="151">
        <v>0</v>
      </c>
      <c r="M215" s="128">
        <v>525.25</v>
      </c>
      <c r="N215" s="67">
        <v>206</v>
      </c>
      <c r="O215" s="67">
        <v>96572</v>
      </c>
      <c r="P215" s="270" t="e">
        <v>#REF!</v>
      </c>
      <c r="Q215" s="71"/>
      <c r="R215" s="449"/>
      <c r="S215" s="67">
        <v>89862</v>
      </c>
      <c r="T215" s="163">
        <v>6710</v>
      </c>
      <c r="U215" s="43">
        <v>7.4670049631657437E-2</v>
      </c>
      <c r="V215" s="61"/>
      <c r="X215" s="67"/>
      <c r="Y215" s="451"/>
      <c r="Z215" s="452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146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 t="e">
        <v>#N/A</v>
      </c>
      <c r="Q216" s="71"/>
      <c r="R216" s="449"/>
      <c r="S216" s="67">
        <v>0</v>
      </c>
      <c r="T216" s="163">
        <v>0</v>
      </c>
      <c r="U216" s="43">
        <v>0</v>
      </c>
      <c r="V216" s="61"/>
      <c r="X216" s="67"/>
      <c r="Y216" s="451"/>
      <c r="Z216" s="452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67.5</v>
      </c>
      <c r="E217" s="67">
        <v>12384</v>
      </c>
      <c r="F217" s="146">
        <v>25000</v>
      </c>
      <c r="G217" s="146">
        <v>0</v>
      </c>
      <c r="H217" s="91">
        <v>37384</v>
      </c>
      <c r="I217" s="67">
        <v>0</v>
      </c>
      <c r="J217" s="20">
        <v>12384</v>
      </c>
      <c r="K217" s="132" t="s">
        <v>621</v>
      </c>
      <c r="L217" s="151">
        <v>0</v>
      </c>
      <c r="M217" s="128">
        <v>67.5</v>
      </c>
      <c r="N217" s="67">
        <v>26</v>
      </c>
      <c r="O217" s="67">
        <v>12410</v>
      </c>
      <c r="P217" s="270" t="e">
        <v>#REF!</v>
      </c>
      <c r="Q217" s="71"/>
      <c r="R217" s="449"/>
      <c r="S217" s="67">
        <v>10350</v>
      </c>
      <c r="T217" s="163">
        <v>2060</v>
      </c>
      <c r="U217" s="43">
        <v>0.19903381642512077</v>
      </c>
      <c r="V217" s="61"/>
      <c r="X217" s="67"/>
      <c r="Y217" s="451"/>
      <c r="Z217" s="452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577.5</v>
      </c>
      <c r="E218" s="67">
        <v>105952</v>
      </c>
      <c r="F218" s="146">
        <v>25000</v>
      </c>
      <c r="G218" s="146">
        <v>0</v>
      </c>
      <c r="H218" s="91">
        <v>130952</v>
      </c>
      <c r="I218" s="67">
        <v>0</v>
      </c>
      <c r="J218" s="20">
        <v>105952</v>
      </c>
      <c r="K218" s="132" t="s">
        <v>621</v>
      </c>
      <c r="L218" s="151">
        <v>0</v>
      </c>
      <c r="M218" s="128">
        <v>577.5</v>
      </c>
      <c r="N218" s="67">
        <v>227</v>
      </c>
      <c r="O218" s="67">
        <v>106179</v>
      </c>
      <c r="P218" s="270" t="e">
        <v>#REF!</v>
      </c>
      <c r="Q218" s="71"/>
      <c r="R218" s="449"/>
      <c r="S218" s="67">
        <v>82189</v>
      </c>
      <c r="T218" s="163">
        <v>23990</v>
      </c>
      <c r="U218" s="43">
        <v>0.29188820888440059</v>
      </c>
      <c r="V218" s="61"/>
      <c r="X218" s="67"/>
      <c r="Y218" s="451"/>
      <c r="Z218" s="452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P219" s="270" t="e">
        <v>#REF!</v>
      </c>
      <c r="Q219" s="71"/>
      <c r="R219" s="449"/>
      <c r="S219" s="67">
        <v>0</v>
      </c>
      <c r="T219" s="163">
        <v>0</v>
      </c>
      <c r="U219" s="43">
        <v>0</v>
      </c>
      <c r="V219" s="61"/>
      <c r="X219" s="67"/>
      <c r="Y219" s="451"/>
      <c r="Z219" s="452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146">
        <v>0</v>
      </c>
      <c r="H220" s="91">
        <v>0</v>
      </c>
      <c r="I220" s="67">
        <v>0</v>
      </c>
      <c r="J220" s="20">
        <v>0</v>
      </c>
      <c r="K220" s="132" t="s">
        <v>644</v>
      </c>
      <c r="L220" s="151">
        <v>0</v>
      </c>
      <c r="M220" s="128">
        <v>0</v>
      </c>
      <c r="N220" s="67">
        <v>0</v>
      </c>
      <c r="O220" s="67">
        <v>0</v>
      </c>
      <c r="P220" s="270" t="e">
        <v>#REF!</v>
      </c>
      <c r="Q220" s="71"/>
      <c r="R220" s="449"/>
      <c r="S220" s="67">
        <v>0</v>
      </c>
      <c r="T220" s="163">
        <v>0</v>
      </c>
      <c r="U220" s="43">
        <v>0</v>
      </c>
      <c r="V220" s="61"/>
      <c r="X220" s="67"/>
      <c r="Y220" s="451"/>
      <c r="Z220" s="452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108.5</v>
      </c>
      <c r="E221" s="67">
        <v>19906</v>
      </c>
      <c r="F221" s="146">
        <v>0</v>
      </c>
      <c r="G221" s="146">
        <v>0</v>
      </c>
      <c r="H221" s="91">
        <v>19906</v>
      </c>
      <c r="I221" s="67">
        <v>0</v>
      </c>
      <c r="J221" s="20">
        <v>19906</v>
      </c>
      <c r="K221" s="132" t="s">
        <v>621</v>
      </c>
      <c r="L221" s="151">
        <v>0</v>
      </c>
      <c r="M221" s="128">
        <v>108.5</v>
      </c>
      <c r="N221" s="67">
        <v>43</v>
      </c>
      <c r="O221" s="67">
        <v>19949</v>
      </c>
      <c r="P221" s="270" t="e">
        <v>#REF!</v>
      </c>
      <c r="Q221" s="71"/>
      <c r="R221" s="449"/>
      <c r="S221" s="67">
        <v>20970</v>
      </c>
      <c r="T221" s="163">
        <v>-1021</v>
      </c>
      <c r="U221" s="43">
        <v>-4.8688602765855987E-2</v>
      </c>
      <c r="V221" s="61"/>
      <c r="X221" s="67"/>
      <c r="Y221" s="451"/>
      <c r="Z221" s="452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39.130000000000003</v>
      </c>
      <c r="E222" s="67">
        <v>7179</v>
      </c>
      <c r="F222" s="146">
        <v>0</v>
      </c>
      <c r="G222" s="146">
        <v>0</v>
      </c>
      <c r="H222" s="91">
        <v>7179</v>
      </c>
      <c r="I222" s="67">
        <v>0</v>
      </c>
      <c r="J222" s="20">
        <v>7179</v>
      </c>
      <c r="K222" s="132" t="s">
        <v>621</v>
      </c>
      <c r="L222" s="151">
        <v>0</v>
      </c>
      <c r="M222" s="128">
        <v>39.130000000000003</v>
      </c>
      <c r="N222" s="67">
        <v>15</v>
      </c>
      <c r="O222" s="67">
        <v>7194</v>
      </c>
      <c r="P222" s="270" t="e">
        <v>#REF!</v>
      </c>
      <c r="Q222" s="71"/>
      <c r="R222" s="449"/>
      <c r="S222" s="67">
        <v>8635</v>
      </c>
      <c r="T222" s="163">
        <v>-1441</v>
      </c>
      <c r="U222" s="43">
        <v>-0.16687898089171974</v>
      </c>
      <c r="V222" s="61"/>
      <c r="X222" s="67"/>
      <c r="Y222" s="451"/>
      <c r="Z222" s="452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835.88</v>
      </c>
      <c r="E223" s="67">
        <v>153357</v>
      </c>
      <c r="F223" s="146">
        <v>25000</v>
      </c>
      <c r="G223" s="146">
        <v>0</v>
      </c>
      <c r="H223" s="91">
        <v>178357</v>
      </c>
      <c r="I223" s="67">
        <v>0</v>
      </c>
      <c r="J223" s="20">
        <v>153357</v>
      </c>
      <c r="K223" s="132" t="s">
        <v>621</v>
      </c>
      <c r="L223" s="151">
        <v>0</v>
      </c>
      <c r="M223" s="128">
        <v>835.88</v>
      </c>
      <c r="N223" s="67">
        <v>328</v>
      </c>
      <c r="O223" s="67">
        <v>153685</v>
      </c>
      <c r="P223" s="270" t="e">
        <v>#REF!</v>
      </c>
      <c r="Q223" s="71"/>
      <c r="R223" s="449"/>
      <c r="S223" s="67">
        <v>140983</v>
      </c>
      <c r="T223" s="163">
        <v>12702</v>
      </c>
      <c r="U223" s="43">
        <v>9.0095969017541119E-2</v>
      </c>
      <c r="V223" s="61"/>
      <c r="X223" s="67"/>
      <c r="Y223" s="451"/>
      <c r="Z223" s="452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20">
        <v>0</v>
      </c>
      <c r="K224" s="132" t="s">
        <v>644</v>
      </c>
      <c r="L224" s="151">
        <v>0</v>
      </c>
      <c r="M224" s="128">
        <v>0</v>
      </c>
      <c r="N224" s="67">
        <v>0</v>
      </c>
      <c r="O224" s="67">
        <v>0</v>
      </c>
      <c r="P224" s="270" t="e">
        <v>#REF!</v>
      </c>
      <c r="Q224" s="71"/>
      <c r="R224" s="449"/>
      <c r="S224" s="67">
        <v>0</v>
      </c>
      <c r="T224" s="163">
        <v>0</v>
      </c>
      <c r="U224" s="43">
        <v>0</v>
      </c>
      <c r="V224" s="61"/>
      <c r="X224" s="67"/>
      <c r="Y224" s="451"/>
      <c r="Z224" s="452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64.88</v>
      </c>
      <c r="E225" s="67">
        <v>11903</v>
      </c>
      <c r="F225" s="146">
        <v>0</v>
      </c>
      <c r="G225" s="146">
        <v>0</v>
      </c>
      <c r="H225" s="91">
        <v>11903</v>
      </c>
      <c r="I225" s="67">
        <v>0</v>
      </c>
      <c r="J225" s="20">
        <v>11903</v>
      </c>
      <c r="K225" s="132" t="s">
        <v>621</v>
      </c>
      <c r="L225" s="151">
        <v>0</v>
      </c>
      <c r="M225" s="128">
        <v>64.88</v>
      </c>
      <c r="N225" s="67">
        <v>25</v>
      </c>
      <c r="O225" s="67">
        <v>11928</v>
      </c>
      <c r="P225" s="270" t="e">
        <v>#REF!</v>
      </c>
      <c r="Q225" s="71"/>
      <c r="R225" s="449"/>
      <c r="S225" s="67">
        <v>9262</v>
      </c>
      <c r="T225" s="163">
        <v>2666</v>
      </c>
      <c r="U225" s="43">
        <v>0.28784279853163464</v>
      </c>
      <c r="V225" s="61"/>
      <c r="X225" s="67"/>
      <c r="Y225" s="451"/>
      <c r="Z225" s="452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146">
        <v>0</v>
      </c>
      <c r="H226" s="91">
        <v>0</v>
      </c>
      <c r="I226" s="67">
        <v>0</v>
      </c>
      <c r="J226" s="20">
        <v>0</v>
      </c>
      <c r="K226" s="132" t="s">
        <v>644</v>
      </c>
      <c r="L226" s="151">
        <v>0</v>
      </c>
      <c r="M226" s="128">
        <v>0</v>
      </c>
      <c r="N226" s="67">
        <v>0</v>
      </c>
      <c r="O226" s="67">
        <v>0</v>
      </c>
      <c r="P226" s="270" t="e">
        <v>#REF!</v>
      </c>
      <c r="Q226" s="71"/>
      <c r="R226" s="449"/>
      <c r="S226" s="67">
        <v>0</v>
      </c>
      <c r="T226" s="163">
        <v>0</v>
      </c>
      <c r="U226" s="43">
        <v>0</v>
      </c>
      <c r="V226" s="61"/>
      <c r="X226" s="67"/>
      <c r="Y226" s="451"/>
      <c r="Z226" s="452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2040.5</v>
      </c>
      <c r="E227" s="67">
        <v>374365</v>
      </c>
      <c r="F227" s="146">
        <v>0</v>
      </c>
      <c r="G227" s="146">
        <v>0</v>
      </c>
      <c r="H227" s="91">
        <v>374365</v>
      </c>
      <c r="I227" s="67">
        <v>0</v>
      </c>
      <c r="J227" s="20">
        <v>374365</v>
      </c>
      <c r="K227" s="132" t="s">
        <v>621</v>
      </c>
      <c r="L227" s="151">
        <v>0</v>
      </c>
      <c r="M227" s="128">
        <v>2040.5</v>
      </c>
      <c r="N227" s="67">
        <v>801</v>
      </c>
      <c r="O227" s="67">
        <v>375166</v>
      </c>
      <c r="P227" s="270" t="e">
        <v>#REF!</v>
      </c>
      <c r="Q227" s="71"/>
      <c r="R227" s="449"/>
      <c r="S227" s="67">
        <v>312051</v>
      </c>
      <c r="T227" s="163">
        <v>63115</v>
      </c>
      <c r="U227" s="43">
        <v>0.20225860516389949</v>
      </c>
      <c r="V227" s="61"/>
      <c r="X227" s="67"/>
      <c r="Y227" s="451"/>
      <c r="Z227" s="452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146">
        <v>0</v>
      </c>
      <c r="H228" s="91">
        <v>0</v>
      </c>
      <c r="I228" s="67">
        <v>0</v>
      </c>
      <c r="J228" s="20">
        <v>0</v>
      </c>
      <c r="K228" s="132" t="s">
        <v>644</v>
      </c>
      <c r="L228" s="151">
        <v>0</v>
      </c>
      <c r="M228" s="128">
        <v>0</v>
      </c>
      <c r="N228" s="67">
        <v>0</v>
      </c>
      <c r="O228" s="67">
        <v>0</v>
      </c>
      <c r="P228" s="270" t="e">
        <v>#REF!</v>
      </c>
      <c r="Q228" s="71"/>
      <c r="R228" s="449"/>
      <c r="S228" s="67">
        <v>0</v>
      </c>
      <c r="T228" s="163">
        <v>0</v>
      </c>
      <c r="U228" s="43">
        <v>0</v>
      </c>
      <c r="V228" s="61"/>
      <c r="X228" s="67"/>
      <c r="Y228" s="451"/>
      <c r="Z228" s="452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237.38</v>
      </c>
      <c r="E229" s="67">
        <v>43552</v>
      </c>
      <c r="F229" s="146">
        <v>0</v>
      </c>
      <c r="G229" s="146">
        <v>0</v>
      </c>
      <c r="H229" s="91">
        <v>43552</v>
      </c>
      <c r="I229" s="67">
        <v>0</v>
      </c>
      <c r="J229" s="20">
        <v>43552</v>
      </c>
      <c r="K229" s="132" t="s">
        <v>621</v>
      </c>
      <c r="L229" s="151">
        <v>0</v>
      </c>
      <c r="M229" s="128">
        <v>237.38</v>
      </c>
      <c r="N229" s="67">
        <v>93</v>
      </c>
      <c r="O229" s="67">
        <v>43645</v>
      </c>
      <c r="P229" s="270" t="e">
        <v>#REF!</v>
      </c>
      <c r="Q229" s="71"/>
      <c r="R229" s="449"/>
      <c r="S229" s="67">
        <v>36672</v>
      </c>
      <c r="T229" s="163">
        <v>6973</v>
      </c>
      <c r="U229" s="43">
        <v>0.19014506980802792</v>
      </c>
      <c r="V229" s="61"/>
      <c r="X229" s="67"/>
      <c r="Y229" s="451"/>
      <c r="Z229" s="452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68.38</v>
      </c>
      <c r="E230" s="67">
        <v>12546</v>
      </c>
      <c r="F230" s="146">
        <v>0</v>
      </c>
      <c r="G230" s="146">
        <v>3450</v>
      </c>
      <c r="H230" s="91">
        <v>15996</v>
      </c>
      <c r="I230" s="67">
        <v>0</v>
      </c>
      <c r="J230" s="20">
        <v>12546</v>
      </c>
      <c r="K230" s="132" t="s">
        <v>621</v>
      </c>
      <c r="L230" s="151">
        <v>0</v>
      </c>
      <c r="M230" s="128">
        <v>68.38</v>
      </c>
      <c r="N230" s="67">
        <v>27</v>
      </c>
      <c r="O230" s="67">
        <v>12573</v>
      </c>
      <c r="P230" s="270" t="e">
        <v>#REF!</v>
      </c>
      <c r="Q230" s="71"/>
      <c r="R230" s="449"/>
      <c r="S230" s="67">
        <v>10454</v>
      </c>
      <c r="T230" s="163">
        <v>2119</v>
      </c>
      <c r="U230" s="43">
        <v>0.20269753204515017</v>
      </c>
      <c r="V230" s="61"/>
      <c r="X230" s="67"/>
      <c r="Y230" s="451"/>
      <c r="Z230" s="452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146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P231" s="270" t="e">
        <v>#REF!</v>
      </c>
      <c r="Q231" s="71"/>
      <c r="R231" s="449"/>
      <c r="S231" s="67">
        <v>0</v>
      </c>
      <c r="T231" s="163">
        <v>0</v>
      </c>
      <c r="U231" s="43">
        <v>0</v>
      </c>
      <c r="V231" s="61"/>
      <c r="X231" s="67"/>
      <c r="Y231" s="451"/>
      <c r="Z231" s="452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5.63</v>
      </c>
      <c r="E232" s="67">
        <v>1033</v>
      </c>
      <c r="F232" s="146">
        <v>0</v>
      </c>
      <c r="G232" s="146">
        <v>0</v>
      </c>
      <c r="H232" s="91">
        <v>1033</v>
      </c>
      <c r="I232" s="67">
        <v>0</v>
      </c>
      <c r="J232" s="20">
        <v>1033</v>
      </c>
      <c r="K232" s="132" t="s">
        <v>644</v>
      </c>
      <c r="L232" s="151">
        <v>1033</v>
      </c>
      <c r="M232" s="128">
        <v>0</v>
      </c>
      <c r="N232" s="67">
        <v>0</v>
      </c>
      <c r="O232" s="67">
        <v>0</v>
      </c>
      <c r="P232" s="270" t="e">
        <v>#REF!</v>
      </c>
      <c r="Q232" s="71"/>
      <c r="R232" s="449"/>
      <c r="S232" s="67">
        <v>0</v>
      </c>
      <c r="T232" s="163">
        <v>0</v>
      </c>
      <c r="U232" s="43">
        <v>0</v>
      </c>
      <c r="V232" s="61"/>
      <c r="X232" s="67"/>
      <c r="Y232" s="451"/>
      <c r="Z232" s="452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58.13</v>
      </c>
      <c r="E233" s="67">
        <v>10665</v>
      </c>
      <c r="F233" s="146">
        <v>0</v>
      </c>
      <c r="G233" s="146">
        <v>0</v>
      </c>
      <c r="H233" s="91">
        <v>10665</v>
      </c>
      <c r="I233" s="67">
        <v>0</v>
      </c>
      <c r="J233" s="20">
        <v>10665</v>
      </c>
      <c r="K233" s="132" t="s">
        <v>621</v>
      </c>
      <c r="L233" s="151">
        <v>0</v>
      </c>
      <c r="M233" s="128">
        <v>58.13</v>
      </c>
      <c r="N233" s="67">
        <v>23</v>
      </c>
      <c r="O233" s="67">
        <v>10688</v>
      </c>
      <c r="P233" s="270" t="e">
        <v>#REF!</v>
      </c>
      <c r="Q233" s="71"/>
      <c r="R233" s="449"/>
      <c r="S233" s="67">
        <v>10328</v>
      </c>
      <c r="T233" s="163">
        <v>360</v>
      </c>
      <c r="U233" s="43">
        <v>3.4856700232378003E-2</v>
      </c>
      <c r="V233" s="61"/>
      <c r="X233" s="67"/>
      <c r="Y233" s="451"/>
      <c r="Z233" s="452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131.13</v>
      </c>
      <c r="E234" s="67">
        <v>24058</v>
      </c>
      <c r="F234" s="146">
        <v>0</v>
      </c>
      <c r="G234" s="146">
        <v>0</v>
      </c>
      <c r="H234" s="91">
        <v>24058</v>
      </c>
      <c r="I234" s="67">
        <v>0</v>
      </c>
      <c r="J234" s="20">
        <v>24058</v>
      </c>
      <c r="K234" s="132" t="s">
        <v>621</v>
      </c>
      <c r="L234" s="151">
        <v>0</v>
      </c>
      <c r="M234" s="128">
        <v>131.13</v>
      </c>
      <c r="N234" s="67">
        <v>51</v>
      </c>
      <c r="O234" s="67">
        <v>24109</v>
      </c>
      <c r="P234" s="270" t="e">
        <v>#REF!</v>
      </c>
      <c r="Q234" s="71"/>
      <c r="R234" s="449"/>
      <c r="S234" s="67">
        <v>17688</v>
      </c>
      <c r="T234" s="163">
        <v>6421</v>
      </c>
      <c r="U234" s="43">
        <v>0.36301447308909995</v>
      </c>
      <c r="V234" s="61"/>
      <c r="X234" s="67"/>
      <c r="Y234" s="451"/>
      <c r="Z234" s="452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12.5</v>
      </c>
      <c r="E235" s="67">
        <v>2293</v>
      </c>
      <c r="F235" s="146">
        <v>0</v>
      </c>
      <c r="G235" s="146">
        <v>0</v>
      </c>
      <c r="H235" s="91">
        <v>2293</v>
      </c>
      <c r="I235" s="67">
        <v>0</v>
      </c>
      <c r="J235" s="20">
        <v>2293</v>
      </c>
      <c r="K235" s="132" t="s">
        <v>621</v>
      </c>
      <c r="L235" s="151">
        <v>0</v>
      </c>
      <c r="M235" s="128">
        <v>12.5</v>
      </c>
      <c r="N235" s="67">
        <v>5</v>
      </c>
      <c r="O235" s="67">
        <v>2298</v>
      </c>
      <c r="P235" s="270" t="e">
        <v>#REF!</v>
      </c>
      <c r="Q235" s="71"/>
      <c r="R235" s="449"/>
      <c r="S235" s="67">
        <v>0</v>
      </c>
      <c r="T235" s="163">
        <v>2298</v>
      </c>
      <c r="U235" s="43">
        <v>0</v>
      </c>
      <c r="V235" s="61"/>
      <c r="X235" s="67"/>
      <c r="Y235" s="451"/>
      <c r="Z235" s="452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146">
        <v>0</v>
      </c>
      <c r="H236" s="91">
        <v>0</v>
      </c>
      <c r="I236" s="67">
        <v>0</v>
      </c>
      <c r="J236" s="20">
        <v>0</v>
      </c>
      <c r="K236" s="132" t="s">
        <v>644</v>
      </c>
      <c r="L236" s="151">
        <v>0</v>
      </c>
      <c r="M236" s="128">
        <v>0</v>
      </c>
      <c r="N236" s="67">
        <v>0</v>
      </c>
      <c r="O236" s="67">
        <v>0</v>
      </c>
      <c r="P236" s="270" t="e">
        <v>#REF!</v>
      </c>
      <c r="Q236" s="71"/>
      <c r="R236" s="449"/>
      <c r="S236" s="67">
        <v>0</v>
      </c>
      <c r="T236" s="163">
        <v>0</v>
      </c>
      <c r="U236" s="43">
        <v>0</v>
      </c>
      <c r="V236" s="61"/>
      <c r="X236" s="67"/>
      <c r="Y236" s="451"/>
      <c r="Z236" s="452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557.25</v>
      </c>
      <c r="E237" s="67">
        <v>102237</v>
      </c>
      <c r="F237" s="146">
        <v>0</v>
      </c>
      <c r="G237" s="146">
        <v>0</v>
      </c>
      <c r="H237" s="91">
        <v>102237</v>
      </c>
      <c r="I237" s="67">
        <v>0</v>
      </c>
      <c r="J237" s="20">
        <v>102237</v>
      </c>
      <c r="K237" s="132" t="s">
        <v>621</v>
      </c>
      <c r="L237" s="151">
        <v>0</v>
      </c>
      <c r="M237" s="128">
        <v>557.25</v>
      </c>
      <c r="N237" s="67">
        <v>219</v>
      </c>
      <c r="O237" s="67">
        <v>102456</v>
      </c>
      <c r="P237" s="270" t="e">
        <v>#REF!</v>
      </c>
      <c r="Q237" s="71"/>
      <c r="R237" s="449"/>
      <c r="S237" s="67">
        <v>97180</v>
      </c>
      <c r="T237" s="163">
        <v>5276</v>
      </c>
      <c r="U237" s="43">
        <v>5.4291006379913562E-2</v>
      </c>
      <c r="V237" s="61"/>
      <c r="X237" s="67"/>
      <c r="Y237" s="451"/>
      <c r="Z237" s="452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30.38</v>
      </c>
      <c r="E238" s="67">
        <v>5574</v>
      </c>
      <c r="F238" s="146">
        <v>0</v>
      </c>
      <c r="G238" s="146">
        <v>0</v>
      </c>
      <c r="H238" s="91">
        <v>5574</v>
      </c>
      <c r="I238" s="67">
        <v>0</v>
      </c>
      <c r="J238" s="20">
        <v>5574</v>
      </c>
      <c r="K238" s="132" t="s">
        <v>621</v>
      </c>
      <c r="L238" s="151">
        <v>0</v>
      </c>
      <c r="M238" s="128">
        <v>30.38</v>
      </c>
      <c r="N238" s="67">
        <v>12</v>
      </c>
      <c r="O238" s="67">
        <v>5586</v>
      </c>
      <c r="P238" s="270" t="e">
        <v>#REF!</v>
      </c>
      <c r="Q238" s="71"/>
      <c r="R238" s="449"/>
      <c r="S238" s="67">
        <v>0</v>
      </c>
      <c r="T238" s="163">
        <v>5586</v>
      </c>
      <c r="U238" s="43">
        <v>0</v>
      </c>
      <c r="V238" s="61"/>
      <c r="X238" s="67"/>
      <c r="Y238" s="451"/>
      <c r="Z238" s="452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20">
        <v>0</v>
      </c>
      <c r="K239" s="132" t="s">
        <v>644</v>
      </c>
      <c r="L239" s="151">
        <v>0</v>
      </c>
      <c r="M239" s="128">
        <v>0</v>
      </c>
      <c r="N239" s="67">
        <v>0</v>
      </c>
      <c r="O239" s="67">
        <v>0</v>
      </c>
      <c r="P239" s="270" t="e">
        <v>#REF!</v>
      </c>
      <c r="Q239" s="71"/>
      <c r="R239" s="449"/>
      <c r="S239" s="67">
        <v>0</v>
      </c>
      <c r="T239" s="163">
        <v>0</v>
      </c>
      <c r="U239" s="43">
        <v>0</v>
      </c>
      <c r="V239" s="61"/>
      <c r="X239" s="67"/>
      <c r="Y239" s="451"/>
      <c r="Z239" s="452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5340.75</v>
      </c>
      <c r="E240" s="67">
        <v>979854</v>
      </c>
      <c r="F240" s="146">
        <v>50000</v>
      </c>
      <c r="G240" s="146">
        <v>0</v>
      </c>
      <c r="H240" s="91">
        <v>1029854</v>
      </c>
      <c r="I240" s="67">
        <v>0</v>
      </c>
      <c r="J240" s="20">
        <v>979851</v>
      </c>
      <c r="K240" s="132" t="s">
        <v>621</v>
      </c>
      <c r="L240" s="151">
        <v>0</v>
      </c>
      <c r="M240" s="128">
        <v>5340.75</v>
      </c>
      <c r="N240" s="67">
        <v>2101</v>
      </c>
      <c r="O240" s="303">
        <v>981952</v>
      </c>
      <c r="P240" s="270" t="e">
        <v>#REF!</v>
      </c>
      <c r="Q240" s="71"/>
      <c r="R240" s="449"/>
      <c r="S240" s="303">
        <v>859319</v>
      </c>
      <c r="T240" s="163">
        <v>122633</v>
      </c>
      <c r="U240" s="43">
        <v>0.14270951765293216</v>
      </c>
      <c r="V240" s="61"/>
      <c r="X240" s="303"/>
      <c r="Y240" s="451"/>
      <c r="Z240" s="452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225.88</v>
      </c>
      <c r="E241" s="67">
        <v>41442</v>
      </c>
      <c r="F241" s="146">
        <v>0</v>
      </c>
      <c r="G241" s="146">
        <v>0</v>
      </c>
      <c r="H241" s="91">
        <v>41442</v>
      </c>
      <c r="I241" s="67">
        <v>0</v>
      </c>
      <c r="J241" s="20">
        <v>41442</v>
      </c>
      <c r="K241" s="132" t="s">
        <v>621</v>
      </c>
      <c r="L241" s="151">
        <v>0</v>
      </c>
      <c r="M241" s="128">
        <v>225.88</v>
      </c>
      <c r="N241" s="67">
        <v>89</v>
      </c>
      <c r="O241" s="67">
        <v>41531</v>
      </c>
      <c r="P241" s="270" t="e">
        <v>#REF!</v>
      </c>
      <c r="Q241" s="71"/>
      <c r="R241" s="449"/>
      <c r="S241" s="67">
        <v>37592</v>
      </c>
      <c r="T241" s="163">
        <v>3939</v>
      </c>
      <c r="U241" s="43">
        <v>0.10478293253883805</v>
      </c>
      <c r="V241" s="61"/>
      <c r="X241" s="67"/>
      <c r="Y241" s="451"/>
      <c r="Z241" s="452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174.13</v>
      </c>
      <c r="E242" s="67">
        <v>31947</v>
      </c>
      <c r="F242" s="146">
        <v>0</v>
      </c>
      <c r="G242" s="146">
        <v>0</v>
      </c>
      <c r="H242" s="91">
        <v>31947</v>
      </c>
      <c r="I242" s="67">
        <v>0</v>
      </c>
      <c r="J242" s="148">
        <v>31947</v>
      </c>
      <c r="K242" s="132" t="s">
        <v>621</v>
      </c>
      <c r="L242" s="151">
        <v>0</v>
      </c>
      <c r="M242" s="128">
        <v>174.13</v>
      </c>
      <c r="N242" s="67">
        <v>68</v>
      </c>
      <c r="O242" s="67">
        <v>32015</v>
      </c>
      <c r="P242" s="270" t="e">
        <v>#REF!</v>
      </c>
      <c r="Q242" s="71"/>
      <c r="R242" s="449"/>
      <c r="S242" s="67">
        <v>27578</v>
      </c>
      <c r="T242" s="163">
        <v>4437</v>
      </c>
      <c r="U242" s="43">
        <v>0.16088911451156721</v>
      </c>
      <c r="V242" s="115"/>
      <c r="X242" s="67"/>
      <c r="Y242" s="451"/>
      <c r="Z242" s="452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146">
        <v>0</v>
      </c>
      <c r="H243" s="91">
        <v>0</v>
      </c>
      <c r="I243" s="67">
        <v>0</v>
      </c>
      <c r="J243" s="20">
        <v>0</v>
      </c>
      <c r="K243" s="132" t="s">
        <v>644</v>
      </c>
      <c r="L243" s="151">
        <v>0</v>
      </c>
      <c r="M243" s="128">
        <v>0</v>
      </c>
      <c r="N243" s="67">
        <v>0</v>
      </c>
      <c r="O243" s="67">
        <v>0</v>
      </c>
      <c r="P243" s="270" t="e">
        <v>#REF!</v>
      </c>
      <c r="Q243" s="71"/>
      <c r="R243" s="449"/>
      <c r="S243" s="67">
        <v>0</v>
      </c>
      <c r="T243" s="163">
        <v>0</v>
      </c>
      <c r="U243" s="43">
        <v>0</v>
      </c>
      <c r="V243" s="61"/>
      <c r="X243" s="67"/>
      <c r="Y243" s="451"/>
      <c r="Z243" s="452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38.880000000000003</v>
      </c>
      <c r="E244" s="67">
        <v>7133</v>
      </c>
      <c r="F244" s="146">
        <v>0</v>
      </c>
      <c r="G244" s="146">
        <v>0</v>
      </c>
      <c r="H244" s="91">
        <v>7133</v>
      </c>
      <c r="I244" s="67">
        <v>0</v>
      </c>
      <c r="J244" s="20">
        <v>7133</v>
      </c>
      <c r="K244" s="132" t="s">
        <v>621</v>
      </c>
      <c r="L244" s="151">
        <v>0</v>
      </c>
      <c r="M244" s="128">
        <v>38.880000000000003</v>
      </c>
      <c r="N244" s="67">
        <v>15</v>
      </c>
      <c r="O244" s="67">
        <v>7148</v>
      </c>
      <c r="P244" s="270" t="e">
        <v>#REF!</v>
      </c>
      <c r="Q244" s="71"/>
      <c r="R244" s="449"/>
      <c r="S244" s="67">
        <v>0</v>
      </c>
      <c r="T244" s="163">
        <v>7148</v>
      </c>
      <c r="U244" s="43">
        <v>0</v>
      </c>
      <c r="V244" s="61"/>
      <c r="X244" s="67"/>
      <c r="Y244" s="451"/>
      <c r="Z244" s="452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20">
        <v>0</v>
      </c>
      <c r="K245" s="132" t="s">
        <v>644</v>
      </c>
      <c r="L245" s="151">
        <v>0</v>
      </c>
      <c r="M245" s="128">
        <v>0</v>
      </c>
      <c r="N245" s="67">
        <v>0</v>
      </c>
      <c r="O245" s="67">
        <v>0</v>
      </c>
      <c r="P245" s="270" t="e">
        <v>#REF!</v>
      </c>
      <c r="Q245" s="71"/>
      <c r="R245" s="449"/>
      <c r="S245" s="67">
        <v>0</v>
      </c>
      <c r="T245" s="163">
        <v>0</v>
      </c>
      <c r="U245" s="43">
        <v>0</v>
      </c>
      <c r="V245" s="61"/>
      <c r="X245" s="67"/>
      <c r="Y245" s="451"/>
      <c r="Z245" s="452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273.25</v>
      </c>
      <c r="E246" s="67">
        <v>50133</v>
      </c>
      <c r="F246" s="146">
        <v>0</v>
      </c>
      <c r="G246" s="146">
        <v>0</v>
      </c>
      <c r="H246" s="91">
        <v>50133</v>
      </c>
      <c r="I246" s="67">
        <v>0</v>
      </c>
      <c r="J246" s="20">
        <v>50133</v>
      </c>
      <c r="K246" s="132" t="s">
        <v>621</v>
      </c>
      <c r="L246" s="151">
        <v>0</v>
      </c>
      <c r="M246" s="128">
        <v>273.25</v>
      </c>
      <c r="N246" s="67">
        <v>107</v>
      </c>
      <c r="O246" s="67">
        <v>50240</v>
      </c>
      <c r="P246" s="270" t="e">
        <v>#REF!</v>
      </c>
      <c r="Q246" s="71"/>
      <c r="R246" s="449"/>
      <c r="S246" s="67">
        <v>44115</v>
      </c>
      <c r="T246" s="163">
        <v>6125</v>
      </c>
      <c r="U246" s="43">
        <v>0.13884166383316332</v>
      </c>
      <c r="V246" s="61"/>
      <c r="X246" s="67"/>
      <c r="Y246" s="451"/>
      <c r="Z246" s="452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563.38</v>
      </c>
      <c r="E247" s="67">
        <v>103362</v>
      </c>
      <c r="F247" s="146">
        <v>25000</v>
      </c>
      <c r="G247" s="146">
        <v>0</v>
      </c>
      <c r="H247" s="91">
        <v>128362</v>
      </c>
      <c r="I247" s="67">
        <v>0</v>
      </c>
      <c r="J247" s="20">
        <v>103362</v>
      </c>
      <c r="K247" s="132" t="s">
        <v>621</v>
      </c>
      <c r="L247" s="151">
        <v>0</v>
      </c>
      <c r="M247" s="128">
        <v>563.38</v>
      </c>
      <c r="N247" s="67">
        <v>221</v>
      </c>
      <c r="O247" s="67">
        <v>103583</v>
      </c>
      <c r="P247" s="270" t="e">
        <v>#REF!</v>
      </c>
      <c r="Q247" s="71"/>
      <c r="R247" s="449"/>
      <c r="S247" s="67">
        <v>92183</v>
      </c>
      <c r="T247" s="163">
        <v>11400</v>
      </c>
      <c r="U247" s="43">
        <v>0.12366705357820856</v>
      </c>
      <c r="V247" s="61"/>
      <c r="X247" s="67"/>
      <c r="Y247" s="451"/>
      <c r="Z247" s="452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20">
        <v>0</v>
      </c>
      <c r="K248" s="132" t="s">
        <v>644</v>
      </c>
      <c r="L248" s="151">
        <v>0</v>
      </c>
      <c r="M248" s="128">
        <v>0</v>
      </c>
      <c r="N248" s="67">
        <v>0</v>
      </c>
      <c r="O248" s="67">
        <v>0</v>
      </c>
      <c r="P248" s="270" t="e">
        <v>#REF!</v>
      </c>
      <c r="Q248" s="71"/>
      <c r="R248" s="449"/>
      <c r="S248" s="67">
        <v>0</v>
      </c>
      <c r="T248" s="163">
        <v>0</v>
      </c>
      <c r="U248" s="43">
        <v>0</v>
      </c>
      <c r="V248" s="61"/>
      <c r="X248" s="67"/>
      <c r="Y248" s="451"/>
      <c r="Z248" s="452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20">
        <v>0</v>
      </c>
      <c r="K249" s="132" t="s">
        <v>644</v>
      </c>
      <c r="L249" s="151">
        <v>0</v>
      </c>
      <c r="M249" s="128">
        <v>0</v>
      </c>
      <c r="N249" s="67">
        <v>0</v>
      </c>
      <c r="O249" s="67">
        <v>0</v>
      </c>
      <c r="P249" s="270" t="e">
        <v>#REF!</v>
      </c>
      <c r="Q249" s="71"/>
      <c r="R249" s="449"/>
      <c r="S249" s="67">
        <v>0</v>
      </c>
      <c r="T249" s="163">
        <v>0</v>
      </c>
      <c r="U249" s="43">
        <v>0</v>
      </c>
      <c r="V249" s="61"/>
      <c r="X249" s="67"/>
      <c r="Y249" s="451"/>
      <c r="Z249" s="452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231.25</v>
      </c>
      <c r="E250" s="67">
        <v>42427</v>
      </c>
      <c r="F250" s="146">
        <v>0</v>
      </c>
      <c r="G250" s="146">
        <v>4650</v>
      </c>
      <c r="H250" s="91">
        <v>47077</v>
      </c>
      <c r="I250" s="67">
        <v>0</v>
      </c>
      <c r="J250" s="20">
        <v>42427</v>
      </c>
      <c r="K250" s="132" t="s">
        <v>621</v>
      </c>
      <c r="L250" s="151">
        <v>0</v>
      </c>
      <c r="M250" s="128">
        <v>231.25</v>
      </c>
      <c r="N250" s="67">
        <v>91</v>
      </c>
      <c r="O250" s="67">
        <v>42518</v>
      </c>
      <c r="P250" s="270" t="e">
        <v>#REF!</v>
      </c>
      <c r="Q250" s="71"/>
      <c r="R250" s="449"/>
      <c r="S250" s="67">
        <v>33766</v>
      </c>
      <c r="T250" s="163">
        <v>8752</v>
      </c>
      <c r="U250" s="43">
        <v>0.25919564058520406</v>
      </c>
      <c r="V250" s="61"/>
      <c r="X250" s="67"/>
      <c r="Y250" s="451"/>
      <c r="Z250" s="452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90.13</v>
      </c>
      <c r="E251" s="67">
        <v>16536</v>
      </c>
      <c r="F251" s="146">
        <v>0</v>
      </c>
      <c r="G251" s="146">
        <v>0</v>
      </c>
      <c r="H251" s="91">
        <v>16536</v>
      </c>
      <c r="I251" s="67">
        <v>0</v>
      </c>
      <c r="J251" s="20">
        <v>16536</v>
      </c>
      <c r="K251" s="132" t="s">
        <v>621</v>
      </c>
      <c r="L251" s="151">
        <v>0</v>
      </c>
      <c r="M251" s="128">
        <v>90.13</v>
      </c>
      <c r="N251" s="67">
        <v>35</v>
      </c>
      <c r="O251" s="67">
        <v>16571</v>
      </c>
      <c r="P251" s="270" t="e">
        <v>#REF!</v>
      </c>
      <c r="Q251" s="71"/>
      <c r="R251" s="449"/>
      <c r="S251" s="67">
        <v>0</v>
      </c>
      <c r="T251" s="163">
        <v>16571</v>
      </c>
      <c r="U251" s="43">
        <v>0</v>
      </c>
      <c r="V251" s="61"/>
      <c r="X251" s="67"/>
      <c r="Y251" s="451"/>
      <c r="Z251" s="452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92.75</v>
      </c>
      <c r="E252" s="67">
        <v>17017</v>
      </c>
      <c r="F252" s="146">
        <v>0</v>
      </c>
      <c r="G252" s="146">
        <v>2250</v>
      </c>
      <c r="H252" s="91">
        <v>19267</v>
      </c>
      <c r="I252" s="67">
        <v>0</v>
      </c>
      <c r="J252" s="20">
        <v>17017</v>
      </c>
      <c r="K252" s="132" t="s">
        <v>621</v>
      </c>
      <c r="L252" s="151">
        <v>0</v>
      </c>
      <c r="M252" s="128">
        <v>92.75</v>
      </c>
      <c r="N252" s="67">
        <v>36</v>
      </c>
      <c r="O252" s="67">
        <v>17053</v>
      </c>
      <c r="P252" s="270" t="e">
        <v>#REF!</v>
      </c>
      <c r="Q252" s="71"/>
      <c r="R252" s="449"/>
      <c r="S252" s="67">
        <v>19026</v>
      </c>
      <c r="T252" s="163">
        <v>-1973</v>
      </c>
      <c r="U252" s="43">
        <v>-0.1037001997266898</v>
      </c>
      <c r="V252" s="61"/>
      <c r="X252" s="67"/>
      <c r="Y252" s="451"/>
      <c r="Z252" s="452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84.88</v>
      </c>
      <c r="E253" s="67">
        <v>15573</v>
      </c>
      <c r="F253" s="146">
        <v>0</v>
      </c>
      <c r="G253" s="146">
        <v>0</v>
      </c>
      <c r="H253" s="91">
        <v>15573</v>
      </c>
      <c r="I253" s="67">
        <v>0</v>
      </c>
      <c r="J253" s="20">
        <v>15573</v>
      </c>
      <c r="K253" s="132" t="s">
        <v>621</v>
      </c>
      <c r="L253" s="151">
        <v>0</v>
      </c>
      <c r="M253" s="128">
        <v>84.88</v>
      </c>
      <c r="N253" s="67">
        <v>33</v>
      </c>
      <c r="O253" s="67">
        <v>15606</v>
      </c>
      <c r="P253" s="270" t="e">
        <v>#REF!</v>
      </c>
      <c r="Q253" s="71"/>
      <c r="R253" s="449"/>
      <c r="S253" s="67">
        <v>15660</v>
      </c>
      <c r="T253" s="163">
        <v>-54</v>
      </c>
      <c r="U253" s="43">
        <v>-3.4482758620689655E-3</v>
      </c>
      <c r="V253" s="61"/>
      <c r="X253" s="67"/>
      <c r="Y253" s="451"/>
      <c r="Z253" s="452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62.5</v>
      </c>
      <c r="E254" s="67">
        <v>11467</v>
      </c>
      <c r="F254" s="146">
        <v>0</v>
      </c>
      <c r="G254" s="146">
        <v>0</v>
      </c>
      <c r="H254" s="91">
        <v>11467</v>
      </c>
      <c r="I254" s="67">
        <v>0</v>
      </c>
      <c r="J254" s="20">
        <v>11467</v>
      </c>
      <c r="K254" s="132" t="s">
        <v>621</v>
      </c>
      <c r="L254" s="151">
        <v>0</v>
      </c>
      <c r="M254" s="128">
        <v>62.5</v>
      </c>
      <c r="N254" s="67">
        <v>25</v>
      </c>
      <c r="O254" s="67">
        <v>11492</v>
      </c>
      <c r="P254" s="270" t="e">
        <v>#REF!</v>
      </c>
      <c r="Q254" s="71"/>
      <c r="R254" s="449"/>
      <c r="S254" s="67">
        <v>0</v>
      </c>
      <c r="T254" s="163">
        <v>11492</v>
      </c>
      <c r="U254" s="43">
        <v>0</v>
      </c>
      <c r="V254" s="61"/>
      <c r="X254" s="67"/>
      <c r="Y254" s="451"/>
      <c r="Z254" s="452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9.75</v>
      </c>
      <c r="E255" s="67">
        <v>1789</v>
      </c>
      <c r="F255" s="146">
        <v>0</v>
      </c>
      <c r="G255" s="146">
        <v>0</v>
      </c>
      <c r="H255" s="91">
        <v>1789</v>
      </c>
      <c r="I255" s="67">
        <v>0</v>
      </c>
      <c r="J255" s="20">
        <v>1789</v>
      </c>
      <c r="K255" s="132" t="s">
        <v>621</v>
      </c>
      <c r="L255" s="151">
        <v>0</v>
      </c>
      <c r="M255" s="128">
        <v>9.75</v>
      </c>
      <c r="N255" s="67">
        <v>4</v>
      </c>
      <c r="O255" s="67">
        <v>1793</v>
      </c>
      <c r="P255" s="270" t="e">
        <v>#REF!</v>
      </c>
      <c r="Q255" s="71"/>
      <c r="R255" s="449"/>
      <c r="S255" s="67">
        <v>0</v>
      </c>
      <c r="T255" s="163">
        <v>1793</v>
      </c>
      <c r="U255" s="43">
        <v>0</v>
      </c>
      <c r="V255" s="61"/>
      <c r="X255" s="67"/>
      <c r="Y255" s="451"/>
      <c r="Z255" s="452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3</v>
      </c>
      <c r="E256" s="67">
        <v>550</v>
      </c>
      <c r="F256" s="146">
        <v>0</v>
      </c>
      <c r="G256" s="146">
        <v>0</v>
      </c>
      <c r="H256" s="91">
        <v>550</v>
      </c>
      <c r="I256" s="67">
        <v>0</v>
      </c>
      <c r="J256" s="20">
        <v>550</v>
      </c>
      <c r="K256" s="132" t="s">
        <v>621</v>
      </c>
      <c r="L256" s="151">
        <v>0</v>
      </c>
      <c r="M256" s="128">
        <v>3</v>
      </c>
      <c r="N256" s="67">
        <v>1</v>
      </c>
      <c r="O256" s="67">
        <v>551</v>
      </c>
      <c r="P256" s="270" t="e">
        <v>#REF!</v>
      </c>
      <c r="Q256" s="71"/>
      <c r="R256" s="449"/>
      <c r="S256" s="67">
        <v>0</v>
      </c>
      <c r="T256" s="163">
        <v>551</v>
      </c>
      <c r="U256" s="43">
        <v>0</v>
      </c>
      <c r="V256" s="61"/>
      <c r="X256" s="67"/>
      <c r="Y256" s="451"/>
      <c r="Z256" s="452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1086.6300000000001</v>
      </c>
      <c r="E257" s="67">
        <v>199361</v>
      </c>
      <c r="F257" s="146">
        <v>0</v>
      </c>
      <c r="G257" s="146">
        <v>0</v>
      </c>
      <c r="H257" s="91">
        <v>199361</v>
      </c>
      <c r="I257" s="67">
        <v>0</v>
      </c>
      <c r="J257" s="20">
        <v>199361</v>
      </c>
      <c r="K257" s="132" t="s">
        <v>621</v>
      </c>
      <c r="L257" s="151">
        <v>0</v>
      </c>
      <c r="M257" s="128">
        <v>1086.6300000000001</v>
      </c>
      <c r="N257" s="67">
        <v>426</v>
      </c>
      <c r="O257" s="67">
        <v>199787</v>
      </c>
      <c r="P257" s="270" t="e">
        <v>#REF!</v>
      </c>
      <c r="Q257" s="71"/>
      <c r="R257" s="449"/>
      <c r="S257" s="67">
        <v>170379</v>
      </c>
      <c r="T257" s="163">
        <v>29408</v>
      </c>
      <c r="U257" s="43">
        <v>0.17260343117402965</v>
      </c>
      <c r="V257" s="61"/>
      <c r="X257" s="67"/>
      <c r="Y257" s="451"/>
      <c r="Z257" s="452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146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P258" s="270" t="e">
        <v>#REF!</v>
      </c>
      <c r="Q258" s="71"/>
      <c r="R258" s="449"/>
      <c r="S258" s="67">
        <v>0</v>
      </c>
      <c r="T258" s="163">
        <v>0</v>
      </c>
      <c r="U258" s="43">
        <v>0</v>
      </c>
      <c r="V258" s="61"/>
      <c r="X258" s="67"/>
      <c r="Y258" s="451"/>
      <c r="Z258" s="452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146">
        <v>0</v>
      </c>
      <c r="H259" s="91">
        <v>0</v>
      </c>
      <c r="I259" s="67">
        <v>0</v>
      </c>
      <c r="J259" s="20">
        <v>0</v>
      </c>
      <c r="K259" s="132" t="s">
        <v>644</v>
      </c>
      <c r="L259" s="151">
        <v>0</v>
      </c>
      <c r="M259" s="128">
        <v>0</v>
      </c>
      <c r="N259" s="67">
        <v>0</v>
      </c>
      <c r="O259" s="67">
        <v>0</v>
      </c>
      <c r="P259" s="270" t="e">
        <v>#REF!</v>
      </c>
      <c r="Q259" s="71"/>
      <c r="R259" s="449"/>
      <c r="S259" s="67">
        <v>0</v>
      </c>
      <c r="T259" s="163">
        <v>0</v>
      </c>
      <c r="U259" s="43">
        <v>0</v>
      </c>
      <c r="V259" s="61"/>
      <c r="X259" s="67"/>
      <c r="Y259" s="451"/>
      <c r="Z259" s="452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76.25</v>
      </c>
      <c r="E260" s="67">
        <v>13989</v>
      </c>
      <c r="F260" s="146">
        <v>0</v>
      </c>
      <c r="G260" s="146">
        <v>0</v>
      </c>
      <c r="H260" s="91">
        <v>13989</v>
      </c>
      <c r="I260" s="67">
        <v>0</v>
      </c>
      <c r="J260" s="20">
        <v>13989</v>
      </c>
      <c r="K260" s="132" t="s">
        <v>621</v>
      </c>
      <c r="L260" s="151">
        <v>0</v>
      </c>
      <c r="M260" s="128">
        <v>76.25</v>
      </c>
      <c r="N260" s="67">
        <v>30</v>
      </c>
      <c r="O260" s="67">
        <v>14019</v>
      </c>
      <c r="P260" s="270" t="e">
        <v>#REF!</v>
      </c>
      <c r="Q260" s="71"/>
      <c r="R260" s="449"/>
      <c r="S260" s="67">
        <v>14322</v>
      </c>
      <c r="T260" s="163">
        <v>-303</v>
      </c>
      <c r="U260" s="43">
        <v>-2.1156263091746962E-2</v>
      </c>
      <c r="V260" s="61"/>
      <c r="X260" s="67"/>
      <c r="Y260" s="451"/>
      <c r="Z260" s="452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P261" s="270" t="e">
        <v>#REF!</v>
      </c>
      <c r="Q261" s="71"/>
      <c r="R261" s="449"/>
      <c r="S261" s="67">
        <v>0</v>
      </c>
      <c r="T261" s="163">
        <v>0</v>
      </c>
      <c r="U261" s="43">
        <v>0</v>
      </c>
      <c r="V261" s="61"/>
      <c r="X261" s="67"/>
      <c r="Y261" s="451"/>
      <c r="Z261" s="452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146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P262" s="270" t="e">
        <v>#REF!</v>
      </c>
      <c r="Q262" s="71"/>
      <c r="R262" s="449"/>
      <c r="S262" s="67">
        <v>0</v>
      </c>
      <c r="T262" s="163">
        <v>0</v>
      </c>
      <c r="U262" s="43">
        <v>0</v>
      </c>
      <c r="V262" s="61"/>
      <c r="X262" s="67"/>
      <c r="Y262" s="451"/>
      <c r="Z262" s="452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20">
        <v>0</v>
      </c>
      <c r="K263" s="132" t="s">
        <v>644</v>
      </c>
      <c r="L263" s="151">
        <v>0</v>
      </c>
      <c r="M263" s="128">
        <v>0</v>
      </c>
      <c r="N263" s="67">
        <v>0</v>
      </c>
      <c r="O263" s="67">
        <v>0</v>
      </c>
      <c r="P263" s="270" t="e">
        <v>#REF!</v>
      </c>
      <c r="Q263" s="71"/>
      <c r="R263" s="449"/>
      <c r="S263" s="67">
        <v>0</v>
      </c>
      <c r="T263" s="163">
        <v>0</v>
      </c>
      <c r="U263" s="43">
        <v>0</v>
      </c>
      <c r="V263" s="61"/>
      <c r="X263" s="67"/>
      <c r="Y263" s="451"/>
      <c r="Z263" s="452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74.88</v>
      </c>
      <c r="E264" s="67">
        <v>13738</v>
      </c>
      <c r="F264" s="146">
        <v>0</v>
      </c>
      <c r="G264" s="146">
        <v>0</v>
      </c>
      <c r="H264" s="91">
        <v>13738</v>
      </c>
      <c r="I264" s="67">
        <v>0</v>
      </c>
      <c r="J264" s="20">
        <v>13738</v>
      </c>
      <c r="K264" s="132" t="s">
        <v>621</v>
      </c>
      <c r="L264" s="151">
        <v>0</v>
      </c>
      <c r="M264" s="128">
        <v>74.88</v>
      </c>
      <c r="N264" s="67">
        <v>29</v>
      </c>
      <c r="O264" s="67">
        <v>13767</v>
      </c>
      <c r="P264" s="270" t="e">
        <v>#REF!</v>
      </c>
      <c r="Q264" s="71"/>
      <c r="R264" s="449"/>
      <c r="S264" s="67">
        <v>0</v>
      </c>
      <c r="T264" s="163">
        <v>13767</v>
      </c>
      <c r="U264" s="43">
        <v>0</v>
      </c>
      <c r="V264" s="61"/>
      <c r="X264" s="67"/>
      <c r="Y264" s="451"/>
      <c r="Z264" s="452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20">
        <v>0</v>
      </c>
      <c r="K265" s="132" t="s">
        <v>644</v>
      </c>
      <c r="L265" s="151">
        <v>0</v>
      </c>
      <c r="M265" s="128">
        <v>0</v>
      </c>
      <c r="N265" s="67">
        <v>0</v>
      </c>
      <c r="O265" s="67">
        <v>0</v>
      </c>
      <c r="P265" s="270" t="e">
        <v>#REF!</v>
      </c>
      <c r="Q265" s="71"/>
      <c r="R265" s="449"/>
      <c r="S265" s="67">
        <v>0</v>
      </c>
      <c r="T265" s="163">
        <v>0</v>
      </c>
      <c r="U265" s="43">
        <v>0</v>
      </c>
      <c r="V265" s="61"/>
      <c r="X265" s="67"/>
      <c r="Y265" s="451"/>
      <c r="Z265" s="452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21</v>
      </c>
      <c r="E266" s="67">
        <v>3853</v>
      </c>
      <c r="F266" s="146">
        <v>0</v>
      </c>
      <c r="G266" s="146">
        <v>0</v>
      </c>
      <c r="H266" s="91">
        <v>3853</v>
      </c>
      <c r="I266" s="67">
        <v>0</v>
      </c>
      <c r="J266" s="20">
        <v>3853</v>
      </c>
      <c r="K266" s="132" t="s">
        <v>621</v>
      </c>
      <c r="L266" s="151">
        <v>0</v>
      </c>
      <c r="M266" s="128">
        <v>21</v>
      </c>
      <c r="N266" s="67">
        <v>8</v>
      </c>
      <c r="O266" s="67">
        <v>3861</v>
      </c>
      <c r="P266" s="270" t="e">
        <v>#REF!</v>
      </c>
      <c r="Q266" s="71"/>
      <c r="R266" s="449"/>
      <c r="S266" s="67">
        <v>0</v>
      </c>
      <c r="T266" s="163">
        <v>3861</v>
      </c>
      <c r="U266" s="43">
        <v>0</v>
      </c>
      <c r="V266" s="61"/>
      <c r="X266" s="67"/>
      <c r="Y266" s="451"/>
      <c r="Z266" s="452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102.25</v>
      </c>
      <c r="E267" s="67">
        <v>18760</v>
      </c>
      <c r="F267" s="146">
        <v>0</v>
      </c>
      <c r="G267" s="146">
        <v>0</v>
      </c>
      <c r="H267" s="91">
        <v>18760</v>
      </c>
      <c r="I267" s="67">
        <v>0</v>
      </c>
      <c r="J267" s="20">
        <v>18760</v>
      </c>
      <c r="K267" s="132" t="s">
        <v>621</v>
      </c>
      <c r="L267" s="151">
        <v>0</v>
      </c>
      <c r="M267" s="128">
        <v>102.25</v>
      </c>
      <c r="N267" s="67">
        <v>40</v>
      </c>
      <c r="O267" s="67">
        <v>18800</v>
      </c>
      <c r="P267" s="270" t="e">
        <v>#REF!</v>
      </c>
      <c r="Q267" s="71"/>
      <c r="R267" s="449"/>
      <c r="S267" s="67">
        <v>14427</v>
      </c>
      <c r="T267" s="163">
        <v>4373</v>
      </c>
      <c r="U267" s="43">
        <v>0.30311222014278782</v>
      </c>
      <c r="V267" s="61"/>
      <c r="X267" s="67"/>
      <c r="Y267" s="451"/>
      <c r="Z267" s="452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146">
        <v>0</v>
      </c>
      <c r="H268" s="91">
        <v>0</v>
      </c>
      <c r="I268" s="67">
        <v>0</v>
      </c>
      <c r="J268" s="20">
        <v>0</v>
      </c>
      <c r="K268" s="132" t="s">
        <v>644</v>
      </c>
      <c r="L268" s="151">
        <v>0</v>
      </c>
      <c r="M268" s="128">
        <v>0</v>
      </c>
      <c r="N268" s="67">
        <v>0</v>
      </c>
      <c r="O268" s="67">
        <v>0</v>
      </c>
      <c r="P268" s="270" t="e">
        <v>#REF!</v>
      </c>
      <c r="Q268" s="71"/>
      <c r="R268" s="449"/>
      <c r="S268" s="67">
        <v>0</v>
      </c>
      <c r="T268" s="163">
        <v>0</v>
      </c>
      <c r="U268" s="43">
        <v>0</v>
      </c>
      <c r="V268" s="61"/>
      <c r="X268" s="67"/>
      <c r="Y268" s="451"/>
      <c r="Z268" s="452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206.88</v>
      </c>
      <c r="E269" s="67">
        <v>37956</v>
      </c>
      <c r="F269" s="146">
        <v>0</v>
      </c>
      <c r="G269" s="146">
        <v>0</v>
      </c>
      <c r="H269" s="91">
        <v>37956</v>
      </c>
      <c r="I269" s="67">
        <v>0</v>
      </c>
      <c r="J269" s="20">
        <v>37956</v>
      </c>
      <c r="K269" s="132" t="s">
        <v>621</v>
      </c>
      <c r="L269" s="151">
        <v>0</v>
      </c>
      <c r="M269" s="128">
        <v>206.88</v>
      </c>
      <c r="N269" s="67">
        <v>81</v>
      </c>
      <c r="O269" s="67">
        <v>38037</v>
      </c>
      <c r="P269" s="270" t="e">
        <v>#REF!</v>
      </c>
      <c r="Q269" s="71"/>
      <c r="R269" s="449"/>
      <c r="S269" s="67">
        <v>28664</v>
      </c>
      <c r="T269" s="163">
        <v>9373</v>
      </c>
      <c r="U269" s="43">
        <v>0.32699553446832264</v>
      </c>
      <c r="V269" s="61"/>
      <c r="X269" s="67"/>
      <c r="Y269" s="451"/>
      <c r="Z269" s="452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1663.88</v>
      </c>
      <c r="E270" s="67">
        <v>305268</v>
      </c>
      <c r="F270" s="146">
        <v>25000</v>
      </c>
      <c r="G270" s="146">
        <v>0</v>
      </c>
      <c r="H270" s="91">
        <v>330268</v>
      </c>
      <c r="I270" s="67">
        <v>0</v>
      </c>
      <c r="J270" s="20">
        <v>305268</v>
      </c>
      <c r="K270" s="132" t="s">
        <v>621</v>
      </c>
      <c r="L270" s="151">
        <v>0</v>
      </c>
      <c r="M270" s="128">
        <v>1663.88</v>
      </c>
      <c r="N270" s="67">
        <v>653</v>
      </c>
      <c r="O270" s="67">
        <v>305921</v>
      </c>
      <c r="P270" s="270" t="e">
        <v>#REF!</v>
      </c>
      <c r="Q270" s="71"/>
      <c r="R270" s="449"/>
      <c r="S270" s="67">
        <v>259176</v>
      </c>
      <c r="T270" s="163">
        <v>46745</v>
      </c>
      <c r="U270" s="43">
        <v>0.18036006420347564</v>
      </c>
      <c r="V270" s="61"/>
      <c r="X270" s="67"/>
      <c r="Y270" s="451"/>
      <c r="Z270" s="452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146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 t="e">
        <v>#N/A</v>
      </c>
      <c r="Q271" s="71"/>
      <c r="R271" s="449"/>
      <c r="S271" s="67">
        <v>0</v>
      </c>
      <c r="T271" s="163">
        <v>0</v>
      </c>
      <c r="U271" s="43">
        <v>0</v>
      </c>
      <c r="V271" s="61"/>
      <c r="X271" s="67"/>
      <c r="Y271" s="451"/>
      <c r="Z271" s="452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1866.13</v>
      </c>
      <c r="E272" s="67">
        <v>342374</v>
      </c>
      <c r="F272" s="146">
        <v>0</v>
      </c>
      <c r="G272" s="146">
        <v>0</v>
      </c>
      <c r="H272" s="91">
        <v>342374</v>
      </c>
      <c r="I272" s="67">
        <v>0</v>
      </c>
      <c r="J272" s="20">
        <v>342374</v>
      </c>
      <c r="K272" s="132" t="s">
        <v>621</v>
      </c>
      <c r="L272" s="151">
        <v>0</v>
      </c>
      <c r="M272" s="128">
        <v>1866.13</v>
      </c>
      <c r="N272" s="67">
        <v>732</v>
      </c>
      <c r="O272" s="67">
        <v>343106</v>
      </c>
      <c r="P272" s="270" t="e">
        <v>#REF!</v>
      </c>
      <c r="Q272" s="71"/>
      <c r="R272" s="449"/>
      <c r="S272" s="67">
        <v>314582</v>
      </c>
      <c r="T272" s="163">
        <v>28524</v>
      </c>
      <c r="U272" s="43">
        <v>9.067270218893643E-2</v>
      </c>
      <c r="V272" s="61"/>
      <c r="X272" s="67"/>
      <c r="Y272" s="451"/>
      <c r="Z272" s="452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20">
        <v>0</v>
      </c>
      <c r="K273" s="132" t="s">
        <v>644</v>
      </c>
      <c r="L273" s="151">
        <v>0</v>
      </c>
      <c r="M273" s="128">
        <v>0</v>
      </c>
      <c r="N273" s="67">
        <v>0</v>
      </c>
      <c r="O273" s="67">
        <v>0</v>
      </c>
      <c r="P273" s="270" t="e">
        <v>#REF!</v>
      </c>
      <c r="Q273" s="71"/>
      <c r="R273" s="449"/>
      <c r="S273" s="67">
        <v>0</v>
      </c>
      <c r="T273" s="163">
        <v>0</v>
      </c>
      <c r="U273" s="43">
        <v>0</v>
      </c>
      <c r="V273" s="61"/>
      <c r="X273" s="67"/>
      <c r="Y273" s="451"/>
      <c r="Z273" s="452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157</v>
      </c>
      <c r="E274" s="67">
        <v>28804</v>
      </c>
      <c r="F274" s="146">
        <v>0</v>
      </c>
      <c r="G274" s="146">
        <v>3750</v>
      </c>
      <c r="H274" s="91">
        <v>32554</v>
      </c>
      <c r="I274" s="67">
        <v>0</v>
      </c>
      <c r="J274" s="20">
        <v>28804</v>
      </c>
      <c r="K274" s="132" t="s">
        <v>621</v>
      </c>
      <c r="L274" s="151">
        <v>0</v>
      </c>
      <c r="M274" s="128">
        <v>157</v>
      </c>
      <c r="N274" s="67">
        <v>62</v>
      </c>
      <c r="O274" s="67">
        <v>28866</v>
      </c>
      <c r="P274" s="270" t="e">
        <v>#REF!</v>
      </c>
      <c r="Q274" s="71"/>
      <c r="R274" s="449"/>
      <c r="S274" s="67">
        <v>25382</v>
      </c>
      <c r="T274" s="163">
        <v>3484</v>
      </c>
      <c r="U274" s="43">
        <v>0.13726262705854542</v>
      </c>
      <c r="V274" s="61"/>
      <c r="X274" s="67"/>
      <c r="Y274" s="451"/>
      <c r="Z274" s="452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146">
        <v>0</v>
      </c>
      <c r="H275" s="91">
        <v>0</v>
      </c>
      <c r="I275" s="67">
        <v>0</v>
      </c>
      <c r="J275" s="20">
        <v>0</v>
      </c>
      <c r="K275" s="132" t="s">
        <v>644</v>
      </c>
      <c r="L275" s="151">
        <v>0</v>
      </c>
      <c r="M275" s="128">
        <v>0</v>
      </c>
      <c r="N275" s="67">
        <v>0</v>
      </c>
      <c r="O275" s="67">
        <v>0</v>
      </c>
      <c r="P275" s="270" t="e">
        <v>#REF!</v>
      </c>
      <c r="Q275" s="71"/>
      <c r="R275" s="449"/>
      <c r="S275" s="67">
        <v>0</v>
      </c>
      <c r="T275" s="163">
        <v>0</v>
      </c>
      <c r="U275" s="43">
        <v>0</v>
      </c>
      <c r="V275" s="61"/>
      <c r="X275" s="67"/>
      <c r="Y275" s="451"/>
      <c r="Z275" s="452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13.63</v>
      </c>
      <c r="E276" s="67">
        <v>2501</v>
      </c>
      <c r="F276" s="146">
        <v>0</v>
      </c>
      <c r="G276" s="146">
        <v>0</v>
      </c>
      <c r="H276" s="91">
        <v>2501</v>
      </c>
      <c r="I276" s="67">
        <v>0</v>
      </c>
      <c r="J276" s="20">
        <v>2501</v>
      </c>
      <c r="K276" s="132" t="s">
        <v>621</v>
      </c>
      <c r="L276" s="151">
        <v>0</v>
      </c>
      <c r="M276" s="128">
        <v>13.63</v>
      </c>
      <c r="N276" s="67">
        <v>5</v>
      </c>
      <c r="O276" s="67">
        <v>2506</v>
      </c>
      <c r="P276" s="270" t="e">
        <v>#REF!</v>
      </c>
      <c r="Q276" s="71"/>
      <c r="R276" s="449"/>
      <c r="S276" s="67">
        <v>0</v>
      </c>
      <c r="T276" s="163">
        <v>2506</v>
      </c>
      <c r="U276" s="43">
        <v>0</v>
      </c>
      <c r="V276" s="61"/>
      <c r="X276" s="67"/>
      <c r="Y276" s="451"/>
      <c r="Z276" s="452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20">
        <v>0</v>
      </c>
      <c r="K277" s="132" t="s">
        <v>644</v>
      </c>
      <c r="L277" s="151">
        <v>0</v>
      </c>
      <c r="M277" s="128">
        <v>0</v>
      </c>
      <c r="N277" s="67">
        <v>0</v>
      </c>
      <c r="O277" s="67">
        <v>0</v>
      </c>
      <c r="P277" s="270" t="e">
        <v>#REF!</v>
      </c>
      <c r="Q277" s="71"/>
      <c r="R277" s="449"/>
      <c r="S277" s="67">
        <v>293</v>
      </c>
      <c r="T277" s="163">
        <v>-293</v>
      </c>
      <c r="U277" s="43">
        <v>-1</v>
      </c>
      <c r="V277" s="61"/>
      <c r="X277" s="67"/>
      <c r="Y277" s="451"/>
      <c r="Z277" s="452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21</v>
      </c>
      <c r="E278" s="67">
        <v>3853</v>
      </c>
      <c r="F278" s="146">
        <v>0</v>
      </c>
      <c r="G278" s="146">
        <v>0</v>
      </c>
      <c r="H278" s="91">
        <v>3853</v>
      </c>
      <c r="I278" s="67">
        <v>0</v>
      </c>
      <c r="J278" s="20">
        <v>3853</v>
      </c>
      <c r="K278" s="132" t="s">
        <v>621</v>
      </c>
      <c r="L278" s="151">
        <v>0</v>
      </c>
      <c r="M278" s="128">
        <v>21</v>
      </c>
      <c r="N278" s="67">
        <v>8</v>
      </c>
      <c r="O278" s="67">
        <v>3861</v>
      </c>
      <c r="P278" s="270" t="e">
        <v>#REF!</v>
      </c>
      <c r="Q278" s="71"/>
      <c r="R278" s="449"/>
      <c r="S278" s="67">
        <v>0</v>
      </c>
      <c r="T278" s="163">
        <v>3861</v>
      </c>
      <c r="U278" s="43">
        <v>0</v>
      </c>
      <c r="V278" s="61"/>
      <c r="X278" s="67"/>
      <c r="Y278" s="451"/>
      <c r="Z278" s="452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93.38</v>
      </c>
      <c r="E279" s="67">
        <v>17132</v>
      </c>
      <c r="F279" s="146">
        <v>0</v>
      </c>
      <c r="G279" s="146">
        <v>0</v>
      </c>
      <c r="H279" s="91">
        <v>17132</v>
      </c>
      <c r="I279" s="67">
        <v>0</v>
      </c>
      <c r="J279" s="20">
        <v>17132</v>
      </c>
      <c r="K279" s="132" t="s">
        <v>621</v>
      </c>
      <c r="L279" s="151">
        <v>0</v>
      </c>
      <c r="M279" s="128">
        <v>93.38</v>
      </c>
      <c r="N279" s="67">
        <v>37</v>
      </c>
      <c r="O279" s="67">
        <v>17169</v>
      </c>
      <c r="P279" s="270" t="e">
        <v>#REF!</v>
      </c>
      <c r="Q279" s="71"/>
      <c r="R279" s="449"/>
      <c r="S279" s="67">
        <v>15200</v>
      </c>
      <c r="T279" s="163">
        <v>1969</v>
      </c>
      <c r="U279" s="43">
        <v>0.12953947368421054</v>
      </c>
      <c r="V279" s="61"/>
      <c r="X279" s="67"/>
      <c r="Y279" s="451"/>
      <c r="Z279" s="452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1373.25</v>
      </c>
      <c r="E280" s="67">
        <v>251947</v>
      </c>
      <c r="F280" s="146">
        <v>0</v>
      </c>
      <c r="G280" s="146">
        <v>0</v>
      </c>
      <c r="H280" s="91">
        <v>251947</v>
      </c>
      <c r="I280" s="67">
        <v>0</v>
      </c>
      <c r="J280" s="20">
        <v>251947</v>
      </c>
      <c r="K280" s="132" t="s">
        <v>621</v>
      </c>
      <c r="L280" s="151">
        <v>0</v>
      </c>
      <c r="M280" s="128">
        <v>1373.25</v>
      </c>
      <c r="N280" s="67">
        <v>539</v>
      </c>
      <c r="O280" s="67">
        <v>252486</v>
      </c>
      <c r="P280" s="270" t="e">
        <v>#REF!</v>
      </c>
      <c r="Q280" s="71"/>
      <c r="R280" s="449"/>
      <c r="S280" s="67">
        <v>245251</v>
      </c>
      <c r="T280" s="163">
        <v>7235</v>
      </c>
      <c r="U280" s="43">
        <v>2.9500389396985131E-2</v>
      </c>
      <c r="V280" s="61"/>
      <c r="X280" s="67"/>
      <c r="Y280" s="451"/>
      <c r="Z280" s="452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23.63</v>
      </c>
      <c r="E281" s="67">
        <v>4335</v>
      </c>
      <c r="F281" s="146">
        <v>0</v>
      </c>
      <c r="G281" s="146">
        <v>0</v>
      </c>
      <c r="H281" s="91">
        <v>4335</v>
      </c>
      <c r="I281" s="67">
        <v>0</v>
      </c>
      <c r="J281" s="20">
        <v>4335</v>
      </c>
      <c r="K281" s="132" t="s">
        <v>621</v>
      </c>
      <c r="L281" s="151">
        <v>0</v>
      </c>
      <c r="M281" s="128">
        <v>23.63</v>
      </c>
      <c r="N281" s="67">
        <v>9</v>
      </c>
      <c r="O281" s="67">
        <v>4344</v>
      </c>
      <c r="P281" s="270" t="e">
        <v>#REF!</v>
      </c>
      <c r="Q281" s="71"/>
      <c r="R281" s="449"/>
      <c r="S281" s="67">
        <v>4892</v>
      </c>
      <c r="T281" s="163">
        <v>-548</v>
      </c>
      <c r="U281" s="43">
        <v>-0.11201962387571546</v>
      </c>
      <c r="V281" s="61"/>
      <c r="X281" s="67"/>
      <c r="Y281" s="451"/>
      <c r="Z281" s="452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P282" s="270" t="e">
        <v>#REF!</v>
      </c>
      <c r="Q282" s="71"/>
      <c r="R282" s="449"/>
      <c r="S282" s="67">
        <v>0</v>
      </c>
      <c r="T282" s="163">
        <v>0</v>
      </c>
      <c r="U282" s="43">
        <v>0</v>
      </c>
      <c r="V282" s="61"/>
      <c r="X282" s="67"/>
      <c r="Y282" s="451"/>
      <c r="Z282" s="452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146">
        <v>0</v>
      </c>
      <c r="H283" s="91">
        <v>0</v>
      </c>
      <c r="I283" s="67">
        <v>0</v>
      </c>
      <c r="J283" s="20">
        <v>0</v>
      </c>
      <c r="K283" s="132" t="s">
        <v>644</v>
      </c>
      <c r="L283" s="151">
        <v>0</v>
      </c>
      <c r="M283" s="128">
        <v>0</v>
      </c>
      <c r="N283" s="67">
        <v>0</v>
      </c>
      <c r="O283" s="67">
        <v>0</v>
      </c>
      <c r="P283" s="270" t="e">
        <v>#REF!</v>
      </c>
      <c r="Q283" s="71"/>
      <c r="R283" s="449"/>
      <c r="S283" s="67">
        <v>0</v>
      </c>
      <c r="T283" s="163">
        <v>0</v>
      </c>
      <c r="U283" s="43">
        <v>0</v>
      </c>
      <c r="V283" s="61"/>
      <c r="X283" s="67"/>
      <c r="Y283" s="451"/>
      <c r="Z283" s="452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984</v>
      </c>
      <c r="E284" s="67">
        <v>180532</v>
      </c>
      <c r="F284" s="146">
        <v>25000</v>
      </c>
      <c r="G284" s="146">
        <v>0</v>
      </c>
      <c r="H284" s="91">
        <v>205532</v>
      </c>
      <c r="I284" s="67">
        <v>0</v>
      </c>
      <c r="J284" s="20">
        <v>180532</v>
      </c>
      <c r="K284" s="132" t="s">
        <v>621</v>
      </c>
      <c r="L284" s="151">
        <v>0</v>
      </c>
      <c r="M284" s="128">
        <v>984</v>
      </c>
      <c r="N284" s="67">
        <v>386</v>
      </c>
      <c r="O284" s="67">
        <v>180918</v>
      </c>
      <c r="P284" s="270" t="e">
        <v>#REF!</v>
      </c>
      <c r="Q284" s="71"/>
      <c r="R284" s="449"/>
      <c r="S284" s="67">
        <v>150537</v>
      </c>
      <c r="T284" s="163">
        <v>30381</v>
      </c>
      <c r="U284" s="43">
        <v>0.20181749337372207</v>
      </c>
      <c r="V284" s="61"/>
      <c r="X284" s="67"/>
      <c r="Y284" s="451"/>
      <c r="Z284" s="452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96.25</v>
      </c>
      <c r="E285" s="67">
        <v>17659</v>
      </c>
      <c r="F285" s="146">
        <v>0</v>
      </c>
      <c r="G285" s="146">
        <v>3600</v>
      </c>
      <c r="H285" s="91">
        <v>21259</v>
      </c>
      <c r="I285" s="67">
        <v>0</v>
      </c>
      <c r="J285" s="20">
        <v>17659</v>
      </c>
      <c r="K285" s="132" t="s">
        <v>621</v>
      </c>
      <c r="L285" s="151">
        <v>0</v>
      </c>
      <c r="M285" s="128">
        <v>96.25</v>
      </c>
      <c r="N285" s="67">
        <v>38</v>
      </c>
      <c r="O285" s="67">
        <v>17697</v>
      </c>
      <c r="P285" s="270" t="e">
        <v>#REF!</v>
      </c>
      <c r="Q285" s="71"/>
      <c r="R285" s="449"/>
      <c r="S285" s="67">
        <v>0</v>
      </c>
      <c r="T285" s="163">
        <v>17697</v>
      </c>
      <c r="U285" s="43">
        <v>0</v>
      </c>
      <c r="V285" s="61"/>
      <c r="X285" s="67"/>
      <c r="Y285" s="451"/>
      <c r="Z285" s="452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124.5</v>
      </c>
      <c r="E286" s="67">
        <v>22842</v>
      </c>
      <c r="F286" s="146">
        <v>0</v>
      </c>
      <c r="G286" s="146">
        <v>0</v>
      </c>
      <c r="H286" s="91">
        <v>22842</v>
      </c>
      <c r="I286" s="67">
        <v>0</v>
      </c>
      <c r="J286" s="20">
        <v>22842</v>
      </c>
      <c r="K286" s="132" t="s">
        <v>621</v>
      </c>
      <c r="L286" s="151">
        <v>0</v>
      </c>
      <c r="M286" s="128">
        <v>124.5</v>
      </c>
      <c r="N286" s="67">
        <v>49</v>
      </c>
      <c r="O286" s="67">
        <v>22891</v>
      </c>
      <c r="P286" s="270" t="e">
        <v>#REF!</v>
      </c>
      <c r="Q286" s="71"/>
      <c r="R286" s="449"/>
      <c r="S286" s="67">
        <v>18127</v>
      </c>
      <c r="T286" s="163">
        <v>4764</v>
      </c>
      <c r="U286" s="43">
        <v>0.26281237932366086</v>
      </c>
      <c r="V286" s="61"/>
      <c r="X286" s="67"/>
      <c r="Y286" s="451"/>
      <c r="Z286" s="452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108.63</v>
      </c>
      <c r="E287" s="67">
        <v>19930</v>
      </c>
      <c r="F287" s="146">
        <v>25000</v>
      </c>
      <c r="G287" s="146">
        <v>0</v>
      </c>
      <c r="H287" s="91">
        <v>44930</v>
      </c>
      <c r="I287" s="67">
        <v>0</v>
      </c>
      <c r="J287" s="148">
        <v>19930</v>
      </c>
      <c r="K287" s="132" t="s">
        <v>621</v>
      </c>
      <c r="L287" s="151">
        <v>0</v>
      </c>
      <c r="M287" s="128">
        <v>108.63</v>
      </c>
      <c r="N287" s="67">
        <v>43</v>
      </c>
      <c r="O287" s="67">
        <v>19973</v>
      </c>
      <c r="P287" s="270" t="e">
        <v>#REF!</v>
      </c>
      <c r="Q287" s="71"/>
      <c r="R287" s="449"/>
      <c r="S287" s="67">
        <v>17333</v>
      </c>
      <c r="T287" s="163">
        <v>2640</v>
      </c>
      <c r="U287" s="43">
        <v>0.15231062135810303</v>
      </c>
      <c r="V287" s="115"/>
      <c r="X287" s="67"/>
      <c r="Y287" s="451"/>
      <c r="Z287" s="452"/>
      <c r="AC287" s="116"/>
      <c r="AD287" s="116"/>
      <c r="AE287" s="116"/>
      <c r="AF287" s="117"/>
    </row>
    <row r="288" spans="1:32">
      <c r="A288" s="64" t="s">
        <v>594</v>
      </c>
      <c r="B288" s="63" t="s">
        <v>254</v>
      </c>
      <c r="C288" s="63" t="s">
        <v>255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20">
        <v>0</v>
      </c>
      <c r="K288" s="132">
        <v>0</v>
      </c>
      <c r="L288" s="151">
        <v>0</v>
      </c>
      <c r="M288" s="128">
        <v>0</v>
      </c>
      <c r="N288" s="67">
        <v>0</v>
      </c>
      <c r="O288" s="67">
        <v>0</v>
      </c>
      <c r="P288" s="270" t="e">
        <v>#N/A</v>
      </c>
      <c r="Q288" s="71"/>
      <c r="R288" s="449"/>
      <c r="S288" s="67">
        <v>0</v>
      </c>
      <c r="T288" s="163">
        <v>0</v>
      </c>
      <c r="U288" s="43">
        <v>0</v>
      </c>
      <c r="V288" s="61"/>
      <c r="X288" s="67"/>
      <c r="Y288" s="451"/>
      <c r="Z288" s="452"/>
      <c r="AC288" s="36"/>
      <c r="AD288" s="36"/>
      <c r="AE288" s="36"/>
      <c r="AF288" s="19"/>
    </row>
    <row r="289" spans="1:32">
      <c r="A289" s="64" t="s">
        <v>603</v>
      </c>
      <c r="B289" s="63" t="s">
        <v>454</v>
      </c>
      <c r="C289" s="63" t="s">
        <v>455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20">
        <v>0</v>
      </c>
      <c r="K289" s="132" t="s">
        <v>644</v>
      </c>
      <c r="L289" s="151">
        <v>0</v>
      </c>
      <c r="M289" s="128">
        <v>0</v>
      </c>
      <c r="N289" s="67">
        <v>0</v>
      </c>
      <c r="O289" s="67">
        <v>0</v>
      </c>
      <c r="P289" s="270" t="e">
        <v>#REF!</v>
      </c>
      <c r="Q289" s="71"/>
      <c r="R289" s="449"/>
      <c r="S289" s="67">
        <v>0</v>
      </c>
      <c r="T289" s="163">
        <v>0</v>
      </c>
      <c r="U289" s="43">
        <v>0</v>
      </c>
      <c r="V289" s="61"/>
      <c r="X289" s="67"/>
      <c r="Y289" s="451"/>
      <c r="Z289" s="452"/>
      <c r="AC289" s="36"/>
      <c r="AD289" s="36"/>
      <c r="AE289" s="36"/>
      <c r="AF289" s="19"/>
    </row>
    <row r="290" spans="1:32">
      <c r="A290" s="64" t="s">
        <v>599</v>
      </c>
      <c r="B290" s="63" t="s">
        <v>49</v>
      </c>
      <c r="C290" s="63" t="s">
        <v>50</v>
      </c>
      <c r="D290" s="134">
        <v>1862.25</v>
      </c>
      <c r="E290" s="67">
        <v>341662</v>
      </c>
      <c r="F290" s="146">
        <v>0</v>
      </c>
      <c r="G290" s="146">
        <v>0</v>
      </c>
      <c r="H290" s="91">
        <v>341662</v>
      </c>
      <c r="I290" s="67">
        <v>0</v>
      </c>
      <c r="J290" s="20">
        <v>341662</v>
      </c>
      <c r="K290" s="132" t="s">
        <v>621</v>
      </c>
      <c r="L290" s="151">
        <v>0</v>
      </c>
      <c r="M290" s="128">
        <v>1862.25</v>
      </c>
      <c r="N290" s="67">
        <v>731</v>
      </c>
      <c r="O290" s="67">
        <v>342393</v>
      </c>
      <c r="P290" s="270" t="e">
        <v>#REF!</v>
      </c>
      <c r="Q290" s="71"/>
      <c r="R290" s="449"/>
      <c r="S290" s="67">
        <v>305027</v>
      </c>
      <c r="T290" s="163">
        <v>37366</v>
      </c>
      <c r="U290" s="43">
        <v>0.12250063109167385</v>
      </c>
      <c r="V290" s="61"/>
      <c r="X290" s="67"/>
      <c r="Y290" s="451"/>
      <c r="Z290" s="452"/>
      <c r="AC290" s="36"/>
      <c r="AD290" s="36"/>
      <c r="AE290" s="36"/>
      <c r="AF290" s="19"/>
    </row>
    <row r="291" spans="1:32" s="112" customFormat="1">
      <c r="A291" s="138" t="s">
        <v>597</v>
      </c>
      <c r="B291" s="139" t="s">
        <v>183</v>
      </c>
      <c r="C291" s="63" t="s">
        <v>184</v>
      </c>
      <c r="D291" s="134">
        <v>20.63</v>
      </c>
      <c r="E291" s="67">
        <v>3785</v>
      </c>
      <c r="F291" s="146">
        <v>0</v>
      </c>
      <c r="G291" s="146">
        <v>0</v>
      </c>
      <c r="H291" s="91">
        <v>3785</v>
      </c>
      <c r="I291" s="67">
        <v>0</v>
      </c>
      <c r="J291" s="148">
        <v>3785</v>
      </c>
      <c r="K291" s="132" t="s">
        <v>621</v>
      </c>
      <c r="L291" s="151">
        <v>0</v>
      </c>
      <c r="M291" s="128">
        <v>20.63</v>
      </c>
      <c r="N291" s="67">
        <v>8</v>
      </c>
      <c r="O291" s="67">
        <v>3793</v>
      </c>
      <c r="P291" s="270" t="e">
        <v>#REF!</v>
      </c>
      <c r="Q291" s="71"/>
      <c r="R291" s="449"/>
      <c r="S291" s="67">
        <v>0</v>
      </c>
      <c r="T291" s="163">
        <v>3793</v>
      </c>
      <c r="U291" s="43">
        <v>0</v>
      </c>
      <c r="V291" s="115"/>
      <c r="X291" s="67"/>
      <c r="Y291" s="451"/>
      <c r="Z291" s="452"/>
      <c r="AC291" s="116"/>
      <c r="AD291" s="116"/>
      <c r="AE291" s="116"/>
      <c r="AF291" s="117"/>
    </row>
    <row r="292" spans="1:32">
      <c r="A292" s="64" t="s">
        <v>599</v>
      </c>
      <c r="B292" s="63" t="s">
        <v>488</v>
      </c>
      <c r="C292" s="63" t="s">
        <v>489</v>
      </c>
      <c r="D292" s="134">
        <v>3.88</v>
      </c>
      <c r="E292" s="67">
        <v>712</v>
      </c>
      <c r="F292" s="146">
        <v>0</v>
      </c>
      <c r="G292" s="146">
        <v>0</v>
      </c>
      <c r="H292" s="91">
        <v>712</v>
      </c>
      <c r="I292" s="67">
        <v>0</v>
      </c>
      <c r="J292" s="20">
        <v>712</v>
      </c>
      <c r="K292" s="132" t="s">
        <v>621</v>
      </c>
      <c r="L292" s="151">
        <v>0</v>
      </c>
      <c r="M292" s="128">
        <v>3.88</v>
      </c>
      <c r="N292" s="67">
        <v>2</v>
      </c>
      <c r="O292" s="67">
        <v>714</v>
      </c>
      <c r="P292" s="270" t="e">
        <v>#REF!</v>
      </c>
      <c r="Q292" s="71"/>
      <c r="R292" s="449"/>
      <c r="S292" s="67">
        <v>0</v>
      </c>
      <c r="T292" s="163">
        <v>714</v>
      </c>
      <c r="U292" s="43">
        <v>0</v>
      </c>
      <c r="V292" s="61"/>
      <c r="X292" s="67"/>
      <c r="Y292" s="451"/>
      <c r="Z292" s="452"/>
      <c r="AC292" s="36"/>
      <c r="AD292" s="36"/>
      <c r="AE292" s="36"/>
      <c r="AF292" s="19"/>
    </row>
    <row r="293" spans="1:32">
      <c r="A293" s="64" t="s">
        <v>605</v>
      </c>
      <c r="B293" s="63" t="s">
        <v>114</v>
      </c>
      <c r="C293" s="63" t="s">
        <v>115</v>
      </c>
      <c r="D293" s="134">
        <v>1154.3800000000001</v>
      </c>
      <c r="E293" s="67">
        <v>211791</v>
      </c>
      <c r="F293" s="146">
        <v>0</v>
      </c>
      <c r="G293" s="146">
        <v>0</v>
      </c>
      <c r="H293" s="91">
        <v>211791</v>
      </c>
      <c r="I293" s="67">
        <v>0</v>
      </c>
      <c r="J293" s="20">
        <v>211791</v>
      </c>
      <c r="K293" s="132" t="s">
        <v>621</v>
      </c>
      <c r="L293" s="151">
        <v>0</v>
      </c>
      <c r="M293" s="128">
        <v>1154.3800000000001</v>
      </c>
      <c r="N293" s="67">
        <v>453</v>
      </c>
      <c r="O293" s="67">
        <v>212244</v>
      </c>
      <c r="P293" s="270" t="e">
        <v>#REF!</v>
      </c>
      <c r="Q293" s="71"/>
      <c r="R293" s="449"/>
      <c r="S293" s="67">
        <v>181586</v>
      </c>
      <c r="T293" s="163">
        <v>30658</v>
      </c>
      <c r="U293" s="43">
        <v>0.16883460178648133</v>
      </c>
      <c r="V293" s="61"/>
      <c r="X293" s="67"/>
      <c r="Y293" s="451"/>
      <c r="Z293" s="452"/>
      <c r="AC293" s="36"/>
      <c r="AD293" s="36"/>
      <c r="AE293" s="36"/>
      <c r="AF293" s="19"/>
    </row>
    <row r="294" spans="1:32">
      <c r="A294" s="64" t="s">
        <v>596</v>
      </c>
      <c r="B294" s="63" t="s">
        <v>500</v>
      </c>
      <c r="C294" s="63" t="s">
        <v>501</v>
      </c>
      <c r="D294" s="134">
        <v>0</v>
      </c>
      <c r="E294" s="67">
        <v>0</v>
      </c>
      <c r="F294" s="146">
        <v>0</v>
      </c>
      <c r="G294" s="146">
        <v>0</v>
      </c>
      <c r="H294" s="91">
        <v>0</v>
      </c>
      <c r="I294" s="67">
        <v>0</v>
      </c>
      <c r="J294" s="20">
        <v>0</v>
      </c>
      <c r="K294" s="132" t="s">
        <v>644</v>
      </c>
      <c r="L294" s="151">
        <v>0</v>
      </c>
      <c r="M294" s="128">
        <v>0</v>
      </c>
      <c r="N294" s="67">
        <v>0</v>
      </c>
      <c r="O294" s="67">
        <v>0</v>
      </c>
      <c r="P294" s="270" t="e">
        <v>#REF!</v>
      </c>
      <c r="Q294" s="71"/>
      <c r="R294" s="449"/>
      <c r="S294" s="67">
        <v>0</v>
      </c>
      <c r="T294" s="163">
        <v>0</v>
      </c>
      <c r="U294" s="43">
        <v>0</v>
      </c>
      <c r="V294" s="61"/>
      <c r="X294" s="67"/>
      <c r="Y294" s="451"/>
      <c r="Z294" s="452"/>
      <c r="AC294" s="36"/>
      <c r="AD294" s="36"/>
      <c r="AE294" s="36"/>
      <c r="AF294" s="19"/>
    </row>
    <row r="295" spans="1:32">
      <c r="A295" s="64" t="s">
        <v>596</v>
      </c>
      <c r="B295" s="63" t="s">
        <v>492</v>
      </c>
      <c r="C295" s="63" t="s">
        <v>493</v>
      </c>
      <c r="D295" s="134">
        <v>771.13</v>
      </c>
      <c r="E295" s="67">
        <v>141477</v>
      </c>
      <c r="F295" s="146">
        <v>10000</v>
      </c>
      <c r="G295" s="146">
        <v>0</v>
      </c>
      <c r="H295" s="91">
        <v>151477</v>
      </c>
      <c r="I295" s="67">
        <v>0</v>
      </c>
      <c r="J295" s="20">
        <v>141477</v>
      </c>
      <c r="K295" s="132" t="s">
        <v>621</v>
      </c>
      <c r="L295" s="151">
        <v>0</v>
      </c>
      <c r="M295" s="128">
        <v>771.13</v>
      </c>
      <c r="N295" s="67">
        <v>303</v>
      </c>
      <c r="O295" s="67">
        <v>141780</v>
      </c>
      <c r="P295" s="270" t="e">
        <v>#REF!</v>
      </c>
      <c r="Q295" s="71"/>
      <c r="R295" s="449"/>
      <c r="S295" s="67">
        <v>120179</v>
      </c>
      <c r="T295" s="163">
        <v>21601</v>
      </c>
      <c r="U295" s="43">
        <v>0.17974022083725111</v>
      </c>
      <c r="V295" s="61"/>
      <c r="X295" s="67"/>
      <c r="Y295" s="451"/>
      <c r="Z295" s="452"/>
      <c r="AC295" s="36"/>
      <c r="AD295" s="36"/>
      <c r="AE295" s="36"/>
      <c r="AF295" s="19"/>
    </row>
    <row r="296" spans="1:32">
      <c r="A296" s="64" t="s">
        <v>605</v>
      </c>
      <c r="B296" s="63" t="s">
        <v>567</v>
      </c>
      <c r="C296" s="63" t="s">
        <v>568</v>
      </c>
      <c r="D296" s="134">
        <v>1004.63</v>
      </c>
      <c r="E296" s="67">
        <v>184317</v>
      </c>
      <c r="F296" s="146">
        <v>0</v>
      </c>
      <c r="G296" s="146">
        <v>0</v>
      </c>
      <c r="H296" s="91">
        <v>184317</v>
      </c>
      <c r="I296" s="67">
        <v>0</v>
      </c>
      <c r="J296" s="20">
        <v>184317</v>
      </c>
      <c r="K296" s="132" t="s">
        <v>621</v>
      </c>
      <c r="L296" s="151">
        <v>0</v>
      </c>
      <c r="M296" s="128">
        <v>1004.63</v>
      </c>
      <c r="N296" s="67">
        <v>394</v>
      </c>
      <c r="O296" s="67">
        <v>184711</v>
      </c>
      <c r="P296" s="270" t="e">
        <v>#REF!</v>
      </c>
      <c r="Q296" s="71"/>
      <c r="R296" s="449"/>
      <c r="S296" s="67">
        <v>162811</v>
      </c>
      <c r="T296" s="163">
        <v>21900</v>
      </c>
      <c r="U296" s="43">
        <v>0.13451179588602735</v>
      </c>
      <c r="V296" s="61"/>
      <c r="X296" s="67"/>
      <c r="Y296" s="451"/>
      <c r="Z296" s="452"/>
      <c r="AC296" s="36"/>
      <c r="AD296" s="36"/>
      <c r="AE296" s="36"/>
      <c r="AF296" s="19"/>
    </row>
    <row r="297" spans="1:32">
      <c r="A297" s="64" t="s">
        <v>601</v>
      </c>
      <c r="B297" s="63" t="s">
        <v>118</v>
      </c>
      <c r="C297" s="63" t="s">
        <v>119</v>
      </c>
      <c r="D297" s="134">
        <v>293.38</v>
      </c>
      <c r="E297" s="67">
        <v>53826</v>
      </c>
      <c r="F297" s="146">
        <v>0</v>
      </c>
      <c r="G297" s="146">
        <v>0</v>
      </c>
      <c r="H297" s="91">
        <v>53826</v>
      </c>
      <c r="I297" s="67">
        <v>0</v>
      </c>
      <c r="J297" s="20">
        <v>53826</v>
      </c>
      <c r="K297" s="132" t="s">
        <v>621</v>
      </c>
      <c r="L297" s="151">
        <v>0</v>
      </c>
      <c r="M297" s="128">
        <v>293.38</v>
      </c>
      <c r="N297" s="67">
        <v>115</v>
      </c>
      <c r="O297" s="67">
        <v>53941</v>
      </c>
      <c r="P297" s="270" t="e">
        <v>#REF!</v>
      </c>
      <c r="Q297" s="71"/>
      <c r="R297" s="449"/>
      <c r="S297" s="67">
        <v>48883</v>
      </c>
      <c r="T297" s="163">
        <v>5058</v>
      </c>
      <c r="U297" s="43">
        <v>0.10347155452815908</v>
      </c>
      <c r="V297" s="61"/>
      <c r="X297" s="67"/>
      <c r="Y297" s="451"/>
      <c r="Z297" s="452"/>
      <c r="AC297" s="36"/>
      <c r="AD297" s="36"/>
      <c r="AE297" s="36"/>
      <c r="AF297" s="19"/>
    </row>
    <row r="298" spans="1:32">
      <c r="A298" s="64" t="s">
        <v>599</v>
      </c>
      <c r="B298" s="63" t="s">
        <v>56</v>
      </c>
      <c r="C298" s="63" t="s">
        <v>57</v>
      </c>
      <c r="D298" s="134">
        <v>44.88</v>
      </c>
      <c r="E298" s="67">
        <v>8234</v>
      </c>
      <c r="F298" s="146">
        <v>0</v>
      </c>
      <c r="G298" s="146">
        <v>0</v>
      </c>
      <c r="H298" s="91">
        <v>8234</v>
      </c>
      <c r="I298" s="67">
        <v>0</v>
      </c>
      <c r="J298" s="20">
        <v>8234</v>
      </c>
      <c r="K298" s="132" t="s">
        <v>621</v>
      </c>
      <c r="L298" s="151">
        <v>0</v>
      </c>
      <c r="M298" s="128">
        <v>44.88</v>
      </c>
      <c r="N298" s="67">
        <v>18</v>
      </c>
      <c r="O298" s="67">
        <v>8252</v>
      </c>
      <c r="P298" s="270" t="e">
        <v>#REF!</v>
      </c>
      <c r="Q298" s="71"/>
      <c r="R298" s="449"/>
      <c r="S298" s="67">
        <v>9534</v>
      </c>
      <c r="T298" s="163">
        <v>-1282</v>
      </c>
      <c r="U298" s="43">
        <v>-0.13446612125026222</v>
      </c>
      <c r="V298" s="61"/>
      <c r="X298" s="67"/>
      <c r="Y298" s="451"/>
      <c r="Z298" s="452"/>
      <c r="AC298" s="36"/>
      <c r="AD298" s="36"/>
      <c r="AE298" s="36"/>
      <c r="AF298" s="19"/>
    </row>
    <row r="299" spans="1:32">
      <c r="A299" s="64" t="s">
        <v>603</v>
      </c>
      <c r="B299" s="63" t="s">
        <v>0</v>
      </c>
      <c r="C299" s="63" t="s">
        <v>1</v>
      </c>
      <c r="D299" s="134">
        <v>0</v>
      </c>
      <c r="E299" s="67">
        <v>0</v>
      </c>
      <c r="F299" s="146">
        <v>0</v>
      </c>
      <c r="G299" s="146">
        <v>0</v>
      </c>
      <c r="H299" s="91">
        <v>0</v>
      </c>
      <c r="I299" s="67">
        <v>0</v>
      </c>
      <c r="J299" s="20">
        <v>0</v>
      </c>
      <c r="K299" s="132" t="s">
        <v>644</v>
      </c>
      <c r="L299" s="151">
        <v>0</v>
      </c>
      <c r="M299" s="128">
        <v>0</v>
      </c>
      <c r="N299" s="67">
        <v>0</v>
      </c>
      <c r="O299" s="67">
        <v>0</v>
      </c>
      <c r="P299" s="270" t="e">
        <v>#REF!</v>
      </c>
      <c r="Q299" s="71"/>
      <c r="R299" s="449"/>
      <c r="S299" s="67">
        <v>0</v>
      </c>
      <c r="T299" s="163">
        <v>0</v>
      </c>
      <c r="U299" s="43">
        <v>0</v>
      </c>
      <c r="V299" s="61"/>
      <c r="X299" s="67"/>
      <c r="Y299" s="451"/>
      <c r="Z299" s="452"/>
      <c r="AC299" s="36"/>
      <c r="AD299" s="36"/>
      <c r="AE299" s="36"/>
      <c r="AF299" s="19"/>
    </row>
    <row r="300" spans="1:32">
      <c r="A300" s="64" t="s">
        <v>601</v>
      </c>
      <c r="B300" s="63" t="s">
        <v>92</v>
      </c>
      <c r="C300" s="63" t="s">
        <v>93</v>
      </c>
      <c r="D300" s="134">
        <v>22.5</v>
      </c>
      <c r="E300" s="67">
        <v>4128</v>
      </c>
      <c r="F300" s="146">
        <v>0</v>
      </c>
      <c r="G300" s="146">
        <v>0</v>
      </c>
      <c r="H300" s="91">
        <v>4128</v>
      </c>
      <c r="I300" s="67">
        <v>0</v>
      </c>
      <c r="J300" s="20">
        <v>4128</v>
      </c>
      <c r="K300" s="132" t="s">
        <v>644</v>
      </c>
      <c r="L300" s="151">
        <v>4128</v>
      </c>
      <c r="M300" s="128">
        <v>0</v>
      </c>
      <c r="N300" s="67">
        <v>0</v>
      </c>
      <c r="O300" s="67">
        <v>0</v>
      </c>
      <c r="P300" s="270" t="e">
        <v>#REF!</v>
      </c>
      <c r="Q300" s="71"/>
      <c r="R300" s="449"/>
      <c r="S300" s="67">
        <v>0</v>
      </c>
      <c r="T300" s="163">
        <v>0</v>
      </c>
      <c r="U300" s="43">
        <v>0</v>
      </c>
      <c r="V300" s="61"/>
      <c r="X300" s="67"/>
      <c r="Y300" s="451"/>
      <c r="Z300" s="452"/>
      <c r="AC300" s="36"/>
      <c r="AD300" s="36"/>
      <c r="AE300" s="36"/>
      <c r="AF300" s="19"/>
    </row>
    <row r="301" spans="1:32">
      <c r="A301" s="64" t="s">
        <v>603</v>
      </c>
      <c r="B301" s="63" t="s">
        <v>452</v>
      </c>
      <c r="C301" s="63" t="s">
        <v>453</v>
      </c>
      <c r="D301" s="134">
        <v>0</v>
      </c>
      <c r="E301" s="67">
        <v>0</v>
      </c>
      <c r="F301" s="146">
        <v>0</v>
      </c>
      <c r="G301" s="146">
        <v>0</v>
      </c>
      <c r="H301" s="91">
        <v>0</v>
      </c>
      <c r="I301" s="67">
        <v>0</v>
      </c>
      <c r="J301" s="20">
        <v>0</v>
      </c>
      <c r="K301" s="132" t="s">
        <v>644</v>
      </c>
      <c r="L301" s="151">
        <v>0</v>
      </c>
      <c r="M301" s="128">
        <v>0</v>
      </c>
      <c r="N301" s="67">
        <v>0</v>
      </c>
      <c r="O301" s="67">
        <v>0</v>
      </c>
      <c r="P301" s="270" t="e">
        <v>#REF!</v>
      </c>
      <c r="Q301" s="71"/>
      <c r="R301" s="449"/>
      <c r="S301" s="67">
        <v>0</v>
      </c>
      <c r="T301" s="163">
        <v>0</v>
      </c>
      <c r="U301" s="43">
        <v>0</v>
      </c>
      <c r="V301" s="61"/>
      <c r="X301" s="67"/>
      <c r="Y301" s="451"/>
      <c r="Z301" s="452"/>
      <c r="AC301" s="36"/>
      <c r="AD301" s="36"/>
      <c r="AE301" s="36"/>
      <c r="AF301" s="19"/>
    </row>
    <row r="302" spans="1:32">
      <c r="A302" s="64" t="s">
        <v>601</v>
      </c>
      <c r="B302" s="63" t="s">
        <v>37</v>
      </c>
      <c r="C302" s="63" t="s">
        <v>38</v>
      </c>
      <c r="D302" s="134">
        <v>1464.75</v>
      </c>
      <c r="E302" s="67">
        <v>268734</v>
      </c>
      <c r="F302" s="146">
        <v>0</v>
      </c>
      <c r="G302" s="146">
        <v>0</v>
      </c>
      <c r="H302" s="91">
        <v>268734</v>
      </c>
      <c r="I302" s="67">
        <v>0</v>
      </c>
      <c r="J302" s="20">
        <v>268734</v>
      </c>
      <c r="K302" s="132" t="s">
        <v>621</v>
      </c>
      <c r="L302" s="151">
        <v>0</v>
      </c>
      <c r="M302" s="128">
        <v>1464.75</v>
      </c>
      <c r="N302" s="67">
        <v>575</v>
      </c>
      <c r="O302" s="67">
        <v>269309</v>
      </c>
      <c r="P302" s="270" t="e">
        <v>#REF!</v>
      </c>
      <c r="Q302" s="71"/>
      <c r="R302" s="449"/>
      <c r="S302" s="67">
        <v>262061</v>
      </c>
      <c r="T302" s="163">
        <v>7248</v>
      </c>
      <c r="U302" s="43">
        <v>2.7657682753252106E-2</v>
      </c>
      <c r="V302" s="61"/>
      <c r="X302" s="67"/>
      <c r="Y302" s="451"/>
      <c r="Z302" s="452"/>
      <c r="AC302" s="36"/>
      <c r="AD302" s="36"/>
      <c r="AE302" s="36"/>
      <c r="AF302" s="19"/>
    </row>
    <row r="303" spans="1:32">
      <c r="A303" s="144" t="s">
        <v>603</v>
      </c>
      <c r="B303" s="131" t="s">
        <v>443</v>
      </c>
      <c r="C303" s="63" t="s">
        <v>675</v>
      </c>
      <c r="D303" s="134">
        <v>90.13</v>
      </c>
      <c r="E303" s="67">
        <v>16536</v>
      </c>
      <c r="F303" s="146">
        <v>0</v>
      </c>
      <c r="G303" s="146">
        <v>2250</v>
      </c>
      <c r="H303" s="91">
        <v>18786</v>
      </c>
      <c r="I303" s="67">
        <v>0</v>
      </c>
      <c r="J303" s="100">
        <v>16536</v>
      </c>
      <c r="K303" s="132" t="s">
        <v>621</v>
      </c>
      <c r="L303" s="151">
        <v>0</v>
      </c>
      <c r="M303" s="128">
        <v>90.13</v>
      </c>
      <c r="N303" s="67">
        <v>35</v>
      </c>
      <c r="O303" s="67">
        <v>16571</v>
      </c>
      <c r="P303" s="270" t="e">
        <v>#REF!</v>
      </c>
      <c r="Q303" s="71"/>
      <c r="R303" s="449"/>
      <c r="S303" s="67">
        <v>13402</v>
      </c>
      <c r="T303" s="163">
        <v>3169</v>
      </c>
      <c r="U303" s="43">
        <v>0.23645724518728548</v>
      </c>
      <c r="V303" s="61"/>
      <c r="X303" s="67"/>
      <c r="Y303" s="451"/>
      <c r="Z303" s="452"/>
      <c r="AC303" s="36"/>
      <c r="AD303" s="36"/>
      <c r="AE303" s="36"/>
      <c r="AF303" s="19"/>
    </row>
    <row r="304" spans="1:32">
      <c r="A304" s="64" t="s">
        <v>605</v>
      </c>
      <c r="B304" s="63" t="s">
        <v>569</v>
      </c>
      <c r="C304" s="63" t="s">
        <v>570</v>
      </c>
      <c r="D304" s="134">
        <v>56.13</v>
      </c>
      <c r="E304" s="67">
        <v>10298</v>
      </c>
      <c r="F304" s="146">
        <v>0</v>
      </c>
      <c r="G304" s="146">
        <v>0</v>
      </c>
      <c r="H304" s="91">
        <v>10298</v>
      </c>
      <c r="I304" s="67">
        <v>0</v>
      </c>
      <c r="J304" s="20">
        <v>10298</v>
      </c>
      <c r="K304" s="132" t="s">
        <v>621</v>
      </c>
      <c r="L304" s="151">
        <v>0</v>
      </c>
      <c r="M304" s="128">
        <v>56.13</v>
      </c>
      <c r="N304" s="67">
        <v>22</v>
      </c>
      <c r="O304" s="67">
        <v>10320</v>
      </c>
      <c r="P304" s="270" t="e">
        <v>#REF!</v>
      </c>
      <c r="Q304" s="71"/>
      <c r="R304" s="449"/>
      <c r="S304" s="67">
        <v>9304</v>
      </c>
      <c r="T304" s="163">
        <v>1016</v>
      </c>
      <c r="U304" s="43">
        <v>0.10920034393809114</v>
      </c>
      <c r="V304" s="61"/>
      <c r="X304" s="67"/>
      <c r="Y304" s="451"/>
      <c r="Z304" s="452"/>
      <c r="AC304" s="36"/>
      <c r="AD304" s="36"/>
      <c r="AE304" s="36"/>
      <c r="AF304" s="19"/>
    </row>
    <row r="305" spans="1:32">
      <c r="A305" s="64" t="s">
        <v>594</v>
      </c>
      <c r="B305" s="63" t="s">
        <v>276</v>
      </c>
      <c r="C305" s="63" t="s">
        <v>277</v>
      </c>
      <c r="D305" s="134">
        <v>0</v>
      </c>
      <c r="E305" s="67">
        <v>0</v>
      </c>
      <c r="F305" s="146">
        <v>0</v>
      </c>
      <c r="G305" s="146">
        <v>0</v>
      </c>
      <c r="H305" s="91">
        <v>0</v>
      </c>
      <c r="I305" s="67">
        <v>0</v>
      </c>
      <c r="J305" s="20">
        <v>0</v>
      </c>
      <c r="K305" s="132" t="s">
        <v>644</v>
      </c>
      <c r="L305" s="151">
        <v>0</v>
      </c>
      <c r="M305" s="128">
        <v>0</v>
      </c>
      <c r="N305" s="67">
        <v>0</v>
      </c>
      <c r="O305" s="67">
        <v>0</v>
      </c>
      <c r="P305" s="270" t="e">
        <v>#REF!</v>
      </c>
      <c r="Q305" s="71"/>
      <c r="R305" s="449"/>
      <c r="S305" s="67">
        <v>0</v>
      </c>
      <c r="T305" s="163">
        <v>0</v>
      </c>
      <c r="U305" s="43">
        <v>0</v>
      </c>
      <c r="V305" s="61"/>
      <c r="X305" s="67"/>
      <c r="Y305" s="451"/>
      <c r="Z305" s="452"/>
      <c r="AC305" s="36"/>
      <c r="AD305" s="36"/>
      <c r="AE305" s="36"/>
      <c r="AF305" s="19"/>
    </row>
    <row r="306" spans="1:32">
      <c r="A306" s="64" t="s">
        <v>597</v>
      </c>
      <c r="B306" s="63" t="s">
        <v>367</v>
      </c>
      <c r="C306" s="63" t="s">
        <v>368</v>
      </c>
      <c r="D306" s="134">
        <v>33.880000000000003</v>
      </c>
      <c r="E306" s="67">
        <v>6216</v>
      </c>
      <c r="F306" s="146">
        <v>0</v>
      </c>
      <c r="G306" s="146">
        <v>0</v>
      </c>
      <c r="H306" s="91">
        <v>6216</v>
      </c>
      <c r="I306" s="67">
        <v>0</v>
      </c>
      <c r="J306" s="20">
        <v>6216</v>
      </c>
      <c r="K306" s="132" t="s">
        <v>621</v>
      </c>
      <c r="L306" s="151">
        <v>0</v>
      </c>
      <c r="M306" s="128">
        <v>33.880000000000003</v>
      </c>
      <c r="N306" s="67">
        <v>13</v>
      </c>
      <c r="O306" s="67">
        <v>6229</v>
      </c>
      <c r="P306" s="270" t="e">
        <v>#REF!</v>
      </c>
      <c r="Q306" s="71"/>
      <c r="R306" s="449"/>
      <c r="S306" s="67">
        <v>0</v>
      </c>
      <c r="T306" s="163">
        <v>6229</v>
      </c>
      <c r="U306" s="43">
        <v>0</v>
      </c>
      <c r="V306" s="61"/>
      <c r="X306" s="67"/>
      <c r="Y306" s="451"/>
      <c r="Z306" s="452"/>
      <c r="AC306" s="36"/>
      <c r="AD306" s="36"/>
      <c r="AE306" s="36"/>
      <c r="AF306" s="19"/>
    </row>
    <row r="307" spans="1:32">
      <c r="A307" s="64" t="s">
        <v>599</v>
      </c>
      <c r="B307" s="63" t="s">
        <v>248</v>
      </c>
      <c r="C307" s="63" t="s">
        <v>249</v>
      </c>
      <c r="D307" s="134">
        <v>189.5</v>
      </c>
      <c r="E307" s="67">
        <v>34767</v>
      </c>
      <c r="F307" s="146">
        <v>0</v>
      </c>
      <c r="G307" s="146">
        <v>0</v>
      </c>
      <c r="H307" s="91">
        <v>34767</v>
      </c>
      <c r="I307" s="67">
        <v>0</v>
      </c>
      <c r="J307" s="20">
        <v>34767</v>
      </c>
      <c r="K307" s="132" t="s">
        <v>621</v>
      </c>
      <c r="L307" s="151">
        <v>0</v>
      </c>
      <c r="M307" s="128">
        <v>189.5</v>
      </c>
      <c r="N307" s="67">
        <v>74</v>
      </c>
      <c r="O307" s="67">
        <v>34841</v>
      </c>
      <c r="P307" s="270" t="e">
        <v>#REF!</v>
      </c>
      <c r="Q307" s="71"/>
      <c r="R307" s="449"/>
      <c r="S307" s="67">
        <v>30232</v>
      </c>
      <c r="T307" s="163">
        <v>4609</v>
      </c>
      <c r="U307" s="43">
        <v>0.15245435300344007</v>
      </c>
      <c r="V307" s="61"/>
      <c r="X307" s="67"/>
      <c r="Y307" s="451"/>
      <c r="Z307" s="452"/>
      <c r="AC307" s="36"/>
      <c r="AD307" s="36"/>
      <c r="AE307" s="36"/>
      <c r="AF307" s="19"/>
    </row>
    <row r="308" spans="1:32">
      <c r="A308" s="64" t="s">
        <v>603</v>
      </c>
      <c r="B308" s="63" t="s">
        <v>289</v>
      </c>
      <c r="C308" s="63" t="s">
        <v>290</v>
      </c>
      <c r="D308" s="134">
        <v>0</v>
      </c>
      <c r="E308" s="67">
        <v>0</v>
      </c>
      <c r="F308" s="146">
        <v>0</v>
      </c>
      <c r="G308" s="146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P308" s="270" t="e">
        <v>#REF!</v>
      </c>
      <c r="Q308" s="71"/>
      <c r="R308" s="449"/>
      <c r="S308" s="67">
        <v>0</v>
      </c>
      <c r="T308" s="163">
        <v>0</v>
      </c>
      <c r="U308" s="43">
        <v>0</v>
      </c>
      <c r="V308" s="61"/>
      <c r="X308" s="67"/>
      <c r="Y308" s="451"/>
      <c r="Z308" s="452"/>
      <c r="AC308" s="36"/>
      <c r="AD308" s="36"/>
      <c r="AE308" s="36"/>
      <c r="AF308" s="19"/>
    </row>
    <row r="309" spans="1:32">
      <c r="A309" s="64" t="s">
        <v>594</v>
      </c>
      <c r="B309" s="63" t="s">
        <v>332</v>
      </c>
      <c r="C309" s="63" t="s">
        <v>333</v>
      </c>
      <c r="D309" s="134">
        <v>14</v>
      </c>
      <c r="E309" s="67">
        <v>2569</v>
      </c>
      <c r="F309" s="146">
        <v>0</v>
      </c>
      <c r="G309" s="146">
        <v>0</v>
      </c>
      <c r="H309" s="91">
        <v>2569</v>
      </c>
      <c r="I309" s="67">
        <v>0</v>
      </c>
      <c r="J309" s="20">
        <v>2569</v>
      </c>
      <c r="K309" s="132" t="s">
        <v>621</v>
      </c>
      <c r="L309" s="151">
        <v>0</v>
      </c>
      <c r="M309" s="128">
        <v>14</v>
      </c>
      <c r="N309" s="67">
        <v>5</v>
      </c>
      <c r="O309" s="67">
        <v>2574</v>
      </c>
      <c r="P309" s="270" t="e">
        <v>#REF!</v>
      </c>
      <c r="Q309" s="71"/>
      <c r="R309" s="449"/>
      <c r="S309" s="67">
        <v>0</v>
      </c>
      <c r="T309" s="163">
        <v>2574</v>
      </c>
      <c r="U309" s="43">
        <v>0</v>
      </c>
      <c r="V309" s="61"/>
      <c r="X309" s="67"/>
      <c r="Y309" s="451"/>
      <c r="Z309" s="452"/>
      <c r="AC309" s="36"/>
      <c r="AD309" s="36"/>
      <c r="AE309" s="36"/>
      <c r="AF309" s="19"/>
    </row>
    <row r="310" spans="1:32">
      <c r="A310" s="64" t="s">
        <v>601</v>
      </c>
      <c r="B310" s="63" t="s">
        <v>129</v>
      </c>
      <c r="C310" s="63" t="s">
        <v>130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20">
        <v>0</v>
      </c>
      <c r="K310" s="132" t="s">
        <v>644</v>
      </c>
      <c r="L310" s="151">
        <v>0</v>
      </c>
      <c r="M310" s="128">
        <v>0</v>
      </c>
      <c r="N310" s="67">
        <v>0</v>
      </c>
      <c r="O310" s="67">
        <v>0</v>
      </c>
      <c r="P310" s="270" t="e">
        <v>#REF!</v>
      </c>
      <c r="Q310" s="71"/>
      <c r="R310" s="449"/>
      <c r="S310" s="67">
        <v>0</v>
      </c>
      <c r="T310" s="163">
        <v>0</v>
      </c>
      <c r="U310" s="43">
        <v>0</v>
      </c>
      <c r="V310" s="61"/>
      <c r="X310" s="67"/>
      <c r="Y310" s="451"/>
      <c r="Z310" s="452"/>
      <c r="AC310" s="36"/>
      <c r="AD310" s="36"/>
      <c r="AE310" s="36"/>
      <c r="AF310" s="19"/>
    </row>
    <row r="311" spans="1:32">
      <c r="A311" s="64" t="s">
        <v>594</v>
      </c>
      <c r="B311" s="63" t="s">
        <v>264</v>
      </c>
      <c r="C311" s="63" t="s">
        <v>265</v>
      </c>
      <c r="D311" s="134">
        <v>70.5</v>
      </c>
      <c r="E311" s="67">
        <v>12934</v>
      </c>
      <c r="F311" s="146">
        <v>0</v>
      </c>
      <c r="G311" s="146">
        <v>0</v>
      </c>
      <c r="H311" s="91">
        <v>12934</v>
      </c>
      <c r="I311" s="67">
        <v>0</v>
      </c>
      <c r="J311" s="20">
        <v>12934</v>
      </c>
      <c r="K311" s="132" t="s">
        <v>621</v>
      </c>
      <c r="L311" s="151">
        <v>0</v>
      </c>
      <c r="M311" s="128">
        <v>70.5</v>
      </c>
      <c r="N311" s="67">
        <v>28</v>
      </c>
      <c r="O311" s="67">
        <v>12962</v>
      </c>
      <c r="P311" s="270" t="e">
        <v>#REF!</v>
      </c>
      <c r="Q311" s="71"/>
      <c r="R311" s="449"/>
      <c r="S311" s="67">
        <v>13088</v>
      </c>
      <c r="T311" s="163">
        <v>-126</v>
      </c>
      <c r="U311" s="43">
        <v>-9.6271393643031777E-3</v>
      </c>
      <c r="V311" s="60"/>
      <c r="X311" s="67"/>
      <c r="Y311" s="451"/>
      <c r="Z311" s="452"/>
    </row>
    <row r="312" spans="1:32">
      <c r="A312" s="64" t="s">
        <v>594</v>
      </c>
      <c r="B312" s="63" t="s">
        <v>151</v>
      </c>
      <c r="C312" s="63" t="s">
        <v>152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P312" s="270" t="e">
        <v>#REF!</v>
      </c>
      <c r="Q312" s="71"/>
      <c r="R312" s="449"/>
      <c r="S312" s="67">
        <v>0</v>
      </c>
      <c r="T312" s="163">
        <v>0</v>
      </c>
      <c r="U312" s="43">
        <v>0</v>
      </c>
      <c r="V312" s="62"/>
      <c r="X312" s="67"/>
      <c r="Y312" s="451"/>
      <c r="Z312" s="452"/>
    </row>
    <row r="313" spans="1:32">
      <c r="A313" s="64" t="s">
        <v>599</v>
      </c>
      <c r="B313" s="63" t="s">
        <v>232</v>
      </c>
      <c r="C313" s="63" t="s">
        <v>233</v>
      </c>
      <c r="D313" s="134">
        <v>0</v>
      </c>
      <c r="E313" s="67">
        <v>0</v>
      </c>
      <c r="F313" s="146">
        <v>0</v>
      </c>
      <c r="G313" s="146">
        <v>0</v>
      </c>
      <c r="H313" s="91">
        <v>0</v>
      </c>
      <c r="I313" s="67">
        <v>0</v>
      </c>
      <c r="J313" s="20">
        <v>0</v>
      </c>
      <c r="K313" s="132" t="s">
        <v>644</v>
      </c>
      <c r="L313" s="151">
        <v>0</v>
      </c>
      <c r="M313" s="128">
        <v>0</v>
      </c>
      <c r="N313" s="67">
        <v>0</v>
      </c>
      <c r="O313" s="67">
        <v>0</v>
      </c>
      <c r="P313" s="270" t="e">
        <v>#REF!</v>
      </c>
      <c r="Q313" s="71"/>
      <c r="R313" s="449"/>
      <c r="S313" s="67">
        <v>0</v>
      </c>
      <c r="T313" s="163">
        <v>0</v>
      </c>
      <c r="U313" s="43">
        <v>0</v>
      </c>
      <c r="X313" s="67"/>
      <c r="Y313" s="451"/>
      <c r="Z313" s="452"/>
    </row>
    <row r="314" spans="1:32">
      <c r="A314" s="64" t="s">
        <v>599</v>
      </c>
      <c r="B314" s="63" t="s">
        <v>78</v>
      </c>
      <c r="C314" s="63" t="s">
        <v>79</v>
      </c>
      <c r="D314" s="134">
        <v>99.38</v>
      </c>
      <c r="E314" s="67">
        <v>18233</v>
      </c>
      <c r="F314" s="146">
        <v>0</v>
      </c>
      <c r="G314" s="146">
        <v>0</v>
      </c>
      <c r="H314" s="91">
        <v>18233</v>
      </c>
      <c r="I314" s="67">
        <v>0</v>
      </c>
      <c r="J314" s="20">
        <v>18233</v>
      </c>
      <c r="K314" s="132" t="s">
        <v>621</v>
      </c>
      <c r="L314" s="151">
        <v>0</v>
      </c>
      <c r="M314" s="128">
        <v>99.38</v>
      </c>
      <c r="N314" s="67">
        <v>39</v>
      </c>
      <c r="O314" s="67">
        <v>18272</v>
      </c>
      <c r="P314" s="270" t="e">
        <v>#REF!</v>
      </c>
      <c r="Q314" s="71"/>
      <c r="R314" s="449"/>
      <c r="S314" s="67">
        <v>16873</v>
      </c>
      <c r="T314" s="163">
        <v>1399</v>
      </c>
      <c r="U314" s="43">
        <v>8.2913530492502815E-2</v>
      </c>
      <c r="X314" s="67"/>
      <c r="Y314" s="451"/>
      <c r="Z314" s="452"/>
    </row>
    <row r="315" spans="1:32">
      <c r="A315" s="64" t="s">
        <v>605</v>
      </c>
      <c r="B315" s="63" t="s">
        <v>547</v>
      </c>
      <c r="C315" s="63" t="s">
        <v>548</v>
      </c>
      <c r="D315" s="134">
        <v>3769.38</v>
      </c>
      <c r="E315" s="67">
        <v>691559</v>
      </c>
      <c r="F315" s="146">
        <v>25000</v>
      </c>
      <c r="G315" s="146">
        <v>0</v>
      </c>
      <c r="H315" s="91">
        <v>716559</v>
      </c>
      <c r="I315" s="67">
        <v>0</v>
      </c>
      <c r="J315" s="20">
        <v>691559</v>
      </c>
      <c r="K315" s="132" t="s">
        <v>621</v>
      </c>
      <c r="L315" s="151">
        <v>0</v>
      </c>
      <c r="M315" s="128">
        <v>3769.38</v>
      </c>
      <c r="N315" s="67">
        <v>1479</v>
      </c>
      <c r="O315" s="67">
        <v>693038</v>
      </c>
      <c r="P315" s="270" t="e">
        <v>#REF!</v>
      </c>
      <c r="Q315" s="71"/>
      <c r="R315" s="449"/>
      <c r="S315" s="67">
        <v>631003</v>
      </c>
      <c r="T315" s="163">
        <v>62035</v>
      </c>
      <c r="U315" s="43">
        <v>9.8311735443413109E-2</v>
      </c>
      <c r="X315" s="67"/>
      <c r="Y315" s="451"/>
      <c r="Z315" s="452"/>
    </row>
    <row r="316" spans="1:32">
      <c r="A316" s="64" t="s">
        <v>594</v>
      </c>
      <c r="B316" s="63" t="s">
        <v>472</v>
      </c>
      <c r="C316" s="63" t="s">
        <v>473</v>
      </c>
      <c r="D316" s="134">
        <v>47.13</v>
      </c>
      <c r="E316" s="67">
        <v>8647</v>
      </c>
      <c r="F316" s="146">
        <v>0</v>
      </c>
      <c r="G316" s="146">
        <v>0</v>
      </c>
      <c r="H316" s="91">
        <v>8647</v>
      </c>
      <c r="I316" s="67">
        <v>0</v>
      </c>
      <c r="J316" s="20">
        <v>8647</v>
      </c>
      <c r="K316" s="132" t="s">
        <v>621</v>
      </c>
      <c r="L316" s="151">
        <v>0</v>
      </c>
      <c r="M316" s="128">
        <v>47.13</v>
      </c>
      <c r="N316" s="67">
        <v>18</v>
      </c>
      <c r="O316" s="67">
        <v>8665</v>
      </c>
      <c r="P316" s="270" t="e">
        <v>#REF!</v>
      </c>
      <c r="Q316" s="71"/>
      <c r="R316" s="449"/>
      <c r="S316" s="67">
        <v>0</v>
      </c>
      <c r="T316" s="163">
        <v>8665</v>
      </c>
      <c r="U316" s="43">
        <v>0</v>
      </c>
      <c r="X316" s="67"/>
      <c r="Y316" s="451"/>
      <c r="Z316" s="452"/>
    </row>
    <row r="317" spans="1:32">
      <c r="A317" s="64" t="s">
        <v>605</v>
      </c>
      <c r="B317" s="63" t="s">
        <v>565</v>
      </c>
      <c r="C317" s="63" t="s">
        <v>566</v>
      </c>
      <c r="D317" s="134">
        <v>148.13</v>
      </c>
      <c r="E317" s="67">
        <v>27177</v>
      </c>
      <c r="F317" s="146">
        <v>0</v>
      </c>
      <c r="G317" s="146">
        <v>0</v>
      </c>
      <c r="H317" s="91">
        <v>27177</v>
      </c>
      <c r="I317" s="67">
        <v>0</v>
      </c>
      <c r="J317" s="20">
        <v>27177</v>
      </c>
      <c r="K317" s="132" t="s">
        <v>621</v>
      </c>
      <c r="L317" s="151">
        <v>0</v>
      </c>
      <c r="M317" s="128">
        <v>148.13</v>
      </c>
      <c r="N317" s="67">
        <v>58</v>
      </c>
      <c r="O317" s="67">
        <v>27235</v>
      </c>
      <c r="P317" s="270" t="e">
        <v>#REF!</v>
      </c>
      <c r="Q317" s="71"/>
      <c r="R317" s="449"/>
      <c r="S317" s="67">
        <v>22685</v>
      </c>
      <c r="T317" s="163">
        <v>4550</v>
      </c>
      <c r="U317" s="43">
        <v>0.20057306590257878</v>
      </c>
      <c r="X317" s="67"/>
      <c r="Y317" s="451"/>
      <c r="Z317" s="452"/>
    </row>
    <row r="318" spans="1:32">
      <c r="C318" s="105" t="s">
        <v>620</v>
      </c>
      <c r="D318" s="134">
        <v>83543.129999999976</v>
      </c>
      <c r="E318" s="67">
        <v>15327454</v>
      </c>
      <c r="F318" s="83">
        <v>715000</v>
      </c>
      <c r="G318" s="67">
        <v>42000</v>
      </c>
      <c r="H318" s="91">
        <v>16084454</v>
      </c>
      <c r="I318" s="71">
        <v>0</v>
      </c>
      <c r="J318" s="73">
        <v>15327451</v>
      </c>
      <c r="K318" s="132">
        <v>0</v>
      </c>
      <c r="L318" s="88">
        <v>32709</v>
      </c>
      <c r="M318" s="67">
        <v>83364.849999999991</v>
      </c>
      <c r="N318" s="88">
        <v>32709</v>
      </c>
      <c r="O318" s="88">
        <v>15327451</v>
      </c>
      <c r="P318" s="270">
        <v>0</v>
      </c>
      <c r="Q318" s="71"/>
      <c r="R318" s="72"/>
      <c r="S318" s="88">
        <v>13207256</v>
      </c>
      <c r="T318" s="91">
        <v>2120195</v>
      </c>
      <c r="U318" s="161"/>
      <c r="V318" s="72"/>
      <c r="W318" s="72"/>
      <c r="X318" s="72"/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AF319"/>
  <sheetViews>
    <sheetView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G7" sqref="F7:G7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10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242" t="s">
        <v>717</v>
      </c>
      <c r="J3" s="243"/>
      <c r="L3" s="87">
        <v>211209</v>
      </c>
      <c r="O3" s="67">
        <v>13207256</v>
      </c>
      <c r="Q3" s="151" t="s">
        <v>737</v>
      </c>
    </row>
    <row r="4" spans="1:32" s="264" customFormat="1" ht="48">
      <c r="A4" s="260" t="s">
        <v>591</v>
      </c>
      <c r="B4" s="260" t="s">
        <v>592</v>
      </c>
      <c r="C4" s="260" t="s">
        <v>593</v>
      </c>
      <c r="D4" s="261" t="s">
        <v>682</v>
      </c>
      <c r="E4" s="262" t="s">
        <v>703</v>
      </c>
      <c r="F4" s="262" t="s">
        <v>684</v>
      </c>
      <c r="G4" s="262" t="s">
        <v>683</v>
      </c>
      <c r="H4" s="262" t="s">
        <v>699</v>
      </c>
      <c r="I4" s="262" t="s">
        <v>729</v>
      </c>
      <c r="J4" s="262" t="s">
        <v>718</v>
      </c>
      <c r="K4" s="262" t="s">
        <v>728</v>
      </c>
      <c r="L4" s="263" t="s">
        <v>727</v>
      </c>
      <c r="M4" s="262" t="s">
        <v>753</v>
      </c>
      <c r="N4" s="263" t="s">
        <v>701</v>
      </c>
      <c r="O4" s="262" t="s">
        <v>711</v>
      </c>
      <c r="P4" s="262"/>
      <c r="Q4" s="262"/>
      <c r="S4" s="265" t="s">
        <v>738</v>
      </c>
      <c r="T4" s="265" t="s">
        <v>770</v>
      </c>
      <c r="U4" s="264" t="s">
        <v>733</v>
      </c>
      <c r="V4" s="266"/>
      <c r="X4" s="267"/>
    </row>
    <row r="5" spans="1:32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253"/>
      <c r="Q5" s="253"/>
      <c r="R5" s="255"/>
      <c r="S5" s="256"/>
      <c r="T5" s="256"/>
      <c r="V5" s="258"/>
      <c r="X5" s="259"/>
    </row>
    <row r="6" spans="1:32">
      <c r="A6" s="46"/>
      <c r="B6" s="47"/>
      <c r="C6" s="47"/>
      <c r="E6" s="68">
        <v>13207256</v>
      </c>
      <c r="I6" s="68">
        <v>0</v>
      </c>
      <c r="J6" s="73"/>
      <c r="K6" s="220"/>
      <c r="L6" s="87">
        <v>10000</v>
      </c>
      <c r="M6" s="71"/>
      <c r="N6" s="69"/>
      <c r="V6" s="27"/>
      <c r="W6" s="26"/>
    </row>
    <row r="7" spans="1:32">
      <c r="A7" s="46"/>
      <c r="B7" s="47"/>
      <c r="C7" s="47" t="s">
        <v>620</v>
      </c>
      <c r="D7" s="67">
        <v>80243.875</v>
      </c>
      <c r="E7" s="72"/>
      <c r="F7" s="72">
        <v>265000</v>
      </c>
      <c r="G7" s="72">
        <v>50100</v>
      </c>
      <c r="H7" s="161">
        <v>13522358</v>
      </c>
      <c r="I7" s="73">
        <v>0</v>
      </c>
      <c r="J7" s="73">
        <v>13207258</v>
      </c>
      <c r="K7" s="72"/>
      <c r="L7" s="88">
        <v>211209</v>
      </c>
      <c r="M7" s="67">
        <v>78960.625</v>
      </c>
      <c r="N7" s="88">
        <v>211206</v>
      </c>
      <c r="O7" s="88">
        <v>13207256</v>
      </c>
      <c r="P7" s="88"/>
      <c r="S7" s="91">
        <v>9151934</v>
      </c>
      <c r="T7" s="166">
        <v>0.2712247487798754</v>
      </c>
      <c r="V7" s="27"/>
      <c r="W7" s="26"/>
    </row>
    <row r="8" spans="1:32">
      <c r="A8" s="77"/>
      <c r="B8" s="78"/>
      <c r="C8" s="78"/>
      <c r="D8" s="70"/>
      <c r="E8" s="74">
        <v>13207256</v>
      </c>
      <c r="F8" s="69"/>
      <c r="G8" s="76"/>
      <c r="H8" s="160"/>
      <c r="I8" s="70">
        <v>0</v>
      </c>
      <c r="J8" s="86"/>
      <c r="K8" s="70"/>
      <c r="L8" s="219"/>
      <c r="M8" s="76"/>
      <c r="O8" s="74">
        <v>0</v>
      </c>
      <c r="P8" s="76"/>
      <c r="Q8" s="76"/>
      <c r="R8" s="45"/>
    </row>
    <row r="9" spans="1:32">
      <c r="A9" s="64" t="s">
        <v>594</v>
      </c>
      <c r="B9" s="63" t="s">
        <v>132</v>
      </c>
      <c r="C9" s="63" t="s">
        <v>133</v>
      </c>
      <c r="D9" s="134">
        <v>262.75</v>
      </c>
      <c r="E9" s="67">
        <v>43246</v>
      </c>
      <c r="F9" s="146">
        <v>0</v>
      </c>
      <c r="G9" s="92">
        <v>0</v>
      </c>
      <c r="H9" s="91">
        <v>43246</v>
      </c>
      <c r="I9" s="67">
        <v>0</v>
      </c>
      <c r="J9" s="20">
        <v>43246</v>
      </c>
      <c r="K9" s="132" t="s">
        <v>621</v>
      </c>
      <c r="L9" s="151">
        <v>0</v>
      </c>
      <c r="M9" s="128">
        <v>262.75</v>
      </c>
      <c r="N9" s="67">
        <v>703</v>
      </c>
      <c r="O9" s="67">
        <v>43949</v>
      </c>
      <c r="P9" s="270" t="s">
        <v>801</v>
      </c>
      <c r="Q9" s="71"/>
      <c r="R9" s="26"/>
      <c r="S9" s="163">
        <v>38465</v>
      </c>
      <c r="T9" s="163">
        <v>5484</v>
      </c>
      <c r="U9" s="43">
        <v>0.14257116859482646</v>
      </c>
    </row>
    <row r="10" spans="1:32">
      <c r="A10" s="64" t="s">
        <v>594</v>
      </c>
      <c r="B10" s="63" t="s">
        <v>262</v>
      </c>
      <c r="C10" s="63" t="s">
        <v>263</v>
      </c>
      <c r="D10" s="134">
        <v>0</v>
      </c>
      <c r="E10" s="67">
        <v>0</v>
      </c>
      <c r="F10" s="146">
        <v>0</v>
      </c>
      <c r="G10" s="92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P10" s="270" t="s">
        <v>801</v>
      </c>
      <c r="Q10" s="71"/>
      <c r="R10" s="30"/>
      <c r="S10" s="163">
        <v>0</v>
      </c>
      <c r="T10" s="163">
        <v>0</v>
      </c>
      <c r="U10" s="43">
        <v>0</v>
      </c>
      <c r="V10" s="31"/>
      <c r="X10" s="32"/>
      <c r="Z10" s="33"/>
      <c r="AC10" s="45"/>
      <c r="AD10" s="45"/>
    </row>
    <row r="11" spans="1:32">
      <c r="A11" s="64" t="s">
        <v>603</v>
      </c>
      <c r="B11" s="63" t="s">
        <v>283</v>
      </c>
      <c r="C11" s="63" t="s">
        <v>284</v>
      </c>
      <c r="D11" s="134">
        <v>0</v>
      </c>
      <c r="E11" s="67">
        <v>0</v>
      </c>
      <c r="F11" s="146">
        <v>0</v>
      </c>
      <c r="G11" s="92">
        <v>0</v>
      </c>
      <c r="H11" s="91">
        <v>0</v>
      </c>
      <c r="I11" s="67">
        <v>0</v>
      </c>
      <c r="J11" s="20">
        <v>0</v>
      </c>
      <c r="K11" s="132" t="s">
        <v>644</v>
      </c>
      <c r="L11" s="151">
        <v>0</v>
      </c>
      <c r="M11" s="128">
        <v>0</v>
      </c>
      <c r="N11" s="67">
        <v>0</v>
      </c>
      <c r="O11" s="67">
        <v>0</v>
      </c>
      <c r="P11" s="270" t="s">
        <v>801</v>
      </c>
      <c r="Q11" s="71"/>
      <c r="R11" s="25"/>
      <c r="S11" s="163">
        <v>0</v>
      </c>
      <c r="T11" s="163">
        <v>0</v>
      </c>
      <c r="U11" s="43">
        <v>0</v>
      </c>
      <c r="V11" s="34"/>
      <c r="X11" s="35"/>
      <c r="Y11" s="28"/>
      <c r="AC11" s="36"/>
      <c r="AD11" s="36"/>
      <c r="AE11" s="36"/>
      <c r="AF11" s="19"/>
    </row>
    <row r="12" spans="1:32" s="112" customFormat="1">
      <c r="A12" s="138" t="s">
        <v>595</v>
      </c>
      <c r="B12" s="139" t="s">
        <v>380</v>
      </c>
      <c r="C12" s="63" t="s">
        <v>381</v>
      </c>
      <c r="D12" s="134">
        <v>39.875</v>
      </c>
      <c r="E12" s="67">
        <v>6563</v>
      </c>
      <c r="F12" s="146">
        <v>0</v>
      </c>
      <c r="G12" s="92">
        <v>4200</v>
      </c>
      <c r="H12" s="91">
        <v>10763</v>
      </c>
      <c r="I12" s="67">
        <v>0</v>
      </c>
      <c r="J12" s="148">
        <v>6563</v>
      </c>
      <c r="K12" s="132" t="s">
        <v>644</v>
      </c>
      <c r="L12" s="151">
        <v>6563</v>
      </c>
      <c r="M12" s="128">
        <v>0</v>
      </c>
      <c r="N12" s="67">
        <v>0</v>
      </c>
      <c r="O12" s="67">
        <v>0</v>
      </c>
      <c r="P12" s="270" t="s">
        <v>801</v>
      </c>
      <c r="Q12" s="111"/>
      <c r="S12" s="163">
        <v>0</v>
      </c>
      <c r="T12" s="163">
        <v>0</v>
      </c>
      <c r="U12" s="43">
        <v>0</v>
      </c>
      <c r="V12" s="113"/>
      <c r="X12" s="114"/>
      <c r="Y12" s="114"/>
    </row>
    <row r="13" spans="1:32">
      <c r="A13" s="64" t="s">
        <v>595</v>
      </c>
      <c r="B13" s="63" t="s">
        <v>403</v>
      </c>
      <c r="C13" s="63" t="s">
        <v>404</v>
      </c>
      <c r="D13" s="134">
        <v>160.5</v>
      </c>
      <c r="E13" s="67">
        <v>26417</v>
      </c>
      <c r="F13" s="146">
        <v>0</v>
      </c>
      <c r="G13" s="92">
        <v>4350</v>
      </c>
      <c r="H13" s="91">
        <v>30767</v>
      </c>
      <c r="I13" s="67">
        <v>0</v>
      </c>
      <c r="J13" s="20">
        <v>26417</v>
      </c>
      <c r="K13" s="132" t="s">
        <v>621</v>
      </c>
      <c r="L13" s="151">
        <v>0</v>
      </c>
      <c r="M13" s="128">
        <v>160.5</v>
      </c>
      <c r="N13" s="67">
        <v>429</v>
      </c>
      <c r="O13" s="67">
        <v>26846</v>
      </c>
      <c r="P13" s="270" t="s">
        <v>801</v>
      </c>
      <c r="Q13" s="71"/>
      <c r="S13" s="163">
        <v>16051</v>
      </c>
      <c r="T13" s="163">
        <v>10795</v>
      </c>
      <c r="U13" s="43">
        <v>0.67254376674350502</v>
      </c>
      <c r="V13" s="61"/>
      <c r="AC13" s="36"/>
      <c r="AD13" s="36"/>
      <c r="AE13" s="36"/>
      <c r="AF13" s="19"/>
    </row>
    <row r="14" spans="1:32">
      <c r="A14" s="64" t="s">
        <v>596</v>
      </c>
      <c r="B14" s="63" t="s">
        <v>12</v>
      </c>
      <c r="C14" s="63" t="s">
        <v>13</v>
      </c>
      <c r="D14" s="134">
        <v>0</v>
      </c>
      <c r="E14" s="67">
        <v>0</v>
      </c>
      <c r="F14" s="146">
        <v>0</v>
      </c>
      <c r="G14" s="92">
        <v>0</v>
      </c>
      <c r="H14" s="91">
        <v>0</v>
      </c>
      <c r="I14" s="67">
        <v>0</v>
      </c>
      <c r="J14" s="20">
        <v>0</v>
      </c>
      <c r="K14" s="132" t="s">
        <v>644</v>
      </c>
      <c r="L14" s="151">
        <v>0</v>
      </c>
      <c r="M14" s="128">
        <v>0</v>
      </c>
      <c r="N14" s="67">
        <v>0</v>
      </c>
      <c r="O14" s="67">
        <v>0</v>
      </c>
      <c r="P14" s="270" t="s">
        <v>801</v>
      </c>
      <c r="Q14" s="71"/>
      <c r="S14" s="163">
        <v>0</v>
      </c>
      <c r="T14" s="163">
        <v>0</v>
      </c>
      <c r="U14" s="43">
        <v>0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195</v>
      </c>
      <c r="C15" s="63" t="s">
        <v>196</v>
      </c>
      <c r="D15" s="134">
        <v>1528.625</v>
      </c>
      <c r="E15" s="67">
        <v>251595</v>
      </c>
      <c r="F15" s="146">
        <v>0</v>
      </c>
      <c r="G15" s="92">
        <v>0</v>
      </c>
      <c r="H15" s="91">
        <v>251595</v>
      </c>
      <c r="I15" s="67">
        <v>0</v>
      </c>
      <c r="J15" s="20">
        <v>251595</v>
      </c>
      <c r="K15" s="132" t="s">
        <v>621</v>
      </c>
      <c r="L15" s="151">
        <v>0</v>
      </c>
      <c r="M15" s="128">
        <v>1528.625</v>
      </c>
      <c r="N15" s="67">
        <v>4089</v>
      </c>
      <c r="O15" s="67">
        <v>255684</v>
      </c>
      <c r="P15" s="270" t="s">
        <v>801</v>
      </c>
      <c r="Q15" s="71"/>
      <c r="S15" s="163">
        <v>156694</v>
      </c>
      <c r="T15" s="163">
        <v>98990</v>
      </c>
      <c r="U15" s="43">
        <v>0.63174084521423923</v>
      </c>
      <c r="V15" s="61"/>
      <c r="AC15" s="36"/>
      <c r="AD15" s="36"/>
      <c r="AE15" s="36"/>
      <c r="AF15" s="19"/>
    </row>
    <row r="16" spans="1:32">
      <c r="A16" s="64" t="s">
        <v>597</v>
      </c>
      <c r="B16" s="63" t="s">
        <v>213</v>
      </c>
      <c r="C16" s="63" t="s">
        <v>598</v>
      </c>
      <c r="D16" s="134">
        <v>24.75</v>
      </c>
      <c r="E16" s="67">
        <v>4074</v>
      </c>
      <c r="F16" s="146">
        <v>0</v>
      </c>
      <c r="G16" s="92">
        <v>0</v>
      </c>
      <c r="H16" s="91">
        <v>4074</v>
      </c>
      <c r="I16" s="67">
        <v>0</v>
      </c>
      <c r="J16" s="20">
        <v>4074</v>
      </c>
      <c r="K16" s="132" t="s">
        <v>644</v>
      </c>
      <c r="L16" s="151">
        <v>4074</v>
      </c>
      <c r="M16" s="128">
        <v>0</v>
      </c>
      <c r="N16" s="67">
        <v>0</v>
      </c>
      <c r="O16" s="67">
        <v>0</v>
      </c>
      <c r="P16" s="270" t="s">
        <v>801</v>
      </c>
      <c r="Q16" s="71"/>
      <c r="S16" s="163">
        <v>0</v>
      </c>
      <c r="T16" s="163">
        <v>0</v>
      </c>
      <c r="U16" s="43">
        <v>0</v>
      </c>
      <c r="V16" s="61"/>
      <c r="AC16" s="36"/>
      <c r="AD16" s="36"/>
      <c r="AE16" s="36"/>
      <c r="AF16" s="19"/>
    </row>
    <row r="17" spans="1:32">
      <c r="A17" s="64" t="s">
        <v>597</v>
      </c>
      <c r="B17" s="65" t="s">
        <v>666</v>
      </c>
      <c r="C17" s="63" t="s">
        <v>667</v>
      </c>
      <c r="D17" s="134">
        <v>0</v>
      </c>
      <c r="E17" s="67">
        <v>0</v>
      </c>
      <c r="F17" s="146">
        <v>0</v>
      </c>
      <c r="G17" s="92">
        <v>0</v>
      </c>
      <c r="H17" s="91">
        <v>0</v>
      </c>
      <c r="I17" s="67">
        <v>0</v>
      </c>
      <c r="J17" s="20">
        <v>0</v>
      </c>
      <c r="K17" s="132">
        <v>0</v>
      </c>
      <c r="L17" s="151">
        <v>0</v>
      </c>
      <c r="M17" s="128">
        <v>0</v>
      </c>
      <c r="N17" s="67">
        <v>0</v>
      </c>
      <c r="O17" s="67">
        <v>0</v>
      </c>
      <c r="P17" s="270" t="e">
        <v>#N/A</v>
      </c>
      <c r="Q17" s="71"/>
      <c r="S17" s="163">
        <v>0</v>
      </c>
      <c r="T17" s="163">
        <v>0</v>
      </c>
      <c r="U17" s="43">
        <v>0</v>
      </c>
      <c r="V17" s="61"/>
      <c r="AC17" s="36"/>
      <c r="AD17" s="36"/>
      <c r="AE17" s="36"/>
      <c r="AF17" s="19"/>
    </row>
    <row r="18" spans="1:32">
      <c r="A18" s="64" t="s">
        <v>599</v>
      </c>
      <c r="B18" s="63" t="s">
        <v>62</v>
      </c>
      <c r="C18" s="63" t="s">
        <v>63</v>
      </c>
      <c r="D18" s="134">
        <v>623.125</v>
      </c>
      <c r="E18" s="67">
        <v>102559</v>
      </c>
      <c r="F18" s="146">
        <v>0</v>
      </c>
      <c r="G18" s="92">
        <v>0</v>
      </c>
      <c r="H18" s="91">
        <v>102559</v>
      </c>
      <c r="I18" s="67">
        <v>0</v>
      </c>
      <c r="J18" s="20">
        <v>102559</v>
      </c>
      <c r="K18" s="132" t="s">
        <v>621</v>
      </c>
      <c r="L18" s="151">
        <v>0</v>
      </c>
      <c r="M18" s="128">
        <v>623.125</v>
      </c>
      <c r="N18" s="67">
        <v>1667</v>
      </c>
      <c r="O18" s="67">
        <v>104226</v>
      </c>
      <c r="P18" s="270" t="s">
        <v>801</v>
      </c>
      <c r="Q18" s="71"/>
      <c r="S18" s="163">
        <v>72520</v>
      </c>
      <c r="T18" s="163">
        <v>31706</v>
      </c>
      <c r="U18" s="43">
        <v>0.43720353006067292</v>
      </c>
      <c r="V18" s="61"/>
      <c r="AC18" s="36"/>
      <c r="AD18" s="36"/>
      <c r="AE18" s="36"/>
      <c r="AF18" s="19"/>
    </row>
    <row r="19" spans="1:32">
      <c r="A19" s="64" t="s">
        <v>597</v>
      </c>
      <c r="B19" s="63" t="s">
        <v>189</v>
      </c>
      <c r="C19" s="63" t="s">
        <v>190</v>
      </c>
      <c r="D19" s="134">
        <v>1533.5</v>
      </c>
      <c r="E19" s="67">
        <v>252397</v>
      </c>
      <c r="F19" s="146">
        <v>0</v>
      </c>
      <c r="G19" s="92">
        <v>0</v>
      </c>
      <c r="H19" s="91">
        <v>252397</v>
      </c>
      <c r="I19" s="67">
        <v>0</v>
      </c>
      <c r="J19" s="20">
        <v>252397</v>
      </c>
      <c r="K19" s="132" t="s">
        <v>621</v>
      </c>
      <c r="L19" s="151">
        <v>0</v>
      </c>
      <c r="M19" s="128">
        <v>1533.5</v>
      </c>
      <c r="N19" s="67">
        <v>4102</v>
      </c>
      <c r="O19" s="67">
        <v>256499</v>
      </c>
      <c r="P19" s="270" t="s">
        <v>801</v>
      </c>
      <c r="Q19" s="71"/>
      <c r="S19" s="163">
        <v>172077</v>
      </c>
      <c r="T19" s="163">
        <v>84422</v>
      </c>
      <c r="U19" s="43">
        <v>0.49060594966206988</v>
      </c>
      <c r="V19" s="61"/>
      <c r="AC19" s="36"/>
      <c r="AD19" s="36"/>
      <c r="AE19" s="36"/>
      <c r="AF19" s="19"/>
    </row>
    <row r="20" spans="1:32">
      <c r="A20" s="64" t="s">
        <v>595</v>
      </c>
      <c r="B20" s="63" t="s">
        <v>504</v>
      </c>
      <c r="C20" s="63" t="s">
        <v>505</v>
      </c>
      <c r="D20" s="134">
        <v>557</v>
      </c>
      <c r="E20" s="67">
        <v>91676</v>
      </c>
      <c r="F20" s="146">
        <v>25000</v>
      </c>
      <c r="G20" s="92">
        <v>0</v>
      </c>
      <c r="H20" s="91">
        <v>116676</v>
      </c>
      <c r="I20" s="67">
        <v>0</v>
      </c>
      <c r="J20" s="20">
        <v>91676</v>
      </c>
      <c r="K20" s="132" t="s">
        <v>621</v>
      </c>
      <c r="L20" s="151">
        <v>0</v>
      </c>
      <c r="M20" s="128">
        <v>557</v>
      </c>
      <c r="N20" s="67">
        <v>1490</v>
      </c>
      <c r="O20" s="67">
        <v>93166</v>
      </c>
      <c r="P20" s="270" t="s">
        <v>801</v>
      </c>
      <c r="Q20" s="71"/>
      <c r="S20" s="163">
        <v>63639</v>
      </c>
      <c r="T20" s="163">
        <v>29527</v>
      </c>
      <c r="U20" s="43">
        <v>0.46397649240245759</v>
      </c>
      <c r="V20" s="61"/>
      <c r="AC20" s="36"/>
      <c r="AD20" s="36"/>
      <c r="AE20" s="36"/>
      <c r="AF20" s="19"/>
    </row>
    <row r="21" spans="1:32">
      <c r="A21" s="64" t="s">
        <v>603</v>
      </c>
      <c r="B21" s="63" t="s">
        <v>2</v>
      </c>
      <c r="C21" s="63" t="s">
        <v>3</v>
      </c>
      <c r="D21" s="134">
        <v>0</v>
      </c>
      <c r="E21" s="67">
        <v>0</v>
      </c>
      <c r="F21" s="146">
        <v>0</v>
      </c>
      <c r="G21" s="92">
        <v>0</v>
      </c>
      <c r="H21" s="91">
        <v>0</v>
      </c>
      <c r="I21" s="67">
        <v>0</v>
      </c>
      <c r="J21" s="20">
        <v>0</v>
      </c>
      <c r="K21" s="132" t="s">
        <v>644</v>
      </c>
      <c r="L21" s="151">
        <v>0</v>
      </c>
      <c r="M21" s="128">
        <v>0</v>
      </c>
      <c r="N21" s="67">
        <v>0</v>
      </c>
      <c r="O21" s="67">
        <v>0</v>
      </c>
      <c r="P21" s="270" t="s">
        <v>801</v>
      </c>
      <c r="Q21" s="71"/>
      <c r="S21" s="163">
        <v>0</v>
      </c>
      <c r="T21" s="163">
        <v>0</v>
      </c>
      <c r="U21" s="43">
        <v>0</v>
      </c>
      <c r="V21" s="61"/>
      <c r="AC21" s="36"/>
      <c r="AD21" s="36"/>
      <c r="AE21" s="36"/>
      <c r="AF21" s="19"/>
    </row>
    <row r="22" spans="1:32">
      <c r="A22" s="64" t="s">
        <v>597</v>
      </c>
      <c r="B22" s="63" t="s">
        <v>363</v>
      </c>
      <c r="C22" s="63" t="s">
        <v>364</v>
      </c>
      <c r="D22" s="134">
        <v>248.875</v>
      </c>
      <c r="E22" s="67">
        <v>40962</v>
      </c>
      <c r="F22" s="146">
        <v>0</v>
      </c>
      <c r="G22" s="92">
        <v>0</v>
      </c>
      <c r="H22" s="91">
        <v>40962</v>
      </c>
      <c r="I22" s="67">
        <v>0</v>
      </c>
      <c r="J22" s="20">
        <v>40962</v>
      </c>
      <c r="K22" s="132" t="s">
        <v>621</v>
      </c>
      <c r="L22" s="151">
        <v>0</v>
      </c>
      <c r="M22" s="128">
        <v>248.875</v>
      </c>
      <c r="N22" s="67">
        <v>666</v>
      </c>
      <c r="O22" s="67">
        <v>41628</v>
      </c>
      <c r="P22" s="270" t="s">
        <v>801</v>
      </c>
      <c r="Q22" s="71"/>
      <c r="S22" s="163">
        <v>29570</v>
      </c>
      <c r="T22" s="163">
        <v>12058</v>
      </c>
      <c r="U22" s="43">
        <v>0.40777815353398716</v>
      </c>
      <c r="V22" s="61"/>
      <c r="AC22" s="36"/>
      <c r="AD22" s="36"/>
      <c r="AE22" s="36"/>
      <c r="AF22" s="19"/>
    </row>
    <row r="23" spans="1:32">
      <c r="A23" s="64" t="s">
        <v>605</v>
      </c>
      <c r="B23" s="63" t="s">
        <v>234</v>
      </c>
      <c r="C23" s="63" t="s">
        <v>235</v>
      </c>
      <c r="D23" s="134">
        <v>0</v>
      </c>
      <c r="E23" s="67">
        <v>0</v>
      </c>
      <c r="F23" s="146">
        <v>0</v>
      </c>
      <c r="G23" s="92">
        <v>0</v>
      </c>
      <c r="H23" s="91">
        <v>0</v>
      </c>
      <c r="I23" s="67">
        <v>0</v>
      </c>
      <c r="J23" s="20">
        <v>0</v>
      </c>
      <c r="K23" s="132" t="s">
        <v>644</v>
      </c>
      <c r="L23" s="151">
        <v>0</v>
      </c>
      <c r="M23" s="128">
        <v>0</v>
      </c>
      <c r="N23" s="67">
        <v>0</v>
      </c>
      <c r="O23" s="67">
        <v>0</v>
      </c>
      <c r="P23" s="270" t="s">
        <v>801</v>
      </c>
      <c r="Q23" s="71"/>
      <c r="S23" s="163">
        <v>0</v>
      </c>
      <c r="T23" s="163">
        <v>0</v>
      </c>
      <c r="U23" s="43">
        <v>0</v>
      </c>
      <c r="V23" s="61"/>
      <c r="AC23" s="36"/>
      <c r="AD23" s="36"/>
      <c r="AE23" s="36"/>
      <c r="AF23" s="19"/>
    </row>
    <row r="24" spans="1:32">
      <c r="A24" s="64" t="s">
        <v>595</v>
      </c>
      <c r="B24" s="63" t="s">
        <v>508</v>
      </c>
      <c r="C24" s="63" t="s">
        <v>509</v>
      </c>
      <c r="D24" s="134">
        <v>103.25</v>
      </c>
      <c r="E24" s="67">
        <v>16994</v>
      </c>
      <c r="F24" s="146">
        <v>0</v>
      </c>
      <c r="G24" s="92">
        <v>0</v>
      </c>
      <c r="H24" s="91">
        <v>16994</v>
      </c>
      <c r="I24" s="67">
        <v>0</v>
      </c>
      <c r="J24" s="20">
        <v>16994</v>
      </c>
      <c r="K24" s="132" t="s">
        <v>621</v>
      </c>
      <c r="L24" s="151">
        <v>0</v>
      </c>
      <c r="M24" s="128">
        <v>103.25</v>
      </c>
      <c r="N24" s="67">
        <v>276</v>
      </c>
      <c r="O24" s="67">
        <v>17270</v>
      </c>
      <c r="P24" s="270" t="s">
        <v>801</v>
      </c>
      <c r="Q24" s="71"/>
      <c r="S24" s="163">
        <v>12458</v>
      </c>
      <c r="T24" s="163">
        <v>4812</v>
      </c>
      <c r="U24" s="43">
        <v>0.38625782629635574</v>
      </c>
      <c r="V24" s="61"/>
      <c r="AC24" s="36"/>
      <c r="AD24" s="36"/>
      <c r="AE24" s="36"/>
      <c r="AF24" s="19"/>
    </row>
    <row r="25" spans="1:32">
      <c r="A25" s="64" t="s">
        <v>594</v>
      </c>
      <c r="B25" s="63" t="s">
        <v>266</v>
      </c>
      <c r="C25" s="63" t="s">
        <v>267</v>
      </c>
      <c r="D25" s="134">
        <v>0</v>
      </c>
      <c r="E25" s="67">
        <v>0</v>
      </c>
      <c r="F25" s="146">
        <v>0</v>
      </c>
      <c r="G25" s="92">
        <v>0</v>
      </c>
      <c r="H25" s="91">
        <v>0</v>
      </c>
      <c r="I25" s="67">
        <v>0</v>
      </c>
      <c r="J25" s="20">
        <v>0</v>
      </c>
      <c r="K25" s="132" t="s">
        <v>644</v>
      </c>
      <c r="L25" s="151">
        <v>0</v>
      </c>
      <c r="M25" s="128">
        <v>0</v>
      </c>
      <c r="N25" s="67">
        <v>0</v>
      </c>
      <c r="O25" s="67">
        <v>0</v>
      </c>
      <c r="P25" s="270" t="s">
        <v>801</v>
      </c>
      <c r="Q25" s="71"/>
      <c r="S25" s="163">
        <v>0</v>
      </c>
      <c r="T25" s="163">
        <v>0</v>
      </c>
      <c r="U25" s="43">
        <v>0</v>
      </c>
      <c r="V25" s="61"/>
      <c r="AC25" s="36"/>
      <c r="AD25" s="36"/>
      <c r="AE25" s="36"/>
      <c r="AF25" s="19"/>
    </row>
    <row r="26" spans="1:32">
      <c r="A26" s="64" t="s">
        <v>600</v>
      </c>
      <c r="B26" s="63" t="s">
        <v>211</v>
      </c>
      <c r="C26" s="63" t="s">
        <v>212</v>
      </c>
      <c r="D26" s="134">
        <v>123.125</v>
      </c>
      <c r="E26" s="67">
        <v>20265</v>
      </c>
      <c r="F26" s="146">
        <v>0</v>
      </c>
      <c r="G26" s="92">
        <v>0</v>
      </c>
      <c r="H26" s="91">
        <v>20265</v>
      </c>
      <c r="I26" s="67">
        <v>0</v>
      </c>
      <c r="J26" s="20">
        <v>20265</v>
      </c>
      <c r="K26" s="132" t="s">
        <v>621</v>
      </c>
      <c r="L26" s="151">
        <v>0</v>
      </c>
      <c r="M26" s="128">
        <v>123.125</v>
      </c>
      <c r="N26" s="67">
        <v>329</v>
      </c>
      <c r="O26" s="67">
        <v>20594</v>
      </c>
      <c r="P26" s="270" t="s">
        <v>801</v>
      </c>
      <c r="Q26" s="71"/>
      <c r="S26" s="163">
        <v>13398</v>
      </c>
      <c r="T26" s="163">
        <v>7196</v>
      </c>
      <c r="U26" s="43">
        <v>0.53709508881922674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315</v>
      </c>
      <c r="C27" s="63" t="s">
        <v>316</v>
      </c>
      <c r="D27" s="134">
        <v>370</v>
      </c>
      <c r="E27" s="67">
        <v>60898</v>
      </c>
      <c r="F27" s="146">
        <v>0</v>
      </c>
      <c r="G27" s="92">
        <v>0</v>
      </c>
      <c r="H27" s="91">
        <v>60898</v>
      </c>
      <c r="I27" s="67">
        <v>0</v>
      </c>
      <c r="J27" s="20">
        <v>60898</v>
      </c>
      <c r="K27" s="132" t="s">
        <v>621</v>
      </c>
      <c r="L27" s="151">
        <v>0</v>
      </c>
      <c r="M27" s="128">
        <v>370</v>
      </c>
      <c r="N27" s="67">
        <v>990</v>
      </c>
      <c r="O27" s="67">
        <v>61888</v>
      </c>
      <c r="P27" s="270" t="s">
        <v>801</v>
      </c>
      <c r="Q27" s="71"/>
      <c r="S27" s="163">
        <v>50666</v>
      </c>
      <c r="T27" s="163">
        <v>11222</v>
      </c>
      <c r="U27" s="43">
        <v>0.22148975644416374</v>
      </c>
      <c r="V27" s="61"/>
      <c r="AC27" s="36"/>
      <c r="AD27" s="36"/>
      <c r="AE27" s="36"/>
      <c r="AF27" s="19"/>
    </row>
    <row r="28" spans="1:32">
      <c r="A28" s="64" t="s">
        <v>601</v>
      </c>
      <c r="B28" s="63" t="s">
        <v>84</v>
      </c>
      <c r="C28" s="63" t="s">
        <v>85</v>
      </c>
      <c r="D28" s="134">
        <v>314</v>
      </c>
      <c r="E28" s="67">
        <v>51681</v>
      </c>
      <c r="F28" s="146">
        <v>0</v>
      </c>
      <c r="G28" s="92">
        <v>0</v>
      </c>
      <c r="H28" s="91">
        <v>51681</v>
      </c>
      <c r="I28" s="67">
        <v>0</v>
      </c>
      <c r="J28" s="20">
        <v>51681</v>
      </c>
      <c r="K28" s="132" t="s">
        <v>621</v>
      </c>
      <c r="L28" s="151">
        <v>0</v>
      </c>
      <c r="M28" s="128">
        <v>314</v>
      </c>
      <c r="N28" s="67">
        <v>840</v>
      </c>
      <c r="O28" s="67">
        <v>52521</v>
      </c>
      <c r="P28" s="270" t="s">
        <v>801</v>
      </c>
      <c r="Q28" s="71"/>
      <c r="S28" s="163">
        <v>48589</v>
      </c>
      <c r="T28" s="163">
        <v>3932</v>
      </c>
      <c r="U28" s="43">
        <v>8.092366585029534E-2</v>
      </c>
      <c r="V28" s="61"/>
      <c r="AC28" s="36"/>
      <c r="AD28" s="36"/>
      <c r="AE28" s="36"/>
      <c r="AF28" s="19"/>
    </row>
    <row r="29" spans="1:32">
      <c r="A29" s="64" t="s">
        <v>600</v>
      </c>
      <c r="B29" s="63" t="s">
        <v>165</v>
      </c>
      <c r="C29" s="63" t="s">
        <v>166</v>
      </c>
      <c r="D29" s="134">
        <v>0</v>
      </c>
      <c r="E29" s="67">
        <v>0</v>
      </c>
      <c r="F29" s="146">
        <v>0</v>
      </c>
      <c r="G29" s="92">
        <v>0</v>
      </c>
      <c r="H29" s="91">
        <v>0</v>
      </c>
      <c r="I29" s="67">
        <v>0</v>
      </c>
      <c r="J29" s="20">
        <v>0</v>
      </c>
      <c r="K29" s="132" t="s">
        <v>644</v>
      </c>
      <c r="L29" s="151">
        <v>0</v>
      </c>
      <c r="M29" s="128">
        <v>0</v>
      </c>
      <c r="N29" s="67">
        <v>0</v>
      </c>
      <c r="O29" s="67">
        <v>0</v>
      </c>
      <c r="P29" s="270" t="s">
        <v>801</v>
      </c>
      <c r="Q29" s="71"/>
      <c r="S29" s="163">
        <v>0</v>
      </c>
      <c r="T29" s="163">
        <v>0</v>
      </c>
      <c r="U29" s="43">
        <v>0</v>
      </c>
      <c r="V29" s="61"/>
      <c r="AC29" s="36"/>
      <c r="AD29" s="36"/>
      <c r="AE29" s="36"/>
      <c r="AF29" s="19"/>
    </row>
    <row r="30" spans="1:32">
      <c r="A30" s="64" t="s">
        <v>595</v>
      </c>
      <c r="B30" s="63" t="s">
        <v>378</v>
      </c>
      <c r="C30" s="63" t="s">
        <v>602</v>
      </c>
      <c r="D30" s="134">
        <v>547</v>
      </c>
      <c r="E30" s="67">
        <v>90030</v>
      </c>
      <c r="F30" s="146">
        <v>0</v>
      </c>
      <c r="G30" s="92">
        <v>0</v>
      </c>
      <c r="H30" s="91">
        <v>90030</v>
      </c>
      <c r="I30" s="67">
        <v>0</v>
      </c>
      <c r="J30" s="20">
        <v>90030</v>
      </c>
      <c r="K30" s="132" t="s">
        <v>621</v>
      </c>
      <c r="L30" s="151">
        <v>0</v>
      </c>
      <c r="M30" s="128">
        <v>547</v>
      </c>
      <c r="N30" s="67">
        <v>1463</v>
      </c>
      <c r="O30" s="67">
        <v>91493</v>
      </c>
      <c r="P30" s="270" t="s">
        <v>801</v>
      </c>
      <c r="Q30" s="71"/>
      <c r="S30" s="163">
        <v>63199</v>
      </c>
      <c r="T30" s="163">
        <v>28294</v>
      </c>
      <c r="U30" s="43">
        <v>0.44769695723033592</v>
      </c>
      <c r="V30" s="61"/>
      <c r="AC30" s="36"/>
      <c r="AD30" s="36"/>
      <c r="AE30" s="36"/>
      <c r="AF30" s="19"/>
    </row>
    <row r="31" spans="1:32">
      <c r="A31" s="64" t="s">
        <v>599</v>
      </c>
      <c r="B31" s="63" t="s">
        <v>60</v>
      </c>
      <c r="C31" s="63" t="s">
        <v>61</v>
      </c>
      <c r="D31" s="134">
        <v>120</v>
      </c>
      <c r="E31" s="67">
        <v>19751</v>
      </c>
      <c r="F31" s="146">
        <v>0</v>
      </c>
      <c r="G31" s="92">
        <v>0</v>
      </c>
      <c r="H31" s="91">
        <v>19751</v>
      </c>
      <c r="I31" s="67">
        <v>0</v>
      </c>
      <c r="J31" s="20">
        <v>19751</v>
      </c>
      <c r="K31" s="132" t="s">
        <v>621</v>
      </c>
      <c r="L31" s="151">
        <v>0</v>
      </c>
      <c r="M31" s="128">
        <v>120</v>
      </c>
      <c r="N31" s="67">
        <v>321</v>
      </c>
      <c r="O31" s="67">
        <v>20072</v>
      </c>
      <c r="P31" s="270" t="s">
        <v>801</v>
      </c>
      <c r="Q31" s="71"/>
      <c r="S31" s="163">
        <v>15004</v>
      </c>
      <c r="T31" s="163">
        <v>5068</v>
      </c>
      <c r="U31" s="43">
        <v>0.33777659290855772</v>
      </c>
      <c r="V31" s="61"/>
      <c r="AC31" s="36"/>
      <c r="AD31" s="36"/>
      <c r="AE31" s="36"/>
      <c r="AF31" s="19"/>
    </row>
    <row r="32" spans="1:32">
      <c r="A32" s="64" t="s">
        <v>600</v>
      </c>
      <c r="B32" s="63" t="s">
        <v>45</v>
      </c>
      <c r="C32" s="63" t="s">
        <v>46</v>
      </c>
      <c r="D32" s="134">
        <v>80.125</v>
      </c>
      <c r="E32" s="67">
        <v>13188</v>
      </c>
      <c r="F32" s="146">
        <v>0</v>
      </c>
      <c r="G32" s="92">
        <v>0</v>
      </c>
      <c r="H32" s="91">
        <v>13188</v>
      </c>
      <c r="I32" s="67">
        <v>0</v>
      </c>
      <c r="J32" s="20">
        <v>13188</v>
      </c>
      <c r="K32" s="132" t="s">
        <v>621</v>
      </c>
      <c r="L32" s="151">
        <v>0</v>
      </c>
      <c r="M32" s="128">
        <v>80.125</v>
      </c>
      <c r="N32" s="67">
        <v>214</v>
      </c>
      <c r="O32" s="67">
        <v>13402</v>
      </c>
      <c r="P32" s="270" t="s">
        <v>801</v>
      </c>
      <c r="Q32" s="71"/>
      <c r="S32" s="163">
        <v>22173</v>
      </c>
      <c r="T32" s="163">
        <v>-8771</v>
      </c>
      <c r="U32" s="43">
        <v>-0.39557119018626258</v>
      </c>
      <c r="V32" s="61"/>
      <c r="AC32" s="36"/>
      <c r="AD32" s="36"/>
      <c r="AE32" s="36"/>
      <c r="AF32" s="19"/>
    </row>
    <row r="33" spans="1:32">
      <c r="A33" s="64" t="s">
        <v>597</v>
      </c>
      <c r="B33" s="63" t="s">
        <v>347</v>
      </c>
      <c r="C33" s="63" t="s">
        <v>348</v>
      </c>
      <c r="D33" s="134">
        <v>0</v>
      </c>
      <c r="E33" s="67">
        <v>0</v>
      </c>
      <c r="F33" s="146">
        <v>0</v>
      </c>
      <c r="G33" s="92">
        <v>0</v>
      </c>
      <c r="H33" s="91">
        <v>0</v>
      </c>
      <c r="I33" s="67">
        <v>0</v>
      </c>
      <c r="J33" s="20">
        <v>0</v>
      </c>
      <c r="K33" s="132" t="s">
        <v>644</v>
      </c>
      <c r="L33" s="151">
        <v>0</v>
      </c>
      <c r="M33" s="128">
        <v>0</v>
      </c>
      <c r="N33" s="67">
        <v>0</v>
      </c>
      <c r="O33" s="67">
        <v>0</v>
      </c>
      <c r="P33" s="270" t="s">
        <v>801</v>
      </c>
      <c r="Q33" s="71"/>
      <c r="S33" s="163">
        <v>0</v>
      </c>
      <c r="T33" s="163">
        <v>0</v>
      </c>
      <c r="U33" s="43">
        <v>0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35</v>
      </c>
      <c r="C34" s="63" t="s">
        <v>36</v>
      </c>
      <c r="D34" s="134">
        <v>154</v>
      </c>
      <c r="E34" s="67">
        <v>25347</v>
      </c>
      <c r="F34" s="146">
        <v>0</v>
      </c>
      <c r="G34" s="92">
        <v>0</v>
      </c>
      <c r="H34" s="91">
        <v>25347</v>
      </c>
      <c r="I34" s="67">
        <v>0</v>
      </c>
      <c r="J34" s="20">
        <v>25347</v>
      </c>
      <c r="K34" s="132" t="s">
        <v>621</v>
      </c>
      <c r="L34" s="151">
        <v>0</v>
      </c>
      <c r="M34" s="128">
        <v>154</v>
      </c>
      <c r="N34" s="67">
        <v>412</v>
      </c>
      <c r="O34" s="67">
        <v>25759</v>
      </c>
      <c r="P34" s="270" t="s">
        <v>801</v>
      </c>
      <c r="Q34" s="71"/>
      <c r="S34" s="163">
        <v>19400</v>
      </c>
      <c r="T34" s="163">
        <v>6359</v>
      </c>
      <c r="U34" s="43">
        <v>0.32778350515463917</v>
      </c>
      <c r="V34" s="61"/>
      <c r="AC34" s="36"/>
      <c r="AD34" s="36"/>
      <c r="AE34" s="36"/>
      <c r="AF34" s="19"/>
    </row>
    <row r="35" spans="1:32">
      <c r="A35" s="64" t="s">
        <v>601</v>
      </c>
      <c r="B35" s="63" t="s">
        <v>33</v>
      </c>
      <c r="C35" s="63" t="s">
        <v>34</v>
      </c>
      <c r="D35" s="134">
        <v>176.5</v>
      </c>
      <c r="E35" s="67">
        <v>29050</v>
      </c>
      <c r="F35" s="146">
        <v>0</v>
      </c>
      <c r="G35" s="92">
        <v>0</v>
      </c>
      <c r="H35" s="91">
        <v>29050</v>
      </c>
      <c r="I35" s="67">
        <v>0</v>
      </c>
      <c r="J35" s="20">
        <v>29050</v>
      </c>
      <c r="K35" s="132" t="s">
        <v>621</v>
      </c>
      <c r="L35" s="151">
        <v>0</v>
      </c>
      <c r="M35" s="128">
        <v>176.5</v>
      </c>
      <c r="N35" s="67">
        <v>472</v>
      </c>
      <c r="O35" s="67">
        <v>29522</v>
      </c>
      <c r="P35" s="270" t="s">
        <v>801</v>
      </c>
      <c r="Q35" s="71"/>
      <c r="S35" s="163">
        <v>25703</v>
      </c>
      <c r="T35" s="163">
        <v>3819</v>
      </c>
      <c r="U35" s="43">
        <v>0.14858187760183636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74</v>
      </c>
      <c r="C36" s="63" t="s">
        <v>75</v>
      </c>
      <c r="D36" s="134">
        <v>20.875</v>
      </c>
      <c r="E36" s="67">
        <v>3436</v>
      </c>
      <c r="F36" s="146">
        <v>0</v>
      </c>
      <c r="G36" s="92">
        <v>0</v>
      </c>
      <c r="H36" s="91">
        <v>3436</v>
      </c>
      <c r="I36" s="67">
        <v>0</v>
      </c>
      <c r="J36" s="20">
        <v>3436</v>
      </c>
      <c r="K36" s="132" t="s">
        <v>644</v>
      </c>
      <c r="L36" s="151">
        <v>3436</v>
      </c>
      <c r="M36" s="128">
        <v>0</v>
      </c>
      <c r="N36" s="67">
        <v>0</v>
      </c>
      <c r="O36" s="67">
        <v>0</v>
      </c>
      <c r="P36" s="270" t="s">
        <v>801</v>
      </c>
      <c r="Q36" s="71"/>
      <c r="S36" s="163">
        <v>0</v>
      </c>
      <c r="T36" s="163">
        <v>0</v>
      </c>
      <c r="U36" s="43">
        <v>0</v>
      </c>
      <c r="V36" s="61"/>
      <c r="AC36" s="36"/>
      <c r="AD36" s="36"/>
      <c r="AE36" s="36"/>
      <c r="AF36" s="19"/>
    </row>
    <row r="37" spans="1:32">
      <c r="A37" s="64" t="s">
        <v>599</v>
      </c>
      <c r="B37" s="63" t="s">
        <v>236</v>
      </c>
      <c r="C37" s="63" t="s">
        <v>237</v>
      </c>
      <c r="D37" s="134">
        <v>0</v>
      </c>
      <c r="E37" s="67">
        <v>0</v>
      </c>
      <c r="F37" s="146">
        <v>0</v>
      </c>
      <c r="G37" s="92">
        <v>0</v>
      </c>
      <c r="H37" s="91">
        <v>0</v>
      </c>
      <c r="I37" s="67">
        <v>0</v>
      </c>
      <c r="J37" s="20">
        <v>0</v>
      </c>
      <c r="K37" s="132" t="s">
        <v>644</v>
      </c>
      <c r="L37" s="151">
        <v>0</v>
      </c>
      <c r="M37" s="128">
        <v>0</v>
      </c>
      <c r="N37" s="67">
        <v>0</v>
      </c>
      <c r="O37" s="67">
        <v>0</v>
      </c>
      <c r="P37" s="270" t="s">
        <v>801</v>
      </c>
      <c r="Q37" s="71"/>
      <c r="S37" s="163">
        <v>0</v>
      </c>
      <c r="T37" s="163">
        <v>0</v>
      </c>
      <c r="U37" s="43">
        <v>0</v>
      </c>
      <c r="V37" s="61"/>
      <c r="AC37" s="36"/>
      <c r="AD37" s="36"/>
      <c r="AE37" s="36"/>
      <c r="AF37" s="19"/>
    </row>
    <row r="38" spans="1:32">
      <c r="A38" s="64" t="s">
        <v>600</v>
      </c>
      <c r="B38" s="63" t="s">
        <v>216</v>
      </c>
      <c r="C38" s="63" t="s">
        <v>217</v>
      </c>
      <c r="D38" s="134">
        <v>178.375</v>
      </c>
      <c r="E38" s="67">
        <v>29359</v>
      </c>
      <c r="F38" s="146">
        <v>0</v>
      </c>
      <c r="G38" s="92">
        <v>0</v>
      </c>
      <c r="H38" s="91">
        <v>29359</v>
      </c>
      <c r="I38" s="67">
        <v>0</v>
      </c>
      <c r="J38" s="20">
        <v>29359</v>
      </c>
      <c r="K38" s="132" t="s">
        <v>621</v>
      </c>
      <c r="L38" s="151">
        <v>0</v>
      </c>
      <c r="M38" s="128">
        <v>178.375</v>
      </c>
      <c r="N38" s="67">
        <v>477</v>
      </c>
      <c r="O38" s="67">
        <v>29836</v>
      </c>
      <c r="P38" s="270" t="s">
        <v>801</v>
      </c>
      <c r="Q38" s="71"/>
      <c r="S38" s="163">
        <v>25219</v>
      </c>
      <c r="T38" s="163">
        <v>4617</v>
      </c>
      <c r="U38" s="43">
        <v>0.18307625203219793</v>
      </c>
      <c r="V38" s="61"/>
      <c r="AC38" s="36"/>
      <c r="AD38" s="36"/>
      <c r="AE38" s="36"/>
      <c r="AF38" s="19"/>
    </row>
    <row r="39" spans="1:32">
      <c r="A39" s="64" t="s">
        <v>603</v>
      </c>
      <c r="B39" s="63" t="s">
        <v>434</v>
      </c>
      <c r="C39" s="63" t="s">
        <v>435</v>
      </c>
      <c r="D39" s="134">
        <v>194.75</v>
      </c>
      <c r="E39" s="67">
        <v>32054</v>
      </c>
      <c r="F39" s="146">
        <v>0</v>
      </c>
      <c r="G39" s="92">
        <v>0</v>
      </c>
      <c r="H39" s="91">
        <v>32054</v>
      </c>
      <c r="I39" s="67">
        <v>0</v>
      </c>
      <c r="J39" s="20">
        <v>32054</v>
      </c>
      <c r="K39" s="132" t="s">
        <v>621</v>
      </c>
      <c r="L39" s="151">
        <v>0</v>
      </c>
      <c r="M39" s="128">
        <v>194.75</v>
      </c>
      <c r="N39" s="67">
        <v>521</v>
      </c>
      <c r="O39" s="67">
        <v>32575</v>
      </c>
      <c r="P39" s="270" t="s">
        <v>801</v>
      </c>
      <c r="Q39" s="71"/>
      <c r="S39" s="163">
        <v>22082</v>
      </c>
      <c r="T39" s="163">
        <v>10493</v>
      </c>
      <c r="U39" s="43">
        <v>0.47518340730006342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278</v>
      </c>
      <c r="C40" s="63" t="s">
        <v>279</v>
      </c>
      <c r="D40" s="134">
        <v>257</v>
      </c>
      <c r="E40" s="67">
        <v>42299</v>
      </c>
      <c r="F40" s="146">
        <v>0</v>
      </c>
      <c r="G40" s="92">
        <v>0</v>
      </c>
      <c r="H40" s="91">
        <v>42299</v>
      </c>
      <c r="I40" s="67">
        <v>0</v>
      </c>
      <c r="J40" s="20">
        <v>42299</v>
      </c>
      <c r="K40" s="132" t="s">
        <v>621</v>
      </c>
      <c r="L40" s="151">
        <v>0</v>
      </c>
      <c r="M40" s="128">
        <v>257</v>
      </c>
      <c r="N40" s="67">
        <v>687</v>
      </c>
      <c r="O40" s="67">
        <v>42986</v>
      </c>
      <c r="P40" s="270" t="s">
        <v>801</v>
      </c>
      <c r="Q40" s="71"/>
      <c r="S40" s="163">
        <v>27447</v>
      </c>
      <c r="T40" s="163">
        <v>15539</v>
      </c>
      <c r="U40" s="43">
        <v>0.56614566254964116</v>
      </c>
      <c r="V40" s="61"/>
      <c r="AC40" s="36"/>
      <c r="AD40" s="36"/>
      <c r="AE40" s="36"/>
      <c r="AF40" s="19"/>
    </row>
    <row r="41" spans="1:32">
      <c r="A41" s="64" t="s">
        <v>594</v>
      </c>
      <c r="B41" s="63" t="s">
        <v>274</v>
      </c>
      <c r="C41" s="63" t="s">
        <v>275</v>
      </c>
      <c r="D41" s="134">
        <v>70.75</v>
      </c>
      <c r="E41" s="67">
        <v>11645</v>
      </c>
      <c r="F41" s="146">
        <v>0</v>
      </c>
      <c r="G41" s="92">
        <v>0</v>
      </c>
      <c r="H41" s="91">
        <v>11645</v>
      </c>
      <c r="I41" s="67">
        <v>0</v>
      </c>
      <c r="J41" s="20">
        <v>11645</v>
      </c>
      <c r="K41" s="132" t="s">
        <v>621</v>
      </c>
      <c r="L41" s="151">
        <v>0</v>
      </c>
      <c r="M41" s="128">
        <v>70.75</v>
      </c>
      <c r="N41" s="67">
        <v>189</v>
      </c>
      <c r="O41" s="67">
        <v>11834</v>
      </c>
      <c r="P41" s="270" t="s">
        <v>801</v>
      </c>
      <c r="Q41" s="71"/>
      <c r="S41" s="163">
        <v>0</v>
      </c>
      <c r="T41" s="163">
        <v>11834</v>
      </c>
      <c r="U41" s="4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438</v>
      </c>
      <c r="C42" s="63" t="s">
        <v>439</v>
      </c>
      <c r="D42" s="134">
        <v>67</v>
      </c>
      <c r="E42" s="67">
        <v>11027</v>
      </c>
      <c r="F42" s="146">
        <v>0</v>
      </c>
      <c r="G42" s="92">
        <v>0</v>
      </c>
      <c r="H42" s="91">
        <v>11027</v>
      </c>
      <c r="I42" s="67">
        <v>0</v>
      </c>
      <c r="J42" s="20">
        <v>11027</v>
      </c>
      <c r="K42" s="132" t="s">
        <v>644</v>
      </c>
      <c r="L42" s="151">
        <v>11027</v>
      </c>
      <c r="M42" s="128">
        <v>0</v>
      </c>
      <c r="N42" s="67">
        <v>0</v>
      </c>
      <c r="O42" s="67">
        <v>0</v>
      </c>
      <c r="P42" s="270" t="s">
        <v>801</v>
      </c>
      <c r="Q42" s="71"/>
      <c r="S42" s="163">
        <v>0</v>
      </c>
      <c r="T42" s="163">
        <v>0</v>
      </c>
      <c r="U42" s="43">
        <v>0</v>
      </c>
      <c r="V42" s="61"/>
      <c r="AC42" s="36"/>
      <c r="AD42" s="36"/>
      <c r="AE42" s="36"/>
      <c r="AF42" s="19"/>
    </row>
    <row r="43" spans="1:32">
      <c r="A43" s="64" t="s">
        <v>603</v>
      </c>
      <c r="B43" s="63" t="s">
        <v>450</v>
      </c>
      <c r="C43" s="63" t="s">
        <v>451</v>
      </c>
      <c r="D43" s="134">
        <v>4.625</v>
      </c>
      <c r="E43" s="67">
        <v>761</v>
      </c>
      <c r="F43" s="146">
        <v>0</v>
      </c>
      <c r="G43" s="92">
        <v>0</v>
      </c>
      <c r="H43" s="91">
        <v>761</v>
      </c>
      <c r="I43" s="67">
        <v>0</v>
      </c>
      <c r="J43" s="20">
        <v>761</v>
      </c>
      <c r="K43" s="132" t="s">
        <v>644</v>
      </c>
      <c r="L43" s="151">
        <v>761</v>
      </c>
      <c r="M43" s="128">
        <v>0</v>
      </c>
      <c r="N43" s="67">
        <v>0</v>
      </c>
      <c r="O43" s="67">
        <v>0</v>
      </c>
      <c r="P43" s="270" t="s">
        <v>801</v>
      </c>
      <c r="Q43" s="71"/>
      <c r="S43" s="163">
        <v>0</v>
      </c>
      <c r="T43" s="163">
        <v>0</v>
      </c>
      <c r="U43" s="43">
        <v>0</v>
      </c>
      <c r="V43" s="61"/>
      <c r="AC43" s="36"/>
      <c r="AD43" s="36"/>
      <c r="AE43" s="36"/>
      <c r="AF43" s="19"/>
    </row>
    <row r="44" spans="1:32">
      <c r="A44" s="64" t="s">
        <v>600</v>
      </c>
      <c r="B44" s="63" t="s">
        <v>169</v>
      </c>
      <c r="C44" s="63" t="s">
        <v>170</v>
      </c>
      <c r="D44" s="134">
        <v>11.25</v>
      </c>
      <c r="E44" s="67">
        <v>1852</v>
      </c>
      <c r="F44" s="146">
        <v>0</v>
      </c>
      <c r="G44" s="92">
        <v>0</v>
      </c>
      <c r="H44" s="91">
        <v>1852</v>
      </c>
      <c r="I44" s="67">
        <v>0</v>
      </c>
      <c r="J44" s="20">
        <v>1852</v>
      </c>
      <c r="K44" s="132" t="s">
        <v>644</v>
      </c>
      <c r="L44" s="151">
        <v>1852</v>
      </c>
      <c r="M44" s="128">
        <v>0</v>
      </c>
      <c r="N44" s="67">
        <v>0</v>
      </c>
      <c r="O44" s="67">
        <v>0</v>
      </c>
      <c r="P44" s="270" t="s">
        <v>801</v>
      </c>
      <c r="Q44" s="71"/>
      <c r="S44" s="163">
        <v>0</v>
      </c>
      <c r="T44" s="163">
        <v>0</v>
      </c>
      <c r="U44" s="43">
        <v>0</v>
      </c>
      <c r="V44" s="61"/>
      <c r="AC44" s="36"/>
      <c r="AD44" s="36"/>
      <c r="AE44" s="36"/>
      <c r="AF44" s="19"/>
    </row>
    <row r="45" spans="1:32">
      <c r="A45" s="64" t="s">
        <v>596</v>
      </c>
      <c r="B45" s="63" t="s">
        <v>10</v>
      </c>
      <c r="C45" s="63" t="s">
        <v>11</v>
      </c>
      <c r="D45" s="134">
        <v>28</v>
      </c>
      <c r="E45" s="67">
        <v>4608</v>
      </c>
      <c r="F45" s="146">
        <v>0</v>
      </c>
      <c r="G45" s="92">
        <v>0</v>
      </c>
      <c r="H45" s="91">
        <v>4608</v>
      </c>
      <c r="I45" s="67">
        <v>0</v>
      </c>
      <c r="J45" s="20">
        <v>4608</v>
      </c>
      <c r="K45" s="132" t="s">
        <v>621</v>
      </c>
      <c r="L45" s="151">
        <v>0</v>
      </c>
      <c r="M45" s="128">
        <v>28</v>
      </c>
      <c r="N45" s="67">
        <v>75</v>
      </c>
      <c r="O45" s="67">
        <v>4683</v>
      </c>
      <c r="P45" s="270">
        <v>1</v>
      </c>
      <c r="Q45" s="71"/>
      <c r="S45" s="163">
        <v>2562</v>
      </c>
      <c r="T45" s="163">
        <v>2121</v>
      </c>
      <c r="U45" s="43">
        <v>0.82786885245901642</v>
      </c>
      <c r="V45" s="61"/>
      <c r="AC45" s="36"/>
      <c r="AD45" s="36"/>
      <c r="AE45" s="36"/>
      <c r="AF45" s="19"/>
    </row>
    <row r="46" spans="1:32">
      <c r="A46" s="64" t="s">
        <v>605</v>
      </c>
      <c r="B46" s="63" t="s">
        <v>230</v>
      </c>
      <c r="C46" s="63" t="s">
        <v>231</v>
      </c>
      <c r="D46" s="134">
        <v>13.75</v>
      </c>
      <c r="E46" s="67">
        <v>2263</v>
      </c>
      <c r="F46" s="146">
        <v>0</v>
      </c>
      <c r="G46" s="92">
        <v>0</v>
      </c>
      <c r="H46" s="91">
        <v>2263</v>
      </c>
      <c r="I46" s="67">
        <v>0</v>
      </c>
      <c r="J46" s="20">
        <v>2263</v>
      </c>
      <c r="K46" s="132" t="s">
        <v>621</v>
      </c>
      <c r="L46" s="151">
        <v>0</v>
      </c>
      <c r="M46" s="128">
        <v>13.75</v>
      </c>
      <c r="N46" s="67">
        <v>37</v>
      </c>
      <c r="O46" s="67">
        <v>2300</v>
      </c>
      <c r="P46" s="270">
        <v>1</v>
      </c>
      <c r="Q46" s="71"/>
      <c r="S46" s="163">
        <v>1333</v>
      </c>
      <c r="T46" s="163">
        <v>967</v>
      </c>
      <c r="U46" s="43">
        <v>0.72543135783945989</v>
      </c>
      <c r="V46" s="61"/>
      <c r="AC46" s="36"/>
      <c r="AD46" s="36"/>
      <c r="AE46" s="36"/>
      <c r="AF46" s="19"/>
    </row>
    <row r="47" spans="1:32">
      <c r="A47" s="64" t="s">
        <v>597</v>
      </c>
      <c r="B47" s="63" t="s">
        <v>357</v>
      </c>
      <c r="C47" s="63" t="s">
        <v>358</v>
      </c>
      <c r="D47" s="134">
        <v>1098.25</v>
      </c>
      <c r="E47" s="67">
        <v>180760</v>
      </c>
      <c r="F47" s="146">
        <v>0</v>
      </c>
      <c r="G47" s="92">
        <v>0</v>
      </c>
      <c r="H47" s="91">
        <v>180760</v>
      </c>
      <c r="I47" s="67">
        <v>0</v>
      </c>
      <c r="J47" s="20">
        <v>180760</v>
      </c>
      <c r="K47" s="132" t="s">
        <v>621</v>
      </c>
      <c r="L47" s="151">
        <v>0</v>
      </c>
      <c r="M47" s="128">
        <v>1098.25</v>
      </c>
      <c r="N47" s="67">
        <v>2938</v>
      </c>
      <c r="O47" s="67">
        <v>183698</v>
      </c>
      <c r="P47" s="270" t="s">
        <v>801</v>
      </c>
      <c r="Q47" s="71"/>
      <c r="S47" s="163">
        <v>122306</v>
      </c>
      <c r="T47" s="163">
        <v>61392</v>
      </c>
      <c r="U47" s="43">
        <v>0.50195411508838483</v>
      </c>
      <c r="V47" s="61"/>
      <c r="AC47" s="36"/>
      <c r="AD47" s="36"/>
      <c r="AE47" s="36"/>
      <c r="AF47" s="19"/>
    </row>
    <row r="48" spans="1:32">
      <c r="A48" s="64" t="s">
        <v>597</v>
      </c>
      <c r="B48" s="65" t="s">
        <v>668</v>
      </c>
      <c r="C48" s="63" t="s">
        <v>669</v>
      </c>
      <c r="D48" s="134">
        <v>0</v>
      </c>
      <c r="E48" s="67">
        <v>0</v>
      </c>
      <c r="F48" s="146">
        <v>0</v>
      </c>
      <c r="G48" s="92">
        <v>0</v>
      </c>
      <c r="H48" s="91">
        <v>0</v>
      </c>
      <c r="I48" s="67">
        <v>0</v>
      </c>
      <c r="J48" s="20">
        <v>0</v>
      </c>
      <c r="K48" s="132">
        <v>0</v>
      </c>
      <c r="L48" s="151">
        <v>0</v>
      </c>
      <c r="M48" s="128">
        <v>0</v>
      </c>
      <c r="N48" s="67">
        <v>0</v>
      </c>
      <c r="O48" s="67">
        <v>0</v>
      </c>
      <c r="P48" s="270" t="e">
        <v>#N/A</v>
      </c>
      <c r="Q48" s="71"/>
      <c r="S48" s="163">
        <v>0</v>
      </c>
      <c r="T48" s="163">
        <v>0</v>
      </c>
      <c r="U48" s="43">
        <v>0</v>
      </c>
      <c r="V48" s="61"/>
      <c r="AC48" s="36"/>
      <c r="AD48" s="36"/>
      <c r="AE48" s="36"/>
      <c r="AF48" s="19"/>
    </row>
    <row r="49" spans="1:32">
      <c r="A49" s="64" t="s">
        <v>603</v>
      </c>
      <c r="B49" s="63" t="s">
        <v>525</v>
      </c>
      <c r="C49" s="63" t="s">
        <v>526</v>
      </c>
      <c r="D49" s="134">
        <v>0</v>
      </c>
      <c r="E49" s="67">
        <v>0</v>
      </c>
      <c r="F49" s="146">
        <v>0</v>
      </c>
      <c r="G49" s="92">
        <v>0</v>
      </c>
      <c r="H49" s="91">
        <v>0</v>
      </c>
      <c r="I49" s="67">
        <v>0</v>
      </c>
      <c r="J49" s="20">
        <v>0</v>
      </c>
      <c r="K49" s="132" t="s">
        <v>644</v>
      </c>
      <c r="L49" s="151">
        <v>0</v>
      </c>
      <c r="M49" s="128">
        <v>0</v>
      </c>
      <c r="N49" s="67">
        <v>0</v>
      </c>
      <c r="O49" s="67">
        <v>0</v>
      </c>
      <c r="P49" s="270" t="s">
        <v>801</v>
      </c>
      <c r="Q49" s="71"/>
      <c r="S49" s="163">
        <v>0</v>
      </c>
      <c r="T49" s="163">
        <v>0</v>
      </c>
      <c r="U49" s="43">
        <v>0</v>
      </c>
      <c r="V49" s="61"/>
      <c r="AC49" s="36"/>
      <c r="AD49" s="36"/>
      <c r="AE49" s="36"/>
      <c r="AF49" s="19"/>
    </row>
    <row r="50" spans="1:32">
      <c r="A50" s="64" t="s">
        <v>596</v>
      </c>
      <c r="B50" s="63" t="s">
        <v>494</v>
      </c>
      <c r="C50" s="63" t="s">
        <v>495</v>
      </c>
      <c r="D50" s="134">
        <v>150</v>
      </c>
      <c r="E50" s="67">
        <v>24688</v>
      </c>
      <c r="F50" s="146">
        <v>0</v>
      </c>
      <c r="G50" s="92">
        <v>0</v>
      </c>
      <c r="H50" s="91">
        <v>24688</v>
      </c>
      <c r="I50" s="67">
        <v>0</v>
      </c>
      <c r="J50" s="20">
        <v>24688</v>
      </c>
      <c r="K50" s="132" t="s">
        <v>621</v>
      </c>
      <c r="L50" s="151">
        <v>0</v>
      </c>
      <c r="M50" s="128">
        <v>150</v>
      </c>
      <c r="N50" s="67">
        <v>401</v>
      </c>
      <c r="O50" s="67">
        <v>25089</v>
      </c>
      <c r="P50" s="270" t="s">
        <v>801</v>
      </c>
      <c r="Q50" s="71"/>
      <c r="S50" s="163">
        <v>19945</v>
      </c>
      <c r="T50" s="163">
        <v>5144</v>
      </c>
      <c r="U50" s="43">
        <v>0.25790925043870644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533</v>
      </c>
      <c r="C51" s="63" t="s">
        <v>534</v>
      </c>
      <c r="D51" s="134">
        <v>0</v>
      </c>
      <c r="E51" s="67">
        <v>0</v>
      </c>
      <c r="F51" s="146">
        <v>0</v>
      </c>
      <c r="G51" s="92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P51" s="270" t="s">
        <v>801</v>
      </c>
      <c r="Q51" s="71"/>
      <c r="S51" s="163">
        <v>0</v>
      </c>
      <c r="T51" s="163">
        <v>0</v>
      </c>
      <c r="U51" s="43">
        <v>0</v>
      </c>
      <c r="V51" s="61"/>
      <c r="AC51" s="36"/>
      <c r="AD51" s="36"/>
      <c r="AE51" s="36"/>
      <c r="AF51" s="19"/>
    </row>
    <row r="52" spans="1:32">
      <c r="A52" s="64" t="s">
        <v>603</v>
      </c>
      <c r="B52" s="63" t="s">
        <v>464</v>
      </c>
      <c r="C52" s="63" t="s">
        <v>465</v>
      </c>
      <c r="D52" s="134">
        <v>0</v>
      </c>
      <c r="E52" s="67">
        <v>0</v>
      </c>
      <c r="F52" s="146">
        <v>0</v>
      </c>
      <c r="G52" s="92">
        <v>0</v>
      </c>
      <c r="H52" s="91">
        <v>0</v>
      </c>
      <c r="I52" s="67">
        <v>0</v>
      </c>
      <c r="J52" s="20">
        <v>0</v>
      </c>
      <c r="K52" s="132" t="s">
        <v>644</v>
      </c>
      <c r="L52" s="151">
        <v>0</v>
      </c>
      <c r="M52" s="128">
        <v>0</v>
      </c>
      <c r="N52" s="67">
        <v>0</v>
      </c>
      <c r="O52" s="67">
        <v>0</v>
      </c>
      <c r="P52" s="270" t="s">
        <v>801</v>
      </c>
      <c r="Q52" s="71"/>
      <c r="S52" s="163">
        <v>0</v>
      </c>
      <c r="T52" s="163">
        <v>0</v>
      </c>
      <c r="U52" s="43">
        <v>0</v>
      </c>
      <c r="V52" s="61"/>
      <c r="AC52" s="36"/>
      <c r="AD52" s="36"/>
      <c r="AE52" s="36"/>
      <c r="AF52" s="19"/>
    </row>
    <row r="53" spans="1:32">
      <c r="A53" s="64" t="s">
        <v>596</v>
      </c>
      <c r="B53" s="63" t="s">
        <v>498</v>
      </c>
      <c r="C53" s="63" t="s">
        <v>499</v>
      </c>
      <c r="D53" s="134">
        <v>77.625</v>
      </c>
      <c r="E53" s="67">
        <v>12776</v>
      </c>
      <c r="F53" s="146">
        <v>0</v>
      </c>
      <c r="G53" s="92">
        <v>0</v>
      </c>
      <c r="H53" s="91">
        <v>12776</v>
      </c>
      <c r="I53" s="67">
        <v>0</v>
      </c>
      <c r="J53" s="20">
        <v>12776</v>
      </c>
      <c r="K53" s="132" t="s">
        <v>621</v>
      </c>
      <c r="L53" s="151">
        <v>0</v>
      </c>
      <c r="M53" s="128">
        <v>77.625</v>
      </c>
      <c r="N53" s="67">
        <v>208</v>
      </c>
      <c r="O53" s="67">
        <v>12984</v>
      </c>
      <c r="P53" s="270" t="s">
        <v>801</v>
      </c>
      <c r="Q53" s="71"/>
      <c r="S53" s="163">
        <v>9745</v>
      </c>
      <c r="T53" s="163">
        <v>3239</v>
      </c>
      <c r="U53" s="43">
        <v>0.33237557721908673</v>
      </c>
      <c r="V53" s="61"/>
      <c r="AC53" s="36"/>
      <c r="AD53" s="36"/>
      <c r="AE53" s="36"/>
      <c r="AF53" s="19"/>
    </row>
    <row r="54" spans="1:32">
      <c r="A54" s="64" t="s">
        <v>603</v>
      </c>
      <c r="B54" s="63" t="s">
        <v>456</v>
      </c>
      <c r="C54" s="63" t="s">
        <v>457</v>
      </c>
      <c r="D54" s="134">
        <v>46.25</v>
      </c>
      <c r="E54" s="67">
        <v>7612</v>
      </c>
      <c r="F54" s="146">
        <v>0</v>
      </c>
      <c r="G54" s="92">
        <v>0</v>
      </c>
      <c r="H54" s="91">
        <v>7612</v>
      </c>
      <c r="I54" s="67">
        <v>0</v>
      </c>
      <c r="J54" s="20">
        <v>7612</v>
      </c>
      <c r="K54" s="132" t="s">
        <v>644</v>
      </c>
      <c r="L54" s="151">
        <v>7612</v>
      </c>
      <c r="M54" s="128">
        <v>0</v>
      </c>
      <c r="N54" s="67">
        <v>0</v>
      </c>
      <c r="O54" s="67">
        <v>0</v>
      </c>
      <c r="P54" s="270" t="s">
        <v>801</v>
      </c>
      <c r="Q54" s="71"/>
      <c r="S54" s="163">
        <v>0</v>
      </c>
      <c r="T54" s="163">
        <v>0</v>
      </c>
      <c r="U54" s="4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376</v>
      </c>
      <c r="C55" s="63" t="s">
        <v>377</v>
      </c>
      <c r="D55" s="134">
        <v>0</v>
      </c>
      <c r="E55" s="67">
        <v>0</v>
      </c>
      <c r="F55" s="146">
        <v>0</v>
      </c>
      <c r="G55" s="92">
        <v>0</v>
      </c>
      <c r="H55" s="91">
        <v>0</v>
      </c>
      <c r="I55" s="67">
        <v>0</v>
      </c>
      <c r="J55" s="20">
        <v>0</v>
      </c>
      <c r="K55" s="132" t="s">
        <v>644</v>
      </c>
      <c r="L55" s="151">
        <v>0</v>
      </c>
      <c r="M55" s="128">
        <v>0</v>
      </c>
      <c r="N55" s="67">
        <v>0</v>
      </c>
      <c r="O55" s="67">
        <v>0</v>
      </c>
      <c r="P55" s="270" t="s">
        <v>801</v>
      </c>
      <c r="Q55" s="71"/>
      <c r="S55" s="163">
        <v>0</v>
      </c>
      <c r="T55" s="163">
        <v>0</v>
      </c>
      <c r="U55" s="43">
        <v>0</v>
      </c>
      <c r="V55" s="61"/>
      <c r="AC55" s="36"/>
      <c r="AD55" s="36"/>
      <c r="AE55" s="36"/>
      <c r="AF55" s="19"/>
    </row>
    <row r="56" spans="1:32">
      <c r="A56" s="64" t="s">
        <v>595</v>
      </c>
      <c r="B56" s="63" t="s">
        <v>384</v>
      </c>
      <c r="C56" s="63" t="s">
        <v>385</v>
      </c>
      <c r="D56" s="134">
        <v>23.875</v>
      </c>
      <c r="E56" s="67">
        <v>3930</v>
      </c>
      <c r="F56" s="146">
        <v>0</v>
      </c>
      <c r="G56" s="92">
        <v>0</v>
      </c>
      <c r="H56" s="91">
        <v>3930</v>
      </c>
      <c r="I56" s="67">
        <v>0</v>
      </c>
      <c r="J56" s="20">
        <v>3930</v>
      </c>
      <c r="K56" s="132" t="s">
        <v>644</v>
      </c>
      <c r="L56" s="151">
        <v>3930</v>
      </c>
      <c r="M56" s="128">
        <v>0</v>
      </c>
      <c r="N56" s="67">
        <v>0</v>
      </c>
      <c r="O56" s="67">
        <v>0</v>
      </c>
      <c r="P56" s="270" t="s">
        <v>801</v>
      </c>
      <c r="Q56" s="71"/>
      <c r="S56" s="163">
        <v>0</v>
      </c>
      <c r="T56" s="163">
        <v>0</v>
      </c>
      <c r="U56" s="43">
        <v>0</v>
      </c>
      <c r="V56" s="61"/>
      <c r="AC56" s="36"/>
      <c r="AD56" s="36"/>
      <c r="AE56" s="36"/>
      <c r="AF56" s="19"/>
    </row>
    <row r="57" spans="1:32">
      <c r="A57" s="64" t="s">
        <v>594</v>
      </c>
      <c r="B57" s="63" t="s">
        <v>147</v>
      </c>
      <c r="C57" s="63" t="s">
        <v>148</v>
      </c>
      <c r="D57" s="134">
        <v>0</v>
      </c>
      <c r="E57" s="67">
        <v>0</v>
      </c>
      <c r="F57" s="146">
        <v>0</v>
      </c>
      <c r="G57" s="92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P57" s="270" t="s">
        <v>801</v>
      </c>
      <c r="Q57" s="71"/>
      <c r="S57" s="163">
        <v>0</v>
      </c>
      <c r="T57" s="163">
        <v>0</v>
      </c>
      <c r="U57" s="43">
        <v>0</v>
      </c>
      <c r="V57" s="61"/>
      <c r="AC57" s="36"/>
      <c r="AD57" s="36"/>
      <c r="AE57" s="36"/>
      <c r="AF57" s="19"/>
    </row>
    <row r="58" spans="1:32">
      <c r="A58" s="64" t="s">
        <v>601</v>
      </c>
      <c r="B58" s="63" t="s">
        <v>120</v>
      </c>
      <c r="C58" s="63" t="s">
        <v>654</v>
      </c>
      <c r="D58" s="134">
        <v>0</v>
      </c>
      <c r="E58" s="67">
        <v>0</v>
      </c>
      <c r="F58" s="146">
        <v>0</v>
      </c>
      <c r="G58" s="92">
        <v>0</v>
      </c>
      <c r="H58" s="91">
        <v>0</v>
      </c>
      <c r="I58" s="67">
        <v>0</v>
      </c>
      <c r="J58" s="20">
        <v>0</v>
      </c>
      <c r="K58" s="132" t="s">
        <v>644</v>
      </c>
      <c r="L58" s="151">
        <v>0</v>
      </c>
      <c r="M58" s="128">
        <v>0</v>
      </c>
      <c r="N58" s="67">
        <v>0</v>
      </c>
      <c r="O58" s="67">
        <v>0</v>
      </c>
      <c r="P58" s="270" t="s">
        <v>801</v>
      </c>
      <c r="Q58" s="71"/>
      <c r="S58" s="163">
        <v>0</v>
      </c>
      <c r="T58" s="163">
        <v>0</v>
      </c>
      <c r="U58" s="43">
        <v>0</v>
      </c>
      <c r="V58" s="61"/>
      <c r="AC58" s="36"/>
      <c r="AD58" s="36"/>
      <c r="AE58" s="36"/>
      <c r="AF58" s="19"/>
    </row>
    <row r="59" spans="1:32">
      <c r="A59" s="64" t="s">
        <v>595</v>
      </c>
      <c r="B59" s="63" t="s">
        <v>159</v>
      </c>
      <c r="C59" s="63" t="s">
        <v>160</v>
      </c>
      <c r="D59" s="134">
        <v>25</v>
      </c>
      <c r="E59" s="67">
        <v>4115</v>
      </c>
      <c r="F59" s="146">
        <v>0</v>
      </c>
      <c r="G59" s="92">
        <v>0</v>
      </c>
      <c r="H59" s="91">
        <v>4115</v>
      </c>
      <c r="I59" s="67">
        <v>0</v>
      </c>
      <c r="J59" s="20">
        <v>4115</v>
      </c>
      <c r="K59" s="132" t="s">
        <v>644</v>
      </c>
      <c r="L59" s="151">
        <v>4115</v>
      </c>
      <c r="M59" s="128">
        <v>0</v>
      </c>
      <c r="N59" s="67">
        <v>0</v>
      </c>
      <c r="O59" s="67">
        <v>0</v>
      </c>
      <c r="P59" s="270" t="s">
        <v>801</v>
      </c>
      <c r="Q59" s="71"/>
      <c r="S59" s="163">
        <v>0</v>
      </c>
      <c r="T59" s="163">
        <v>0</v>
      </c>
      <c r="U59" s="43">
        <v>0</v>
      </c>
      <c r="V59" s="61"/>
      <c r="AC59" s="36"/>
      <c r="AD59" s="36"/>
      <c r="AE59" s="36"/>
      <c r="AF59" s="19"/>
    </row>
    <row r="60" spans="1:32">
      <c r="A60" s="64" t="s">
        <v>600</v>
      </c>
      <c r="B60" s="63" t="s">
        <v>41</v>
      </c>
      <c r="C60" s="63" t="s">
        <v>42</v>
      </c>
      <c r="D60" s="134">
        <v>0</v>
      </c>
      <c r="E60" s="67">
        <v>0</v>
      </c>
      <c r="F60" s="146">
        <v>0</v>
      </c>
      <c r="G60" s="92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P60" s="270" t="s">
        <v>801</v>
      </c>
      <c r="Q60" s="71"/>
      <c r="S60" s="163">
        <v>0</v>
      </c>
      <c r="T60" s="163">
        <v>0</v>
      </c>
      <c r="U60" s="4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285</v>
      </c>
      <c r="C61" s="63" t="s">
        <v>286</v>
      </c>
      <c r="D61" s="134">
        <v>0</v>
      </c>
      <c r="E61" s="67">
        <v>0</v>
      </c>
      <c r="F61" s="146">
        <v>0</v>
      </c>
      <c r="G61" s="92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P61" s="270" t="s">
        <v>801</v>
      </c>
      <c r="Q61" s="71"/>
      <c r="S61" s="163">
        <v>0</v>
      </c>
      <c r="T61" s="163">
        <v>0</v>
      </c>
      <c r="U61" s="4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96</v>
      </c>
      <c r="C62" s="63" t="s">
        <v>97</v>
      </c>
      <c r="D62" s="134">
        <v>0</v>
      </c>
      <c r="E62" s="67">
        <v>0</v>
      </c>
      <c r="F62" s="146">
        <v>0</v>
      </c>
      <c r="G62" s="92">
        <v>0</v>
      </c>
      <c r="H62" s="91">
        <v>0</v>
      </c>
      <c r="I62" s="67">
        <v>0</v>
      </c>
      <c r="J62" s="20">
        <v>0</v>
      </c>
      <c r="K62" s="132" t="s">
        <v>644</v>
      </c>
      <c r="L62" s="151">
        <v>0</v>
      </c>
      <c r="M62" s="128">
        <v>0</v>
      </c>
      <c r="N62" s="67">
        <v>0</v>
      </c>
      <c r="O62" s="67">
        <v>0</v>
      </c>
      <c r="P62" s="270" t="s">
        <v>801</v>
      </c>
      <c r="Q62" s="71"/>
      <c r="S62" s="163">
        <v>0</v>
      </c>
      <c r="T62" s="163">
        <v>0</v>
      </c>
      <c r="U62" s="43">
        <v>0</v>
      </c>
      <c r="V62" s="61"/>
      <c r="AC62" s="36"/>
      <c r="AD62" s="36"/>
      <c r="AE62" s="36"/>
      <c r="AF62" s="19"/>
    </row>
    <row r="63" spans="1:32">
      <c r="A63" s="64" t="s">
        <v>603</v>
      </c>
      <c r="B63" s="63" t="s">
        <v>338</v>
      </c>
      <c r="C63" s="63" t="s">
        <v>339</v>
      </c>
      <c r="D63" s="134">
        <v>0.5</v>
      </c>
      <c r="E63" s="67">
        <v>82</v>
      </c>
      <c r="F63" s="146">
        <v>0</v>
      </c>
      <c r="G63" s="92">
        <v>0</v>
      </c>
      <c r="H63" s="91">
        <v>82</v>
      </c>
      <c r="I63" s="67">
        <v>0</v>
      </c>
      <c r="J63" s="20">
        <v>82</v>
      </c>
      <c r="K63" s="132" t="s">
        <v>644</v>
      </c>
      <c r="L63" s="151">
        <v>82</v>
      </c>
      <c r="M63" s="128">
        <v>0</v>
      </c>
      <c r="N63" s="67">
        <v>0</v>
      </c>
      <c r="O63" s="67">
        <v>0</v>
      </c>
      <c r="P63" s="270" t="s">
        <v>801</v>
      </c>
      <c r="Q63" s="71"/>
      <c r="S63" s="163">
        <v>0</v>
      </c>
      <c r="T63" s="163">
        <v>0</v>
      </c>
      <c r="U63" s="43">
        <v>0</v>
      </c>
      <c r="V63" s="61"/>
      <c r="AC63" s="36"/>
      <c r="AD63" s="36"/>
      <c r="AE63" s="36"/>
      <c r="AF63" s="19"/>
    </row>
    <row r="64" spans="1:32">
      <c r="A64" s="64" t="s">
        <v>605</v>
      </c>
      <c r="B64" s="63" t="s">
        <v>220</v>
      </c>
      <c r="C64" s="63" t="s">
        <v>221</v>
      </c>
      <c r="D64" s="134">
        <v>0</v>
      </c>
      <c r="E64" s="67">
        <v>0</v>
      </c>
      <c r="F64" s="146">
        <v>0</v>
      </c>
      <c r="G64" s="92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P64" s="270" t="s">
        <v>801</v>
      </c>
      <c r="Q64" s="71"/>
      <c r="S64" s="163">
        <v>0</v>
      </c>
      <c r="T64" s="163">
        <v>0</v>
      </c>
      <c r="U64" s="43">
        <v>0</v>
      </c>
      <c r="V64" s="61"/>
      <c r="AC64" s="36"/>
      <c r="AD64" s="36"/>
      <c r="AE64" s="36"/>
      <c r="AF64" s="19"/>
    </row>
    <row r="65" spans="1:32">
      <c r="A65" s="64" t="s">
        <v>595</v>
      </c>
      <c r="B65" s="63" t="s">
        <v>417</v>
      </c>
      <c r="C65" s="63" t="s">
        <v>418</v>
      </c>
      <c r="D65" s="134">
        <v>0</v>
      </c>
      <c r="E65" s="67">
        <v>0</v>
      </c>
      <c r="F65" s="146">
        <v>0</v>
      </c>
      <c r="G65" s="92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P65" s="270" t="s">
        <v>801</v>
      </c>
      <c r="Q65" s="71"/>
      <c r="S65" s="163">
        <v>0</v>
      </c>
      <c r="T65" s="163">
        <v>0</v>
      </c>
      <c r="U65" s="43">
        <v>0</v>
      </c>
      <c r="V65" s="61"/>
      <c r="AC65" s="36"/>
      <c r="AD65" s="36"/>
      <c r="AE65" s="36"/>
      <c r="AF65" s="19"/>
    </row>
    <row r="66" spans="1:32">
      <c r="A66" s="64" t="s">
        <v>603</v>
      </c>
      <c r="B66" s="63" t="s">
        <v>293</v>
      </c>
      <c r="C66" s="63" t="s">
        <v>294</v>
      </c>
      <c r="D66" s="134">
        <v>0</v>
      </c>
      <c r="E66" s="67">
        <v>0</v>
      </c>
      <c r="F66" s="146">
        <v>0</v>
      </c>
      <c r="G66" s="92">
        <v>0</v>
      </c>
      <c r="H66" s="91">
        <v>0</v>
      </c>
      <c r="I66" s="67">
        <v>0</v>
      </c>
      <c r="J66" s="20">
        <v>0</v>
      </c>
      <c r="K66" s="132" t="s">
        <v>644</v>
      </c>
      <c r="L66" s="151">
        <v>0</v>
      </c>
      <c r="M66" s="128">
        <v>0</v>
      </c>
      <c r="N66" s="67">
        <v>0</v>
      </c>
      <c r="O66" s="67">
        <v>0</v>
      </c>
      <c r="P66" s="270" t="s">
        <v>801</v>
      </c>
      <c r="Q66" s="71"/>
      <c r="S66" s="163">
        <v>0</v>
      </c>
      <c r="T66" s="163">
        <v>0</v>
      </c>
      <c r="U66" s="43">
        <v>0</v>
      </c>
      <c r="V66" s="61"/>
      <c r="AC66" s="36"/>
      <c r="AD66" s="36"/>
      <c r="AE66" s="36"/>
      <c r="AF66" s="19"/>
    </row>
    <row r="67" spans="1:32">
      <c r="A67" s="64" t="s">
        <v>596</v>
      </c>
      <c r="B67" s="63" t="s">
        <v>66</v>
      </c>
      <c r="C67" s="63" t="s">
        <v>67</v>
      </c>
      <c r="D67" s="134">
        <v>1</v>
      </c>
      <c r="E67" s="67">
        <v>165</v>
      </c>
      <c r="F67" s="146">
        <v>0</v>
      </c>
      <c r="G67" s="92">
        <v>0</v>
      </c>
      <c r="H67" s="91">
        <v>165</v>
      </c>
      <c r="I67" s="67">
        <v>0</v>
      </c>
      <c r="J67" s="20">
        <v>165</v>
      </c>
      <c r="K67" s="132" t="s">
        <v>621</v>
      </c>
      <c r="L67" s="151">
        <v>0</v>
      </c>
      <c r="M67" s="128">
        <v>1</v>
      </c>
      <c r="N67" s="67">
        <v>3</v>
      </c>
      <c r="O67" s="67">
        <v>168</v>
      </c>
      <c r="P67" s="270">
        <v>1</v>
      </c>
      <c r="Q67" s="71"/>
      <c r="S67" s="163">
        <v>1198</v>
      </c>
      <c r="T67" s="163">
        <v>-1030</v>
      </c>
      <c r="U67" s="43">
        <v>-0.85976627712854758</v>
      </c>
      <c r="V67" s="61"/>
      <c r="AC67" s="36"/>
      <c r="AD67" s="36"/>
      <c r="AE67" s="36"/>
      <c r="AF67" s="19"/>
    </row>
    <row r="68" spans="1:32">
      <c r="A68" s="64" t="s">
        <v>603</v>
      </c>
      <c r="B68" s="63" t="s">
        <v>444</v>
      </c>
      <c r="C68" s="63" t="s">
        <v>445</v>
      </c>
      <c r="D68" s="134">
        <v>5.625</v>
      </c>
      <c r="E68" s="67">
        <v>926</v>
      </c>
      <c r="F68" s="146">
        <v>0</v>
      </c>
      <c r="G68" s="92">
        <v>0</v>
      </c>
      <c r="H68" s="91">
        <v>926</v>
      </c>
      <c r="I68" s="67">
        <v>0</v>
      </c>
      <c r="J68" s="20">
        <v>926</v>
      </c>
      <c r="K68" s="132" t="s">
        <v>644</v>
      </c>
      <c r="L68" s="151">
        <v>926</v>
      </c>
      <c r="M68" s="128">
        <v>0</v>
      </c>
      <c r="N68" s="67">
        <v>0</v>
      </c>
      <c r="O68" s="67">
        <v>0</v>
      </c>
      <c r="P68" s="270" t="s">
        <v>801</v>
      </c>
      <c r="Q68" s="71"/>
      <c r="S68" s="163">
        <v>0</v>
      </c>
      <c r="T68" s="163">
        <v>0</v>
      </c>
      <c r="U68" s="43">
        <v>0</v>
      </c>
      <c r="V68" s="61"/>
      <c r="AC68" s="36"/>
      <c r="AD68" s="36"/>
      <c r="AE68" s="36"/>
      <c r="AF68" s="19"/>
    </row>
    <row r="69" spans="1:32">
      <c r="A69" s="64" t="s">
        <v>597</v>
      </c>
      <c r="B69" s="63" t="s">
        <v>353</v>
      </c>
      <c r="C69" s="63" t="s">
        <v>354</v>
      </c>
      <c r="D69" s="134">
        <v>8.625</v>
      </c>
      <c r="E69" s="67">
        <v>1420</v>
      </c>
      <c r="F69" s="146">
        <v>0</v>
      </c>
      <c r="G69" s="92">
        <v>0</v>
      </c>
      <c r="H69" s="91">
        <v>1420</v>
      </c>
      <c r="I69" s="67">
        <v>0</v>
      </c>
      <c r="J69" s="20">
        <v>1420</v>
      </c>
      <c r="K69" s="132" t="s">
        <v>644</v>
      </c>
      <c r="L69" s="151">
        <v>1420</v>
      </c>
      <c r="M69" s="128">
        <v>0</v>
      </c>
      <c r="N69" s="67">
        <v>0</v>
      </c>
      <c r="O69" s="67">
        <v>0</v>
      </c>
      <c r="P69" s="270" t="s">
        <v>801</v>
      </c>
      <c r="Q69" s="71"/>
      <c r="S69" s="163">
        <v>0</v>
      </c>
      <c r="T69" s="163">
        <v>0</v>
      </c>
      <c r="U69" s="43">
        <v>0</v>
      </c>
      <c r="V69" s="61"/>
      <c r="AC69" s="36"/>
      <c r="AD69" s="36"/>
      <c r="AE69" s="36"/>
      <c r="AF69" s="19"/>
    </row>
    <row r="70" spans="1:32">
      <c r="A70" s="64" t="s">
        <v>596</v>
      </c>
      <c r="B70" s="63" t="s">
        <v>490</v>
      </c>
      <c r="C70" s="63" t="s">
        <v>491</v>
      </c>
      <c r="D70" s="134">
        <v>1.75</v>
      </c>
      <c r="E70" s="67">
        <v>288</v>
      </c>
      <c r="F70" s="146">
        <v>0</v>
      </c>
      <c r="G70" s="92">
        <v>0</v>
      </c>
      <c r="H70" s="91">
        <v>288</v>
      </c>
      <c r="I70" s="67">
        <v>0</v>
      </c>
      <c r="J70" s="20">
        <v>288</v>
      </c>
      <c r="K70" s="132" t="s">
        <v>644</v>
      </c>
      <c r="L70" s="151">
        <v>288</v>
      </c>
      <c r="M70" s="128">
        <v>0</v>
      </c>
      <c r="N70" s="67">
        <v>0</v>
      </c>
      <c r="O70" s="67">
        <v>0</v>
      </c>
      <c r="P70" s="270" t="s">
        <v>801</v>
      </c>
      <c r="Q70" s="71"/>
      <c r="S70" s="163">
        <v>0</v>
      </c>
      <c r="T70" s="163">
        <v>0</v>
      </c>
      <c r="U70" s="43">
        <v>0</v>
      </c>
      <c r="V70" s="61"/>
      <c r="AC70" s="36"/>
      <c r="AD70" s="36"/>
      <c r="AE70" s="36"/>
      <c r="AF70" s="19"/>
    </row>
    <row r="71" spans="1:32">
      <c r="A71" s="64" t="s">
        <v>603</v>
      </c>
      <c r="B71" s="63" t="s">
        <v>440</v>
      </c>
      <c r="C71" s="63" t="s">
        <v>674</v>
      </c>
      <c r="D71" s="134">
        <v>116.125</v>
      </c>
      <c r="E71" s="67">
        <v>19113</v>
      </c>
      <c r="F71" s="146">
        <v>0</v>
      </c>
      <c r="G71" s="92">
        <v>0</v>
      </c>
      <c r="H71" s="91">
        <v>19113</v>
      </c>
      <c r="I71" s="67">
        <v>0</v>
      </c>
      <c r="J71" s="20">
        <v>19113</v>
      </c>
      <c r="K71" s="132" t="s">
        <v>621</v>
      </c>
      <c r="L71" s="151">
        <v>0</v>
      </c>
      <c r="M71" s="128">
        <v>116.125</v>
      </c>
      <c r="N71" s="67">
        <v>311</v>
      </c>
      <c r="O71" s="67">
        <v>19424</v>
      </c>
      <c r="P71" s="270" t="s">
        <v>801</v>
      </c>
      <c r="Q71" s="71"/>
      <c r="S71" s="163">
        <v>0</v>
      </c>
      <c r="T71" s="163">
        <v>19424</v>
      </c>
      <c r="U71" s="43">
        <v>0</v>
      </c>
      <c r="V71" s="61"/>
      <c r="AC71" s="36"/>
      <c r="AD71" s="36"/>
      <c r="AE71" s="36"/>
      <c r="AF71" s="19"/>
    </row>
    <row r="72" spans="1:32">
      <c r="A72" s="64" t="s">
        <v>605</v>
      </c>
      <c r="B72" s="63" t="s">
        <v>549</v>
      </c>
      <c r="C72" s="63" t="s">
        <v>550</v>
      </c>
      <c r="D72" s="134">
        <v>222.625</v>
      </c>
      <c r="E72" s="67">
        <v>36642</v>
      </c>
      <c r="F72" s="146">
        <v>0</v>
      </c>
      <c r="G72" s="92">
        <v>0</v>
      </c>
      <c r="H72" s="91">
        <v>36642</v>
      </c>
      <c r="I72" s="67">
        <v>0</v>
      </c>
      <c r="J72" s="20">
        <v>36642</v>
      </c>
      <c r="K72" s="132" t="s">
        <v>621</v>
      </c>
      <c r="L72" s="151">
        <v>0</v>
      </c>
      <c r="M72" s="128">
        <v>222.625</v>
      </c>
      <c r="N72" s="67">
        <v>595</v>
      </c>
      <c r="O72" s="67">
        <v>37237</v>
      </c>
      <c r="P72" s="270" t="s">
        <v>801</v>
      </c>
      <c r="Q72" s="71"/>
      <c r="S72" s="163">
        <v>18702</v>
      </c>
      <c r="T72" s="163">
        <v>18535</v>
      </c>
      <c r="U72" s="43">
        <v>0.99107047374612345</v>
      </c>
      <c r="V72" s="61"/>
      <c r="AC72" s="36"/>
      <c r="AD72" s="36"/>
      <c r="AE72" s="36"/>
      <c r="AF72" s="19"/>
    </row>
    <row r="73" spans="1:32">
      <c r="A73" s="64" t="s">
        <v>601</v>
      </c>
      <c r="B73" s="63" t="s">
        <v>88</v>
      </c>
      <c r="C73" s="63" t="s">
        <v>89</v>
      </c>
      <c r="D73" s="134">
        <v>783.375</v>
      </c>
      <c r="E73" s="67">
        <v>128935</v>
      </c>
      <c r="F73" s="146">
        <v>0</v>
      </c>
      <c r="G73" s="92">
        <v>0</v>
      </c>
      <c r="H73" s="91">
        <v>128935</v>
      </c>
      <c r="I73" s="67">
        <v>0</v>
      </c>
      <c r="J73" s="20">
        <v>128935</v>
      </c>
      <c r="K73" s="132" t="s">
        <v>621</v>
      </c>
      <c r="L73" s="151">
        <v>0</v>
      </c>
      <c r="M73" s="128">
        <v>783.375</v>
      </c>
      <c r="N73" s="67">
        <v>2095</v>
      </c>
      <c r="O73" s="67">
        <v>131030</v>
      </c>
      <c r="P73" s="270" t="s">
        <v>801</v>
      </c>
      <c r="Q73" s="71"/>
      <c r="S73" s="163">
        <v>98649</v>
      </c>
      <c r="T73" s="163">
        <v>32381</v>
      </c>
      <c r="U73" s="43">
        <v>0.32824458433435716</v>
      </c>
      <c r="V73" s="61"/>
      <c r="AC73" s="36"/>
      <c r="AD73" s="36"/>
      <c r="AE73" s="36"/>
      <c r="AF73" s="19"/>
    </row>
    <row r="74" spans="1:32">
      <c r="A74" s="64" t="s">
        <v>605</v>
      </c>
      <c r="B74" s="63" t="s">
        <v>222</v>
      </c>
      <c r="C74" s="63" t="s">
        <v>223</v>
      </c>
      <c r="D74" s="134">
        <v>5.75</v>
      </c>
      <c r="E74" s="67">
        <v>946</v>
      </c>
      <c r="F74" s="146">
        <v>0</v>
      </c>
      <c r="G74" s="92">
        <v>0</v>
      </c>
      <c r="H74" s="91">
        <v>946</v>
      </c>
      <c r="I74" s="67">
        <v>0</v>
      </c>
      <c r="J74" s="20">
        <v>946</v>
      </c>
      <c r="K74" s="132" t="s">
        <v>644</v>
      </c>
      <c r="L74" s="151">
        <v>946</v>
      </c>
      <c r="M74" s="128">
        <v>0</v>
      </c>
      <c r="N74" s="67">
        <v>0</v>
      </c>
      <c r="O74" s="67">
        <v>0</v>
      </c>
      <c r="P74" s="270" t="s">
        <v>801</v>
      </c>
      <c r="Q74" s="71"/>
      <c r="S74" s="163">
        <v>0</v>
      </c>
      <c r="T74" s="163">
        <v>0</v>
      </c>
      <c r="U74" s="43">
        <v>0</v>
      </c>
      <c r="V74" s="61"/>
      <c r="AC74" s="36"/>
      <c r="AD74" s="36"/>
      <c r="AE74" s="36"/>
      <c r="AF74" s="19"/>
    </row>
    <row r="75" spans="1:32">
      <c r="A75" s="64" t="s">
        <v>597</v>
      </c>
      <c r="B75" s="63" t="s">
        <v>365</v>
      </c>
      <c r="C75" s="63" t="s">
        <v>366</v>
      </c>
      <c r="D75" s="134">
        <v>9.25</v>
      </c>
      <c r="E75" s="67">
        <v>1522</v>
      </c>
      <c r="F75" s="146">
        <v>0</v>
      </c>
      <c r="G75" s="92">
        <v>0</v>
      </c>
      <c r="H75" s="91">
        <v>1522</v>
      </c>
      <c r="I75" s="67">
        <v>0</v>
      </c>
      <c r="J75" s="20">
        <v>1522</v>
      </c>
      <c r="K75" s="132" t="s">
        <v>644</v>
      </c>
      <c r="L75" s="151">
        <v>1522</v>
      </c>
      <c r="M75" s="128">
        <v>0</v>
      </c>
      <c r="N75" s="67">
        <v>0</v>
      </c>
      <c r="O75" s="67">
        <v>0</v>
      </c>
      <c r="P75" s="270" t="s">
        <v>801</v>
      </c>
      <c r="Q75" s="71"/>
      <c r="S75" s="163">
        <v>0</v>
      </c>
      <c r="T75" s="163">
        <v>0</v>
      </c>
      <c r="U75" s="43">
        <v>0</v>
      </c>
      <c r="V75" s="61"/>
      <c r="AC75" s="36"/>
      <c r="AD75" s="36"/>
      <c r="AE75" s="36"/>
      <c r="AF75" s="19"/>
    </row>
    <row r="76" spans="1:32">
      <c r="A76" s="64" t="s">
        <v>595</v>
      </c>
      <c r="B76" s="63" t="s">
        <v>401</v>
      </c>
      <c r="C76" s="63" t="s">
        <v>402</v>
      </c>
      <c r="D76" s="134">
        <v>1756.125</v>
      </c>
      <c r="E76" s="67">
        <v>289039</v>
      </c>
      <c r="F76" s="146">
        <v>0</v>
      </c>
      <c r="G76" s="92">
        <v>0</v>
      </c>
      <c r="H76" s="91">
        <v>289039</v>
      </c>
      <c r="I76" s="67">
        <v>0</v>
      </c>
      <c r="J76" s="20">
        <v>289039</v>
      </c>
      <c r="K76" s="132" t="s">
        <v>621</v>
      </c>
      <c r="L76" s="151">
        <v>0</v>
      </c>
      <c r="M76" s="128">
        <v>1756.125</v>
      </c>
      <c r="N76" s="67">
        <v>4697</v>
      </c>
      <c r="O76" s="67">
        <v>293736</v>
      </c>
      <c r="P76" s="270" t="s">
        <v>801</v>
      </c>
      <c r="Q76" s="71"/>
      <c r="S76" s="163">
        <v>197373</v>
      </c>
      <c r="T76" s="163">
        <v>96363</v>
      </c>
      <c r="U76" s="43">
        <v>0.48822787311334376</v>
      </c>
      <c r="V76" s="61"/>
      <c r="AC76" s="36"/>
      <c r="AD76" s="36"/>
      <c r="AE76" s="36"/>
      <c r="AF76" s="19"/>
    </row>
    <row r="77" spans="1:32">
      <c r="A77" s="64" t="s">
        <v>605</v>
      </c>
      <c r="B77" s="63" t="s">
        <v>226</v>
      </c>
      <c r="C77" s="63" t="s">
        <v>227</v>
      </c>
      <c r="D77" s="134">
        <v>184.625</v>
      </c>
      <c r="E77" s="67">
        <v>30387</v>
      </c>
      <c r="F77" s="146">
        <v>0</v>
      </c>
      <c r="G77" s="92">
        <v>0</v>
      </c>
      <c r="H77" s="91">
        <v>30387</v>
      </c>
      <c r="I77" s="67">
        <v>0</v>
      </c>
      <c r="J77" s="20">
        <v>30387</v>
      </c>
      <c r="K77" s="132" t="s">
        <v>621</v>
      </c>
      <c r="L77" s="151">
        <v>0</v>
      </c>
      <c r="M77" s="128">
        <v>184.625</v>
      </c>
      <c r="N77" s="67">
        <v>494</v>
      </c>
      <c r="O77" s="67">
        <v>30881</v>
      </c>
      <c r="P77" s="270" t="s">
        <v>801</v>
      </c>
      <c r="Q77" s="71"/>
      <c r="S77" s="163">
        <v>18293</v>
      </c>
      <c r="T77" s="163">
        <v>12588</v>
      </c>
      <c r="U77" s="43">
        <v>0.68813207237741214</v>
      </c>
      <c r="V77" s="61"/>
      <c r="AC77" s="36"/>
      <c r="AD77" s="36"/>
      <c r="AE77" s="36"/>
      <c r="AF77" s="19"/>
    </row>
    <row r="78" spans="1:32">
      <c r="A78" s="64" t="s">
        <v>594</v>
      </c>
      <c r="B78" s="63" t="s">
        <v>141</v>
      </c>
      <c r="C78" s="63" t="s">
        <v>142</v>
      </c>
      <c r="D78" s="134">
        <v>57.125</v>
      </c>
      <c r="E78" s="67">
        <v>9402</v>
      </c>
      <c r="F78" s="146">
        <v>0</v>
      </c>
      <c r="G78" s="92">
        <v>0</v>
      </c>
      <c r="H78" s="91">
        <v>9402</v>
      </c>
      <c r="I78" s="67">
        <v>0</v>
      </c>
      <c r="J78" s="20">
        <v>9402</v>
      </c>
      <c r="K78" s="132" t="s">
        <v>644</v>
      </c>
      <c r="L78" s="151">
        <v>9402</v>
      </c>
      <c r="M78" s="128">
        <v>0</v>
      </c>
      <c r="N78" s="67">
        <v>0</v>
      </c>
      <c r="O78" s="67">
        <v>0</v>
      </c>
      <c r="P78" s="270" t="s">
        <v>801</v>
      </c>
      <c r="Q78" s="71"/>
      <c r="S78" s="163">
        <v>0</v>
      </c>
      <c r="T78" s="163">
        <v>0</v>
      </c>
      <c r="U78" s="43">
        <v>0</v>
      </c>
      <c r="V78" s="61"/>
      <c r="AC78" s="36"/>
      <c r="AD78" s="36"/>
      <c r="AE78" s="36"/>
      <c r="AF78" s="19"/>
    </row>
    <row r="79" spans="1:32">
      <c r="A79" s="64" t="s">
        <v>603</v>
      </c>
      <c r="B79" s="63" t="s">
        <v>535</v>
      </c>
      <c r="C79" s="63" t="s">
        <v>536</v>
      </c>
      <c r="D79" s="134">
        <v>0</v>
      </c>
      <c r="E79" s="67">
        <v>0</v>
      </c>
      <c r="F79" s="146">
        <v>0</v>
      </c>
      <c r="G79" s="92">
        <v>0</v>
      </c>
      <c r="H79" s="91">
        <v>0</v>
      </c>
      <c r="I79" s="67">
        <v>0</v>
      </c>
      <c r="J79" s="20">
        <v>0</v>
      </c>
      <c r="K79" s="132" t="s">
        <v>644</v>
      </c>
      <c r="L79" s="151">
        <v>0</v>
      </c>
      <c r="M79" s="128">
        <v>0</v>
      </c>
      <c r="N79" s="67">
        <v>0</v>
      </c>
      <c r="O79" s="67">
        <v>0</v>
      </c>
      <c r="P79" s="270" t="s">
        <v>801</v>
      </c>
      <c r="Q79" s="71"/>
      <c r="S79" s="163">
        <v>0</v>
      </c>
      <c r="T79" s="163">
        <v>0</v>
      </c>
      <c r="U79" s="43">
        <v>0</v>
      </c>
      <c r="V79" s="61"/>
      <c r="AC79" s="36"/>
      <c r="AD79" s="36"/>
      <c r="AE79" s="36"/>
      <c r="AF79" s="19"/>
    </row>
    <row r="80" spans="1:32">
      <c r="A80" s="64" t="s">
        <v>601</v>
      </c>
      <c r="B80" s="63" t="s">
        <v>29</v>
      </c>
      <c r="C80" s="63" t="s">
        <v>30</v>
      </c>
      <c r="D80" s="134">
        <v>45.875</v>
      </c>
      <c r="E80" s="67">
        <v>7551</v>
      </c>
      <c r="F80" s="146">
        <v>0</v>
      </c>
      <c r="G80" s="92">
        <v>0</v>
      </c>
      <c r="H80" s="91">
        <v>7551</v>
      </c>
      <c r="I80" s="67">
        <v>0</v>
      </c>
      <c r="J80" s="20">
        <v>7551</v>
      </c>
      <c r="K80" s="132" t="s">
        <v>644</v>
      </c>
      <c r="L80" s="151">
        <v>7551</v>
      </c>
      <c r="M80" s="128">
        <v>0</v>
      </c>
      <c r="N80" s="67">
        <v>0</v>
      </c>
      <c r="O80" s="67">
        <v>0</v>
      </c>
      <c r="P80" s="270" t="s">
        <v>801</v>
      </c>
      <c r="Q80" s="71"/>
      <c r="S80" s="163">
        <v>0</v>
      </c>
      <c r="T80" s="163">
        <v>0</v>
      </c>
      <c r="U80" s="43">
        <v>0</v>
      </c>
      <c r="V80" s="61"/>
      <c r="AC80" s="36"/>
      <c r="AD80" s="36"/>
      <c r="AE80" s="36"/>
      <c r="AF80" s="19"/>
    </row>
    <row r="81" spans="1:32">
      <c r="A81" s="64" t="s">
        <v>597</v>
      </c>
      <c r="B81" s="63" t="s">
        <v>177</v>
      </c>
      <c r="C81" s="63" t="s">
        <v>178</v>
      </c>
      <c r="D81" s="134">
        <v>123.125</v>
      </c>
      <c r="E81" s="67">
        <v>20265</v>
      </c>
      <c r="F81" s="146">
        <v>0</v>
      </c>
      <c r="G81" s="92">
        <v>0</v>
      </c>
      <c r="H81" s="91">
        <v>20265</v>
      </c>
      <c r="I81" s="67">
        <v>0</v>
      </c>
      <c r="J81" s="20">
        <v>20265</v>
      </c>
      <c r="K81" s="132" t="s">
        <v>621</v>
      </c>
      <c r="L81" s="151">
        <v>0</v>
      </c>
      <c r="M81" s="128">
        <v>123.125</v>
      </c>
      <c r="N81" s="67">
        <v>329</v>
      </c>
      <c r="O81" s="67">
        <v>20594</v>
      </c>
      <c r="P81" s="270" t="s">
        <v>801</v>
      </c>
      <c r="Q81" s="71"/>
      <c r="S81" s="163">
        <v>0</v>
      </c>
      <c r="T81" s="163">
        <v>20594</v>
      </c>
      <c r="U81" s="43">
        <v>0</v>
      </c>
      <c r="V81" s="61"/>
      <c r="AC81" s="36"/>
      <c r="AD81" s="36"/>
      <c r="AE81" s="36"/>
      <c r="AF81" s="19"/>
    </row>
    <row r="82" spans="1:32">
      <c r="A82" s="64" t="s">
        <v>601</v>
      </c>
      <c r="B82" s="63" t="s">
        <v>127</v>
      </c>
      <c r="C82" s="63" t="s">
        <v>128</v>
      </c>
      <c r="D82" s="134">
        <v>167.375</v>
      </c>
      <c r="E82" s="67">
        <v>27548</v>
      </c>
      <c r="F82" s="146">
        <v>0</v>
      </c>
      <c r="G82" s="92">
        <v>0</v>
      </c>
      <c r="H82" s="91">
        <v>27548</v>
      </c>
      <c r="I82" s="67">
        <v>0</v>
      </c>
      <c r="J82" s="20">
        <v>27548</v>
      </c>
      <c r="K82" s="132" t="s">
        <v>621</v>
      </c>
      <c r="L82" s="151">
        <v>0</v>
      </c>
      <c r="M82" s="128">
        <v>167.375</v>
      </c>
      <c r="N82" s="67">
        <v>448</v>
      </c>
      <c r="O82" s="67">
        <v>27996</v>
      </c>
      <c r="P82" s="270" t="s">
        <v>801</v>
      </c>
      <c r="Q82" s="71"/>
      <c r="S82" s="163">
        <v>23962</v>
      </c>
      <c r="T82" s="163">
        <v>4034</v>
      </c>
      <c r="U82" s="43">
        <v>0.16834988732159253</v>
      </c>
      <c r="V82" s="61"/>
      <c r="AC82" s="36"/>
      <c r="AD82" s="36"/>
      <c r="AE82" s="36"/>
      <c r="AF82" s="19"/>
    </row>
    <row r="83" spans="1:32">
      <c r="A83" s="64" t="s">
        <v>603</v>
      </c>
      <c r="B83" s="65" t="s">
        <v>676</v>
      </c>
      <c r="C83" s="63" t="s">
        <v>677</v>
      </c>
      <c r="D83" s="134">
        <v>0</v>
      </c>
      <c r="E83" s="67">
        <v>0</v>
      </c>
      <c r="F83" s="146">
        <v>0</v>
      </c>
      <c r="G83" s="92">
        <v>0</v>
      </c>
      <c r="H83" s="91">
        <v>0</v>
      </c>
      <c r="I83" s="67">
        <v>0</v>
      </c>
      <c r="J83" s="20">
        <v>0</v>
      </c>
      <c r="K83" s="132">
        <v>0</v>
      </c>
      <c r="L83" s="151">
        <v>0</v>
      </c>
      <c r="M83" s="128">
        <v>0</v>
      </c>
      <c r="N83" s="67">
        <v>0</v>
      </c>
      <c r="O83" s="67">
        <v>0</v>
      </c>
      <c r="P83" s="270" t="e">
        <v>#N/A</v>
      </c>
      <c r="Q83" s="71"/>
      <c r="S83" s="163">
        <v>0</v>
      </c>
      <c r="T83" s="163">
        <v>0</v>
      </c>
      <c r="U83" s="43">
        <v>0</v>
      </c>
      <c r="V83" s="61"/>
      <c r="AC83" s="36"/>
      <c r="AD83" s="36"/>
      <c r="AE83" s="36"/>
      <c r="AF83" s="19"/>
    </row>
    <row r="84" spans="1:32">
      <c r="A84" s="64" t="s">
        <v>599</v>
      </c>
      <c r="B84" s="63" t="s">
        <v>651</v>
      </c>
      <c r="C84" s="63" t="s">
        <v>652</v>
      </c>
      <c r="D84" s="134">
        <v>0</v>
      </c>
      <c r="E84" s="67">
        <v>0</v>
      </c>
      <c r="F84" s="146">
        <v>0</v>
      </c>
      <c r="G84" s="92">
        <v>0</v>
      </c>
      <c r="H84" s="91">
        <v>0</v>
      </c>
      <c r="I84" s="67">
        <v>0</v>
      </c>
      <c r="J84" s="20">
        <v>0</v>
      </c>
      <c r="K84" s="132">
        <v>0</v>
      </c>
      <c r="L84" s="151">
        <v>0</v>
      </c>
      <c r="M84" s="128">
        <v>0</v>
      </c>
      <c r="N84" s="67">
        <v>0</v>
      </c>
      <c r="O84" s="67">
        <v>0</v>
      </c>
      <c r="P84" s="270" t="e">
        <v>#N/A</v>
      </c>
      <c r="Q84" s="71"/>
      <c r="S84" s="163">
        <v>0</v>
      </c>
      <c r="T84" s="163">
        <v>0</v>
      </c>
      <c r="U84" s="43">
        <v>0</v>
      </c>
      <c r="V84" s="61"/>
      <c r="AC84" s="36"/>
      <c r="AD84" s="36"/>
      <c r="AE84" s="36"/>
      <c r="AF84" s="19"/>
    </row>
    <row r="85" spans="1:32">
      <c r="A85" s="64" t="s">
        <v>594</v>
      </c>
      <c r="B85" s="63" t="s">
        <v>678</v>
      </c>
      <c r="C85" s="63" t="s">
        <v>679</v>
      </c>
      <c r="D85" s="134">
        <v>0</v>
      </c>
      <c r="E85" s="67">
        <v>0</v>
      </c>
      <c r="F85" s="146">
        <v>0</v>
      </c>
      <c r="G85" s="92">
        <v>0</v>
      </c>
      <c r="H85" s="91">
        <v>0</v>
      </c>
      <c r="I85" s="67">
        <v>0</v>
      </c>
      <c r="J85" s="20">
        <v>0</v>
      </c>
      <c r="K85" s="132">
        <v>0</v>
      </c>
      <c r="L85" s="151">
        <v>0</v>
      </c>
      <c r="M85" s="128">
        <v>0</v>
      </c>
      <c r="N85" s="67">
        <v>0</v>
      </c>
      <c r="O85" s="67">
        <v>0</v>
      </c>
      <c r="P85" s="270" t="e">
        <v>#N/A</v>
      </c>
      <c r="Q85" s="71"/>
      <c r="S85" s="163">
        <v>0</v>
      </c>
      <c r="T85" s="163">
        <v>0</v>
      </c>
      <c r="U85" s="43">
        <v>0</v>
      </c>
      <c r="V85" s="61"/>
      <c r="AC85" s="36"/>
      <c r="AD85" s="36"/>
      <c r="AE85" s="36"/>
      <c r="AF85" s="19"/>
    </row>
    <row r="86" spans="1:32">
      <c r="A86" s="64" t="s">
        <v>600</v>
      </c>
      <c r="B86" s="65" t="s">
        <v>663</v>
      </c>
      <c r="C86" s="63" t="s">
        <v>664</v>
      </c>
      <c r="D86" s="134">
        <v>0</v>
      </c>
      <c r="E86" s="67">
        <v>0</v>
      </c>
      <c r="F86" s="146">
        <v>0</v>
      </c>
      <c r="G86" s="92">
        <v>0</v>
      </c>
      <c r="H86" s="91">
        <v>0</v>
      </c>
      <c r="I86" s="67">
        <v>0</v>
      </c>
      <c r="J86" s="20">
        <v>0</v>
      </c>
      <c r="K86" s="132">
        <v>0</v>
      </c>
      <c r="L86" s="151">
        <v>0</v>
      </c>
      <c r="M86" s="128">
        <v>0</v>
      </c>
      <c r="N86" s="67">
        <v>0</v>
      </c>
      <c r="O86" s="67">
        <v>0</v>
      </c>
      <c r="P86" s="270" t="e">
        <v>#N/A</v>
      </c>
      <c r="Q86" s="71"/>
      <c r="S86" s="163">
        <v>0</v>
      </c>
      <c r="T86" s="163">
        <v>0</v>
      </c>
      <c r="U86" s="4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5" t="s">
        <v>653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91">
        <v>0</v>
      </c>
      <c r="I87" s="67">
        <v>0</v>
      </c>
      <c r="J87" s="20">
        <v>0</v>
      </c>
      <c r="K87" s="132">
        <v>0</v>
      </c>
      <c r="L87" s="151">
        <v>0</v>
      </c>
      <c r="M87" s="128">
        <v>0</v>
      </c>
      <c r="N87" s="67">
        <v>0</v>
      </c>
      <c r="O87" s="67">
        <v>0</v>
      </c>
      <c r="P87" s="270" t="e">
        <v>#N/A</v>
      </c>
      <c r="Q87" s="71"/>
      <c r="S87" s="163">
        <v>0</v>
      </c>
      <c r="T87" s="163">
        <v>0</v>
      </c>
      <c r="U87" s="43">
        <v>0</v>
      </c>
      <c r="V87" s="61"/>
      <c r="AC87" s="36"/>
      <c r="AD87" s="36"/>
      <c r="AE87" s="36"/>
      <c r="AF87" s="19"/>
    </row>
    <row r="88" spans="1:32">
      <c r="A88" s="64" t="s">
        <v>596</v>
      </c>
      <c r="B88" s="63" t="s">
        <v>680</v>
      </c>
      <c r="C88" s="63" t="s">
        <v>604</v>
      </c>
      <c r="D88" s="134">
        <v>0</v>
      </c>
      <c r="E88" s="67">
        <v>0</v>
      </c>
      <c r="F88" s="146">
        <v>0</v>
      </c>
      <c r="G88" s="92">
        <v>0</v>
      </c>
      <c r="H88" s="91">
        <v>0</v>
      </c>
      <c r="I88" s="67">
        <v>0</v>
      </c>
      <c r="J88" s="20">
        <v>0</v>
      </c>
      <c r="K88" s="132">
        <v>0</v>
      </c>
      <c r="L88" s="151">
        <v>0</v>
      </c>
      <c r="M88" s="128">
        <v>0</v>
      </c>
      <c r="N88" s="67">
        <v>0</v>
      </c>
      <c r="O88" s="67">
        <v>0</v>
      </c>
      <c r="P88" s="270" t="e">
        <v>#N/A</v>
      </c>
      <c r="Q88" s="71"/>
      <c r="S88" s="163">
        <v>0</v>
      </c>
      <c r="T88" s="163">
        <v>0</v>
      </c>
      <c r="U88" s="43">
        <v>0</v>
      </c>
      <c r="V88" s="61"/>
      <c r="AC88" s="36"/>
      <c r="AD88" s="36"/>
      <c r="AE88" s="36"/>
      <c r="AF88" s="19"/>
    </row>
    <row r="89" spans="1:32">
      <c r="A89" s="64" t="s">
        <v>601</v>
      </c>
      <c r="B89" s="65" t="s">
        <v>649</v>
      </c>
      <c r="C89" s="63" t="s">
        <v>650</v>
      </c>
      <c r="D89" s="134">
        <v>0</v>
      </c>
      <c r="E89" s="67">
        <v>0</v>
      </c>
      <c r="F89" s="146">
        <v>0</v>
      </c>
      <c r="G89" s="92">
        <v>0</v>
      </c>
      <c r="H89" s="91">
        <v>0</v>
      </c>
      <c r="I89" s="67">
        <v>0</v>
      </c>
      <c r="J89" s="20">
        <v>0</v>
      </c>
      <c r="K89" s="132">
        <v>0</v>
      </c>
      <c r="L89" s="151">
        <v>0</v>
      </c>
      <c r="M89" s="128">
        <v>0</v>
      </c>
      <c r="N89" s="67">
        <v>0</v>
      </c>
      <c r="O89" s="67">
        <v>0</v>
      </c>
      <c r="P89" s="270" t="e">
        <v>#N/A</v>
      </c>
      <c r="Q89" s="71"/>
      <c r="S89" s="163">
        <v>0</v>
      </c>
      <c r="T89" s="163">
        <v>0</v>
      </c>
      <c r="U89" s="43">
        <v>0</v>
      </c>
      <c r="V89" s="61"/>
      <c r="AC89" s="36"/>
      <c r="AD89" s="36"/>
      <c r="AE89" s="36"/>
      <c r="AF89" s="19"/>
    </row>
    <row r="90" spans="1:32">
      <c r="A90" s="64" t="s">
        <v>595</v>
      </c>
      <c r="B90" s="63" t="s">
        <v>671</v>
      </c>
      <c r="C90" s="63" t="s">
        <v>672</v>
      </c>
      <c r="D90" s="134">
        <v>0</v>
      </c>
      <c r="E90" s="67">
        <v>0</v>
      </c>
      <c r="F90" s="146">
        <v>0</v>
      </c>
      <c r="G90" s="92">
        <v>0</v>
      </c>
      <c r="H90" s="91">
        <v>0</v>
      </c>
      <c r="I90" s="67">
        <v>0</v>
      </c>
      <c r="J90" s="20">
        <v>0</v>
      </c>
      <c r="K90" s="132">
        <v>0</v>
      </c>
      <c r="L90" s="151">
        <v>0</v>
      </c>
      <c r="M90" s="128">
        <v>0</v>
      </c>
      <c r="N90" s="67">
        <v>0</v>
      </c>
      <c r="O90" s="67">
        <v>0</v>
      </c>
      <c r="P90" s="270" t="e">
        <v>#N/A</v>
      </c>
      <c r="Q90" s="71"/>
      <c r="S90" s="163">
        <v>0</v>
      </c>
      <c r="T90" s="163">
        <v>0</v>
      </c>
      <c r="U90" s="43">
        <v>0</v>
      </c>
      <c r="V90" s="61"/>
      <c r="AC90" s="36"/>
      <c r="AD90" s="36"/>
      <c r="AE90" s="36"/>
      <c r="AF90" s="19"/>
    </row>
    <row r="91" spans="1:32">
      <c r="A91" s="64" t="s">
        <v>594</v>
      </c>
      <c r="B91" s="63" t="s">
        <v>256</v>
      </c>
      <c r="C91" s="63" t="s">
        <v>257</v>
      </c>
      <c r="D91" s="134">
        <v>0</v>
      </c>
      <c r="E91" s="67">
        <v>0</v>
      </c>
      <c r="F91" s="146">
        <v>0</v>
      </c>
      <c r="G91" s="92">
        <v>0</v>
      </c>
      <c r="H91" s="91">
        <v>0</v>
      </c>
      <c r="I91" s="67">
        <v>0</v>
      </c>
      <c r="J91" s="20">
        <v>0</v>
      </c>
      <c r="K91" s="132" t="s">
        <v>644</v>
      </c>
      <c r="L91" s="151">
        <v>0</v>
      </c>
      <c r="M91" s="128">
        <v>0</v>
      </c>
      <c r="N91" s="67">
        <v>0</v>
      </c>
      <c r="O91" s="67">
        <v>0</v>
      </c>
      <c r="P91" s="270" t="s">
        <v>801</v>
      </c>
      <c r="Q91" s="71"/>
      <c r="S91" s="163">
        <v>0</v>
      </c>
      <c r="T91" s="163">
        <v>0</v>
      </c>
      <c r="U91" s="43">
        <v>0</v>
      </c>
      <c r="V91" s="61"/>
      <c r="AC91" s="36"/>
      <c r="AD91" s="36"/>
      <c r="AE91" s="36"/>
      <c r="AF91" s="19"/>
    </row>
    <row r="92" spans="1:32">
      <c r="A92" s="64" t="s">
        <v>595</v>
      </c>
      <c r="B92" s="63" t="s">
        <v>395</v>
      </c>
      <c r="C92" s="63" t="s">
        <v>396</v>
      </c>
      <c r="D92" s="134">
        <v>1558.875</v>
      </c>
      <c r="E92" s="67">
        <v>256574</v>
      </c>
      <c r="F92" s="146">
        <v>0</v>
      </c>
      <c r="G92" s="92">
        <v>0</v>
      </c>
      <c r="H92" s="91">
        <v>256574</v>
      </c>
      <c r="I92" s="67">
        <v>0</v>
      </c>
      <c r="J92" s="20">
        <v>256574</v>
      </c>
      <c r="K92" s="132" t="s">
        <v>621</v>
      </c>
      <c r="L92" s="151">
        <v>0</v>
      </c>
      <c r="M92" s="128">
        <v>1558.875</v>
      </c>
      <c r="N92" s="67">
        <v>4170</v>
      </c>
      <c r="O92" s="67">
        <v>260744</v>
      </c>
      <c r="P92" s="270" t="s">
        <v>801</v>
      </c>
      <c r="Q92" s="71"/>
      <c r="S92" s="163">
        <v>170743</v>
      </c>
      <c r="T92" s="163">
        <v>90001</v>
      </c>
      <c r="U92" s="43">
        <v>0.52711384946967077</v>
      </c>
      <c r="V92" s="61"/>
      <c r="AC92" s="36"/>
      <c r="AD92" s="36"/>
      <c r="AE92" s="36"/>
      <c r="AF92" s="19"/>
    </row>
    <row r="93" spans="1:32">
      <c r="A93" s="64" t="s">
        <v>599</v>
      </c>
      <c r="B93" s="63" t="s">
        <v>58</v>
      </c>
      <c r="C93" s="63" t="s">
        <v>59</v>
      </c>
      <c r="D93" s="134">
        <v>2056.25</v>
      </c>
      <c r="E93" s="67">
        <v>338436</v>
      </c>
      <c r="F93" s="146">
        <v>0</v>
      </c>
      <c r="G93" s="92">
        <v>0</v>
      </c>
      <c r="H93" s="91">
        <v>338436</v>
      </c>
      <c r="I93" s="67">
        <v>0</v>
      </c>
      <c r="J93" s="20">
        <v>338436</v>
      </c>
      <c r="K93" s="132" t="s">
        <v>621</v>
      </c>
      <c r="L93" s="151">
        <v>0</v>
      </c>
      <c r="M93" s="128">
        <v>2056.25</v>
      </c>
      <c r="N93" s="67">
        <v>5500</v>
      </c>
      <c r="O93" s="67">
        <v>343936</v>
      </c>
      <c r="P93" s="270" t="s">
        <v>801</v>
      </c>
      <c r="Q93" s="71"/>
      <c r="S93" s="163">
        <v>236141</v>
      </c>
      <c r="T93" s="163">
        <v>107795</v>
      </c>
      <c r="U93" s="43">
        <v>0.45648574368703443</v>
      </c>
      <c r="V93" s="61"/>
      <c r="AC93" s="36"/>
      <c r="AD93" s="36"/>
      <c r="AE93" s="36"/>
      <c r="AF93" s="19"/>
    </row>
    <row r="94" spans="1:32">
      <c r="A94" s="64" t="s">
        <v>603</v>
      </c>
      <c r="B94" s="63" t="s">
        <v>462</v>
      </c>
      <c r="C94" s="63" t="s">
        <v>463</v>
      </c>
      <c r="D94" s="134">
        <v>0</v>
      </c>
      <c r="E94" s="67">
        <v>0</v>
      </c>
      <c r="F94" s="146">
        <v>0</v>
      </c>
      <c r="G94" s="92">
        <v>0</v>
      </c>
      <c r="H94" s="91">
        <v>0</v>
      </c>
      <c r="I94" s="67">
        <v>0</v>
      </c>
      <c r="J94" s="20">
        <v>0</v>
      </c>
      <c r="K94" s="132" t="s">
        <v>644</v>
      </c>
      <c r="L94" s="151">
        <v>0</v>
      </c>
      <c r="M94" s="128">
        <v>0</v>
      </c>
      <c r="N94" s="67">
        <v>0</v>
      </c>
      <c r="O94" s="67">
        <v>0</v>
      </c>
      <c r="P94" s="270" t="s">
        <v>801</v>
      </c>
      <c r="Q94" s="71"/>
      <c r="S94" s="163">
        <v>0</v>
      </c>
      <c r="T94" s="163">
        <v>0</v>
      </c>
      <c r="U94" s="43">
        <v>0</v>
      </c>
      <c r="V94" s="61"/>
      <c r="AC94" s="36"/>
      <c r="AD94" s="36"/>
      <c r="AE94" s="36"/>
      <c r="AF94" s="19"/>
    </row>
    <row r="95" spans="1:32">
      <c r="A95" s="64" t="s">
        <v>597</v>
      </c>
      <c r="B95" s="63" t="s">
        <v>175</v>
      </c>
      <c r="C95" s="63" t="s">
        <v>176</v>
      </c>
      <c r="D95" s="134">
        <v>2542.5</v>
      </c>
      <c r="E95" s="67">
        <v>418467</v>
      </c>
      <c r="F95" s="146">
        <v>0</v>
      </c>
      <c r="G95" s="92">
        <v>0</v>
      </c>
      <c r="H95" s="91">
        <v>418467</v>
      </c>
      <c r="I95" s="67">
        <v>0</v>
      </c>
      <c r="J95" s="20">
        <v>418467</v>
      </c>
      <c r="K95" s="132" t="s">
        <v>621</v>
      </c>
      <c r="L95" s="151">
        <v>0</v>
      </c>
      <c r="M95" s="128">
        <v>2542.5</v>
      </c>
      <c r="N95" s="67">
        <v>6801</v>
      </c>
      <c r="O95" s="67">
        <v>425268</v>
      </c>
      <c r="P95" s="270" t="s">
        <v>801</v>
      </c>
      <c r="Q95" s="71"/>
      <c r="S95" s="163">
        <v>279682</v>
      </c>
      <c r="T95" s="163">
        <v>145586</v>
      </c>
      <c r="U95" s="43">
        <v>0.5205411860613125</v>
      </c>
      <c r="V95" s="61"/>
      <c r="AC95" s="36"/>
      <c r="AD95" s="36"/>
      <c r="AE95" s="36"/>
      <c r="AF95" s="19"/>
    </row>
    <row r="96" spans="1:32">
      <c r="A96" s="64" t="s">
        <v>595</v>
      </c>
      <c r="B96" s="63" t="s">
        <v>506</v>
      </c>
      <c r="C96" s="63" t="s">
        <v>507</v>
      </c>
      <c r="D96" s="134">
        <v>223.25</v>
      </c>
      <c r="E96" s="67">
        <v>36744</v>
      </c>
      <c r="F96" s="146">
        <v>0</v>
      </c>
      <c r="G96" s="92">
        <v>5700</v>
      </c>
      <c r="H96" s="91">
        <v>42444</v>
      </c>
      <c r="I96" s="67">
        <v>0</v>
      </c>
      <c r="J96" s="20">
        <v>36744</v>
      </c>
      <c r="K96" s="132" t="s">
        <v>621</v>
      </c>
      <c r="L96" s="151">
        <v>0</v>
      </c>
      <c r="M96" s="128">
        <v>223.25</v>
      </c>
      <c r="N96" s="67">
        <v>597</v>
      </c>
      <c r="O96" s="67">
        <v>37341</v>
      </c>
      <c r="P96" s="270" t="s">
        <v>801</v>
      </c>
      <c r="Q96" s="71"/>
      <c r="S96" s="163">
        <v>30614</v>
      </c>
      <c r="T96" s="163">
        <v>6727</v>
      </c>
      <c r="U96" s="43">
        <v>0.219736068465408</v>
      </c>
      <c r="V96" s="61"/>
      <c r="AC96" s="36"/>
      <c r="AD96" s="36"/>
      <c r="AE96" s="36"/>
      <c r="AF96" s="19"/>
    </row>
    <row r="97" spans="1:32">
      <c r="A97" s="64" t="s">
        <v>597</v>
      </c>
      <c r="B97" s="63" t="s">
        <v>369</v>
      </c>
      <c r="C97" s="63" t="s">
        <v>370</v>
      </c>
      <c r="D97" s="134">
        <v>321.125</v>
      </c>
      <c r="E97" s="67">
        <v>52854</v>
      </c>
      <c r="F97" s="146">
        <v>0</v>
      </c>
      <c r="G97" s="92">
        <v>0</v>
      </c>
      <c r="H97" s="91">
        <v>52854</v>
      </c>
      <c r="I97" s="67">
        <v>0</v>
      </c>
      <c r="J97" s="20">
        <v>52854</v>
      </c>
      <c r="K97" s="132" t="s">
        <v>621</v>
      </c>
      <c r="L97" s="151">
        <v>0</v>
      </c>
      <c r="M97" s="128">
        <v>321.125</v>
      </c>
      <c r="N97" s="67">
        <v>859</v>
      </c>
      <c r="O97" s="67">
        <v>53713</v>
      </c>
      <c r="P97" s="270" t="s">
        <v>801</v>
      </c>
      <c r="Q97" s="71"/>
      <c r="S97" s="163">
        <v>32327</v>
      </c>
      <c r="T97" s="163">
        <v>21386</v>
      </c>
      <c r="U97" s="43">
        <v>0.66155226281436574</v>
      </c>
      <c r="V97" s="61"/>
      <c r="AC97" s="36"/>
      <c r="AD97" s="36"/>
      <c r="AE97" s="36"/>
      <c r="AF97" s="19"/>
    </row>
    <row r="98" spans="1:32">
      <c r="A98" s="64" t="s">
        <v>596</v>
      </c>
      <c r="B98" s="63" t="s">
        <v>19</v>
      </c>
      <c r="C98" s="63" t="s">
        <v>20</v>
      </c>
      <c r="D98" s="134">
        <v>98.5</v>
      </c>
      <c r="E98" s="67">
        <v>16212</v>
      </c>
      <c r="F98" s="146">
        <v>0</v>
      </c>
      <c r="G98" s="92">
        <v>1950</v>
      </c>
      <c r="H98" s="91">
        <v>18162</v>
      </c>
      <c r="I98" s="67">
        <v>0</v>
      </c>
      <c r="J98" s="20">
        <v>16212</v>
      </c>
      <c r="K98" s="132" t="s">
        <v>621</v>
      </c>
      <c r="L98" s="151">
        <v>0</v>
      </c>
      <c r="M98" s="128">
        <v>98.5</v>
      </c>
      <c r="N98" s="67">
        <v>263</v>
      </c>
      <c r="O98" s="67">
        <v>16475</v>
      </c>
      <c r="P98" s="270" t="s">
        <v>801</v>
      </c>
      <c r="Q98" s="71"/>
      <c r="S98" s="163">
        <v>10184</v>
      </c>
      <c r="T98" s="163">
        <v>6291</v>
      </c>
      <c r="U98" s="43">
        <v>0.61773369992144544</v>
      </c>
      <c r="V98" s="61"/>
      <c r="AC98" s="36"/>
      <c r="AD98" s="36"/>
      <c r="AE98" s="36"/>
      <c r="AF98" s="19"/>
    </row>
    <row r="99" spans="1:32">
      <c r="A99" s="64" t="s">
        <v>597</v>
      </c>
      <c r="B99" s="63" t="s">
        <v>361</v>
      </c>
      <c r="C99" s="63" t="s">
        <v>362</v>
      </c>
      <c r="D99" s="134">
        <v>459</v>
      </c>
      <c r="E99" s="67">
        <v>75546</v>
      </c>
      <c r="F99" s="146">
        <v>0</v>
      </c>
      <c r="G99" s="92">
        <v>0</v>
      </c>
      <c r="H99" s="91">
        <v>75546</v>
      </c>
      <c r="I99" s="67">
        <v>0</v>
      </c>
      <c r="J99" s="20">
        <v>75546</v>
      </c>
      <c r="K99" s="132" t="s">
        <v>621</v>
      </c>
      <c r="L99" s="151">
        <v>0</v>
      </c>
      <c r="M99" s="128">
        <v>459</v>
      </c>
      <c r="N99" s="67">
        <v>1228</v>
      </c>
      <c r="O99" s="67">
        <v>76774</v>
      </c>
      <c r="P99" s="270" t="s">
        <v>801</v>
      </c>
      <c r="Q99" s="71"/>
      <c r="S99" s="163">
        <v>44557</v>
      </c>
      <c r="T99" s="163">
        <v>32217</v>
      </c>
      <c r="U99" s="43">
        <v>0.72305137239939854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436</v>
      </c>
      <c r="C100" s="63" t="s">
        <v>437</v>
      </c>
      <c r="D100" s="134">
        <v>0</v>
      </c>
      <c r="E100" s="67">
        <v>0</v>
      </c>
      <c r="F100" s="146">
        <v>0</v>
      </c>
      <c r="G100" s="92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P100" s="270" t="s">
        <v>801</v>
      </c>
      <c r="Q100" s="71"/>
      <c r="S100" s="163">
        <v>0</v>
      </c>
      <c r="T100" s="163">
        <v>0</v>
      </c>
      <c r="U100" s="43">
        <v>0</v>
      </c>
      <c r="V100" s="61"/>
      <c r="AC100" s="36"/>
      <c r="AD100" s="36"/>
      <c r="AE100" s="36"/>
      <c r="AF100" s="19"/>
    </row>
    <row r="101" spans="1:32">
      <c r="A101" s="64" t="s">
        <v>603</v>
      </c>
      <c r="B101" s="63" t="s">
        <v>529</v>
      </c>
      <c r="C101" s="63" t="s">
        <v>530</v>
      </c>
      <c r="D101" s="134">
        <v>0</v>
      </c>
      <c r="E101" s="67">
        <v>0</v>
      </c>
      <c r="F101" s="146">
        <v>0</v>
      </c>
      <c r="G101" s="92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P101" s="270" t="s">
        <v>801</v>
      </c>
      <c r="Q101" s="71"/>
      <c r="S101" s="163">
        <v>0</v>
      </c>
      <c r="T101" s="163">
        <v>0</v>
      </c>
      <c r="U101" s="43">
        <v>0</v>
      </c>
      <c r="V101" s="61"/>
      <c r="AC101" s="36"/>
      <c r="AD101" s="36"/>
      <c r="AE101" s="36"/>
      <c r="AF101" s="19"/>
    </row>
    <row r="102" spans="1:32">
      <c r="A102" s="64" t="s">
        <v>599</v>
      </c>
      <c r="B102" s="63" t="s">
        <v>240</v>
      </c>
      <c r="C102" s="63" t="s">
        <v>241</v>
      </c>
      <c r="D102" s="134">
        <v>0</v>
      </c>
      <c r="E102" s="67">
        <v>0</v>
      </c>
      <c r="F102" s="146">
        <v>0</v>
      </c>
      <c r="G102" s="92">
        <v>0</v>
      </c>
      <c r="H102" s="91">
        <v>0</v>
      </c>
      <c r="I102" s="67">
        <v>0</v>
      </c>
      <c r="J102" s="20">
        <v>0</v>
      </c>
      <c r="K102" s="132" t="s">
        <v>644</v>
      </c>
      <c r="L102" s="151">
        <v>0</v>
      </c>
      <c r="M102" s="128">
        <v>0</v>
      </c>
      <c r="N102" s="67">
        <v>0</v>
      </c>
      <c r="O102" s="67">
        <v>0</v>
      </c>
      <c r="P102" s="270" t="s">
        <v>801</v>
      </c>
      <c r="Q102" s="71"/>
      <c r="S102" s="163">
        <v>0</v>
      </c>
      <c r="T102" s="163">
        <v>0</v>
      </c>
      <c r="U102" s="43">
        <v>0</v>
      </c>
      <c r="V102" s="61"/>
      <c r="AC102" s="36"/>
      <c r="AD102" s="36"/>
      <c r="AE102" s="36"/>
      <c r="AF102" s="19"/>
    </row>
    <row r="103" spans="1:32">
      <c r="A103" s="64" t="s">
        <v>605</v>
      </c>
      <c r="B103" s="63" t="s">
        <v>246</v>
      </c>
      <c r="C103" s="63" t="s">
        <v>247</v>
      </c>
      <c r="D103" s="134">
        <v>35.5</v>
      </c>
      <c r="E103" s="67">
        <v>5843</v>
      </c>
      <c r="F103" s="146">
        <v>0</v>
      </c>
      <c r="G103" s="92">
        <v>0</v>
      </c>
      <c r="H103" s="91">
        <v>5843</v>
      </c>
      <c r="I103" s="67">
        <v>0</v>
      </c>
      <c r="J103" s="20">
        <v>5843</v>
      </c>
      <c r="K103" s="132" t="s">
        <v>621</v>
      </c>
      <c r="L103" s="151">
        <v>0</v>
      </c>
      <c r="M103" s="128">
        <v>35.5</v>
      </c>
      <c r="N103" s="67">
        <v>95</v>
      </c>
      <c r="O103" s="67">
        <v>5938</v>
      </c>
      <c r="P103" s="270">
        <v>1</v>
      </c>
      <c r="Q103" s="71"/>
      <c r="S103" s="163">
        <v>5061</v>
      </c>
      <c r="T103" s="163">
        <v>877</v>
      </c>
      <c r="U103" s="43">
        <v>0.17328591187512349</v>
      </c>
      <c r="V103" s="61"/>
      <c r="AC103" s="36"/>
      <c r="AD103" s="36"/>
      <c r="AE103" s="36"/>
      <c r="AF103" s="19"/>
    </row>
    <row r="104" spans="1:32">
      <c r="A104" s="64" t="s">
        <v>601</v>
      </c>
      <c r="B104" s="63" t="s">
        <v>131</v>
      </c>
      <c r="C104" s="63" t="s">
        <v>655</v>
      </c>
      <c r="D104" s="134">
        <v>0</v>
      </c>
      <c r="E104" s="67">
        <v>0</v>
      </c>
      <c r="F104" s="146">
        <v>0</v>
      </c>
      <c r="G104" s="92">
        <v>0</v>
      </c>
      <c r="H104" s="91">
        <v>0</v>
      </c>
      <c r="I104" s="67">
        <v>0</v>
      </c>
      <c r="J104" s="20">
        <v>0</v>
      </c>
      <c r="K104" s="132" t="s">
        <v>644</v>
      </c>
      <c r="L104" s="151">
        <v>0</v>
      </c>
      <c r="M104" s="128">
        <v>0</v>
      </c>
      <c r="N104" s="67">
        <v>0</v>
      </c>
      <c r="O104" s="67">
        <v>0</v>
      </c>
      <c r="P104" s="270" t="s">
        <v>801</v>
      </c>
      <c r="Q104" s="71"/>
      <c r="S104" s="163">
        <v>0</v>
      </c>
      <c r="T104" s="163">
        <v>0</v>
      </c>
      <c r="U104" s="43">
        <v>0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555</v>
      </c>
      <c r="C105" s="63" t="s">
        <v>556</v>
      </c>
      <c r="D105" s="134">
        <v>934.375</v>
      </c>
      <c r="E105" s="67">
        <v>153788</v>
      </c>
      <c r="F105" s="146">
        <v>0</v>
      </c>
      <c r="G105" s="92">
        <v>0</v>
      </c>
      <c r="H105" s="91">
        <v>153788</v>
      </c>
      <c r="I105" s="67">
        <v>0</v>
      </c>
      <c r="J105" s="20">
        <v>153788</v>
      </c>
      <c r="K105" s="132" t="s">
        <v>621</v>
      </c>
      <c r="L105" s="151">
        <v>0</v>
      </c>
      <c r="M105" s="128">
        <v>934.375</v>
      </c>
      <c r="N105" s="67">
        <v>2499</v>
      </c>
      <c r="O105" s="67">
        <v>156287</v>
      </c>
      <c r="P105" s="270" t="s">
        <v>801</v>
      </c>
      <c r="Q105" s="71"/>
      <c r="S105" s="163">
        <v>102937</v>
      </c>
      <c r="T105" s="163">
        <v>53350</v>
      </c>
      <c r="U105" s="43">
        <v>0.51827817014290289</v>
      </c>
      <c r="V105" s="61"/>
      <c r="AC105" s="36"/>
      <c r="AD105" s="36"/>
      <c r="AE105" s="36"/>
      <c r="AF105" s="19"/>
    </row>
    <row r="106" spans="1:32">
      <c r="A106" s="64" t="s">
        <v>605</v>
      </c>
      <c r="B106" s="63" t="s">
        <v>563</v>
      </c>
      <c r="C106" s="63" t="s">
        <v>564</v>
      </c>
      <c r="D106" s="134">
        <v>571.25</v>
      </c>
      <c r="E106" s="67">
        <v>94021</v>
      </c>
      <c r="F106" s="146">
        <v>0</v>
      </c>
      <c r="G106" s="92">
        <v>0</v>
      </c>
      <c r="H106" s="91">
        <v>94021</v>
      </c>
      <c r="I106" s="67">
        <v>0</v>
      </c>
      <c r="J106" s="20">
        <v>94021</v>
      </c>
      <c r="K106" s="132" t="s">
        <v>621</v>
      </c>
      <c r="L106" s="151">
        <v>0</v>
      </c>
      <c r="M106" s="128">
        <v>571.25</v>
      </c>
      <c r="N106" s="67">
        <v>1528</v>
      </c>
      <c r="O106" s="67">
        <v>95549</v>
      </c>
      <c r="P106" s="270" t="s">
        <v>801</v>
      </c>
      <c r="Q106" s="71"/>
      <c r="S106" s="163">
        <v>55516</v>
      </c>
      <c r="T106" s="163">
        <v>40033</v>
      </c>
      <c r="U106" s="43">
        <v>0.72110742848908427</v>
      </c>
      <c r="V106" s="61"/>
      <c r="AC106" s="36"/>
      <c r="AD106" s="36"/>
      <c r="AE106" s="36"/>
      <c r="AF106" s="19"/>
    </row>
    <row r="107" spans="1:32">
      <c r="A107" s="64" t="s">
        <v>595</v>
      </c>
      <c r="B107" s="63" t="s">
        <v>419</v>
      </c>
      <c r="C107" s="63" t="s">
        <v>420</v>
      </c>
      <c r="D107" s="134">
        <v>26</v>
      </c>
      <c r="E107" s="67">
        <v>4279</v>
      </c>
      <c r="F107" s="146">
        <v>0</v>
      </c>
      <c r="G107" s="92">
        <v>0</v>
      </c>
      <c r="H107" s="91">
        <v>4279</v>
      </c>
      <c r="I107" s="67">
        <v>0</v>
      </c>
      <c r="J107" s="20">
        <v>4279</v>
      </c>
      <c r="K107" s="132" t="s">
        <v>644</v>
      </c>
      <c r="L107" s="151">
        <v>4279</v>
      </c>
      <c r="M107" s="128">
        <v>0</v>
      </c>
      <c r="N107" s="67">
        <v>0</v>
      </c>
      <c r="O107" s="67">
        <v>0</v>
      </c>
      <c r="P107" s="270" t="s">
        <v>801</v>
      </c>
      <c r="Q107" s="71"/>
      <c r="S107" s="163">
        <v>0</v>
      </c>
      <c r="T107" s="163">
        <v>0</v>
      </c>
      <c r="U107" s="43">
        <v>0</v>
      </c>
      <c r="V107" s="61"/>
      <c r="AC107" s="36"/>
      <c r="AD107" s="36"/>
      <c r="AE107" s="36"/>
      <c r="AF107" s="19"/>
    </row>
    <row r="108" spans="1:32">
      <c r="A108" s="64" t="s">
        <v>594</v>
      </c>
      <c r="B108" s="63" t="s">
        <v>297</v>
      </c>
      <c r="C108" s="63" t="s">
        <v>298</v>
      </c>
      <c r="D108" s="134">
        <v>0</v>
      </c>
      <c r="E108" s="67">
        <v>0</v>
      </c>
      <c r="F108" s="146">
        <v>0</v>
      </c>
      <c r="G108" s="92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P108" s="270" t="s">
        <v>801</v>
      </c>
      <c r="Q108" s="71"/>
      <c r="S108" s="163">
        <v>0</v>
      </c>
      <c r="T108" s="163">
        <v>0</v>
      </c>
      <c r="U108" s="43">
        <v>0</v>
      </c>
      <c r="V108" s="61"/>
      <c r="AC108" s="36"/>
      <c r="AD108" s="36"/>
      <c r="AE108" s="36"/>
      <c r="AF108" s="19"/>
    </row>
    <row r="109" spans="1:32">
      <c r="A109" s="64" t="s">
        <v>603</v>
      </c>
      <c r="B109" s="63" t="s">
        <v>426</v>
      </c>
      <c r="C109" s="63" t="s">
        <v>427</v>
      </c>
      <c r="D109" s="134">
        <v>0</v>
      </c>
      <c r="E109" s="67">
        <v>0</v>
      </c>
      <c r="F109" s="146">
        <v>0</v>
      </c>
      <c r="G109" s="92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P109" s="270" t="s">
        <v>801</v>
      </c>
      <c r="Q109" s="71"/>
      <c r="S109" s="163">
        <v>0</v>
      </c>
      <c r="T109" s="163">
        <v>0</v>
      </c>
      <c r="U109" s="43">
        <v>0</v>
      </c>
      <c r="V109" s="61"/>
      <c r="AC109" s="36"/>
      <c r="AD109" s="36"/>
      <c r="AE109" s="36"/>
      <c r="AF109" s="19"/>
    </row>
    <row r="110" spans="1:32">
      <c r="A110" s="64" t="s">
        <v>599</v>
      </c>
      <c r="B110" s="63" t="s">
        <v>54</v>
      </c>
      <c r="C110" s="63" t="s">
        <v>55</v>
      </c>
      <c r="D110" s="134">
        <v>0.5</v>
      </c>
      <c r="E110" s="67">
        <v>82</v>
      </c>
      <c r="F110" s="146">
        <v>0</v>
      </c>
      <c r="G110" s="92">
        <v>0</v>
      </c>
      <c r="H110" s="91">
        <v>82</v>
      </c>
      <c r="I110" s="67">
        <v>0</v>
      </c>
      <c r="J110" s="20">
        <v>82</v>
      </c>
      <c r="K110" s="132" t="s">
        <v>644</v>
      </c>
      <c r="L110" s="151">
        <v>82</v>
      </c>
      <c r="M110" s="128">
        <v>0</v>
      </c>
      <c r="N110" s="67">
        <v>0</v>
      </c>
      <c r="O110" s="67">
        <v>0</v>
      </c>
      <c r="P110" s="270" t="s">
        <v>801</v>
      </c>
      <c r="Q110" s="71"/>
      <c r="S110" s="163">
        <v>0</v>
      </c>
      <c r="T110" s="163">
        <v>0</v>
      </c>
      <c r="U110" s="43">
        <v>0</v>
      </c>
      <c r="V110" s="61"/>
      <c r="AC110" s="36"/>
      <c r="AD110" s="36"/>
      <c r="AE110" s="36"/>
      <c r="AF110" s="19"/>
    </row>
    <row r="111" spans="1:32">
      <c r="A111" s="64" t="s">
        <v>594</v>
      </c>
      <c r="B111" s="63" t="s">
        <v>482</v>
      </c>
      <c r="C111" s="63" t="s">
        <v>483</v>
      </c>
      <c r="D111" s="134">
        <v>0</v>
      </c>
      <c r="E111" s="67">
        <v>0</v>
      </c>
      <c r="F111" s="146">
        <v>0</v>
      </c>
      <c r="G111" s="92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P111" s="270" t="s">
        <v>801</v>
      </c>
      <c r="Q111" s="71"/>
      <c r="S111" s="163">
        <v>0</v>
      </c>
      <c r="T111" s="163">
        <v>0</v>
      </c>
      <c r="U111" s="43">
        <v>0</v>
      </c>
      <c r="V111" s="61"/>
      <c r="AC111" s="36"/>
      <c r="AD111" s="36"/>
      <c r="AE111" s="36"/>
      <c r="AF111" s="19"/>
    </row>
    <row r="112" spans="1:32">
      <c r="A112" s="64" t="s">
        <v>603</v>
      </c>
      <c r="B112" s="63" t="s">
        <v>291</v>
      </c>
      <c r="C112" s="63" t="s">
        <v>292</v>
      </c>
      <c r="D112" s="134">
        <v>0</v>
      </c>
      <c r="E112" s="67">
        <v>0</v>
      </c>
      <c r="F112" s="146">
        <v>0</v>
      </c>
      <c r="G112" s="92">
        <v>0</v>
      </c>
      <c r="H112" s="91">
        <v>0</v>
      </c>
      <c r="I112" s="67">
        <v>0</v>
      </c>
      <c r="J112" s="20">
        <v>0</v>
      </c>
      <c r="K112" s="132" t="s">
        <v>644</v>
      </c>
      <c r="L112" s="151">
        <v>0</v>
      </c>
      <c r="M112" s="128">
        <v>0</v>
      </c>
      <c r="N112" s="67">
        <v>0</v>
      </c>
      <c r="O112" s="67">
        <v>0</v>
      </c>
      <c r="P112" s="270" t="s">
        <v>801</v>
      </c>
      <c r="Q112" s="71"/>
      <c r="S112" s="163">
        <v>0</v>
      </c>
      <c r="T112" s="163">
        <v>0</v>
      </c>
      <c r="U112" s="43">
        <v>0</v>
      </c>
      <c r="V112" s="61"/>
      <c r="AC112" s="36"/>
      <c r="AD112" s="36"/>
      <c r="AE112" s="36"/>
      <c r="AF112" s="19"/>
    </row>
    <row r="113" spans="1:32">
      <c r="A113" s="64" t="s">
        <v>605</v>
      </c>
      <c r="B113" s="63" t="s">
        <v>561</v>
      </c>
      <c r="C113" s="63" t="s">
        <v>562</v>
      </c>
      <c r="D113" s="134">
        <v>210.375</v>
      </c>
      <c r="E113" s="67">
        <v>34625</v>
      </c>
      <c r="F113" s="146">
        <v>0</v>
      </c>
      <c r="G113" s="92">
        <v>0</v>
      </c>
      <c r="H113" s="91">
        <v>34625</v>
      </c>
      <c r="I113" s="67">
        <v>0</v>
      </c>
      <c r="J113" s="20">
        <v>34625</v>
      </c>
      <c r="K113" s="132" t="s">
        <v>621</v>
      </c>
      <c r="L113" s="151">
        <v>0</v>
      </c>
      <c r="M113" s="128">
        <v>210.375</v>
      </c>
      <c r="N113" s="67">
        <v>563</v>
      </c>
      <c r="O113" s="67">
        <v>35188</v>
      </c>
      <c r="P113" s="270" t="s">
        <v>801</v>
      </c>
      <c r="Q113" s="71"/>
      <c r="S113" s="163">
        <v>28765</v>
      </c>
      <c r="T113" s="163">
        <v>6423</v>
      </c>
      <c r="U113" s="43">
        <v>0.22329219537632539</v>
      </c>
      <c r="V113" s="61"/>
      <c r="AC113" s="36"/>
      <c r="AD113" s="36"/>
      <c r="AE113" s="36"/>
      <c r="AF113" s="19"/>
    </row>
    <row r="114" spans="1:32">
      <c r="A114" s="64" t="s">
        <v>597</v>
      </c>
      <c r="B114" s="63" t="s">
        <v>181</v>
      </c>
      <c r="C114" s="63" t="s">
        <v>182</v>
      </c>
      <c r="D114" s="134">
        <v>3085.125</v>
      </c>
      <c r="E114" s="67">
        <v>507778</v>
      </c>
      <c r="F114" s="146">
        <v>0</v>
      </c>
      <c r="G114" s="92">
        <v>0</v>
      </c>
      <c r="H114" s="91">
        <v>507778</v>
      </c>
      <c r="I114" s="67">
        <v>0</v>
      </c>
      <c r="J114" s="20">
        <v>507778</v>
      </c>
      <c r="K114" s="132" t="s">
        <v>621</v>
      </c>
      <c r="L114" s="151">
        <v>0</v>
      </c>
      <c r="M114" s="128">
        <v>3085.125</v>
      </c>
      <c r="N114" s="67">
        <v>8252</v>
      </c>
      <c r="O114" s="67">
        <v>516030</v>
      </c>
      <c r="P114" s="270" t="s">
        <v>801</v>
      </c>
      <c r="Q114" s="71"/>
      <c r="S114" s="163">
        <v>344215</v>
      </c>
      <c r="T114" s="163">
        <v>171815</v>
      </c>
      <c r="U114" s="43">
        <v>0.49915024040207429</v>
      </c>
      <c r="V114" s="61"/>
      <c r="AC114" s="36"/>
      <c r="AD114" s="36"/>
      <c r="AE114" s="36"/>
      <c r="AF114" s="19"/>
    </row>
    <row r="115" spans="1:32">
      <c r="A115" s="64" t="s">
        <v>599</v>
      </c>
      <c r="B115" s="63" t="s">
        <v>51</v>
      </c>
      <c r="C115" s="63" t="s">
        <v>52</v>
      </c>
      <c r="D115" s="134">
        <v>16.375</v>
      </c>
      <c r="E115" s="67">
        <v>2695</v>
      </c>
      <c r="F115" s="146">
        <v>0</v>
      </c>
      <c r="G115" s="92">
        <v>0</v>
      </c>
      <c r="H115" s="91">
        <v>2695</v>
      </c>
      <c r="I115" s="67">
        <v>0</v>
      </c>
      <c r="J115" s="20">
        <v>2695</v>
      </c>
      <c r="K115" s="132" t="s">
        <v>644</v>
      </c>
      <c r="L115" s="151">
        <v>2695</v>
      </c>
      <c r="M115" s="128">
        <v>0</v>
      </c>
      <c r="N115" s="67">
        <v>0</v>
      </c>
      <c r="O115" s="67">
        <v>0</v>
      </c>
      <c r="P115" s="270" t="s">
        <v>801</v>
      </c>
      <c r="Q115" s="71"/>
      <c r="S115" s="163">
        <v>0</v>
      </c>
      <c r="T115" s="163">
        <v>0</v>
      </c>
      <c r="U115" s="4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307</v>
      </c>
      <c r="C116" s="63" t="s">
        <v>308</v>
      </c>
      <c r="D116" s="134">
        <v>0</v>
      </c>
      <c r="E116" s="67">
        <v>0</v>
      </c>
      <c r="F116" s="146">
        <v>0</v>
      </c>
      <c r="G116" s="92">
        <v>0</v>
      </c>
      <c r="H116" s="91">
        <v>0</v>
      </c>
      <c r="I116" s="67">
        <v>0</v>
      </c>
      <c r="J116" s="20">
        <v>0</v>
      </c>
      <c r="K116" s="132" t="s">
        <v>644</v>
      </c>
      <c r="L116" s="151">
        <v>0</v>
      </c>
      <c r="M116" s="128">
        <v>0</v>
      </c>
      <c r="N116" s="67">
        <v>0</v>
      </c>
      <c r="O116" s="67">
        <v>0</v>
      </c>
      <c r="P116" s="270" t="s">
        <v>801</v>
      </c>
      <c r="Q116" s="71"/>
      <c r="S116" s="163">
        <v>0</v>
      </c>
      <c r="T116" s="163">
        <v>0</v>
      </c>
      <c r="U116" s="43">
        <v>0</v>
      </c>
      <c r="V116" s="61"/>
      <c r="AC116" s="36"/>
      <c r="AD116" s="36"/>
      <c r="AE116" s="36"/>
      <c r="AF116" s="19"/>
    </row>
    <row r="117" spans="1:32">
      <c r="A117" s="64" t="s">
        <v>594</v>
      </c>
      <c r="B117" s="63" t="s">
        <v>134</v>
      </c>
      <c r="C117" s="63" t="s">
        <v>135</v>
      </c>
      <c r="D117" s="134">
        <v>62.625</v>
      </c>
      <c r="E117" s="67">
        <v>10307</v>
      </c>
      <c r="F117" s="146">
        <v>0</v>
      </c>
      <c r="G117" s="92">
        <v>0</v>
      </c>
      <c r="H117" s="91">
        <v>10307</v>
      </c>
      <c r="I117" s="67">
        <v>0</v>
      </c>
      <c r="J117" s="20">
        <v>10307</v>
      </c>
      <c r="K117" s="132" t="s">
        <v>621</v>
      </c>
      <c r="L117" s="151">
        <v>0</v>
      </c>
      <c r="M117" s="128">
        <v>62.625</v>
      </c>
      <c r="N117" s="67">
        <v>168</v>
      </c>
      <c r="O117" s="67">
        <v>10475</v>
      </c>
      <c r="P117" s="270" t="s">
        <v>801</v>
      </c>
      <c r="Q117" s="71"/>
      <c r="S117" s="163">
        <v>0</v>
      </c>
      <c r="T117" s="163">
        <v>10475</v>
      </c>
      <c r="U117" s="43">
        <v>0</v>
      </c>
      <c r="V117" s="61"/>
      <c r="AC117" s="36"/>
      <c r="AD117" s="36"/>
      <c r="AE117" s="36"/>
      <c r="AF117" s="19"/>
    </row>
    <row r="118" spans="1:32">
      <c r="A118" s="64" t="s">
        <v>603</v>
      </c>
      <c r="B118" s="63" t="s">
        <v>100</v>
      </c>
      <c r="C118" s="63" t="s">
        <v>101</v>
      </c>
      <c r="D118" s="134">
        <v>0</v>
      </c>
      <c r="E118" s="67">
        <v>0</v>
      </c>
      <c r="F118" s="146">
        <v>0</v>
      </c>
      <c r="G118" s="92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P118" s="270" t="s">
        <v>801</v>
      </c>
      <c r="Q118" s="71"/>
      <c r="S118" s="163">
        <v>0</v>
      </c>
      <c r="T118" s="163">
        <v>0</v>
      </c>
      <c r="U118" s="43">
        <v>0</v>
      </c>
      <c r="V118" s="61"/>
      <c r="AC118" s="36"/>
      <c r="AD118" s="36"/>
      <c r="AE118" s="36"/>
      <c r="AF118" s="19"/>
    </row>
    <row r="119" spans="1:32">
      <c r="A119" s="64" t="s">
        <v>595</v>
      </c>
      <c r="B119" s="63" t="s">
        <v>407</v>
      </c>
      <c r="C119" s="63" t="s">
        <v>408</v>
      </c>
      <c r="D119" s="134">
        <v>0</v>
      </c>
      <c r="E119" s="67">
        <v>0</v>
      </c>
      <c r="F119" s="146">
        <v>0</v>
      </c>
      <c r="G119" s="92">
        <v>0</v>
      </c>
      <c r="H119" s="91">
        <v>0</v>
      </c>
      <c r="I119" s="67">
        <v>0</v>
      </c>
      <c r="J119" s="20">
        <v>0</v>
      </c>
      <c r="K119" s="132" t="s">
        <v>644</v>
      </c>
      <c r="L119" s="151">
        <v>0</v>
      </c>
      <c r="M119" s="128">
        <v>0</v>
      </c>
      <c r="N119" s="67">
        <v>0</v>
      </c>
      <c r="O119" s="67">
        <v>0</v>
      </c>
      <c r="P119" s="270" t="s">
        <v>801</v>
      </c>
      <c r="Q119" s="71"/>
      <c r="S119" s="163">
        <v>0</v>
      </c>
      <c r="T119" s="163">
        <v>0</v>
      </c>
      <c r="U119" s="43">
        <v>0</v>
      </c>
      <c r="V119" s="61"/>
      <c r="AC119" s="36"/>
      <c r="AD119" s="36"/>
      <c r="AE119" s="36"/>
      <c r="AF119" s="19"/>
    </row>
    <row r="120" spans="1:32">
      <c r="A120" s="64" t="s">
        <v>597</v>
      </c>
      <c r="B120" s="63" t="s">
        <v>201</v>
      </c>
      <c r="C120" s="63" t="s">
        <v>202</v>
      </c>
      <c r="D120" s="134">
        <v>500.5</v>
      </c>
      <c r="E120" s="67">
        <v>82377</v>
      </c>
      <c r="F120" s="146">
        <v>0</v>
      </c>
      <c r="G120" s="92">
        <v>0</v>
      </c>
      <c r="H120" s="91">
        <v>82377</v>
      </c>
      <c r="I120" s="67">
        <v>0</v>
      </c>
      <c r="J120" s="20">
        <v>82377</v>
      </c>
      <c r="K120" s="132" t="s">
        <v>621</v>
      </c>
      <c r="L120" s="151">
        <v>0</v>
      </c>
      <c r="M120" s="128">
        <v>500.5</v>
      </c>
      <c r="N120" s="67">
        <v>1339</v>
      </c>
      <c r="O120" s="67">
        <v>83716</v>
      </c>
      <c r="P120" s="270" t="s">
        <v>801</v>
      </c>
      <c r="Q120" s="71"/>
      <c r="S120" s="163">
        <v>43345</v>
      </c>
      <c r="T120" s="163">
        <v>40371</v>
      </c>
      <c r="U120" s="43">
        <v>0.93138770331064713</v>
      </c>
      <c r="V120" s="61"/>
      <c r="AC120" s="36"/>
      <c r="AD120" s="36"/>
      <c r="AE120" s="36"/>
      <c r="AF120" s="19"/>
    </row>
    <row r="121" spans="1:32">
      <c r="A121" s="64" t="s">
        <v>596</v>
      </c>
      <c r="B121" s="63" t="s">
        <v>110</v>
      </c>
      <c r="C121" s="63" t="s">
        <v>111</v>
      </c>
      <c r="D121" s="134">
        <v>0</v>
      </c>
      <c r="E121" s="67">
        <v>0</v>
      </c>
      <c r="F121" s="146">
        <v>0</v>
      </c>
      <c r="G121" s="92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P121" s="270" t="s">
        <v>801</v>
      </c>
      <c r="Q121" s="71"/>
      <c r="S121" s="163">
        <v>0</v>
      </c>
      <c r="T121" s="163">
        <v>0</v>
      </c>
      <c r="U121" s="43">
        <v>0</v>
      </c>
      <c r="V121" s="61"/>
      <c r="AC121" s="36"/>
      <c r="AD121" s="36"/>
      <c r="AE121" s="36"/>
      <c r="AF121" s="19"/>
    </row>
    <row r="122" spans="1:32">
      <c r="A122" s="64" t="s">
        <v>599</v>
      </c>
      <c r="B122" s="63" t="s">
        <v>76</v>
      </c>
      <c r="C122" s="63" t="s">
        <v>77</v>
      </c>
      <c r="D122" s="134">
        <v>0</v>
      </c>
      <c r="E122" s="67">
        <v>0</v>
      </c>
      <c r="F122" s="146">
        <v>0</v>
      </c>
      <c r="G122" s="92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P122" s="270" t="s">
        <v>801</v>
      </c>
      <c r="Q122" s="71"/>
      <c r="S122" s="163">
        <v>0</v>
      </c>
      <c r="T122" s="163">
        <v>0</v>
      </c>
      <c r="U122" s="43">
        <v>0</v>
      </c>
      <c r="V122" s="61"/>
      <c r="AC122" s="36"/>
      <c r="AD122" s="36"/>
      <c r="AE122" s="36"/>
      <c r="AF122" s="19"/>
    </row>
    <row r="123" spans="1:32">
      <c r="A123" s="64" t="s">
        <v>603</v>
      </c>
      <c r="B123" s="66" t="s">
        <v>94</v>
      </c>
      <c r="C123" s="63" t="s">
        <v>95</v>
      </c>
      <c r="D123" s="134">
        <v>0</v>
      </c>
      <c r="E123" s="67">
        <v>0</v>
      </c>
      <c r="F123" s="146">
        <v>0</v>
      </c>
      <c r="G123" s="92">
        <v>0</v>
      </c>
      <c r="H123" s="91">
        <v>0</v>
      </c>
      <c r="I123" s="67">
        <v>0</v>
      </c>
      <c r="J123" s="20">
        <v>0</v>
      </c>
      <c r="K123" s="132" t="s">
        <v>644</v>
      </c>
      <c r="L123" s="151">
        <v>0</v>
      </c>
      <c r="M123" s="128">
        <v>0</v>
      </c>
      <c r="N123" s="67">
        <v>0</v>
      </c>
      <c r="O123" s="67">
        <v>0</v>
      </c>
      <c r="P123" s="270" t="s">
        <v>801</v>
      </c>
      <c r="Q123" s="71"/>
      <c r="S123" s="163">
        <v>0</v>
      </c>
      <c r="T123" s="163">
        <v>0</v>
      </c>
      <c r="U123" s="43">
        <v>0</v>
      </c>
      <c r="V123" s="61"/>
      <c r="AC123" s="36"/>
      <c r="AD123" s="36"/>
      <c r="AE123" s="36"/>
      <c r="AF123" s="19"/>
    </row>
    <row r="124" spans="1:32">
      <c r="A124" s="64" t="s">
        <v>599</v>
      </c>
      <c r="B124" s="63" t="s">
        <v>80</v>
      </c>
      <c r="C124" s="63" t="s">
        <v>81</v>
      </c>
      <c r="D124" s="134">
        <v>171</v>
      </c>
      <c r="E124" s="67">
        <v>28145</v>
      </c>
      <c r="F124" s="146">
        <v>0</v>
      </c>
      <c r="G124" s="92">
        <v>0</v>
      </c>
      <c r="H124" s="91">
        <v>28145</v>
      </c>
      <c r="I124" s="67">
        <v>0</v>
      </c>
      <c r="J124" s="20">
        <v>28145</v>
      </c>
      <c r="K124" s="132" t="s">
        <v>621</v>
      </c>
      <c r="L124" s="151">
        <v>0</v>
      </c>
      <c r="M124" s="128">
        <v>171</v>
      </c>
      <c r="N124" s="67">
        <v>457</v>
      </c>
      <c r="O124" s="67">
        <v>28602</v>
      </c>
      <c r="P124" s="270" t="s">
        <v>801</v>
      </c>
      <c r="Q124" s="71"/>
      <c r="S124" s="163">
        <v>22445</v>
      </c>
      <c r="T124" s="163">
        <v>6157</v>
      </c>
      <c r="U124" s="43">
        <v>0.2743149922031633</v>
      </c>
      <c r="V124" s="61"/>
      <c r="AC124" s="36"/>
      <c r="AD124" s="36"/>
      <c r="AE124" s="36"/>
      <c r="AF124" s="19"/>
    </row>
    <row r="125" spans="1:32">
      <c r="A125" s="64" t="s">
        <v>596</v>
      </c>
      <c r="B125" s="63" t="s">
        <v>14</v>
      </c>
      <c r="C125" s="63" t="s">
        <v>15</v>
      </c>
      <c r="D125" s="134">
        <v>1438.375</v>
      </c>
      <c r="E125" s="67">
        <v>236741</v>
      </c>
      <c r="F125" s="146">
        <v>0</v>
      </c>
      <c r="G125" s="92">
        <v>0</v>
      </c>
      <c r="H125" s="91">
        <v>236741</v>
      </c>
      <c r="I125" s="67">
        <v>0</v>
      </c>
      <c r="J125" s="20">
        <v>236741</v>
      </c>
      <c r="K125" s="132" t="s">
        <v>621</v>
      </c>
      <c r="L125" s="151">
        <v>0</v>
      </c>
      <c r="M125" s="128">
        <v>1438.375</v>
      </c>
      <c r="N125" s="67">
        <v>3847</v>
      </c>
      <c r="O125" s="67">
        <v>240588</v>
      </c>
      <c r="P125" s="270" t="s">
        <v>801</v>
      </c>
      <c r="Q125" s="71"/>
      <c r="S125" s="163">
        <v>157134</v>
      </c>
      <c r="T125" s="163">
        <v>83454</v>
      </c>
      <c r="U125" s="43">
        <v>0.53110084386574519</v>
      </c>
      <c r="V125" s="61"/>
      <c r="AC125" s="36"/>
      <c r="AD125" s="36"/>
      <c r="AE125" s="36"/>
      <c r="AF125" s="19"/>
    </row>
    <row r="126" spans="1:32">
      <c r="A126" s="64" t="s">
        <v>597</v>
      </c>
      <c r="B126" s="63" t="s">
        <v>207</v>
      </c>
      <c r="C126" s="63" t="s">
        <v>208</v>
      </c>
      <c r="D126" s="134">
        <v>3855.125</v>
      </c>
      <c r="E126" s="67">
        <v>634511</v>
      </c>
      <c r="F126" s="146">
        <v>0</v>
      </c>
      <c r="G126" s="92">
        <v>0</v>
      </c>
      <c r="H126" s="91">
        <v>634511</v>
      </c>
      <c r="I126" s="67">
        <v>0</v>
      </c>
      <c r="J126" s="20">
        <v>634511</v>
      </c>
      <c r="K126" s="132" t="s">
        <v>621</v>
      </c>
      <c r="L126" s="151">
        <v>0</v>
      </c>
      <c r="M126" s="128">
        <v>3855.125</v>
      </c>
      <c r="N126" s="67">
        <v>10312</v>
      </c>
      <c r="O126" s="67">
        <v>644823</v>
      </c>
      <c r="P126" s="270" t="s">
        <v>801</v>
      </c>
      <c r="Q126" s="71"/>
      <c r="S126" s="163">
        <v>447774</v>
      </c>
      <c r="T126" s="163">
        <v>197049</v>
      </c>
      <c r="U126" s="43">
        <v>0.44006351418349438</v>
      </c>
      <c r="V126" s="61"/>
      <c r="AC126" s="36"/>
      <c r="AD126" s="36"/>
      <c r="AE126" s="36"/>
      <c r="AF126" s="19"/>
    </row>
    <row r="127" spans="1:32">
      <c r="A127" s="64" t="s">
        <v>603</v>
      </c>
      <c r="B127" s="63" t="s">
        <v>470</v>
      </c>
      <c r="C127" s="63" t="s">
        <v>471</v>
      </c>
      <c r="D127" s="134">
        <v>0</v>
      </c>
      <c r="E127" s="67">
        <v>0</v>
      </c>
      <c r="F127" s="146">
        <v>0</v>
      </c>
      <c r="G127" s="92">
        <v>0</v>
      </c>
      <c r="H127" s="91">
        <v>0</v>
      </c>
      <c r="I127" s="67">
        <v>0</v>
      </c>
      <c r="J127" s="20">
        <v>0</v>
      </c>
      <c r="K127" s="132" t="s">
        <v>644</v>
      </c>
      <c r="L127" s="151">
        <v>0</v>
      </c>
      <c r="M127" s="128">
        <v>0</v>
      </c>
      <c r="N127" s="67">
        <v>0</v>
      </c>
      <c r="O127" s="67">
        <v>0</v>
      </c>
      <c r="P127" s="270" t="s">
        <v>801</v>
      </c>
      <c r="Q127" s="71"/>
      <c r="S127" s="163">
        <v>0</v>
      </c>
      <c r="T127" s="163">
        <v>0</v>
      </c>
      <c r="U127" s="43">
        <v>0</v>
      </c>
      <c r="V127" s="61"/>
      <c r="AC127" s="36"/>
      <c r="AD127" s="36"/>
      <c r="AE127" s="36"/>
      <c r="AF127" s="19"/>
    </row>
    <row r="128" spans="1:32">
      <c r="A128" s="64" t="s">
        <v>596</v>
      </c>
      <c r="B128" s="63" t="s">
        <v>18</v>
      </c>
      <c r="C128" s="63" t="s">
        <v>608</v>
      </c>
      <c r="D128" s="134">
        <v>188.5</v>
      </c>
      <c r="E128" s="67">
        <v>31025</v>
      </c>
      <c r="F128" s="146">
        <v>0</v>
      </c>
      <c r="G128" s="92">
        <v>0</v>
      </c>
      <c r="H128" s="91">
        <v>31025</v>
      </c>
      <c r="I128" s="67">
        <v>0</v>
      </c>
      <c r="J128" s="20">
        <v>31025</v>
      </c>
      <c r="K128" s="132" t="s">
        <v>621</v>
      </c>
      <c r="L128" s="151">
        <v>0</v>
      </c>
      <c r="M128" s="128">
        <v>188.5</v>
      </c>
      <c r="N128" s="67">
        <v>504</v>
      </c>
      <c r="O128" s="67">
        <v>31529</v>
      </c>
      <c r="P128" s="270" t="s">
        <v>801</v>
      </c>
      <c r="Q128" s="71"/>
      <c r="S128" s="163">
        <v>21475</v>
      </c>
      <c r="T128" s="163">
        <v>10054</v>
      </c>
      <c r="U128" s="43">
        <v>0.46817229336437716</v>
      </c>
      <c r="V128" s="61"/>
      <c r="AC128" s="36"/>
      <c r="AD128" s="36"/>
      <c r="AE128" s="36"/>
      <c r="AF128" s="19"/>
    </row>
    <row r="129" spans="1:32">
      <c r="A129" s="64" t="s">
        <v>605</v>
      </c>
      <c r="B129" s="63" t="s">
        <v>228</v>
      </c>
      <c r="C129" s="63" t="s">
        <v>229</v>
      </c>
      <c r="D129" s="134">
        <v>40.625</v>
      </c>
      <c r="E129" s="67">
        <v>6686</v>
      </c>
      <c r="F129" s="146">
        <v>0</v>
      </c>
      <c r="G129" s="92">
        <v>0</v>
      </c>
      <c r="H129" s="91">
        <v>6686</v>
      </c>
      <c r="I129" s="67">
        <v>0</v>
      </c>
      <c r="J129" s="20">
        <v>6686</v>
      </c>
      <c r="K129" s="132" t="s">
        <v>621</v>
      </c>
      <c r="L129" s="151">
        <v>0</v>
      </c>
      <c r="M129" s="128">
        <v>40.625</v>
      </c>
      <c r="N129" s="67">
        <v>109</v>
      </c>
      <c r="O129" s="67">
        <v>6795</v>
      </c>
      <c r="P129" s="270">
        <v>1</v>
      </c>
      <c r="Q129" s="71"/>
      <c r="S129" s="163">
        <v>4698</v>
      </c>
      <c r="T129" s="163">
        <v>2097</v>
      </c>
      <c r="U129" s="43">
        <v>0.44636015325670497</v>
      </c>
      <c r="V129" s="61"/>
      <c r="AC129" s="36"/>
      <c r="AD129" s="36"/>
      <c r="AE129" s="36"/>
      <c r="AF129" s="19"/>
    </row>
    <row r="130" spans="1:32">
      <c r="A130" s="64" t="s">
        <v>599</v>
      </c>
      <c r="B130" s="63" t="s">
        <v>242</v>
      </c>
      <c r="C130" s="63" t="s">
        <v>243</v>
      </c>
      <c r="D130" s="134">
        <v>0</v>
      </c>
      <c r="E130" s="67">
        <v>0</v>
      </c>
      <c r="F130" s="146">
        <v>0</v>
      </c>
      <c r="G130" s="92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P130" s="270" t="s">
        <v>801</v>
      </c>
      <c r="Q130" s="71"/>
      <c r="S130" s="163">
        <v>0</v>
      </c>
      <c r="T130" s="163">
        <v>0</v>
      </c>
      <c r="U130" s="43">
        <v>0</v>
      </c>
      <c r="V130" s="61"/>
      <c r="AC130" s="36"/>
      <c r="AD130" s="36"/>
      <c r="AE130" s="36"/>
      <c r="AF130" s="19"/>
    </row>
    <row r="131" spans="1:32">
      <c r="A131" s="64" t="s">
        <v>595</v>
      </c>
      <c r="B131" s="63" t="s">
        <v>382</v>
      </c>
      <c r="C131" s="63" t="s">
        <v>383</v>
      </c>
      <c r="D131" s="134">
        <v>0</v>
      </c>
      <c r="E131" s="67">
        <v>0</v>
      </c>
      <c r="F131" s="146">
        <v>0</v>
      </c>
      <c r="G131" s="92">
        <v>0</v>
      </c>
      <c r="H131" s="91">
        <v>0</v>
      </c>
      <c r="I131" s="67">
        <v>0</v>
      </c>
      <c r="J131" s="20">
        <v>0</v>
      </c>
      <c r="K131" s="132" t="s">
        <v>644</v>
      </c>
      <c r="L131" s="151">
        <v>0</v>
      </c>
      <c r="M131" s="128">
        <v>0</v>
      </c>
      <c r="N131" s="67">
        <v>0</v>
      </c>
      <c r="O131" s="67">
        <v>0</v>
      </c>
      <c r="P131" s="270" t="s">
        <v>801</v>
      </c>
      <c r="Q131" s="71"/>
      <c r="S131" s="163">
        <v>0</v>
      </c>
      <c r="T131" s="163">
        <v>0</v>
      </c>
      <c r="U131" s="43">
        <v>0</v>
      </c>
      <c r="V131" s="61"/>
      <c r="AC131" s="36"/>
      <c r="AD131" s="36"/>
      <c r="AE131" s="36"/>
      <c r="AF131" s="19"/>
    </row>
    <row r="132" spans="1:32">
      <c r="A132" s="64" t="s">
        <v>599</v>
      </c>
      <c r="B132" s="63" t="s">
        <v>53</v>
      </c>
      <c r="C132" s="63" t="s">
        <v>609</v>
      </c>
      <c r="D132" s="134">
        <v>12.375</v>
      </c>
      <c r="E132" s="67">
        <v>2037</v>
      </c>
      <c r="F132" s="146">
        <v>0</v>
      </c>
      <c r="G132" s="92">
        <v>0</v>
      </c>
      <c r="H132" s="91">
        <v>2037</v>
      </c>
      <c r="I132" s="67">
        <v>0</v>
      </c>
      <c r="J132" s="20">
        <v>2037</v>
      </c>
      <c r="K132" s="132" t="s">
        <v>644</v>
      </c>
      <c r="L132" s="151">
        <v>2037</v>
      </c>
      <c r="M132" s="128">
        <v>0</v>
      </c>
      <c r="N132" s="67">
        <v>0</v>
      </c>
      <c r="O132" s="67">
        <v>0</v>
      </c>
      <c r="P132" s="270" t="s">
        <v>801</v>
      </c>
      <c r="Q132" s="71"/>
      <c r="S132" s="163">
        <v>1577</v>
      </c>
      <c r="T132" s="163">
        <v>-1577</v>
      </c>
      <c r="U132" s="43">
        <v>-1</v>
      </c>
      <c r="V132" s="61"/>
      <c r="AC132" s="36"/>
      <c r="AD132" s="36"/>
      <c r="AE132" s="36"/>
      <c r="AF132" s="19"/>
    </row>
    <row r="133" spans="1:32">
      <c r="A133" s="64" t="s">
        <v>603</v>
      </c>
      <c r="B133" s="63" t="s">
        <v>518</v>
      </c>
      <c r="C133" s="63" t="s">
        <v>645</v>
      </c>
      <c r="D133" s="134">
        <v>0</v>
      </c>
      <c r="E133" s="67">
        <v>0</v>
      </c>
      <c r="F133" s="146">
        <v>0</v>
      </c>
      <c r="G133" s="92">
        <v>0</v>
      </c>
      <c r="H133" s="91">
        <v>0</v>
      </c>
      <c r="I133" s="67">
        <v>0</v>
      </c>
      <c r="J133" s="20">
        <v>0</v>
      </c>
      <c r="K133" s="132" t="s">
        <v>644</v>
      </c>
      <c r="L133" s="151">
        <v>0</v>
      </c>
      <c r="M133" s="128">
        <v>0</v>
      </c>
      <c r="N133" s="67">
        <v>0</v>
      </c>
      <c r="O133" s="67">
        <v>0</v>
      </c>
      <c r="P133" s="270" t="s">
        <v>801</v>
      </c>
      <c r="Q133" s="71"/>
      <c r="S133" s="163">
        <v>0</v>
      </c>
      <c r="T133" s="163">
        <v>0</v>
      </c>
      <c r="U133" s="43">
        <v>0</v>
      </c>
      <c r="V133" s="61"/>
      <c r="AC133" s="36"/>
      <c r="AD133" s="36"/>
      <c r="AE133" s="36"/>
      <c r="AF133" s="19"/>
    </row>
    <row r="134" spans="1:32">
      <c r="A134" s="64" t="s">
        <v>601</v>
      </c>
      <c r="B134" s="63" t="s">
        <v>31</v>
      </c>
      <c r="C134" s="63" t="s">
        <v>32</v>
      </c>
      <c r="D134" s="134">
        <v>261.75</v>
      </c>
      <c r="E134" s="67">
        <v>43081</v>
      </c>
      <c r="F134" s="146">
        <v>0</v>
      </c>
      <c r="G134" s="92">
        <v>0</v>
      </c>
      <c r="H134" s="91">
        <v>43081</v>
      </c>
      <c r="I134" s="67">
        <v>0</v>
      </c>
      <c r="J134" s="20">
        <v>43081</v>
      </c>
      <c r="K134" s="132" t="s">
        <v>621</v>
      </c>
      <c r="L134" s="151">
        <v>0</v>
      </c>
      <c r="M134" s="128">
        <v>261.75</v>
      </c>
      <c r="N134" s="67">
        <v>700</v>
      </c>
      <c r="O134" s="67">
        <v>43781</v>
      </c>
      <c r="P134" s="270" t="s">
        <v>801</v>
      </c>
      <c r="Q134" s="71"/>
      <c r="S134" s="163">
        <v>27781</v>
      </c>
      <c r="T134" s="163">
        <v>16000</v>
      </c>
      <c r="U134" s="43">
        <v>0.57593319174975699</v>
      </c>
      <c r="V134" s="61"/>
      <c r="AC134" s="36"/>
      <c r="AD134" s="36"/>
      <c r="AE134" s="36"/>
      <c r="AF134" s="19"/>
    </row>
    <row r="135" spans="1:32">
      <c r="A135" s="64" t="s">
        <v>595</v>
      </c>
      <c r="B135" s="63" t="s">
        <v>397</v>
      </c>
      <c r="C135" s="63" t="s">
        <v>398</v>
      </c>
      <c r="D135" s="134">
        <v>205</v>
      </c>
      <c r="E135" s="67">
        <v>33741</v>
      </c>
      <c r="F135" s="146">
        <v>0</v>
      </c>
      <c r="G135" s="92">
        <v>0</v>
      </c>
      <c r="H135" s="91">
        <v>33741</v>
      </c>
      <c r="I135" s="67">
        <v>0</v>
      </c>
      <c r="J135" s="20">
        <v>33741</v>
      </c>
      <c r="K135" s="132" t="s">
        <v>621</v>
      </c>
      <c r="L135" s="151">
        <v>0</v>
      </c>
      <c r="M135" s="128">
        <v>205</v>
      </c>
      <c r="N135" s="67">
        <v>548</v>
      </c>
      <c r="O135" s="67">
        <v>34289</v>
      </c>
      <c r="P135" s="270" t="s">
        <v>801</v>
      </c>
      <c r="Q135" s="71"/>
      <c r="S135" s="163">
        <v>17687</v>
      </c>
      <c r="T135" s="163">
        <v>16602</v>
      </c>
      <c r="U135" s="43">
        <v>0.93865550969638722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5" t="s">
        <v>659</v>
      </c>
      <c r="C136" s="63" t="s">
        <v>660</v>
      </c>
      <c r="D136" s="134">
        <v>0</v>
      </c>
      <c r="E136" s="67">
        <v>0</v>
      </c>
      <c r="F136" s="146">
        <v>0</v>
      </c>
      <c r="G136" s="92">
        <v>0</v>
      </c>
      <c r="H136" s="91">
        <v>0</v>
      </c>
      <c r="I136" s="67">
        <v>0</v>
      </c>
      <c r="J136" s="20">
        <v>0</v>
      </c>
      <c r="K136" s="132">
        <v>0</v>
      </c>
      <c r="L136" s="151">
        <v>0</v>
      </c>
      <c r="M136" s="128">
        <v>0</v>
      </c>
      <c r="N136" s="67">
        <v>0</v>
      </c>
      <c r="O136" s="67">
        <v>0</v>
      </c>
      <c r="P136" s="270" t="e">
        <v>#N/A</v>
      </c>
      <c r="Q136" s="71"/>
      <c r="S136" s="163">
        <v>121</v>
      </c>
      <c r="T136" s="163">
        <v>-121</v>
      </c>
      <c r="U136" s="43">
        <v>-1</v>
      </c>
      <c r="V136" s="61"/>
      <c r="AC136" s="36"/>
      <c r="AD136" s="36"/>
      <c r="AE136" s="36"/>
      <c r="AF136" s="19"/>
    </row>
    <row r="137" spans="1:32">
      <c r="A137" s="64" t="s">
        <v>597</v>
      </c>
      <c r="B137" s="63" t="s">
        <v>205</v>
      </c>
      <c r="C137" s="63" t="s">
        <v>206</v>
      </c>
      <c r="D137" s="134">
        <v>1111.125</v>
      </c>
      <c r="E137" s="67">
        <v>182879</v>
      </c>
      <c r="F137" s="146">
        <v>0</v>
      </c>
      <c r="G137" s="92">
        <v>0</v>
      </c>
      <c r="H137" s="91">
        <v>182879</v>
      </c>
      <c r="I137" s="67">
        <v>0</v>
      </c>
      <c r="J137" s="20">
        <v>182879</v>
      </c>
      <c r="K137" s="132" t="s">
        <v>621</v>
      </c>
      <c r="L137" s="151">
        <v>0</v>
      </c>
      <c r="M137" s="128">
        <v>1111.125</v>
      </c>
      <c r="N137" s="67">
        <v>2972</v>
      </c>
      <c r="O137" s="67">
        <v>185851</v>
      </c>
      <c r="P137" s="270" t="s">
        <v>801</v>
      </c>
      <c r="Q137" s="71"/>
      <c r="S137" s="163">
        <v>118047</v>
      </c>
      <c r="T137" s="163">
        <v>67804</v>
      </c>
      <c r="U137" s="43">
        <v>0.57438139046312064</v>
      </c>
      <c r="V137" s="61"/>
      <c r="AC137" s="36"/>
      <c r="AD137" s="36"/>
      <c r="AE137" s="36"/>
      <c r="AF137" s="19"/>
    </row>
    <row r="138" spans="1:32">
      <c r="A138" s="64" t="s">
        <v>595</v>
      </c>
      <c r="B138" s="63" t="s">
        <v>413</v>
      </c>
      <c r="C138" s="63" t="s">
        <v>414</v>
      </c>
      <c r="D138" s="134">
        <v>70.625</v>
      </c>
      <c r="E138" s="67">
        <v>11624</v>
      </c>
      <c r="F138" s="146">
        <v>0</v>
      </c>
      <c r="G138" s="92">
        <v>0</v>
      </c>
      <c r="H138" s="91">
        <v>11624</v>
      </c>
      <c r="I138" s="67">
        <v>0</v>
      </c>
      <c r="J138" s="20">
        <v>11624</v>
      </c>
      <c r="K138" s="132" t="s">
        <v>621</v>
      </c>
      <c r="L138" s="151">
        <v>0</v>
      </c>
      <c r="M138" s="128">
        <v>70.625</v>
      </c>
      <c r="N138" s="67">
        <v>189</v>
      </c>
      <c r="O138" s="67">
        <v>11813</v>
      </c>
      <c r="P138" s="270" t="s">
        <v>801</v>
      </c>
      <c r="Q138" s="71"/>
      <c r="S138" s="163">
        <v>7502</v>
      </c>
      <c r="T138" s="163">
        <v>4311</v>
      </c>
      <c r="U138" s="43">
        <v>0.57464676086376965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519</v>
      </c>
      <c r="C139" s="63" t="s">
        <v>520</v>
      </c>
      <c r="D139" s="134">
        <v>0</v>
      </c>
      <c r="E139" s="67">
        <v>0</v>
      </c>
      <c r="F139" s="146">
        <v>0</v>
      </c>
      <c r="G139" s="92">
        <v>0</v>
      </c>
      <c r="H139" s="91">
        <v>0</v>
      </c>
      <c r="I139" s="67">
        <v>0</v>
      </c>
      <c r="J139" s="20">
        <v>0</v>
      </c>
      <c r="K139" s="132" t="s">
        <v>644</v>
      </c>
      <c r="L139" s="151">
        <v>0</v>
      </c>
      <c r="M139" s="128">
        <v>0</v>
      </c>
      <c r="N139" s="67">
        <v>0</v>
      </c>
      <c r="O139" s="67">
        <v>0</v>
      </c>
      <c r="P139" s="270" t="s">
        <v>801</v>
      </c>
      <c r="Q139" s="71"/>
      <c r="S139" s="163">
        <v>0</v>
      </c>
      <c r="T139" s="163">
        <v>0</v>
      </c>
      <c r="U139" s="4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441</v>
      </c>
      <c r="C140" s="63" t="s">
        <v>442</v>
      </c>
      <c r="D140" s="134">
        <v>0.75</v>
      </c>
      <c r="E140" s="67">
        <v>123</v>
      </c>
      <c r="F140" s="146">
        <v>0</v>
      </c>
      <c r="G140" s="92">
        <v>0</v>
      </c>
      <c r="H140" s="91">
        <v>123</v>
      </c>
      <c r="I140" s="67">
        <v>0</v>
      </c>
      <c r="J140" s="20">
        <v>123</v>
      </c>
      <c r="K140" s="132" t="s">
        <v>644</v>
      </c>
      <c r="L140" s="151">
        <v>123</v>
      </c>
      <c r="M140" s="128">
        <v>0</v>
      </c>
      <c r="N140" s="67">
        <v>0</v>
      </c>
      <c r="O140" s="67">
        <v>0</v>
      </c>
      <c r="P140" s="270" t="s">
        <v>801</v>
      </c>
      <c r="Q140" s="71"/>
      <c r="S140" s="163">
        <v>0</v>
      </c>
      <c r="T140" s="163">
        <v>0</v>
      </c>
      <c r="U140" s="43">
        <v>0</v>
      </c>
      <c r="V140" s="61"/>
      <c r="AC140" s="36"/>
      <c r="AD140" s="36"/>
      <c r="AE140" s="36"/>
      <c r="AF140" s="19"/>
    </row>
    <row r="141" spans="1:32">
      <c r="A141" s="64" t="s">
        <v>603</v>
      </c>
      <c r="B141" s="63" t="s">
        <v>6</v>
      </c>
      <c r="C141" s="63" t="s">
        <v>7</v>
      </c>
      <c r="D141" s="134">
        <v>22.5</v>
      </c>
      <c r="E141" s="67">
        <v>3703</v>
      </c>
      <c r="F141" s="146">
        <v>0</v>
      </c>
      <c r="G141" s="92">
        <v>0</v>
      </c>
      <c r="H141" s="91">
        <v>3703</v>
      </c>
      <c r="I141" s="67">
        <v>0</v>
      </c>
      <c r="J141" s="20">
        <v>3703</v>
      </c>
      <c r="K141" s="132" t="s">
        <v>644</v>
      </c>
      <c r="L141" s="151">
        <v>3703</v>
      </c>
      <c r="M141" s="128">
        <v>0</v>
      </c>
      <c r="N141" s="67">
        <v>0</v>
      </c>
      <c r="O141" s="67">
        <v>0</v>
      </c>
      <c r="P141" s="270" t="s">
        <v>801</v>
      </c>
      <c r="Q141" s="71"/>
      <c r="S141" s="163">
        <v>0</v>
      </c>
      <c r="T141" s="163">
        <v>0</v>
      </c>
      <c r="U141" s="43">
        <v>0</v>
      </c>
      <c r="V141" s="61"/>
      <c r="AC141" s="36"/>
      <c r="AD141" s="36"/>
      <c r="AE141" s="36"/>
      <c r="AF141" s="19"/>
    </row>
    <row r="142" spans="1:32">
      <c r="A142" s="64" t="s">
        <v>599</v>
      </c>
      <c r="B142" s="63" t="s">
        <v>70</v>
      </c>
      <c r="C142" s="63" t="s">
        <v>71</v>
      </c>
      <c r="D142" s="134">
        <v>341.125</v>
      </c>
      <c r="E142" s="67">
        <v>56145</v>
      </c>
      <c r="F142" s="146">
        <v>0</v>
      </c>
      <c r="G142" s="92">
        <v>0</v>
      </c>
      <c r="H142" s="91">
        <v>56145</v>
      </c>
      <c r="I142" s="67">
        <v>0</v>
      </c>
      <c r="J142" s="20">
        <v>56145</v>
      </c>
      <c r="K142" s="132" t="s">
        <v>621</v>
      </c>
      <c r="L142" s="151">
        <v>0</v>
      </c>
      <c r="M142" s="128">
        <v>341.125</v>
      </c>
      <c r="N142" s="67">
        <v>912</v>
      </c>
      <c r="O142" s="67">
        <v>57057</v>
      </c>
      <c r="P142" s="270" t="s">
        <v>801</v>
      </c>
      <c r="Q142" s="71"/>
      <c r="S142" s="163">
        <v>38026</v>
      </c>
      <c r="T142" s="163">
        <v>19031</v>
      </c>
      <c r="U142" s="43">
        <v>0.50047336033240419</v>
      </c>
      <c r="V142" s="61"/>
      <c r="AC142" s="36"/>
      <c r="AD142" s="36"/>
      <c r="AE142" s="36"/>
      <c r="AF142" s="19"/>
    </row>
    <row r="143" spans="1:32">
      <c r="A143" s="64" t="s">
        <v>603</v>
      </c>
      <c r="B143" s="63" t="s">
        <v>458</v>
      </c>
      <c r="C143" s="63" t="s">
        <v>459</v>
      </c>
      <c r="D143" s="134">
        <v>0</v>
      </c>
      <c r="E143" s="67">
        <v>0</v>
      </c>
      <c r="F143" s="146">
        <v>0</v>
      </c>
      <c r="G143" s="92">
        <v>0</v>
      </c>
      <c r="H143" s="91">
        <v>0</v>
      </c>
      <c r="I143" s="67">
        <v>0</v>
      </c>
      <c r="J143" s="20">
        <v>0</v>
      </c>
      <c r="K143" s="132" t="s">
        <v>644</v>
      </c>
      <c r="L143" s="151">
        <v>0</v>
      </c>
      <c r="M143" s="128">
        <v>0</v>
      </c>
      <c r="N143" s="67">
        <v>0</v>
      </c>
      <c r="O143" s="67">
        <v>0</v>
      </c>
      <c r="P143" s="270" t="s">
        <v>801</v>
      </c>
      <c r="Q143" s="71"/>
      <c r="S143" s="163">
        <v>0</v>
      </c>
      <c r="T143" s="163">
        <v>0</v>
      </c>
      <c r="U143" s="43">
        <v>0</v>
      </c>
      <c r="V143" s="61"/>
      <c r="AC143" s="36"/>
      <c r="AD143" s="36"/>
      <c r="AE143" s="36"/>
      <c r="AF143" s="19"/>
    </row>
    <row r="144" spans="1:32">
      <c r="A144" s="64" t="s">
        <v>595</v>
      </c>
      <c r="B144" s="63" t="s">
        <v>373</v>
      </c>
      <c r="C144" s="63" t="s">
        <v>374</v>
      </c>
      <c r="D144" s="134">
        <v>8.25</v>
      </c>
      <c r="E144" s="67">
        <v>1358</v>
      </c>
      <c r="F144" s="146">
        <v>0</v>
      </c>
      <c r="G144" s="92">
        <v>0</v>
      </c>
      <c r="H144" s="91">
        <v>1358</v>
      </c>
      <c r="I144" s="67">
        <v>0</v>
      </c>
      <c r="J144" s="20">
        <v>1358</v>
      </c>
      <c r="K144" s="132" t="s">
        <v>644</v>
      </c>
      <c r="L144" s="151">
        <v>1358</v>
      </c>
      <c r="M144" s="128">
        <v>0</v>
      </c>
      <c r="N144" s="67">
        <v>0</v>
      </c>
      <c r="O144" s="67">
        <v>0</v>
      </c>
      <c r="P144" s="270" t="s">
        <v>801</v>
      </c>
      <c r="Q144" s="71"/>
      <c r="S144" s="163">
        <v>0</v>
      </c>
      <c r="T144" s="163">
        <v>0</v>
      </c>
      <c r="U144" s="43">
        <v>0</v>
      </c>
      <c r="V144" s="61"/>
      <c r="AC144" s="36"/>
      <c r="AD144" s="36"/>
      <c r="AE144" s="36"/>
      <c r="AF144" s="19"/>
    </row>
    <row r="145" spans="1:32">
      <c r="A145" s="64" t="s">
        <v>599</v>
      </c>
      <c r="B145" s="63" t="s">
        <v>250</v>
      </c>
      <c r="C145" s="63" t="s">
        <v>251</v>
      </c>
      <c r="D145" s="134">
        <v>1.75</v>
      </c>
      <c r="E145" s="67">
        <v>288</v>
      </c>
      <c r="F145" s="146">
        <v>0</v>
      </c>
      <c r="G145" s="92">
        <v>0</v>
      </c>
      <c r="H145" s="91">
        <v>288</v>
      </c>
      <c r="I145" s="67">
        <v>0</v>
      </c>
      <c r="J145" s="20">
        <v>288</v>
      </c>
      <c r="K145" s="132" t="s">
        <v>644</v>
      </c>
      <c r="L145" s="151">
        <v>288</v>
      </c>
      <c r="M145" s="128">
        <v>0</v>
      </c>
      <c r="N145" s="67">
        <v>0</v>
      </c>
      <c r="O145" s="67">
        <v>0</v>
      </c>
      <c r="P145" s="270" t="s">
        <v>801</v>
      </c>
      <c r="Q145" s="71"/>
      <c r="S145" s="163">
        <v>0</v>
      </c>
      <c r="T145" s="163">
        <v>0</v>
      </c>
      <c r="U145" s="43">
        <v>0</v>
      </c>
      <c r="V145" s="61"/>
      <c r="AC145" s="36"/>
      <c r="AD145" s="36"/>
      <c r="AE145" s="36"/>
      <c r="AF145" s="19"/>
    </row>
    <row r="146" spans="1:32">
      <c r="A146" s="64" t="s">
        <v>595</v>
      </c>
      <c r="B146" s="63" t="s">
        <v>510</v>
      </c>
      <c r="C146" s="63" t="s">
        <v>511</v>
      </c>
      <c r="D146" s="134">
        <v>204.25</v>
      </c>
      <c r="E146" s="67">
        <v>33617</v>
      </c>
      <c r="F146" s="146">
        <v>10000</v>
      </c>
      <c r="G146" s="92">
        <v>0</v>
      </c>
      <c r="H146" s="91">
        <v>43617</v>
      </c>
      <c r="I146" s="67">
        <v>0</v>
      </c>
      <c r="J146" s="20">
        <v>33617</v>
      </c>
      <c r="K146" s="132" t="s">
        <v>621</v>
      </c>
      <c r="L146" s="151">
        <v>0</v>
      </c>
      <c r="M146" s="128">
        <v>204.25</v>
      </c>
      <c r="N146" s="67">
        <v>546</v>
      </c>
      <c r="O146" s="67">
        <v>34163</v>
      </c>
      <c r="P146" s="270" t="s">
        <v>801</v>
      </c>
      <c r="Q146" s="71"/>
      <c r="S146" s="163">
        <v>28175</v>
      </c>
      <c r="T146" s="163">
        <v>5988</v>
      </c>
      <c r="U146" s="43">
        <v>0.21252883762200533</v>
      </c>
      <c r="V146" s="61"/>
      <c r="AC146" s="36"/>
      <c r="AD146" s="36"/>
      <c r="AE146" s="36"/>
      <c r="AF146" s="19"/>
    </row>
    <row r="147" spans="1:32">
      <c r="A147" s="64" t="s">
        <v>605</v>
      </c>
      <c r="B147" s="63" t="s">
        <v>553</v>
      </c>
      <c r="C147" s="63" t="s">
        <v>554</v>
      </c>
      <c r="D147" s="134">
        <v>369.125</v>
      </c>
      <c r="E147" s="67">
        <v>60754</v>
      </c>
      <c r="F147" s="146">
        <v>0</v>
      </c>
      <c r="G147" s="92">
        <v>0</v>
      </c>
      <c r="H147" s="91">
        <v>60754</v>
      </c>
      <c r="I147" s="67">
        <v>0</v>
      </c>
      <c r="J147" s="20">
        <v>60754</v>
      </c>
      <c r="K147" s="132" t="s">
        <v>621</v>
      </c>
      <c r="L147" s="151">
        <v>0</v>
      </c>
      <c r="M147" s="128">
        <v>369.125</v>
      </c>
      <c r="N147" s="67">
        <v>987</v>
      </c>
      <c r="O147" s="67">
        <v>61741</v>
      </c>
      <c r="P147" s="270" t="s">
        <v>801</v>
      </c>
      <c r="Q147" s="71"/>
      <c r="S147" s="163">
        <v>39542</v>
      </c>
      <c r="T147" s="163">
        <v>22199</v>
      </c>
      <c r="U147" s="43">
        <v>0.56140306509534166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90</v>
      </c>
      <c r="C148" s="63" t="s">
        <v>91</v>
      </c>
      <c r="D148" s="134">
        <v>0</v>
      </c>
      <c r="E148" s="67">
        <v>0</v>
      </c>
      <c r="F148" s="146">
        <v>0</v>
      </c>
      <c r="G148" s="92">
        <v>0</v>
      </c>
      <c r="H148" s="91">
        <v>0</v>
      </c>
      <c r="I148" s="67">
        <v>0</v>
      </c>
      <c r="J148" s="20">
        <v>0</v>
      </c>
      <c r="K148" s="132" t="s">
        <v>644</v>
      </c>
      <c r="L148" s="151">
        <v>0</v>
      </c>
      <c r="M148" s="128">
        <v>0</v>
      </c>
      <c r="N148" s="67">
        <v>0</v>
      </c>
      <c r="O148" s="67">
        <v>0</v>
      </c>
      <c r="P148" s="270" t="s">
        <v>801</v>
      </c>
      <c r="Q148" s="71"/>
      <c r="S148" s="163">
        <v>0</v>
      </c>
      <c r="T148" s="163">
        <v>0</v>
      </c>
      <c r="U148" s="43">
        <v>0</v>
      </c>
      <c r="V148" s="61"/>
      <c r="AC148" s="36"/>
      <c r="AD148" s="36"/>
      <c r="AE148" s="36"/>
      <c r="AF148" s="19"/>
    </row>
    <row r="149" spans="1:32">
      <c r="A149" s="64" t="s">
        <v>601</v>
      </c>
      <c r="B149" s="63" t="s">
        <v>25</v>
      </c>
      <c r="C149" s="63" t="s">
        <v>26</v>
      </c>
      <c r="D149" s="134">
        <v>208.625</v>
      </c>
      <c r="E149" s="67">
        <v>34337</v>
      </c>
      <c r="F149" s="146">
        <v>0</v>
      </c>
      <c r="G149" s="92">
        <v>5700</v>
      </c>
      <c r="H149" s="91">
        <v>40037</v>
      </c>
      <c r="I149" s="67">
        <v>0</v>
      </c>
      <c r="J149" s="20">
        <v>34337</v>
      </c>
      <c r="K149" s="132" t="s">
        <v>621</v>
      </c>
      <c r="L149" s="151">
        <v>0</v>
      </c>
      <c r="M149" s="128">
        <v>208.625</v>
      </c>
      <c r="N149" s="67">
        <v>558</v>
      </c>
      <c r="O149" s="67">
        <v>34895</v>
      </c>
      <c r="P149" s="270" t="s">
        <v>801</v>
      </c>
      <c r="Q149" s="71"/>
      <c r="S149" s="163">
        <v>25780</v>
      </c>
      <c r="T149" s="163">
        <v>9115</v>
      </c>
      <c r="U149" s="43">
        <v>0.35356865787432118</v>
      </c>
      <c r="V149" s="61"/>
      <c r="AC149" s="36"/>
      <c r="AD149" s="36"/>
      <c r="AE149" s="36"/>
      <c r="AF149" s="19"/>
    </row>
    <row r="150" spans="1:32">
      <c r="A150" s="64" t="s">
        <v>594</v>
      </c>
      <c r="B150" s="63" t="s">
        <v>301</v>
      </c>
      <c r="C150" s="63" t="s">
        <v>302</v>
      </c>
      <c r="D150" s="134">
        <v>0</v>
      </c>
      <c r="E150" s="67">
        <v>0</v>
      </c>
      <c r="F150" s="146">
        <v>0</v>
      </c>
      <c r="G150" s="92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P150" s="270" t="s">
        <v>801</v>
      </c>
      <c r="Q150" s="71"/>
      <c r="S150" s="163">
        <v>0</v>
      </c>
      <c r="T150" s="163">
        <v>0</v>
      </c>
      <c r="U150" s="43">
        <v>0</v>
      </c>
      <c r="V150" s="61"/>
      <c r="AC150" s="36"/>
      <c r="AD150" s="36"/>
      <c r="AE150" s="36"/>
      <c r="AF150" s="19"/>
    </row>
    <row r="151" spans="1:32">
      <c r="A151" s="64" t="s">
        <v>603</v>
      </c>
      <c r="B151" s="63" t="s">
        <v>466</v>
      </c>
      <c r="C151" s="63" t="s">
        <v>467</v>
      </c>
      <c r="D151" s="134">
        <v>0</v>
      </c>
      <c r="E151" s="67">
        <v>0</v>
      </c>
      <c r="F151" s="146">
        <v>0</v>
      </c>
      <c r="G151" s="92">
        <v>0</v>
      </c>
      <c r="H151" s="91">
        <v>0</v>
      </c>
      <c r="I151" s="67">
        <v>0</v>
      </c>
      <c r="J151" s="20">
        <v>0</v>
      </c>
      <c r="K151" s="132" t="s">
        <v>644</v>
      </c>
      <c r="L151" s="151">
        <v>0</v>
      </c>
      <c r="M151" s="128">
        <v>0</v>
      </c>
      <c r="N151" s="67">
        <v>0</v>
      </c>
      <c r="O151" s="67">
        <v>0</v>
      </c>
      <c r="P151" s="270" t="s">
        <v>801</v>
      </c>
      <c r="Q151" s="71"/>
      <c r="S151" s="163">
        <v>0</v>
      </c>
      <c r="T151" s="163">
        <v>0</v>
      </c>
      <c r="U151" s="43">
        <v>0</v>
      </c>
      <c r="V151" s="61"/>
      <c r="AC151" s="36"/>
      <c r="AD151" s="36"/>
      <c r="AE151" s="36"/>
      <c r="AF151" s="19"/>
    </row>
    <row r="152" spans="1:32">
      <c r="A152" s="64" t="s">
        <v>595</v>
      </c>
      <c r="B152" s="63" t="s">
        <v>405</v>
      </c>
      <c r="C152" s="63" t="s">
        <v>406</v>
      </c>
      <c r="D152" s="134">
        <v>692.25</v>
      </c>
      <c r="E152" s="67">
        <v>113937</v>
      </c>
      <c r="F152" s="146">
        <v>0</v>
      </c>
      <c r="G152" s="92">
        <v>0</v>
      </c>
      <c r="H152" s="91">
        <v>113937</v>
      </c>
      <c r="I152" s="67">
        <v>0</v>
      </c>
      <c r="J152" s="20">
        <v>113937</v>
      </c>
      <c r="K152" s="132" t="s">
        <v>621</v>
      </c>
      <c r="L152" s="151">
        <v>0</v>
      </c>
      <c r="M152" s="128">
        <v>692.25</v>
      </c>
      <c r="N152" s="67">
        <v>1852</v>
      </c>
      <c r="O152" s="67">
        <v>115789</v>
      </c>
      <c r="P152" s="270" t="s">
        <v>801</v>
      </c>
      <c r="Q152" s="71"/>
      <c r="S152" s="163">
        <v>78431</v>
      </c>
      <c r="T152" s="163">
        <v>37358</v>
      </c>
      <c r="U152" s="43">
        <v>0.4763167625046219</v>
      </c>
      <c r="V152" s="61"/>
      <c r="AC152" s="36"/>
      <c r="AD152" s="36"/>
      <c r="AE152" s="36"/>
      <c r="AF152" s="19"/>
    </row>
    <row r="153" spans="1:32">
      <c r="A153" s="64" t="s">
        <v>594</v>
      </c>
      <c r="B153" s="63" t="s">
        <v>138</v>
      </c>
      <c r="C153" s="63" t="s">
        <v>656</v>
      </c>
      <c r="D153" s="134">
        <v>0</v>
      </c>
      <c r="E153" s="67">
        <v>0</v>
      </c>
      <c r="F153" s="146">
        <v>0</v>
      </c>
      <c r="G153" s="92">
        <v>0</v>
      </c>
      <c r="H153" s="91">
        <v>0</v>
      </c>
      <c r="I153" s="67">
        <v>0</v>
      </c>
      <c r="J153" s="20">
        <v>0</v>
      </c>
      <c r="K153" s="132" t="s">
        <v>644</v>
      </c>
      <c r="L153" s="151">
        <v>0</v>
      </c>
      <c r="M153" s="128">
        <v>0</v>
      </c>
      <c r="N153" s="67">
        <v>0</v>
      </c>
      <c r="O153" s="67">
        <v>0</v>
      </c>
      <c r="P153" s="270" t="s">
        <v>801</v>
      </c>
      <c r="Q153" s="71"/>
      <c r="S153" s="163">
        <v>0</v>
      </c>
      <c r="T153" s="163">
        <v>0</v>
      </c>
      <c r="U153" s="43">
        <v>0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432</v>
      </c>
      <c r="C154" s="63" t="s">
        <v>433</v>
      </c>
      <c r="D154" s="134">
        <v>132.625</v>
      </c>
      <c r="E154" s="67">
        <v>21829</v>
      </c>
      <c r="F154" s="146">
        <v>0</v>
      </c>
      <c r="G154" s="92">
        <v>0</v>
      </c>
      <c r="H154" s="91">
        <v>21829</v>
      </c>
      <c r="I154" s="67">
        <v>0</v>
      </c>
      <c r="J154" s="20">
        <v>21829</v>
      </c>
      <c r="K154" s="132" t="s">
        <v>621</v>
      </c>
      <c r="L154" s="151">
        <v>0</v>
      </c>
      <c r="M154" s="128">
        <v>132.625</v>
      </c>
      <c r="N154" s="67">
        <v>355</v>
      </c>
      <c r="O154" s="67">
        <v>22184</v>
      </c>
      <c r="P154" s="270" t="s">
        <v>801</v>
      </c>
      <c r="Q154" s="71"/>
      <c r="S154" s="163">
        <v>15353</v>
      </c>
      <c r="T154" s="163">
        <v>6831</v>
      </c>
      <c r="U154" s="43">
        <v>0.44492932977268285</v>
      </c>
      <c r="V154" s="61"/>
      <c r="AC154" s="36"/>
      <c r="AD154" s="36"/>
      <c r="AE154" s="36"/>
      <c r="AF154" s="19"/>
    </row>
    <row r="155" spans="1:32">
      <c r="A155" s="64" t="s">
        <v>603</v>
      </c>
      <c r="B155" s="63" t="s">
        <v>430</v>
      </c>
      <c r="C155" s="63" t="s">
        <v>431</v>
      </c>
      <c r="D155" s="134">
        <v>9.125</v>
      </c>
      <c r="E155" s="67">
        <v>1502</v>
      </c>
      <c r="F155" s="146">
        <v>0</v>
      </c>
      <c r="G155" s="92">
        <v>0</v>
      </c>
      <c r="H155" s="91">
        <v>1502</v>
      </c>
      <c r="I155" s="67">
        <v>0</v>
      </c>
      <c r="J155" s="20">
        <v>1502</v>
      </c>
      <c r="K155" s="132" t="s">
        <v>644</v>
      </c>
      <c r="L155" s="151">
        <v>1502</v>
      </c>
      <c r="M155" s="128">
        <v>0</v>
      </c>
      <c r="N155" s="67">
        <v>0</v>
      </c>
      <c r="O155" s="67">
        <v>0</v>
      </c>
      <c r="P155" s="270" t="s">
        <v>801</v>
      </c>
      <c r="Q155" s="71"/>
      <c r="S155" s="163">
        <v>0</v>
      </c>
      <c r="T155" s="163">
        <v>0</v>
      </c>
      <c r="U155" s="43">
        <v>0</v>
      </c>
      <c r="V155" s="61"/>
      <c r="AC155" s="36"/>
      <c r="AD155" s="36"/>
      <c r="AE155" s="36"/>
      <c r="AF155" s="19"/>
    </row>
    <row r="156" spans="1:32">
      <c r="A156" s="64" t="s">
        <v>597</v>
      </c>
      <c r="B156" s="63" t="s">
        <v>179</v>
      </c>
      <c r="C156" s="63" t="s">
        <v>180</v>
      </c>
      <c r="D156" s="134">
        <v>65.25</v>
      </c>
      <c r="E156" s="88">
        <v>10739</v>
      </c>
      <c r="F156" s="146">
        <v>0</v>
      </c>
      <c r="G156" s="92">
        <v>0</v>
      </c>
      <c r="H156" s="91">
        <v>10739</v>
      </c>
      <c r="I156" s="67">
        <v>0</v>
      </c>
      <c r="J156" s="20">
        <v>10739</v>
      </c>
      <c r="K156" s="132" t="s">
        <v>621</v>
      </c>
      <c r="L156" s="151">
        <v>0</v>
      </c>
      <c r="M156" s="128">
        <v>65.25</v>
      </c>
      <c r="N156" s="67">
        <v>175</v>
      </c>
      <c r="O156" s="67">
        <v>10914</v>
      </c>
      <c r="P156" s="270" t="s">
        <v>801</v>
      </c>
      <c r="Q156" s="73"/>
      <c r="S156" s="163">
        <v>8305</v>
      </c>
      <c r="T156" s="163">
        <v>2609</v>
      </c>
      <c r="U156" s="43">
        <v>0.31414810355207706</v>
      </c>
      <c r="V156" s="61"/>
      <c r="AC156" s="36"/>
      <c r="AD156" s="36"/>
      <c r="AE156" s="36"/>
      <c r="AF156" s="19"/>
    </row>
    <row r="157" spans="1:32">
      <c r="A157" s="64" t="s">
        <v>595</v>
      </c>
      <c r="B157" s="63" t="s">
        <v>512</v>
      </c>
      <c r="C157" s="63" t="s">
        <v>513</v>
      </c>
      <c r="D157" s="134">
        <v>125.875</v>
      </c>
      <c r="E157" s="67">
        <v>20718</v>
      </c>
      <c r="F157" s="146">
        <v>0</v>
      </c>
      <c r="G157" s="92">
        <v>0</v>
      </c>
      <c r="H157" s="91">
        <v>20718</v>
      </c>
      <c r="I157" s="67">
        <v>0</v>
      </c>
      <c r="J157" s="20">
        <v>20718</v>
      </c>
      <c r="K157" s="132" t="s">
        <v>621</v>
      </c>
      <c r="L157" s="151">
        <v>0</v>
      </c>
      <c r="M157" s="128">
        <v>125.875</v>
      </c>
      <c r="N157" s="67">
        <v>337</v>
      </c>
      <c r="O157" s="67">
        <v>21055</v>
      </c>
      <c r="P157" s="270" t="s">
        <v>801</v>
      </c>
      <c r="Q157" s="71"/>
      <c r="S157" s="163">
        <v>18505</v>
      </c>
      <c r="T157" s="163">
        <v>2550</v>
      </c>
      <c r="U157" s="43">
        <v>0.13780059443393677</v>
      </c>
      <c r="V157" s="61"/>
      <c r="AC157" s="36"/>
      <c r="AD157" s="36"/>
      <c r="AE157" s="36"/>
      <c r="AF157" s="19"/>
    </row>
    <row r="158" spans="1:32">
      <c r="A158" s="64" t="s">
        <v>601</v>
      </c>
      <c r="B158" s="63" t="s">
        <v>319</v>
      </c>
      <c r="C158" s="63" t="s">
        <v>320</v>
      </c>
      <c r="D158" s="134">
        <v>12.625</v>
      </c>
      <c r="E158" s="67">
        <v>2078</v>
      </c>
      <c r="F158" s="146">
        <v>0</v>
      </c>
      <c r="G158" s="92">
        <v>0</v>
      </c>
      <c r="H158" s="91">
        <v>2078</v>
      </c>
      <c r="I158" s="67">
        <v>0</v>
      </c>
      <c r="J158" s="20">
        <v>2078</v>
      </c>
      <c r="K158" s="132" t="s">
        <v>644</v>
      </c>
      <c r="L158" s="151">
        <v>2078</v>
      </c>
      <c r="M158" s="128">
        <v>0</v>
      </c>
      <c r="N158" s="67">
        <v>0</v>
      </c>
      <c r="O158" s="67">
        <v>0</v>
      </c>
      <c r="P158" s="270" t="s">
        <v>801</v>
      </c>
      <c r="Q158" s="71"/>
      <c r="S158" s="163">
        <v>0</v>
      </c>
      <c r="T158" s="163">
        <v>0</v>
      </c>
      <c r="U158" s="43">
        <v>0</v>
      </c>
      <c r="V158" s="61"/>
      <c r="AC158" s="36"/>
      <c r="AD158" s="36"/>
      <c r="AE158" s="36"/>
      <c r="AF158" s="19"/>
    </row>
    <row r="159" spans="1:32">
      <c r="A159" s="64" t="s">
        <v>599</v>
      </c>
      <c r="B159" s="63" t="s">
        <v>391</v>
      </c>
      <c r="C159" s="63" t="s">
        <v>392</v>
      </c>
      <c r="D159" s="134">
        <v>0</v>
      </c>
      <c r="E159" s="67">
        <v>0</v>
      </c>
      <c r="F159" s="146">
        <v>0</v>
      </c>
      <c r="G159" s="92">
        <v>0</v>
      </c>
      <c r="H159" s="91">
        <v>0</v>
      </c>
      <c r="I159" s="67">
        <v>0</v>
      </c>
      <c r="J159" s="20">
        <v>0</v>
      </c>
      <c r="K159" s="132" t="s">
        <v>644</v>
      </c>
      <c r="L159" s="151">
        <v>0</v>
      </c>
      <c r="M159" s="128">
        <v>0</v>
      </c>
      <c r="N159" s="67">
        <v>0</v>
      </c>
      <c r="O159" s="67">
        <v>0</v>
      </c>
      <c r="P159" s="270" t="s">
        <v>801</v>
      </c>
      <c r="Q159" s="71"/>
      <c r="S159" s="163">
        <v>0</v>
      </c>
      <c r="T159" s="163">
        <v>0</v>
      </c>
      <c r="U159" s="43">
        <v>0</v>
      </c>
      <c r="V159" s="61"/>
      <c r="AC159" s="36"/>
      <c r="AD159" s="36"/>
      <c r="AE159" s="36"/>
      <c r="AF159" s="19"/>
    </row>
    <row r="160" spans="1:32">
      <c r="A160" s="64" t="s">
        <v>595</v>
      </c>
      <c r="B160" s="63" t="s">
        <v>409</v>
      </c>
      <c r="C160" s="63" t="s">
        <v>410</v>
      </c>
      <c r="D160" s="134">
        <v>428.125</v>
      </c>
      <c r="E160" s="67">
        <v>70465</v>
      </c>
      <c r="F160" s="146">
        <v>0</v>
      </c>
      <c r="G160" s="92">
        <v>0</v>
      </c>
      <c r="H160" s="91">
        <v>70465</v>
      </c>
      <c r="I160" s="67">
        <v>0</v>
      </c>
      <c r="J160" s="20">
        <v>70465</v>
      </c>
      <c r="K160" s="132" t="s">
        <v>621</v>
      </c>
      <c r="L160" s="151">
        <v>0</v>
      </c>
      <c r="M160" s="128">
        <v>428.125</v>
      </c>
      <c r="N160" s="67">
        <v>1145</v>
      </c>
      <c r="O160" s="67">
        <v>71610</v>
      </c>
      <c r="P160" s="270" t="s">
        <v>801</v>
      </c>
      <c r="Q160" s="71"/>
      <c r="S160" s="163">
        <v>37633</v>
      </c>
      <c r="T160" s="163">
        <v>33977</v>
      </c>
      <c r="U160" s="43">
        <v>0.90285122100284321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139</v>
      </c>
      <c r="C161" s="63" t="s">
        <v>140</v>
      </c>
      <c r="D161" s="134">
        <v>14.125</v>
      </c>
      <c r="E161" s="67">
        <v>2325</v>
      </c>
      <c r="F161" s="146">
        <v>0</v>
      </c>
      <c r="G161" s="92">
        <v>0</v>
      </c>
      <c r="H161" s="91">
        <v>2325</v>
      </c>
      <c r="I161" s="67">
        <v>0</v>
      </c>
      <c r="J161" s="20">
        <v>2325</v>
      </c>
      <c r="K161" s="132" t="s">
        <v>644</v>
      </c>
      <c r="L161" s="151">
        <v>2325</v>
      </c>
      <c r="M161" s="128">
        <v>0</v>
      </c>
      <c r="N161" s="67">
        <v>0</v>
      </c>
      <c r="O161" s="67">
        <v>0</v>
      </c>
      <c r="P161" s="270" t="s">
        <v>801</v>
      </c>
      <c r="Q161" s="71"/>
      <c r="S161" s="163">
        <v>0</v>
      </c>
      <c r="T161" s="163">
        <v>0</v>
      </c>
      <c r="U161" s="43">
        <v>0</v>
      </c>
      <c r="V161" s="61"/>
      <c r="AC161" s="36"/>
      <c r="AD161" s="36"/>
      <c r="AE161" s="36"/>
      <c r="AF161" s="19"/>
    </row>
    <row r="162" spans="1:32">
      <c r="A162" s="64" t="s">
        <v>594</v>
      </c>
      <c r="B162" s="63" t="s">
        <v>260</v>
      </c>
      <c r="C162" s="63" t="s">
        <v>261</v>
      </c>
      <c r="D162" s="134">
        <v>0</v>
      </c>
      <c r="E162" s="67">
        <v>0</v>
      </c>
      <c r="F162" s="146">
        <v>0</v>
      </c>
      <c r="G162" s="92">
        <v>0</v>
      </c>
      <c r="H162" s="91">
        <v>0</v>
      </c>
      <c r="I162" s="67">
        <v>0</v>
      </c>
      <c r="J162" s="20">
        <v>0</v>
      </c>
      <c r="K162" s="132" t="s">
        <v>644</v>
      </c>
      <c r="L162" s="151">
        <v>0</v>
      </c>
      <c r="M162" s="128">
        <v>0</v>
      </c>
      <c r="N162" s="67">
        <v>0</v>
      </c>
      <c r="O162" s="67">
        <v>0</v>
      </c>
      <c r="P162" s="270" t="s">
        <v>801</v>
      </c>
      <c r="Q162" s="71"/>
      <c r="S162" s="163">
        <v>0</v>
      </c>
      <c r="T162" s="163">
        <v>0</v>
      </c>
      <c r="U162" s="43">
        <v>0</v>
      </c>
      <c r="V162" s="61"/>
      <c r="AC162" s="36"/>
      <c r="AD162" s="36"/>
      <c r="AE162" s="36"/>
      <c r="AF162" s="19"/>
    </row>
    <row r="163" spans="1:32">
      <c r="A163" s="64" t="s">
        <v>601</v>
      </c>
      <c r="B163" s="63" t="s">
        <v>125</v>
      </c>
      <c r="C163" s="63" t="s">
        <v>126</v>
      </c>
      <c r="D163" s="134">
        <v>594.375</v>
      </c>
      <c r="E163" s="67">
        <v>97828</v>
      </c>
      <c r="F163" s="146">
        <v>0</v>
      </c>
      <c r="G163" s="92">
        <v>0</v>
      </c>
      <c r="H163" s="91">
        <v>97828</v>
      </c>
      <c r="I163" s="67">
        <v>0</v>
      </c>
      <c r="J163" s="20">
        <v>97828</v>
      </c>
      <c r="K163" s="132" t="s">
        <v>621</v>
      </c>
      <c r="L163" s="151">
        <v>0</v>
      </c>
      <c r="M163" s="128">
        <v>594.375</v>
      </c>
      <c r="N163" s="67">
        <v>1590</v>
      </c>
      <c r="O163" s="67">
        <v>99418</v>
      </c>
      <c r="P163" s="270" t="s">
        <v>801</v>
      </c>
      <c r="Q163" s="71"/>
      <c r="S163" s="163">
        <v>76703</v>
      </c>
      <c r="T163" s="163">
        <v>22715</v>
      </c>
      <c r="U163" s="43">
        <v>0.29614226301448443</v>
      </c>
      <c r="V163" s="61"/>
      <c r="AC163" s="36"/>
      <c r="AD163" s="36"/>
      <c r="AE163" s="36"/>
      <c r="AF163" s="19"/>
    </row>
    <row r="164" spans="1:32">
      <c r="A164" s="64" t="s">
        <v>594</v>
      </c>
      <c r="B164" s="63" t="s">
        <v>258</v>
      </c>
      <c r="C164" s="63" t="s">
        <v>259</v>
      </c>
      <c r="D164" s="134">
        <v>28.375</v>
      </c>
      <c r="E164" s="67">
        <v>4670</v>
      </c>
      <c r="F164" s="146">
        <v>0</v>
      </c>
      <c r="G164" s="92">
        <v>0</v>
      </c>
      <c r="H164" s="91">
        <v>4670</v>
      </c>
      <c r="I164" s="67">
        <v>0</v>
      </c>
      <c r="J164" s="20">
        <v>4670</v>
      </c>
      <c r="K164" s="132" t="s">
        <v>644</v>
      </c>
      <c r="L164" s="151">
        <v>4670</v>
      </c>
      <c r="M164" s="128">
        <v>0</v>
      </c>
      <c r="N164" s="67">
        <v>0</v>
      </c>
      <c r="O164" s="67">
        <v>0</v>
      </c>
      <c r="P164" s="270" t="s">
        <v>801</v>
      </c>
      <c r="Q164" s="71"/>
      <c r="S164" s="163">
        <v>0</v>
      </c>
      <c r="T164" s="163">
        <v>0</v>
      </c>
      <c r="U164" s="43">
        <v>0</v>
      </c>
      <c r="V164" s="61"/>
      <c r="AC164" s="36"/>
      <c r="AD164" s="36"/>
      <c r="AE164" s="36"/>
      <c r="AF164" s="19"/>
    </row>
    <row r="165" spans="1:32">
      <c r="A165" s="64" t="s">
        <v>605</v>
      </c>
      <c r="B165" s="63" t="s">
        <v>571</v>
      </c>
      <c r="C165" s="63" t="s">
        <v>572</v>
      </c>
      <c r="D165" s="134">
        <v>243.75</v>
      </c>
      <c r="E165" s="67">
        <v>40119</v>
      </c>
      <c r="F165" s="146">
        <v>0</v>
      </c>
      <c r="G165" s="92">
        <v>0</v>
      </c>
      <c r="H165" s="91">
        <v>40119</v>
      </c>
      <c r="I165" s="67">
        <v>0</v>
      </c>
      <c r="J165" s="20">
        <v>40119</v>
      </c>
      <c r="K165" s="132" t="s">
        <v>621</v>
      </c>
      <c r="L165" s="151">
        <v>0</v>
      </c>
      <c r="M165" s="128">
        <v>243.75</v>
      </c>
      <c r="N165" s="67">
        <v>652</v>
      </c>
      <c r="O165" s="67">
        <v>40771</v>
      </c>
      <c r="P165" s="270" t="s">
        <v>801</v>
      </c>
      <c r="Q165" s="71"/>
      <c r="S165" s="163">
        <v>28872</v>
      </c>
      <c r="T165" s="163">
        <v>11899</v>
      </c>
      <c r="U165" s="43">
        <v>0.41212939872540871</v>
      </c>
      <c r="V165" s="61"/>
      <c r="AC165" s="36"/>
      <c r="AD165" s="36"/>
      <c r="AE165" s="36"/>
      <c r="AF165" s="19"/>
    </row>
    <row r="166" spans="1:32">
      <c r="A166" s="64" t="s">
        <v>595</v>
      </c>
      <c r="B166" s="63" t="s">
        <v>516</v>
      </c>
      <c r="C166" s="63" t="s">
        <v>517</v>
      </c>
      <c r="D166" s="134">
        <v>156.875</v>
      </c>
      <c r="E166" s="67">
        <v>25820</v>
      </c>
      <c r="F166" s="146">
        <v>0</v>
      </c>
      <c r="G166" s="92">
        <v>0</v>
      </c>
      <c r="H166" s="91">
        <v>25820</v>
      </c>
      <c r="I166" s="67">
        <v>0</v>
      </c>
      <c r="J166" s="20">
        <v>25820</v>
      </c>
      <c r="K166" s="132" t="s">
        <v>621</v>
      </c>
      <c r="L166" s="151">
        <v>0</v>
      </c>
      <c r="M166" s="128">
        <v>156.875</v>
      </c>
      <c r="N166" s="67">
        <v>420</v>
      </c>
      <c r="O166" s="67">
        <v>26240</v>
      </c>
      <c r="P166" s="270" t="s">
        <v>801</v>
      </c>
      <c r="Q166" s="71"/>
      <c r="S166" s="163">
        <v>27477</v>
      </c>
      <c r="T166" s="163">
        <v>-1237</v>
      </c>
      <c r="U166" s="43">
        <v>-4.5019470830148851E-2</v>
      </c>
      <c r="V166" s="61"/>
      <c r="AC166" s="36"/>
      <c r="AD166" s="36"/>
      <c r="AE166" s="36"/>
      <c r="AF166" s="19"/>
    </row>
    <row r="167" spans="1:32">
      <c r="A167" s="64" t="s">
        <v>599</v>
      </c>
      <c r="B167" s="63" t="s">
        <v>389</v>
      </c>
      <c r="C167" s="63" t="s">
        <v>390</v>
      </c>
      <c r="D167" s="134">
        <v>0</v>
      </c>
      <c r="E167" s="67">
        <v>0</v>
      </c>
      <c r="F167" s="146">
        <v>0</v>
      </c>
      <c r="G167" s="92">
        <v>0</v>
      </c>
      <c r="H167" s="91">
        <v>0</v>
      </c>
      <c r="I167" s="67">
        <v>0</v>
      </c>
      <c r="J167" s="20">
        <v>0</v>
      </c>
      <c r="K167" s="132" t="s">
        <v>644</v>
      </c>
      <c r="L167" s="151">
        <v>0</v>
      </c>
      <c r="M167" s="128">
        <v>0</v>
      </c>
      <c r="N167" s="67">
        <v>0</v>
      </c>
      <c r="O167" s="67">
        <v>0</v>
      </c>
      <c r="P167" s="270" t="s">
        <v>801</v>
      </c>
      <c r="Q167" s="71"/>
      <c r="S167" s="163">
        <v>0</v>
      </c>
      <c r="T167" s="163">
        <v>0</v>
      </c>
      <c r="U167" s="43">
        <v>0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386</v>
      </c>
      <c r="C168" s="63" t="s">
        <v>610</v>
      </c>
      <c r="D168" s="134">
        <v>1454.75</v>
      </c>
      <c r="E168" s="67">
        <v>239436</v>
      </c>
      <c r="F168" s="146">
        <v>0</v>
      </c>
      <c r="G168" s="92">
        <v>0</v>
      </c>
      <c r="H168" s="91">
        <v>239436</v>
      </c>
      <c r="I168" s="67">
        <v>0</v>
      </c>
      <c r="J168" s="20">
        <v>239436</v>
      </c>
      <c r="K168" s="132" t="s">
        <v>621</v>
      </c>
      <c r="L168" s="151">
        <v>0</v>
      </c>
      <c r="M168" s="128">
        <v>1454.75</v>
      </c>
      <c r="N168" s="67">
        <v>3891</v>
      </c>
      <c r="O168" s="67">
        <v>243327</v>
      </c>
      <c r="P168" s="270" t="s">
        <v>801</v>
      </c>
      <c r="Q168" s="71"/>
      <c r="S168" s="163">
        <v>187976</v>
      </c>
      <c r="T168" s="163">
        <v>55351</v>
      </c>
      <c r="U168" s="43">
        <v>0.29445780312380304</v>
      </c>
      <c r="V168" s="61"/>
      <c r="AC168" s="36"/>
      <c r="AD168" s="36"/>
      <c r="AE168" s="36"/>
      <c r="AF168" s="19"/>
    </row>
    <row r="169" spans="1:32">
      <c r="A169" s="64" t="s">
        <v>595</v>
      </c>
      <c r="B169" s="63" t="s">
        <v>399</v>
      </c>
      <c r="C169" s="63" t="s">
        <v>400</v>
      </c>
      <c r="D169" s="134">
        <v>2143.125</v>
      </c>
      <c r="E169" s="67">
        <v>352735</v>
      </c>
      <c r="F169" s="146">
        <v>0</v>
      </c>
      <c r="G169" s="92">
        <v>0</v>
      </c>
      <c r="H169" s="91">
        <v>352735</v>
      </c>
      <c r="I169" s="67">
        <v>0</v>
      </c>
      <c r="J169" s="20">
        <v>352735</v>
      </c>
      <c r="K169" s="132" t="s">
        <v>621</v>
      </c>
      <c r="L169" s="151">
        <v>0</v>
      </c>
      <c r="M169" s="128">
        <v>2143.125</v>
      </c>
      <c r="N169" s="67">
        <v>5733</v>
      </c>
      <c r="O169" s="67">
        <v>358468</v>
      </c>
      <c r="P169" s="270" t="s">
        <v>801</v>
      </c>
      <c r="Q169" s="71"/>
      <c r="S169" s="163">
        <v>232336</v>
      </c>
      <c r="T169" s="163">
        <v>126132</v>
      </c>
      <c r="U169" s="43">
        <v>0.54288616486467878</v>
      </c>
      <c r="V169" s="61"/>
      <c r="AC169" s="36"/>
      <c r="AD169" s="36"/>
      <c r="AE169" s="36"/>
      <c r="AF169" s="19"/>
    </row>
    <row r="170" spans="1:32">
      <c r="A170" s="64" t="s">
        <v>605</v>
      </c>
      <c r="B170" s="63" t="s">
        <v>545</v>
      </c>
      <c r="C170" s="63" t="s">
        <v>546</v>
      </c>
      <c r="D170" s="134">
        <v>65.125</v>
      </c>
      <c r="E170" s="67">
        <v>10719</v>
      </c>
      <c r="F170" s="146">
        <v>0</v>
      </c>
      <c r="G170" s="92">
        <v>0</v>
      </c>
      <c r="H170" s="91">
        <v>10719</v>
      </c>
      <c r="I170" s="67">
        <v>0</v>
      </c>
      <c r="J170" s="20">
        <v>10719</v>
      </c>
      <c r="K170" s="132" t="s">
        <v>621</v>
      </c>
      <c r="L170" s="151">
        <v>0</v>
      </c>
      <c r="M170" s="128">
        <v>65.125</v>
      </c>
      <c r="N170" s="67">
        <v>174</v>
      </c>
      <c r="O170" s="67">
        <v>10893</v>
      </c>
      <c r="P170" s="270" t="s">
        <v>801</v>
      </c>
      <c r="Q170" s="71"/>
      <c r="S170" s="163">
        <v>9321</v>
      </c>
      <c r="T170" s="163">
        <v>1572</v>
      </c>
      <c r="U170" s="43">
        <v>0.16865143224975862</v>
      </c>
      <c r="V170" s="61"/>
      <c r="AC170" s="36"/>
      <c r="AD170" s="36"/>
      <c r="AE170" s="36"/>
      <c r="AF170" s="19"/>
    </row>
    <row r="171" spans="1:32">
      <c r="A171" s="64" t="s">
        <v>594</v>
      </c>
      <c r="B171" s="63" t="s">
        <v>252</v>
      </c>
      <c r="C171" s="63" t="s">
        <v>253</v>
      </c>
      <c r="D171" s="134">
        <v>0</v>
      </c>
      <c r="E171" s="67">
        <v>0</v>
      </c>
      <c r="F171" s="146">
        <v>0</v>
      </c>
      <c r="G171" s="92">
        <v>0</v>
      </c>
      <c r="H171" s="91">
        <v>0</v>
      </c>
      <c r="I171" s="67">
        <v>0</v>
      </c>
      <c r="J171" s="20">
        <v>0</v>
      </c>
      <c r="K171" s="132" t="s">
        <v>644</v>
      </c>
      <c r="L171" s="151">
        <v>0</v>
      </c>
      <c r="M171" s="128">
        <v>0</v>
      </c>
      <c r="N171" s="67">
        <v>0</v>
      </c>
      <c r="O171" s="67">
        <v>0</v>
      </c>
      <c r="P171" s="270" t="s">
        <v>801</v>
      </c>
      <c r="Q171" s="71"/>
      <c r="S171" s="163">
        <v>0</v>
      </c>
      <c r="T171" s="163">
        <v>0</v>
      </c>
      <c r="U171" s="43">
        <v>0</v>
      </c>
      <c r="V171" s="61"/>
      <c r="AC171" s="36"/>
      <c r="AD171" s="36"/>
      <c r="AE171" s="36"/>
      <c r="AF171" s="19"/>
    </row>
    <row r="172" spans="1:32">
      <c r="A172" s="64" t="s">
        <v>599</v>
      </c>
      <c r="B172" s="63" t="s">
        <v>331</v>
      </c>
      <c r="C172" s="63" t="s">
        <v>611</v>
      </c>
      <c r="D172" s="134">
        <v>7.5</v>
      </c>
      <c r="E172" s="67">
        <v>1234</v>
      </c>
      <c r="F172" s="146">
        <v>0</v>
      </c>
      <c r="G172" s="92">
        <v>0</v>
      </c>
      <c r="H172" s="91">
        <v>1234</v>
      </c>
      <c r="I172" s="67">
        <v>0</v>
      </c>
      <c r="J172" s="20">
        <v>1234</v>
      </c>
      <c r="K172" s="132" t="s">
        <v>644</v>
      </c>
      <c r="L172" s="151">
        <v>1234</v>
      </c>
      <c r="M172" s="128">
        <v>0</v>
      </c>
      <c r="N172" s="67">
        <v>0</v>
      </c>
      <c r="O172" s="67">
        <v>0</v>
      </c>
      <c r="P172" s="270" t="s">
        <v>801</v>
      </c>
      <c r="Q172" s="71"/>
      <c r="S172" s="163">
        <v>1016</v>
      </c>
      <c r="T172" s="163">
        <v>-1016</v>
      </c>
      <c r="U172" s="43">
        <v>-1</v>
      </c>
      <c r="V172" s="61"/>
      <c r="AC172" s="36"/>
      <c r="AD172" s="36"/>
      <c r="AE172" s="36"/>
      <c r="AF172" s="19"/>
    </row>
    <row r="173" spans="1:32">
      <c r="A173" s="64" t="s">
        <v>601</v>
      </c>
      <c r="B173" s="63" t="s">
        <v>309</v>
      </c>
      <c r="C173" s="63" t="s">
        <v>310</v>
      </c>
      <c r="D173" s="134">
        <v>0</v>
      </c>
      <c r="E173" s="67">
        <v>0</v>
      </c>
      <c r="F173" s="146">
        <v>0</v>
      </c>
      <c r="G173" s="92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P173" s="270" t="s">
        <v>801</v>
      </c>
      <c r="Q173" s="71"/>
      <c r="S173" s="163">
        <v>0</v>
      </c>
      <c r="T173" s="163">
        <v>0</v>
      </c>
      <c r="U173" s="4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336</v>
      </c>
      <c r="C174" s="63" t="s">
        <v>337</v>
      </c>
      <c r="D174" s="134">
        <v>0</v>
      </c>
      <c r="E174" s="67">
        <v>0</v>
      </c>
      <c r="F174" s="146">
        <v>0</v>
      </c>
      <c r="G174" s="92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P174" s="270" t="s">
        <v>801</v>
      </c>
      <c r="Q174" s="71"/>
      <c r="S174" s="163">
        <v>0</v>
      </c>
      <c r="T174" s="163">
        <v>0</v>
      </c>
      <c r="U174" s="43">
        <v>0</v>
      </c>
      <c r="V174" s="61"/>
      <c r="AC174" s="36"/>
      <c r="AD174" s="36"/>
      <c r="AE174" s="36"/>
      <c r="AF174" s="19"/>
    </row>
    <row r="175" spans="1:32">
      <c r="A175" s="64" t="s">
        <v>603</v>
      </c>
      <c r="B175" s="63" t="s">
        <v>428</v>
      </c>
      <c r="C175" s="63" t="s">
        <v>429</v>
      </c>
      <c r="D175" s="134">
        <v>0</v>
      </c>
      <c r="E175" s="67">
        <v>0</v>
      </c>
      <c r="F175" s="146">
        <v>0</v>
      </c>
      <c r="G175" s="92">
        <v>0</v>
      </c>
      <c r="H175" s="91">
        <v>0</v>
      </c>
      <c r="I175" s="67">
        <v>0</v>
      </c>
      <c r="J175" s="20">
        <v>0</v>
      </c>
      <c r="K175" s="132" t="s">
        <v>644</v>
      </c>
      <c r="L175" s="151">
        <v>0</v>
      </c>
      <c r="M175" s="128">
        <v>0</v>
      </c>
      <c r="N175" s="67">
        <v>0</v>
      </c>
      <c r="O175" s="67">
        <v>0</v>
      </c>
      <c r="P175" s="270" t="s">
        <v>801</v>
      </c>
      <c r="Q175" s="71"/>
      <c r="S175" s="163">
        <v>0</v>
      </c>
      <c r="T175" s="163">
        <v>0</v>
      </c>
      <c r="U175" s="43">
        <v>0</v>
      </c>
      <c r="V175" s="61"/>
      <c r="AC175" s="36"/>
      <c r="AD175" s="36"/>
      <c r="AE175" s="36"/>
      <c r="AF175" s="19"/>
    </row>
    <row r="176" spans="1:32">
      <c r="A176" s="64" t="s">
        <v>595</v>
      </c>
      <c r="B176" s="63" t="s">
        <v>514</v>
      </c>
      <c r="C176" s="63" t="s">
        <v>515</v>
      </c>
      <c r="D176" s="134">
        <v>164.125</v>
      </c>
      <c r="E176" s="67">
        <v>27013</v>
      </c>
      <c r="F176" s="146">
        <v>0</v>
      </c>
      <c r="G176" s="92">
        <v>0</v>
      </c>
      <c r="H176" s="91">
        <v>27013</v>
      </c>
      <c r="I176" s="67">
        <v>0</v>
      </c>
      <c r="J176" s="20">
        <v>27013</v>
      </c>
      <c r="K176" s="132" t="s">
        <v>621</v>
      </c>
      <c r="L176" s="151">
        <v>0</v>
      </c>
      <c r="M176" s="128">
        <v>164.125</v>
      </c>
      <c r="N176" s="67">
        <v>439</v>
      </c>
      <c r="O176" s="67">
        <v>27452</v>
      </c>
      <c r="P176" s="270" t="s">
        <v>801</v>
      </c>
      <c r="Q176" s="71"/>
      <c r="S176" s="163">
        <v>20901</v>
      </c>
      <c r="T176" s="163">
        <v>6551</v>
      </c>
      <c r="U176" s="43">
        <v>0.31342997942682166</v>
      </c>
      <c r="V176" s="61"/>
      <c r="AC176" s="36"/>
      <c r="AD176" s="36"/>
      <c r="AE176" s="36"/>
      <c r="AF176" s="19"/>
    </row>
    <row r="177" spans="1:32">
      <c r="A177" s="64" t="s">
        <v>594</v>
      </c>
      <c r="B177" s="63" t="s">
        <v>136</v>
      </c>
      <c r="C177" s="63" t="s">
        <v>137</v>
      </c>
      <c r="D177" s="134">
        <v>0</v>
      </c>
      <c r="E177" s="67">
        <v>0</v>
      </c>
      <c r="F177" s="146">
        <v>0</v>
      </c>
      <c r="G177" s="92">
        <v>0</v>
      </c>
      <c r="H177" s="91">
        <v>0</v>
      </c>
      <c r="I177" s="67">
        <v>0</v>
      </c>
      <c r="J177" s="20">
        <v>0</v>
      </c>
      <c r="K177" s="132" t="s">
        <v>644</v>
      </c>
      <c r="L177" s="151">
        <v>0</v>
      </c>
      <c r="M177" s="128">
        <v>0</v>
      </c>
      <c r="N177" s="67">
        <v>0</v>
      </c>
      <c r="O177" s="67">
        <v>0</v>
      </c>
      <c r="P177" s="270" t="s">
        <v>801</v>
      </c>
      <c r="Q177" s="71"/>
      <c r="S177" s="163">
        <v>0</v>
      </c>
      <c r="T177" s="163">
        <v>0</v>
      </c>
      <c r="U177" s="43">
        <v>0</v>
      </c>
      <c r="V177" s="61"/>
      <c r="AC177" s="36"/>
      <c r="AD177" s="36"/>
      <c r="AE177" s="36"/>
      <c r="AF177" s="19"/>
    </row>
    <row r="178" spans="1:32">
      <c r="A178" s="64" t="s">
        <v>596</v>
      </c>
      <c r="B178" s="63" t="s">
        <v>106</v>
      </c>
      <c r="C178" s="63" t="s">
        <v>107</v>
      </c>
      <c r="D178" s="134">
        <v>648.75</v>
      </c>
      <c r="E178" s="67">
        <v>106777</v>
      </c>
      <c r="F178" s="146">
        <v>0</v>
      </c>
      <c r="G178" s="92">
        <v>0</v>
      </c>
      <c r="H178" s="91">
        <v>106777</v>
      </c>
      <c r="I178" s="67">
        <v>0</v>
      </c>
      <c r="J178" s="20">
        <v>106777</v>
      </c>
      <c r="K178" s="132" t="s">
        <v>621</v>
      </c>
      <c r="L178" s="151">
        <v>0</v>
      </c>
      <c r="M178" s="128">
        <v>648.75</v>
      </c>
      <c r="N178" s="67">
        <v>1735</v>
      </c>
      <c r="O178" s="67">
        <v>108512</v>
      </c>
      <c r="P178" s="270" t="s">
        <v>801</v>
      </c>
      <c r="Q178" s="71"/>
      <c r="S178" s="163">
        <v>87388</v>
      </c>
      <c r="T178" s="163">
        <v>21124</v>
      </c>
      <c r="U178" s="43">
        <v>0.24172655284478417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214</v>
      </c>
      <c r="C179" s="63" t="s">
        <v>215</v>
      </c>
      <c r="D179" s="134">
        <v>197.75</v>
      </c>
      <c r="E179" s="67">
        <v>32547</v>
      </c>
      <c r="F179" s="146">
        <v>0</v>
      </c>
      <c r="G179" s="92">
        <v>0</v>
      </c>
      <c r="H179" s="91">
        <v>32547</v>
      </c>
      <c r="I179" s="67">
        <v>0</v>
      </c>
      <c r="J179" s="20">
        <v>32547</v>
      </c>
      <c r="K179" s="132" t="s">
        <v>621</v>
      </c>
      <c r="L179" s="151">
        <v>0</v>
      </c>
      <c r="M179" s="128">
        <v>197.75</v>
      </c>
      <c r="N179" s="67">
        <v>529</v>
      </c>
      <c r="O179" s="67">
        <v>33076</v>
      </c>
      <c r="P179" s="270" t="s">
        <v>801</v>
      </c>
      <c r="Q179" s="71"/>
      <c r="S179" s="163">
        <v>21082</v>
      </c>
      <c r="T179" s="163">
        <v>11994</v>
      </c>
      <c r="U179" s="43">
        <v>0.56892135471017935</v>
      </c>
      <c r="V179" s="61"/>
      <c r="AC179" s="36"/>
      <c r="AD179" s="36"/>
      <c r="AE179" s="36"/>
      <c r="AF179" s="19"/>
    </row>
    <row r="180" spans="1:32">
      <c r="A180" s="64" t="s">
        <v>600</v>
      </c>
      <c r="B180" s="63" t="s">
        <v>305</v>
      </c>
      <c r="C180" s="63" t="s">
        <v>306</v>
      </c>
      <c r="D180" s="134">
        <v>61.25</v>
      </c>
      <c r="E180" s="67">
        <v>10081</v>
      </c>
      <c r="F180" s="146">
        <v>0</v>
      </c>
      <c r="G180" s="92">
        <v>0</v>
      </c>
      <c r="H180" s="91">
        <v>10081</v>
      </c>
      <c r="I180" s="67">
        <v>0</v>
      </c>
      <c r="J180" s="20">
        <v>10081</v>
      </c>
      <c r="K180" s="132" t="s">
        <v>621</v>
      </c>
      <c r="L180" s="151">
        <v>0</v>
      </c>
      <c r="M180" s="128">
        <v>61.25</v>
      </c>
      <c r="N180" s="67">
        <v>164</v>
      </c>
      <c r="O180" s="67">
        <v>10245</v>
      </c>
      <c r="P180" s="270" t="s">
        <v>801</v>
      </c>
      <c r="Q180" s="71"/>
      <c r="S180" s="163">
        <v>0</v>
      </c>
      <c r="T180" s="163">
        <v>10245</v>
      </c>
      <c r="U180" s="4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334</v>
      </c>
      <c r="C181" s="63" t="s">
        <v>335</v>
      </c>
      <c r="D181" s="134">
        <v>0</v>
      </c>
      <c r="E181" s="67">
        <v>0</v>
      </c>
      <c r="F181" s="146">
        <v>0</v>
      </c>
      <c r="G181" s="92">
        <v>0</v>
      </c>
      <c r="H181" s="91">
        <v>0</v>
      </c>
      <c r="I181" s="67">
        <v>0</v>
      </c>
      <c r="J181" s="20">
        <v>0</v>
      </c>
      <c r="K181" s="132" t="s">
        <v>644</v>
      </c>
      <c r="L181" s="151">
        <v>0</v>
      </c>
      <c r="M181" s="128">
        <v>0</v>
      </c>
      <c r="N181" s="67">
        <v>0</v>
      </c>
      <c r="O181" s="67">
        <v>0</v>
      </c>
      <c r="P181" s="270" t="s">
        <v>801</v>
      </c>
      <c r="Q181" s="71"/>
      <c r="S181" s="163">
        <v>0</v>
      </c>
      <c r="T181" s="163">
        <v>0</v>
      </c>
      <c r="U181" s="43">
        <v>0</v>
      </c>
      <c r="V181" s="61"/>
      <c r="AC181" s="36"/>
      <c r="AD181" s="36"/>
      <c r="AE181" s="36"/>
      <c r="AF181" s="19"/>
    </row>
    <row r="182" spans="1:32">
      <c r="A182" s="64" t="s">
        <v>594</v>
      </c>
      <c r="B182" s="63" t="s">
        <v>474</v>
      </c>
      <c r="C182" s="63" t="s">
        <v>475</v>
      </c>
      <c r="D182" s="134">
        <v>248</v>
      </c>
      <c r="E182" s="67">
        <v>40818</v>
      </c>
      <c r="F182" s="146">
        <v>0</v>
      </c>
      <c r="G182" s="92">
        <v>0</v>
      </c>
      <c r="H182" s="91">
        <v>40818</v>
      </c>
      <c r="I182" s="67">
        <v>0</v>
      </c>
      <c r="J182" s="20">
        <v>40818</v>
      </c>
      <c r="K182" s="132" t="s">
        <v>621</v>
      </c>
      <c r="L182" s="151">
        <v>0</v>
      </c>
      <c r="M182" s="128">
        <v>248</v>
      </c>
      <c r="N182" s="67">
        <v>663</v>
      </c>
      <c r="O182" s="67">
        <v>41481</v>
      </c>
      <c r="P182" s="270" t="s">
        <v>801</v>
      </c>
      <c r="Q182" s="71"/>
      <c r="S182" s="163">
        <v>21612</v>
      </c>
      <c r="T182" s="163">
        <v>19869</v>
      </c>
      <c r="U182" s="43">
        <v>0.91935036091060518</v>
      </c>
      <c r="V182" s="61"/>
      <c r="AC182" s="36"/>
      <c r="AD182" s="36"/>
      <c r="AE182" s="36"/>
      <c r="AF182" s="19"/>
    </row>
    <row r="183" spans="1:32">
      <c r="A183" s="64" t="s">
        <v>603</v>
      </c>
      <c r="B183" s="63" t="s">
        <v>468</v>
      </c>
      <c r="C183" s="63" t="s">
        <v>469</v>
      </c>
      <c r="D183" s="134">
        <v>0</v>
      </c>
      <c r="E183" s="67">
        <v>0</v>
      </c>
      <c r="F183" s="146">
        <v>0</v>
      </c>
      <c r="G183" s="92">
        <v>0</v>
      </c>
      <c r="H183" s="91">
        <v>0</v>
      </c>
      <c r="I183" s="67">
        <v>0</v>
      </c>
      <c r="J183" s="20">
        <v>0</v>
      </c>
      <c r="K183" s="132" t="s">
        <v>644</v>
      </c>
      <c r="L183" s="151">
        <v>0</v>
      </c>
      <c r="M183" s="128">
        <v>0</v>
      </c>
      <c r="N183" s="67">
        <v>0</v>
      </c>
      <c r="O183" s="67">
        <v>0</v>
      </c>
      <c r="P183" s="270" t="s">
        <v>801</v>
      </c>
      <c r="Q183" s="71"/>
      <c r="S183" s="163">
        <v>0</v>
      </c>
      <c r="T183" s="163">
        <v>0</v>
      </c>
      <c r="U183" s="43">
        <v>0</v>
      </c>
      <c r="V183" s="61"/>
      <c r="AC183" s="36"/>
      <c r="AD183" s="36"/>
      <c r="AE183" s="36"/>
      <c r="AF183" s="19"/>
    </row>
    <row r="184" spans="1:32">
      <c r="A184" s="64" t="s">
        <v>597</v>
      </c>
      <c r="B184" s="63" t="s">
        <v>209</v>
      </c>
      <c r="C184" s="63" t="s">
        <v>210</v>
      </c>
      <c r="D184" s="134">
        <v>851.75</v>
      </c>
      <c r="E184" s="67">
        <v>140189</v>
      </c>
      <c r="F184" s="146">
        <v>0</v>
      </c>
      <c r="G184" s="92">
        <v>0</v>
      </c>
      <c r="H184" s="91">
        <v>140189</v>
      </c>
      <c r="I184" s="67">
        <v>0</v>
      </c>
      <c r="J184" s="20">
        <v>140189</v>
      </c>
      <c r="K184" s="132" t="s">
        <v>621</v>
      </c>
      <c r="L184" s="151">
        <v>0</v>
      </c>
      <c r="M184" s="128">
        <v>851.75</v>
      </c>
      <c r="N184" s="67">
        <v>2278</v>
      </c>
      <c r="O184" s="67">
        <v>142467</v>
      </c>
      <c r="P184" s="270" t="s">
        <v>801</v>
      </c>
      <c r="Q184" s="71"/>
      <c r="S184" s="163">
        <v>90615</v>
      </c>
      <c r="T184" s="163">
        <v>51852</v>
      </c>
      <c r="U184" s="43">
        <v>0.57222314186392986</v>
      </c>
      <c r="V184" s="61"/>
      <c r="AC184" s="36"/>
      <c r="AD184" s="36"/>
      <c r="AE184" s="36"/>
      <c r="AF184" s="19"/>
    </row>
    <row r="185" spans="1:32">
      <c r="A185" s="64" t="s">
        <v>595</v>
      </c>
      <c r="B185" s="63" t="s">
        <v>157</v>
      </c>
      <c r="C185" s="63" t="s">
        <v>158</v>
      </c>
      <c r="D185" s="134">
        <v>164.75</v>
      </c>
      <c r="E185" s="67">
        <v>27116</v>
      </c>
      <c r="F185" s="146">
        <v>0</v>
      </c>
      <c r="G185" s="92">
        <v>0</v>
      </c>
      <c r="H185" s="91">
        <v>27116</v>
      </c>
      <c r="I185" s="67">
        <v>0</v>
      </c>
      <c r="J185" s="20">
        <v>27116</v>
      </c>
      <c r="K185" s="132" t="s">
        <v>621</v>
      </c>
      <c r="L185" s="151">
        <v>0</v>
      </c>
      <c r="M185" s="128">
        <v>164.75</v>
      </c>
      <c r="N185" s="67">
        <v>441</v>
      </c>
      <c r="O185" s="67">
        <v>27557</v>
      </c>
      <c r="P185" s="270" t="s">
        <v>801</v>
      </c>
      <c r="Q185" s="71"/>
      <c r="S185" s="163">
        <v>22295</v>
      </c>
      <c r="T185" s="163">
        <v>5262</v>
      </c>
      <c r="U185" s="43">
        <v>0.2360170441803095</v>
      </c>
      <c r="V185" s="61"/>
      <c r="AC185" s="36"/>
      <c r="AD185" s="36"/>
      <c r="AE185" s="36"/>
      <c r="AF185" s="19"/>
    </row>
    <row r="186" spans="1:32">
      <c r="A186" s="64" t="s">
        <v>603</v>
      </c>
      <c r="B186" s="63" t="s">
        <v>541</v>
      </c>
      <c r="C186" s="63" t="s">
        <v>542</v>
      </c>
      <c r="D186" s="134">
        <v>0</v>
      </c>
      <c r="E186" s="67">
        <v>0</v>
      </c>
      <c r="F186" s="146">
        <v>0</v>
      </c>
      <c r="G186" s="92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P186" s="270" t="s">
        <v>801</v>
      </c>
      <c r="Q186" s="71"/>
      <c r="S186" s="163">
        <v>0</v>
      </c>
      <c r="T186" s="163">
        <v>0</v>
      </c>
      <c r="U186" s="43">
        <v>0</v>
      </c>
      <c r="V186" s="61"/>
      <c r="AC186" s="36"/>
      <c r="AD186" s="36"/>
      <c r="AE186" s="36"/>
      <c r="AF186" s="19"/>
    </row>
    <row r="187" spans="1:32">
      <c r="A187" s="64" t="s">
        <v>594</v>
      </c>
      <c r="B187" s="63" t="s">
        <v>155</v>
      </c>
      <c r="C187" s="63" t="s">
        <v>156</v>
      </c>
      <c r="D187" s="134">
        <v>0</v>
      </c>
      <c r="E187" s="67">
        <v>0</v>
      </c>
      <c r="F187" s="146">
        <v>0</v>
      </c>
      <c r="G187" s="92">
        <v>0</v>
      </c>
      <c r="H187" s="91">
        <v>0</v>
      </c>
      <c r="I187" s="67">
        <v>0</v>
      </c>
      <c r="J187" s="20">
        <v>0</v>
      </c>
      <c r="K187" s="132" t="s">
        <v>644</v>
      </c>
      <c r="L187" s="151">
        <v>0</v>
      </c>
      <c r="M187" s="128">
        <v>0</v>
      </c>
      <c r="N187" s="67">
        <v>0</v>
      </c>
      <c r="O187" s="67">
        <v>0</v>
      </c>
      <c r="P187" s="270" t="s">
        <v>801</v>
      </c>
      <c r="Q187" s="71"/>
      <c r="S187" s="163">
        <v>0</v>
      </c>
      <c r="T187" s="163">
        <v>0</v>
      </c>
      <c r="U187" s="43">
        <v>0</v>
      </c>
      <c r="V187" s="61"/>
      <c r="AC187" s="36"/>
      <c r="AD187" s="36"/>
      <c r="AE187" s="36"/>
      <c r="AF187" s="19"/>
    </row>
    <row r="188" spans="1:32">
      <c r="A188" s="64" t="s">
        <v>599</v>
      </c>
      <c r="B188" s="63" t="s">
        <v>325</v>
      </c>
      <c r="C188" s="63" t="s">
        <v>326</v>
      </c>
      <c r="D188" s="134">
        <v>33.125</v>
      </c>
      <c r="E188" s="67">
        <v>5452</v>
      </c>
      <c r="F188" s="146">
        <v>0</v>
      </c>
      <c r="G188" s="92">
        <v>0</v>
      </c>
      <c r="H188" s="91">
        <v>5452</v>
      </c>
      <c r="I188" s="67">
        <v>0</v>
      </c>
      <c r="J188" s="20">
        <v>5452</v>
      </c>
      <c r="K188" s="132" t="s">
        <v>621</v>
      </c>
      <c r="L188" s="151">
        <v>0</v>
      </c>
      <c r="M188" s="128">
        <v>33.125</v>
      </c>
      <c r="N188" s="67">
        <v>89</v>
      </c>
      <c r="O188" s="67">
        <v>5541</v>
      </c>
      <c r="P188" s="270">
        <v>1</v>
      </c>
      <c r="Q188" s="71"/>
      <c r="S188" s="163">
        <v>5183</v>
      </c>
      <c r="T188" s="163">
        <v>358</v>
      </c>
      <c r="U188" s="43">
        <v>6.9071966042832333E-2</v>
      </c>
      <c r="V188" s="61"/>
      <c r="AC188" s="36"/>
      <c r="AD188" s="36"/>
      <c r="AE188" s="36"/>
      <c r="AF188" s="19"/>
    </row>
    <row r="189" spans="1:32">
      <c r="A189" s="64" t="s">
        <v>594</v>
      </c>
      <c r="B189" s="63" t="s">
        <v>153</v>
      </c>
      <c r="C189" s="63" t="s">
        <v>154</v>
      </c>
      <c r="D189" s="134">
        <v>31.25</v>
      </c>
      <c r="E189" s="67">
        <v>5143</v>
      </c>
      <c r="F189" s="146">
        <v>0</v>
      </c>
      <c r="G189" s="92">
        <v>0</v>
      </c>
      <c r="H189" s="91">
        <v>5143</v>
      </c>
      <c r="I189" s="67">
        <v>0</v>
      </c>
      <c r="J189" s="20">
        <v>5143</v>
      </c>
      <c r="K189" s="132" t="s">
        <v>644</v>
      </c>
      <c r="L189" s="151">
        <v>5143</v>
      </c>
      <c r="M189" s="128">
        <v>0</v>
      </c>
      <c r="N189" s="67">
        <v>0</v>
      </c>
      <c r="O189" s="67">
        <v>0</v>
      </c>
      <c r="P189" s="270" t="s">
        <v>801</v>
      </c>
      <c r="Q189" s="71"/>
      <c r="S189" s="163">
        <v>3000</v>
      </c>
      <c r="T189" s="163">
        <v>-3000</v>
      </c>
      <c r="U189" s="43">
        <v>-1</v>
      </c>
      <c r="V189" s="61"/>
      <c r="AC189" s="36"/>
      <c r="AD189" s="36"/>
      <c r="AE189" s="36"/>
      <c r="AF189" s="19"/>
    </row>
    <row r="190" spans="1:32">
      <c r="A190" s="64" t="s">
        <v>603</v>
      </c>
      <c r="B190" s="63" t="s">
        <v>287</v>
      </c>
      <c r="C190" s="63" t="s">
        <v>288</v>
      </c>
      <c r="D190" s="134">
        <v>0</v>
      </c>
      <c r="E190" s="67">
        <v>0</v>
      </c>
      <c r="F190" s="146">
        <v>0</v>
      </c>
      <c r="G190" s="92">
        <v>0</v>
      </c>
      <c r="H190" s="91">
        <v>0</v>
      </c>
      <c r="I190" s="67">
        <v>0</v>
      </c>
      <c r="J190" s="20">
        <v>0</v>
      </c>
      <c r="K190" s="132" t="s">
        <v>644</v>
      </c>
      <c r="L190" s="151">
        <v>0</v>
      </c>
      <c r="M190" s="128">
        <v>0</v>
      </c>
      <c r="N190" s="67">
        <v>0</v>
      </c>
      <c r="O190" s="67">
        <v>0</v>
      </c>
      <c r="P190" s="270" t="s">
        <v>801</v>
      </c>
      <c r="Q190" s="71"/>
      <c r="S190" s="163">
        <v>0</v>
      </c>
      <c r="T190" s="163">
        <v>0</v>
      </c>
      <c r="U190" s="43">
        <v>0</v>
      </c>
      <c r="V190" s="61"/>
      <c r="AC190" s="36"/>
      <c r="AD190" s="36"/>
      <c r="AE190" s="36"/>
      <c r="AF190" s="19"/>
    </row>
    <row r="191" spans="1:32">
      <c r="A191" s="64" t="s">
        <v>601</v>
      </c>
      <c r="B191" s="63" t="s">
        <v>313</v>
      </c>
      <c r="C191" s="63" t="s">
        <v>314</v>
      </c>
      <c r="D191" s="134">
        <v>84.25</v>
      </c>
      <c r="E191" s="67">
        <v>13867</v>
      </c>
      <c r="F191" s="146">
        <v>0</v>
      </c>
      <c r="G191" s="92">
        <v>0</v>
      </c>
      <c r="H191" s="91">
        <v>13867</v>
      </c>
      <c r="I191" s="67">
        <v>0</v>
      </c>
      <c r="J191" s="20">
        <v>13867</v>
      </c>
      <c r="K191" s="132" t="s">
        <v>621</v>
      </c>
      <c r="L191" s="151">
        <v>0</v>
      </c>
      <c r="M191" s="128">
        <v>84.25</v>
      </c>
      <c r="N191" s="67">
        <v>225</v>
      </c>
      <c r="O191" s="67">
        <v>14092</v>
      </c>
      <c r="P191" s="270" t="s">
        <v>801</v>
      </c>
      <c r="Q191" s="71"/>
      <c r="S191" s="163">
        <v>13625</v>
      </c>
      <c r="T191" s="163">
        <v>467</v>
      </c>
      <c r="U191" s="43">
        <v>3.4275229357798163E-2</v>
      </c>
      <c r="V191" s="61"/>
      <c r="AC191" s="36"/>
      <c r="AD191" s="36"/>
      <c r="AE191" s="36"/>
      <c r="AF191" s="19"/>
    </row>
    <row r="192" spans="1:32">
      <c r="A192" s="64" t="s">
        <v>594</v>
      </c>
      <c r="B192" s="63" t="s">
        <v>478</v>
      </c>
      <c r="C192" s="63" t="s">
        <v>479</v>
      </c>
      <c r="D192" s="134">
        <v>160.125</v>
      </c>
      <c r="E192" s="67">
        <v>26355</v>
      </c>
      <c r="F192" s="146">
        <v>0</v>
      </c>
      <c r="G192" s="92">
        <v>0</v>
      </c>
      <c r="H192" s="91">
        <v>26355</v>
      </c>
      <c r="I192" s="67">
        <v>0</v>
      </c>
      <c r="J192" s="20">
        <v>26355</v>
      </c>
      <c r="K192" s="132" t="s">
        <v>621</v>
      </c>
      <c r="L192" s="151">
        <v>0</v>
      </c>
      <c r="M192" s="128">
        <v>160.125</v>
      </c>
      <c r="N192" s="67">
        <v>428</v>
      </c>
      <c r="O192" s="67">
        <v>26783</v>
      </c>
      <c r="P192" s="270" t="s">
        <v>801</v>
      </c>
      <c r="Q192" s="71"/>
      <c r="S192" s="163">
        <v>17369</v>
      </c>
      <c r="T192" s="163">
        <v>9414</v>
      </c>
      <c r="U192" s="43">
        <v>0.54200011514767688</v>
      </c>
      <c r="V192" s="61"/>
      <c r="AC192" s="36"/>
      <c r="AD192" s="36"/>
      <c r="AE192" s="36"/>
      <c r="AF192" s="19"/>
    </row>
    <row r="193" spans="1:32">
      <c r="A193" s="64" t="s">
        <v>601</v>
      </c>
      <c r="B193" s="63" t="s">
        <v>311</v>
      </c>
      <c r="C193" s="63" t="s">
        <v>312</v>
      </c>
      <c r="D193" s="134">
        <v>72.125</v>
      </c>
      <c r="E193" s="67">
        <v>11871</v>
      </c>
      <c r="F193" s="146">
        <v>0</v>
      </c>
      <c r="G193" s="92">
        <v>0</v>
      </c>
      <c r="H193" s="91">
        <v>11871</v>
      </c>
      <c r="I193" s="67">
        <v>0</v>
      </c>
      <c r="J193" s="20">
        <v>11871</v>
      </c>
      <c r="K193" s="132" t="s">
        <v>621</v>
      </c>
      <c r="L193" s="151">
        <v>0</v>
      </c>
      <c r="M193" s="128">
        <v>72.125</v>
      </c>
      <c r="N193" s="67">
        <v>193</v>
      </c>
      <c r="O193" s="67">
        <v>12064</v>
      </c>
      <c r="P193" s="270" t="s">
        <v>801</v>
      </c>
      <c r="Q193" s="71"/>
      <c r="S193" s="163">
        <v>6002</v>
      </c>
      <c r="T193" s="163">
        <v>6062</v>
      </c>
      <c r="U193" s="43">
        <v>1.0099966677774075</v>
      </c>
      <c r="V193" s="61"/>
      <c r="AC193" s="36"/>
      <c r="AD193" s="36"/>
      <c r="AE193" s="36"/>
      <c r="AF193" s="19"/>
    </row>
    <row r="194" spans="1:32">
      <c r="A194" s="64" t="s">
        <v>594</v>
      </c>
      <c r="B194" s="63" t="s">
        <v>270</v>
      </c>
      <c r="C194" s="63" t="s">
        <v>271</v>
      </c>
      <c r="D194" s="134">
        <v>21.5</v>
      </c>
      <c r="E194" s="67">
        <v>3539</v>
      </c>
      <c r="F194" s="146">
        <v>0</v>
      </c>
      <c r="G194" s="92">
        <v>0</v>
      </c>
      <c r="H194" s="91">
        <v>3539</v>
      </c>
      <c r="I194" s="67">
        <v>0</v>
      </c>
      <c r="J194" s="20">
        <v>3539</v>
      </c>
      <c r="K194" s="132" t="s">
        <v>644</v>
      </c>
      <c r="L194" s="151">
        <v>3539</v>
      </c>
      <c r="M194" s="128">
        <v>0</v>
      </c>
      <c r="N194" s="67">
        <v>0</v>
      </c>
      <c r="O194" s="67">
        <v>0</v>
      </c>
      <c r="P194" s="270" t="s">
        <v>801</v>
      </c>
      <c r="Q194" s="71"/>
      <c r="S194" s="163">
        <v>0</v>
      </c>
      <c r="T194" s="163">
        <v>0</v>
      </c>
      <c r="U194" s="43">
        <v>0</v>
      </c>
      <c r="V194" s="61"/>
      <c r="AC194" s="36"/>
      <c r="AD194" s="36"/>
      <c r="AE194" s="36"/>
      <c r="AF194" s="19"/>
    </row>
    <row r="195" spans="1:32">
      <c r="A195" s="64" t="s">
        <v>603</v>
      </c>
      <c r="B195" s="63" t="s">
        <v>448</v>
      </c>
      <c r="C195" s="63" t="s">
        <v>449</v>
      </c>
      <c r="D195" s="134">
        <v>0</v>
      </c>
      <c r="E195" s="67">
        <v>0</v>
      </c>
      <c r="F195" s="146">
        <v>0</v>
      </c>
      <c r="G195" s="92">
        <v>0</v>
      </c>
      <c r="H195" s="91">
        <v>0</v>
      </c>
      <c r="I195" s="67">
        <v>0</v>
      </c>
      <c r="J195" s="20">
        <v>0</v>
      </c>
      <c r="K195" s="132" t="s">
        <v>644</v>
      </c>
      <c r="L195" s="151">
        <v>0</v>
      </c>
      <c r="M195" s="128">
        <v>0</v>
      </c>
      <c r="N195" s="67">
        <v>0</v>
      </c>
      <c r="O195" s="67">
        <v>0</v>
      </c>
      <c r="P195" s="270" t="s">
        <v>801</v>
      </c>
      <c r="Q195" s="71"/>
      <c r="S195" s="163">
        <v>0</v>
      </c>
      <c r="T195" s="163">
        <v>0</v>
      </c>
      <c r="U195" s="43">
        <v>0</v>
      </c>
      <c r="V195" s="61"/>
      <c r="AC195" s="36"/>
      <c r="AD195" s="36"/>
      <c r="AE195" s="36"/>
      <c r="AF195" s="19"/>
    </row>
    <row r="196" spans="1:32">
      <c r="A196" s="64" t="s">
        <v>595</v>
      </c>
      <c r="B196" s="63" t="s">
        <v>372</v>
      </c>
      <c r="C196" s="63" t="s">
        <v>613</v>
      </c>
      <c r="D196" s="134">
        <v>8.375</v>
      </c>
      <c r="E196" s="67">
        <v>1378</v>
      </c>
      <c r="F196" s="146">
        <v>0</v>
      </c>
      <c r="G196" s="92">
        <v>0</v>
      </c>
      <c r="H196" s="91">
        <v>1378</v>
      </c>
      <c r="I196" s="67">
        <v>0</v>
      </c>
      <c r="J196" s="20">
        <v>1378</v>
      </c>
      <c r="K196" s="132" t="s">
        <v>644</v>
      </c>
      <c r="L196" s="151">
        <v>1378</v>
      </c>
      <c r="M196" s="128">
        <v>0</v>
      </c>
      <c r="N196" s="67">
        <v>0</v>
      </c>
      <c r="O196" s="67">
        <v>0</v>
      </c>
      <c r="P196" s="270" t="s">
        <v>801</v>
      </c>
      <c r="Q196" s="71"/>
      <c r="S196" s="163">
        <v>0</v>
      </c>
      <c r="T196" s="163">
        <v>0</v>
      </c>
      <c r="U196" s="4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424</v>
      </c>
      <c r="C197" s="63" t="s">
        <v>425</v>
      </c>
      <c r="D197" s="134">
        <v>0</v>
      </c>
      <c r="E197" s="67">
        <v>0</v>
      </c>
      <c r="F197" s="146">
        <v>0</v>
      </c>
      <c r="G197" s="92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P197" s="270" t="s">
        <v>801</v>
      </c>
      <c r="Q197" s="71"/>
      <c r="S197" s="163">
        <v>0</v>
      </c>
      <c r="T197" s="163">
        <v>0</v>
      </c>
      <c r="U197" s="43">
        <v>0</v>
      </c>
      <c r="V197" s="61"/>
      <c r="AC197" s="36"/>
      <c r="AD197" s="36"/>
      <c r="AE197" s="36"/>
      <c r="AF197" s="19"/>
    </row>
    <row r="198" spans="1:32">
      <c r="A198" s="64" t="s">
        <v>603</v>
      </c>
      <c r="B198" s="63" t="s">
        <v>98</v>
      </c>
      <c r="C198" s="63" t="s">
        <v>99</v>
      </c>
      <c r="D198" s="134">
        <v>0</v>
      </c>
      <c r="E198" s="67">
        <v>0</v>
      </c>
      <c r="F198" s="146">
        <v>0</v>
      </c>
      <c r="G198" s="92">
        <v>0</v>
      </c>
      <c r="H198" s="91">
        <v>0</v>
      </c>
      <c r="I198" s="67">
        <v>0</v>
      </c>
      <c r="J198" s="20">
        <v>0</v>
      </c>
      <c r="K198" s="132" t="s">
        <v>644</v>
      </c>
      <c r="L198" s="151">
        <v>0</v>
      </c>
      <c r="M198" s="128">
        <v>0</v>
      </c>
      <c r="N198" s="67">
        <v>0</v>
      </c>
      <c r="O198" s="67">
        <v>0</v>
      </c>
      <c r="P198" s="270" t="s">
        <v>801</v>
      </c>
      <c r="Q198" s="71"/>
      <c r="S198" s="163">
        <v>0</v>
      </c>
      <c r="T198" s="163">
        <v>0</v>
      </c>
      <c r="U198" s="43">
        <v>0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82</v>
      </c>
      <c r="C199" s="63" t="s">
        <v>83</v>
      </c>
      <c r="D199" s="134">
        <v>84</v>
      </c>
      <c r="E199" s="67">
        <v>13825</v>
      </c>
      <c r="F199" s="146">
        <v>0</v>
      </c>
      <c r="G199" s="92">
        <v>0</v>
      </c>
      <c r="H199" s="91">
        <v>13825</v>
      </c>
      <c r="I199" s="67">
        <v>0</v>
      </c>
      <c r="J199" s="20">
        <v>13825</v>
      </c>
      <c r="K199" s="132" t="s">
        <v>621</v>
      </c>
      <c r="L199" s="151">
        <v>0</v>
      </c>
      <c r="M199" s="128">
        <v>84</v>
      </c>
      <c r="N199" s="67">
        <v>225</v>
      </c>
      <c r="O199" s="67">
        <v>14050</v>
      </c>
      <c r="P199" s="270" t="s">
        <v>801</v>
      </c>
      <c r="Q199" s="71"/>
      <c r="S199" s="163">
        <v>10881</v>
      </c>
      <c r="T199" s="163">
        <v>3169</v>
      </c>
      <c r="U199" s="43">
        <v>0.29124161382225899</v>
      </c>
      <c r="V199" s="61"/>
      <c r="AC199" s="36"/>
      <c r="AD199" s="36"/>
      <c r="AE199" s="36"/>
      <c r="AF199" s="19"/>
    </row>
    <row r="200" spans="1:32">
      <c r="A200" s="64" t="s">
        <v>601</v>
      </c>
      <c r="B200" s="63" t="s">
        <v>323</v>
      </c>
      <c r="C200" s="63" t="s">
        <v>324</v>
      </c>
      <c r="D200" s="134">
        <v>84.375</v>
      </c>
      <c r="E200" s="67">
        <v>13887</v>
      </c>
      <c r="F200" s="146">
        <v>0</v>
      </c>
      <c r="G200" s="92">
        <v>0</v>
      </c>
      <c r="H200" s="91">
        <v>13887</v>
      </c>
      <c r="I200" s="67">
        <v>0</v>
      </c>
      <c r="J200" s="20">
        <v>13887</v>
      </c>
      <c r="K200" s="132" t="s">
        <v>621</v>
      </c>
      <c r="L200" s="151">
        <v>0</v>
      </c>
      <c r="M200" s="128">
        <v>84.375</v>
      </c>
      <c r="N200" s="67">
        <v>226</v>
      </c>
      <c r="O200" s="67">
        <v>14113</v>
      </c>
      <c r="P200" s="270" t="s">
        <v>801</v>
      </c>
      <c r="Q200" s="71"/>
      <c r="S200" s="163">
        <v>10458</v>
      </c>
      <c r="T200" s="163">
        <v>3655</v>
      </c>
      <c r="U200" s="43">
        <v>0.34949321093899405</v>
      </c>
      <c r="V200" s="61"/>
      <c r="AC200" s="36"/>
      <c r="AD200" s="36"/>
      <c r="AE200" s="36"/>
      <c r="AF200" s="19"/>
    </row>
    <row r="201" spans="1:32">
      <c r="A201" s="64" t="s">
        <v>597</v>
      </c>
      <c r="B201" s="63" t="s">
        <v>355</v>
      </c>
      <c r="C201" s="63" t="s">
        <v>356</v>
      </c>
      <c r="D201" s="134">
        <v>32.125</v>
      </c>
      <c r="E201" s="67">
        <v>5287</v>
      </c>
      <c r="F201" s="146">
        <v>0</v>
      </c>
      <c r="G201" s="92">
        <v>0</v>
      </c>
      <c r="H201" s="91">
        <v>5287</v>
      </c>
      <c r="I201" s="67">
        <v>0</v>
      </c>
      <c r="J201" s="20">
        <v>5287</v>
      </c>
      <c r="K201" s="132" t="s">
        <v>644</v>
      </c>
      <c r="L201" s="151">
        <v>5287</v>
      </c>
      <c r="M201" s="128">
        <v>0</v>
      </c>
      <c r="N201" s="67">
        <v>0</v>
      </c>
      <c r="O201" s="67">
        <v>0</v>
      </c>
      <c r="P201" s="270" t="s">
        <v>801</v>
      </c>
      <c r="Q201" s="71"/>
      <c r="S201" s="163">
        <v>0</v>
      </c>
      <c r="T201" s="163">
        <v>0</v>
      </c>
      <c r="U201" s="43">
        <v>0</v>
      </c>
      <c r="V201" s="61"/>
      <c r="AC201" s="36"/>
      <c r="AD201" s="36"/>
      <c r="AE201" s="36"/>
      <c r="AF201" s="19"/>
    </row>
    <row r="202" spans="1:32">
      <c r="A202" s="64" t="s">
        <v>596</v>
      </c>
      <c r="B202" s="63" t="s">
        <v>4</v>
      </c>
      <c r="C202" s="63" t="s">
        <v>5</v>
      </c>
      <c r="D202" s="134">
        <v>1295.625</v>
      </c>
      <c r="E202" s="67">
        <v>213246</v>
      </c>
      <c r="F202" s="146">
        <v>0</v>
      </c>
      <c r="G202" s="92">
        <v>0</v>
      </c>
      <c r="H202" s="91">
        <v>213246</v>
      </c>
      <c r="I202" s="67">
        <v>0</v>
      </c>
      <c r="J202" s="20">
        <v>213246</v>
      </c>
      <c r="K202" s="132" t="s">
        <v>621</v>
      </c>
      <c r="L202" s="151">
        <v>0</v>
      </c>
      <c r="M202" s="128">
        <v>1295.625</v>
      </c>
      <c r="N202" s="67">
        <v>3466</v>
      </c>
      <c r="O202" s="67">
        <v>216712</v>
      </c>
      <c r="P202" s="270" t="s">
        <v>801</v>
      </c>
      <c r="Q202" s="71"/>
      <c r="S202" s="163">
        <v>162909</v>
      </c>
      <c r="T202" s="163">
        <v>53803</v>
      </c>
      <c r="U202" s="43">
        <v>0.33026413519203973</v>
      </c>
      <c r="V202" s="61"/>
      <c r="AC202" s="36"/>
      <c r="AD202" s="36"/>
      <c r="AE202" s="36"/>
      <c r="AF202" s="19"/>
    </row>
    <row r="203" spans="1:32">
      <c r="A203" s="64" t="s">
        <v>601</v>
      </c>
      <c r="B203" s="63" t="s">
        <v>86</v>
      </c>
      <c r="C203" s="63" t="s">
        <v>87</v>
      </c>
      <c r="D203" s="134">
        <v>23.5</v>
      </c>
      <c r="E203" s="67">
        <v>3868</v>
      </c>
      <c r="F203" s="146">
        <v>0</v>
      </c>
      <c r="G203" s="92">
        <v>0</v>
      </c>
      <c r="H203" s="91">
        <v>3868</v>
      </c>
      <c r="I203" s="67">
        <v>0</v>
      </c>
      <c r="J203" s="20">
        <v>3868</v>
      </c>
      <c r="K203" s="132" t="s">
        <v>644</v>
      </c>
      <c r="L203" s="151">
        <v>3868</v>
      </c>
      <c r="M203" s="128">
        <v>0</v>
      </c>
      <c r="N203" s="67">
        <v>0</v>
      </c>
      <c r="O203" s="67">
        <v>0</v>
      </c>
      <c r="P203" s="270" t="s">
        <v>801</v>
      </c>
      <c r="Q203" s="71"/>
      <c r="S203" s="163">
        <v>0</v>
      </c>
      <c r="T203" s="163">
        <v>0</v>
      </c>
      <c r="U203" s="43">
        <v>0</v>
      </c>
      <c r="V203" s="61"/>
      <c r="AC203" s="36"/>
      <c r="AD203" s="36"/>
      <c r="AE203" s="36"/>
      <c r="AF203" s="19"/>
    </row>
    <row r="204" spans="1:32">
      <c r="A204" s="64" t="s">
        <v>603</v>
      </c>
      <c r="B204" s="63" t="s">
        <v>527</v>
      </c>
      <c r="C204" s="63" t="s">
        <v>528</v>
      </c>
      <c r="D204" s="134">
        <v>0</v>
      </c>
      <c r="E204" s="67">
        <v>0</v>
      </c>
      <c r="F204" s="146">
        <v>0</v>
      </c>
      <c r="G204" s="92">
        <v>0</v>
      </c>
      <c r="H204" s="91">
        <v>0</v>
      </c>
      <c r="I204" s="67">
        <v>0</v>
      </c>
      <c r="J204" s="20">
        <v>0</v>
      </c>
      <c r="K204" s="132" t="s">
        <v>644</v>
      </c>
      <c r="L204" s="151">
        <v>0</v>
      </c>
      <c r="M204" s="128">
        <v>0</v>
      </c>
      <c r="N204" s="67">
        <v>0</v>
      </c>
      <c r="O204" s="67">
        <v>0</v>
      </c>
      <c r="P204" s="270" t="s">
        <v>801</v>
      </c>
      <c r="Q204" s="71"/>
      <c r="S204" s="163">
        <v>0</v>
      </c>
      <c r="T204" s="163">
        <v>0</v>
      </c>
      <c r="U204" s="43">
        <v>0</v>
      </c>
      <c r="V204" s="61"/>
      <c r="AC204" s="36"/>
      <c r="AD204" s="36"/>
      <c r="AE204" s="36"/>
      <c r="AF204" s="19"/>
    </row>
    <row r="205" spans="1:32">
      <c r="A205" s="64" t="s">
        <v>596</v>
      </c>
      <c r="B205" s="63" t="s">
        <v>104</v>
      </c>
      <c r="C205" s="63" t="s">
        <v>105</v>
      </c>
      <c r="D205" s="134">
        <v>4666.5</v>
      </c>
      <c r="E205" s="67">
        <v>768054</v>
      </c>
      <c r="F205" s="146">
        <v>0</v>
      </c>
      <c r="G205" s="92">
        <v>0</v>
      </c>
      <c r="H205" s="91">
        <v>768054</v>
      </c>
      <c r="I205" s="67">
        <v>0</v>
      </c>
      <c r="J205" s="20">
        <v>768054</v>
      </c>
      <c r="K205" s="132" t="s">
        <v>621</v>
      </c>
      <c r="L205" s="151">
        <v>0</v>
      </c>
      <c r="M205" s="128">
        <v>4666.5</v>
      </c>
      <c r="N205" s="67">
        <v>12482</v>
      </c>
      <c r="O205" s="67">
        <v>780536</v>
      </c>
      <c r="P205" s="270" t="s">
        <v>801</v>
      </c>
      <c r="Q205" s="71"/>
      <c r="S205" s="163">
        <v>548179</v>
      </c>
      <c r="T205" s="163">
        <v>232357</v>
      </c>
      <c r="U205" s="43">
        <v>0.4238706699818855</v>
      </c>
      <c r="V205" s="61"/>
      <c r="AC205" s="36"/>
      <c r="AD205" s="36"/>
      <c r="AE205" s="36"/>
      <c r="AF205" s="19"/>
    </row>
    <row r="206" spans="1:32">
      <c r="A206" s="64" t="s">
        <v>601</v>
      </c>
      <c r="B206" s="63" t="s">
        <v>317</v>
      </c>
      <c r="C206" s="63" t="s">
        <v>318</v>
      </c>
      <c r="D206" s="134">
        <v>37.625</v>
      </c>
      <c r="E206" s="67">
        <v>6193</v>
      </c>
      <c r="F206" s="146">
        <v>0</v>
      </c>
      <c r="G206" s="92">
        <v>0</v>
      </c>
      <c r="H206" s="91">
        <v>6193</v>
      </c>
      <c r="I206" s="67">
        <v>0</v>
      </c>
      <c r="J206" s="20">
        <v>6193</v>
      </c>
      <c r="K206" s="132" t="s">
        <v>621</v>
      </c>
      <c r="L206" s="151">
        <v>0</v>
      </c>
      <c r="M206" s="128">
        <v>37.625</v>
      </c>
      <c r="N206" s="67">
        <v>101</v>
      </c>
      <c r="O206" s="67">
        <v>6294</v>
      </c>
      <c r="P206" s="270">
        <v>1</v>
      </c>
      <c r="Q206" s="71"/>
      <c r="S206" s="163">
        <v>4789</v>
      </c>
      <c r="T206" s="163">
        <v>1505</v>
      </c>
      <c r="U206" s="43">
        <v>0.31426185007308416</v>
      </c>
      <c r="V206" s="61"/>
      <c r="AC206" s="36"/>
      <c r="AD206" s="36"/>
      <c r="AE206" s="36"/>
      <c r="AF206" s="19"/>
    </row>
    <row r="207" spans="1:32">
      <c r="A207" s="64" t="s">
        <v>596</v>
      </c>
      <c r="B207" s="63" t="s">
        <v>16</v>
      </c>
      <c r="C207" s="63" t="s">
        <v>17</v>
      </c>
      <c r="D207" s="134">
        <v>29.875</v>
      </c>
      <c r="E207" s="67">
        <v>4917</v>
      </c>
      <c r="F207" s="146">
        <v>0</v>
      </c>
      <c r="G207" s="92">
        <v>0</v>
      </c>
      <c r="H207" s="91">
        <v>4917</v>
      </c>
      <c r="I207" s="67">
        <v>0</v>
      </c>
      <c r="J207" s="20">
        <v>4917</v>
      </c>
      <c r="K207" s="132" t="s">
        <v>621</v>
      </c>
      <c r="L207" s="151">
        <v>0</v>
      </c>
      <c r="M207" s="128">
        <v>29.875</v>
      </c>
      <c r="N207" s="67">
        <v>80</v>
      </c>
      <c r="O207" s="67">
        <v>4997</v>
      </c>
      <c r="P207" s="270">
        <v>1</v>
      </c>
      <c r="Q207" s="71"/>
      <c r="S207" s="163">
        <v>4592</v>
      </c>
      <c r="T207" s="163">
        <v>405</v>
      </c>
      <c r="U207" s="43">
        <v>8.8196864111498255E-2</v>
      </c>
      <c r="V207" s="61"/>
      <c r="AC207" s="36"/>
      <c r="AD207" s="36"/>
      <c r="AE207" s="36"/>
      <c r="AF207" s="19"/>
    </row>
    <row r="208" spans="1:32">
      <c r="A208" s="64" t="s">
        <v>594</v>
      </c>
      <c r="B208" s="63" t="s">
        <v>272</v>
      </c>
      <c r="C208" s="63" t="s">
        <v>273</v>
      </c>
      <c r="D208" s="134">
        <v>0</v>
      </c>
      <c r="E208" s="67">
        <v>0</v>
      </c>
      <c r="F208" s="146">
        <v>0</v>
      </c>
      <c r="G208" s="92">
        <v>0</v>
      </c>
      <c r="H208" s="91">
        <v>0</v>
      </c>
      <c r="I208" s="67">
        <v>0</v>
      </c>
      <c r="J208" s="20">
        <v>0</v>
      </c>
      <c r="K208" s="132" t="s">
        <v>644</v>
      </c>
      <c r="L208" s="151">
        <v>0</v>
      </c>
      <c r="M208" s="128">
        <v>0</v>
      </c>
      <c r="N208" s="67">
        <v>0</v>
      </c>
      <c r="O208" s="67">
        <v>0</v>
      </c>
      <c r="P208" s="270" t="s">
        <v>801</v>
      </c>
      <c r="Q208" s="71"/>
      <c r="S208" s="163">
        <v>0</v>
      </c>
      <c r="T208" s="163">
        <v>0</v>
      </c>
      <c r="U208" s="43">
        <v>0</v>
      </c>
      <c r="V208" s="61"/>
      <c r="AC208" s="36"/>
      <c r="AD208" s="36"/>
      <c r="AE208" s="36"/>
      <c r="AF208" s="19"/>
    </row>
    <row r="209" spans="1:32">
      <c r="A209" s="64" t="s">
        <v>597</v>
      </c>
      <c r="B209" s="63" t="s">
        <v>359</v>
      </c>
      <c r="C209" s="63" t="s">
        <v>360</v>
      </c>
      <c r="D209" s="134">
        <v>59.5</v>
      </c>
      <c r="E209" s="67">
        <v>9793</v>
      </c>
      <c r="F209" s="146">
        <v>0</v>
      </c>
      <c r="G209" s="92">
        <v>0</v>
      </c>
      <c r="H209" s="91">
        <v>9793</v>
      </c>
      <c r="I209" s="67">
        <v>0</v>
      </c>
      <c r="J209" s="20">
        <v>9793</v>
      </c>
      <c r="K209" s="132" t="s">
        <v>621</v>
      </c>
      <c r="L209" s="151">
        <v>0</v>
      </c>
      <c r="M209" s="128">
        <v>59.5</v>
      </c>
      <c r="N209" s="67">
        <v>159</v>
      </c>
      <c r="O209" s="67">
        <v>9952</v>
      </c>
      <c r="P209" s="270">
        <v>1</v>
      </c>
      <c r="Q209" s="71"/>
      <c r="S209" s="163">
        <v>0</v>
      </c>
      <c r="T209" s="163">
        <v>9952</v>
      </c>
      <c r="U209" s="43">
        <v>0</v>
      </c>
      <c r="V209" s="61"/>
      <c r="AC209" s="36"/>
      <c r="AD209" s="36"/>
      <c r="AE209" s="36"/>
      <c r="AF209" s="19"/>
    </row>
    <row r="210" spans="1:32">
      <c r="A210" s="64" t="s">
        <v>594</v>
      </c>
      <c r="B210" s="63" t="s">
        <v>303</v>
      </c>
      <c r="C210" s="63" t="s">
        <v>304</v>
      </c>
      <c r="D210" s="134">
        <v>0</v>
      </c>
      <c r="E210" s="67">
        <v>0</v>
      </c>
      <c r="F210" s="146">
        <v>0</v>
      </c>
      <c r="G210" s="92">
        <v>0</v>
      </c>
      <c r="H210" s="91">
        <v>0</v>
      </c>
      <c r="I210" s="67">
        <v>0</v>
      </c>
      <c r="J210" s="20">
        <v>0</v>
      </c>
      <c r="K210" s="132" t="s">
        <v>644</v>
      </c>
      <c r="L210" s="151">
        <v>0</v>
      </c>
      <c r="M210" s="128">
        <v>0</v>
      </c>
      <c r="N210" s="67">
        <v>0</v>
      </c>
      <c r="O210" s="67">
        <v>0</v>
      </c>
      <c r="P210" s="270" t="s">
        <v>801</v>
      </c>
      <c r="Q210" s="71"/>
      <c r="S210" s="163">
        <v>0</v>
      </c>
      <c r="T210" s="163">
        <v>0</v>
      </c>
      <c r="U210" s="43">
        <v>0</v>
      </c>
      <c r="V210" s="61"/>
      <c r="AC210" s="36"/>
      <c r="AD210" s="36"/>
      <c r="AE210" s="36"/>
      <c r="AF210" s="19"/>
    </row>
    <row r="211" spans="1:32">
      <c r="A211" s="64" t="s">
        <v>596</v>
      </c>
      <c r="B211" s="63" t="s">
        <v>112</v>
      </c>
      <c r="C211" s="63" t="s">
        <v>113</v>
      </c>
      <c r="D211" s="134">
        <v>8.625</v>
      </c>
      <c r="E211" s="67">
        <v>1420</v>
      </c>
      <c r="F211" s="146">
        <v>0</v>
      </c>
      <c r="G211" s="92">
        <v>0</v>
      </c>
      <c r="H211" s="91">
        <v>1420</v>
      </c>
      <c r="I211" s="67">
        <v>0</v>
      </c>
      <c r="J211" s="20">
        <v>1420</v>
      </c>
      <c r="K211" s="132" t="s">
        <v>644</v>
      </c>
      <c r="L211" s="151">
        <v>1420</v>
      </c>
      <c r="M211" s="128">
        <v>0</v>
      </c>
      <c r="N211" s="67">
        <v>0</v>
      </c>
      <c r="O211" s="67">
        <v>0</v>
      </c>
      <c r="P211" s="270" t="s">
        <v>801</v>
      </c>
      <c r="Q211" s="71"/>
      <c r="S211" s="163">
        <v>0</v>
      </c>
      <c r="T211" s="163">
        <v>0</v>
      </c>
      <c r="U211" s="4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39</v>
      </c>
      <c r="C212" s="63" t="s">
        <v>40</v>
      </c>
      <c r="D212" s="134">
        <v>41.625</v>
      </c>
      <c r="E212" s="67">
        <v>6851</v>
      </c>
      <c r="F212" s="146">
        <v>0</v>
      </c>
      <c r="G212" s="92">
        <v>0</v>
      </c>
      <c r="H212" s="91">
        <v>6851</v>
      </c>
      <c r="I212" s="67">
        <v>0</v>
      </c>
      <c r="J212" s="20">
        <v>6851</v>
      </c>
      <c r="K212" s="132" t="s">
        <v>644</v>
      </c>
      <c r="L212" s="151">
        <v>6851</v>
      </c>
      <c r="M212" s="128">
        <v>0</v>
      </c>
      <c r="N212" s="67">
        <v>0</v>
      </c>
      <c r="O212" s="67">
        <v>0</v>
      </c>
      <c r="P212" s="270" t="s">
        <v>801</v>
      </c>
      <c r="Q212" s="71"/>
      <c r="S212" s="163">
        <v>0</v>
      </c>
      <c r="T212" s="163">
        <v>0</v>
      </c>
      <c r="U212" s="43">
        <v>0</v>
      </c>
      <c r="V212" s="61"/>
      <c r="AC212" s="36"/>
      <c r="AD212" s="36"/>
      <c r="AE212" s="36"/>
      <c r="AF212" s="19"/>
    </row>
    <row r="213" spans="1:32">
      <c r="A213" s="64" t="s">
        <v>600</v>
      </c>
      <c r="B213" s="63" t="s">
        <v>171</v>
      </c>
      <c r="C213" s="63" t="s">
        <v>172</v>
      </c>
      <c r="D213" s="134">
        <v>22.25</v>
      </c>
      <c r="E213" s="67">
        <v>3662</v>
      </c>
      <c r="F213" s="146">
        <v>0</v>
      </c>
      <c r="G213" s="92">
        <v>0</v>
      </c>
      <c r="H213" s="91">
        <v>3662</v>
      </c>
      <c r="I213" s="67">
        <v>0</v>
      </c>
      <c r="J213" s="20">
        <v>3662</v>
      </c>
      <c r="K213" s="132" t="s">
        <v>644</v>
      </c>
      <c r="L213" s="151">
        <v>3662</v>
      </c>
      <c r="M213" s="128">
        <v>0</v>
      </c>
      <c r="N213" s="67">
        <v>0</v>
      </c>
      <c r="O213" s="67">
        <v>0</v>
      </c>
      <c r="P213" s="270" t="s">
        <v>801</v>
      </c>
      <c r="Q213" s="71"/>
      <c r="S213" s="163">
        <v>0</v>
      </c>
      <c r="T213" s="163">
        <v>0</v>
      </c>
      <c r="U213" s="43">
        <v>0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502</v>
      </c>
      <c r="C214" s="63" t="s">
        <v>503</v>
      </c>
      <c r="D214" s="134">
        <v>87.5</v>
      </c>
      <c r="E214" s="67">
        <v>14402</v>
      </c>
      <c r="F214" s="146">
        <v>0</v>
      </c>
      <c r="G214" s="92">
        <v>5400</v>
      </c>
      <c r="H214" s="91">
        <v>19802</v>
      </c>
      <c r="I214" s="67">
        <v>0</v>
      </c>
      <c r="J214" s="20">
        <v>14402</v>
      </c>
      <c r="K214" s="132" t="s">
        <v>621</v>
      </c>
      <c r="L214" s="151">
        <v>0</v>
      </c>
      <c r="M214" s="128">
        <v>87.5</v>
      </c>
      <c r="N214" s="67">
        <v>234</v>
      </c>
      <c r="O214" s="67">
        <v>14636</v>
      </c>
      <c r="P214" s="270" t="s">
        <v>801</v>
      </c>
      <c r="Q214" s="71"/>
      <c r="S214" s="163">
        <v>10639</v>
      </c>
      <c r="T214" s="163">
        <v>3997</v>
      </c>
      <c r="U214" s="43">
        <v>0.3756932042485196</v>
      </c>
      <c r="V214" s="61"/>
      <c r="AC214" s="36"/>
      <c r="AD214" s="36"/>
      <c r="AE214" s="36"/>
      <c r="AF214" s="19"/>
    </row>
    <row r="215" spans="1:32">
      <c r="A215" s="64" t="s">
        <v>596</v>
      </c>
      <c r="B215" s="63" t="s">
        <v>21</v>
      </c>
      <c r="C215" s="63" t="s">
        <v>22</v>
      </c>
      <c r="D215" s="134">
        <v>537.25</v>
      </c>
      <c r="E215" s="67">
        <v>88425</v>
      </c>
      <c r="F215" s="146">
        <v>10000</v>
      </c>
      <c r="G215" s="92">
        <v>0</v>
      </c>
      <c r="H215" s="91">
        <v>98425</v>
      </c>
      <c r="I215" s="67">
        <v>0</v>
      </c>
      <c r="J215" s="20">
        <v>88425</v>
      </c>
      <c r="K215" s="132" t="s">
        <v>621</v>
      </c>
      <c r="L215" s="151">
        <v>0</v>
      </c>
      <c r="M215" s="128">
        <v>537.25</v>
      </c>
      <c r="N215" s="67">
        <v>1437</v>
      </c>
      <c r="O215" s="67">
        <v>89862</v>
      </c>
      <c r="P215" s="270" t="s">
        <v>801</v>
      </c>
      <c r="Q215" s="71"/>
      <c r="S215" s="163">
        <v>64972</v>
      </c>
      <c r="T215" s="163">
        <v>24890</v>
      </c>
      <c r="U215" s="43">
        <v>0.38308809948901063</v>
      </c>
      <c r="V215" s="61"/>
      <c r="AC215" s="36"/>
      <c r="AD215" s="36"/>
      <c r="AE215" s="36"/>
      <c r="AF215" s="19"/>
    </row>
    <row r="216" spans="1:32">
      <c r="A216" s="64" t="s">
        <v>597</v>
      </c>
      <c r="B216" s="63" t="s">
        <v>657</v>
      </c>
      <c r="C216" s="63" t="s">
        <v>658</v>
      </c>
      <c r="D216" s="134">
        <v>0</v>
      </c>
      <c r="E216" s="67">
        <v>0</v>
      </c>
      <c r="F216" s="146">
        <v>0</v>
      </c>
      <c r="G216" s="92">
        <v>0</v>
      </c>
      <c r="H216" s="91">
        <v>0</v>
      </c>
      <c r="I216" s="67">
        <v>0</v>
      </c>
      <c r="J216" s="20">
        <v>0</v>
      </c>
      <c r="K216" s="132">
        <v>0</v>
      </c>
      <c r="L216" s="151">
        <v>0</v>
      </c>
      <c r="M216" s="128">
        <v>0</v>
      </c>
      <c r="N216" s="67">
        <v>0</v>
      </c>
      <c r="O216" s="67">
        <v>0</v>
      </c>
      <c r="P216" s="270" t="e">
        <v>#N/A</v>
      </c>
      <c r="Q216" s="71"/>
      <c r="S216" s="163">
        <v>0</v>
      </c>
      <c r="T216" s="163">
        <v>0</v>
      </c>
      <c r="U216" s="43">
        <v>0</v>
      </c>
      <c r="V216" s="61"/>
      <c r="AC216" s="36"/>
      <c r="AD216" s="36"/>
      <c r="AE216" s="36"/>
      <c r="AF216" s="19"/>
    </row>
    <row r="217" spans="1:32">
      <c r="A217" s="64" t="s">
        <v>603</v>
      </c>
      <c r="B217" s="63" t="s">
        <v>523</v>
      </c>
      <c r="C217" s="63" t="s">
        <v>524</v>
      </c>
      <c r="D217" s="134">
        <v>61.875</v>
      </c>
      <c r="E217" s="67">
        <v>10184</v>
      </c>
      <c r="F217" s="146">
        <v>25000</v>
      </c>
      <c r="G217" s="92">
        <v>0</v>
      </c>
      <c r="H217" s="91">
        <v>35184</v>
      </c>
      <c r="I217" s="67">
        <v>0</v>
      </c>
      <c r="J217" s="20">
        <v>10184</v>
      </c>
      <c r="K217" s="132" t="s">
        <v>621</v>
      </c>
      <c r="L217" s="151">
        <v>0</v>
      </c>
      <c r="M217" s="128">
        <v>61.875</v>
      </c>
      <c r="N217" s="67">
        <v>166</v>
      </c>
      <c r="O217" s="67">
        <v>10350</v>
      </c>
      <c r="P217" s="270" t="s">
        <v>801</v>
      </c>
      <c r="Q217" s="71"/>
      <c r="S217" s="163">
        <v>0</v>
      </c>
      <c r="T217" s="163">
        <v>10350</v>
      </c>
      <c r="U217" s="43">
        <v>0</v>
      </c>
      <c r="V217" s="61"/>
      <c r="AC217" s="36"/>
      <c r="AD217" s="36"/>
      <c r="AE217" s="36"/>
      <c r="AF217" s="19"/>
    </row>
    <row r="218" spans="1:32">
      <c r="A218" s="64" t="s">
        <v>597</v>
      </c>
      <c r="B218" s="63" t="s">
        <v>343</v>
      </c>
      <c r="C218" s="63" t="s">
        <v>344</v>
      </c>
      <c r="D218" s="134">
        <v>491.375</v>
      </c>
      <c r="E218" s="67">
        <v>80875</v>
      </c>
      <c r="F218" s="146">
        <v>25000</v>
      </c>
      <c r="G218" s="92">
        <v>0</v>
      </c>
      <c r="H218" s="91">
        <v>105875</v>
      </c>
      <c r="I218" s="67">
        <v>0</v>
      </c>
      <c r="J218" s="20">
        <v>80875</v>
      </c>
      <c r="K218" s="132" t="s">
        <v>621</v>
      </c>
      <c r="L218" s="151">
        <v>0</v>
      </c>
      <c r="M218" s="128">
        <v>491.375</v>
      </c>
      <c r="N218" s="67">
        <v>1314</v>
      </c>
      <c r="O218" s="67">
        <v>82189</v>
      </c>
      <c r="P218" s="270" t="s">
        <v>801</v>
      </c>
      <c r="Q218" s="71"/>
      <c r="S218" s="163">
        <v>46695</v>
      </c>
      <c r="T218" s="163">
        <v>35494</v>
      </c>
      <c r="U218" s="43">
        <v>0.76012421030088873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163</v>
      </c>
      <c r="C219" s="63" t="s">
        <v>164</v>
      </c>
      <c r="D219" s="134">
        <v>0</v>
      </c>
      <c r="E219" s="67">
        <v>0</v>
      </c>
      <c r="F219" s="146">
        <v>0</v>
      </c>
      <c r="G219" s="92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P219" s="270" t="s">
        <v>801</v>
      </c>
      <c r="Q219" s="71"/>
      <c r="S219" s="163">
        <v>0</v>
      </c>
      <c r="T219" s="163">
        <v>0</v>
      </c>
      <c r="U219" s="4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167</v>
      </c>
      <c r="C220" s="63" t="s">
        <v>168</v>
      </c>
      <c r="D220" s="134">
        <v>0</v>
      </c>
      <c r="E220" s="67">
        <v>0</v>
      </c>
      <c r="F220" s="146">
        <v>0</v>
      </c>
      <c r="G220" s="92">
        <v>0</v>
      </c>
      <c r="H220" s="91">
        <v>0</v>
      </c>
      <c r="I220" s="67">
        <v>0</v>
      </c>
      <c r="J220" s="20">
        <v>0</v>
      </c>
      <c r="K220" s="132" t="s">
        <v>644</v>
      </c>
      <c r="L220" s="151">
        <v>0</v>
      </c>
      <c r="M220" s="128">
        <v>0</v>
      </c>
      <c r="N220" s="67">
        <v>0</v>
      </c>
      <c r="O220" s="67">
        <v>0</v>
      </c>
      <c r="P220" s="270" t="s">
        <v>801</v>
      </c>
      <c r="Q220" s="71"/>
      <c r="S220" s="163">
        <v>0</v>
      </c>
      <c r="T220" s="163">
        <v>0</v>
      </c>
      <c r="U220" s="43">
        <v>0</v>
      </c>
      <c r="V220" s="61"/>
      <c r="AC220" s="36"/>
      <c r="AD220" s="36"/>
      <c r="AE220" s="36"/>
      <c r="AF220" s="19"/>
    </row>
    <row r="221" spans="1:32">
      <c r="A221" s="64" t="s">
        <v>600</v>
      </c>
      <c r="B221" s="63" t="s">
        <v>47</v>
      </c>
      <c r="C221" s="63" t="s">
        <v>48</v>
      </c>
      <c r="D221" s="134">
        <v>125.375</v>
      </c>
      <c r="E221" s="67">
        <v>20635</v>
      </c>
      <c r="F221" s="146">
        <v>0</v>
      </c>
      <c r="G221" s="92">
        <v>0</v>
      </c>
      <c r="H221" s="91">
        <v>20635</v>
      </c>
      <c r="I221" s="67">
        <v>0</v>
      </c>
      <c r="J221" s="20">
        <v>20635</v>
      </c>
      <c r="K221" s="132" t="s">
        <v>621</v>
      </c>
      <c r="L221" s="151">
        <v>0</v>
      </c>
      <c r="M221" s="128">
        <v>125.375</v>
      </c>
      <c r="N221" s="67">
        <v>335</v>
      </c>
      <c r="O221" s="67">
        <v>20970</v>
      </c>
      <c r="P221" s="270" t="s">
        <v>801</v>
      </c>
      <c r="Q221" s="71"/>
      <c r="S221" s="163">
        <v>15762</v>
      </c>
      <c r="T221" s="163">
        <v>5208</v>
      </c>
      <c r="U221" s="43">
        <v>0.33041492196421773</v>
      </c>
      <c r="V221" s="61"/>
      <c r="AC221" s="36"/>
      <c r="AD221" s="36"/>
      <c r="AE221" s="36"/>
      <c r="AF221" s="19"/>
    </row>
    <row r="222" spans="1:32">
      <c r="A222" s="64" t="s">
        <v>594</v>
      </c>
      <c r="B222" s="63" t="s">
        <v>145</v>
      </c>
      <c r="C222" s="63" t="s">
        <v>146</v>
      </c>
      <c r="D222" s="134">
        <v>51.625</v>
      </c>
      <c r="E222" s="67">
        <v>8497</v>
      </c>
      <c r="F222" s="146">
        <v>0</v>
      </c>
      <c r="G222" s="92">
        <v>0</v>
      </c>
      <c r="H222" s="91">
        <v>8497</v>
      </c>
      <c r="I222" s="67">
        <v>0</v>
      </c>
      <c r="J222" s="20">
        <v>8497</v>
      </c>
      <c r="K222" s="132" t="s">
        <v>621</v>
      </c>
      <c r="L222" s="151">
        <v>0</v>
      </c>
      <c r="M222" s="128">
        <v>51.625</v>
      </c>
      <c r="N222" s="67">
        <v>138</v>
      </c>
      <c r="O222" s="67">
        <v>8635</v>
      </c>
      <c r="P222" s="270">
        <v>1</v>
      </c>
      <c r="Q222" s="71"/>
      <c r="S222" s="163">
        <v>0</v>
      </c>
      <c r="T222" s="163">
        <v>8635</v>
      </c>
      <c r="U222" s="43">
        <v>0</v>
      </c>
      <c r="V222" s="61"/>
      <c r="AC222" s="36"/>
      <c r="AD222" s="36"/>
      <c r="AE222" s="36"/>
      <c r="AF222" s="19"/>
    </row>
    <row r="223" spans="1:32">
      <c r="A223" s="64" t="s">
        <v>601</v>
      </c>
      <c r="B223" s="63" t="s">
        <v>116</v>
      </c>
      <c r="C223" s="63" t="s">
        <v>117</v>
      </c>
      <c r="D223" s="134">
        <v>842.875</v>
      </c>
      <c r="E223" s="67">
        <v>138728</v>
      </c>
      <c r="F223" s="146">
        <v>0</v>
      </c>
      <c r="G223" s="92">
        <v>0</v>
      </c>
      <c r="H223" s="91">
        <v>138728</v>
      </c>
      <c r="I223" s="67">
        <v>0</v>
      </c>
      <c r="J223" s="20">
        <v>138728</v>
      </c>
      <c r="K223" s="132" t="s">
        <v>621</v>
      </c>
      <c r="L223" s="151">
        <v>0</v>
      </c>
      <c r="M223" s="128">
        <v>842.875</v>
      </c>
      <c r="N223" s="67">
        <v>2255</v>
      </c>
      <c r="O223" s="67">
        <v>140983</v>
      </c>
      <c r="P223" s="270" t="s">
        <v>801</v>
      </c>
      <c r="Q223" s="71"/>
      <c r="S223" s="163">
        <v>112349</v>
      </c>
      <c r="T223" s="163">
        <v>28634</v>
      </c>
      <c r="U223" s="43">
        <v>0.25486653196735176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480</v>
      </c>
      <c r="C224" s="63" t="s">
        <v>481</v>
      </c>
      <c r="D224" s="134">
        <v>0</v>
      </c>
      <c r="E224" s="67">
        <v>0</v>
      </c>
      <c r="F224" s="146">
        <v>0</v>
      </c>
      <c r="G224" s="92">
        <v>0</v>
      </c>
      <c r="H224" s="91">
        <v>0</v>
      </c>
      <c r="I224" s="67">
        <v>0</v>
      </c>
      <c r="J224" s="20">
        <v>0</v>
      </c>
      <c r="K224" s="132" t="s">
        <v>644</v>
      </c>
      <c r="L224" s="151">
        <v>0</v>
      </c>
      <c r="M224" s="128">
        <v>0</v>
      </c>
      <c r="N224" s="67">
        <v>0</v>
      </c>
      <c r="O224" s="67">
        <v>0</v>
      </c>
      <c r="P224" s="270" t="s">
        <v>801</v>
      </c>
      <c r="Q224" s="71"/>
      <c r="S224" s="163">
        <v>0</v>
      </c>
      <c r="T224" s="163">
        <v>0</v>
      </c>
      <c r="U224" s="43">
        <v>0</v>
      </c>
      <c r="V224" s="61"/>
      <c r="AC224" s="36"/>
      <c r="AD224" s="36"/>
      <c r="AE224" s="36"/>
      <c r="AF224" s="19"/>
    </row>
    <row r="225" spans="1:32">
      <c r="A225" s="64" t="s">
        <v>594</v>
      </c>
      <c r="B225" s="63" t="s">
        <v>327</v>
      </c>
      <c r="C225" s="63" t="s">
        <v>328</v>
      </c>
      <c r="D225" s="134">
        <v>55.375</v>
      </c>
      <c r="E225" s="67">
        <v>9114</v>
      </c>
      <c r="F225" s="146">
        <v>0</v>
      </c>
      <c r="G225" s="92">
        <v>0</v>
      </c>
      <c r="H225" s="91">
        <v>9114</v>
      </c>
      <c r="I225" s="67">
        <v>0</v>
      </c>
      <c r="J225" s="20">
        <v>9114</v>
      </c>
      <c r="K225" s="132" t="s">
        <v>621</v>
      </c>
      <c r="L225" s="151">
        <v>0</v>
      </c>
      <c r="M225" s="128">
        <v>55.375</v>
      </c>
      <c r="N225" s="67">
        <v>148</v>
      </c>
      <c r="O225" s="67">
        <v>9262</v>
      </c>
      <c r="P225" s="270">
        <v>1</v>
      </c>
      <c r="Q225" s="71"/>
      <c r="S225" s="163">
        <v>6290</v>
      </c>
      <c r="T225" s="163">
        <v>2972</v>
      </c>
      <c r="U225" s="43">
        <v>0.47249602543720193</v>
      </c>
      <c r="V225" s="61"/>
      <c r="AC225" s="36"/>
      <c r="AD225" s="36"/>
      <c r="AE225" s="36"/>
      <c r="AF225" s="19"/>
    </row>
    <row r="226" spans="1:32">
      <c r="A226" s="64" t="s">
        <v>603</v>
      </c>
      <c r="B226" s="63" t="s">
        <v>282</v>
      </c>
      <c r="C226" s="63" t="s">
        <v>665</v>
      </c>
      <c r="D226" s="134">
        <v>0</v>
      </c>
      <c r="E226" s="67">
        <v>0</v>
      </c>
      <c r="F226" s="146">
        <v>0</v>
      </c>
      <c r="G226" s="92">
        <v>0</v>
      </c>
      <c r="H226" s="91">
        <v>0</v>
      </c>
      <c r="I226" s="67">
        <v>0</v>
      </c>
      <c r="J226" s="20">
        <v>0</v>
      </c>
      <c r="K226" s="132" t="s">
        <v>644</v>
      </c>
      <c r="L226" s="151">
        <v>0</v>
      </c>
      <c r="M226" s="128">
        <v>0</v>
      </c>
      <c r="N226" s="67">
        <v>0</v>
      </c>
      <c r="O226" s="67">
        <v>0</v>
      </c>
      <c r="P226" s="270" t="s">
        <v>801</v>
      </c>
      <c r="Q226" s="71"/>
      <c r="S226" s="163">
        <v>0</v>
      </c>
      <c r="T226" s="163">
        <v>0</v>
      </c>
      <c r="U226" s="43">
        <v>0</v>
      </c>
      <c r="V226" s="61"/>
      <c r="AC226" s="36"/>
      <c r="AD226" s="36"/>
      <c r="AE226" s="36"/>
      <c r="AF226" s="19"/>
    </row>
    <row r="227" spans="1:32">
      <c r="A227" s="64" t="s">
        <v>597</v>
      </c>
      <c r="B227" s="63" t="s">
        <v>185</v>
      </c>
      <c r="C227" s="63" t="s">
        <v>186</v>
      </c>
      <c r="D227" s="134">
        <v>1865.625</v>
      </c>
      <c r="E227" s="67">
        <v>307061</v>
      </c>
      <c r="F227" s="146">
        <v>50000</v>
      </c>
      <c r="G227" s="92">
        <v>0</v>
      </c>
      <c r="H227" s="91">
        <v>357061</v>
      </c>
      <c r="I227" s="67">
        <v>0</v>
      </c>
      <c r="J227" s="20">
        <v>307061</v>
      </c>
      <c r="K227" s="132" t="s">
        <v>621</v>
      </c>
      <c r="L227" s="151">
        <v>0</v>
      </c>
      <c r="M227" s="128">
        <v>1865.625</v>
      </c>
      <c r="N227" s="67">
        <v>4990</v>
      </c>
      <c r="O227" s="67">
        <v>312051</v>
      </c>
      <c r="P227" s="270" t="s">
        <v>801</v>
      </c>
      <c r="Q227" s="71"/>
      <c r="S227" s="163">
        <v>199569</v>
      </c>
      <c r="T227" s="163">
        <v>112482</v>
      </c>
      <c r="U227" s="43">
        <v>0.5636246110367843</v>
      </c>
      <c r="V227" s="61"/>
      <c r="AC227" s="36"/>
      <c r="AD227" s="36"/>
      <c r="AE227" s="36"/>
      <c r="AF227" s="19"/>
    </row>
    <row r="228" spans="1:32">
      <c r="A228" s="64" t="s">
        <v>603</v>
      </c>
      <c r="B228" s="63" t="s">
        <v>102</v>
      </c>
      <c r="C228" s="63" t="s">
        <v>103</v>
      </c>
      <c r="D228" s="134">
        <v>0</v>
      </c>
      <c r="E228" s="67">
        <v>0</v>
      </c>
      <c r="F228" s="146">
        <v>0</v>
      </c>
      <c r="G228" s="92">
        <v>0</v>
      </c>
      <c r="H228" s="91">
        <v>0</v>
      </c>
      <c r="I228" s="67">
        <v>0</v>
      </c>
      <c r="J228" s="20">
        <v>0</v>
      </c>
      <c r="K228" s="132" t="s">
        <v>644</v>
      </c>
      <c r="L228" s="151">
        <v>0</v>
      </c>
      <c r="M228" s="128">
        <v>0</v>
      </c>
      <c r="N228" s="67">
        <v>0</v>
      </c>
      <c r="O228" s="67">
        <v>0</v>
      </c>
      <c r="P228" s="270" t="s">
        <v>801</v>
      </c>
      <c r="Q228" s="71"/>
      <c r="S228" s="163">
        <v>0</v>
      </c>
      <c r="T228" s="163">
        <v>0</v>
      </c>
      <c r="U228" s="43">
        <v>0</v>
      </c>
      <c r="V228" s="61"/>
      <c r="AC228" s="36"/>
      <c r="AD228" s="36"/>
      <c r="AE228" s="36"/>
      <c r="AF228" s="19"/>
    </row>
    <row r="229" spans="1:32">
      <c r="A229" s="64" t="s">
        <v>596</v>
      </c>
      <c r="B229" s="63" t="s">
        <v>23</v>
      </c>
      <c r="C229" s="63" t="s">
        <v>24</v>
      </c>
      <c r="D229" s="134">
        <v>219.25</v>
      </c>
      <c r="E229" s="67">
        <v>36086</v>
      </c>
      <c r="F229" s="146">
        <v>0</v>
      </c>
      <c r="G229" s="92">
        <v>0</v>
      </c>
      <c r="H229" s="91">
        <v>36086</v>
      </c>
      <c r="I229" s="67">
        <v>0</v>
      </c>
      <c r="J229" s="20">
        <v>36086</v>
      </c>
      <c r="K229" s="132" t="s">
        <v>621</v>
      </c>
      <c r="L229" s="151">
        <v>0</v>
      </c>
      <c r="M229" s="128">
        <v>219.25</v>
      </c>
      <c r="N229" s="67">
        <v>586</v>
      </c>
      <c r="O229" s="67">
        <v>36672</v>
      </c>
      <c r="P229" s="270" t="s">
        <v>801</v>
      </c>
      <c r="Q229" s="71"/>
      <c r="S229" s="163">
        <v>31600</v>
      </c>
      <c r="T229" s="163">
        <v>5072</v>
      </c>
      <c r="U229" s="43">
        <v>0.16050632911392404</v>
      </c>
      <c r="V229" s="61"/>
      <c r="AC229" s="36"/>
      <c r="AD229" s="36"/>
      <c r="AE229" s="36"/>
      <c r="AF229" s="19"/>
    </row>
    <row r="230" spans="1:32">
      <c r="A230" s="64" t="s">
        <v>599</v>
      </c>
      <c r="B230" s="63" t="s">
        <v>64</v>
      </c>
      <c r="C230" s="63" t="s">
        <v>65</v>
      </c>
      <c r="D230" s="134">
        <v>62.5</v>
      </c>
      <c r="E230" s="67">
        <v>10287</v>
      </c>
      <c r="F230" s="146">
        <v>0</v>
      </c>
      <c r="G230" s="92">
        <v>0</v>
      </c>
      <c r="H230" s="91">
        <v>10287</v>
      </c>
      <c r="I230" s="67">
        <v>0</v>
      </c>
      <c r="J230" s="20">
        <v>10287</v>
      </c>
      <c r="K230" s="132" t="s">
        <v>621</v>
      </c>
      <c r="L230" s="151">
        <v>0</v>
      </c>
      <c r="M230" s="128">
        <v>62.5</v>
      </c>
      <c r="N230" s="67">
        <v>167</v>
      </c>
      <c r="O230" s="67">
        <v>10454</v>
      </c>
      <c r="P230" s="270" t="s">
        <v>801</v>
      </c>
      <c r="Q230" s="71"/>
      <c r="S230" s="163">
        <v>5789</v>
      </c>
      <c r="T230" s="163">
        <v>4665</v>
      </c>
      <c r="U230" s="43">
        <v>0.80583865952668854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8</v>
      </c>
      <c r="C231" s="63" t="s">
        <v>9</v>
      </c>
      <c r="D231" s="134">
        <v>0</v>
      </c>
      <c r="E231" s="67">
        <v>0</v>
      </c>
      <c r="F231" s="146">
        <v>0</v>
      </c>
      <c r="G231" s="92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P231" s="270" t="s">
        <v>801</v>
      </c>
      <c r="Q231" s="71"/>
      <c r="S231" s="163">
        <v>0</v>
      </c>
      <c r="T231" s="163">
        <v>0</v>
      </c>
      <c r="U231" s="43">
        <v>0</v>
      </c>
      <c r="V231" s="61"/>
      <c r="AC231" s="36"/>
      <c r="AD231" s="36"/>
      <c r="AE231" s="36"/>
      <c r="AF231" s="19"/>
    </row>
    <row r="232" spans="1:32">
      <c r="A232" s="64" t="s">
        <v>603</v>
      </c>
      <c r="B232" s="63" t="s">
        <v>446</v>
      </c>
      <c r="C232" s="63" t="s">
        <v>447</v>
      </c>
      <c r="D232" s="134">
        <v>0</v>
      </c>
      <c r="E232" s="67">
        <v>0</v>
      </c>
      <c r="F232" s="146">
        <v>0</v>
      </c>
      <c r="G232" s="92">
        <v>0</v>
      </c>
      <c r="H232" s="91">
        <v>0</v>
      </c>
      <c r="I232" s="67">
        <v>0</v>
      </c>
      <c r="J232" s="20">
        <v>0</v>
      </c>
      <c r="K232" s="132" t="s">
        <v>644</v>
      </c>
      <c r="L232" s="151">
        <v>0</v>
      </c>
      <c r="M232" s="128">
        <v>0</v>
      </c>
      <c r="N232" s="67">
        <v>0</v>
      </c>
      <c r="O232" s="67">
        <v>0</v>
      </c>
      <c r="P232" s="270" t="s">
        <v>801</v>
      </c>
      <c r="Q232" s="71"/>
      <c r="S232" s="163">
        <v>0</v>
      </c>
      <c r="T232" s="163">
        <v>0</v>
      </c>
      <c r="U232" s="43">
        <v>0</v>
      </c>
      <c r="V232" s="61"/>
      <c r="AC232" s="36"/>
      <c r="AD232" s="36"/>
      <c r="AE232" s="36"/>
      <c r="AF232" s="19"/>
    </row>
    <row r="233" spans="1:32">
      <c r="A233" s="64" t="s">
        <v>597</v>
      </c>
      <c r="B233" s="63" t="s">
        <v>193</v>
      </c>
      <c r="C233" s="63" t="s">
        <v>194</v>
      </c>
      <c r="D233" s="134">
        <v>61.75</v>
      </c>
      <c r="E233" s="67">
        <v>10163</v>
      </c>
      <c r="F233" s="146">
        <v>0</v>
      </c>
      <c r="G233" s="92">
        <v>0</v>
      </c>
      <c r="H233" s="91">
        <v>10163</v>
      </c>
      <c r="I233" s="67">
        <v>0</v>
      </c>
      <c r="J233" s="20">
        <v>10163</v>
      </c>
      <c r="K233" s="132" t="s">
        <v>621</v>
      </c>
      <c r="L233" s="151">
        <v>0</v>
      </c>
      <c r="M233" s="128">
        <v>61.75</v>
      </c>
      <c r="N233" s="67">
        <v>165</v>
      </c>
      <c r="O233" s="67">
        <v>10328</v>
      </c>
      <c r="P233" s="270" t="s">
        <v>801</v>
      </c>
      <c r="Q233" s="71"/>
      <c r="S233" s="163">
        <v>0</v>
      </c>
      <c r="T233" s="163">
        <v>10328</v>
      </c>
      <c r="U233" s="43">
        <v>0</v>
      </c>
      <c r="V233" s="61"/>
      <c r="AC233" s="36"/>
      <c r="AD233" s="36"/>
      <c r="AE233" s="36"/>
      <c r="AF233" s="19"/>
    </row>
    <row r="234" spans="1:32">
      <c r="A234" s="64" t="s">
        <v>594</v>
      </c>
      <c r="B234" s="63" t="s">
        <v>484</v>
      </c>
      <c r="C234" s="63" t="s">
        <v>485</v>
      </c>
      <c r="D234" s="134">
        <v>105.75</v>
      </c>
      <c r="E234" s="67">
        <v>17405</v>
      </c>
      <c r="F234" s="146">
        <v>0</v>
      </c>
      <c r="G234" s="92">
        <v>0</v>
      </c>
      <c r="H234" s="91">
        <v>17405</v>
      </c>
      <c r="I234" s="67">
        <v>0</v>
      </c>
      <c r="J234" s="20">
        <v>17405</v>
      </c>
      <c r="K234" s="132" t="s">
        <v>621</v>
      </c>
      <c r="L234" s="151">
        <v>0</v>
      </c>
      <c r="M234" s="128">
        <v>105.75</v>
      </c>
      <c r="N234" s="67">
        <v>283</v>
      </c>
      <c r="O234" s="67">
        <v>17688</v>
      </c>
      <c r="P234" s="270" t="s">
        <v>801</v>
      </c>
      <c r="Q234" s="71"/>
      <c r="S234" s="163">
        <v>12231</v>
      </c>
      <c r="T234" s="163">
        <v>5457</v>
      </c>
      <c r="U234" s="43">
        <v>0.44616139318126075</v>
      </c>
      <c r="V234" s="61"/>
      <c r="AC234" s="36"/>
      <c r="AD234" s="36"/>
      <c r="AE234" s="36"/>
      <c r="AF234" s="19"/>
    </row>
    <row r="235" spans="1:32">
      <c r="A235" s="64" t="s">
        <v>599</v>
      </c>
      <c r="B235" s="63" t="s">
        <v>244</v>
      </c>
      <c r="C235" s="63" t="s">
        <v>245</v>
      </c>
      <c r="D235" s="134">
        <v>11.75</v>
      </c>
      <c r="E235" s="67">
        <v>1934</v>
      </c>
      <c r="F235" s="146">
        <v>0</v>
      </c>
      <c r="G235" s="92">
        <v>0</v>
      </c>
      <c r="H235" s="91">
        <v>1934</v>
      </c>
      <c r="I235" s="67">
        <v>0</v>
      </c>
      <c r="J235" s="20">
        <v>1934</v>
      </c>
      <c r="K235" s="132" t="s">
        <v>644</v>
      </c>
      <c r="L235" s="151">
        <v>1934</v>
      </c>
      <c r="M235" s="128">
        <v>0</v>
      </c>
      <c r="N235" s="67">
        <v>0</v>
      </c>
      <c r="O235" s="67">
        <v>0</v>
      </c>
      <c r="P235" s="270" t="s">
        <v>801</v>
      </c>
      <c r="Q235" s="71"/>
      <c r="S235" s="163">
        <v>0</v>
      </c>
      <c r="T235" s="163">
        <v>0</v>
      </c>
      <c r="U235" s="43">
        <v>0</v>
      </c>
      <c r="V235" s="61"/>
      <c r="AC235" s="36"/>
      <c r="AD235" s="36"/>
      <c r="AE235" s="36"/>
      <c r="AF235" s="19"/>
    </row>
    <row r="236" spans="1:32">
      <c r="A236" s="64" t="s">
        <v>603</v>
      </c>
      <c r="B236" s="63" t="s">
        <v>537</v>
      </c>
      <c r="C236" s="63" t="s">
        <v>538</v>
      </c>
      <c r="D236" s="134">
        <v>0</v>
      </c>
      <c r="E236" s="67">
        <v>0</v>
      </c>
      <c r="F236" s="146">
        <v>0</v>
      </c>
      <c r="G236" s="92">
        <v>0</v>
      </c>
      <c r="H236" s="91">
        <v>0</v>
      </c>
      <c r="I236" s="67">
        <v>0</v>
      </c>
      <c r="J236" s="20">
        <v>0</v>
      </c>
      <c r="K236" s="132" t="s">
        <v>644</v>
      </c>
      <c r="L236" s="151">
        <v>0</v>
      </c>
      <c r="M236" s="128">
        <v>0</v>
      </c>
      <c r="N236" s="67">
        <v>0</v>
      </c>
      <c r="O236" s="67">
        <v>0</v>
      </c>
      <c r="P236" s="270" t="s">
        <v>801</v>
      </c>
      <c r="Q236" s="71"/>
      <c r="S236" s="163">
        <v>0</v>
      </c>
      <c r="T236" s="163">
        <v>0</v>
      </c>
      <c r="U236" s="43">
        <v>0</v>
      </c>
      <c r="V236" s="61"/>
      <c r="AC236" s="36"/>
      <c r="AD236" s="36"/>
      <c r="AE236" s="36"/>
      <c r="AF236" s="19"/>
    </row>
    <row r="237" spans="1:32">
      <c r="A237" s="64" t="s">
        <v>605</v>
      </c>
      <c r="B237" s="63" t="s">
        <v>123</v>
      </c>
      <c r="C237" s="63" t="s">
        <v>124</v>
      </c>
      <c r="D237" s="134">
        <v>581</v>
      </c>
      <c r="E237" s="67">
        <v>95626</v>
      </c>
      <c r="F237" s="146">
        <v>10000</v>
      </c>
      <c r="G237" s="92">
        <v>0</v>
      </c>
      <c r="H237" s="91">
        <v>105626</v>
      </c>
      <c r="I237" s="67">
        <v>0</v>
      </c>
      <c r="J237" s="20">
        <v>95626</v>
      </c>
      <c r="K237" s="132" t="s">
        <v>621</v>
      </c>
      <c r="L237" s="151">
        <v>0</v>
      </c>
      <c r="M237" s="128">
        <v>581</v>
      </c>
      <c r="N237" s="67">
        <v>1554</v>
      </c>
      <c r="O237" s="67">
        <v>97180</v>
      </c>
      <c r="P237" s="270" t="s">
        <v>801</v>
      </c>
      <c r="Q237" s="71"/>
      <c r="S237" s="163">
        <v>73097</v>
      </c>
      <c r="T237" s="163">
        <v>24083</v>
      </c>
      <c r="U237" s="43">
        <v>0.32946632556739675</v>
      </c>
      <c r="V237" s="61"/>
      <c r="AC237" s="36"/>
      <c r="AD237" s="36"/>
      <c r="AE237" s="36"/>
      <c r="AF237" s="19"/>
    </row>
    <row r="238" spans="1:32">
      <c r="A238" s="64" t="s">
        <v>595</v>
      </c>
      <c r="B238" s="63" t="s">
        <v>375</v>
      </c>
      <c r="C238" s="63" t="s">
        <v>614</v>
      </c>
      <c r="D238" s="134">
        <v>27.875</v>
      </c>
      <c r="E238" s="67">
        <v>4588</v>
      </c>
      <c r="F238" s="146">
        <v>0</v>
      </c>
      <c r="G238" s="92">
        <v>0</v>
      </c>
      <c r="H238" s="91">
        <v>4588</v>
      </c>
      <c r="I238" s="67">
        <v>0</v>
      </c>
      <c r="J238" s="20">
        <v>4588</v>
      </c>
      <c r="K238" s="132" t="s">
        <v>644</v>
      </c>
      <c r="L238" s="151">
        <v>4588</v>
      </c>
      <c r="M238" s="128">
        <v>0</v>
      </c>
      <c r="N238" s="67">
        <v>0</v>
      </c>
      <c r="O238" s="67">
        <v>0</v>
      </c>
      <c r="P238" s="270" t="s">
        <v>801</v>
      </c>
      <c r="Q238" s="73"/>
      <c r="S238" s="163">
        <v>0</v>
      </c>
      <c r="T238" s="163">
        <v>0</v>
      </c>
      <c r="U238" s="43">
        <v>0</v>
      </c>
      <c r="V238" s="61"/>
      <c r="AC238" s="36"/>
      <c r="AD238" s="36"/>
      <c r="AE238" s="36"/>
      <c r="AF238" s="19"/>
    </row>
    <row r="239" spans="1:32">
      <c r="A239" s="64" t="s">
        <v>594</v>
      </c>
      <c r="B239" s="63" t="s">
        <v>149</v>
      </c>
      <c r="C239" s="63" t="s">
        <v>150</v>
      </c>
      <c r="D239" s="134">
        <v>0</v>
      </c>
      <c r="E239" s="67">
        <v>0</v>
      </c>
      <c r="F239" s="146">
        <v>0</v>
      </c>
      <c r="G239" s="92">
        <v>0</v>
      </c>
      <c r="H239" s="91">
        <v>0</v>
      </c>
      <c r="I239" s="67">
        <v>0</v>
      </c>
      <c r="J239" s="20">
        <v>0</v>
      </c>
      <c r="K239" s="132" t="s">
        <v>644</v>
      </c>
      <c r="L239" s="151">
        <v>0</v>
      </c>
      <c r="M239" s="128">
        <v>0</v>
      </c>
      <c r="N239" s="67">
        <v>0</v>
      </c>
      <c r="O239" s="67">
        <v>0</v>
      </c>
      <c r="P239" s="270" t="s">
        <v>801</v>
      </c>
      <c r="Q239" s="71"/>
      <c r="S239" s="163">
        <v>0</v>
      </c>
      <c r="T239" s="163">
        <v>0</v>
      </c>
      <c r="U239" s="43">
        <v>0</v>
      </c>
      <c r="V239" s="61"/>
      <c r="AC239" s="36"/>
      <c r="AD239" s="36"/>
      <c r="AE239" s="36"/>
      <c r="AF239" s="19"/>
    </row>
    <row r="240" spans="1:32">
      <c r="A240" s="64" t="s">
        <v>597</v>
      </c>
      <c r="B240" s="63" t="s">
        <v>173</v>
      </c>
      <c r="C240" s="63" t="s">
        <v>174</v>
      </c>
      <c r="D240" s="134">
        <v>5137.5</v>
      </c>
      <c r="E240" s="67">
        <v>845576</v>
      </c>
      <c r="F240" s="146">
        <v>0</v>
      </c>
      <c r="G240" s="92">
        <v>0</v>
      </c>
      <c r="H240" s="91">
        <v>845576</v>
      </c>
      <c r="I240" s="67">
        <v>0</v>
      </c>
      <c r="J240" s="20">
        <v>845576</v>
      </c>
      <c r="K240" s="132" t="s">
        <v>621</v>
      </c>
      <c r="L240" s="151">
        <v>0</v>
      </c>
      <c r="M240" s="128">
        <v>5137.5</v>
      </c>
      <c r="N240" s="67">
        <v>13742</v>
      </c>
      <c r="O240" s="303">
        <v>859319</v>
      </c>
      <c r="P240" s="270" t="s">
        <v>801</v>
      </c>
      <c r="Q240" s="71"/>
      <c r="S240" s="163">
        <v>644561</v>
      </c>
      <c r="T240" s="163">
        <v>214758</v>
      </c>
      <c r="U240" s="43">
        <v>0.33318491190127852</v>
      </c>
      <c r="V240" s="61"/>
      <c r="AC240" s="36"/>
      <c r="AD240" s="36"/>
      <c r="AE240" s="36"/>
      <c r="AF240" s="19"/>
    </row>
    <row r="241" spans="1:32">
      <c r="A241" s="64" t="s">
        <v>595</v>
      </c>
      <c r="B241" s="63" t="s">
        <v>379</v>
      </c>
      <c r="C241" s="63" t="s">
        <v>615</v>
      </c>
      <c r="D241" s="134">
        <v>224.75</v>
      </c>
      <c r="E241" s="67">
        <v>36991</v>
      </c>
      <c r="F241" s="146">
        <v>0</v>
      </c>
      <c r="G241" s="92">
        <v>0</v>
      </c>
      <c r="H241" s="91">
        <v>36991</v>
      </c>
      <c r="I241" s="67">
        <v>0</v>
      </c>
      <c r="J241" s="20">
        <v>36991</v>
      </c>
      <c r="K241" s="132" t="s">
        <v>621</v>
      </c>
      <c r="L241" s="151">
        <v>0</v>
      </c>
      <c r="M241" s="128">
        <v>224.75</v>
      </c>
      <c r="N241" s="67">
        <v>601</v>
      </c>
      <c r="O241" s="67">
        <v>37592</v>
      </c>
      <c r="P241" s="270" t="s">
        <v>801</v>
      </c>
      <c r="Q241" s="71"/>
      <c r="S241" s="163">
        <v>27371</v>
      </c>
      <c r="T241" s="163">
        <v>10221</v>
      </c>
      <c r="U241" s="43">
        <v>0.37342442731358005</v>
      </c>
      <c r="V241" s="61"/>
      <c r="AC241" s="36"/>
      <c r="AD241" s="36"/>
      <c r="AE241" s="36"/>
      <c r="AF241" s="19"/>
    </row>
    <row r="242" spans="1:32" s="112" customFormat="1">
      <c r="A242" s="138" t="s">
        <v>605</v>
      </c>
      <c r="B242" s="139" t="s">
        <v>551</v>
      </c>
      <c r="C242" s="63" t="s">
        <v>552</v>
      </c>
      <c r="D242" s="134">
        <v>164.875</v>
      </c>
      <c r="E242" s="67">
        <v>27137</v>
      </c>
      <c r="F242" s="146">
        <v>0</v>
      </c>
      <c r="G242" s="92">
        <v>0</v>
      </c>
      <c r="H242" s="91">
        <v>27137</v>
      </c>
      <c r="I242" s="67">
        <v>0</v>
      </c>
      <c r="J242" s="148">
        <v>27137</v>
      </c>
      <c r="K242" s="132" t="s">
        <v>621</v>
      </c>
      <c r="L242" s="151">
        <v>0</v>
      </c>
      <c r="M242" s="128">
        <v>164.875</v>
      </c>
      <c r="N242" s="67">
        <v>441</v>
      </c>
      <c r="O242" s="67">
        <v>27578</v>
      </c>
      <c r="P242" s="270" t="s">
        <v>801</v>
      </c>
      <c r="Q242" s="111"/>
      <c r="S242" s="163">
        <v>0</v>
      </c>
      <c r="T242" s="163">
        <v>27578</v>
      </c>
      <c r="U242" s="43">
        <v>0</v>
      </c>
      <c r="V242" s="115"/>
      <c r="X242" s="114"/>
      <c r="AC242" s="116"/>
      <c r="AD242" s="116"/>
      <c r="AE242" s="116"/>
      <c r="AF242" s="117"/>
    </row>
    <row r="243" spans="1:32">
      <c r="A243" s="64" t="s">
        <v>603</v>
      </c>
      <c r="B243" s="63" t="s">
        <v>340</v>
      </c>
      <c r="C243" s="63" t="s">
        <v>341</v>
      </c>
      <c r="D243" s="134">
        <v>0</v>
      </c>
      <c r="E243" s="67">
        <v>0</v>
      </c>
      <c r="F243" s="146">
        <v>0</v>
      </c>
      <c r="G243" s="92">
        <v>0</v>
      </c>
      <c r="H243" s="91">
        <v>0</v>
      </c>
      <c r="I243" s="67">
        <v>0</v>
      </c>
      <c r="J243" s="20">
        <v>0</v>
      </c>
      <c r="K243" s="132" t="s">
        <v>644</v>
      </c>
      <c r="L243" s="151">
        <v>0</v>
      </c>
      <c r="M243" s="128">
        <v>0</v>
      </c>
      <c r="N243" s="67">
        <v>0</v>
      </c>
      <c r="O243" s="67">
        <v>0</v>
      </c>
      <c r="P243" s="270" t="s">
        <v>801</v>
      </c>
      <c r="Q243" s="71"/>
      <c r="S243" s="163">
        <v>0</v>
      </c>
      <c r="T243" s="163">
        <v>0</v>
      </c>
      <c r="U243" s="43">
        <v>0</v>
      </c>
      <c r="V243" s="61"/>
      <c r="AC243" s="36"/>
      <c r="AD243" s="36"/>
      <c r="AE243" s="36"/>
      <c r="AF243" s="19"/>
    </row>
    <row r="244" spans="1:32">
      <c r="A244" s="64" t="s">
        <v>600</v>
      </c>
      <c r="B244" s="63" t="s">
        <v>43</v>
      </c>
      <c r="C244" s="63" t="s">
        <v>44</v>
      </c>
      <c r="D244" s="134">
        <v>45</v>
      </c>
      <c r="E244" s="67">
        <v>7407</v>
      </c>
      <c r="F244" s="146">
        <v>0</v>
      </c>
      <c r="G244" s="92">
        <v>0</v>
      </c>
      <c r="H244" s="91">
        <v>7407</v>
      </c>
      <c r="I244" s="67">
        <v>0</v>
      </c>
      <c r="J244" s="20">
        <v>7407</v>
      </c>
      <c r="K244" s="132" t="s">
        <v>644</v>
      </c>
      <c r="L244" s="151">
        <v>7407</v>
      </c>
      <c r="M244" s="128">
        <v>0</v>
      </c>
      <c r="N244" s="67">
        <v>0</v>
      </c>
      <c r="O244" s="67">
        <v>0</v>
      </c>
      <c r="P244" s="270" t="s">
        <v>801</v>
      </c>
      <c r="Q244" s="71"/>
      <c r="S244" s="163">
        <v>0</v>
      </c>
      <c r="T244" s="163">
        <v>0</v>
      </c>
      <c r="U244" s="43">
        <v>0</v>
      </c>
      <c r="V244" s="61"/>
      <c r="AC244" s="36"/>
      <c r="AD244" s="36"/>
      <c r="AE244" s="36"/>
      <c r="AF244" s="19"/>
    </row>
    <row r="245" spans="1:32">
      <c r="A245" s="64" t="s">
        <v>595</v>
      </c>
      <c r="B245" s="63" t="s">
        <v>371</v>
      </c>
      <c r="C245" s="63" t="s">
        <v>670</v>
      </c>
      <c r="D245" s="134">
        <v>0</v>
      </c>
      <c r="E245" s="67">
        <v>0</v>
      </c>
      <c r="F245" s="146">
        <v>0</v>
      </c>
      <c r="G245" s="92">
        <v>0</v>
      </c>
      <c r="H245" s="91">
        <v>0</v>
      </c>
      <c r="I245" s="67">
        <v>0</v>
      </c>
      <c r="J245" s="20">
        <v>0</v>
      </c>
      <c r="K245" s="132" t="s">
        <v>644</v>
      </c>
      <c r="L245" s="151">
        <v>0</v>
      </c>
      <c r="M245" s="128">
        <v>0</v>
      </c>
      <c r="N245" s="67">
        <v>0</v>
      </c>
      <c r="O245" s="67">
        <v>0</v>
      </c>
      <c r="P245" s="270" t="s">
        <v>801</v>
      </c>
      <c r="Q245" s="71"/>
      <c r="S245" s="163">
        <v>0</v>
      </c>
      <c r="T245" s="163">
        <v>0</v>
      </c>
      <c r="U245" s="43">
        <v>0</v>
      </c>
      <c r="V245" s="61"/>
      <c r="AC245" s="36"/>
      <c r="AD245" s="36"/>
      <c r="AE245" s="36"/>
      <c r="AF245" s="19"/>
    </row>
    <row r="246" spans="1:32">
      <c r="A246" s="64" t="s">
        <v>594</v>
      </c>
      <c r="B246" s="63" t="s">
        <v>299</v>
      </c>
      <c r="C246" s="63" t="s">
        <v>300</v>
      </c>
      <c r="D246" s="134">
        <v>263.75</v>
      </c>
      <c r="E246" s="67">
        <v>43410</v>
      </c>
      <c r="F246" s="146">
        <v>0</v>
      </c>
      <c r="G246" s="92">
        <v>0</v>
      </c>
      <c r="H246" s="91">
        <v>43410</v>
      </c>
      <c r="I246" s="67">
        <v>0</v>
      </c>
      <c r="J246" s="20">
        <v>43410</v>
      </c>
      <c r="K246" s="132" t="s">
        <v>621</v>
      </c>
      <c r="L246" s="151">
        <v>0</v>
      </c>
      <c r="M246" s="128">
        <v>263.75</v>
      </c>
      <c r="N246" s="67">
        <v>705</v>
      </c>
      <c r="O246" s="67">
        <v>44115</v>
      </c>
      <c r="P246" s="270" t="s">
        <v>801</v>
      </c>
      <c r="Q246" s="71"/>
      <c r="S246" s="163">
        <v>27630</v>
      </c>
      <c r="T246" s="163">
        <v>16485</v>
      </c>
      <c r="U246" s="43">
        <v>0.59663409337676443</v>
      </c>
      <c r="V246" s="61"/>
      <c r="AC246" s="36"/>
      <c r="AD246" s="36"/>
      <c r="AE246" s="36"/>
      <c r="AF246" s="19"/>
    </row>
    <row r="247" spans="1:32">
      <c r="A247" s="64" t="s">
        <v>597</v>
      </c>
      <c r="B247" s="63" t="s">
        <v>203</v>
      </c>
      <c r="C247" s="63" t="s">
        <v>204</v>
      </c>
      <c r="D247" s="134">
        <v>551.125</v>
      </c>
      <c r="E247" s="67">
        <v>90709</v>
      </c>
      <c r="F247" s="146">
        <v>0</v>
      </c>
      <c r="G247" s="92">
        <v>0</v>
      </c>
      <c r="H247" s="91">
        <v>90709</v>
      </c>
      <c r="I247" s="67">
        <v>0</v>
      </c>
      <c r="J247" s="20">
        <v>90709</v>
      </c>
      <c r="K247" s="132" t="s">
        <v>621</v>
      </c>
      <c r="L247" s="151">
        <v>0</v>
      </c>
      <c r="M247" s="128">
        <v>551.125</v>
      </c>
      <c r="N247" s="67">
        <v>1474</v>
      </c>
      <c r="O247" s="67">
        <v>92183</v>
      </c>
      <c r="P247" s="270" t="s">
        <v>801</v>
      </c>
      <c r="Q247" s="71"/>
      <c r="S247" s="163">
        <v>62942</v>
      </c>
      <c r="T247" s="163">
        <v>29241</v>
      </c>
      <c r="U247" s="43">
        <v>0.46457055702074929</v>
      </c>
      <c r="V247" s="61"/>
      <c r="AC247" s="36"/>
      <c r="AD247" s="36"/>
      <c r="AE247" s="36"/>
      <c r="AF247" s="19"/>
    </row>
    <row r="248" spans="1:32">
      <c r="A248" s="64" t="s">
        <v>599</v>
      </c>
      <c r="B248" s="63" t="s">
        <v>387</v>
      </c>
      <c r="C248" s="63" t="s">
        <v>388</v>
      </c>
      <c r="D248" s="134">
        <v>0</v>
      </c>
      <c r="E248" s="67">
        <v>0</v>
      </c>
      <c r="F248" s="146">
        <v>0</v>
      </c>
      <c r="G248" s="92">
        <v>0</v>
      </c>
      <c r="H248" s="91">
        <v>0</v>
      </c>
      <c r="I248" s="67">
        <v>0</v>
      </c>
      <c r="J248" s="20">
        <v>0</v>
      </c>
      <c r="K248" s="132" t="s">
        <v>644</v>
      </c>
      <c r="L248" s="151">
        <v>0</v>
      </c>
      <c r="M248" s="128">
        <v>0</v>
      </c>
      <c r="N248" s="67">
        <v>0</v>
      </c>
      <c r="O248" s="67">
        <v>0</v>
      </c>
      <c r="P248" s="270" t="s">
        <v>801</v>
      </c>
      <c r="Q248" s="71"/>
      <c r="S248" s="163">
        <v>0</v>
      </c>
      <c r="T248" s="163">
        <v>0</v>
      </c>
      <c r="U248" s="43">
        <v>0</v>
      </c>
      <c r="V248" s="61"/>
      <c r="AC248" s="36"/>
      <c r="AD248" s="36"/>
      <c r="AE248" s="36"/>
      <c r="AF248" s="19"/>
    </row>
    <row r="249" spans="1:32">
      <c r="A249" s="64" t="s">
        <v>597</v>
      </c>
      <c r="B249" s="63" t="s">
        <v>187</v>
      </c>
      <c r="C249" s="63" t="s">
        <v>188</v>
      </c>
      <c r="D249" s="134">
        <v>0.75</v>
      </c>
      <c r="E249" s="67">
        <v>123</v>
      </c>
      <c r="F249" s="146">
        <v>0</v>
      </c>
      <c r="G249" s="92">
        <v>0</v>
      </c>
      <c r="H249" s="91">
        <v>123</v>
      </c>
      <c r="I249" s="67">
        <v>0</v>
      </c>
      <c r="J249" s="20">
        <v>123</v>
      </c>
      <c r="K249" s="132" t="s">
        <v>644</v>
      </c>
      <c r="L249" s="151">
        <v>123</v>
      </c>
      <c r="M249" s="128">
        <v>0</v>
      </c>
      <c r="N249" s="67">
        <v>0</v>
      </c>
      <c r="O249" s="67">
        <v>0</v>
      </c>
      <c r="P249" s="270" t="s">
        <v>801</v>
      </c>
      <c r="Q249" s="71"/>
      <c r="S249" s="163">
        <v>0</v>
      </c>
      <c r="T249" s="163">
        <v>0</v>
      </c>
      <c r="U249" s="43">
        <v>0</v>
      </c>
      <c r="V249" s="61"/>
      <c r="AC249" s="36"/>
      <c r="AD249" s="36"/>
      <c r="AE249" s="36"/>
      <c r="AF249" s="19"/>
    </row>
    <row r="250" spans="1:32">
      <c r="A250" s="64" t="s">
        <v>595</v>
      </c>
      <c r="B250" s="63" t="s">
        <v>411</v>
      </c>
      <c r="C250" s="63" t="s">
        <v>412</v>
      </c>
      <c r="D250" s="134">
        <v>201.875</v>
      </c>
      <c r="E250" s="67">
        <v>33226</v>
      </c>
      <c r="F250" s="146">
        <v>0</v>
      </c>
      <c r="G250" s="92">
        <v>0</v>
      </c>
      <c r="H250" s="91">
        <v>33226</v>
      </c>
      <c r="I250" s="67">
        <v>0</v>
      </c>
      <c r="J250" s="20">
        <v>33226</v>
      </c>
      <c r="K250" s="132" t="s">
        <v>621</v>
      </c>
      <c r="L250" s="151">
        <v>0</v>
      </c>
      <c r="M250" s="128">
        <v>201.875</v>
      </c>
      <c r="N250" s="67">
        <v>540</v>
      </c>
      <c r="O250" s="67">
        <v>33766</v>
      </c>
      <c r="P250" s="270" t="s">
        <v>801</v>
      </c>
      <c r="Q250" s="71"/>
      <c r="S250" s="163">
        <v>16520</v>
      </c>
      <c r="T250" s="163">
        <v>17246</v>
      </c>
      <c r="U250" s="43">
        <v>1.0439467312348669</v>
      </c>
      <c r="V250" s="61"/>
      <c r="AC250" s="36"/>
      <c r="AD250" s="36"/>
      <c r="AE250" s="36"/>
      <c r="AF250" s="19"/>
    </row>
    <row r="251" spans="1:32">
      <c r="A251" s="64" t="s">
        <v>597</v>
      </c>
      <c r="B251" s="63" t="s">
        <v>199</v>
      </c>
      <c r="C251" s="63" t="s">
        <v>200</v>
      </c>
      <c r="D251" s="134">
        <v>65.25</v>
      </c>
      <c r="E251" s="67">
        <v>10739</v>
      </c>
      <c r="F251" s="146">
        <v>0</v>
      </c>
      <c r="G251" s="92">
        <v>0</v>
      </c>
      <c r="H251" s="91">
        <v>10739</v>
      </c>
      <c r="I251" s="67">
        <v>0</v>
      </c>
      <c r="J251" s="20">
        <v>10739</v>
      </c>
      <c r="K251" s="132" t="s">
        <v>644</v>
      </c>
      <c r="L251" s="151">
        <v>10739</v>
      </c>
      <c r="M251" s="128">
        <v>0</v>
      </c>
      <c r="N251" s="67">
        <v>0</v>
      </c>
      <c r="O251" s="67">
        <v>0</v>
      </c>
      <c r="P251" s="270" t="s">
        <v>801</v>
      </c>
      <c r="Q251" s="71"/>
      <c r="S251" s="163">
        <v>0</v>
      </c>
      <c r="T251" s="163">
        <v>0</v>
      </c>
      <c r="U251" s="43">
        <v>0</v>
      </c>
      <c r="V251" s="61"/>
      <c r="AC251" s="36"/>
      <c r="AD251" s="36"/>
      <c r="AE251" s="36"/>
      <c r="AF251" s="19"/>
    </row>
    <row r="252" spans="1:32">
      <c r="A252" s="64" t="s">
        <v>601</v>
      </c>
      <c r="B252" s="63" t="s">
        <v>121</v>
      </c>
      <c r="C252" s="63" t="s">
        <v>122</v>
      </c>
      <c r="D252" s="134">
        <v>113.75</v>
      </c>
      <c r="E252" s="67">
        <v>18722</v>
      </c>
      <c r="F252" s="146">
        <v>0</v>
      </c>
      <c r="G252" s="92">
        <v>3750</v>
      </c>
      <c r="H252" s="91">
        <v>22472</v>
      </c>
      <c r="I252" s="67">
        <v>0</v>
      </c>
      <c r="J252" s="20">
        <v>18722</v>
      </c>
      <c r="K252" s="132" t="s">
        <v>621</v>
      </c>
      <c r="L252" s="151">
        <v>0</v>
      </c>
      <c r="M252" s="128">
        <v>113.75</v>
      </c>
      <c r="N252" s="67">
        <v>304</v>
      </c>
      <c r="O252" s="67">
        <v>19026</v>
      </c>
      <c r="P252" s="270" t="s">
        <v>801</v>
      </c>
      <c r="Q252" s="71"/>
      <c r="S252" s="163">
        <v>15413</v>
      </c>
      <c r="T252" s="163">
        <v>3613</v>
      </c>
      <c r="U252" s="43">
        <v>0.23441250892104068</v>
      </c>
      <c r="V252" s="61"/>
      <c r="AC252" s="36"/>
      <c r="AD252" s="36"/>
      <c r="AE252" s="36"/>
      <c r="AF252" s="19"/>
    </row>
    <row r="253" spans="1:32">
      <c r="A253" s="64" t="s">
        <v>594</v>
      </c>
      <c r="B253" s="63" t="s">
        <v>329</v>
      </c>
      <c r="C253" s="63" t="s">
        <v>330</v>
      </c>
      <c r="D253" s="134">
        <v>93.625</v>
      </c>
      <c r="E253" s="67">
        <v>15410</v>
      </c>
      <c r="F253" s="146">
        <v>0</v>
      </c>
      <c r="G253" s="92">
        <v>0</v>
      </c>
      <c r="H253" s="91">
        <v>15410</v>
      </c>
      <c r="I253" s="67">
        <v>0</v>
      </c>
      <c r="J253" s="20">
        <v>15410</v>
      </c>
      <c r="K253" s="132" t="s">
        <v>621</v>
      </c>
      <c r="L253" s="151">
        <v>0</v>
      </c>
      <c r="M253" s="128">
        <v>93.625</v>
      </c>
      <c r="N253" s="67">
        <v>250</v>
      </c>
      <c r="O253" s="67">
        <v>15660</v>
      </c>
      <c r="P253" s="270" t="s">
        <v>801</v>
      </c>
      <c r="Q253" s="71"/>
      <c r="S253" s="163">
        <v>11154</v>
      </c>
      <c r="T253" s="163">
        <v>4506</v>
      </c>
      <c r="U253" s="43">
        <v>0.40398063474986551</v>
      </c>
      <c r="V253" s="61"/>
      <c r="AC253" s="36"/>
      <c r="AD253" s="36"/>
      <c r="AE253" s="36"/>
      <c r="AF253" s="19"/>
    </row>
    <row r="254" spans="1:32">
      <c r="A254" s="64" t="s">
        <v>600</v>
      </c>
      <c r="B254" s="63" t="s">
        <v>218</v>
      </c>
      <c r="C254" s="63" t="s">
        <v>219</v>
      </c>
      <c r="D254" s="134">
        <v>59</v>
      </c>
      <c r="E254" s="67">
        <v>9711</v>
      </c>
      <c r="F254" s="146">
        <v>0</v>
      </c>
      <c r="G254" s="92">
        <v>5850</v>
      </c>
      <c r="H254" s="91">
        <v>15561</v>
      </c>
      <c r="I254" s="67">
        <v>0</v>
      </c>
      <c r="J254" s="20">
        <v>9711</v>
      </c>
      <c r="K254" s="132" t="s">
        <v>644</v>
      </c>
      <c r="L254" s="151">
        <v>9711</v>
      </c>
      <c r="M254" s="128">
        <v>0</v>
      </c>
      <c r="N254" s="67">
        <v>0</v>
      </c>
      <c r="O254" s="67">
        <v>0</v>
      </c>
      <c r="P254" s="270" t="s">
        <v>801</v>
      </c>
      <c r="Q254" s="71"/>
      <c r="S254" s="163">
        <v>0</v>
      </c>
      <c r="T254" s="163">
        <v>0</v>
      </c>
      <c r="U254" s="43">
        <v>0</v>
      </c>
      <c r="V254" s="61"/>
      <c r="AC254" s="36"/>
      <c r="AD254" s="36"/>
      <c r="AE254" s="36"/>
      <c r="AF254" s="19"/>
    </row>
    <row r="255" spans="1:32">
      <c r="A255" s="64" t="s">
        <v>595</v>
      </c>
      <c r="B255" s="63" t="s">
        <v>161</v>
      </c>
      <c r="C255" s="63" t="s">
        <v>162</v>
      </c>
      <c r="D255" s="134">
        <v>8.625</v>
      </c>
      <c r="E255" s="67">
        <v>1420</v>
      </c>
      <c r="F255" s="146">
        <v>0</v>
      </c>
      <c r="G255" s="92">
        <v>0</v>
      </c>
      <c r="H255" s="91">
        <v>1420</v>
      </c>
      <c r="I255" s="67">
        <v>0</v>
      </c>
      <c r="J255" s="20">
        <v>1420</v>
      </c>
      <c r="K255" s="132" t="s">
        <v>644</v>
      </c>
      <c r="L255" s="151">
        <v>1420</v>
      </c>
      <c r="M255" s="128">
        <v>0</v>
      </c>
      <c r="N255" s="67">
        <v>0</v>
      </c>
      <c r="O255" s="67">
        <v>0</v>
      </c>
      <c r="P255" s="270" t="s">
        <v>801</v>
      </c>
      <c r="Q255" s="71"/>
      <c r="S255" s="163">
        <v>1212</v>
      </c>
      <c r="T255" s="163">
        <v>-1212</v>
      </c>
      <c r="U255" s="43">
        <v>-1</v>
      </c>
      <c r="V255" s="61"/>
      <c r="AC255" s="36"/>
      <c r="AD255" s="36"/>
      <c r="AE255" s="36"/>
      <c r="AF255" s="19"/>
    </row>
    <row r="256" spans="1:32">
      <c r="A256" s="64" t="s">
        <v>594</v>
      </c>
      <c r="B256" s="63" t="s">
        <v>295</v>
      </c>
      <c r="C256" s="63" t="s">
        <v>296</v>
      </c>
      <c r="D256" s="134">
        <v>1.875</v>
      </c>
      <c r="E256" s="67">
        <v>309</v>
      </c>
      <c r="F256" s="146">
        <v>0</v>
      </c>
      <c r="G256" s="92">
        <v>0</v>
      </c>
      <c r="H256" s="91">
        <v>309</v>
      </c>
      <c r="I256" s="67">
        <v>0</v>
      </c>
      <c r="J256" s="20">
        <v>309</v>
      </c>
      <c r="K256" s="132" t="s">
        <v>644</v>
      </c>
      <c r="L256" s="151">
        <v>309</v>
      </c>
      <c r="M256" s="128">
        <v>0</v>
      </c>
      <c r="N256" s="67">
        <v>0</v>
      </c>
      <c r="O256" s="67">
        <v>0</v>
      </c>
      <c r="P256" s="270" t="s">
        <v>801</v>
      </c>
      <c r="Q256" s="71"/>
      <c r="S256" s="163">
        <v>0</v>
      </c>
      <c r="T256" s="163">
        <v>0</v>
      </c>
      <c r="U256" s="43">
        <v>0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422</v>
      </c>
      <c r="C257" s="63" t="s">
        <v>423</v>
      </c>
      <c r="D257" s="134">
        <v>1018.625</v>
      </c>
      <c r="E257" s="67">
        <v>167654</v>
      </c>
      <c r="F257" s="146">
        <v>25000</v>
      </c>
      <c r="G257" s="92">
        <v>0</v>
      </c>
      <c r="H257" s="91">
        <v>192654</v>
      </c>
      <c r="I257" s="67">
        <v>0</v>
      </c>
      <c r="J257" s="20">
        <v>167654</v>
      </c>
      <c r="K257" s="132" t="s">
        <v>621</v>
      </c>
      <c r="L257" s="151">
        <v>0</v>
      </c>
      <c r="M257" s="128">
        <v>1018.625</v>
      </c>
      <c r="N257" s="67">
        <v>2725</v>
      </c>
      <c r="O257" s="67">
        <v>170379</v>
      </c>
      <c r="P257" s="270" t="s">
        <v>801</v>
      </c>
      <c r="Q257" s="71"/>
      <c r="S257" s="163">
        <v>117654</v>
      </c>
      <c r="T257" s="163">
        <v>52725</v>
      </c>
      <c r="U257" s="43">
        <v>0.44813605997246164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280</v>
      </c>
      <c r="C258" s="63" t="s">
        <v>281</v>
      </c>
      <c r="D258" s="134">
        <v>0</v>
      </c>
      <c r="E258" s="67">
        <v>0</v>
      </c>
      <c r="F258" s="146">
        <v>0</v>
      </c>
      <c r="G258" s="92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P258" s="270" t="s">
        <v>801</v>
      </c>
      <c r="Q258" s="71"/>
      <c r="S258" s="163">
        <v>0</v>
      </c>
      <c r="T258" s="163">
        <v>0</v>
      </c>
      <c r="U258" s="43">
        <v>0</v>
      </c>
      <c r="V258" s="61"/>
      <c r="AC258" s="36"/>
      <c r="AD258" s="36"/>
      <c r="AE258" s="36"/>
      <c r="AF258" s="19"/>
    </row>
    <row r="259" spans="1:32">
      <c r="A259" s="64" t="s">
        <v>603</v>
      </c>
      <c r="B259" s="63" t="s">
        <v>539</v>
      </c>
      <c r="C259" s="63" t="s">
        <v>540</v>
      </c>
      <c r="D259" s="134">
        <v>0</v>
      </c>
      <c r="E259" s="67">
        <v>0</v>
      </c>
      <c r="F259" s="146">
        <v>0</v>
      </c>
      <c r="G259" s="92">
        <v>0</v>
      </c>
      <c r="H259" s="91">
        <v>0</v>
      </c>
      <c r="I259" s="67">
        <v>0</v>
      </c>
      <c r="J259" s="20">
        <v>0</v>
      </c>
      <c r="K259" s="132" t="s">
        <v>644</v>
      </c>
      <c r="L259" s="151">
        <v>0</v>
      </c>
      <c r="M259" s="128">
        <v>0</v>
      </c>
      <c r="N259" s="67">
        <v>0</v>
      </c>
      <c r="O259" s="67">
        <v>0</v>
      </c>
      <c r="P259" s="270" t="s">
        <v>801</v>
      </c>
      <c r="Q259" s="71"/>
      <c r="S259" s="163">
        <v>0</v>
      </c>
      <c r="T259" s="163">
        <v>0</v>
      </c>
      <c r="U259" s="43">
        <v>0</v>
      </c>
      <c r="V259" s="61"/>
      <c r="AC259" s="36"/>
      <c r="AD259" s="36"/>
      <c r="AE259" s="36"/>
      <c r="AF259" s="19"/>
    </row>
    <row r="260" spans="1:32">
      <c r="A260" s="64" t="s">
        <v>595</v>
      </c>
      <c r="B260" s="63" t="s">
        <v>421</v>
      </c>
      <c r="C260" s="63" t="s">
        <v>673</v>
      </c>
      <c r="D260" s="134">
        <v>85.625</v>
      </c>
      <c r="E260" s="67">
        <v>14093</v>
      </c>
      <c r="F260" s="146">
        <v>0</v>
      </c>
      <c r="G260" s="92">
        <v>0</v>
      </c>
      <c r="H260" s="91">
        <v>14093</v>
      </c>
      <c r="I260" s="67">
        <v>0</v>
      </c>
      <c r="J260" s="20">
        <v>14093</v>
      </c>
      <c r="K260" s="132" t="s">
        <v>621</v>
      </c>
      <c r="L260" s="151">
        <v>0</v>
      </c>
      <c r="M260" s="128">
        <v>85.625</v>
      </c>
      <c r="N260" s="67">
        <v>229</v>
      </c>
      <c r="O260" s="67">
        <v>14322</v>
      </c>
      <c r="P260" s="270" t="s">
        <v>801</v>
      </c>
      <c r="Q260" s="71"/>
      <c r="S260" s="163">
        <v>9413</v>
      </c>
      <c r="T260" s="163">
        <v>4909</v>
      </c>
      <c r="U260" s="43">
        <v>0.52151280144481038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108</v>
      </c>
      <c r="C261" s="63" t="s">
        <v>109</v>
      </c>
      <c r="D261" s="134">
        <v>0</v>
      </c>
      <c r="E261" s="67">
        <v>0</v>
      </c>
      <c r="F261" s="146">
        <v>0</v>
      </c>
      <c r="G261" s="92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P261" s="270" t="s">
        <v>801</v>
      </c>
      <c r="Q261" s="71"/>
      <c r="S261" s="163">
        <v>0</v>
      </c>
      <c r="T261" s="163">
        <v>0</v>
      </c>
      <c r="U261" s="43">
        <v>0</v>
      </c>
      <c r="V261" s="61"/>
      <c r="AC261" s="36"/>
      <c r="AD261" s="36"/>
      <c r="AE261" s="36"/>
      <c r="AF261" s="19"/>
    </row>
    <row r="262" spans="1:32">
      <c r="A262" s="64" t="s">
        <v>596</v>
      </c>
      <c r="B262" s="63" t="s">
        <v>68</v>
      </c>
      <c r="C262" s="63" t="s">
        <v>69</v>
      </c>
      <c r="D262" s="134">
        <v>0</v>
      </c>
      <c r="E262" s="67">
        <v>0</v>
      </c>
      <c r="F262" s="146">
        <v>0</v>
      </c>
      <c r="G262" s="92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P262" s="270" t="s">
        <v>801</v>
      </c>
      <c r="Q262" s="71"/>
      <c r="S262" s="163">
        <v>0</v>
      </c>
      <c r="T262" s="163">
        <v>0</v>
      </c>
      <c r="U262" s="43">
        <v>0</v>
      </c>
      <c r="V262" s="61"/>
      <c r="AC262" s="36"/>
      <c r="AD262" s="36"/>
      <c r="AE262" s="36"/>
      <c r="AF262" s="19"/>
    </row>
    <row r="263" spans="1:32">
      <c r="A263" s="64" t="s">
        <v>601</v>
      </c>
      <c r="B263" s="63" t="s">
        <v>27</v>
      </c>
      <c r="C263" s="63" t="s">
        <v>28</v>
      </c>
      <c r="D263" s="134">
        <v>0</v>
      </c>
      <c r="E263" s="67">
        <v>0</v>
      </c>
      <c r="F263" s="146">
        <v>0</v>
      </c>
      <c r="G263" s="92">
        <v>0</v>
      </c>
      <c r="H263" s="91">
        <v>0</v>
      </c>
      <c r="I263" s="67">
        <v>0</v>
      </c>
      <c r="J263" s="20">
        <v>0</v>
      </c>
      <c r="K263" s="132" t="s">
        <v>644</v>
      </c>
      <c r="L263" s="151">
        <v>0</v>
      </c>
      <c r="M263" s="128">
        <v>0</v>
      </c>
      <c r="N263" s="67">
        <v>0</v>
      </c>
      <c r="O263" s="67">
        <v>0</v>
      </c>
      <c r="P263" s="270" t="s">
        <v>801</v>
      </c>
      <c r="Q263" s="71"/>
      <c r="S263" s="163">
        <v>0</v>
      </c>
      <c r="T263" s="163">
        <v>0</v>
      </c>
      <c r="U263" s="43">
        <v>0</v>
      </c>
      <c r="V263" s="61"/>
      <c r="AC263" s="36"/>
      <c r="AD263" s="36"/>
      <c r="AE263" s="36"/>
      <c r="AF263" s="19"/>
    </row>
    <row r="264" spans="1:32">
      <c r="A264" s="64" t="s">
        <v>597</v>
      </c>
      <c r="B264" s="63" t="s">
        <v>342</v>
      </c>
      <c r="C264" s="63" t="s">
        <v>617</v>
      </c>
      <c r="D264" s="134">
        <v>57</v>
      </c>
      <c r="E264" s="67">
        <v>9382</v>
      </c>
      <c r="F264" s="146">
        <v>0</v>
      </c>
      <c r="G264" s="92">
        <v>0</v>
      </c>
      <c r="H264" s="91">
        <v>9382</v>
      </c>
      <c r="I264" s="67">
        <v>0</v>
      </c>
      <c r="J264" s="20">
        <v>9382</v>
      </c>
      <c r="K264" s="132" t="s">
        <v>644</v>
      </c>
      <c r="L264" s="151">
        <v>9382</v>
      </c>
      <c r="M264" s="128">
        <v>0</v>
      </c>
      <c r="N264" s="67">
        <v>0</v>
      </c>
      <c r="O264" s="67">
        <v>0</v>
      </c>
      <c r="P264" s="270" t="s">
        <v>801</v>
      </c>
      <c r="Q264" s="71"/>
      <c r="S264" s="163">
        <v>0</v>
      </c>
      <c r="T264" s="163">
        <v>0</v>
      </c>
      <c r="U264" s="43">
        <v>0</v>
      </c>
      <c r="V264" s="61"/>
      <c r="AC264" s="36"/>
      <c r="AD264" s="36"/>
      <c r="AE264" s="36"/>
      <c r="AF264" s="19"/>
    </row>
    <row r="265" spans="1:32">
      <c r="A265" s="64" t="s">
        <v>603</v>
      </c>
      <c r="B265" s="63" t="s">
        <v>531</v>
      </c>
      <c r="C265" s="63" t="s">
        <v>532</v>
      </c>
      <c r="D265" s="134">
        <v>0</v>
      </c>
      <c r="E265" s="67">
        <v>0</v>
      </c>
      <c r="F265" s="146">
        <v>0</v>
      </c>
      <c r="G265" s="92">
        <v>0</v>
      </c>
      <c r="H265" s="91">
        <v>0</v>
      </c>
      <c r="I265" s="67">
        <v>0</v>
      </c>
      <c r="J265" s="20">
        <v>0</v>
      </c>
      <c r="K265" s="132" t="s">
        <v>644</v>
      </c>
      <c r="L265" s="151">
        <v>0</v>
      </c>
      <c r="M265" s="128">
        <v>0</v>
      </c>
      <c r="N265" s="67">
        <v>0</v>
      </c>
      <c r="O265" s="67">
        <v>0</v>
      </c>
      <c r="P265" s="270" t="s">
        <v>801</v>
      </c>
      <c r="Q265" s="71"/>
      <c r="S265" s="163">
        <v>0</v>
      </c>
      <c r="T265" s="163">
        <v>0</v>
      </c>
      <c r="U265" s="43">
        <v>0</v>
      </c>
      <c r="V265" s="61"/>
      <c r="AC265" s="36"/>
      <c r="AD265" s="36"/>
      <c r="AE265" s="36"/>
      <c r="AF265" s="19"/>
    </row>
    <row r="266" spans="1:32">
      <c r="A266" s="64" t="s">
        <v>599</v>
      </c>
      <c r="B266" s="63" t="s">
        <v>393</v>
      </c>
      <c r="C266" s="63" t="s">
        <v>394</v>
      </c>
      <c r="D266" s="134">
        <v>21.875</v>
      </c>
      <c r="E266" s="67">
        <v>3600</v>
      </c>
      <c r="F266" s="146">
        <v>0</v>
      </c>
      <c r="G266" s="92">
        <v>0</v>
      </c>
      <c r="H266" s="91">
        <v>3600</v>
      </c>
      <c r="I266" s="67">
        <v>0</v>
      </c>
      <c r="J266" s="20">
        <v>3600</v>
      </c>
      <c r="K266" s="132" t="s">
        <v>644</v>
      </c>
      <c r="L266" s="151">
        <v>3600</v>
      </c>
      <c r="M266" s="128">
        <v>0</v>
      </c>
      <c r="N266" s="67">
        <v>0</v>
      </c>
      <c r="O266" s="67">
        <v>0</v>
      </c>
      <c r="P266" s="270" t="s">
        <v>801</v>
      </c>
      <c r="Q266" s="71"/>
      <c r="S266" s="163">
        <v>0</v>
      </c>
      <c r="T266" s="163">
        <v>0</v>
      </c>
      <c r="U266" s="43">
        <v>0</v>
      </c>
      <c r="V266" s="61"/>
      <c r="AC266" s="36"/>
      <c r="AD266" s="36"/>
      <c r="AE266" s="36"/>
      <c r="AF266" s="19"/>
    </row>
    <row r="267" spans="1:32">
      <c r="A267" s="64" t="s">
        <v>595</v>
      </c>
      <c r="B267" s="63" t="s">
        <v>415</v>
      </c>
      <c r="C267" s="63" t="s">
        <v>416</v>
      </c>
      <c r="D267" s="134">
        <v>86.25</v>
      </c>
      <c r="E267" s="67">
        <v>14196</v>
      </c>
      <c r="F267" s="146">
        <v>0</v>
      </c>
      <c r="G267" s="92">
        <v>0</v>
      </c>
      <c r="H267" s="91">
        <v>14196</v>
      </c>
      <c r="I267" s="67">
        <v>0</v>
      </c>
      <c r="J267" s="20">
        <v>14196</v>
      </c>
      <c r="K267" s="132" t="s">
        <v>621</v>
      </c>
      <c r="L267" s="151">
        <v>0</v>
      </c>
      <c r="M267" s="128">
        <v>86.25</v>
      </c>
      <c r="N267" s="67">
        <v>231</v>
      </c>
      <c r="O267" s="67">
        <v>14427</v>
      </c>
      <c r="P267" s="270" t="s">
        <v>801</v>
      </c>
      <c r="Q267" s="71"/>
      <c r="S267" s="163">
        <v>0</v>
      </c>
      <c r="T267" s="163">
        <v>14427</v>
      </c>
      <c r="U267" s="43">
        <v>0</v>
      </c>
      <c r="V267" s="61"/>
      <c r="AC267" s="36"/>
      <c r="AD267" s="36"/>
      <c r="AE267" s="36"/>
      <c r="AF267" s="19"/>
    </row>
    <row r="268" spans="1:32">
      <c r="A268" s="64" t="s">
        <v>603</v>
      </c>
      <c r="B268" s="63" t="s">
        <v>460</v>
      </c>
      <c r="C268" s="63" t="s">
        <v>461</v>
      </c>
      <c r="D268" s="134">
        <v>0</v>
      </c>
      <c r="E268" s="67">
        <v>0</v>
      </c>
      <c r="F268" s="146">
        <v>0</v>
      </c>
      <c r="G268" s="92">
        <v>0</v>
      </c>
      <c r="H268" s="91">
        <v>0</v>
      </c>
      <c r="I268" s="67">
        <v>0</v>
      </c>
      <c r="J268" s="20">
        <v>0</v>
      </c>
      <c r="K268" s="132" t="s">
        <v>644</v>
      </c>
      <c r="L268" s="151">
        <v>0</v>
      </c>
      <c r="M268" s="128">
        <v>0</v>
      </c>
      <c r="N268" s="67">
        <v>0</v>
      </c>
      <c r="O268" s="67">
        <v>0</v>
      </c>
      <c r="P268" s="270" t="s">
        <v>801</v>
      </c>
      <c r="Q268" s="71"/>
      <c r="S268" s="163">
        <v>0</v>
      </c>
      <c r="T268" s="163">
        <v>0</v>
      </c>
      <c r="U268" s="43">
        <v>0</v>
      </c>
      <c r="V268" s="61"/>
      <c r="AC268" s="36"/>
      <c r="AD268" s="36"/>
      <c r="AE268" s="36"/>
      <c r="AF268" s="19"/>
    </row>
    <row r="269" spans="1:32">
      <c r="A269" s="64" t="s">
        <v>597</v>
      </c>
      <c r="B269" s="63" t="s">
        <v>351</v>
      </c>
      <c r="C269" s="63" t="s">
        <v>352</v>
      </c>
      <c r="D269" s="134">
        <v>171.375</v>
      </c>
      <c r="E269" s="67">
        <v>28206</v>
      </c>
      <c r="F269" s="146">
        <v>0</v>
      </c>
      <c r="G269" s="92">
        <v>0</v>
      </c>
      <c r="H269" s="91">
        <v>28206</v>
      </c>
      <c r="I269" s="67">
        <v>0</v>
      </c>
      <c r="J269" s="20">
        <v>28206</v>
      </c>
      <c r="K269" s="132" t="s">
        <v>621</v>
      </c>
      <c r="L269" s="151">
        <v>0</v>
      </c>
      <c r="M269" s="128">
        <v>171.375</v>
      </c>
      <c r="N269" s="67">
        <v>458</v>
      </c>
      <c r="O269" s="67">
        <v>28664</v>
      </c>
      <c r="P269" s="270" t="s">
        <v>801</v>
      </c>
      <c r="Q269" s="71"/>
      <c r="S269" s="163">
        <v>15095</v>
      </c>
      <c r="T269" s="163">
        <v>13569</v>
      </c>
      <c r="U269" s="43">
        <v>0.89890692282212659</v>
      </c>
      <c r="V269" s="61"/>
      <c r="AC269" s="36"/>
      <c r="AD269" s="36"/>
      <c r="AE269" s="36"/>
      <c r="AF269" s="19"/>
    </row>
    <row r="270" spans="1:32">
      <c r="A270" s="64" t="s">
        <v>605</v>
      </c>
      <c r="B270" s="63" t="s">
        <v>557</v>
      </c>
      <c r="C270" s="63" t="s">
        <v>558</v>
      </c>
      <c r="D270" s="134">
        <v>1549.5</v>
      </c>
      <c r="E270" s="67">
        <v>255031</v>
      </c>
      <c r="F270" s="146">
        <v>0</v>
      </c>
      <c r="G270" s="92">
        <v>0</v>
      </c>
      <c r="H270" s="91">
        <v>255031</v>
      </c>
      <c r="I270" s="67">
        <v>0</v>
      </c>
      <c r="J270" s="20">
        <v>255031</v>
      </c>
      <c r="K270" s="132" t="s">
        <v>621</v>
      </c>
      <c r="L270" s="151">
        <v>0</v>
      </c>
      <c r="M270" s="128">
        <v>1549.5</v>
      </c>
      <c r="N270" s="67">
        <v>4145</v>
      </c>
      <c r="O270" s="67">
        <v>259176</v>
      </c>
      <c r="P270" s="270" t="s">
        <v>801</v>
      </c>
      <c r="Q270" s="71"/>
      <c r="S270" s="163">
        <v>159952</v>
      </c>
      <c r="T270" s="163">
        <v>99224</v>
      </c>
      <c r="U270" s="43">
        <v>0.62033610083024904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5" t="s">
        <v>661</v>
      </c>
      <c r="C271" s="63" t="s">
        <v>662</v>
      </c>
      <c r="D271" s="134">
        <v>0</v>
      </c>
      <c r="E271" s="67">
        <v>0</v>
      </c>
      <c r="F271" s="146">
        <v>0</v>
      </c>
      <c r="G271" s="92">
        <v>0</v>
      </c>
      <c r="H271" s="91">
        <v>0</v>
      </c>
      <c r="I271" s="67">
        <v>0</v>
      </c>
      <c r="J271" s="20">
        <v>0</v>
      </c>
      <c r="K271" s="132">
        <v>0</v>
      </c>
      <c r="L271" s="151">
        <v>0</v>
      </c>
      <c r="M271" s="128">
        <v>0</v>
      </c>
      <c r="N271" s="67">
        <v>0</v>
      </c>
      <c r="O271" s="67">
        <v>0</v>
      </c>
      <c r="P271" s="270" t="e">
        <v>#N/A</v>
      </c>
      <c r="Q271" s="71"/>
      <c r="S271" s="163">
        <v>0</v>
      </c>
      <c r="T271" s="163">
        <v>0</v>
      </c>
      <c r="U271" s="43">
        <v>0</v>
      </c>
      <c r="V271" s="61"/>
      <c r="AC271" s="36"/>
      <c r="AD271" s="36"/>
      <c r="AE271" s="36"/>
      <c r="AF271" s="19"/>
    </row>
    <row r="272" spans="1:32">
      <c r="A272" s="64" t="s">
        <v>597</v>
      </c>
      <c r="B272" s="63" t="s">
        <v>345</v>
      </c>
      <c r="C272" s="63" t="s">
        <v>346</v>
      </c>
      <c r="D272" s="134">
        <v>1880.75</v>
      </c>
      <c r="E272" s="67">
        <v>309551</v>
      </c>
      <c r="F272" s="146">
        <v>0</v>
      </c>
      <c r="G272" s="92">
        <v>0</v>
      </c>
      <c r="H272" s="91">
        <v>309551</v>
      </c>
      <c r="I272" s="67">
        <v>0</v>
      </c>
      <c r="J272" s="20">
        <v>309551</v>
      </c>
      <c r="K272" s="132" t="s">
        <v>621</v>
      </c>
      <c r="L272" s="151">
        <v>0</v>
      </c>
      <c r="M272" s="128">
        <v>1880.75</v>
      </c>
      <c r="N272" s="67">
        <v>5031</v>
      </c>
      <c r="O272" s="67">
        <v>314582</v>
      </c>
      <c r="P272" s="270" t="s">
        <v>801</v>
      </c>
      <c r="Q272" s="71"/>
      <c r="S272" s="163">
        <v>236398</v>
      </c>
      <c r="T272" s="163">
        <v>78184</v>
      </c>
      <c r="U272" s="43">
        <v>0.33073037842959752</v>
      </c>
      <c r="V272" s="61"/>
      <c r="AC272" s="36"/>
      <c r="AD272" s="36"/>
      <c r="AE272" s="36"/>
      <c r="AF272" s="19"/>
    </row>
    <row r="273" spans="1:32">
      <c r="A273" s="64" t="s">
        <v>594</v>
      </c>
      <c r="B273" s="63" t="s">
        <v>143</v>
      </c>
      <c r="C273" s="63" t="s">
        <v>144</v>
      </c>
      <c r="D273" s="134">
        <v>0</v>
      </c>
      <c r="E273" s="67">
        <v>0</v>
      </c>
      <c r="F273" s="146">
        <v>0</v>
      </c>
      <c r="G273" s="92">
        <v>0</v>
      </c>
      <c r="H273" s="91">
        <v>0</v>
      </c>
      <c r="I273" s="67">
        <v>0</v>
      </c>
      <c r="J273" s="20">
        <v>0</v>
      </c>
      <c r="K273" s="132" t="s">
        <v>644</v>
      </c>
      <c r="L273" s="151">
        <v>0</v>
      </c>
      <c r="M273" s="128">
        <v>0</v>
      </c>
      <c r="N273" s="67">
        <v>0</v>
      </c>
      <c r="O273" s="67">
        <v>0</v>
      </c>
      <c r="P273" s="270" t="s">
        <v>801</v>
      </c>
      <c r="Q273" s="71"/>
      <c r="S273" s="163">
        <v>0</v>
      </c>
      <c r="T273" s="163">
        <v>0</v>
      </c>
      <c r="U273" s="43">
        <v>0</v>
      </c>
      <c r="V273" s="61"/>
      <c r="AC273" s="36"/>
      <c r="AD273" s="36"/>
      <c r="AE273" s="36"/>
      <c r="AF273" s="19"/>
    </row>
    <row r="274" spans="1:32">
      <c r="A274" s="64" t="s">
        <v>597</v>
      </c>
      <c r="B274" s="63" t="s">
        <v>197</v>
      </c>
      <c r="C274" s="63" t="s">
        <v>198</v>
      </c>
      <c r="D274" s="134">
        <v>151.75</v>
      </c>
      <c r="E274" s="67">
        <v>24976</v>
      </c>
      <c r="F274" s="146">
        <v>10000</v>
      </c>
      <c r="G274" s="92">
        <v>0</v>
      </c>
      <c r="H274" s="91">
        <v>34976</v>
      </c>
      <c r="I274" s="67">
        <v>0</v>
      </c>
      <c r="J274" s="20">
        <v>24976</v>
      </c>
      <c r="K274" s="132" t="s">
        <v>621</v>
      </c>
      <c r="L274" s="151">
        <v>0</v>
      </c>
      <c r="M274" s="128">
        <v>151.75</v>
      </c>
      <c r="N274" s="67">
        <v>406</v>
      </c>
      <c r="O274" s="67">
        <v>25382</v>
      </c>
      <c r="P274" s="270" t="s">
        <v>801</v>
      </c>
      <c r="Q274" s="71"/>
      <c r="S274" s="163">
        <v>13686</v>
      </c>
      <c r="T274" s="163">
        <v>11696</v>
      </c>
      <c r="U274" s="43">
        <v>0.85459593745433293</v>
      </c>
      <c r="V274" s="61"/>
      <c r="AC274" s="36"/>
      <c r="AD274" s="36"/>
      <c r="AE274" s="36"/>
      <c r="AF274" s="19"/>
    </row>
    <row r="275" spans="1:32">
      <c r="A275" s="64" t="s">
        <v>603</v>
      </c>
      <c r="B275" s="63" t="s">
        <v>521</v>
      </c>
      <c r="C275" s="63" t="s">
        <v>522</v>
      </c>
      <c r="D275" s="134">
        <v>0</v>
      </c>
      <c r="E275" s="67">
        <v>0</v>
      </c>
      <c r="F275" s="146">
        <v>0</v>
      </c>
      <c r="G275" s="92">
        <v>0</v>
      </c>
      <c r="H275" s="91">
        <v>0</v>
      </c>
      <c r="I275" s="67">
        <v>0</v>
      </c>
      <c r="J275" s="20">
        <v>0</v>
      </c>
      <c r="K275" s="132" t="s">
        <v>644</v>
      </c>
      <c r="L275" s="151">
        <v>0</v>
      </c>
      <c r="M275" s="128">
        <v>0</v>
      </c>
      <c r="N275" s="67">
        <v>0</v>
      </c>
      <c r="O275" s="67">
        <v>0</v>
      </c>
      <c r="P275" s="270" t="s">
        <v>801</v>
      </c>
      <c r="Q275" s="71"/>
      <c r="S275" s="163">
        <v>0</v>
      </c>
      <c r="T275" s="163">
        <v>0</v>
      </c>
      <c r="U275" s="43">
        <v>0</v>
      </c>
      <c r="V275" s="61"/>
      <c r="AC275" s="36"/>
      <c r="AD275" s="36"/>
      <c r="AE275" s="36"/>
      <c r="AF275" s="19"/>
    </row>
    <row r="276" spans="1:32">
      <c r="A276" s="64" t="s">
        <v>594</v>
      </c>
      <c r="B276" s="63" t="s">
        <v>486</v>
      </c>
      <c r="C276" s="63" t="s">
        <v>487</v>
      </c>
      <c r="D276" s="134">
        <v>14.125</v>
      </c>
      <c r="E276" s="67">
        <v>2325</v>
      </c>
      <c r="F276" s="146">
        <v>0</v>
      </c>
      <c r="G276" s="92">
        <v>0</v>
      </c>
      <c r="H276" s="91">
        <v>2325</v>
      </c>
      <c r="I276" s="67">
        <v>0</v>
      </c>
      <c r="J276" s="20">
        <v>2325</v>
      </c>
      <c r="K276" s="132" t="s">
        <v>644</v>
      </c>
      <c r="L276" s="151">
        <v>2325</v>
      </c>
      <c r="M276" s="128">
        <v>0</v>
      </c>
      <c r="N276" s="67">
        <v>0</v>
      </c>
      <c r="O276" s="67">
        <v>0</v>
      </c>
      <c r="P276" s="270" t="s">
        <v>801</v>
      </c>
      <c r="Q276" s="71"/>
      <c r="S276" s="163">
        <v>0</v>
      </c>
      <c r="T276" s="163">
        <v>0</v>
      </c>
      <c r="U276" s="43">
        <v>0</v>
      </c>
      <c r="V276" s="61"/>
      <c r="AC276" s="36"/>
      <c r="AD276" s="36"/>
      <c r="AE276" s="36"/>
      <c r="AF276" s="19"/>
    </row>
    <row r="277" spans="1:32">
      <c r="A277" s="64" t="s">
        <v>605</v>
      </c>
      <c r="B277" s="63" t="s">
        <v>224</v>
      </c>
      <c r="C277" s="63" t="s">
        <v>225</v>
      </c>
      <c r="D277" s="134">
        <v>1.75</v>
      </c>
      <c r="E277" s="67">
        <v>288</v>
      </c>
      <c r="F277" s="146">
        <v>0</v>
      </c>
      <c r="G277" s="92">
        <v>0</v>
      </c>
      <c r="H277" s="91">
        <v>288</v>
      </c>
      <c r="I277" s="67">
        <v>0</v>
      </c>
      <c r="J277" s="20">
        <v>288</v>
      </c>
      <c r="K277" s="132" t="s">
        <v>621</v>
      </c>
      <c r="L277" s="151">
        <v>0</v>
      </c>
      <c r="M277" s="128">
        <v>1.75</v>
      </c>
      <c r="N277" s="67">
        <v>5</v>
      </c>
      <c r="O277" s="67">
        <v>293</v>
      </c>
      <c r="P277" s="270">
        <v>1</v>
      </c>
      <c r="Q277" s="71"/>
      <c r="S277" s="163">
        <v>728</v>
      </c>
      <c r="T277" s="163">
        <v>-435</v>
      </c>
      <c r="U277" s="43">
        <v>-0.59752747252747251</v>
      </c>
      <c r="V277" s="61"/>
      <c r="AC277" s="36"/>
      <c r="AD277" s="36"/>
      <c r="AE277" s="36"/>
      <c r="AF277" s="19"/>
    </row>
    <row r="278" spans="1:32">
      <c r="A278" s="64" t="s">
        <v>594</v>
      </c>
      <c r="B278" s="63" t="s">
        <v>268</v>
      </c>
      <c r="C278" s="63" t="s">
        <v>269</v>
      </c>
      <c r="D278" s="134">
        <v>11.25</v>
      </c>
      <c r="E278" s="67">
        <v>1852</v>
      </c>
      <c r="F278" s="146">
        <v>0</v>
      </c>
      <c r="G278" s="92">
        <v>0</v>
      </c>
      <c r="H278" s="91">
        <v>1852</v>
      </c>
      <c r="I278" s="67">
        <v>0</v>
      </c>
      <c r="J278" s="20">
        <v>1852</v>
      </c>
      <c r="K278" s="132" t="s">
        <v>644</v>
      </c>
      <c r="L278" s="151">
        <v>1852</v>
      </c>
      <c r="M278" s="128">
        <v>0</v>
      </c>
      <c r="N278" s="67">
        <v>0</v>
      </c>
      <c r="O278" s="67">
        <v>0</v>
      </c>
      <c r="P278" s="270" t="s">
        <v>801</v>
      </c>
      <c r="Q278" s="71"/>
      <c r="S278" s="163">
        <v>0</v>
      </c>
      <c r="T278" s="163">
        <v>0</v>
      </c>
      <c r="U278" s="43">
        <v>0</v>
      </c>
      <c r="V278" s="61"/>
      <c r="AC278" s="36"/>
      <c r="AD278" s="36"/>
      <c r="AE278" s="36"/>
      <c r="AF278" s="19"/>
    </row>
    <row r="279" spans="1:32">
      <c r="A279" s="64" t="s">
        <v>601</v>
      </c>
      <c r="B279" s="63" t="s">
        <v>321</v>
      </c>
      <c r="C279" s="63" t="s">
        <v>322</v>
      </c>
      <c r="D279" s="134">
        <v>90.875</v>
      </c>
      <c r="E279" s="67">
        <v>14957</v>
      </c>
      <c r="F279" s="146">
        <v>0</v>
      </c>
      <c r="G279" s="92">
        <v>0</v>
      </c>
      <c r="H279" s="91">
        <v>14957</v>
      </c>
      <c r="I279" s="67">
        <v>0</v>
      </c>
      <c r="J279" s="20">
        <v>14957</v>
      </c>
      <c r="K279" s="132" t="s">
        <v>621</v>
      </c>
      <c r="L279" s="151">
        <v>0</v>
      </c>
      <c r="M279" s="128">
        <v>90.875</v>
      </c>
      <c r="N279" s="67">
        <v>243</v>
      </c>
      <c r="O279" s="67">
        <v>15200</v>
      </c>
      <c r="P279" s="270" t="s">
        <v>801</v>
      </c>
      <c r="Q279" s="135"/>
      <c r="S279" s="163">
        <v>10579</v>
      </c>
      <c r="T279" s="163">
        <v>4621</v>
      </c>
      <c r="U279" s="43">
        <v>0.43680877209566121</v>
      </c>
      <c r="V279" s="61"/>
      <c r="AC279" s="36"/>
      <c r="AD279" s="36"/>
      <c r="AE279" s="36"/>
      <c r="AF279" s="19"/>
    </row>
    <row r="280" spans="1:32">
      <c r="A280" s="64" t="s">
        <v>605</v>
      </c>
      <c r="B280" s="63" t="s">
        <v>559</v>
      </c>
      <c r="C280" s="63" t="s">
        <v>560</v>
      </c>
      <c r="D280" s="134">
        <v>1466.25</v>
      </c>
      <c r="E280" s="67">
        <v>241329</v>
      </c>
      <c r="F280" s="146">
        <v>0</v>
      </c>
      <c r="G280" s="92">
        <v>0</v>
      </c>
      <c r="H280" s="91">
        <v>241329</v>
      </c>
      <c r="I280" s="67">
        <v>0</v>
      </c>
      <c r="J280" s="20">
        <v>241329</v>
      </c>
      <c r="K280" s="132" t="s">
        <v>621</v>
      </c>
      <c r="L280" s="151">
        <v>0</v>
      </c>
      <c r="M280" s="128">
        <v>1466.25</v>
      </c>
      <c r="N280" s="67">
        <v>3922</v>
      </c>
      <c r="O280" s="67">
        <v>245251</v>
      </c>
      <c r="P280" s="270" t="s">
        <v>801</v>
      </c>
      <c r="Q280" s="71"/>
      <c r="S280" s="163">
        <v>223728</v>
      </c>
      <c r="T280" s="163">
        <v>21523</v>
      </c>
      <c r="U280" s="43">
        <v>9.6201637702924975E-2</v>
      </c>
      <c r="V280" s="61"/>
      <c r="AC280" s="36"/>
      <c r="AD280" s="36"/>
      <c r="AE280" s="36"/>
      <c r="AF280" s="19"/>
    </row>
    <row r="281" spans="1:32">
      <c r="A281" s="64" t="s">
        <v>596</v>
      </c>
      <c r="B281" s="63" t="s">
        <v>496</v>
      </c>
      <c r="C281" s="63" t="s">
        <v>497</v>
      </c>
      <c r="D281" s="134">
        <v>29.25</v>
      </c>
      <c r="E281" s="67">
        <v>4814</v>
      </c>
      <c r="F281" s="146">
        <v>0</v>
      </c>
      <c r="G281" s="92">
        <v>0</v>
      </c>
      <c r="H281" s="91">
        <v>4814</v>
      </c>
      <c r="I281" s="67">
        <v>0</v>
      </c>
      <c r="J281" s="20">
        <v>4814</v>
      </c>
      <c r="K281" s="132" t="s">
        <v>621</v>
      </c>
      <c r="L281" s="151">
        <v>0</v>
      </c>
      <c r="M281" s="128">
        <v>29.25</v>
      </c>
      <c r="N281" s="67">
        <v>78</v>
      </c>
      <c r="O281" s="67">
        <v>4892</v>
      </c>
      <c r="P281" s="270">
        <v>1</v>
      </c>
      <c r="Q281" s="71"/>
      <c r="S281" s="163">
        <v>3880</v>
      </c>
      <c r="T281" s="163">
        <v>1012</v>
      </c>
      <c r="U281" s="43">
        <v>0.26082474226804125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72</v>
      </c>
      <c r="C282" s="63" t="s">
        <v>73</v>
      </c>
      <c r="D282" s="134">
        <v>0</v>
      </c>
      <c r="E282" s="67">
        <v>0</v>
      </c>
      <c r="F282" s="146">
        <v>0</v>
      </c>
      <c r="G282" s="92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P282" s="270" t="s">
        <v>801</v>
      </c>
      <c r="Q282" s="71"/>
      <c r="S282" s="163">
        <v>0</v>
      </c>
      <c r="T282" s="163">
        <v>0</v>
      </c>
      <c r="U282" s="43">
        <v>0</v>
      </c>
      <c r="V282" s="61"/>
      <c r="AC282" s="36"/>
      <c r="AD282" s="36"/>
      <c r="AE282" s="36"/>
      <c r="AF282" s="19"/>
    </row>
    <row r="283" spans="1:32">
      <c r="A283" s="64" t="s">
        <v>599</v>
      </c>
      <c r="B283" s="63" t="s">
        <v>238</v>
      </c>
      <c r="C283" s="63" t="s">
        <v>239</v>
      </c>
      <c r="D283" s="134">
        <v>0</v>
      </c>
      <c r="E283" s="67">
        <v>0</v>
      </c>
      <c r="F283" s="146">
        <v>0</v>
      </c>
      <c r="G283" s="92">
        <v>0</v>
      </c>
      <c r="H283" s="91">
        <v>0</v>
      </c>
      <c r="I283" s="67">
        <v>0</v>
      </c>
      <c r="J283" s="20">
        <v>0</v>
      </c>
      <c r="K283" s="132" t="s">
        <v>644</v>
      </c>
      <c r="L283" s="151">
        <v>0</v>
      </c>
      <c r="M283" s="128">
        <v>0</v>
      </c>
      <c r="N283" s="67">
        <v>0</v>
      </c>
      <c r="O283" s="67">
        <v>0</v>
      </c>
      <c r="P283" s="270" t="s">
        <v>801</v>
      </c>
      <c r="Q283" s="71"/>
      <c r="S283" s="163">
        <v>0</v>
      </c>
      <c r="T283" s="163">
        <v>0</v>
      </c>
      <c r="U283" s="43">
        <v>0</v>
      </c>
      <c r="V283" s="61"/>
      <c r="AC283" s="36"/>
      <c r="AD283" s="36"/>
      <c r="AE283" s="36"/>
      <c r="AF283" s="19"/>
    </row>
    <row r="284" spans="1:32">
      <c r="A284" s="64" t="s">
        <v>597</v>
      </c>
      <c r="B284" s="63" t="s">
        <v>191</v>
      </c>
      <c r="C284" s="63" t="s">
        <v>192</v>
      </c>
      <c r="D284" s="134">
        <v>900</v>
      </c>
      <c r="E284" s="67">
        <v>148130</v>
      </c>
      <c r="F284" s="146">
        <v>0</v>
      </c>
      <c r="G284" s="92">
        <v>0</v>
      </c>
      <c r="H284" s="91">
        <v>148130</v>
      </c>
      <c r="I284" s="67">
        <v>0</v>
      </c>
      <c r="J284" s="20">
        <v>148130</v>
      </c>
      <c r="K284" s="132" t="s">
        <v>621</v>
      </c>
      <c r="L284" s="151">
        <v>0</v>
      </c>
      <c r="M284" s="128">
        <v>900</v>
      </c>
      <c r="N284" s="67">
        <v>2407</v>
      </c>
      <c r="O284" s="67">
        <v>150537</v>
      </c>
      <c r="P284" s="270" t="s">
        <v>801</v>
      </c>
      <c r="Q284" s="71"/>
      <c r="S284" s="163">
        <v>94495</v>
      </c>
      <c r="T284" s="163">
        <v>56042</v>
      </c>
      <c r="U284" s="43">
        <v>0.59306841631832374</v>
      </c>
      <c r="V284" s="61"/>
      <c r="AC284" s="36"/>
      <c r="AD284" s="36"/>
      <c r="AE284" s="36"/>
      <c r="AF284" s="19"/>
    </row>
    <row r="285" spans="1:32">
      <c r="A285" s="64" t="s">
        <v>594</v>
      </c>
      <c r="B285" s="63" t="s">
        <v>476</v>
      </c>
      <c r="C285" s="63" t="s">
        <v>477</v>
      </c>
      <c r="D285" s="134">
        <v>73.25</v>
      </c>
      <c r="E285" s="67">
        <v>12056</v>
      </c>
      <c r="F285" s="146">
        <v>0</v>
      </c>
      <c r="G285" s="92">
        <v>3600</v>
      </c>
      <c r="H285" s="91">
        <v>15656</v>
      </c>
      <c r="I285" s="67">
        <v>0</v>
      </c>
      <c r="J285" s="20">
        <v>12056</v>
      </c>
      <c r="K285" s="132" t="s">
        <v>644</v>
      </c>
      <c r="L285" s="151">
        <v>12056</v>
      </c>
      <c r="M285" s="128">
        <v>0</v>
      </c>
      <c r="N285" s="67">
        <v>0</v>
      </c>
      <c r="O285" s="67">
        <v>0</v>
      </c>
      <c r="P285" s="270" t="s">
        <v>801</v>
      </c>
      <c r="Q285" s="71"/>
      <c r="S285" s="163">
        <v>0</v>
      </c>
      <c r="T285" s="163">
        <v>0</v>
      </c>
      <c r="U285" s="43">
        <v>0</v>
      </c>
      <c r="V285" s="61"/>
      <c r="AC285" s="36"/>
      <c r="AD285" s="36"/>
      <c r="AE285" s="36"/>
      <c r="AF285" s="19"/>
    </row>
    <row r="286" spans="1:32">
      <c r="A286" s="64" t="s">
        <v>605</v>
      </c>
      <c r="B286" s="63" t="s">
        <v>543</v>
      </c>
      <c r="C286" s="63" t="s">
        <v>544</v>
      </c>
      <c r="D286" s="134">
        <v>108.375</v>
      </c>
      <c r="E286" s="67">
        <v>17837</v>
      </c>
      <c r="F286" s="146">
        <v>0</v>
      </c>
      <c r="G286" s="92">
        <v>0</v>
      </c>
      <c r="H286" s="91">
        <v>17837</v>
      </c>
      <c r="I286" s="67">
        <v>0</v>
      </c>
      <c r="J286" s="20">
        <v>17837</v>
      </c>
      <c r="K286" s="132" t="s">
        <v>621</v>
      </c>
      <c r="L286" s="151">
        <v>0</v>
      </c>
      <c r="M286" s="128">
        <v>108.375</v>
      </c>
      <c r="N286" s="67">
        <v>290</v>
      </c>
      <c r="O286" s="67">
        <v>18127</v>
      </c>
      <c r="P286" s="270" t="s">
        <v>801</v>
      </c>
      <c r="Q286" s="71"/>
      <c r="S286" s="163">
        <v>13245</v>
      </c>
      <c r="T286" s="163">
        <v>4882</v>
      </c>
      <c r="U286" s="43">
        <v>0.36859192147980369</v>
      </c>
      <c r="V286" s="61"/>
      <c r="AC286" s="36"/>
      <c r="AD286" s="36"/>
      <c r="AE286" s="36"/>
      <c r="AF286" s="19"/>
    </row>
    <row r="287" spans="1:32" s="112" customFormat="1">
      <c r="A287" s="138" t="s">
        <v>597</v>
      </c>
      <c r="B287" s="139" t="s">
        <v>349</v>
      </c>
      <c r="C287" s="63" t="s">
        <v>350</v>
      </c>
      <c r="D287" s="134">
        <v>103.625</v>
      </c>
      <c r="E287" s="67">
        <v>17056</v>
      </c>
      <c r="F287" s="146">
        <v>25000</v>
      </c>
      <c r="G287" s="92">
        <v>0</v>
      </c>
      <c r="H287" s="91">
        <v>42056</v>
      </c>
      <c r="I287" s="67">
        <v>0</v>
      </c>
      <c r="J287" s="148">
        <v>17056</v>
      </c>
      <c r="K287" s="132" t="s">
        <v>621</v>
      </c>
      <c r="L287" s="151">
        <v>0</v>
      </c>
      <c r="M287" s="128">
        <v>103.625</v>
      </c>
      <c r="N287" s="67">
        <v>277</v>
      </c>
      <c r="O287" s="67">
        <v>17333</v>
      </c>
      <c r="P287" s="270" t="s">
        <v>801</v>
      </c>
      <c r="Q287" s="111"/>
      <c r="S287" s="163">
        <v>0</v>
      </c>
      <c r="T287" s="163">
        <v>17333</v>
      </c>
      <c r="U287" s="43">
        <v>0</v>
      </c>
      <c r="V287" s="115"/>
      <c r="X287" s="114"/>
      <c r="AC287" s="116"/>
      <c r="AD287" s="116"/>
      <c r="AE287" s="116"/>
      <c r="AF287" s="117"/>
    </row>
    <row r="288" spans="1:32">
      <c r="A288" s="64" t="s">
        <v>594</v>
      </c>
      <c r="B288" s="63" t="s">
        <v>254</v>
      </c>
      <c r="C288" s="63" t="s">
        <v>255</v>
      </c>
      <c r="D288" s="134">
        <v>0</v>
      </c>
      <c r="E288" s="67">
        <v>0</v>
      </c>
      <c r="F288" s="146">
        <v>0</v>
      </c>
      <c r="G288" s="92">
        <v>0</v>
      </c>
      <c r="H288" s="91">
        <v>0</v>
      </c>
      <c r="I288" s="67">
        <v>0</v>
      </c>
      <c r="J288" s="20">
        <v>0</v>
      </c>
      <c r="K288" s="132">
        <v>0</v>
      </c>
      <c r="L288" s="151">
        <v>0</v>
      </c>
      <c r="M288" s="128">
        <v>0</v>
      </c>
      <c r="N288" s="67">
        <v>0</v>
      </c>
      <c r="O288" s="67">
        <v>0</v>
      </c>
      <c r="P288" s="270" t="e">
        <v>#N/A</v>
      </c>
      <c r="Q288" s="71"/>
      <c r="S288" s="163">
        <v>0</v>
      </c>
      <c r="T288" s="163">
        <v>0</v>
      </c>
      <c r="U288" s="43">
        <v>0</v>
      </c>
      <c r="V288" s="61"/>
      <c r="AC288" s="36"/>
      <c r="AD288" s="36"/>
      <c r="AE288" s="36"/>
      <c r="AF288" s="19"/>
    </row>
    <row r="289" spans="1:32">
      <c r="A289" s="64" t="s">
        <v>603</v>
      </c>
      <c r="B289" s="63" t="s">
        <v>454</v>
      </c>
      <c r="C289" s="63" t="s">
        <v>455</v>
      </c>
      <c r="D289" s="134">
        <v>0</v>
      </c>
      <c r="E289" s="67">
        <v>0</v>
      </c>
      <c r="F289" s="146">
        <v>0</v>
      </c>
      <c r="G289" s="92">
        <v>0</v>
      </c>
      <c r="H289" s="91">
        <v>0</v>
      </c>
      <c r="I289" s="67">
        <v>0</v>
      </c>
      <c r="J289" s="20">
        <v>0</v>
      </c>
      <c r="K289" s="132" t="s">
        <v>644</v>
      </c>
      <c r="L289" s="151">
        <v>0</v>
      </c>
      <c r="M289" s="128">
        <v>0</v>
      </c>
      <c r="N289" s="67">
        <v>0</v>
      </c>
      <c r="O289" s="67">
        <v>0</v>
      </c>
      <c r="P289" s="270" t="s">
        <v>801</v>
      </c>
      <c r="Q289" s="71"/>
      <c r="S289" s="163">
        <v>0</v>
      </c>
      <c r="T289" s="163">
        <v>0</v>
      </c>
      <c r="U289" s="43">
        <v>0</v>
      </c>
      <c r="V289" s="61"/>
      <c r="AC289" s="36"/>
      <c r="AD289" s="36"/>
      <c r="AE289" s="36"/>
      <c r="AF289" s="19"/>
    </row>
    <row r="290" spans="1:32">
      <c r="A290" s="64" t="s">
        <v>599</v>
      </c>
      <c r="B290" s="63" t="s">
        <v>49</v>
      </c>
      <c r="C290" s="63" t="s">
        <v>50</v>
      </c>
      <c r="D290" s="134">
        <v>1823.625</v>
      </c>
      <c r="E290" s="67">
        <v>300149</v>
      </c>
      <c r="F290" s="146">
        <v>50000</v>
      </c>
      <c r="G290" s="92">
        <v>0</v>
      </c>
      <c r="H290" s="91">
        <v>350149</v>
      </c>
      <c r="I290" s="67">
        <v>0</v>
      </c>
      <c r="J290" s="20">
        <v>300149</v>
      </c>
      <c r="K290" s="132" t="s">
        <v>621</v>
      </c>
      <c r="L290" s="151">
        <v>0</v>
      </c>
      <c r="M290" s="128">
        <v>1823.625</v>
      </c>
      <c r="N290" s="67">
        <v>4878</v>
      </c>
      <c r="O290" s="67">
        <v>305027</v>
      </c>
      <c r="P290" s="270" t="s">
        <v>801</v>
      </c>
      <c r="Q290" s="71"/>
      <c r="S290" s="163">
        <v>204253</v>
      </c>
      <c r="T290" s="163">
        <v>100774</v>
      </c>
      <c r="U290" s="43">
        <v>0.49337831023289741</v>
      </c>
      <c r="V290" s="61"/>
      <c r="AC290" s="36"/>
      <c r="AD290" s="36"/>
      <c r="AE290" s="36"/>
      <c r="AF290" s="19"/>
    </row>
    <row r="291" spans="1:32" s="112" customFormat="1">
      <c r="A291" s="138" t="s">
        <v>597</v>
      </c>
      <c r="B291" s="139" t="s">
        <v>183</v>
      </c>
      <c r="C291" s="63" t="s">
        <v>184</v>
      </c>
      <c r="D291" s="134">
        <v>20.375</v>
      </c>
      <c r="E291" s="67">
        <v>3354</v>
      </c>
      <c r="F291" s="146">
        <v>0</v>
      </c>
      <c r="G291" s="92">
        <v>0</v>
      </c>
      <c r="H291" s="91">
        <v>3354</v>
      </c>
      <c r="I291" s="67">
        <v>0</v>
      </c>
      <c r="J291" s="148">
        <v>3354</v>
      </c>
      <c r="K291" s="132" t="s">
        <v>644</v>
      </c>
      <c r="L291" s="151">
        <v>3354</v>
      </c>
      <c r="M291" s="128">
        <v>0</v>
      </c>
      <c r="N291" s="67">
        <v>0</v>
      </c>
      <c r="O291" s="67">
        <v>0</v>
      </c>
      <c r="P291" s="270" t="s">
        <v>801</v>
      </c>
      <c r="Q291" s="111"/>
      <c r="S291" s="163">
        <v>0</v>
      </c>
      <c r="T291" s="163">
        <v>0</v>
      </c>
      <c r="U291" s="43">
        <v>0</v>
      </c>
      <c r="V291" s="115"/>
      <c r="X291" s="114"/>
      <c r="AC291" s="116"/>
      <c r="AD291" s="116"/>
      <c r="AE291" s="116"/>
      <c r="AF291" s="117"/>
    </row>
    <row r="292" spans="1:32">
      <c r="A292" s="64" t="s">
        <v>599</v>
      </c>
      <c r="B292" s="63" t="s">
        <v>488</v>
      </c>
      <c r="C292" s="63" t="s">
        <v>489</v>
      </c>
      <c r="D292" s="134">
        <v>0</v>
      </c>
      <c r="E292" s="67">
        <v>0</v>
      </c>
      <c r="F292" s="146">
        <v>0</v>
      </c>
      <c r="G292" s="92">
        <v>0</v>
      </c>
      <c r="H292" s="91">
        <v>0</v>
      </c>
      <c r="I292" s="67">
        <v>0</v>
      </c>
      <c r="J292" s="20">
        <v>0</v>
      </c>
      <c r="K292" s="132" t="s">
        <v>644</v>
      </c>
      <c r="L292" s="151">
        <v>0</v>
      </c>
      <c r="M292" s="128">
        <v>0</v>
      </c>
      <c r="N292" s="67">
        <v>0</v>
      </c>
      <c r="O292" s="67">
        <v>0</v>
      </c>
      <c r="P292" s="270" t="s">
        <v>801</v>
      </c>
      <c r="Q292" s="71"/>
      <c r="S292" s="163">
        <v>0</v>
      </c>
      <c r="T292" s="163">
        <v>0</v>
      </c>
      <c r="U292" s="43">
        <v>0</v>
      </c>
      <c r="V292" s="61"/>
      <c r="AC292" s="36"/>
      <c r="AD292" s="36"/>
      <c r="AE292" s="36"/>
      <c r="AF292" s="19"/>
    </row>
    <row r="293" spans="1:32">
      <c r="A293" s="64" t="s">
        <v>605</v>
      </c>
      <c r="B293" s="63" t="s">
        <v>114</v>
      </c>
      <c r="C293" s="63" t="s">
        <v>115</v>
      </c>
      <c r="D293" s="134">
        <v>1085.625</v>
      </c>
      <c r="E293" s="67">
        <v>178682</v>
      </c>
      <c r="F293" s="146">
        <v>0</v>
      </c>
      <c r="G293" s="92">
        <v>0</v>
      </c>
      <c r="H293" s="91">
        <v>178682</v>
      </c>
      <c r="I293" s="67">
        <v>0</v>
      </c>
      <c r="J293" s="20">
        <v>178682</v>
      </c>
      <c r="K293" s="132" t="s">
        <v>621</v>
      </c>
      <c r="L293" s="151">
        <v>0</v>
      </c>
      <c r="M293" s="128">
        <v>1085.625</v>
      </c>
      <c r="N293" s="67">
        <v>2904</v>
      </c>
      <c r="O293" s="67">
        <v>181586</v>
      </c>
      <c r="P293" s="270" t="s">
        <v>801</v>
      </c>
      <c r="Q293" s="71"/>
      <c r="S293" s="163">
        <v>129824</v>
      </c>
      <c r="T293" s="163">
        <v>51762</v>
      </c>
      <c r="U293" s="43">
        <v>0.39870902144441706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500</v>
      </c>
      <c r="C294" s="63" t="s">
        <v>501</v>
      </c>
      <c r="D294" s="134">
        <v>0</v>
      </c>
      <c r="E294" s="67">
        <v>0</v>
      </c>
      <c r="F294" s="146">
        <v>0</v>
      </c>
      <c r="G294" s="92">
        <v>0</v>
      </c>
      <c r="H294" s="91">
        <v>0</v>
      </c>
      <c r="I294" s="67">
        <v>0</v>
      </c>
      <c r="J294" s="20">
        <v>0</v>
      </c>
      <c r="K294" s="132" t="s">
        <v>644</v>
      </c>
      <c r="L294" s="151">
        <v>0</v>
      </c>
      <c r="M294" s="128">
        <v>0</v>
      </c>
      <c r="N294" s="67">
        <v>0</v>
      </c>
      <c r="O294" s="67">
        <v>0</v>
      </c>
      <c r="P294" s="270" t="s">
        <v>801</v>
      </c>
      <c r="Q294" s="71"/>
      <c r="S294" s="163">
        <v>0</v>
      </c>
      <c r="T294" s="163">
        <v>0</v>
      </c>
      <c r="U294" s="43">
        <v>0</v>
      </c>
      <c r="V294" s="61"/>
      <c r="AC294" s="36"/>
      <c r="AD294" s="36"/>
      <c r="AE294" s="36"/>
      <c r="AF294" s="19"/>
    </row>
    <row r="295" spans="1:32">
      <c r="A295" s="64" t="s">
        <v>596</v>
      </c>
      <c r="B295" s="63" t="s">
        <v>492</v>
      </c>
      <c r="C295" s="63" t="s">
        <v>493</v>
      </c>
      <c r="D295" s="134">
        <v>718.5</v>
      </c>
      <c r="E295" s="67">
        <v>118257</v>
      </c>
      <c r="F295" s="146">
        <v>0</v>
      </c>
      <c r="G295" s="92">
        <v>0</v>
      </c>
      <c r="H295" s="91">
        <v>118257</v>
      </c>
      <c r="I295" s="67">
        <v>0</v>
      </c>
      <c r="J295" s="20">
        <v>118257</v>
      </c>
      <c r="K295" s="132" t="s">
        <v>621</v>
      </c>
      <c r="L295" s="151">
        <v>0</v>
      </c>
      <c r="M295" s="128">
        <v>718.5</v>
      </c>
      <c r="N295" s="67">
        <v>1922</v>
      </c>
      <c r="O295" s="67">
        <v>120179</v>
      </c>
      <c r="P295" s="270" t="s">
        <v>801</v>
      </c>
      <c r="Q295" s="71"/>
      <c r="S295" s="163">
        <v>81492</v>
      </c>
      <c r="T295" s="163">
        <v>38687</v>
      </c>
      <c r="U295" s="43">
        <v>0.47473371619300053</v>
      </c>
      <c r="V295" s="61"/>
      <c r="AC295" s="36"/>
      <c r="AD295" s="36"/>
      <c r="AE295" s="36"/>
      <c r="AF295" s="19"/>
    </row>
    <row r="296" spans="1:32">
      <c r="A296" s="64" t="s">
        <v>605</v>
      </c>
      <c r="B296" s="63" t="s">
        <v>567</v>
      </c>
      <c r="C296" s="63" t="s">
        <v>568</v>
      </c>
      <c r="D296" s="134">
        <v>973.375</v>
      </c>
      <c r="E296" s="67">
        <v>160207</v>
      </c>
      <c r="F296" s="146">
        <v>0</v>
      </c>
      <c r="G296" s="92">
        <v>0</v>
      </c>
      <c r="H296" s="91">
        <v>160207</v>
      </c>
      <c r="I296" s="67">
        <v>0</v>
      </c>
      <c r="J296" s="20">
        <v>160207</v>
      </c>
      <c r="K296" s="132" t="s">
        <v>621</v>
      </c>
      <c r="L296" s="151">
        <v>0</v>
      </c>
      <c r="M296" s="128">
        <v>973.375</v>
      </c>
      <c r="N296" s="67">
        <v>2604</v>
      </c>
      <c r="O296" s="67">
        <v>162811</v>
      </c>
      <c r="P296" s="270" t="s">
        <v>801</v>
      </c>
      <c r="Q296" s="71"/>
      <c r="S296" s="163">
        <v>114926</v>
      </c>
      <c r="T296" s="163">
        <v>47885</v>
      </c>
      <c r="U296" s="43">
        <v>0.41665941562396674</v>
      </c>
      <c r="V296" s="61"/>
      <c r="AC296" s="36"/>
      <c r="AD296" s="36"/>
      <c r="AE296" s="36"/>
      <c r="AF296" s="19"/>
    </row>
    <row r="297" spans="1:32">
      <c r="A297" s="64" t="s">
        <v>601</v>
      </c>
      <c r="B297" s="63" t="s">
        <v>118</v>
      </c>
      <c r="C297" s="63" t="s">
        <v>119</v>
      </c>
      <c r="D297" s="134">
        <v>292.25</v>
      </c>
      <c r="E297" s="67">
        <v>48101</v>
      </c>
      <c r="F297" s="146">
        <v>0</v>
      </c>
      <c r="G297" s="92">
        <v>0</v>
      </c>
      <c r="H297" s="91">
        <v>48101</v>
      </c>
      <c r="I297" s="67">
        <v>0</v>
      </c>
      <c r="J297" s="20">
        <v>48101</v>
      </c>
      <c r="K297" s="132" t="s">
        <v>621</v>
      </c>
      <c r="L297" s="151">
        <v>0</v>
      </c>
      <c r="M297" s="128">
        <v>292.25</v>
      </c>
      <c r="N297" s="67">
        <v>782</v>
      </c>
      <c r="O297" s="67">
        <v>48883</v>
      </c>
      <c r="P297" s="270" t="s">
        <v>801</v>
      </c>
      <c r="Q297" s="71"/>
      <c r="S297" s="163">
        <v>39768</v>
      </c>
      <c r="T297" s="163">
        <v>9115</v>
      </c>
      <c r="U297" s="43">
        <v>0.22920438543552604</v>
      </c>
      <c r="V297" s="61"/>
      <c r="AC297" s="36"/>
      <c r="AD297" s="36"/>
      <c r="AE297" s="36"/>
      <c r="AF297" s="19"/>
    </row>
    <row r="298" spans="1:32">
      <c r="A298" s="64" t="s">
        <v>599</v>
      </c>
      <c r="B298" s="63" t="s">
        <v>56</v>
      </c>
      <c r="C298" s="63" t="s">
        <v>57</v>
      </c>
      <c r="D298" s="134">
        <v>57</v>
      </c>
      <c r="E298" s="67">
        <v>9382</v>
      </c>
      <c r="F298" s="146">
        <v>0</v>
      </c>
      <c r="G298" s="92">
        <v>3450</v>
      </c>
      <c r="H298" s="91">
        <v>12832</v>
      </c>
      <c r="I298" s="67">
        <v>0</v>
      </c>
      <c r="J298" s="20">
        <v>9382</v>
      </c>
      <c r="K298" s="132" t="s">
        <v>621</v>
      </c>
      <c r="L298" s="151">
        <v>0</v>
      </c>
      <c r="M298" s="128">
        <v>57</v>
      </c>
      <c r="N298" s="67">
        <v>152</v>
      </c>
      <c r="O298" s="67">
        <v>9534</v>
      </c>
      <c r="P298" s="270">
        <v>1</v>
      </c>
      <c r="Q298" s="71"/>
      <c r="S298" s="163">
        <v>6274</v>
      </c>
      <c r="T298" s="163">
        <v>3260</v>
      </c>
      <c r="U298" s="43">
        <v>0.51960471788332807</v>
      </c>
      <c r="V298" s="61"/>
      <c r="AC298" s="36"/>
      <c r="AD298" s="36"/>
      <c r="AE298" s="36"/>
      <c r="AF298" s="19"/>
    </row>
    <row r="299" spans="1:32">
      <c r="A299" s="64" t="s">
        <v>603</v>
      </c>
      <c r="B299" s="63" t="s">
        <v>0</v>
      </c>
      <c r="C299" s="63" t="s">
        <v>1</v>
      </c>
      <c r="D299" s="134">
        <v>0</v>
      </c>
      <c r="E299" s="67">
        <v>0</v>
      </c>
      <c r="F299" s="146">
        <v>0</v>
      </c>
      <c r="G299" s="92">
        <v>0</v>
      </c>
      <c r="H299" s="91">
        <v>0</v>
      </c>
      <c r="I299" s="67">
        <v>0</v>
      </c>
      <c r="J299" s="20">
        <v>0</v>
      </c>
      <c r="K299" s="132" t="s">
        <v>644</v>
      </c>
      <c r="L299" s="151">
        <v>0</v>
      </c>
      <c r="M299" s="128">
        <v>0</v>
      </c>
      <c r="N299" s="67">
        <v>0</v>
      </c>
      <c r="O299" s="67">
        <v>0</v>
      </c>
      <c r="P299" s="270" t="s">
        <v>801</v>
      </c>
      <c r="Q299" s="71"/>
      <c r="S299" s="163">
        <v>0</v>
      </c>
      <c r="T299" s="163">
        <v>0</v>
      </c>
      <c r="U299" s="43">
        <v>0</v>
      </c>
      <c r="V299" s="61"/>
      <c r="AC299" s="36"/>
      <c r="AD299" s="36"/>
      <c r="AE299" s="36"/>
      <c r="AF299" s="19"/>
    </row>
    <row r="300" spans="1:32">
      <c r="A300" s="64" t="s">
        <v>601</v>
      </c>
      <c r="B300" s="63" t="s">
        <v>92</v>
      </c>
      <c r="C300" s="63" t="s">
        <v>93</v>
      </c>
      <c r="D300" s="134">
        <v>32</v>
      </c>
      <c r="E300" s="67">
        <v>5267</v>
      </c>
      <c r="F300" s="146">
        <v>0</v>
      </c>
      <c r="G300" s="92">
        <v>0</v>
      </c>
      <c r="H300" s="91">
        <v>5267</v>
      </c>
      <c r="I300" s="67">
        <v>0</v>
      </c>
      <c r="J300" s="20">
        <v>5267</v>
      </c>
      <c r="K300" s="132" t="s">
        <v>644</v>
      </c>
      <c r="L300" s="151">
        <v>5267</v>
      </c>
      <c r="M300" s="128">
        <v>0</v>
      </c>
      <c r="N300" s="67">
        <v>0</v>
      </c>
      <c r="O300" s="67">
        <v>0</v>
      </c>
      <c r="P300" s="270" t="s">
        <v>801</v>
      </c>
      <c r="Q300" s="71"/>
      <c r="S300" s="163">
        <v>0</v>
      </c>
      <c r="T300" s="163">
        <v>0</v>
      </c>
      <c r="U300" s="43">
        <v>0</v>
      </c>
      <c r="V300" s="61"/>
      <c r="AC300" s="36"/>
      <c r="AD300" s="36"/>
      <c r="AE300" s="36"/>
      <c r="AF300" s="19"/>
    </row>
    <row r="301" spans="1:32">
      <c r="A301" s="64" t="s">
        <v>603</v>
      </c>
      <c r="B301" s="63" t="s">
        <v>452</v>
      </c>
      <c r="C301" s="63" t="s">
        <v>453</v>
      </c>
      <c r="D301" s="134">
        <v>0</v>
      </c>
      <c r="E301" s="67">
        <v>0</v>
      </c>
      <c r="F301" s="146">
        <v>0</v>
      </c>
      <c r="G301" s="92">
        <v>0</v>
      </c>
      <c r="H301" s="91">
        <v>0</v>
      </c>
      <c r="I301" s="67">
        <v>0</v>
      </c>
      <c r="J301" s="20">
        <v>0</v>
      </c>
      <c r="K301" s="132" t="s">
        <v>644</v>
      </c>
      <c r="L301" s="151">
        <v>0</v>
      </c>
      <c r="M301" s="128">
        <v>0</v>
      </c>
      <c r="N301" s="67">
        <v>0</v>
      </c>
      <c r="O301" s="67">
        <v>0</v>
      </c>
      <c r="P301" s="270" t="s">
        <v>801</v>
      </c>
      <c r="Q301" s="71"/>
      <c r="S301" s="163">
        <v>0</v>
      </c>
      <c r="T301" s="163">
        <v>0</v>
      </c>
      <c r="U301" s="43">
        <v>0</v>
      </c>
      <c r="V301" s="61"/>
      <c r="AC301" s="36"/>
      <c r="AD301" s="36"/>
      <c r="AE301" s="36"/>
      <c r="AF301" s="19"/>
    </row>
    <row r="302" spans="1:32">
      <c r="A302" s="64" t="s">
        <v>601</v>
      </c>
      <c r="B302" s="63" t="s">
        <v>37</v>
      </c>
      <c r="C302" s="63" t="s">
        <v>38</v>
      </c>
      <c r="D302" s="134">
        <v>1566.75</v>
      </c>
      <c r="E302" s="67">
        <v>257870</v>
      </c>
      <c r="F302" s="146">
        <v>0</v>
      </c>
      <c r="G302" s="92">
        <v>0</v>
      </c>
      <c r="H302" s="91">
        <v>257870</v>
      </c>
      <c r="I302" s="67">
        <v>0</v>
      </c>
      <c r="J302" s="20">
        <v>257870</v>
      </c>
      <c r="K302" s="132" t="s">
        <v>621</v>
      </c>
      <c r="L302" s="151">
        <v>0</v>
      </c>
      <c r="M302" s="128">
        <v>1566.75</v>
      </c>
      <c r="N302" s="67">
        <v>4191</v>
      </c>
      <c r="O302" s="67">
        <v>262061</v>
      </c>
      <c r="P302" s="270" t="s">
        <v>801</v>
      </c>
      <c r="Q302" s="71"/>
      <c r="S302" s="163">
        <v>185475</v>
      </c>
      <c r="T302" s="163">
        <v>76586</v>
      </c>
      <c r="U302" s="43">
        <v>0.41291818304353689</v>
      </c>
      <c r="V302" s="61"/>
      <c r="AC302" s="36"/>
      <c r="AD302" s="36"/>
      <c r="AE302" s="36"/>
      <c r="AF302" s="19"/>
    </row>
    <row r="303" spans="1:32">
      <c r="A303" s="144" t="s">
        <v>603</v>
      </c>
      <c r="B303" s="131" t="s">
        <v>443</v>
      </c>
      <c r="C303" s="63" t="s">
        <v>675</v>
      </c>
      <c r="D303" s="134">
        <v>80.125</v>
      </c>
      <c r="E303" s="67">
        <v>13188</v>
      </c>
      <c r="F303" s="146">
        <v>0</v>
      </c>
      <c r="G303" s="92">
        <v>0</v>
      </c>
      <c r="H303" s="91">
        <v>13188</v>
      </c>
      <c r="I303" s="67">
        <v>0</v>
      </c>
      <c r="J303" s="100">
        <v>13188</v>
      </c>
      <c r="K303" s="132" t="s">
        <v>621</v>
      </c>
      <c r="L303" s="151">
        <v>0</v>
      </c>
      <c r="M303" s="128">
        <v>80.125</v>
      </c>
      <c r="N303" s="67">
        <v>214</v>
      </c>
      <c r="O303" s="67">
        <v>13402</v>
      </c>
      <c r="P303" s="270" t="s">
        <v>801</v>
      </c>
      <c r="Q303" s="71"/>
      <c r="S303" s="163">
        <v>0</v>
      </c>
      <c r="T303" s="163">
        <v>13402</v>
      </c>
      <c r="U303" s="43">
        <v>0</v>
      </c>
      <c r="V303" s="61"/>
      <c r="AC303" s="36"/>
      <c r="AD303" s="36"/>
      <c r="AE303" s="36"/>
      <c r="AF303" s="19"/>
    </row>
    <row r="304" spans="1:32">
      <c r="A304" s="64" t="s">
        <v>605</v>
      </c>
      <c r="B304" s="63" t="s">
        <v>569</v>
      </c>
      <c r="C304" s="63" t="s">
        <v>570</v>
      </c>
      <c r="D304" s="134">
        <v>55.625</v>
      </c>
      <c r="E304" s="67">
        <v>9155</v>
      </c>
      <c r="F304" s="146">
        <v>0</v>
      </c>
      <c r="G304" s="92">
        <v>0</v>
      </c>
      <c r="H304" s="91">
        <v>9155</v>
      </c>
      <c r="I304" s="67">
        <v>0</v>
      </c>
      <c r="J304" s="20">
        <v>9155</v>
      </c>
      <c r="K304" s="132" t="s">
        <v>621</v>
      </c>
      <c r="L304" s="151">
        <v>0</v>
      </c>
      <c r="M304" s="128">
        <v>55.625</v>
      </c>
      <c r="N304" s="67">
        <v>149</v>
      </c>
      <c r="O304" s="67">
        <v>9304</v>
      </c>
      <c r="P304" s="270">
        <v>1</v>
      </c>
      <c r="Q304" s="71"/>
      <c r="S304" s="163">
        <v>4668</v>
      </c>
      <c r="T304" s="163">
        <v>4636</v>
      </c>
      <c r="U304" s="43">
        <v>0.99314481576692371</v>
      </c>
      <c r="V304" s="61"/>
      <c r="AC304" s="36"/>
      <c r="AD304" s="36"/>
      <c r="AE304" s="36"/>
      <c r="AF304" s="19"/>
    </row>
    <row r="305" spans="1:32">
      <c r="A305" s="64" t="s">
        <v>594</v>
      </c>
      <c r="B305" s="63" t="s">
        <v>276</v>
      </c>
      <c r="C305" s="63" t="s">
        <v>277</v>
      </c>
      <c r="D305" s="134">
        <v>0</v>
      </c>
      <c r="E305" s="67">
        <v>0</v>
      </c>
      <c r="F305" s="146">
        <v>0</v>
      </c>
      <c r="G305" s="92">
        <v>0</v>
      </c>
      <c r="H305" s="91">
        <v>0</v>
      </c>
      <c r="I305" s="67">
        <v>0</v>
      </c>
      <c r="J305" s="20">
        <v>0</v>
      </c>
      <c r="K305" s="132" t="s">
        <v>644</v>
      </c>
      <c r="L305" s="151">
        <v>0</v>
      </c>
      <c r="M305" s="128">
        <v>0</v>
      </c>
      <c r="N305" s="67">
        <v>0</v>
      </c>
      <c r="O305" s="67">
        <v>0</v>
      </c>
      <c r="P305" s="270" t="s">
        <v>801</v>
      </c>
      <c r="Q305" s="71"/>
      <c r="S305" s="163">
        <v>0</v>
      </c>
      <c r="T305" s="163">
        <v>0</v>
      </c>
      <c r="U305" s="43">
        <v>0</v>
      </c>
      <c r="V305" s="61"/>
      <c r="AC305" s="36"/>
      <c r="AD305" s="36"/>
      <c r="AE305" s="36"/>
      <c r="AF305" s="19"/>
    </row>
    <row r="306" spans="1:32">
      <c r="A306" s="64" t="s">
        <v>597</v>
      </c>
      <c r="B306" s="63" t="s">
        <v>367</v>
      </c>
      <c r="C306" s="63" t="s">
        <v>368</v>
      </c>
      <c r="D306" s="134">
        <v>32.875</v>
      </c>
      <c r="E306" s="67">
        <v>5411</v>
      </c>
      <c r="F306" s="146">
        <v>0</v>
      </c>
      <c r="G306" s="92">
        <v>1650</v>
      </c>
      <c r="H306" s="91">
        <v>7061</v>
      </c>
      <c r="I306" s="67">
        <v>0</v>
      </c>
      <c r="J306" s="20">
        <v>5411</v>
      </c>
      <c r="K306" s="132" t="s">
        <v>644</v>
      </c>
      <c r="L306" s="151">
        <v>5411</v>
      </c>
      <c r="M306" s="128">
        <v>0</v>
      </c>
      <c r="N306" s="67">
        <v>0</v>
      </c>
      <c r="O306" s="67">
        <v>0</v>
      </c>
      <c r="P306" s="270" t="s">
        <v>801</v>
      </c>
      <c r="Q306" s="71"/>
      <c r="S306" s="163">
        <v>0</v>
      </c>
      <c r="T306" s="163">
        <v>0</v>
      </c>
      <c r="U306" s="43">
        <v>0</v>
      </c>
      <c r="V306" s="61"/>
      <c r="AC306" s="36"/>
      <c r="AD306" s="36"/>
      <c r="AE306" s="36"/>
      <c r="AF306" s="19"/>
    </row>
    <row r="307" spans="1:32">
      <c r="A307" s="64" t="s">
        <v>599</v>
      </c>
      <c r="B307" s="63" t="s">
        <v>248</v>
      </c>
      <c r="C307" s="63" t="s">
        <v>249</v>
      </c>
      <c r="D307" s="134">
        <v>180.75</v>
      </c>
      <c r="E307" s="67">
        <v>29749</v>
      </c>
      <c r="F307" s="146">
        <v>0</v>
      </c>
      <c r="G307" s="92">
        <v>4500</v>
      </c>
      <c r="H307" s="91">
        <v>34249</v>
      </c>
      <c r="I307" s="67">
        <v>0</v>
      </c>
      <c r="J307" s="20">
        <v>29749</v>
      </c>
      <c r="K307" s="132" t="s">
        <v>621</v>
      </c>
      <c r="L307" s="151">
        <v>0</v>
      </c>
      <c r="M307" s="128">
        <v>180.75</v>
      </c>
      <c r="N307" s="67">
        <v>483</v>
      </c>
      <c r="O307" s="67">
        <v>30232</v>
      </c>
      <c r="P307" s="270" t="s">
        <v>801</v>
      </c>
      <c r="Q307" s="71"/>
      <c r="S307" s="163">
        <v>22703</v>
      </c>
      <c r="T307" s="163">
        <v>7529</v>
      </c>
      <c r="U307" s="43">
        <v>0.33163018103334363</v>
      </c>
      <c r="V307" s="61"/>
      <c r="AC307" s="36"/>
      <c r="AD307" s="36"/>
      <c r="AE307" s="36"/>
      <c r="AF307" s="19"/>
    </row>
    <row r="308" spans="1:32">
      <c r="A308" s="64" t="s">
        <v>603</v>
      </c>
      <c r="B308" s="63" t="s">
        <v>289</v>
      </c>
      <c r="C308" s="63" t="s">
        <v>290</v>
      </c>
      <c r="D308" s="134">
        <v>0</v>
      </c>
      <c r="E308" s="67">
        <v>0</v>
      </c>
      <c r="F308" s="146">
        <v>0</v>
      </c>
      <c r="G308" s="92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P308" s="270" t="s">
        <v>801</v>
      </c>
      <c r="Q308" s="71"/>
      <c r="S308" s="163">
        <v>0</v>
      </c>
      <c r="T308" s="163">
        <v>0</v>
      </c>
      <c r="U308" s="43">
        <v>0</v>
      </c>
      <c r="V308" s="61"/>
      <c r="AC308" s="36"/>
      <c r="AD308" s="36"/>
      <c r="AE308" s="36"/>
      <c r="AF308" s="19"/>
    </row>
    <row r="309" spans="1:32">
      <c r="A309" s="64" t="s">
        <v>594</v>
      </c>
      <c r="B309" s="63" t="s">
        <v>332</v>
      </c>
      <c r="C309" s="63" t="s">
        <v>333</v>
      </c>
      <c r="D309" s="134">
        <v>2.5</v>
      </c>
      <c r="E309" s="67">
        <v>411</v>
      </c>
      <c r="F309" s="146">
        <v>0</v>
      </c>
      <c r="G309" s="92">
        <v>0</v>
      </c>
      <c r="H309" s="91">
        <v>411</v>
      </c>
      <c r="I309" s="67">
        <v>0</v>
      </c>
      <c r="J309" s="20">
        <v>411</v>
      </c>
      <c r="K309" s="132" t="s">
        <v>644</v>
      </c>
      <c r="L309" s="151">
        <v>411</v>
      </c>
      <c r="M309" s="128">
        <v>0</v>
      </c>
      <c r="N309" s="67">
        <v>0</v>
      </c>
      <c r="O309" s="67">
        <v>0</v>
      </c>
      <c r="P309" s="270" t="s">
        <v>801</v>
      </c>
      <c r="Q309" s="71"/>
      <c r="S309" s="163">
        <v>0</v>
      </c>
      <c r="T309" s="163">
        <v>0</v>
      </c>
      <c r="U309" s="43">
        <v>0</v>
      </c>
      <c r="V309" s="61"/>
      <c r="AC309" s="36"/>
      <c r="AD309" s="36"/>
      <c r="AE309" s="36"/>
      <c r="AF309" s="19"/>
    </row>
    <row r="310" spans="1:32">
      <c r="A310" s="64" t="s">
        <v>601</v>
      </c>
      <c r="B310" s="63" t="s">
        <v>129</v>
      </c>
      <c r="C310" s="63" t="s">
        <v>130</v>
      </c>
      <c r="D310" s="134">
        <v>0</v>
      </c>
      <c r="E310" s="67">
        <v>0</v>
      </c>
      <c r="F310" s="146">
        <v>0</v>
      </c>
      <c r="G310" s="92">
        <v>0</v>
      </c>
      <c r="H310" s="91">
        <v>0</v>
      </c>
      <c r="I310" s="67">
        <v>0</v>
      </c>
      <c r="J310" s="20">
        <v>0</v>
      </c>
      <c r="K310" s="132" t="s">
        <v>644</v>
      </c>
      <c r="L310" s="151">
        <v>0</v>
      </c>
      <c r="M310" s="128">
        <v>0</v>
      </c>
      <c r="N310" s="67">
        <v>0</v>
      </c>
      <c r="O310" s="67">
        <v>0</v>
      </c>
      <c r="P310" s="270" t="s">
        <v>801</v>
      </c>
      <c r="Q310" s="71"/>
      <c r="S310" s="163">
        <v>0</v>
      </c>
      <c r="T310" s="163">
        <v>0</v>
      </c>
      <c r="U310" s="43">
        <v>0</v>
      </c>
      <c r="V310" s="61"/>
      <c r="AC310" s="36"/>
      <c r="AD310" s="36"/>
      <c r="AE310" s="36"/>
      <c r="AF310" s="19"/>
    </row>
    <row r="311" spans="1:32">
      <c r="A311" s="64" t="s">
        <v>594</v>
      </c>
      <c r="B311" s="63" t="s">
        <v>264</v>
      </c>
      <c r="C311" s="63" t="s">
        <v>265</v>
      </c>
      <c r="D311" s="134">
        <v>78.25</v>
      </c>
      <c r="E311" s="67">
        <v>12879</v>
      </c>
      <c r="F311" s="146">
        <v>0</v>
      </c>
      <c r="G311" s="92">
        <v>0</v>
      </c>
      <c r="H311" s="91">
        <v>12879</v>
      </c>
      <c r="I311" s="67">
        <v>0</v>
      </c>
      <c r="J311" s="20">
        <v>12879</v>
      </c>
      <c r="K311" s="132" t="s">
        <v>621</v>
      </c>
      <c r="L311" s="151">
        <v>0</v>
      </c>
      <c r="M311" s="128">
        <v>78.25</v>
      </c>
      <c r="N311" s="67">
        <v>209</v>
      </c>
      <c r="O311" s="67">
        <v>13088</v>
      </c>
      <c r="P311" s="270" t="s">
        <v>801</v>
      </c>
      <c r="Q311" s="71"/>
      <c r="S311" s="163">
        <v>9534</v>
      </c>
      <c r="T311" s="163">
        <v>3554</v>
      </c>
      <c r="U311" s="43">
        <v>0.37277113488567232</v>
      </c>
      <c r="V311" s="60"/>
    </row>
    <row r="312" spans="1:32">
      <c r="A312" s="64" t="s">
        <v>594</v>
      </c>
      <c r="B312" s="63" t="s">
        <v>151</v>
      </c>
      <c r="C312" s="63" t="s">
        <v>152</v>
      </c>
      <c r="D312" s="134">
        <v>0</v>
      </c>
      <c r="E312" s="67">
        <v>0</v>
      </c>
      <c r="F312" s="146">
        <v>0</v>
      </c>
      <c r="G312" s="92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P312" s="270" t="s">
        <v>801</v>
      </c>
      <c r="Q312" s="71"/>
      <c r="S312" s="163">
        <v>0</v>
      </c>
      <c r="T312" s="163">
        <v>0</v>
      </c>
      <c r="U312" s="43">
        <v>0</v>
      </c>
      <c r="V312" s="62"/>
    </row>
    <row r="313" spans="1:32">
      <c r="A313" s="64" t="s">
        <v>599</v>
      </c>
      <c r="B313" s="63" t="s">
        <v>232</v>
      </c>
      <c r="C313" s="63" t="s">
        <v>233</v>
      </c>
      <c r="D313" s="134">
        <v>0</v>
      </c>
      <c r="E313" s="67">
        <v>0</v>
      </c>
      <c r="F313" s="146">
        <v>0</v>
      </c>
      <c r="G313" s="92">
        <v>0</v>
      </c>
      <c r="H313" s="91">
        <v>0</v>
      </c>
      <c r="I313" s="67">
        <v>0</v>
      </c>
      <c r="J313" s="20">
        <v>0</v>
      </c>
      <c r="K313" s="132" t="s">
        <v>644</v>
      </c>
      <c r="L313" s="151">
        <v>0</v>
      </c>
      <c r="M313" s="128">
        <v>0</v>
      </c>
      <c r="N313" s="67">
        <v>0</v>
      </c>
      <c r="O313" s="67">
        <v>0</v>
      </c>
      <c r="P313" s="270" t="s">
        <v>801</v>
      </c>
      <c r="Q313" s="71"/>
      <c r="S313" s="163">
        <v>0</v>
      </c>
      <c r="T313" s="163">
        <v>0</v>
      </c>
      <c r="U313" s="43">
        <v>0</v>
      </c>
    </row>
    <row r="314" spans="1:32">
      <c r="A314" s="64" t="s">
        <v>599</v>
      </c>
      <c r="B314" s="63" t="s">
        <v>78</v>
      </c>
      <c r="C314" s="63" t="s">
        <v>79</v>
      </c>
      <c r="D314" s="134">
        <v>100.875</v>
      </c>
      <c r="E314" s="67">
        <v>16603</v>
      </c>
      <c r="F314" s="146">
        <v>0</v>
      </c>
      <c r="G314" s="92">
        <v>0</v>
      </c>
      <c r="H314" s="91">
        <v>16603</v>
      </c>
      <c r="I314" s="67">
        <v>0</v>
      </c>
      <c r="J314" s="20">
        <v>16603</v>
      </c>
      <c r="K314" s="132" t="s">
        <v>621</v>
      </c>
      <c r="L314" s="151">
        <v>0</v>
      </c>
      <c r="M314" s="128">
        <v>100.875</v>
      </c>
      <c r="N314" s="67">
        <v>270</v>
      </c>
      <c r="O314" s="67">
        <v>16873</v>
      </c>
      <c r="P314" s="270" t="s">
        <v>801</v>
      </c>
      <c r="Q314" s="71"/>
      <c r="S314" s="163">
        <v>11171</v>
      </c>
      <c r="T314" s="163">
        <v>5702</v>
      </c>
      <c r="U314" s="43">
        <v>0.51042878882821596</v>
      </c>
    </row>
    <row r="315" spans="1:32">
      <c r="A315" s="64" t="s">
        <v>605</v>
      </c>
      <c r="B315" s="63" t="s">
        <v>547</v>
      </c>
      <c r="C315" s="63" t="s">
        <v>548</v>
      </c>
      <c r="D315" s="134">
        <v>3772.5</v>
      </c>
      <c r="E315" s="67">
        <v>620912</v>
      </c>
      <c r="F315" s="146">
        <v>0</v>
      </c>
      <c r="G315" s="92">
        <v>0</v>
      </c>
      <c r="H315" s="91">
        <v>620912</v>
      </c>
      <c r="I315" s="67">
        <v>0</v>
      </c>
      <c r="J315" s="20">
        <v>620912</v>
      </c>
      <c r="K315" s="132" t="s">
        <v>621</v>
      </c>
      <c r="L315" s="151">
        <v>0</v>
      </c>
      <c r="M315" s="128">
        <v>3772.5</v>
      </c>
      <c r="N315" s="67">
        <v>10091</v>
      </c>
      <c r="O315" s="67">
        <v>631003</v>
      </c>
      <c r="P315" s="270" t="s">
        <v>801</v>
      </c>
      <c r="Q315" s="71"/>
      <c r="S315" s="163">
        <v>519809</v>
      </c>
      <c r="T315" s="163">
        <v>111194</v>
      </c>
      <c r="U315" s="43">
        <v>0.21391318734381282</v>
      </c>
    </row>
    <row r="316" spans="1:32">
      <c r="A316" s="64" t="s">
        <v>594</v>
      </c>
      <c r="B316" s="63" t="s">
        <v>472</v>
      </c>
      <c r="C316" s="63" t="s">
        <v>473</v>
      </c>
      <c r="D316" s="134">
        <v>50.375</v>
      </c>
      <c r="E316" s="67">
        <v>8291</v>
      </c>
      <c r="F316" s="146">
        <v>0</v>
      </c>
      <c r="G316" s="92">
        <v>0</v>
      </c>
      <c r="H316" s="91">
        <v>8291</v>
      </c>
      <c r="I316" s="67">
        <v>0</v>
      </c>
      <c r="J316" s="20">
        <v>8291</v>
      </c>
      <c r="K316" s="132" t="s">
        <v>644</v>
      </c>
      <c r="L316" s="151">
        <v>8291</v>
      </c>
      <c r="M316" s="128">
        <v>0</v>
      </c>
      <c r="N316" s="67">
        <v>0</v>
      </c>
      <c r="O316" s="67">
        <v>0</v>
      </c>
      <c r="P316" s="270" t="s">
        <v>801</v>
      </c>
      <c r="Q316" s="71"/>
      <c r="S316" s="163">
        <v>0</v>
      </c>
      <c r="T316" s="163">
        <v>0</v>
      </c>
      <c r="U316" s="43">
        <v>0</v>
      </c>
    </row>
    <row r="317" spans="1:32">
      <c r="A317" s="64" t="s">
        <v>605</v>
      </c>
      <c r="B317" s="63" t="s">
        <v>565</v>
      </c>
      <c r="C317" s="63" t="s">
        <v>566</v>
      </c>
      <c r="D317" s="134">
        <v>135.625</v>
      </c>
      <c r="E317" s="67">
        <v>22322</v>
      </c>
      <c r="F317" s="146">
        <v>0</v>
      </c>
      <c r="G317" s="92">
        <v>0</v>
      </c>
      <c r="H317" s="91">
        <v>22322</v>
      </c>
      <c r="I317" s="67">
        <v>0</v>
      </c>
      <c r="J317" s="20">
        <v>22322</v>
      </c>
      <c r="K317" s="132" t="s">
        <v>621</v>
      </c>
      <c r="L317" s="151">
        <v>0</v>
      </c>
      <c r="M317" s="128">
        <v>135.625</v>
      </c>
      <c r="N317" s="67">
        <v>363</v>
      </c>
      <c r="O317" s="67">
        <v>22685</v>
      </c>
      <c r="P317" s="270" t="s">
        <v>801</v>
      </c>
      <c r="Q317" s="73"/>
      <c r="S317" s="163">
        <v>14307</v>
      </c>
      <c r="T317" s="163">
        <v>8378</v>
      </c>
      <c r="U317" s="43">
        <v>0.58558747466275252</v>
      </c>
    </row>
    <row r="318" spans="1:32">
      <c r="C318" s="105" t="s">
        <v>620</v>
      </c>
      <c r="D318" s="67">
        <v>80243.875</v>
      </c>
      <c r="E318" s="67">
        <v>13207258</v>
      </c>
      <c r="F318" s="67">
        <v>265000</v>
      </c>
      <c r="G318" s="67">
        <v>50100</v>
      </c>
      <c r="H318" s="91">
        <v>13522358</v>
      </c>
      <c r="I318" s="71">
        <v>0</v>
      </c>
      <c r="J318" s="73">
        <v>13207258</v>
      </c>
      <c r="K318" s="72">
        <v>139</v>
      </c>
      <c r="L318" s="88">
        <v>211209</v>
      </c>
      <c r="M318" s="67">
        <v>78960.625</v>
      </c>
      <c r="N318" s="88">
        <v>211206</v>
      </c>
      <c r="O318" s="88">
        <v>13207256</v>
      </c>
      <c r="P318" s="270">
        <v>0</v>
      </c>
      <c r="Q318" s="88"/>
      <c r="R318" s="72"/>
      <c r="S318" s="91">
        <v>9151934</v>
      </c>
      <c r="T318" s="91">
        <v>4055322</v>
      </c>
      <c r="U318" s="161"/>
      <c r="V318" s="72"/>
      <c r="W318" s="72"/>
      <c r="X318" s="72"/>
    </row>
    <row r="319" spans="1:32">
      <c r="F319" s="83">
        <v>315100</v>
      </c>
    </row>
  </sheetData>
  <mergeCells count="3">
    <mergeCell ref="E2:H2"/>
    <mergeCell ref="I2:J2"/>
    <mergeCell ref="K2:O2"/>
  </mergeCells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theme="8" tint="-0.249977111117893"/>
  </sheetPr>
  <dimension ref="A1:F314"/>
  <sheetViews>
    <sheetView workbookViewId="0">
      <selection activeCell="AH28" sqref="AH28"/>
    </sheetView>
  </sheetViews>
  <sheetFormatPr defaultRowHeight="12.75"/>
  <cols>
    <col min="1" max="1" width="9.5703125" bestFit="1" customWidth="1"/>
    <col min="2" max="2" width="22.42578125" bestFit="1" customWidth="1"/>
    <col min="3" max="3" width="14" bestFit="1" customWidth="1"/>
    <col min="4" max="4" width="14" customWidth="1"/>
    <col min="5" max="5" width="17.140625" bestFit="1" customWidth="1"/>
    <col min="6" max="6" width="12.5703125" bestFit="1" customWidth="1"/>
  </cols>
  <sheetData>
    <row r="1" spans="1:6" s="579" customFormat="1" ht="25.5">
      <c r="A1" s="682" t="s">
        <v>592</v>
      </c>
      <c r="B1" s="680" t="s">
        <v>578</v>
      </c>
      <c r="C1" s="680" t="s">
        <v>1729</v>
      </c>
      <c r="D1" s="680" t="s">
        <v>1724</v>
      </c>
      <c r="E1" s="679" t="s">
        <v>1722</v>
      </c>
      <c r="F1" s="681" t="s">
        <v>733</v>
      </c>
    </row>
    <row r="2" spans="1:6">
      <c r="A2" s="784" t="s">
        <v>0</v>
      </c>
      <c r="B2" s="784" t="s">
        <v>1369</v>
      </c>
      <c r="C2" s="492">
        <f>VLOOKUP(A2,'Allocation 2019-20'!$B$9:$O$321,14,FALSE)</f>
        <v>0</v>
      </c>
      <c r="D2" s="492">
        <f>IFERROR(VLOOKUP(A2,'Allocation 2018-19'!$B$9:$O$321,14,FALSE),0)</f>
        <v>0</v>
      </c>
      <c r="E2" s="580">
        <f t="shared" ref="E2:E65" si="0">C2-D2</f>
        <v>0</v>
      </c>
      <c r="F2" s="581">
        <f t="shared" ref="F2:F65" si="1">IF(D2=0,0,E2/D2)</f>
        <v>0</v>
      </c>
    </row>
    <row r="3" spans="1:6">
      <c r="A3" s="784" t="s">
        <v>2</v>
      </c>
      <c r="B3" s="784" t="s">
        <v>1370</v>
      </c>
      <c r="C3" s="492">
        <f>VLOOKUP(A3,'Allocation 2019-20'!$B$9:$O$321,14,FALSE)</f>
        <v>0</v>
      </c>
      <c r="D3" s="492">
        <f>IFERROR(VLOOKUP(A3,'Allocation 2018-19'!$B$9:$O$321,14,FALSE),0)</f>
        <v>0</v>
      </c>
      <c r="E3" s="580">
        <f t="shared" si="0"/>
        <v>0</v>
      </c>
      <c r="F3" s="581">
        <f t="shared" si="1"/>
        <v>0</v>
      </c>
    </row>
    <row r="4" spans="1:6">
      <c r="A4" s="784" t="s">
        <v>4</v>
      </c>
      <c r="B4" s="784" t="s">
        <v>632</v>
      </c>
      <c r="C4" s="492">
        <f>VLOOKUP(A4,'Allocation 2019-20'!$B$9:$O$321,14,FALSE)</f>
        <v>159787</v>
      </c>
      <c r="D4" s="492">
        <f>IFERROR(VLOOKUP(A4,'Allocation 2018-19'!$B$9:$O$321,14,FALSE),0)</f>
        <v>225225</v>
      </c>
      <c r="E4" s="580">
        <f t="shared" si="0"/>
        <v>-65438</v>
      </c>
      <c r="F4" s="581">
        <f t="shared" si="1"/>
        <v>-0.29054501054501053</v>
      </c>
    </row>
    <row r="5" spans="1:6">
      <c r="A5" s="785" t="s">
        <v>6</v>
      </c>
      <c r="B5" s="784" t="s">
        <v>1371</v>
      </c>
      <c r="C5" s="492">
        <f>VLOOKUP(A5,'Allocation 2019-20'!$B$9:$O$321,14,FALSE)</f>
        <v>0</v>
      </c>
      <c r="D5" s="492">
        <f>IFERROR(VLOOKUP(A5,'Allocation 2018-19'!$B$9:$O$321,14,FALSE),0)</f>
        <v>0</v>
      </c>
      <c r="E5" s="580">
        <f t="shared" si="0"/>
        <v>0</v>
      </c>
      <c r="F5" s="581">
        <f t="shared" si="1"/>
        <v>0</v>
      </c>
    </row>
    <row r="6" spans="1:6">
      <c r="A6" s="784" t="s">
        <v>8</v>
      </c>
      <c r="B6" s="784" t="s">
        <v>1372</v>
      </c>
      <c r="C6" s="492">
        <f>VLOOKUP(A6,'Allocation 2019-20'!$B$9:$O$321,14,FALSE)</f>
        <v>0</v>
      </c>
      <c r="D6" s="492">
        <f>IFERROR(VLOOKUP(A6,'Allocation 2018-19'!$B$9:$O$321,14,FALSE),0)</f>
        <v>0</v>
      </c>
      <c r="E6" s="580">
        <f t="shared" si="0"/>
        <v>0</v>
      </c>
      <c r="F6" s="581">
        <f t="shared" si="1"/>
        <v>0</v>
      </c>
    </row>
    <row r="7" spans="1:6">
      <c r="A7" s="784" t="s">
        <v>10</v>
      </c>
      <c r="B7" s="784" t="s">
        <v>1373</v>
      </c>
      <c r="C7" s="492">
        <f>VLOOKUP(A7,'Allocation 2019-20'!$B$9:$O$321,14,FALSE)</f>
        <v>0</v>
      </c>
      <c r="D7" s="492">
        <f>IFERROR(VLOOKUP(A7,'Allocation 2018-19'!$B$9:$O$321,14,FALSE),0)</f>
        <v>0</v>
      </c>
      <c r="E7" s="580">
        <f t="shared" si="0"/>
        <v>0</v>
      </c>
      <c r="F7" s="581">
        <f t="shared" si="1"/>
        <v>0</v>
      </c>
    </row>
    <row r="8" spans="1:6">
      <c r="A8" s="784" t="s">
        <v>12</v>
      </c>
      <c r="B8" s="784" t="s">
        <v>1374</v>
      </c>
      <c r="C8" s="492">
        <f>VLOOKUP(A8,'Allocation 2019-20'!$B$9:$O$321,14,FALSE)</f>
        <v>0</v>
      </c>
      <c r="D8" s="492">
        <f>IFERROR(VLOOKUP(A8,'Allocation 2018-19'!$B$9:$O$321,14,FALSE),0)</f>
        <v>0</v>
      </c>
      <c r="E8" s="580">
        <f t="shared" si="0"/>
        <v>0</v>
      </c>
      <c r="F8" s="581">
        <f t="shared" si="1"/>
        <v>0</v>
      </c>
    </row>
    <row r="9" spans="1:6">
      <c r="A9" s="784" t="s">
        <v>14</v>
      </c>
      <c r="B9" s="784" t="s">
        <v>636</v>
      </c>
      <c r="C9" s="492">
        <f>VLOOKUP(A9,'Allocation 2019-20'!$B$9:$O$321,14,FALSE)</f>
        <v>337525</v>
      </c>
      <c r="D9" s="492">
        <f>IFERROR(VLOOKUP(A9,'Allocation 2018-19'!$B$9:$O$321,14,FALSE),0)</f>
        <v>351925</v>
      </c>
      <c r="E9" s="580">
        <f t="shared" si="0"/>
        <v>-14400</v>
      </c>
      <c r="F9" s="581">
        <f t="shared" si="1"/>
        <v>-4.0917809192299495E-2</v>
      </c>
    </row>
    <row r="10" spans="1:6">
      <c r="A10" s="784" t="s">
        <v>16</v>
      </c>
      <c r="B10" s="784" t="s">
        <v>1375</v>
      </c>
      <c r="C10" s="492">
        <f>VLOOKUP(A10,'Allocation 2019-20'!$B$9:$O$321,14,FALSE)</f>
        <v>0</v>
      </c>
      <c r="D10" s="492">
        <f>IFERROR(VLOOKUP(A10,'Allocation 2018-19'!$B$9:$O$321,14,FALSE),0)</f>
        <v>0</v>
      </c>
      <c r="E10" s="580">
        <f t="shared" si="0"/>
        <v>0</v>
      </c>
      <c r="F10" s="581">
        <f t="shared" si="1"/>
        <v>0</v>
      </c>
    </row>
    <row r="11" spans="1:6">
      <c r="A11" s="784" t="s">
        <v>18</v>
      </c>
      <c r="B11" s="784" t="s">
        <v>1376</v>
      </c>
      <c r="C11" s="492">
        <f>VLOOKUP(A11,'Allocation 2019-20'!$B$9:$O$321,14,FALSE)</f>
        <v>44346</v>
      </c>
      <c r="D11" s="492">
        <f>IFERROR(VLOOKUP(A11,'Allocation 2018-19'!$B$9:$O$321,14,FALSE),0)</f>
        <v>41746</v>
      </c>
      <c r="E11" s="580">
        <f t="shared" si="0"/>
        <v>2600</v>
      </c>
      <c r="F11" s="581">
        <f t="shared" si="1"/>
        <v>6.2281416183586451E-2</v>
      </c>
    </row>
    <row r="12" spans="1:6">
      <c r="A12" s="784" t="s">
        <v>19</v>
      </c>
      <c r="B12" s="784" t="s">
        <v>1377</v>
      </c>
      <c r="C12" s="492">
        <f>VLOOKUP(A12,'Allocation 2019-20'!$B$9:$O$321,14,FALSE)</f>
        <v>20996</v>
      </c>
      <c r="D12" s="492">
        <f>IFERROR(VLOOKUP(A12,'Allocation 2018-19'!$B$9:$O$321,14,FALSE),0)</f>
        <v>19449</v>
      </c>
      <c r="E12" s="580">
        <f t="shared" si="0"/>
        <v>1547</v>
      </c>
      <c r="F12" s="581">
        <f t="shared" si="1"/>
        <v>7.9541364594580694E-2</v>
      </c>
    </row>
    <row r="13" spans="1:6">
      <c r="A13" s="784" t="s">
        <v>21</v>
      </c>
      <c r="B13" s="784" t="s">
        <v>1378</v>
      </c>
      <c r="C13" s="492">
        <f>VLOOKUP(A13,'Allocation 2019-20'!$B$9:$O$321,14,FALSE)</f>
        <v>70989</v>
      </c>
      <c r="D13" s="492">
        <f>IFERROR(VLOOKUP(A13,'Allocation 2018-19'!$B$9:$O$321,14,FALSE),0)</f>
        <v>74525</v>
      </c>
      <c r="E13" s="580">
        <f t="shared" si="0"/>
        <v>-3536</v>
      </c>
      <c r="F13" s="581">
        <f t="shared" si="1"/>
        <v>-4.744716538074472E-2</v>
      </c>
    </row>
    <row r="14" spans="1:6">
      <c r="A14" s="784" t="s">
        <v>23</v>
      </c>
      <c r="B14" s="784" t="s">
        <v>1379</v>
      </c>
      <c r="C14" s="492">
        <f>VLOOKUP(A14,'Allocation 2019-20'!$B$9:$O$321,14,FALSE)</f>
        <v>89206</v>
      </c>
      <c r="D14" s="492">
        <f>IFERROR(VLOOKUP(A14,'Allocation 2018-19'!$B$9:$O$321,14,FALSE),0)</f>
        <v>85264</v>
      </c>
      <c r="E14" s="580">
        <f t="shared" si="0"/>
        <v>3942</v>
      </c>
      <c r="F14" s="581">
        <f t="shared" si="1"/>
        <v>4.6232876712328765E-2</v>
      </c>
    </row>
    <row r="15" spans="1:6">
      <c r="A15" s="784" t="s">
        <v>25</v>
      </c>
      <c r="B15" s="784" t="s">
        <v>1380</v>
      </c>
      <c r="C15" s="492">
        <f>VLOOKUP(A15,'Allocation 2019-20'!$B$9:$O$321,14,FALSE)</f>
        <v>28643</v>
      </c>
      <c r="D15" s="492">
        <f>IFERROR(VLOOKUP(A15,'Allocation 2018-19'!$B$9:$O$321,14,FALSE),0)</f>
        <v>30823</v>
      </c>
      <c r="E15" s="580">
        <f t="shared" si="0"/>
        <v>-2180</v>
      </c>
      <c r="F15" s="581">
        <f t="shared" si="1"/>
        <v>-7.0726405606203163E-2</v>
      </c>
    </row>
    <row r="16" spans="1:6">
      <c r="A16" s="784" t="s">
        <v>27</v>
      </c>
      <c r="B16" s="784" t="s">
        <v>1381</v>
      </c>
      <c r="C16" s="492">
        <f>VLOOKUP(A16,'Allocation 2019-20'!$B$9:$O$321,14,FALSE)</f>
        <v>0</v>
      </c>
      <c r="D16" s="492">
        <f>IFERROR(VLOOKUP(A16,'Allocation 2018-19'!$B$9:$O$321,14,FALSE),0)</f>
        <v>0</v>
      </c>
      <c r="E16" s="580">
        <f t="shared" si="0"/>
        <v>0</v>
      </c>
      <c r="F16" s="581">
        <f t="shared" si="1"/>
        <v>0</v>
      </c>
    </row>
    <row r="17" spans="1:6">
      <c r="A17" s="784" t="s">
        <v>29</v>
      </c>
      <c r="B17" s="784" t="s">
        <v>1382</v>
      </c>
      <c r="C17" s="492">
        <f>VLOOKUP(A17,'Allocation 2019-20'!$B$9:$O$321,14,FALSE)</f>
        <v>0</v>
      </c>
      <c r="D17" s="492">
        <f>IFERROR(VLOOKUP(A17,'Allocation 2018-19'!$B$9:$O$321,14,FALSE),0)</f>
        <v>0</v>
      </c>
      <c r="E17" s="580">
        <f t="shared" si="0"/>
        <v>0</v>
      </c>
      <c r="F17" s="581">
        <f t="shared" si="1"/>
        <v>0</v>
      </c>
    </row>
    <row r="18" spans="1:6">
      <c r="A18" s="784" t="s">
        <v>31</v>
      </c>
      <c r="B18" s="784" t="s">
        <v>624</v>
      </c>
      <c r="C18" s="492">
        <f>VLOOKUP(A18,'Allocation 2019-20'!$B$9:$O$321,14,FALSE)</f>
        <v>48612</v>
      </c>
      <c r="D18" s="492">
        <f>IFERROR(VLOOKUP(A18,'Allocation 2018-19'!$B$9:$O$321,14,FALSE),0)</f>
        <v>50478</v>
      </c>
      <c r="E18" s="580">
        <f t="shared" si="0"/>
        <v>-1866</v>
      </c>
      <c r="F18" s="581">
        <f t="shared" si="1"/>
        <v>-3.696659931059075E-2</v>
      </c>
    </row>
    <row r="19" spans="1:6">
      <c r="A19" s="784" t="s">
        <v>33</v>
      </c>
      <c r="B19" s="784" t="s">
        <v>878</v>
      </c>
      <c r="C19" s="492">
        <f>VLOOKUP(A19,'Allocation 2019-20'!$B$9:$O$321,14,FALSE)</f>
        <v>27564</v>
      </c>
      <c r="D19" s="492">
        <f>IFERROR(VLOOKUP(A19,'Allocation 2018-19'!$B$9:$O$321,14,FALSE),0)</f>
        <v>30017</v>
      </c>
      <c r="E19" s="580">
        <f t="shared" si="0"/>
        <v>-2453</v>
      </c>
      <c r="F19" s="581">
        <f t="shared" si="1"/>
        <v>-8.1720358463537326E-2</v>
      </c>
    </row>
    <row r="20" spans="1:6">
      <c r="A20" s="784" t="s">
        <v>35</v>
      </c>
      <c r="B20" s="784" t="s">
        <v>1383</v>
      </c>
      <c r="C20" s="492">
        <f>VLOOKUP(A20,'Allocation 2019-20'!$B$9:$O$321,14,FALSE)</f>
        <v>21953</v>
      </c>
      <c r="D20" s="492">
        <f>IFERROR(VLOOKUP(A20,'Allocation 2018-19'!$B$9:$O$321,14,FALSE),0)</f>
        <v>22689</v>
      </c>
      <c r="E20" s="580">
        <f t="shared" si="0"/>
        <v>-736</v>
      </c>
      <c r="F20" s="581">
        <f t="shared" si="1"/>
        <v>-3.243862664727401E-2</v>
      </c>
    </row>
    <row r="21" spans="1:6">
      <c r="A21" s="784" t="s">
        <v>37</v>
      </c>
      <c r="B21" s="784" t="s">
        <v>1384</v>
      </c>
      <c r="C21" s="492">
        <f>VLOOKUP(A21,'Allocation 2019-20'!$B$9:$O$321,14,FALSE)</f>
        <v>236123</v>
      </c>
      <c r="D21" s="492">
        <f>IFERROR(VLOOKUP(A21,'Allocation 2018-19'!$B$9:$O$321,14,FALSE),0)</f>
        <v>235944</v>
      </c>
      <c r="E21" s="580">
        <f t="shared" si="0"/>
        <v>179</v>
      </c>
      <c r="F21" s="581">
        <f t="shared" si="1"/>
        <v>7.5865459600583192E-4</v>
      </c>
    </row>
    <row r="22" spans="1:6">
      <c r="A22" s="784" t="s">
        <v>39</v>
      </c>
      <c r="B22" s="784" t="s">
        <v>1385</v>
      </c>
      <c r="C22" s="492">
        <f>VLOOKUP(A22,'Allocation 2019-20'!$B$9:$O$321,14,FALSE)</f>
        <v>0</v>
      </c>
      <c r="D22" s="492">
        <f>IFERROR(VLOOKUP(A22,'Allocation 2018-19'!$B$9:$O$321,14,FALSE),0)</f>
        <v>0</v>
      </c>
      <c r="E22" s="580">
        <f t="shared" si="0"/>
        <v>0</v>
      </c>
      <c r="F22" s="581">
        <f t="shared" si="1"/>
        <v>0</v>
      </c>
    </row>
    <row r="23" spans="1:6">
      <c r="A23" s="784" t="s">
        <v>41</v>
      </c>
      <c r="B23" s="784" t="s">
        <v>1386</v>
      </c>
      <c r="C23" s="492">
        <f>VLOOKUP(A23,'Allocation 2019-20'!$B$9:$O$321,14,FALSE)</f>
        <v>0</v>
      </c>
      <c r="D23" s="492">
        <f>IFERROR(VLOOKUP(A23,'Allocation 2018-19'!$B$9:$O$321,14,FALSE),0)</f>
        <v>0</v>
      </c>
      <c r="E23" s="580">
        <f t="shared" si="0"/>
        <v>0</v>
      </c>
      <c r="F23" s="581">
        <f t="shared" si="1"/>
        <v>0</v>
      </c>
    </row>
    <row r="24" spans="1:6">
      <c r="A24" s="784" t="s">
        <v>43</v>
      </c>
      <c r="B24" s="784" t="s">
        <v>1387</v>
      </c>
      <c r="C24" s="492">
        <f>VLOOKUP(A24,'Allocation 2019-20'!$B$9:$O$321,14,FALSE)</f>
        <v>0</v>
      </c>
      <c r="D24" s="492">
        <f>IFERROR(VLOOKUP(A24,'Allocation 2018-19'!$B$9:$O$321,14,FALSE),0)</f>
        <v>0</v>
      </c>
      <c r="E24" s="580">
        <f t="shared" si="0"/>
        <v>0</v>
      </c>
      <c r="F24" s="581">
        <f t="shared" si="1"/>
        <v>0</v>
      </c>
    </row>
    <row r="25" spans="1:6">
      <c r="A25" s="784" t="s">
        <v>45</v>
      </c>
      <c r="B25" s="784" t="s">
        <v>1388</v>
      </c>
      <c r="C25" s="492">
        <f>VLOOKUP(A25,'Allocation 2019-20'!$B$9:$O$321,14,FALSE)</f>
        <v>0</v>
      </c>
      <c r="D25" s="492">
        <f>IFERROR(VLOOKUP(A25,'Allocation 2018-19'!$B$9:$O$321,14,FALSE),0)</f>
        <v>0</v>
      </c>
      <c r="E25" s="580">
        <f t="shared" si="0"/>
        <v>0</v>
      </c>
      <c r="F25" s="581">
        <f t="shared" si="1"/>
        <v>0</v>
      </c>
    </row>
    <row r="26" spans="1:6">
      <c r="A26" s="784" t="s">
        <v>47</v>
      </c>
      <c r="B26" s="784" t="s">
        <v>1389</v>
      </c>
      <c r="C26" s="492">
        <f>VLOOKUP(A26,'Allocation 2019-20'!$B$9:$O$321,14,FALSE)</f>
        <v>22111</v>
      </c>
      <c r="D26" s="492">
        <f>IFERROR(VLOOKUP(A26,'Allocation 2018-19'!$B$9:$O$321,14,FALSE),0)</f>
        <v>20093</v>
      </c>
      <c r="E26" s="580">
        <f t="shared" si="0"/>
        <v>2018</v>
      </c>
      <c r="F26" s="581">
        <f t="shared" si="1"/>
        <v>0.10043298661225303</v>
      </c>
    </row>
    <row r="27" spans="1:6">
      <c r="A27" s="784" t="s">
        <v>49</v>
      </c>
      <c r="B27" s="784" t="s">
        <v>1390</v>
      </c>
      <c r="C27" s="492">
        <f>VLOOKUP(A27,'Allocation 2019-20'!$B$9:$O$321,14,FALSE)</f>
        <v>388368</v>
      </c>
      <c r="D27" s="492">
        <f>IFERROR(VLOOKUP(A27,'Allocation 2018-19'!$B$9:$O$321,14,FALSE),0)</f>
        <v>398535</v>
      </c>
      <c r="E27" s="580">
        <f t="shared" si="0"/>
        <v>-10167</v>
      </c>
      <c r="F27" s="581">
        <f t="shared" si="1"/>
        <v>-2.5510933795024275E-2</v>
      </c>
    </row>
    <row r="28" spans="1:6">
      <c r="A28" s="784" t="s">
        <v>51</v>
      </c>
      <c r="B28" s="784" t="s">
        <v>1391</v>
      </c>
      <c r="C28" s="492">
        <f>VLOOKUP(A28,'Allocation 2019-20'!$B$9:$O$321,14,FALSE)</f>
        <v>5788</v>
      </c>
      <c r="D28" s="492">
        <f>IFERROR(VLOOKUP(A28,'Allocation 2018-19'!$B$9:$O$321,14,FALSE),0)</f>
        <v>0</v>
      </c>
      <c r="E28" s="580">
        <f t="shared" si="0"/>
        <v>5788</v>
      </c>
      <c r="F28" s="581">
        <f t="shared" si="1"/>
        <v>0</v>
      </c>
    </row>
    <row r="29" spans="1:6">
      <c r="A29" s="784" t="s">
        <v>53</v>
      </c>
      <c r="B29" s="784" t="s">
        <v>1392</v>
      </c>
      <c r="C29" s="492">
        <f>VLOOKUP(A29,'Allocation 2019-20'!$B$9:$O$321,14,FALSE)</f>
        <v>0</v>
      </c>
      <c r="D29" s="492">
        <f>IFERROR(VLOOKUP(A29,'Allocation 2018-19'!$B$9:$O$321,14,FALSE),0)</f>
        <v>0</v>
      </c>
      <c r="E29" s="580">
        <f t="shared" si="0"/>
        <v>0</v>
      </c>
      <c r="F29" s="581">
        <f t="shared" si="1"/>
        <v>0</v>
      </c>
    </row>
    <row r="30" spans="1:6">
      <c r="A30" s="784" t="s">
        <v>54</v>
      </c>
      <c r="B30" s="784" t="s">
        <v>1393</v>
      </c>
      <c r="C30" s="492">
        <f>VLOOKUP(A30,'Allocation 2019-20'!$B$9:$O$321,14,FALSE)</f>
        <v>0</v>
      </c>
      <c r="D30" s="492">
        <f>IFERROR(VLOOKUP(A30,'Allocation 2018-19'!$B$9:$O$321,14,FALSE),0)</f>
        <v>0</v>
      </c>
      <c r="E30" s="580">
        <f t="shared" si="0"/>
        <v>0</v>
      </c>
      <c r="F30" s="581">
        <f t="shared" si="1"/>
        <v>0</v>
      </c>
    </row>
    <row r="31" spans="1:6">
      <c r="A31" s="784" t="s">
        <v>56</v>
      </c>
      <c r="B31" s="784" t="s">
        <v>854</v>
      </c>
      <c r="C31" s="492">
        <f>VLOOKUP(A31,'Allocation 2019-20'!$B$9:$O$321,14,FALSE)</f>
        <v>9594</v>
      </c>
      <c r="D31" s="492">
        <f>IFERROR(VLOOKUP(A31,'Allocation 2018-19'!$B$9:$O$321,14,FALSE),0)</f>
        <v>0</v>
      </c>
      <c r="E31" s="580">
        <f t="shared" si="0"/>
        <v>9594</v>
      </c>
      <c r="F31" s="581">
        <f t="shared" si="1"/>
        <v>0</v>
      </c>
    </row>
    <row r="32" spans="1:6">
      <c r="A32" s="784" t="s">
        <v>58</v>
      </c>
      <c r="B32" s="784" t="s">
        <v>1394</v>
      </c>
      <c r="C32" s="492">
        <f>VLOOKUP(A32,'Allocation 2019-20'!$B$9:$O$321,14,FALSE)</f>
        <v>434873</v>
      </c>
      <c r="D32" s="492">
        <f>IFERROR(VLOOKUP(A32,'Allocation 2018-19'!$B$9:$O$321,14,FALSE),0)</f>
        <v>434219</v>
      </c>
      <c r="E32" s="580">
        <f t="shared" si="0"/>
        <v>654</v>
      </c>
      <c r="F32" s="581">
        <f t="shared" si="1"/>
        <v>1.5061524253890317E-3</v>
      </c>
    </row>
    <row r="33" spans="1:6">
      <c r="A33" s="784" t="s">
        <v>60</v>
      </c>
      <c r="B33" s="784" t="s">
        <v>1395</v>
      </c>
      <c r="C33" s="492">
        <f>VLOOKUP(A33,'Allocation 2019-20'!$B$9:$O$321,14,FALSE)</f>
        <v>25440</v>
      </c>
      <c r="D33" s="492">
        <f>IFERROR(VLOOKUP(A33,'Allocation 2018-19'!$B$9:$O$321,14,FALSE),0)</f>
        <v>25193</v>
      </c>
      <c r="E33" s="580">
        <f t="shared" si="0"/>
        <v>247</v>
      </c>
      <c r="F33" s="581">
        <f t="shared" si="1"/>
        <v>9.804310721232088E-3</v>
      </c>
    </row>
    <row r="34" spans="1:6">
      <c r="A34" s="784" t="s">
        <v>62</v>
      </c>
      <c r="B34" s="784" t="s">
        <v>1396</v>
      </c>
      <c r="C34" s="492">
        <f>VLOOKUP(A34,'Allocation 2019-20'!$B$9:$O$321,14,FALSE)</f>
        <v>103155</v>
      </c>
      <c r="D34" s="492">
        <f>IFERROR(VLOOKUP(A34,'Allocation 2018-19'!$B$9:$O$321,14,FALSE),0)</f>
        <v>107972</v>
      </c>
      <c r="E34" s="580">
        <f t="shared" si="0"/>
        <v>-4817</v>
      </c>
      <c r="F34" s="581">
        <f t="shared" si="1"/>
        <v>-4.4613418293631683E-2</v>
      </c>
    </row>
    <row r="35" spans="1:6">
      <c r="A35" s="784" t="s">
        <v>64</v>
      </c>
      <c r="B35" s="784" t="s">
        <v>1397</v>
      </c>
      <c r="C35" s="492">
        <f>VLOOKUP(A35,'Allocation 2019-20'!$B$9:$O$321,14,FALSE)</f>
        <v>11668</v>
      </c>
      <c r="D35" s="492">
        <f>IFERROR(VLOOKUP(A35,'Allocation 2018-19'!$B$9:$O$321,14,FALSE),0)</f>
        <v>10801</v>
      </c>
      <c r="E35" s="580">
        <f t="shared" si="0"/>
        <v>867</v>
      </c>
      <c r="F35" s="581">
        <f t="shared" si="1"/>
        <v>8.0270345338394597E-2</v>
      </c>
    </row>
    <row r="36" spans="1:6">
      <c r="A36" s="784" t="s">
        <v>651</v>
      </c>
      <c r="B36" s="784" t="s">
        <v>652</v>
      </c>
      <c r="C36" s="492">
        <f>VLOOKUP(A36,'Allocation 2019-20'!$B$9:$O$321,14,FALSE)</f>
        <v>0</v>
      </c>
      <c r="D36" s="492">
        <f>IFERROR(VLOOKUP(A36,'Allocation 2018-19'!$B$9:$O$321,14,FALSE),0)</f>
        <v>0</v>
      </c>
      <c r="E36" s="580">
        <f t="shared" si="0"/>
        <v>0</v>
      </c>
      <c r="F36" s="581">
        <f t="shared" si="1"/>
        <v>0</v>
      </c>
    </row>
    <row r="37" spans="1:6">
      <c r="A37" s="784" t="s">
        <v>66</v>
      </c>
      <c r="B37" s="784" t="s">
        <v>758</v>
      </c>
      <c r="C37" s="492">
        <f>VLOOKUP(A37,'Allocation 2019-20'!$B$9:$O$321,14,FALSE)</f>
        <v>0</v>
      </c>
      <c r="D37" s="492">
        <f>IFERROR(VLOOKUP(A37,'Allocation 2018-19'!$B$9:$O$321,14,FALSE),0)</f>
        <v>0</v>
      </c>
      <c r="E37" s="580">
        <f t="shared" si="0"/>
        <v>0</v>
      </c>
      <c r="F37" s="581">
        <f t="shared" si="1"/>
        <v>0</v>
      </c>
    </row>
    <row r="38" spans="1:6">
      <c r="A38" s="784" t="s">
        <v>68</v>
      </c>
      <c r="B38" s="784" t="s">
        <v>1398</v>
      </c>
      <c r="C38" s="492">
        <f>VLOOKUP(A38,'Allocation 2019-20'!$B$9:$O$321,14,FALSE)</f>
        <v>0</v>
      </c>
      <c r="D38" s="492">
        <f>IFERROR(VLOOKUP(A38,'Allocation 2018-19'!$B$9:$O$321,14,FALSE),0)</f>
        <v>0</v>
      </c>
      <c r="E38" s="580">
        <f t="shared" si="0"/>
        <v>0</v>
      </c>
      <c r="F38" s="581">
        <f t="shared" si="1"/>
        <v>0</v>
      </c>
    </row>
    <row r="39" spans="1:6">
      <c r="A39" s="784" t="s">
        <v>70</v>
      </c>
      <c r="B39" s="784" t="s">
        <v>1399</v>
      </c>
      <c r="C39" s="492">
        <f>VLOOKUP(A39,'Allocation 2019-20'!$B$9:$O$321,14,FALSE)</f>
        <v>44452</v>
      </c>
      <c r="D39" s="492">
        <f>IFERROR(VLOOKUP(A39,'Allocation 2018-19'!$B$9:$O$321,14,FALSE),0)</f>
        <v>48894</v>
      </c>
      <c r="E39" s="580">
        <f t="shared" si="0"/>
        <v>-4442</v>
      </c>
      <c r="F39" s="581">
        <f t="shared" si="1"/>
        <v>-9.084959299709576E-2</v>
      </c>
    </row>
    <row r="40" spans="1:6">
      <c r="A40" s="784" t="s">
        <v>72</v>
      </c>
      <c r="B40" s="784" t="s">
        <v>1400</v>
      </c>
      <c r="C40" s="492">
        <f>VLOOKUP(A40,'Allocation 2019-20'!$B$9:$O$321,14,FALSE)</f>
        <v>0</v>
      </c>
      <c r="D40" s="492">
        <f>IFERROR(VLOOKUP(A40,'Allocation 2018-19'!$B$9:$O$321,14,FALSE),0)</f>
        <v>0</v>
      </c>
      <c r="E40" s="580">
        <f t="shared" si="0"/>
        <v>0</v>
      </c>
      <c r="F40" s="581">
        <f t="shared" si="1"/>
        <v>0</v>
      </c>
    </row>
    <row r="41" spans="1:6">
      <c r="A41" s="784" t="s">
        <v>74</v>
      </c>
      <c r="B41" s="784" t="s">
        <v>1401</v>
      </c>
      <c r="C41" s="492">
        <f>VLOOKUP(A41,'Allocation 2019-20'!$B$9:$O$321,14,FALSE)</f>
        <v>0</v>
      </c>
      <c r="D41" s="492">
        <f>IFERROR(VLOOKUP(A41,'Allocation 2018-19'!$B$9:$O$321,14,FALSE),0)</f>
        <v>0</v>
      </c>
      <c r="E41" s="580">
        <f t="shared" si="0"/>
        <v>0</v>
      </c>
      <c r="F41" s="581">
        <f t="shared" si="1"/>
        <v>0</v>
      </c>
    </row>
    <row r="42" spans="1:6">
      <c r="A42" s="784" t="s">
        <v>76</v>
      </c>
      <c r="B42" s="784" t="s">
        <v>1402</v>
      </c>
      <c r="C42" s="492">
        <f>VLOOKUP(A42,'Allocation 2019-20'!$B$9:$O$321,14,FALSE)</f>
        <v>0</v>
      </c>
      <c r="D42" s="492">
        <f>IFERROR(VLOOKUP(A42,'Allocation 2018-19'!$B$9:$O$321,14,FALSE),0)</f>
        <v>0</v>
      </c>
      <c r="E42" s="580">
        <f t="shared" si="0"/>
        <v>0</v>
      </c>
      <c r="F42" s="581">
        <f t="shared" si="1"/>
        <v>0</v>
      </c>
    </row>
    <row r="43" spans="1:6">
      <c r="A43" s="784" t="s">
        <v>78</v>
      </c>
      <c r="B43" s="784" t="s">
        <v>1403</v>
      </c>
      <c r="C43" s="492">
        <f>VLOOKUP(A43,'Allocation 2019-20'!$B$9:$O$321,14,FALSE)</f>
        <v>25173</v>
      </c>
      <c r="D43" s="492">
        <f>IFERROR(VLOOKUP(A43,'Allocation 2018-19'!$B$9:$O$321,14,FALSE),0)</f>
        <v>23371</v>
      </c>
      <c r="E43" s="580">
        <f t="shared" si="0"/>
        <v>1802</v>
      </c>
      <c r="F43" s="581">
        <f t="shared" si="1"/>
        <v>7.7104103375978783E-2</v>
      </c>
    </row>
    <row r="44" spans="1:6">
      <c r="A44" s="784" t="s">
        <v>80</v>
      </c>
      <c r="B44" s="784" t="s">
        <v>1404</v>
      </c>
      <c r="C44" s="492">
        <f>VLOOKUP(A44,'Allocation 2019-20'!$B$9:$O$321,14,FALSE)</f>
        <v>37053</v>
      </c>
      <c r="D44" s="492">
        <f>IFERROR(VLOOKUP(A44,'Allocation 2018-19'!$B$9:$O$321,14,FALSE),0)</f>
        <v>38441</v>
      </c>
      <c r="E44" s="580">
        <f t="shared" si="0"/>
        <v>-1388</v>
      </c>
      <c r="F44" s="581">
        <f t="shared" si="1"/>
        <v>-3.61072812882079E-2</v>
      </c>
    </row>
    <row r="45" spans="1:6">
      <c r="A45" s="784" t="s">
        <v>82</v>
      </c>
      <c r="B45" s="784" t="s">
        <v>1405</v>
      </c>
      <c r="C45" s="492">
        <f>VLOOKUP(A45,'Allocation 2019-20'!$B$9:$O$321,14,FALSE)</f>
        <v>9206</v>
      </c>
      <c r="D45" s="492">
        <f>IFERROR(VLOOKUP(A45,'Allocation 2018-19'!$B$9:$O$321,14,FALSE),0)</f>
        <v>10221</v>
      </c>
      <c r="E45" s="580">
        <f t="shared" si="0"/>
        <v>-1015</v>
      </c>
      <c r="F45" s="581">
        <f t="shared" si="1"/>
        <v>-9.930535172683691E-2</v>
      </c>
    </row>
    <row r="46" spans="1:6">
      <c r="A46" s="784" t="s">
        <v>84</v>
      </c>
      <c r="B46" s="784" t="s">
        <v>1406</v>
      </c>
      <c r="C46" s="492">
        <f>VLOOKUP(A46,'Allocation 2019-20'!$B$9:$O$321,14,FALSE)</f>
        <v>52348</v>
      </c>
      <c r="D46" s="492">
        <f>IFERROR(VLOOKUP(A46,'Allocation 2018-19'!$B$9:$O$321,14,FALSE),0)</f>
        <v>55456</v>
      </c>
      <c r="E46" s="580">
        <f t="shared" si="0"/>
        <v>-3108</v>
      </c>
      <c r="F46" s="581">
        <f t="shared" si="1"/>
        <v>-5.6044431621465669E-2</v>
      </c>
    </row>
    <row r="47" spans="1:6">
      <c r="A47" s="784" t="s">
        <v>86</v>
      </c>
      <c r="B47" s="784" t="s">
        <v>1407</v>
      </c>
      <c r="C47" s="492">
        <f>VLOOKUP(A47,'Allocation 2019-20'!$B$9:$O$321,14,FALSE)</f>
        <v>0</v>
      </c>
      <c r="D47" s="492">
        <f>IFERROR(VLOOKUP(A47,'Allocation 2018-19'!$B$9:$O$321,14,FALSE),0)</f>
        <v>0</v>
      </c>
      <c r="E47" s="580">
        <f t="shared" si="0"/>
        <v>0</v>
      </c>
      <c r="F47" s="581">
        <f t="shared" si="1"/>
        <v>0</v>
      </c>
    </row>
    <row r="48" spans="1:6">
      <c r="A48" s="784" t="s">
        <v>88</v>
      </c>
      <c r="B48" s="784" t="s">
        <v>1408</v>
      </c>
      <c r="C48" s="492">
        <f>VLOOKUP(A48,'Allocation 2019-20'!$B$9:$O$321,14,FALSE)</f>
        <v>133357</v>
      </c>
      <c r="D48" s="492">
        <f>IFERROR(VLOOKUP(A48,'Allocation 2018-19'!$B$9:$O$321,14,FALSE),0)</f>
        <v>138824</v>
      </c>
      <c r="E48" s="580">
        <f t="shared" si="0"/>
        <v>-5467</v>
      </c>
      <c r="F48" s="581">
        <f t="shared" si="1"/>
        <v>-3.9380798709156915E-2</v>
      </c>
    </row>
    <row r="49" spans="1:6">
      <c r="A49" s="784" t="s">
        <v>90</v>
      </c>
      <c r="B49" s="784" t="s">
        <v>1409</v>
      </c>
      <c r="C49" s="492">
        <f>VLOOKUP(A49,'Allocation 2019-20'!$B$9:$O$321,14,FALSE)</f>
        <v>0</v>
      </c>
      <c r="D49" s="492">
        <f>IFERROR(VLOOKUP(A49,'Allocation 2018-19'!$B$9:$O$321,14,FALSE),0)</f>
        <v>0</v>
      </c>
      <c r="E49" s="580">
        <f t="shared" si="0"/>
        <v>0</v>
      </c>
      <c r="F49" s="581">
        <f t="shared" si="1"/>
        <v>0</v>
      </c>
    </row>
    <row r="50" spans="1:6">
      <c r="A50" s="784" t="s">
        <v>92</v>
      </c>
      <c r="B50" s="784" t="s">
        <v>1410</v>
      </c>
      <c r="C50" s="492">
        <f>VLOOKUP(A50,'Allocation 2019-20'!$B$9:$O$321,14,FALSE)</f>
        <v>0</v>
      </c>
      <c r="D50" s="492">
        <f>IFERROR(VLOOKUP(A50,'Allocation 2018-19'!$B$9:$O$321,14,FALSE),0)</f>
        <v>0</v>
      </c>
      <c r="E50" s="580">
        <f t="shared" si="0"/>
        <v>0</v>
      </c>
      <c r="F50" s="581">
        <f t="shared" si="1"/>
        <v>0</v>
      </c>
    </row>
    <row r="51" spans="1:6">
      <c r="A51" s="784" t="s">
        <v>94</v>
      </c>
      <c r="B51" s="784" t="s">
        <v>1411</v>
      </c>
      <c r="C51" s="492">
        <f>VLOOKUP(A51,'Allocation 2019-20'!$B$9:$O$321,14,FALSE)</f>
        <v>0</v>
      </c>
      <c r="D51" s="492">
        <f>IFERROR(VLOOKUP(A51,'Allocation 2018-19'!$B$9:$O$321,14,FALSE),0)</f>
        <v>0</v>
      </c>
      <c r="E51" s="580">
        <f t="shared" si="0"/>
        <v>0</v>
      </c>
      <c r="F51" s="581">
        <f t="shared" si="1"/>
        <v>0</v>
      </c>
    </row>
    <row r="52" spans="1:6">
      <c r="A52" s="784" t="s">
        <v>96</v>
      </c>
      <c r="B52" s="784" t="s">
        <v>1412</v>
      </c>
      <c r="C52" s="492">
        <f>VLOOKUP(A52,'Allocation 2019-20'!$B$9:$O$321,14,FALSE)</f>
        <v>0</v>
      </c>
      <c r="D52" s="492">
        <f>IFERROR(VLOOKUP(A52,'Allocation 2018-19'!$B$9:$O$321,14,FALSE),0)</f>
        <v>0</v>
      </c>
      <c r="E52" s="580">
        <f t="shared" si="0"/>
        <v>0</v>
      </c>
      <c r="F52" s="581">
        <f t="shared" si="1"/>
        <v>0</v>
      </c>
    </row>
    <row r="53" spans="1:6">
      <c r="A53" s="784" t="s">
        <v>98</v>
      </c>
      <c r="B53" s="784" t="s">
        <v>1413</v>
      </c>
      <c r="C53" s="492">
        <f>VLOOKUP(A53,'Allocation 2019-20'!$B$9:$O$321,14,FALSE)</f>
        <v>0</v>
      </c>
      <c r="D53" s="492">
        <f>IFERROR(VLOOKUP(A53,'Allocation 2018-19'!$B$9:$O$321,14,FALSE),0)</f>
        <v>0</v>
      </c>
      <c r="E53" s="580">
        <f t="shared" si="0"/>
        <v>0</v>
      </c>
      <c r="F53" s="581">
        <f t="shared" si="1"/>
        <v>0</v>
      </c>
    </row>
    <row r="54" spans="1:6">
      <c r="A54" s="784" t="s">
        <v>100</v>
      </c>
      <c r="B54" s="784" t="s">
        <v>1414</v>
      </c>
      <c r="C54" s="492">
        <f>VLOOKUP(A54,'Allocation 2019-20'!$B$9:$O$321,14,FALSE)</f>
        <v>11276</v>
      </c>
      <c r="D54" s="492">
        <f>IFERROR(VLOOKUP(A54,'Allocation 2018-19'!$B$9:$O$321,14,FALSE),0)</f>
        <v>11141</v>
      </c>
      <c r="E54" s="580">
        <f t="shared" si="0"/>
        <v>135</v>
      </c>
      <c r="F54" s="581">
        <f t="shared" si="1"/>
        <v>1.2117404182748407E-2</v>
      </c>
    </row>
    <row r="55" spans="1:6">
      <c r="A55" s="784" t="s">
        <v>102</v>
      </c>
      <c r="B55" s="784" t="s">
        <v>1415</v>
      </c>
      <c r="C55" s="492">
        <f>VLOOKUP(A55,'Allocation 2019-20'!$B$9:$O$321,14,FALSE)</f>
        <v>0</v>
      </c>
      <c r="D55" s="492">
        <f>IFERROR(VLOOKUP(A55,'Allocation 2018-19'!$B$9:$O$321,14,FALSE),0)</f>
        <v>0</v>
      </c>
      <c r="E55" s="580">
        <f t="shared" si="0"/>
        <v>0</v>
      </c>
      <c r="F55" s="581">
        <f t="shared" si="1"/>
        <v>0</v>
      </c>
    </row>
    <row r="56" spans="1:6">
      <c r="A56" s="784" t="s">
        <v>104</v>
      </c>
      <c r="B56" s="784" t="s">
        <v>1416</v>
      </c>
      <c r="C56" s="492">
        <f>VLOOKUP(A56,'Allocation 2019-20'!$B$9:$O$321,14,FALSE)</f>
        <v>793996</v>
      </c>
      <c r="D56" s="492">
        <f>IFERROR(VLOOKUP(A56,'Allocation 2018-19'!$B$9:$O$321,14,FALSE),0)</f>
        <v>788239</v>
      </c>
      <c r="E56" s="580">
        <f t="shared" si="0"/>
        <v>5757</v>
      </c>
      <c r="F56" s="581">
        <f t="shared" si="1"/>
        <v>7.3036223784918022E-3</v>
      </c>
    </row>
    <row r="57" spans="1:6">
      <c r="A57" s="784" t="s">
        <v>106</v>
      </c>
      <c r="B57" s="784" t="s">
        <v>1417</v>
      </c>
      <c r="C57" s="492">
        <f>VLOOKUP(A57,'Allocation 2019-20'!$B$9:$O$321,14,FALSE)</f>
        <v>94533</v>
      </c>
      <c r="D57" s="492">
        <f>IFERROR(VLOOKUP(A57,'Allocation 2018-19'!$B$9:$O$321,14,FALSE),0)</f>
        <v>91856</v>
      </c>
      <c r="E57" s="580">
        <f t="shared" si="0"/>
        <v>2677</v>
      </c>
      <c r="F57" s="581">
        <f t="shared" si="1"/>
        <v>2.9143441909075075E-2</v>
      </c>
    </row>
    <row r="58" spans="1:6">
      <c r="A58" s="784" t="s">
        <v>108</v>
      </c>
      <c r="B58" s="784" t="s">
        <v>1418</v>
      </c>
      <c r="C58" s="492">
        <f>VLOOKUP(A58,'Allocation 2019-20'!$B$9:$O$321,14,FALSE)</f>
        <v>0</v>
      </c>
      <c r="D58" s="492">
        <f>IFERROR(VLOOKUP(A58,'Allocation 2018-19'!$B$9:$O$321,14,FALSE),0)</f>
        <v>0</v>
      </c>
      <c r="E58" s="580">
        <f t="shared" si="0"/>
        <v>0</v>
      </c>
      <c r="F58" s="581">
        <f t="shared" si="1"/>
        <v>0</v>
      </c>
    </row>
    <row r="59" spans="1:6">
      <c r="A59" s="784" t="s">
        <v>110</v>
      </c>
      <c r="B59" s="784" t="s">
        <v>1419</v>
      </c>
      <c r="C59" s="492">
        <f>VLOOKUP(A59,'Allocation 2019-20'!$B$9:$O$321,14,FALSE)</f>
        <v>0</v>
      </c>
      <c r="D59" s="492">
        <f>IFERROR(VLOOKUP(A59,'Allocation 2018-19'!$B$9:$O$321,14,FALSE),0)</f>
        <v>0</v>
      </c>
      <c r="E59" s="580">
        <f t="shared" si="0"/>
        <v>0</v>
      </c>
      <c r="F59" s="581">
        <f t="shared" si="1"/>
        <v>0</v>
      </c>
    </row>
    <row r="60" spans="1:6">
      <c r="A60" s="784" t="s">
        <v>112</v>
      </c>
      <c r="B60" s="784" t="s">
        <v>1420</v>
      </c>
      <c r="C60" s="492">
        <f>VLOOKUP(A60,'Allocation 2019-20'!$B$9:$O$321,14,FALSE)</f>
        <v>0</v>
      </c>
      <c r="D60" s="492">
        <f>IFERROR(VLOOKUP(A60,'Allocation 2018-19'!$B$9:$O$321,14,FALSE),0)</f>
        <v>0</v>
      </c>
      <c r="E60" s="580">
        <f t="shared" si="0"/>
        <v>0</v>
      </c>
      <c r="F60" s="581">
        <f t="shared" si="1"/>
        <v>0</v>
      </c>
    </row>
    <row r="61" spans="1:6">
      <c r="A61" s="784" t="s">
        <v>114</v>
      </c>
      <c r="B61" s="784" t="s">
        <v>634</v>
      </c>
      <c r="C61" s="492">
        <f>VLOOKUP(A61,'Allocation 2019-20'!$B$9:$O$321,14,FALSE)</f>
        <v>159080</v>
      </c>
      <c r="D61" s="492">
        <f>IFERROR(VLOOKUP(A61,'Allocation 2018-19'!$B$9:$O$321,14,FALSE),0)</f>
        <v>168249</v>
      </c>
      <c r="E61" s="580">
        <f t="shared" si="0"/>
        <v>-9169</v>
      </c>
      <c r="F61" s="581">
        <f t="shared" si="1"/>
        <v>-5.4496609192328037E-2</v>
      </c>
    </row>
    <row r="62" spans="1:6">
      <c r="A62" s="784" t="s">
        <v>116</v>
      </c>
      <c r="B62" s="784" t="s">
        <v>1421</v>
      </c>
      <c r="C62" s="492">
        <f>VLOOKUP(A62,'Allocation 2019-20'!$B$9:$O$321,14,FALSE)</f>
        <v>160283</v>
      </c>
      <c r="D62" s="492">
        <f>IFERROR(VLOOKUP(A62,'Allocation 2018-19'!$B$9:$O$321,14,FALSE),0)</f>
        <v>159938</v>
      </c>
      <c r="E62" s="580">
        <f t="shared" si="0"/>
        <v>345</v>
      </c>
      <c r="F62" s="581">
        <f t="shared" si="1"/>
        <v>2.1570858707749252E-3</v>
      </c>
    </row>
    <row r="63" spans="1:6">
      <c r="A63" s="784" t="s">
        <v>118</v>
      </c>
      <c r="B63" s="784" t="s">
        <v>1422</v>
      </c>
      <c r="C63" s="492">
        <f>VLOOKUP(A63,'Allocation 2019-20'!$B$9:$O$321,14,FALSE)</f>
        <v>34326</v>
      </c>
      <c r="D63" s="492">
        <f>IFERROR(VLOOKUP(A63,'Allocation 2018-19'!$B$9:$O$321,14,FALSE),0)</f>
        <v>38013</v>
      </c>
      <c r="E63" s="580">
        <f t="shared" si="0"/>
        <v>-3687</v>
      </c>
      <c r="F63" s="581">
        <f t="shared" si="1"/>
        <v>-9.6993133927866779E-2</v>
      </c>
    </row>
    <row r="64" spans="1:6">
      <c r="A64" s="784" t="s">
        <v>120</v>
      </c>
      <c r="B64" s="784" t="s">
        <v>1423</v>
      </c>
      <c r="C64" s="492">
        <f>VLOOKUP(A64,'Allocation 2019-20'!$B$9:$O$321,14,FALSE)</f>
        <v>0</v>
      </c>
      <c r="D64" s="492">
        <f>IFERROR(VLOOKUP(A64,'Allocation 2018-19'!$B$9:$O$321,14,FALSE),0)</f>
        <v>0</v>
      </c>
      <c r="E64" s="580">
        <f t="shared" si="0"/>
        <v>0</v>
      </c>
      <c r="F64" s="581">
        <f t="shared" si="1"/>
        <v>0</v>
      </c>
    </row>
    <row r="65" spans="1:6">
      <c r="A65" s="784" t="s">
        <v>121</v>
      </c>
      <c r="B65" s="784" t="s">
        <v>1424</v>
      </c>
      <c r="C65" s="492">
        <f>VLOOKUP(A65,'Allocation 2019-20'!$B$9:$O$321,14,FALSE)</f>
        <v>13789</v>
      </c>
      <c r="D65" s="492">
        <f>IFERROR(VLOOKUP(A65,'Allocation 2018-19'!$B$9:$O$321,14,FALSE),0)</f>
        <v>12115</v>
      </c>
      <c r="E65" s="580">
        <f t="shared" si="0"/>
        <v>1674</v>
      </c>
      <c r="F65" s="581">
        <f t="shared" si="1"/>
        <v>0.13817581510524143</v>
      </c>
    </row>
    <row r="66" spans="1:6">
      <c r="A66" s="784" t="s">
        <v>123</v>
      </c>
      <c r="B66" s="784" t="s">
        <v>1425</v>
      </c>
      <c r="C66" s="492">
        <f>VLOOKUP(A66,'Allocation 2019-20'!$B$9:$O$321,14,FALSE)</f>
        <v>97419</v>
      </c>
      <c r="D66" s="492">
        <f>IFERROR(VLOOKUP(A66,'Allocation 2018-19'!$B$9:$O$321,14,FALSE),0)</f>
        <v>98221</v>
      </c>
      <c r="E66" s="580">
        <f t="shared" ref="E66:E129" si="2">C66-D66</f>
        <v>-802</v>
      </c>
      <c r="F66" s="581">
        <f t="shared" ref="F66:F129" si="3">IF(D66=0,0,E66/D66)</f>
        <v>-8.1652599749544395E-3</v>
      </c>
    </row>
    <row r="67" spans="1:6">
      <c r="A67" s="784" t="s">
        <v>125</v>
      </c>
      <c r="B67" s="784" t="s">
        <v>1426</v>
      </c>
      <c r="C67" s="492">
        <f>VLOOKUP(A67,'Allocation 2019-20'!$B$9:$O$321,14,FALSE)</f>
        <v>170710</v>
      </c>
      <c r="D67" s="492">
        <f>IFERROR(VLOOKUP(A67,'Allocation 2018-19'!$B$9:$O$321,14,FALSE),0)</f>
        <v>170944</v>
      </c>
      <c r="E67" s="580">
        <f t="shared" si="2"/>
        <v>-234</v>
      </c>
      <c r="F67" s="581">
        <f t="shared" si="3"/>
        <v>-1.368869337326844E-3</v>
      </c>
    </row>
    <row r="68" spans="1:6">
      <c r="A68" s="784" t="s">
        <v>127</v>
      </c>
      <c r="B68" s="784" t="s">
        <v>623</v>
      </c>
      <c r="C68" s="492">
        <f>VLOOKUP(A68,'Allocation 2019-20'!$B$9:$O$321,14,FALSE)</f>
        <v>35867</v>
      </c>
      <c r="D68" s="492">
        <f>IFERROR(VLOOKUP(A68,'Allocation 2018-19'!$B$9:$O$321,14,FALSE),0)</f>
        <v>35083</v>
      </c>
      <c r="E68" s="580">
        <f t="shared" si="2"/>
        <v>784</v>
      </c>
      <c r="F68" s="581">
        <f t="shared" si="3"/>
        <v>2.2347005672262919E-2</v>
      </c>
    </row>
    <row r="69" spans="1:6">
      <c r="A69" s="784" t="s">
        <v>129</v>
      </c>
      <c r="B69" s="784" t="s">
        <v>1427</v>
      </c>
      <c r="C69" s="492">
        <f>VLOOKUP(A69,'Allocation 2019-20'!$B$9:$O$321,14,FALSE)</f>
        <v>0</v>
      </c>
      <c r="D69" s="492">
        <f>IFERROR(VLOOKUP(A69,'Allocation 2018-19'!$B$9:$O$321,14,FALSE),0)</f>
        <v>0</v>
      </c>
      <c r="E69" s="580">
        <f t="shared" si="2"/>
        <v>0</v>
      </c>
      <c r="F69" s="581">
        <f t="shared" si="3"/>
        <v>0</v>
      </c>
    </row>
    <row r="70" spans="1:6">
      <c r="A70" s="784" t="s">
        <v>131</v>
      </c>
      <c r="B70" s="784" t="s">
        <v>1428</v>
      </c>
      <c r="C70" s="492">
        <f>VLOOKUP(A70,'Allocation 2019-20'!$B$9:$O$321,14,FALSE)</f>
        <v>11029</v>
      </c>
      <c r="D70" s="492">
        <f>IFERROR(VLOOKUP(A70,'Allocation 2018-19'!$B$9:$O$321,14,FALSE),0)</f>
        <v>11086</v>
      </c>
      <c r="E70" s="580">
        <f t="shared" si="2"/>
        <v>-57</v>
      </c>
      <c r="F70" s="581">
        <f t="shared" si="3"/>
        <v>-5.1416200613386255E-3</v>
      </c>
    </row>
    <row r="71" spans="1:6">
      <c r="A71" s="784" t="s">
        <v>132</v>
      </c>
      <c r="B71" s="784" t="s">
        <v>1429</v>
      </c>
      <c r="C71" s="492">
        <f>VLOOKUP(A71,'Allocation 2019-20'!$B$9:$O$321,14,FALSE)</f>
        <v>56650</v>
      </c>
      <c r="D71" s="492">
        <f>IFERROR(VLOOKUP(A71,'Allocation 2018-19'!$B$9:$O$321,14,FALSE),0)</f>
        <v>56080</v>
      </c>
      <c r="E71" s="580">
        <f t="shared" si="2"/>
        <v>570</v>
      </c>
      <c r="F71" s="581">
        <f t="shared" si="3"/>
        <v>1.0164051355206847E-2</v>
      </c>
    </row>
    <row r="72" spans="1:6">
      <c r="A72" s="784" t="s">
        <v>134</v>
      </c>
      <c r="B72" s="784" t="s">
        <v>748</v>
      </c>
      <c r="C72" s="492">
        <f>VLOOKUP(A72,'Allocation 2019-20'!$B$9:$O$321,14,FALSE)</f>
        <v>8975</v>
      </c>
      <c r="D72" s="492">
        <f>IFERROR(VLOOKUP(A72,'Allocation 2018-19'!$B$9:$O$321,14,FALSE),0)</f>
        <v>8363</v>
      </c>
      <c r="E72" s="580">
        <f t="shared" si="2"/>
        <v>612</v>
      </c>
      <c r="F72" s="581">
        <f t="shared" si="3"/>
        <v>7.3179481047471004E-2</v>
      </c>
    </row>
    <row r="73" spans="1:6">
      <c r="A73" s="784" t="s">
        <v>136</v>
      </c>
      <c r="B73" s="784" t="s">
        <v>1430</v>
      </c>
      <c r="C73" s="492">
        <f>VLOOKUP(A73,'Allocation 2019-20'!$B$9:$O$321,14,FALSE)</f>
        <v>0</v>
      </c>
      <c r="D73" s="492">
        <f>IFERROR(VLOOKUP(A73,'Allocation 2018-19'!$B$9:$O$321,14,FALSE),0)</f>
        <v>0</v>
      </c>
      <c r="E73" s="580">
        <f t="shared" si="2"/>
        <v>0</v>
      </c>
      <c r="F73" s="581">
        <f t="shared" si="3"/>
        <v>0</v>
      </c>
    </row>
    <row r="74" spans="1:6">
      <c r="A74" s="784" t="s">
        <v>138</v>
      </c>
      <c r="B74" s="784" t="s">
        <v>1431</v>
      </c>
      <c r="C74" s="492">
        <f>VLOOKUP(A74,'Allocation 2019-20'!$B$9:$O$321,14,FALSE)</f>
        <v>0</v>
      </c>
      <c r="D74" s="492">
        <f>IFERROR(VLOOKUP(A74,'Allocation 2018-19'!$B$9:$O$321,14,FALSE),0)</f>
        <v>0</v>
      </c>
      <c r="E74" s="580">
        <f t="shared" si="2"/>
        <v>0</v>
      </c>
      <c r="F74" s="581">
        <f t="shared" si="3"/>
        <v>0</v>
      </c>
    </row>
    <row r="75" spans="1:6">
      <c r="A75" s="784" t="s">
        <v>139</v>
      </c>
      <c r="B75" s="784" t="s">
        <v>1432</v>
      </c>
      <c r="C75" s="492">
        <f>VLOOKUP(A75,'Allocation 2019-20'!$B$9:$O$321,14,FALSE)</f>
        <v>0</v>
      </c>
      <c r="D75" s="492">
        <f>IFERROR(VLOOKUP(A75,'Allocation 2018-19'!$B$9:$O$321,14,FALSE),0)</f>
        <v>0</v>
      </c>
      <c r="E75" s="580">
        <f t="shared" si="2"/>
        <v>0</v>
      </c>
      <c r="F75" s="581">
        <f t="shared" si="3"/>
        <v>0</v>
      </c>
    </row>
    <row r="76" spans="1:6">
      <c r="A76" s="784" t="s">
        <v>141</v>
      </c>
      <c r="B76" s="784" t="s">
        <v>1433</v>
      </c>
      <c r="C76" s="492">
        <f>VLOOKUP(A76,'Allocation 2019-20'!$B$9:$O$321,14,FALSE)</f>
        <v>15562</v>
      </c>
      <c r="D76" s="492">
        <f>IFERROR(VLOOKUP(A76,'Allocation 2018-19'!$B$9:$O$321,14,FALSE),0)</f>
        <v>15908</v>
      </c>
      <c r="E76" s="580">
        <f t="shared" si="2"/>
        <v>-346</v>
      </c>
      <c r="F76" s="581">
        <f t="shared" si="3"/>
        <v>-2.1750062861453357E-2</v>
      </c>
    </row>
    <row r="77" spans="1:6">
      <c r="A77" s="784" t="s">
        <v>143</v>
      </c>
      <c r="B77" s="784" t="s">
        <v>1434</v>
      </c>
      <c r="C77" s="492">
        <f>VLOOKUP(A77,'Allocation 2019-20'!$B$9:$O$321,14,FALSE)</f>
        <v>0</v>
      </c>
      <c r="D77" s="492">
        <f>IFERROR(VLOOKUP(A77,'Allocation 2018-19'!$B$9:$O$321,14,FALSE),0)</f>
        <v>0</v>
      </c>
      <c r="E77" s="580">
        <f t="shared" si="2"/>
        <v>0</v>
      </c>
      <c r="F77" s="581">
        <f t="shared" si="3"/>
        <v>0</v>
      </c>
    </row>
    <row r="78" spans="1:6">
      <c r="A78" s="784" t="s">
        <v>145</v>
      </c>
      <c r="B78" s="784" t="s">
        <v>607</v>
      </c>
      <c r="C78" s="492">
        <f>VLOOKUP(A78,'Allocation 2019-20'!$B$9:$O$321,14,FALSE)</f>
        <v>3470</v>
      </c>
      <c r="D78" s="492">
        <f>IFERROR(VLOOKUP(A78,'Allocation 2018-19'!$B$9:$O$321,14,FALSE),0)</f>
        <v>3928</v>
      </c>
      <c r="E78" s="580">
        <f t="shared" si="2"/>
        <v>-458</v>
      </c>
      <c r="F78" s="581">
        <f t="shared" si="3"/>
        <v>-0.11659877800407333</v>
      </c>
    </row>
    <row r="79" spans="1:6">
      <c r="A79" s="784" t="s">
        <v>147</v>
      </c>
      <c r="B79" s="784" t="s">
        <v>1435</v>
      </c>
      <c r="C79" s="492">
        <f>VLOOKUP(A79,'Allocation 2019-20'!$B$9:$O$321,14,FALSE)</f>
        <v>0</v>
      </c>
      <c r="D79" s="492">
        <f>IFERROR(VLOOKUP(A79,'Allocation 2018-19'!$B$9:$O$321,14,FALSE),0)</f>
        <v>0</v>
      </c>
      <c r="E79" s="580">
        <f t="shared" si="2"/>
        <v>0</v>
      </c>
      <c r="F79" s="581">
        <f t="shared" si="3"/>
        <v>0</v>
      </c>
    </row>
    <row r="80" spans="1:6">
      <c r="A80" s="784" t="s">
        <v>149</v>
      </c>
      <c r="B80" s="784" t="s">
        <v>1436</v>
      </c>
      <c r="C80" s="492">
        <f>VLOOKUP(A80,'Allocation 2019-20'!$B$9:$O$321,14,FALSE)</f>
        <v>0</v>
      </c>
      <c r="D80" s="492">
        <f>IFERROR(VLOOKUP(A80,'Allocation 2018-19'!$B$9:$O$321,14,FALSE),0)</f>
        <v>0</v>
      </c>
      <c r="E80" s="580">
        <f t="shared" si="2"/>
        <v>0</v>
      </c>
      <c r="F80" s="581">
        <f t="shared" si="3"/>
        <v>0</v>
      </c>
    </row>
    <row r="81" spans="1:6">
      <c r="A81" s="784" t="s">
        <v>151</v>
      </c>
      <c r="B81" s="784" t="s">
        <v>1437</v>
      </c>
      <c r="C81" s="492">
        <f>VLOOKUP(A81,'Allocation 2019-20'!$B$9:$O$321,14,FALSE)</f>
        <v>0</v>
      </c>
      <c r="D81" s="492">
        <f>IFERROR(VLOOKUP(A81,'Allocation 2018-19'!$B$9:$O$321,14,FALSE),0)</f>
        <v>0</v>
      </c>
      <c r="E81" s="580">
        <f t="shared" si="2"/>
        <v>0</v>
      </c>
      <c r="F81" s="581">
        <f t="shared" si="3"/>
        <v>0</v>
      </c>
    </row>
    <row r="82" spans="1:6">
      <c r="A82" s="784" t="s">
        <v>153</v>
      </c>
      <c r="B82" s="784" t="s">
        <v>1438</v>
      </c>
      <c r="C82" s="492">
        <f>VLOOKUP(A82,'Allocation 2019-20'!$B$9:$O$321,14,FALSE)</f>
        <v>5984</v>
      </c>
      <c r="D82" s="492">
        <f>IFERROR(VLOOKUP(A82,'Allocation 2018-19'!$B$9:$O$321,14,FALSE),0)</f>
        <v>6031</v>
      </c>
      <c r="E82" s="580">
        <f t="shared" si="2"/>
        <v>-47</v>
      </c>
      <c r="F82" s="581">
        <f t="shared" si="3"/>
        <v>-7.7930691427623945E-3</v>
      </c>
    </row>
    <row r="83" spans="1:6">
      <c r="A83" s="784" t="s">
        <v>155</v>
      </c>
      <c r="B83" s="784" t="s">
        <v>1439</v>
      </c>
      <c r="C83" s="492">
        <f>VLOOKUP(A83,'Allocation 2019-20'!$B$9:$O$321,14,FALSE)</f>
        <v>6922</v>
      </c>
      <c r="D83" s="492">
        <f>IFERROR(VLOOKUP(A83,'Allocation 2018-19'!$B$9:$O$321,14,FALSE),0)</f>
        <v>5618</v>
      </c>
      <c r="E83" s="580">
        <f t="shared" si="2"/>
        <v>1304</v>
      </c>
      <c r="F83" s="581">
        <f t="shared" si="3"/>
        <v>0.23211107155571378</v>
      </c>
    </row>
    <row r="84" spans="1:6">
      <c r="A84" s="784" t="s">
        <v>157</v>
      </c>
      <c r="B84" s="784" t="s">
        <v>1440</v>
      </c>
      <c r="C84" s="492">
        <f>VLOOKUP(A84,'Allocation 2019-20'!$B$9:$O$321,14,FALSE)</f>
        <v>35423</v>
      </c>
      <c r="D84" s="492">
        <f>IFERROR(VLOOKUP(A84,'Allocation 2018-19'!$B$9:$O$321,14,FALSE),0)</f>
        <v>33883</v>
      </c>
      <c r="E84" s="580">
        <f t="shared" si="2"/>
        <v>1540</v>
      </c>
      <c r="F84" s="581">
        <f t="shared" si="3"/>
        <v>4.5450520910190952E-2</v>
      </c>
    </row>
    <row r="85" spans="1:6">
      <c r="A85" s="784" t="s">
        <v>159</v>
      </c>
      <c r="B85" s="784" t="s">
        <v>1441</v>
      </c>
      <c r="C85" s="492">
        <f>VLOOKUP(A85,'Allocation 2019-20'!$B$9:$O$321,14,FALSE)</f>
        <v>0</v>
      </c>
      <c r="D85" s="492">
        <f>IFERROR(VLOOKUP(A85,'Allocation 2018-19'!$B$9:$O$321,14,FALSE),0)</f>
        <v>0</v>
      </c>
      <c r="E85" s="580">
        <f t="shared" si="2"/>
        <v>0</v>
      </c>
      <c r="F85" s="581">
        <f t="shared" si="3"/>
        <v>0</v>
      </c>
    </row>
    <row r="86" spans="1:6">
      <c r="A86" s="784" t="s">
        <v>161</v>
      </c>
      <c r="B86" s="784" t="s">
        <v>1442</v>
      </c>
      <c r="C86" s="492">
        <f>VLOOKUP(A86,'Allocation 2019-20'!$B$9:$O$321,14,FALSE)</f>
        <v>0</v>
      </c>
      <c r="D86" s="492">
        <f>IFERROR(VLOOKUP(A86,'Allocation 2018-19'!$B$9:$O$321,14,FALSE),0)</f>
        <v>0</v>
      </c>
      <c r="E86" s="580">
        <f t="shared" si="2"/>
        <v>0</v>
      </c>
      <c r="F86" s="581">
        <f t="shared" si="3"/>
        <v>0</v>
      </c>
    </row>
    <row r="87" spans="1:6">
      <c r="A87" s="784" t="s">
        <v>163</v>
      </c>
      <c r="B87" s="784" t="s">
        <v>1443</v>
      </c>
      <c r="C87" s="492">
        <f>VLOOKUP(A87,'Allocation 2019-20'!$B$9:$O$321,14,FALSE)</f>
        <v>0</v>
      </c>
      <c r="D87" s="492">
        <f>IFERROR(VLOOKUP(A87,'Allocation 2018-19'!$B$9:$O$321,14,FALSE),0)</f>
        <v>0</v>
      </c>
      <c r="E87" s="580">
        <f t="shared" si="2"/>
        <v>0</v>
      </c>
      <c r="F87" s="581">
        <f t="shared" si="3"/>
        <v>0</v>
      </c>
    </row>
    <row r="88" spans="1:6">
      <c r="A88" s="784" t="s">
        <v>165</v>
      </c>
      <c r="B88" s="784" t="s">
        <v>1444</v>
      </c>
      <c r="C88" s="492">
        <f>VLOOKUP(A88,'Allocation 2019-20'!$B$9:$O$321,14,FALSE)</f>
        <v>0</v>
      </c>
      <c r="D88" s="492">
        <f>IFERROR(VLOOKUP(A88,'Allocation 2018-19'!$B$9:$O$321,14,FALSE),0)</f>
        <v>0</v>
      </c>
      <c r="E88" s="580">
        <f t="shared" si="2"/>
        <v>0</v>
      </c>
      <c r="F88" s="581">
        <f t="shared" si="3"/>
        <v>0</v>
      </c>
    </row>
    <row r="89" spans="1:6">
      <c r="A89" s="784" t="s">
        <v>167</v>
      </c>
      <c r="B89" s="784" t="s">
        <v>1445</v>
      </c>
      <c r="C89" s="492">
        <f>VLOOKUP(A89,'Allocation 2019-20'!$B$9:$O$321,14,FALSE)</f>
        <v>0</v>
      </c>
      <c r="D89" s="492">
        <f>IFERROR(VLOOKUP(A89,'Allocation 2018-19'!$B$9:$O$321,14,FALSE),0)</f>
        <v>0</v>
      </c>
      <c r="E89" s="580">
        <f t="shared" si="2"/>
        <v>0</v>
      </c>
      <c r="F89" s="581">
        <f t="shared" si="3"/>
        <v>0</v>
      </c>
    </row>
    <row r="90" spans="1:6">
      <c r="A90" s="784" t="s">
        <v>169</v>
      </c>
      <c r="B90" s="784" t="s">
        <v>1446</v>
      </c>
      <c r="C90" s="492">
        <f>VLOOKUP(A90,'Allocation 2019-20'!$B$9:$O$321,14,FALSE)</f>
        <v>0</v>
      </c>
      <c r="D90" s="492">
        <f>IFERROR(VLOOKUP(A90,'Allocation 2018-19'!$B$9:$O$321,14,FALSE),0)</f>
        <v>0</v>
      </c>
      <c r="E90" s="580">
        <f t="shared" si="2"/>
        <v>0</v>
      </c>
      <c r="F90" s="581">
        <f t="shared" si="3"/>
        <v>0</v>
      </c>
    </row>
    <row r="91" spans="1:6">
      <c r="A91" s="784" t="s">
        <v>171</v>
      </c>
      <c r="B91" s="784" t="s">
        <v>1447</v>
      </c>
      <c r="C91" s="492">
        <f>VLOOKUP(A91,'Allocation 2019-20'!$B$9:$O$321,14,FALSE)</f>
        <v>0</v>
      </c>
      <c r="D91" s="492">
        <f>IFERROR(VLOOKUP(A91,'Allocation 2018-19'!$B$9:$O$321,14,FALSE),0)</f>
        <v>0</v>
      </c>
      <c r="E91" s="580">
        <f t="shared" si="2"/>
        <v>0</v>
      </c>
      <c r="F91" s="581">
        <f t="shared" si="3"/>
        <v>0</v>
      </c>
    </row>
    <row r="92" spans="1:6">
      <c r="A92" s="784" t="s">
        <v>173</v>
      </c>
      <c r="B92" s="784" t="s">
        <v>1448</v>
      </c>
      <c r="C92" s="492">
        <f>VLOOKUP(A92,'Allocation 2019-20'!$B$9:$O$321,14,FALSE)</f>
        <v>821682</v>
      </c>
      <c r="D92" s="492">
        <f>IFERROR(VLOOKUP(A92,'Allocation 2018-19'!$B$9:$O$321,14,FALSE),0)</f>
        <v>819198</v>
      </c>
      <c r="E92" s="580">
        <f t="shared" si="2"/>
        <v>2484</v>
      </c>
      <c r="F92" s="581">
        <f t="shared" si="3"/>
        <v>3.0322339654149546E-3</v>
      </c>
    </row>
    <row r="93" spans="1:6">
      <c r="A93" s="784" t="s">
        <v>175</v>
      </c>
      <c r="B93" s="784" t="s">
        <v>1449</v>
      </c>
      <c r="C93" s="492">
        <f>VLOOKUP(A93,'Allocation 2019-20'!$B$9:$O$321,14,FALSE)</f>
        <v>638972</v>
      </c>
      <c r="D93" s="492">
        <f>IFERROR(VLOOKUP(A93,'Allocation 2018-19'!$B$9:$O$321,14,FALSE),0)</f>
        <v>597578</v>
      </c>
      <c r="E93" s="580">
        <f t="shared" si="2"/>
        <v>41394</v>
      </c>
      <c r="F93" s="581">
        <f t="shared" si="3"/>
        <v>6.9269618359444285E-2</v>
      </c>
    </row>
    <row r="94" spans="1:6">
      <c r="A94" s="784" t="s">
        <v>177</v>
      </c>
      <c r="B94" s="784" t="s">
        <v>1450</v>
      </c>
      <c r="C94" s="492">
        <f>VLOOKUP(A94,'Allocation 2019-20'!$B$9:$O$321,14,FALSE)</f>
        <v>32237</v>
      </c>
      <c r="D94" s="492">
        <f>IFERROR(VLOOKUP(A94,'Allocation 2018-19'!$B$9:$O$321,14,FALSE),0)</f>
        <v>29314</v>
      </c>
      <c r="E94" s="580">
        <f t="shared" si="2"/>
        <v>2923</v>
      </c>
      <c r="F94" s="581">
        <f t="shared" si="3"/>
        <v>9.9713447499488295E-2</v>
      </c>
    </row>
    <row r="95" spans="1:6">
      <c r="A95" s="784" t="s">
        <v>179</v>
      </c>
      <c r="B95" s="784" t="s">
        <v>1451</v>
      </c>
      <c r="C95" s="492">
        <f>VLOOKUP(A95,'Allocation 2019-20'!$B$9:$O$321,14,FALSE)</f>
        <v>20925</v>
      </c>
      <c r="D95" s="492">
        <f>IFERROR(VLOOKUP(A95,'Allocation 2018-19'!$B$9:$O$321,14,FALSE),0)</f>
        <v>21214</v>
      </c>
      <c r="E95" s="580">
        <f t="shared" si="2"/>
        <v>-289</v>
      </c>
      <c r="F95" s="581">
        <f t="shared" si="3"/>
        <v>-1.3623079098708401E-2</v>
      </c>
    </row>
    <row r="96" spans="1:6">
      <c r="A96" s="784" t="s">
        <v>181</v>
      </c>
      <c r="B96" s="784" t="s">
        <v>1452</v>
      </c>
      <c r="C96" s="492">
        <f>VLOOKUP(A96,'Allocation 2019-20'!$B$9:$O$321,14,FALSE)</f>
        <v>683566</v>
      </c>
      <c r="D96" s="492">
        <f>IFERROR(VLOOKUP(A96,'Allocation 2018-19'!$B$9:$O$321,14,FALSE),0)</f>
        <v>687601</v>
      </c>
      <c r="E96" s="580">
        <f t="shared" si="2"/>
        <v>-4035</v>
      </c>
      <c r="F96" s="581">
        <f t="shared" si="3"/>
        <v>-5.8682288129307545E-3</v>
      </c>
    </row>
    <row r="97" spans="1:6">
      <c r="A97" s="784" t="s">
        <v>183</v>
      </c>
      <c r="B97" s="784" t="s">
        <v>1453</v>
      </c>
      <c r="C97" s="492">
        <f>VLOOKUP(A97,'Allocation 2019-20'!$B$9:$O$321,14,FALSE)</f>
        <v>9382</v>
      </c>
      <c r="D97" s="492">
        <f>IFERROR(VLOOKUP(A97,'Allocation 2018-19'!$B$9:$O$321,14,FALSE),0)</f>
        <v>9678</v>
      </c>
      <c r="E97" s="580">
        <f t="shared" si="2"/>
        <v>-296</v>
      </c>
      <c r="F97" s="581">
        <f t="shared" si="3"/>
        <v>-3.058483157677206E-2</v>
      </c>
    </row>
    <row r="98" spans="1:6">
      <c r="A98" s="784" t="s">
        <v>185</v>
      </c>
      <c r="B98" s="784" t="s">
        <v>638</v>
      </c>
      <c r="C98" s="492">
        <f>VLOOKUP(A98,'Allocation 2019-20'!$B$9:$O$321,14,FALSE)</f>
        <v>365018</v>
      </c>
      <c r="D98" s="492">
        <f>IFERROR(VLOOKUP(A98,'Allocation 2018-19'!$B$9:$O$321,14,FALSE),0)</f>
        <v>355654</v>
      </c>
      <c r="E98" s="580">
        <f t="shared" si="2"/>
        <v>9364</v>
      </c>
      <c r="F98" s="581">
        <f t="shared" si="3"/>
        <v>2.6328960169153166E-2</v>
      </c>
    </row>
    <row r="99" spans="1:6">
      <c r="A99" s="784" t="s">
        <v>187</v>
      </c>
      <c r="B99" s="784" t="s">
        <v>1454</v>
      </c>
      <c r="C99" s="492">
        <f>VLOOKUP(A99,'Allocation 2019-20'!$B$9:$O$321,14,FALSE)</f>
        <v>0</v>
      </c>
      <c r="D99" s="492">
        <f>IFERROR(VLOOKUP(A99,'Allocation 2018-19'!$B$9:$O$321,14,FALSE),0)</f>
        <v>0</v>
      </c>
      <c r="E99" s="580">
        <f t="shared" si="2"/>
        <v>0</v>
      </c>
      <c r="F99" s="581">
        <f t="shared" si="3"/>
        <v>0</v>
      </c>
    </row>
    <row r="100" spans="1:6">
      <c r="A100" s="784" t="s">
        <v>189</v>
      </c>
      <c r="B100" s="784" t="s">
        <v>1455</v>
      </c>
      <c r="C100" s="492">
        <f>VLOOKUP(A100,'Allocation 2019-20'!$B$9:$O$321,14,FALSE)</f>
        <v>398813</v>
      </c>
      <c r="D100" s="492">
        <f>IFERROR(VLOOKUP(A100,'Allocation 2018-19'!$B$9:$O$321,14,FALSE),0)</f>
        <v>377462</v>
      </c>
      <c r="E100" s="580">
        <f t="shared" si="2"/>
        <v>21351</v>
      </c>
      <c r="F100" s="581">
        <f t="shared" si="3"/>
        <v>5.6564634320805801E-2</v>
      </c>
    </row>
    <row r="101" spans="1:6">
      <c r="A101" s="784" t="s">
        <v>191</v>
      </c>
      <c r="B101" s="784" t="s">
        <v>1456</v>
      </c>
      <c r="C101" s="492">
        <f>VLOOKUP(A101,'Allocation 2019-20'!$B$9:$O$321,14,FALSE)</f>
        <v>125780</v>
      </c>
      <c r="D101" s="492">
        <f>IFERROR(VLOOKUP(A101,'Allocation 2018-19'!$B$9:$O$321,14,FALSE),0)</f>
        <v>135570</v>
      </c>
      <c r="E101" s="580">
        <f t="shared" si="2"/>
        <v>-9790</v>
      </c>
      <c r="F101" s="581">
        <f t="shared" si="3"/>
        <v>-7.221361658183964E-2</v>
      </c>
    </row>
    <row r="102" spans="1:6">
      <c r="A102" s="784" t="s">
        <v>193</v>
      </c>
      <c r="B102" s="784" t="s">
        <v>1457</v>
      </c>
      <c r="C102" s="492">
        <f>VLOOKUP(A102,'Allocation 2019-20'!$B$9:$O$321,14,FALSE)</f>
        <v>22023</v>
      </c>
      <c r="D102" s="492">
        <f>IFERROR(VLOOKUP(A102,'Allocation 2018-19'!$B$9:$O$321,14,FALSE),0)</f>
        <v>19009</v>
      </c>
      <c r="E102" s="580">
        <f t="shared" si="2"/>
        <v>3014</v>
      </c>
      <c r="F102" s="581">
        <f t="shared" si="3"/>
        <v>0.15855647324951339</v>
      </c>
    </row>
    <row r="103" spans="1:6">
      <c r="A103" s="784" t="s">
        <v>195</v>
      </c>
      <c r="B103" s="784" t="s">
        <v>1362</v>
      </c>
      <c r="C103" s="492">
        <f>VLOOKUP(A103,'Allocation 2019-20'!$B$9:$O$321,14,FALSE)</f>
        <v>422269</v>
      </c>
      <c r="D103" s="492">
        <f>IFERROR(VLOOKUP(A103,'Allocation 2018-19'!$B$9:$O$321,14,FALSE),0)</f>
        <v>383189</v>
      </c>
      <c r="E103" s="580">
        <f t="shared" si="2"/>
        <v>39080</v>
      </c>
      <c r="F103" s="581">
        <f t="shared" si="3"/>
        <v>0.10198622611818189</v>
      </c>
    </row>
    <row r="104" spans="1:6">
      <c r="A104" s="784" t="s">
        <v>197</v>
      </c>
      <c r="B104" s="784" t="s">
        <v>627</v>
      </c>
      <c r="C104" s="492">
        <f>VLOOKUP(A104,'Allocation 2019-20'!$B$9:$O$321,14,FALSE)</f>
        <v>30999</v>
      </c>
      <c r="D104" s="492">
        <f>IFERROR(VLOOKUP(A104,'Allocation 2018-19'!$B$9:$O$321,14,FALSE),0)</f>
        <v>24297</v>
      </c>
      <c r="E104" s="580">
        <f t="shared" si="2"/>
        <v>6702</v>
      </c>
      <c r="F104" s="581">
        <f t="shared" si="3"/>
        <v>0.27583652302753425</v>
      </c>
    </row>
    <row r="105" spans="1:6">
      <c r="A105" s="784" t="s">
        <v>199</v>
      </c>
      <c r="B105" s="784" t="s">
        <v>1272</v>
      </c>
      <c r="C105" s="492">
        <f>VLOOKUP(A105,'Allocation 2019-20'!$B$9:$O$321,14,FALSE)</f>
        <v>25352</v>
      </c>
      <c r="D105" s="492">
        <f>IFERROR(VLOOKUP(A105,'Allocation 2018-19'!$B$9:$O$321,14,FALSE),0)</f>
        <v>22036</v>
      </c>
      <c r="E105" s="580">
        <f t="shared" si="2"/>
        <v>3316</v>
      </c>
      <c r="F105" s="581">
        <f t="shared" si="3"/>
        <v>0.15048103104011618</v>
      </c>
    </row>
    <row r="106" spans="1:6">
      <c r="A106" s="786" t="s">
        <v>201</v>
      </c>
      <c r="B106" s="784" t="s">
        <v>1458</v>
      </c>
      <c r="C106" s="492">
        <f>VLOOKUP(A106,'Allocation 2019-20'!$B$9:$O$321,14,FALSE)</f>
        <v>160798</v>
      </c>
      <c r="D106" s="492">
        <f>IFERROR(VLOOKUP(A106,'Allocation 2018-19'!$B$9:$O$321,14,FALSE),0)</f>
        <v>156685</v>
      </c>
      <c r="E106" s="580">
        <f t="shared" si="2"/>
        <v>4113</v>
      </c>
      <c r="F106" s="581">
        <f t="shared" si="3"/>
        <v>2.6250119666847496E-2</v>
      </c>
    </row>
    <row r="107" spans="1:6">
      <c r="A107" s="784" t="s">
        <v>203</v>
      </c>
      <c r="B107" s="784" t="s">
        <v>640</v>
      </c>
      <c r="C107" s="492">
        <f>VLOOKUP(A107,'Allocation 2019-20'!$B$9:$O$321,14,FALSE)</f>
        <v>99243</v>
      </c>
      <c r="D107" s="492">
        <f>IFERROR(VLOOKUP(A107,'Allocation 2018-19'!$B$9:$O$321,14,FALSE),0)</f>
        <v>93547</v>
      </c>
      <c r="E107" s="580">
        <f t="shared" si="2"/>
        <v>5696</v>
      </c>
      <c r="F107" s="581">
        <f t="shared" si="3"/>
        <v>6.0889178701615233E-2</v>
      </c>
    </row>
    <row r="108" spans="1:6">
      <c r="A108" s="784" t="s">
        <v>205</v>
      </c>
      <c r="B108" s="784" t="s">
        <v>1459</v>
      </c>
      <c r="C108" s="492">
        <f>VLOOKUP(A108,'Allocation 2019-20'!$B$9:$O$321,14,FALSE)</f>
        <v>383713</v>
      </c>
      <c r="D108" s="492">
        <f>IFERROR(VLOOKUP(A108,'Allocation 2018-19'!$B$9:$O$321,14,FALSE),0)</f>
        <v>358879</v>
      </c>
      <c r="E108" s="580">
        <f t="shared" si="2"/>
        <v>24834</v>
      </c>
      <c r="F108" s="581">
        <f t="shared" si="3"/>
        <v>6.9198810741224762E-2</v>
      </c>
    </row>
    <row r="109" spans="1:6">
      <c r="A109" s="784" t="s">
        <v>207</v>
      </c>
      <c r="B109" s="784" t="s">
        <v>1460</v>
      </c>
      <c r="C109" s="492">
        <f>VLOOKUP(A109,'Allocation 2019-20'!$B$9:$O$321,14,FALSE)</f>
        <v>708191</v>
      </c>
      <c r="D109" s="492">
        <f>IFERROR(VLOOKUP(A109,'Allocation 2018-19'!$B$9:$O$321,14,FALSE),0)</f>
        <v>711495</v>
      </c>
      <c r="E109" s="580">
        <f t="shared" si="2"/>
        <v>-3304</v>
      </c>
      <c r="F109" s="581">
        <f t="shared" si="3"/>
        <v>-4.6437431043085337E-3</v>
      </c>
    </row>
    <row r="110" spans="1:6">
      <c r="A110" s="784" t="s">
        <v>209</v>
      </c>
      <c r="B110" s="784" t="s">
        <v>637</v>
      </c>
      <c r="C110" s="492">
        <f>VLOOKUP(A110,'Allocation 2019-20'!$B$9:$O$321,14,FALSE)</f>
        <v>237502</v>
      </c>
      <c r="D110" s="492">
        <f>IFERROR(VLOOKUP(A110,'Allocation 2018-19'!$B$9:$O$321,14,FALSE),0)</f>
        <v>221428</v>
      </c>
      <c r="E110" s="580">
        <f t="shared" si="2"/>
        <v>16074</v>
      </c>
      <c r="F110" s="581">
        <f t="shared" si="3"/>
        <v>7.2592445399859096E-2</v>
      </c>
    </row>
    <row r="111" spans="1:6">
      <c r="A111" s="784" t="s">
        <v>659</v>
      </c>
      <c r="B111" s="784" t="s">
        <v>1461</v>
      </c>
      <c r="C111" s="492">
        <f>VLOOKUP(A111,'Allocation 2019-20'!$B$9:$O$321,14,FALSE)</f>
        <v>0</v>
      </c>
      <c r="D111" s="492">
        <f>IFERROR(VLOOKUP(A111,'Allocation 2018-19'!$B$9:$O$321,14,FALSE),0)</f>
        <v>0</v>
      </c>
      <c r="E111" s="580">
        <f t="shared" si="2"/>
        <v>0</v>
      </c>
      <c r="F111" s="581">
        <f t="shared" si="3"/>
        <v>0</v>
      </c>
    </row>
    <row r="112" spans="1:6">
      <c r="A112" s="784" t="s">
        <v>211</v>
      </c>
      <c r="B112" s="784" t="s">
        <v>1462</v>
      </c>
      <c r="C112" s="492">
        <f>VLOOKUP(A112,'Allocation 2019-20'!$B$9:$O$321,14,FALSE)</f>
        <v>47427</v>
      </c>
      <c r="D112" s="492">
        <f>IFERROR(VLOOKUP(A112,'Allocation 2018-19'!$B$9:$O$321,14,FALSE),0)</f>
        <v>40067</v>
      </c>
      <c r="E112" s="580">
        <f t="shared" si="2"/>
        <v>7360</v>
      </c>
      <c r="F112" s="581">
        <f t="shared" si="3"/>
        <v>0.18369231537175232</v>
      </c>
    </row>
    <row r="113" spans="1:6">
      <c r="A113" s="784" t="s">
        <v>213</v>
      </c>
      <c r="B113" s="784" t="s">
        <v>1463</v>
      </c>
      <c r="C113" s="492">
        <f>VLOOKUP(A113,'Allocation 2019-20'!$B$9:$O$321,14,FALSE)</f>
        <v>0</v>
      </c>
      <c r="D113" s="492">
        <f>IFERROR(VLOOKUP(A113,'Allocation 2018-19'!$B$9:$O$321,14,FALSE),0)</f>
        <v>0</v>
      </c>
      <c r="E113" s="580">
        <f t="shared" si="2"/>
        <v>0</v>
      </c>
      <c r="F113" s="581">
        <f t="shared" si="3"/>
        <v>0</v>
      </c>
    </row>
    <row r="114" spans="1:6">
      <c r="A114" s="784" t="s">
        <v>214</v>
      </c>
      <c r="B114" s="784" t="s">
        <v>625</v>
      </c>
      <c r="C114" s="492">
        <f>VLOOKUP(A114,'Allocation 2019-20'!$B$9:$O$321,14,FALSE)</f>
        <v>27741</v>
      </c>
      <c r="D114" s="492">
        <f>IFERROR(VLOOKUP(A114,'Allocation 2018-19'!$B$9:$O$321,14,FALSE),0)</f>
        <v>29405</v>
      </c>
      <c r="E114" s="580">
        <f t="shared" si="2"/>
        <v>-1664</v>
      </c>
      <c r="F114" s="581">
        <f t="shared" si="3"/>
        <v>-5.6589015473558921E-2</v>
      </c>
    </row>
    <row r="115" spans="1:6">
      <c r="A115" s="784" t="s">
        <v>216</v>
      </c>
      <c r="B115" s="784" t="s">
        <v>1464</v>
      </c>
      <c r="C115" s="492">
        <f>VLOOKUP(A115,'Allocation 2019-20'!$B$9:$O$321,14,FALSE)</f>
        <v>41922</v>
      </c>
      <c r="D115" s="492">
        <f>IFERROR(VLOOKUP(A115,'Allocation 2018-19'!$B$9:$O$321,14,FALSE),0)</f>
        <v>40099</v>
      </c>
      <c r="E115" s="580">
        <f t="shared" si="2"/>
        <v>1823</v>
      </c>
      <c r="F115" s="581">
        <f t="shared" si="3"/>
        <v>4.5462480361106263E-2</v>
      </c>
    </row>
    <row r="116" spans="1:6">
      <c r="A116" s="784" t="s">
        <v>218</v>
      </c>
      <c r="B116" s="784" t="s">
        <v>1465</v>
      </c>
      <c r="C116" s="492">
        <f>VLOOKUP(A116,'Allocation 2019-20'!$B$9:$O$321,14,FALSE)</f>
        <v>34079</v>
      </c>
      <c r="D116" s="492">
        <f>IFERROR(VLOOKUP(A116,'Allocation 2018-19'!$B$9:$O$321,14,FALSE),0)</f>
        <v>28992</v>
      </c>
      <c r="E116" s="580">
        <f t="shared" si="2"/>
        <v>5087</v>
      </c>
      <c r="F116" s="581">
        <f t="shared" si="3"/>
        <v>0.17546219646799116</v>
      </c>
    </row>
    <row r="117" spans="1:6">
      <c r="A117" s="784" t="s">
        <v>220</v>
      </c>
      <c r="B117" s="784" t="s">
        <v>1466</v>
      </c>
      <c r="C117" s="492">
        <f>VLOOKUP(A117,'Allocation 2019-20'!$B$9:$O$321,14,FALSE)</f>
        <v>0</v>
      </c>
      <c r="D117" s="492">
        <f>IFERROR(VLOOKUP(A117,'Allocation 2018-19'!$B$9:$O$321,14,FALSE),0)</f>
        <v>0</v>
      </c>
      <c r="E117" s="580">
        <f t="shared" si="2"/>
        <v>0</v>
      </c>
      <c r="F117" s="581">
        <f t="shared" si="3"/>
        <v>0</v>
      </c>
    </row>
    <row r="118" spans="1:6">
      <c r="A118" s="784" t="s">
        <v>222</v>
      </c>
      <c r="B118" s="784" t="s">
        <v>1467</v>
      </c>
      <c r="C118" s="492">
        <f>VLOOKUP(A118,'Allocation 2019-20'!$B$9:$O$321,14,FALSE)</f>
        <v>0</v>
      </c>
      <c r="D118" s="492">
        <f>IFERROR(VLOOKUP(A118,'Allocation 2018-19'!$B$9:$O$321,14,FALSE),0)</f>
        <v>1455</v>
      </c>
      <c r="E118" s="580">
        <f t="shared" si="2"/>
        <v>-1455</v>
      </c>
      <c r="F118" s="581">
        <f t="shared" si="3"/>
        <v>-1</v>
      </c>
    </row>
    <row r="119" spans="1:6">
      <c r="A119" s="784" t="s">
        <v>224</v>
      </c>
      <c r="B119" s="784" t="s">
        <v>1468</v>
      </c>
      <c r="C119" s="492">
        <f>VLOOKUP(A119,'Allocation 2019-20'!$B$9:$O$321,14,FALSE)</f>
        <v>0</v>
      </c>
      <c r="D119" s="492">
        <f>IFERROR(VLOOKUP(A119,'Allocation 2018-19'!$B$9:$O$321,14,FALSE),0)</f>
        <v>0</v>
      </c>
      <c r="E119" s="580">
        <f t="shared" si="2"/>
        <v>0</v>
      </c>
      <c r="F119" s="581">
        <f t="shared" si="3"/>
        <v>0</v>
      </c>
    </row>
    <row r="120" spans="1:6">
      <c r="A120" s="784" t="s">
        <v>226</v>
      </c>
      <c r="B120" s="784" t="s">
        <v>1469</v>
      </c>
      <c r="C120" s="492">
        <f>VLOOKUP(A120,'Allocation 2019-20'!$B$9:$O$321,14,FALSE)</f>
        <v>31635</v>
      </c>
      <c r="D120" s="492">
        <f>IFERROR(VLOOKUP(A120,'Allocation 2018-19'!$B$9:$O$321,14,FALSE),0)</f>
        <v>30799</v>
      </c>
      <c r="E120" s="580">
        <f t="shared" si="2"/>
        <v>836</v>
      </c>
      <c r="F120" s="581">
        <f t="shared" si="3"/>
        <v>2.7143738433066007E-2</v>
      </c>
    </row>
    <row r="121" spans="1:6">
      <c r="A121" s="784" t="s">
        <v>228</v>
      </c>
      <c r="B121" s="784" t="s">
        <v>1470</v>
      </c>
      <c r="C121" s="492">
        <f>VLOOKUP(A121,'Allocation 2019-20'!$B$9:$O$321,14,FALSE)</f>
        <v>6444</v>
      </c>
      <c r="D121" s="492">
        <f>IFERROR(VLOOKUP(A121,'Allocation 2018-19'!$B$9:$O$321,14,FALSE),0)</f>
        <v>6382</v>
      </c>
      <c r="E121" s="580">
        <f t="shared" si="2"/>
        <v>62</v>
      </c>
      <c r="F121" s="581">
        <f t="shared" si="3"/>
        <v>9.7148229395173924E-3</v>
      </c>
    </row>
    <row r="122" spans="1:6">
      <c r="A122" s="784" t="s">
        <v>230</v>
      </c>
      <c r="B122" s="784" t="s">
        <v>1471</v>
      </c>
      <c r="C122" s="492">
        <f>VLOOKUP(A122,'Allocation 2019-20'!$B$9:$O$321,14,FALSE)</f>
        <v>2355</v>
      </c>
      <c r="D122" s="492">
        <f>IFERROR(VLOOKUP(A122,'Allocation 2018-19'!$B$9:$O$321,14,FALSE),0)</f>
        <v>2192</v>
      </c>
      <c r="E122" s="580">
        <f t="shared" si="2"/>
        <v>163</v>
      </c>
      <c r="F122" s="581">
        <f t="shared" si="3"/>
        <v>7.4361313868613138E-2</v>
      </c>
    </row>
    <row r="123" spans="1:6">
      <c r="A123" s="784" t="s">
        <v>232</v>
      </c>
      <c r="B123" s="784" t="s">
        <v>1472</v>
      </c>
      <c r="C123" s="492">
        <f>VLOOKUP(A123,'Allocation 2019-20'!$B$9:$O$321,14,FALSE)</f>
        <v>0</v>
      </c>
      <c r="D123" s="492">
        <f>IFERROR(VLOOKUP(A123,'Allocation 2018-19'!$B$9:$O$321,14,FALSE),0)</f>
        <v>0</v>
      </c>
      <c r="E123" s="580">
        <f t="shared" si="2"/>
        <v>0</v>
      </c>
      <c r="F123" s="581">
        <f t="shared" si="3"/>
        <v>0</v>
      </c>
    </row>
    <row r="124" spans="1:6">
      <c r="A124" s="784" t="s">
        <v>234</v>
      </c>
      <c r="B124" s="784" t="s">
        <v>1473</v>
      </c>
      <c r="C124" s="492">
        <f>VLOOKUP(A124,'Allocation 2019-20'!$B$9:$O$321,14,FALSE)</f>
        <v>0</v>
      </c>
      <c r="D124" s="492">
        <f>IFERROR(VLOOKUP(A124,'Allocation 2018-19'!$B$9:$O$321,14,FALSE),0)</f>
        <v>0</v>
      </c>
      <c r="E124" s="580">
        <f t="shared" si="2"/>
        <v>0</v>
      </c>
      <c r="F124" s="581">
        <f t="shared" si="3"/>
        <v>0</v>
      </c>
    </row>
    <row r="125" spans="1:6">
      <c r="A125" s="784" t="s">
        <v>236</v>
      </c>
      <c r="B125" s="784" t="s">
        <v>1474</v>
      </c>
      <c r="C125" s="492">
        <f>VLOOKUP(A125,'Allocation 2019-20'!$B$9:$O$321,14,FALSE)</f>
        <v>0</v>
      </c>
      <c r="D125" s="492">
        <f>IFERROR(VLOOKUP(A125,'Allocation 2018-19'!$B$9:$O$321,14,FALSE),0)</f>
        <v>0</v>
      </c>
      <c r="E125" s="580">
        <f t="shared" si="2"/>
        <v>0</v>
      </c>
      <c r="F125" s="581">
        <f t="shared" si="3"/>
        <v>0</v>
      </c>
    </row>
    <row r="126" spans="1:6">
      <c r="A126" s="784" t="s">
        <v>238</v>
      </c>
      <c r="B126" s="784" t="s">
        <v>1475</v>
      </c>
      <c r="C126" s="492">
        <f>VLOOKUP(A126,'Allocation 2019-20'!$B$9:$O$321,14,FALSE)</f>
        <v>0</v>
      </c>
      <c r="D126" s="492">
        <f>IFERROR(VLOOKUP(A126,'Allocation 2018-19'!$B$9:$O$321,14,FALSE),0)</f>
        <v>0</v>
      </c>
      <c r="E126" s="580">
        <f t="shared" si="2"/>
        <v>0</v>
      </c>
      <c r="F126" s="581">
        <f t="shared" si="3"/>
        <v>0</v>
      </c>
    </row>
    <row r="127" spans="1:6">
      <c r="A127" s="784" t="s">
        <v>240</v>
      </c>
      <c r="B127" s="784" t="s">
        <v>1476</v>
      </c>
      <c r="C127" s="492">
        <f>VLOOKUP(A127,'Allocation 2019-20'!$B$9:$O$321,14,FALSE)</f>
        <v>0</v>
      </c>
      <c r="D127" s="492">
        <f>IFERROR(VLOOKUP(A127,'Allocation 2018-19'!$B$9:$O$321,14,FALSE),0)</f>
        <v>0</v>
      </c>
      <c r="E127" s="580">
        <f t="shared" si="2"/>
        <v>0</v>
      </c>
      <c r="F127" s="581">
        <f t="shared" si="3"/>
        <v>0</v>
      </c>
    </row>
    <row r="128" spans="1:6">
      <c r="A128" s="784" t="s">
        <v>242</v>
      </c>
      <c r="B128" s="784" t="s">
        <v>1477</v>
      </c>
      <c r="C128" s="492">
        <f>VLOOKUP(A128,'Allocation 2019-20'!$B$9:$O$321,14,FALSE)</f>
        <v>0</v>
      </c>
      <c r="D128" s="492">
        <f>IFERROR(VLOOKUP(A128,'Allocation 2018-19'!$B$9:$O$321,14,FALSE),0)</f>
        <v>0</v>
      </c>
      <c r="E128" s="580">
        <f t="shared" si="2"/>
        <v>0</v>
      </c>
      <c r="F128" s="581">
        <f t="shared" si="3"/>
        <v>0</v>
      </c>
    </row>
    <row r="129" spans="1:6">
      <c r="A129" s="784" t="s">
        <v>244</v>
      </c>
      <c r="B129" s="784" t="s">
        <v>1478</v>
      </c>
      <c r="C129" s="492">
        <f>VLOOKUP(A129,'Allocation 2019-20'!$B$9:$O$321,14,FALSE)</f>
        <v>0</v>
      </c>
      <c r="D129" s="492">
        <f>IFERROR(VLOOKUP(A129,'Allocation 2018-19'!$B$9:$O$321,14,FALSE),0)</f>
        <v>0</v>
      </c>
      <c r="E129" s="580">
        <f t="shared" si="2"/>
        <v>0</v>
      </c>
      <c r="F129" s="581">
        <f t="shared" si="3"/>
        <v>0</v>
      </c>
    </row>
    <row r="130" spans="1:6">
      <c r="A130" s="784" t="s">
        <v>246</v>
      </c>
      <c r="B130" s="784" t="s">
        <v>1479</v>
      </c>
      <c r="C130" s="492">
        <f>VLOOKUP(A130,'Allocation 2019-20'!$B$9:$O$321,14,FALSE)</f>
        <v>3575</v>
      </c>
      <c r="D130" s="492">
        <f>IFERROR(VLOOKUP(A130,'Allocation 2018-19'!$B$9:$O$321,14,FALSE),0)</f>
        <v>3998</v>
      </c>
      <c r="E130" s="580">
        <f t="shared" ref="E130:E193" si="4">C130-D130</f>
        <v>-423</v>
      </c>
      <c r="F130" s="581">
        <f t="shared" ref="F130:F193" si="5">IF(D130=0,0,E130/D130)</f>
        <v>-0.10580290145072536</v>
      </c>
    </row>
    <row r="131" spans="1:6">
      <c r="A131" s="784" t="s">
        <v>248</v>
      </c>
      <c r="B131" s="784" t="s">
        <v>1480</v>
      </c>
      <c r="C131" s="492">
        <f>VLOOKUP(A131,'Allocation 2019-20'!$B$9:$O$321,14,FALSE)</f>
        <v>24447</v>
      </c>
      <c r="D131" s="492">
        <f>IFERROR(VLOOKUP(A131,'Allocation 2018-19'!$B$9:$O$321,14,FALSE),0)</f>
        <v>24567</v>
      </c>
      <c r="E131" s="580">
        <f t="shared" si="4"/>
        <v>-120</v>
      </c>
      <c r="F131" s="581">
        <f t="shared" si="5"/>
        <v>-4.8846012944193428E-3</v>
      </c>
    </row>
    <row r="132" spans="1:6">
      <c r="A132" s="784" t="s">
        <v>250</v>
      </c>
      <c r="B132" s="784" t="s">
        <v>1481</v>
      </c>
      <c r="C132" s="492">
        <f>VLOOKUP(A132,'Allocation 2019-20'!$B$9:$O$321,14,FALSE)</f>
        <v>0</v>
      </c>
      <c r="D132" s="492">
        <f>IFERROR(VLOOKUP(A132,'Allocation 2018-19'!$B$9:$O$321,14,FALSE),0)</f>
        <v>0</v>
      </c>
      <c r="E132" s="580">
        <f t="shared" si="4"/>
        <v>0</v>
      </c>
      <c r="F132" s="581">
        <f t="shared" si="5"/>
        <v>0</v>
      </c>
    </row>
    <row r="133" spans="1:6">
      <c r="A133" s="784" t="s">
        <v>252</v>
      </c>
      <c r="B133" s="784" t="s">
        <v>1482</v>
      </c>
      <c r="C133" s="492">
        <f>VLOOKUP(A133,'Allocation 2019-20'!$B$9:$O$321,14,FALSE)</f>
        <v>0</v>
      </c>
      <c r="D133" s="492">
        <f>IFERROR(VLOOKUP(A133,'Allocation 2018-19'!$B$9:$O$321,14,FALSE),0)</f>
        <v>0</v>
      </c>
      <c r="E133" s="580">
        <f t="shared" si="4"/>
        <v>0</v>
      </c>
      <c r="F133" s="581">
        <f t="shared" si="5"/>
        <v>0</v>
      </c>
    </row>
    <row r="134" spans="1:6">
      <c r="A134" s="784" t="s">
        <v>256</v>
      </c>
      <c r="B134" s="784" t="s">
        <v>1483</v>
      </c>
      <c r="C134" s="492">
        <f>VLOOKUP(A134,'Allocation 2019-20'!$B$9:$O$321,14,FALSE)</f>
        <v>0</v>
      </c>
      <c r="D134" s="492">
        <f>IFERROR(VLOOKUP(A134,'Allocation 2018-19'!$B$9:$O$321,14,FALSE),0)</f>
        <v>0</v>
      </c>
      <c r="E134" s="580">
        <f t="shared" si="4"/>
        <v>0</v>
      </c>
      <c r="F134" s="581">
        <f t="shared" si="5"/>
        <v>0</v>
      </c>
    </row>
    <row r="135" spans="1:6">
      <c r="A135" s="784" t="s">
        <v>258</v>
      </c>
      <c r="B135" s="784" t="s">
        <v>1356</v>
      </c>
      <c r="C135" s="492">
        <f>VLOOKUP(A135,'Allocation 2019-20'!$B$9:$O$321,14,FALSE)</f>
        <v>7081</v>
      </c>
      <c r="D135" s="492">
        <f>IFERROR(VLOOKUP(A135,'Allocation 2018-19'!$B$9:$O$321,14,FALSE),0)</f>
        <v>7470</v>
      </c>
      <c r="E135" s="580">
        <f t="shared" si="4"/>
        <v>-389</v>
      </c>
      <c r="F135" s="581">
        <f t="shared" si="5"/>
        <v>-5.2074966532797855E-2</v>
      </c>
    </row>
    <row r="136" spans="1:6">
      <c r="A136" s="784" t="s">
        <v>260</v>
      </c>
      <c r="B136" s="784" t="s">
        <v>1484</v>
      </c>
      <c r="C136" s="492">
        <f>VLOOKUP(A136,'Allocation 2019-20'!$B$9:$O$321,14,FALSE)</f>
        <v>0</v>
      </c>
      <c r="D136" s="492">
        <f>IFERROR(VLOOKUP(A136,'Allocation 2018-19'!$B$9:$O$321,14,FALSE),0)</f>
        <v>0</v>
      </c>
      <c r="E136" s="580">
        <f t="shared" si="4"/>
        <v>0</v>
      </c>
      <c r="F136" s="581">
        <f t="shared" si="5"/>
        <v>0</v>
      </c>
    </row>
    <row r="137" spans="1:6">
      <c r="A137" s="784" t="s">
        <v>262</v>
      </c>
      <c r="B137" s="784" t="s">
        <v>1485</v>
      </c>
      <c r="C137" s="492">
        <f>VLOOKUP(A137,'Allocation 2019-20'!$B$9:$O$321,14,FALSE)</f>
        <v>0</v>
      </c>
      <c r="D137" s="492">
        <f>IFERROR(VLOOKUP(A137,'Allocation 2018-19'!$B$9:$O$321,14,FALSE),0)</f>
        <v>0</v>
      </c>
      <c r="E137" s="580">
        <f t="shared" si="4"/>
        <v>0</v>
      </c>
      <c r="F137" s="581">
        <f t="shared" si="5"/>
        <v>0</v>
      </c>
    </row>
    <row r="138" spans="1:6">
      <c r="A138" s="784" t="s">
        <v>264</v>
      </c>
      <c r="B138" s="784" t="s">
        <v>1486</v>
      </c>
      <c r="C138" s="492">
        <f>VLOOKUP(A138,'Allocation 2019-20'!$B$9:$O$321,14,FALSE)</f>
        <v>11117</v>
      </c>
      <c r="D138" s="492">
        <f>IFERROR(VLOOKUP(A138,'Allocation 2018-19'!$B$9:$O$321,14,FALSE),0)</f>
        <v>11643</v>
      </c>
      <c r="E138" s="580">
        <f t="shared" si="4"/>
        <v>-526</v>
      </c>
      <c r="F138" s="581">
        <f t="shared" si="5"/>
        <v>-4.5177359786996475E-2</v>
      </c>
    </row>
    <row r="139" spans="1:6">
      <c r="A139" s="784" t="s">
        <v>266</v>
      </c>
      <c r="B139" s="784" t="s">
        <v>1487</v>
      </c>
      <c r="C139" s="492">
        <f>VLOOKUP(A139,'Allocation 2019-20'!$B$9:$O$321,14,FALSE)</f>
        <v>0</v>
      </c>
      <c r="D139" s="492">
        <f>IFERROR(VLOOKUP(A139,'Allocation 2018-19'!$B$9:$O$321,14,FALSE),0)</f>
        <v>0</v>
      </c>
      <c r="E139" s="580">
        <f t="shared" si="4"/>
        <v>0</v>
      </c>
      <c r="F139" s="581">
        <f t="shared" si="5"/>
        <v>0</v>
      </c>
    </row>
    <row r="140" spans="1:6">
      <c r="A140" s="784" t="s">
        <v>268</v>
      </c>
      <c r="B140" s="784" t="s">
        <v>1488</v>
      </c>
      <c r="C140" s="492">
        <f>VLOOKUP(A140,'Allocation 2019-20'!$B$9:$O$321,14,FALSE)</f>
        <v>0</v>
      </c>
      <c r="D140" s="492">
        <f>IFERROR(VLOOKUP(A140,'Allocation 2018-19'!$B$9:$O$321,14,FALSE),0)</f>
        <v>0</v>
      </c>
      <c r="E140" s="580">
        <f t="shared" si="4"/>
        <v>0</v>
      </c>
      <c r="F140" s="581">
        <f t="shared" si="5"/>
        <v>0</v>
      </c>
    </row>
    <row r="141" spans="1:6">
      <c r="A141" s="784" t="s">
        <v>270</v>
      </c>
      <c r="B141" s="784" t="s">
        <v>1489</v>
      </c>
      <c r="C141" s="492">
        <f>VLOOKUP(A141,'Allocation 2019-20'!$B$9:$O$321,14,FALSE)</f>
        <v>4248</v>
      </c>
      <c r="D141" s="492">
        <f>IFERROR(VLOOKUP(A141,'Allocation 2018-19'!$B$9:$O$321,14,FALSE),0)</f>
        <v>3876</v>
      </c>
      <c r="E141" s="580">
        <f t="shared" si="4"/>
        <v>372</v>
      </c>
      <c r="F141" s="581">
        <f t="shared" si="5"/>
        <v>9.5975232198142413E-2</v>
      </c>
    </row>
    <row r="142" spans="1:6">
      <c r="A142" s="784" t="s">
        <v>272</v>
      </c>
      <c r="B142" s="784" t="s">
        <v>1490</v>
      </c>
      <c r="C142" s="492">
        <f>VLOOKUP(A142,'Allocation 2019-20'!$B$9:$O$321,14,FALSE)</f>
        <v>0</v>
      </c>
      <c r="D142" s="492">
        <f>IFERROR(VLOOKUP(A142,'Allocation 2018-19'!$B$9:$O$321,14,FALSE),0)</f>
        <v>0</v>
      </c>
      <c r="E142" s="580">
        <f t="shared" si="4"/>
        <v>0</v>
      </c>
      <c r="F142" s="581">
        <f t="shared" si="5"/>
        <v>0</v>
      </c>
    </row>
    <row r="143" spans="1:6">
      <c r="A143" s="784" t="s">
        <v>274</v>
      </c>
      <c r="B143" s="784" t="s">
        <v>1491</v>
      </c>
      <c r="C143" s="492">
        <f>VLOOKUP(A143,'Allocation 2019-20'!$B$9:$O$321,14,FALSE)</f>
        <v>19279</v>
      </c>
      <c r="D143" s="492">
        <f>IFERROR(VLOOKUP(A143,'Allocation 2018-19'!$B$9:$O$321,14,FALSE),0)</f>
        <v>19531</v>
      </c>
      <c r="E143" s="580">
        <f t="shared" si="4"/>
        <v>-252</v>
      </c>
      <c r="F143" s="581">
        <f t="shared" si="5"/>
        <v>-1.2902565152833957E-2</v>
      </c>
    </row>
    <row r="144" spans="1:6">
      <c r="A144" s="784" t="s">
        <v>276</v>
      </c>
      <c r="B144" s="784" t="s">
        <v>1492</v>
      </c>
      <c r="C144" s="492">
        <f>VLOOKUP(A144,'Allocation 2019-20'!$B$9:$O$321,14,FALSE)</f>
        <v>0</v>
      </c>
      <c r="D144" s="492">
        <f>IFERROR(VLOOKUP(A144,'Allocation 2018-19'!$B$9:$O$321,14,FALSE),0)</f>
        <v>0</v>
      </c>
      <c r="E144" s="580">
        <f t="shared" si="4"/>
        <v>0</v>
      </c>
      <c r="F144" s="581">
        <f t="shared" si="5"/>
        <v>0</v>
      </c>
    </row>
    <row r="145" spans="1:6">
      <c r="A145" s="784" t="s">
        <v>278</v>
      </c>
      <c r="B145" s="784" t="s">
        <v>622</v>
      </c>
      <c r="C145" s="492">
        <f>VLOOKUP(A145,'Allocation 2019-20'!$B$9:$O$321,14,FALSE)</f>
        <v>52064</v>
      </c>
      <c r="D145" s="492">
        <f>IFERROR(VLOOKUP(A145,'Allocation 2018-19'!$B$9:$O$321,14,FALSE),0)</f>
        <v>49356</v>
      </c>
      <c r="E145" s="580">
        <f t="shared" si="4"/>
        <v>2708</v>
      </c>
      <c r="F145" s="581">
        <f t="shared" si="5"/>
        <v>5.4866682875435613E-2</v>
      </c>
    </row>
    <row r="146" spans="1:6">
      <c r="A146" s="784" t="s">
        <v>280</v>
      </c>
      <c r="B146" s="784" t="s">
        <v>1493</v>
      </c>
      <c r="C146" s="492">
        <f>VLOOKUP(A146,'Allocation 2019-20'!$B$9:$O$321,14,FALSE)</f>
        <v>0</v>
      </c>
      <c r="D146" s="492">
        <f>IFERROR(VLOOKUP(A146,'Allocation 2018-19'!$B$9:$O$321,14,FALSE),0)</f>
        <v>0</v>
      </c>
      <c r="E146" s="580">
        <f t="shared" si="4"/>
        <v>0</v>
      </c>
      <c r="F146" s="581">
        <f t="shared" si="5"/>
        <v>0</v>
      </c>
    </row>
    <row r="147" spans="1:6">
      <c r="A147" s="784" t="s">
        <v>282</v>
      </c>
      <c r="B147" s="784" t="s">
        <v>1494</v>
      </c>
      <c r="C147" s="492">
        <f>VLOOKUP(A147,'Allocation 2019-20'!$B$9:$O$321,14,FALSE)</f>
        <v>0</v>
      </c>
      <c r="D147" s="492">
        <f>IFERROR(VLOOKUP(A147,'Allocation 2018-19'!$B$9:$O$321,14,FALSE),0)</f>
        <v>0</v>
      </c>
      <c r="E147" s="580">
        <f t="shared" si="4"/>
        <v>0</v>
      </c>
      <c r="F147" s="581">
        <f t="shared" si="5"/>
        <v>0</v>
      </c>
    </row>
    <row r="148" spans="1:6">
      <c r="A148" s="784" t="s">
        <v>283</v>
      </c>
      <c r="B148" s="784" t="s">
        <v>1495</v>
      </c>
      <c r="C148" s="492">
        <f>VLOOKUP(A148,'Allocation 2019-20'!$B$9:$O$321,14,FALSE)</f>
        <v>0</v>
      </c>
      <c r="D148" s="492">
        <f>IFERROR(VLOOKUP(A148,'Allocation 2018-19'!$B$9:$O$321,14,FALSE),0)</f>
        <v>0</v>
      </c>
      <c r="E148" s="580">
        <f t="shared" si="4"/>
        <v>0</v>
      </c>
      <c r="F148" s="581">
        <f t="shared" si="5"/>
        <v>0</v>
      </c>
    </row>
    <row r="149" spans="1:6">
      <c r="A149" s="784" t="s">
        <v>285</v>
      </c>
      <c r="B149" s="784" t="s">
        <v>1496</v>
      </c>
      <c r="C149" s="492">
        <f>VLOOKUP(A149,'Allocation 2019-20'!$B$9:$O$321,14,FALSE)</f>
        <v>0</v>
      </c>
      <c r="D149" s="492">
        <f>IFERROR(VLOOKUP(A149,'Allocation 2018-19'!$B$9:$O$321,14,FALSE),0)</f>
        <v>0</v>
      </c>
      <c r="E149" s="580">
        <f t="shared" si="4"/>
        <v>0</v>
      </c>
      <c r="F149" s="581">
        <f t="shared" si="5"/>
        <v>0</v>
      </c>
    </row>
    <row r="150" spans="1:6">
      <c r="A150" s="784" t="s">
        <v>287</v>
      </c>
      <c r="B150" s="784" t="s">
        <v>1497</v>
      </c>
      <c r="C150" s="492">
        <f>VLOOKUP(A150,'Allocation 2019-20'!$B$9:$O$321,14,FALSE)</f>
        <v>0</v>
      </c>
      <c r="D150" s="492">
        <f>IFERROR(VLOOKUP(A150,'Allocation 2018-19'!$B$9:$O$321,14,FALSE),0)</f>
        <v>0</v>
      </c>
      <c r="E150" s="580">
        <f t="shared" si="4"/>
        <v>0</v>
      </c>
      <c r="F150" s="581">
        <f t="shared" si="5"/>
        <v>0</v>
      </c>
    </row>
    <row r="151" spans="1:6">
      <c r="A151" s="784" t="s">
        <v>289</v>
      </c>
      <c r="B151" s="784" t="s">
        <v>1498</v>
      </c>
      <c r="C151" s="492">
        <f>VLOOKUP(A151,'Allocation 2019-20'!$B$9:$O$321,14,FALSE)</f>
        <v>0</v>
      </c>
      <c r="D151" s="492">
        <f>IFERROR(VLOOKUP(A151,'Allocation 2018-19'!$B$9:$O$321,14,FALSE),0)</f>
        <v>0</v>
      </c>
      <c r="E151" s="580">
        <f t="shared" si="4"/>
        <v>0</v>
      </c>
      <c r="F151" s="581">
        <f t="shared" si="5"/>
        <v>0</v>
      </c>
    </row>
    <row r="152" spans="1:6">
      <c r="A152" s="784" t="s">
        <v>291</v>
      </c>
      <c r="B152" s="784" t="s">
        <v>1499</v>
      </c>
      <c r="C152" s="492">
        <f>VLOOKUP(A152,'Allocation 2019-20'!$B$9:$O$321,14,FALSE)</f>
        <v>0</v>
      </c>
      <c r="D152" s="492">
        <f>IFERROR(VLOOKUP(A152,'Allocation 2018-19'!$B$9:$O$321,14,FALSE),0)</f>
        <v>0</v>
      </c>
      <c r="E152" s="580">
        <f t="shared" si="4"/>
        <v>0</v>
      </c>
      <c r="F152" s="581">
        <f t="shared" si="5"/>
        <v>0</v>
      </c>
    </row>
    <row r="153" spans="1:6">
      <c r="A153" s="784" t="s">
        <v>293</v>
      </c>
      <c r="B153" s="784" t="s">
        <v>1500</v>
      </c>
      <c r="C153" s="492">
        <f>VLOOKUP(A153,'Allocation 2019-20'!$B$9:$O$321,14,FALSE)</f>
        <v>0</v>
      </c>
      <c r="D153" s="492">
        <f>IFERROR(VLOOKUP(A153,'Allocation 2018-19'!$B$9:$O$321,14,FALSE),0)</f>
        <v>0</v>
      </c>
      <c r="E153" s="580">
        <f t="shared" si="4"/>
        <v>0</v>
      </c>
      <c r="F153" s="581">
        <f t="shared" si="5"/>
        <v>0</v>
      </c>
    </row>
    <row r="154" spans="1:6">
      <c r="A154" s="784" t="s">
        <v>295</v>
      </c>
      <c r="B154" s="784" t="s">
        <v>1501</v>
      </c>
      <c r="C154" s="492">
        <f>VLOOKUP(A154,'Allocation 2019-20'!$B$9:$O$321,14,FALSE)</f>
        <v>0</v>
      </c>
      <c r="D154" s="492">
        <f>IFERROR(VLOOKUP(A154,'Allocation 2018-19'!$B$9:$O$321,14,FALSE),0)</f>
        <v>0</v>
      </c>
      <c r="E154" s="580">
        <f t="shared" si="4"/>
        <v>0</v>
      </c>
      <c r="F154" s="581">
        <f t="shared" si="5"/>
        <v>0</v>
      </c>
    </row>
    <row r="155" spans="1:6">
      <c r="A155" s="784" t="s">
        <v>297</v>
      </c>
      <c r="B155" s="784" t="s">
        <v>1502</v>
      </c>
      <c r="C155" s="492">
        <f>VLOOKUP(A155,'Allocation 2019-20'!$B$9:$O$321,14,FALSE)</f>
        <v>0</v>
      </c>
      <c r="D155" s="492">
        <f>IFERROR(VLOOKUP(A155,'Allocation 2018-19'!$B$9:$O$321,14,FALSE),0)</f>
        <v>0</v>
      </c>
      <c r="E155" s="580">
        <f t="shared" si="4"/>
        <v>0</v>
      </c>
      <c r="F155" s="581">
        <f t="shared" si="5"/>
        <v>0</v>
      </c>
    </row>
    <row r="156" spans="1:6">
      <c r="A156" s="784" t="s">
        <v>299</v>
      </c>
      <c r="B156" s="784" t="s">
        <v>1503</v>
      </c>
      <c r="C156" s="492">
        <f>VLOOKUP(A156,'Allocation 2019-20'!$B$9:$O$321,14,FALSE)</f>
        <v>102961</v>
      </c>
      <c r="D156" s="492">
        <f>IFERROR(VLOOKUP(A156,'Allocation 2018-19'!$B$9:$O$321,14,FALSE),0)</f>
        <v>90288</v>
      </c>
      <c r="E156" s="580">
        <f t="shared" si="4"/>
        <v>12673</v>
      </c>
      <c r="F156" s="581">
        <f t="shared" si="5"/>
        <v>0.14036195286195285</v>
      </c>
    </row>
    <row r="157" spans="1:6">
      <c r="A157" s="784" t="s">
        <v>301</v>
      </c>
      <c r="B157" s="784" t="s">
        <v>1504</v>
      </c>
      <c r="C157" s="492">
        <f>VLOOKUP(A157,'Allocation 2019-20'!$B$9:$O$321,14,FALSE)</f>
        <v>0</v>
      </c>
      <c r="D157" s="492">
        <f>IFERROR(VLOOKUP(A157,'Allocation 2018-19'!$B$9:$O$321,14,FALSE),0)</f>
        <v>0</v>
      </c>
      <c r="E157" s="580">
        <f t="shared" si="4"/>
        <v>0</v>
      </c>
      <c r="F157" s="581">
        <f t="shared" si="5"/>
        <v>0</v>
      </c>
    </row>
    <row r="158" spans="1:6">
      <c r="A158" s="784" t="s">
        <v>303</v>
      </c>
      <c r="B158" s="784" t="s">
        <v>1505</v>
      </c>
      <c r="C158" s="492">
        <f>VLOOKUP(A158,'Allocation 2019-20'!$B$9:$O$321,14,FALSE)</f>
        <v>0</v>
      </c>
      <c r="D158" s="492">
        <f>IFERROR(VLOOKUP(A158,'Allocation 2018-19'!$B$9:$O$321,14,FALSE),0)</f>
        <v>0</v>
      </c>
      <c r="E158" s="580">
        <f t="shared" si="4"/>
        <v>0</v>
      </c>
      <c r="F158" s="581">
        <f t="shared" si="5"/>
        <v>0</v>
      </c>
    </row>
    <row r="159" spans="1:6">
      <c r="A159" s="784" t="s">
        <v>305</v>
      </c>
      <c r="B159" s="784" t="s">
        <v>1506</v>
      </c>
      <c r="C159" s="492">
        <f>VLOOKUP(A159,'Allocation 2019-20'!$B$9:$O$321,14,FALSE)</f>
        <v>33655</v>
      </c>
      <c r="D159" s="492">
        <f>IFERROR(VLOOKUP(A159,'Allocation 2018-19'!$B$9:$O$321,14,FALSE),0)</f>
        <v>31368</v>
      </c>
      <c r="E159" s="580">
        <f t="shared" si="4"/>
        <v>2287</v>
      </c>
      <c r="F159" s="581">
        <f t="shared" si="5"/>
        <v>7.2908696761030345E-2</v>
      </c>
    </row>
    <row r="160" spans="1:6">
      <c r="A160" s="784" t="s">
        <v>307</v>
      </c>
      <c r="B160" s="784" t="s">
        <v>1507</v>
      </c>
      <c r="C160" s="492">
        <f>VLOOKUP(A160,'Allocation 2019-20'!$B$9:$O$321,14,FALSE)</f>
        <v>0</v>
      </c>
      <c r="D160" s="492">
        <f>IFERROR(VLOOKUP(A160,'Allocation 2018-19'!$B$9:$O$321,14,FALSE),0)</f>
        <v>0</v>
      </c>
      <c r="E160" s="580">
        <f t="shared" si="4"/>
        <v>0</v>
      </c>
      <c r="F160" s="581">
        <f t="shared" si="5"/>
        <v>0</v>
      </c>
    </row>
    <row r="161" spans="1:6">
      <c r="A161" s="784" t="s">
        <v>309</v>
      </c>
      <c r="B161" s="784" t="s">
        <v>1309</v>
      </c>
      <c r="C161" s="492">
        <f>VLOOKUP(A161,'Allocation 2019-20'!$B$9:$O$321,14,FALSE)</f>
        <v>12392</v>
      </c>
      <c r="D161" s="492">
        <f>IFERROR(VLOOKUP(A161,'Allocation 2018-19'!$B$9:$O$321,14,FALSE),0)</f>
        <v>14823</v>
      </c>
      <c r="E161" s="580">
        <f t="shared" si="4"/>
        <v>-2431</v>
      </c>
      <c r="F161" s="581">
        <f t="shared" si="5"/>
        <v>-0.16400188895635162</v>
      </c>
    </row>
    <row r="162" spans="1:6">
      <c r="A162" s="784" t="s">
        <v>311</v>
      </c>
      <c r="B162" s="784" t="s">
        <v>1508</v>
      </c>
      <c r="C162" s="492">
        <f>VLOOKUP(A162,'Allocation 2019-20'!$B$9:$O$321,14,FALSE)</f>
        <v>26218</v>
      </c>
      <c r="D162" s="492">
        <f>IFERROR(VLOOKUP(A162,'Allocation 2018-19'!$B$9:$O$321,14,FALSE),0)</f>
        <v>22804</v>
      </c>
      <c r="E162" s="580">
        <f t="shared" si="4"/>
        <v>3414</v>
      </c>
      <c r="F162" s="581">
        <f t="shared" si="5"/>
        <v>0.14971057709173829</v>
      </c>
    </row>
    <row r="163" spans="1:6">
      <c r="A163" s="784" t="s">
        <v>313</v>
      </c>
      <c r="B163" s="784" t="s">
        <v>1509</v>
      </c>
      <c r="C163" s="492">
        <f>VLOOKUP(A163,'Allocation 2019-20'!$B$9:$O$321,14,FALSE)</f>
        <v>14994</v>
      </c>
      <c r="D163" s="492">
        <f>IFERROR(VLOOKUP(A163,'Allocation 2018-19'!$B$9:$O$321,14,FALSE),0)</f>
        <v>16165</v>
      </c>
      <c r="E163" s="580">
        <f t="shared" si="4"/>
        <v>-1171</v>
      </c>
      <c r="F163" s="581">
        <f t="shared" si="5"/>
        <v>-7.2440457779152492E-2</v>
      </c>
    </row>
    <row r="164" spans="1:6">
      <c r="A164" s="784" t="s">
        <v>315</v>
      </c>
      <c r="B164" s="784" t="s">
        <v>1510</v>
      </c>
      <c r="C164" s="492">
        <f>VLOOKUP(A164,'Allocation 2019-20'!$B$9:$O$321,14,FALSE)</f>
        <v>52843</v>
      </c>
      <c r="D164" s="492">
        <f>IFERROR(VLOOKUP(A164,'Allocation 2018-19'!$B$9:$O$321,14,FALSE),0)</f>
        <v>54891</v>
      </c>
      <c r="E164" s="580">
        <f t="shared" si="4"/>
        <v>-2048</v>
      </c>
      <c r="F164" s="581">
        <f t="shared" si="5"/>
        <v>-3.7310305878923686E-2</v>
      </c>
    </row>
    <row r="165" spans="1:6">
      <c r="A165" s="784" t="s">
        <v>317</v>
      </c>
      <c r="B165" s="784" t="s">
        <v>1511</v>
      </c>
      <c r="C165" s="492">
        <f>VLOOKUP(A165,'Allocation 2019-20'!$B$9:$O$321,14,FALSE)</f>
        <v>0</v>
      </c>
      <c r="D165" s="492">
        <f>IFERROR(VLOOKUP(A165,'Allocation 2018-19'!$B$9:$O$321,14,FALSE),0)</f>
        <v>5663</v>
      </c>
      <c r="E165" s="580">
        <f t="shared" si="4"/>
        <v>-5663</v>
      </c>
      <c r="F165" s="581">
        <f t="shared" si="5"/>
        <v>-1</v>
      </c>
    </row>
    <row r="166" spans="1:6">
      <c r="A166" s="784" t="s">
        <v>319</v>
      </c>
      <c r="B166" s="784" t="s">
        <v>1512</v>
      </c>
      <c r="C166" s="492">
        <f>VLOOKUP(A166,'Allocation 2019-20'!$B$9:$O$321,14,FALSE)</f>
        <v>0</v>
      </c>
      <c r="D166" s="492">
        <f>IFERROR(VLOOKUP(A166,'Allocation 2018-19'!$B$9:$O$321,14,FALSE),0)</f>
        <v>0</v>
      </c>
      <c r="E166" s="580">
        <f t="shared" si="4"/>
        <v>0</v>
      </c>
      <c r="F166" s="581">
        <f t="shared" si="5"/>
        <v>0</v>
      </c>
    </row>
    <row r="167" spans="1:6">
      <c r="A167" s="784" t="s">
        <v>321</v>
      </c>
      <c r="B167" s="784" t="s">
        <v>612</v>
      </c>
      <c r="C167" s="492">
        <f>VLOOKUP(A167,'Allocation 2019-20'!$B$9:$O$321,14,FALSE)</f>
        <v>19420</v>
      </c>
      <c r="D167" s="492">
        <f>IFERROR(VLOOKUP(A167,'Allocation 2018-19'!$B$9:$O$321,14,FALSE),0)</f>
        <v>20163</v>
      </c>
      <c r="E167" s="580">
        <f t="shared" si="4"/>
        <v>-743</v>
      </c>
      <c r="F167" s="581">
        <f t="shared" si="5"/>
        <v>-3.6849675147547487E-2</v>
      </c>
    </row>
    <row r="168" spans="1:6">
      <c r="A168" s="784" t="s">
        <v>323</v>
      </c>
      <c r="B168" s="784" t="s">
        <v>1513</v>
      </c>
      <c r="C168" s="492">
        <f>VLOOKUP(A168,'Allocation 2019-20'!$B$9:$O$321,14,FALSE)</f>
        <v>0</v>
      </c>
      <c r="D168" s="492">
        <f>IFERROR(VLOOKUP(A168,'Allocation 2018-19'!$B$9:$O$321,14,FALSE),0)</f>
        <v>11503</v>
      </c>
      <c r="E168" s="580">
        <f t="shared" si="4"/>
        <v>-11503</v>
      </c>
      <c r="F168" s="581">
        <f t="shared" si="5"/>
        <v>-1</v>
      </c>
    </row>
    <row r="169" spans="1:6">
      <c r="A169" s="784" t="s">
        <v>325</v>
      </c>
      <c r="B169" s="784" t="s">
        <v>712</v>
      </c>
      <c r="C169" s="492">
        <f>VLOOKUP(A169,'Allocation 2019-20'!$B$9:$O$321,14,FALSE)</f>
        <v>6320</v>
      </c>
      <c r="D169" s="492">
        <f>IFERROR(VLOOKUP(A169,'Allocation 2018-19'!$B$9:$O$321,14,FALSE),0)</f>
        <v>6372</v>
      </c>
      <c r="E169" s="580">
        <f t="shared" si="4"/>
        <v>-52</v>
      </c>
      <c r="F169" s="581">
        <f t="shared" si="5"/>
        <v>-8.1607030759573134E-3</v>
      </c>
    </row>
    <row r="170" spans="1:6">
      <c r="A170" s="784" t="s">
        <v>327</v>
      </c>
      <c r="B170" s="784" t="s">
        <v>1514</v>
      </c>
      <c r="C170" s="492">
        <f>VLOOKUP(A170,'Allocation 2019-20'!$B$9:$O$321,14,FALSE)</f>
        <v>8745</v>
      </c>
      <c r="D170" s="492">
        <f>IFERROR(VLOOKUP(A170,'Allocation 2018-19'!$B$9:$O$321,14,FALSE),0)</f>
        <v>9520</v>
      </c>
      <c r="E170" s="580">
        <f t="shared" si="4"/>
        <v>-775</v>
      </c>
      <c r="F170" s="581">
        <f t="shared" si="5"/>
        <v>-8.1407563025210086E-2</v>
      </c>
    </row>
    <row r="171" spans="1:6">
      <c r="A171" s="784" t="s">
        <v>329</v>
      </c>
      <c r="B171" s="784" t="s">
        <v>1515</v>
      </c>
      <c r="C171" s="492">
        <f>VLOOKUP(A171,'Allocation 2019-20'!$B$9:$O$321,14,FALSE)</f>
        <v>13508</v>
      </c>
      <c r="D171" s="492">
        <f>IFERROR(VLOOKUP(A171,'Allocation 2018-19'!$B$9:$O$321,14,FALSE),0)</f>
        <v>13156</v>
      </c>
      <c r="E171" s="580">
        <f t="shared" si="4"/>
        <v>352</v>
      </c>
      <c r="F171" s="581">
        <f t="shared" si="5"/>
        <v>2.6755852842809364E-2</v>
      </c>
    </row>
    <row r="172" spans="1:6">
      <c r="A172" s="784" t="s">
        <v>331</v>
      </c>
      <c r="B172" s="784" t="s">
        <v>1516</v>
      </c>
      <c r="C172" s="492">
        <f>VLOOKUP(A172,'Allocation 2019-20'!$B$9:$O$321,14,FALSE)</f>
        <v>3187</v>
      </c>
      <c r="D172" s="492">
        <f>IFERROR(VLOOKUP(A172,'Allocation 2018-19'!$B$9:$O$321,14,FALSE),0)</f>
        <v>3226</v>
      </c>
      <c r="E172" s="580">
        <f t="shared" si="4"/>
        <v>-39</v>
      </c>
      <c r="F172" s="581">
        <f t="shared" si="5"/>
        <v>-1.208927464352139E-2</v>
      </c>
    </row>
    <row r="173" spans="1:6">
      <c r="A173" s="784" t="s">
        <v>332</v>
      </c>
      <c r="B173" s="784" t="s">
        <v>1517</v>
      </c>
      <c r="C173" s="492">
        <f>VLOOKUP(A173,'Allocation 2019-20'!$B$9:$O$321,14,FALSE)</f>
        <v>0</v>
      </c>
      <c r="D173" s="492">
        <f>IFERROR(VLOOKUP(A173,'Allocation 2018-19'!$B$9:$O$321,14,FALSE),0)</f>
        <v>0</v>
      </c>
      <c r="E173" s="580">
        <f t="shared" si="4"/>
        <v>0</v>
      </c>
      <c r="F173" s="581">
        <f t="shared" si="5"/>
        <v>0</v>
      </c>
    </row>
    <row r="174" spans="1:6">
      <c r="A174" s="784" t="s">
        <v>334</v>
      </c>
      <c r="B174" s="784" t="s">
        <v>1518</v>
      </c>
      <c r="C174" s="492">
        <f>VLOOKUP(A174,'Allocation 2019-20'!$B$9:$O$321,14,FALSE)</f>
        <v>0</v>
      </c>
      <c r="D174" s="492">
        <f>IFERROR(VLOOKUP(A174,'Allocation 2018-19'!$B$9:$O$321,14,FALSE),0)</f>
        <v>0</v>
      </c>
      <c r="E174" s="580">
        <f t="shared" si="4"/>
        <v>0</v>
      </c>
      <c r="F174" s="581">
        <f t="shared" si="5"/>
        <v>0</v>
      </c>
    </row>
    <row r="175" spans="1:6">
      <c r="A175" s="784" t="s">
        <v>336</v>
      </c>
      <c r="B175" s="784" t="s">
        <v>1519</v>
      </c>
      <c r="C175" s="492">
        <f>VLOOKUP(A175,'Allocation 2019-20'!$B$9:$O$321,14,FALSE)</f>
        <v>0</v>
      </c>
      <c r="D175" s="492">
        <f>IFERROR(VLOOKUP(A175,'Allocation 2018-19'!$B$9:$O$321,14,FALSE),0)</f>
        <v>0</v>
      </c>
      <c r="E175" s="580">
        <f t="shared" si="4"/>
        <v>0</v>
      </c>
      <c r="F175" s="581">
        <f t="shared" si="5"/>
        <v>0</v>
      </c>
    </row>
    <row r="176" spans="1:6">
      <c r="A176" s="784" t="s">
        <v>338</v>
      </c>
      <c r="B176" s="784" t="s">
        <v>1520</v>
      </c>
      <c r="C176" s="492">
        <f>VLOOKUP(A176,'Allocation 2019-20'!$B$9:$O$321,14,FALSE)</f>
        <v>0</v>
      </c>
      <c r="D176" s="492">
        <f>IFERROR(VLOOKUP(A176,'Allocation 2018-19'!$B$9:$O$321,14,FALSE),0)</f>
        <v>0</v>
      </c>
      <c r="E176" s="580">
        <f t="shared" si="4"/>
        <v>0</v>
      </c>
      <c r="F176" s="581">
        <f t="shared" si="5"/>
        <v>0</v>
      </c>
    </row>
    <row r="177" spans="1:6">
      <c r="A177" s="784" t="s">
        <v>340</v>
      </c>
      <c r="B177" s="784" t="s">
        <v>1521</v>
      </c>
      <c r="C177" s="492">
        <f>VLOOKUP(A177,'Allocation 2019-20'!$B$9:$O$321,14,FALSE)</f>
        <v>0</v>
      </c>
      <c r="D177" s="492">
        <f>IFERROR(VLOOKUP(A177,'Allocation 2018-19'!$B$9:$O$321,14,FALSE),0)</f>
        <v>0</v>
      </c>
      <c r="E177" s="580">
        <f t="shared" si="4"/>
        <v>0</v>
      </c>
      <c r="F177" s="581">
        <f t="shared" si="5"/>
        <v>0</v>
      </c>
    </row>
    <row r="178" spans="1:6">
      <c r="A178" s="784" t="s">
        <v>342</v>
      </c>
      <c r="B178" s="784" t="s">
        <v>1522</v>
      </c>
      <c r="C178" s="492">
        <f>VLOOKUP(A178,'Allocation 2019-20'!$B$9:$O$321,14,FALSE)</f>
        <v>11773</v>
      </c>
      <c r="D178" s="492">
        <f>IFERROR(VLOOKUP(A178,'Allocation 2018-19'!$B$9:$O$321,14,FALSE),0)</f>
        <v>10681</v>
      </c>
      <c r="E178" s="580">
        <f t="shared" si="4"/>
        <v>1092</v>
      </c>
      <c r="F178" s="581">
        <f t="shared" si="5"/>
        <v>0.10223761820054302</v>
      </c>
    </row>
    <row r="179" spans="1:6">
      <c r="A179" s="784" t="s">
        <v>343</v>
      </c>
      <c r="B179" s="784" t="s">
        <v>1523</v>
      </c>
      <c r="C179" s="492">
        <f>VLOOKUP(A179,'Allocation 2019-20'!$B$9:$O$321,14,FALSE)</f>
        <v>166691</v>
      </c>
      <c r="D179" s="492">
        <f>IFERROR(VLOOKUP(A179,'Allocation 2018-19'!$B$9:$O$321,14,FALSE),0)</f>
        <v>160333</v>
      </c>
      <c r="E179" s="580">
        <f t="shared" si="4"/>
        <v>6358</v>
      </c>
      <c r="F179" s="581">
        <f t="shared" si="5"/>
        <v>3.9654968097646771E-2</v>
      </c>
    </row>
    <row r="180" spans="1:6">
      <c r="A180" s="784" t="s">
        <v>345</v>
      </c>
      <c r="B180" s="784" t="s">
        <v>1524</v>
      </c>
      <c r="C180" s="492">
        <f>VLOOKUP(A180,'Allocation 2019-20'!$B$9:$O$321,14,FALSE)</f>
        <v>397290</v>
      </c>
      <c r="D180" s="492">
        <f>IFERROR(VLOOKUP(A180,'Allocation 2018-19'!$B$9:$O$321,14,FALSE),0)</f>
        <v>408656</v>
      </c>
      <c r="E180" s="580">
        <f t="shared" si="4"/>
        <v>-11366</v>
      </c>
      <c r="F180" s="581">
        <f t="shared" si="5"/>
        <v>-2.7813123996711171E-2</v>
      </c>
    </row>
    <row r="181" spans="1:6">
      <c r="A181" s="784" t="s">
        <v>347</v>
      </c>
      <c r="B181" s="784" t="s">
        <v>1525</v>
      </c>
      <c r="C181" s="492">
        <f>VLOOKUP(A181,'Allocation 2019-20'!$B$9:$O$321,14,FALSE)</f>
        <v>0</v>
      </c>
      <c r="D181" s="492">
        <f>IFERROR(VLOOKUP(A181,'Allocation 2018-19'!$B$9:$O$321,14,FALSE),0)</f>
        <v>0</v>
      </c>
      <c r="E181" s="580">
        <f t="shared" si="4"/>
        <v>0</v>
      </c>
      <c r="F181" s="581">
        <f t="shared" si="5"/>
        <v>0</v>
      </c>
    </row>
    <row r="182" spans="1:6">
      <c r="A182" s="784" t="s">
        <v>349</v>
      </c>
      <c r="B182" s="784" t="s">
        <v>1526</v>
      </c>
      <c r="C182" s="492">
        <f>VLOOKUP(A182,'Allocation 2019-20'!$B$9:$O$321,14,FALSE)</f>
        <v>40576</v>
      </c>
      <c r="D182" s="492">
        <f>IFERROR(VLOOKUP(A182,'Allocation 2018-19'!$B$9:$O$321,14,FALSE),0)</f>
        <v>35136</v>
      </c>
      <c r="E182" s="580">
        <f t="shared" si="4"/>
        <v>5440</v>
      </c>
      <c r="F182" s="581">
        <f t="shared" si="5"/>
        <v>0.15482695810564662</v>
      </c>
    </row>
    <row r="183" spans="1:6">
      <c r="A183" s="784" t="s">
        <v>351</v>
      </c>
      <c r="B183" s="784" t="s">
        <v>1527</v>
      </c>
      <c r="C183" s="492">
        <f>VLOOKUP(A183,'Allocation 2019-20'!$B$9:$O$321,14,FALSE)</f>
        <v>47780</v>
      </c>
      <c r="D183" s="492">
        <f>IFERROR(VLOOKUP(A183,'Allocation 2018-19'!$B$9:$O$321,14,FALSE),0)</f>
        <v>44061</v>
      </c>
      <c r="E183" s="580">
        <f t="shared" si="4"/>
        <v>3719</v>
      </c>
      <c r="F183" s="581">
        <f t="shared" si="5"/>
        <v>8.4405710265314002E-2</v>
      </c>
    </row>
    <row r="184" spans="1:6">
      <c r="A184" s="784" t="s">
        <v>353</v>
      </c>
      <c r="B184" s="784" t="s">
        <v>1528</v>
      </c>
      <c r="C184" s="492">
        <f>VLOOKUP(A184,'Allocation 2019-20'!$B$9:$O$321,14,FALSE)</f>
        <v>8461</v>
      </c>
      <c r="D184" s="492">
        <f>IFERROR(VLOOKUP(A184,'Allocation 2018-19'!$B$9:$O$321,14,FALSE),0)</f>
        <v>7715</v>
      </c>
      <c r="E184" s="580">
        <f t="shared" si="4"/>
        <v>746</v>
      </c>
      <c r="F184" s="581">
        <f t="shared" si="5"/>
        <v>9.66947504860661E-2</v>
      </c>
    </row>
    <row r="185" spans="1:6">
      <c r="A185" s="784" t="s">
        <v>355</v>
      </c>
      <c r="B185" s="784" t="s">
        <v>1529</v>
      </c>
      <c r="C185" s="492">
        <f>VLOOKUP(A185,'Allocation 2019-20'!$B$9:$O$321,14,FALSE)</f>
        <v>6303</v>
      </c>
      <c r="D185" s="492">
        <f>IFERROR(VLOOKUP(A185,'Allocation 2018-19'!$B$9:$O$321,14,FALSE),0)</f>
        <v>4226</v>
      </c>
      <c r="E185" s="580">
        <f t="shared" si="4"/>
        <v>2077</v>
      </c>
      <c r="F185" s="581">
        <f t="shared" si="5"/>
        <v>0.49148130619971603</v>
      </c>
    </row>
    <row r="186" spans="1:6">
      <c r="A186" s="784" t="s">
        <v>357</v>
      </c>
      <c r="B186" s="784" t="s">
        <v>1530</v>
      </c>
      <c r="C186" s="492">
        <f>VLOOKUP(A186,'Allocation 2019-20'!$B$9:$O$321,14,FALSE)</f>
        <v>204205</v>
      </c>
      <c r="D186" s="492">
        <f>IFERROR(VLOOKUP(A186,'Allocation 2018-19'!$B$9:$O$321,14,FALSE),0)</f>
        <v>201789</v>
      </c>
      <c r="E186" s="580">
        <f t="shared" si="4"/>
        <v>2416</v>
      </c>
      <c r="F186" s="581">
        <f t="shared" si="5"/>
        <v>1.1972902388138104E-2</v>
      </c>
    </row>
    <row r="187" spans="1:6">
      <c r="A187" s="784" t="s">
        <v>359</v>
      </c>
      <c r="B187" s="784" t="s">
        <v>626</v>
      </c>
      <c r="C187" s="492">
        <f>VLOOKUP(A187,'Allocation 2019-20'!$B$9:$O$321,14,FALSE)</f>
        <v>22465</v>
      </c>
      <c r="D187" s="492">
        <f>IFERROR(VLOOKUP(A187,'Allocation 2018-19'!$B$9:$O$321,14,FALSE),0)</f>
        <v>21110</v>
      </c>
      <c r="E187" s="580">
        <f t="shared" si="4"/>
        <v>1355</v>
      </c>
      <c r="F187" s="581">
        <f t="shared" si="5"/>
        <v>6.4187588820464228E-2</v>
      </c>
    </row>
    <row r="188" spans="1:6">
      <c r="A188" s="784" t="s">
        <v>361</v>
      </c>
      <c r="B188" s="784" t="s">
        <v>630</v>
      </c>
      <c r="C188" s="492">
        <f>VLOOKUP(A188,'Allocation 2019-20'!$B$9:$O$321,14,FALSE)</f>
        <v>104448</v>
      </c>
      <c r="D188" s="492">
        <f>IFERROR(VLOOKUP(A188,'Allocation 2018-19'!$B$9:$O$321,14,FALSE),0)</f>
        <v>98129</v>
      </c>
      <c r="E188" s="580">
        <f t="shared" si="4"/>
        <v>6319</v>
      </c>
      <c r="F188" s="581">
        <f t="shared" si="5"/>
        <v>6.4394827217234454E-2</v>
      </c>
    </row>
    <row r="189" spans="1:6">
      <c r="A189" s="784" t="s">
        <v>363</v>
      </c>
      <c r="B189" s="784" t="s">
        <v>1531</v>
      </c>
      <c r="C189" s="492">
        <f>VLOOKUP(A189,'Allocation 2019-20'!$B$9:$O$321,14,FALSE)</f>
        <v>121070</v>
      </c>
      <c r="D189" s="492">
        <f>IFERROR(VLOOKUP(A189,'Allocation 2018-19'!$B$9:$O$321,14,FALSE),0)</f>
        <v>101993</v>
      </c>
      <c r="E189" s="580">
        <f t="shared" si="4"/>
        <v>19077</v>
      </c>
      <c r="F189" s="581">
        <f t="shared" si="5"/>
        <v>0.18704224799741159</v>
      </c>
    </row>
    <row r="190" spans="1:6">
      <c r="A190" s="784" t="s">
        <v>365</v>
      </c>
      <c r="B190" s="784" t="s">
        <v>1532</v>
      </c>
      <c r="C190" s="492">
        <f>VLOOKUP(A190,'Allocation 2019-20'!$B$9:$O$321,14,FALSE)</f>
        <v>0</v>
      </c>
      <c r="D190" s="492">
        <f>IFERROR(VLOOKUP(A190,'Allocation 2018-19'!$B$9:$O$321,14,FALSE),0)</f>
        <v>0</v>
      </c>
      <c r="E190" s="580">
        <f t="shared" si="4"/>
        <v>0</v>
      </c>
      <c r="F190" s="581">
        <f t="shared" si="5"/>
        <v>0</v>
      </c>
    </row>
    <row r="191" spans="1:6">
      <c r="A191" s="784" t="s">
        <v>367</v>
      </c>
      <c r="B191" s="784" t="s">
        <v>1533</v>
      </c>
      <c r="C191" s="492">
        <f>VLOOKUP(A191,'Allocation 2019-20'!$B$9:$O$321,14,FALSE)</f>
        <v>16889</v>
      </c>
      <c r="D191" s="492">
        <f>IFERROR(VLOOKUP(A191,'Allocation 2018-19'!$B$9:$O$321,14,FALSE),0)</f>
        <v>12712</v>
      </c>
      <c r="E191" s="580">
        <f t="shared" si="4"/>
        <v>4177</v>
      </c>
      <c r="F191" s="581">
        <f t="shared" si="5"/>
        <v>0.32858716173694147</v>
      </c>
    </row>
    <row r="192" spans="1:6">
      <c r="A192" s="784" t="s">
        <v>369</v>
      </c>
      <c r="B192" s="784" t="s">
        <v>1534</v>
      </c>
      <c r="C192" s="492">
        <f>VLOOKUP(A192,'Allocation 2019-20'!$B$9:$O$321,14,FALSE)</f>
        <v>60668</v>
      </c>
      <c r="D192" s="492">
        <f>IFERROR(VLOOKUP(A192,'Allocation 2018-19'!$B$9:$O$321,14,FALSE),0)</f>
        <v>57211</v>
      </c>
      <c r="E192" s="580">
        <f t="shared" si="4"/>
        <v>3457</v>
      </c>
      <c r="F192" s="581">
        <f t="shared" si="5"/>
        <v>6.0425442659628396E-2</v>
      </c>
    </row>
    <row r="193" spans="1:6">
      <c r="A193" s="784" t="s">
        <v>666</v>
      </c>
      <c r="B193" s="784" t="s">
        <v>1535</v>
      </c>
      <c r="C193" s="492">
        <f>VLOOKUP(A193,'Allocation 2019-20'!$B$9:$O$321,14,FALSE)</f>
        <v>0</v>
      </c>
      <c r="D193" s="492">
        <f>IFERROR(VLOOKUP(A193,'Allocation 2018-19'!$B$9:$O$321,14,FALSE),0)</f>
        <v>0</v>
      </c>
      <c r="E193" s="580">
        <f t="shared" si="4"/>
        <v>0</v>
      </c>
      <c r="F193" s="581">
        <f t="shared" si="5"/>
        <v>0</v>
      </c>
    </row>
    <row r="194" spans="1:6">
      <c r="A194" s="784" t="s">
        <v>668</v>
      </c>
      <c r="B194" s="784" t="s">
        <v>1536</v>
      </c>
      <c r="C194" s="492">
        <f>VLOOKUP(A194,'Allocation 2019-20'!$B$9:$O$321,14,FALSE)</f>
        <v>0</v>
      </c>
      <c r="D194" s="492">
        <f>IFERROR(VLOOKUP(A194,'Allocation 2018-19'!$B$9:$O$321,14,FALSE),0)</f>
        <v>0</v>
      </c>
      <c r="E194" s="580">
        <f t="shared" ref="E194:E257" si="6">C194-D194</f>
        <v>0</v>
      </c>
      <c r="F194" s="581">
        <f t="shared" ref="F194:F257" si="7">IF(D194=0,0,E194/D194)</f>
        <v>0</v>
      </c>
    </row>
    <row r="195" spans="1:6">
      <c r="A195" s="784" t="s">
        <v>371</v>
      </c>
      <c r="B195" s="784" t="s">
        <v>1537</v>
      </c>
      <c r="C195" s="492">
        <f>VLOOKUP(A195,'Allocation 2019-20'!$B$9:$O$321,14,FALSE)</f>
        <v>0</v>
      </c>
      <c r="D195" s="492">
        <f>IFERROR(VLOOKUP(A195,'Allocation 2018-19'!$B$9:$O$321,14,FALSE),0)</f>
        <v>0</v>
      </c>
      <c r="E195" s="580">
        <f t="shared" si="6"/>
        <v>0</v>
      </c>
      <c r="F195" s="581">
        <f t="shared" si="7"/>
        <v>0</v>
      </c>
    </row>
    <row r="196" spans="1:6">
      <c r="A196" s="784" t="s">
        <v>372</v>
      </c>
      <c r="B196" s="784" t="s">
        <v>1538</v>
      </c>
      <c r="C196" s="492">
        <f>VLOOKUP(A196,'Allocation 2019-20'!$B$9:$O$321,14,FALSE)</f>
        <v>4709</v>
      </c>
      <c r="D196" s="492">
        <f>IFERROR(VLOOKUP(A196,'Allocation 2018-19'!$B$9:$O$321,14,FALSE),0)</f>
        <v>4593</v>
      </c>
      <c r="E196" s="580">
        <f t="shared" si="6"/>
        <v>116</v>
      </c>
      <c r="F196" s="581">
        <f t="shared" si="7"/>
        <v>2.5255824080121926E-2</v>
      </c>
    </row>
    <row r="197" spans="1:6">
      <c r="A197" s="784" t="s">
        <v>373</v>
      </c>
      <c r="B197" s="784" t="s">
        <v>1539</v>
      </c>
      <c r="C197" s="492">
        <f>VLOOKUP(A197,'Allocation 2019-20'!$B$9:$O$321,14,FALSE)</f>
        <v>2744</v>
      </c>
      <c r="D197" s="492">
        <f>IFERROR(VLOOKUP(A197,'Allocation 2018-19'!$B$9:$O$321,14,FALSE),0)</f>
        <v>3138</v>
      </c>
      <c r="E197" s="580">
        <f t="shared" si="6"/>
        <v>-394</v>
      </c>
      <c r="F197" s="581">
        <f t="shared" si="7"/>
        <v>-0.12555768005098789</v>
      </c>
    </row>
    <row r="198" spans="1:6">
      <c r="A198" s="784" t="s">
        <v>375</v>
      </c>
      <c r="B198" s="784" t="s">
        <v>1269</v>
      </c>
      <c r="C198" s="492">
        <f>VLOOKUP(A198,'Allocation 2019-20'!$B$9:$O$321,14,FALSE)</f>
        <v>5116</v>
      </c>
      <c r="D198" s="492">
        <f>IFERROR(VLOOKUP(A198,'Allocation 2018-19'!$B$9:$O$321,14,FALSE),0)</f>
        <v>4980</v>
      </c>
      <c r="E198" s="580">
        <f t="shared" si="6"/>
        <v>136</v>
      </c>
      <c r="F198" s="581">
        <f t="shared" si="7"/>
        <v>2.7309236947791166E-2</v>
      </c>
    </row>
    <row r="199" spans="1:6">
      <c r="A199" s="784" t="s">
        <v>376</v>
      </c>
      <c r="B199" s="784" t="s">
        <v>1540</v>
      </c>
      <c r="C199" s="492">
        <f>VLOOKUP(A199,'Allocation 2019-20'!$B$9:$O$321,14,FALSE)</f>
        <v>0</v>
      </c>
      <c r="D199" s="492">
        <f>IFERROR(VLOOKUP(A199,'Allocation 2018-19'!$B$9:$O$321,14,FALSE),0)</f>
        <v>0</v>
      </c>
      <c r="E199" s="580">
        <f t="shared" si="6"/>
        <v>0</v>
      </c>
      <c r="F199" s="581">
        <f t="shared" si="7"/>
        <v>0</v>
      </c>
    </row>
    <row r="200" spans="1:6">
      <c r="A200" s="784" t="s">
        <v>378</v>
      </c>
      <c r="B200" s="784" t="s">
        <v>629</v>
      </c>
      <c r="C200" s="492">
        <f>VLOOKUP(A200,'Allocation 2019-20'!$B$9:$O$321,14,FALSE)</f>
        <v>93295</v>
      </c>
      <c r="D200" s="492">
        <f>IFERROR(VLOOKUP(A200,'Allocation 2018-19'!$B$9:$O$321,14,FALSE),0)</f>
        <v>93751</v>
      </c>
      <c r="E200" s="580">
        <f t="shared" si="6"/>
        <v>-456</v>
      </c>
      <c r="F200" s="581">
        <f t="shared" si="7"/>
        <v>-4.8639481178867428E-3</v>
      </c>
    </row>
    <row r="201" spans="1:6">
      <c r="A201" s="784" t="s">
        <v>379</v>
      </c>
      <c r="B201" s="784" t="s">
        <v>686</v>
      </c>
      <c r="C201" s="492">
        <f>VLOOKUP(A201,'Allocation 2019-20'!$B$9:$O$321,14,FALSE)</f>
        <v>45887</v>
      </c>
      <c r="D201" s="492">
        <f>IFERROR(VLOOKUP(A201,'Allocation 2018-19'!$B$9:$O$321,14,FALSE),0)</f>
        <v>41415</v>
      </c>
      <c r="E201" s="580">
        <f t="shared" si="6"/>
        <v>4472</v>
      </c>
      <c r="F201" s="581">
        <f t="shared" si="7"/>
        <v>0.1079802004104793</v>
      </c>
    </row>
    <row r="202" spans="1:6">
      <c r="A202" s="784" t="s">
        <v>380</v>
      </c>
      <c r="B202" s="784" t="s">
        <v>1541</v>
      </c>
      <c r="C202" s="492">
        <f>VLOOKUP(A202,'Allocation 2019-20'!$B$9:$O$321,14,FALSE)</f>
        <v>0</v>
      </c>
      <c r="D202" s="492">
        <f>IFERROR(VLOOKUP(A202,'Allocation 2018-19'!$B$9:$O$321,14,FALSE),0)</f>
        <v>0</v>
      </c>
      <c r="E202" s="580">
        <f t="shared" si="6"/>
        <v>0</v>
      </c>
      <c r="F202" s="581">
        <f t="shared" si="7"/>
        <v>0</v>
      </c>
    </row>
    <row r="203" spans="1:6">
      <c r="A203" s="784" t="s">
        <v>382</v>
      </c>
      <c r="B203" s="784" t="s">
        <v>1542</v>
      </c>
      <c r="C203" s="492">
        <f>VLOOKUP(A203,'Allocation 2019-20'!$B$9:$O$321,14,FALSE)</f>
        <v>14002</v>
      </c>
      <c r="D203" s="492">
        <f>IFERROR(VLOOKUP(A203,'Allocation 2018-19'!$B$9:$O$321,14,FALSE),0)</f>
        <v>11558</v>
      </c>
      <c r="E203" s="580">
        <f t="shared" si="6"/>
        <v>2444</v>
      </c>
      <c r="F203" s="581">
        <f t="shared" si="7"/>
        <v>0.2114552690776951</v>
      </c>
    </row>
    <row r="204" spans="1:6">
      <c r="A204" s="784" t="s">
        <v>384</v>
      </c>
      <c r="B204" s="784" t="s">
        <v>1543</v>
      </c>
      <c r="C204" s="492">
        <f>VLOOKUP(A204,'Allocation 2019-20'!$B$9:$O$321,14,FALSE)</f>
        <v>2602</v>
      </c>
      <c r="D204" s="492">
        <f>IFERROR(VLOOKUP(A204,'Allocation 2018-19'!$B$9:$O$321,14,FALSE),0)</f>
        <v>0</v>
      </c>
      <c r="E204" s="580">
        <f t="shared" si="6"/>
        <v>2602</v>
      </c>
      <c r="F204" s="581">
        <f t="shared" si="7"/>
        <v>0</v>
      </c>
    </row>
    <row r="205" spans="1:6">
      <c r="A205" s="784" t="s">
        <v>386</v>
      </c>
      <c r="B205" s="784" t="s">
        <v>1544</v>
      </c>
      <c r="C205" s="492">
        <f>VLOOKUP(A205,'Allocation 2019-20'!$B$9:$O$321,14,FALSE)</f>
        <v>203354</v>
      </c>
      <c r="D205" s="492">
        <f>IFERROR(VLOOKUP(A205,'Allocation 2018-19'!$B$9:$O$321,14,FALSE),0)</f>
        <v>196093</v>
      </c>
      <c r="E205" s="580">
        <f t="shared" si="6"/>
        <v>7261</v>
      </c>
      <c r="F205" s="581">
        <f t="shared" si="7"/>
        <v>3.7028348793684628E-2</v>
      </c>
    </row>
    <row r="206" spans="1:6">
      <c r="A206" s="784" t="s">
        <v>387</v>
      </c>
      <c r="B206" s="784" t="s">
        <v>1545</v>
      </c>
      <c r="C206" s="492">
        <f>VLOOKUP(A206,'Allocation 2019-20'!$B$9:$O$321,14,FALSE)</f>
        <v>0</v>
      </c>
      <c r="D206" s="492">
        <f>IFERROR(VLOOKUP(A206,'Allocation 2018-19'!$B$9:$O$321,14,FALSE),0)</f>
        <v>0</v>
      </c>
      <c r="E206" s="580">
        <f t="shared" si="6"/>
        <v>0</v>
      </c>
      <c r="F206" s="581">
        <f t="shared" si="7"/>
        <v>0</v>
      </c>
    </row>
    <row r="207" spans="1:6">
      <c r="A207" s="784" t="s">
        <v>389</v>
      </c>
      <c r="B207" s="784" t="s">
        <v>1546</v>
      </c>
      <c r="C207" s="492">
        <f>VLOOKUP(A207,'Allocation 2019-20'!$B$9:$O$321,14,FALSE)</f>
        <v>0</v>
      </c>
      <c r="D207" s="492">
        <f>IFERROR(VLOOKUP(A207,'Allocation 2018-19'!$B$9:$O$321,14,FALSE),0)</f>
        <v>0</v>
      </c>
      <c r="E207" s="580">
        <f t="shared" si="6"/>
        <v>0</v>
      </c>
      <c r="F207" s="581">
        <f t="shared" si="7"/>
        <v>0</v>
      </c>
    </row>
    <row r="208" spans="1:6">
      <c r="A208" s="784" t="s">
        <v>391</v>
      </c>
      <c r="B208" s="784" t="s">
        <v>1547</v>
      </c>
      <c r="C208" s="492">
        <f>VLOOKUP(A208,'Allocation 2019-20'!$B$9:$O$321,14,FALSE)</f>
        <v>0</v>
      </c>
      <c r="D208" s="492">
        <f>IFERROR(VLOOKUP(A208,'Allocation 2018-19'!$B$9:$O$321,14,FALSE),0)</f>
        <v>0</v>
      </c>
      <c r="E208" s="580">
        <f t="shared" si="6"/>
        <v>0</v>
      </c>
      <c r="F208" s="581">
        <f t="shared" si="7"/>
        <v>0</v>
      </c>
    </row>
    <row r="209" spans="1:6">
      <c r="A209" s="784" t="s">
        <v>393</v>
      </c>
      <c r="B209" s="784" t="s">
        <v>1548</v>
      </c>
      <c r="C209" s="492">
        <f>VLOOKUP(A209,'Allocation 2019-20'!$B$9:$O$321,14,FALSE)</f>
        <v>0</v>
      </c>
      <c r="D209" s="492">
        <f>IFERROR(VLOOKUP(A209,'Allocation 2018-19'!$B$9:$O$321,14,FALSE),0)</f>
        <v>0</v>
      </c>
      <c r="E209" s="580">
        <f t="shared" si="6"/>
        <v>0</v>
      </c>
      <c r="F209" s="581">
        <f t="shared" si="7"/>
        <v>0</v>
      </c>
    </row>
    <row r="210" spans="1:6">
      <c r="A210" s="784" t="s">
        <v>395</v>
      </c>
      <c r="B210" s="784" t="s">
        <v>635</v>
      </c>
      <c r="C210" s="492">
        <f>VLOOKUP(A210,'Allocation 2019-20'!$B$9:$O$321,14,FALSE)</f>
        <v>373303</v>
      </c>
      <c r="D210" s="492">
        <f>IFERROR(VLOOKUP(A210,'Allocation 2018-19'!$B$9:$O$321,14,FALSE),0)</f>
        <v>353016</v>
      </c>
      <c r="E210" s="580">
        <f t="shared" si="6"/>
        <v>20287</v>
      </c>
      <c r="F210" s="581">
        <f t="shared" si="7"/>
        <v>5.7467650191492733E-2</v>
      </c>
    </row>
    <row r="211" spans="1:6">
      <c r="A211" s="784" t="s">
        <v>397</v>
      </c>
      <c r="B211" s="784" t="s">
        <v>1549</v>
      </c>
      <c r="C211" s="492">
        <f>VLOOKUP(A211,'Allocation 2019-20'!$B$9:$O$321,14,FALSE)</f>
        <v>51003</v>
      </c>
      <c r="D211" s="492">
        <f>IFERROR(VLOOKUP(A211,'Allocation 2018-19'!$B$9:$O$321,14,FALSE),0)</f>
        <v>45885</v>
      </c>
      <c r="E211" s="580">
        <f t="shared" si="6"/>
        <v>5118</v>
      </c>
      <c r="F211" s="581">
        <f t="shared" si="7"/>
        <v>0.11153971886237332</v>
      </c>
    </row>
    <row r="212" spans="1:6">
      <c r="A212" s="784" t="s">
        <v>399</v>
      </c>
      <c r="B212" s="784" t="s">
        <v>1550</v>
      </c>
      <c r="C212" s="492">
        <f>VLOOKUP(A212,'Allocation 2019-20'!$B$9:$O$321,14,FALSE)</f>
        <v>398158</v>
      </c>
      <c r="D212" s="492">
        <f>IFERROR(VLOOKUP(A212,'Allocation 2018-19'!$B$9:$O$321,14,FALSE),0)</f>
        <v>388589</v>
      </c>
      <c r="E212" s="580">
        <f t="shared" si="6"/>
        <v>9569</v>
      </c>
      <c r="F212" s="581">
        <f t="shared" si="7"/>
        <v>2.4624989384671208E-2</v>
      </c>
    </row>
    <row r="213" spans="1:6">
      <c r="A213" s="784" t="s">
        <v>401</v>
      </c>
      <c r="B213" s="784" t="s">
        <v>1551</v>
      </c>
      <c r="C213" s="492">
        <f>VLOOKUP(A213,'Allocation 2019-20'!$B$9:$O$321,14,FALSE)</f>
        <v>364981</v>
      </c>
      <c r="D213" s="492">
        <f>IFERROR(VLOOKUP(A213,'Allocation 2018-19'!$B$9:$O$321,14,FALSE),0)</f>
        <v>347982</v>
      </c>
      <c r="E213" s="580">
        <f t="shared" si="6"/>
        <v>16999</v>
      </c>
      <c r="F213" s="581">
        <f t="shared" si="7"/>
        <v>4.8850227885350393E-2</v>
      </c>
    </row>
    <row r="214" spans="1:6">
      <c r="A214" s="784" t="s">
        <v>403</v>
      </c>
      <c r="B214" s="784" t="s">
        <v>1552</v>
      </c>
      <c r="C214" s="492">
        <f>VLOOKUP(A214,'Allocation 2019-20'!$B$9:$O$321,14,FALSE)</f>
        <v>34963</v>
      </c>
      <c r="D214" s="492">
        <f>IFERROR(VLOOKUP(A214,'Allocation 2018-19'!$B$9:$O$321,14,FALSE),0)</f>
        <v>33523</v>
      </c>
      <c r="E214" s="580">
        <f t="shared" si="6"/>
        <v>1440</v>
      </c>
      <c r="F214" s="581">
        <f t="shared" si="7"/>
        <v>4.2955582734242159E-2</v>
      </c>
    </row>
    <row r="215" spans="1:6">
      <c r="A215" s="784" t="s">
        <v>405</v>
      </c>
      <c r="B215" s="784" t="s">
        <v>1553</v>
      </c>
      <c r="C215" s="492">
        <f>VLOOKUP(A215,'Allocation 2019-20'!$B$9:$O$321,14,FALSE)</f>
        <v>177030</v>
      </c>
      <c r="D215" s="492">
        <f>IFERROR(VLOOKUP(A215,'Allocation 2018-19'!$B$9:$O$321,14,FALSE),0)</f>
        <v>180734</v>
      </c>
      <c r="E215" s="580">
        <f t="shared" si="6"/>
        <v>-3704</v>
      </c>
      <c r="F215" s="581">
        <f t="shared" si="7"/>
        <v>-2.0494206956079099E-2</v>
      </c>
    </row>
    <row r="216" spans="1:6">
      <c r="A216" s="784" t="s">
        <v>407</v>
      </c>
      <c r="B216" s="784" t="s">
        <v>1554</v>
      </c>
      <c r="C216" s="492">
        <f>VLOOKUP(A216,'Allocation 2019-20'!$B$9:$O$321,14,FALSE)</f>
        <v>0</v>
      </c>
      <c r="D216" s="492">
        <f>IFERROR(VLOOKUP(A216,'Allocation 2018-19'!$B$9:$O$321,14,FALSE),0)</f>
        <v>0</v>
      </c>
      <c r="E216" s="580">
        <f t="shared" si="6"/>
        <v>0</v>
      </c>
      <c r="F216" s="581">
        <f t="shared" si="7"/>
        <v>0</v>
      </c>
    </row>
    <row r="217" spans="1:6">
      <c r="A217" s="784" t="s">
        <v>409</v>
      </c>
      <c r="B217" s="784" t="s">
        <v>1555</v>
      </c>
      <c r="C217" s="492">
        <f>VLOOKUP(A217,'Allocation 2019-20'!$B$9:$O$321,14,FALSE)</f>
        <v>78867</v>
      </c>
      <c r="D217" s="492">
        <f>IFERROR(VLOOKUP(A217,'Allocation 2018-19'!$B$9:$O$321,14,FALSE),0)</f>
        <v>75918</v>
      </c>
      <c r="E217" s="580">
        <f t="shared" si="6"/>
        <v>2949</v>
      </c>
      <c r="F217" s="581">
        <f t="shared" si="7"/>
        <v>3.8844542796174823E-2</v>
      </c>
    </row>
    <row r="218" spans="1:6">
      <c r="A218" s="784" t="s">
        <v>411</v>
      </c>
      <c r="B218" s="784" t="s">
        <v>1556</v>
      </c>
      <c r="C218" s="492">
        <f>VLOOKUP(A218,'Allocation 2019-20'!$B$9:$O$321,14,FALSE)</f>
        <v>50295</v>
      </c>
      <c r="D218" s="492">
        <f>IFERROR(VLOOKUP(A218,'Allocation 2018-19'!$B$9:$O$321,14,FALSE),0)</f>
        <v>49303</v>
      </c>
      <c r="E218" s="580">
        <f t="shared" si="6"/>
        <v>992</v>
      </c>
      <c r="F218" s="581">
        <f t="shared" si="7"/>
        <v>2.0120479484007057E-2</v>
      </c>
    </row>
    <row r="219" spans="1:6">
      <c r="A219" s="784" t="s">
        <v>413</v>
      </c>
      <c r="B219" s="784" t="s">
        <v>1557</v>
      </c>
      <c r="C219" s="492">
        <f>VLOOKUP(A219,'Allocation 2019-20'!$B$9:$O$321,14,FALSE)</f>
        <v>19933</v>
      </c>
      <c r="D219" s="492">
        <f>IFERROR(VLOOKUP(A219,'Allocation 2018-19'!$B$9:$O$321,14,FALSE),0)</f>
        <v>19564</v>
      </c>
      <c r="E219" s="580">
        <f t="shared" si="6"/>
        <v>369</v>
      </c>
      <c r="F219" s="581">
        <f t="shared" si="7"/>
        <v>1.8861173584134125E-2</v>
      </c>
    </row>
    <row r="220" spans="1:6">
      <c r="A220" s="784" t="s">
        <v>415</v>
      </c>
      <c r="B220" s="784" t="s">
        <v>1558</v>
      </c>
      <c r="C220" s="492">
        <f>VLOOKUP(A220,'Allocation 2019-20'!$B$9:$O$321,14,FALSE)</f>
        <v>22411</v>
      </c>
      <c r="D220" s="492">
        <f>IFERROR(VLOOKUP(A220,'Allocation 2018-19'!$B$9:$O$321,14,FALSE),0)</f>
        <v>21969</v>
      </c>
      <c r="E220" s="580">
        <f t="shared" si="6"/>
        <v>442</v>
      </c>
      <c r="F220" s="581">
        <f t="shared" si="7"/>
        <v>2.0119258955801356E-2</v>
      </c>
    </row>
    <row r="221" spans="1:6">
      <c r="A221" s="784" t="s">
        <v>417</v>
      </c>
      <c r="B221" s="784" t="s">
        <v>1559</v>
      </c>
      <c r="C221" s="492">
        <f>VLOOKUP(A221,'Allocation 2019-20'!$B$9:$O$321,14,FALSE)</f>
        <v>0</v>
      </c>
      <c r="D221" s="492">
        <f>IFERROR(VLOOKUP(A221,'Allocation 2018-19'!$B$9:$O$321,14,FALSE),0)</f>
        <v>0</v>
      </c>
      <c r="E221" s="580">
        <f t="shared" si="6"/>
        <v>0</v>
      </c>
      <c r="F221" s="581">
        <f t="shared" si="7"/>
        <v>0</v>
      </c>
    </row>
    <row r="222" spans="1:6">
      <c r="A222" s="784" t="s">
        <v>419</v>
      </c>
      <c r="B222" s="784" t="s">
        <v>1560</v>
      </c>
      <c r="C222" s="492">
        <f>VLOOKUP(A222,'Allocation 2019-20'!$B$9:$O$321,14,FALSE)</f>
        <v>0</v>
      </c>
      <c r="D222" s="492">
        <f>IFERROR(VLOOKUP(A222,'Allocation 2018-19'!$B$9:$O$321,14,FALSE),0)</f>
        <v>0</v>
      </c>
      <c r="E222" s="580">
        <f t="shared" si="6"/>
        <v>0</v>
      </c>
      <c r="F222" s="581">
        <f t="shared" si="7"/>
        <v>0</v>
      </c>
    </row>
    <row r="223" spans="1:6">
      <c r="A223" s="785" t="s">
        <v>421</v>
      </c>
      <c r="B223" s="784" t="s">
        <v>1561</v>
      </c>
      <c r="C223" s="492">
        <f>VLOOKUP(A223,'Allocation 2019-20'!$B$9:$O$321,14,FALSE)</f>
        <v>17827</v>
      </c>
      <c r="D223" s="492">
        <f>IFERROR(VLOOKUP(A223,'Allocation 2018-19'!$B$9:$O$321,14,FALSE),0)</f>
        <v>16918</v>
      </c>
      <c r="E223" s="580">
        <f t="shared" si="6"/>
        <v>909</v>
      </c>
      <c r="F223" s="581">
        <f t="shared" si="7"/>
        <v>5.3729755290223433E-2</v>
      </c>
    </row>
    <row r="224" spans="1:6">
      <c r="A224" s="784" t="s">
        <v>422</v>
      </c>
      <c r="B224" s="784" t="s">
        <v>1562</v>
      </c>
      <c r="C224" s="492">
        <f>VLOOKUP(A224,'Allocation 2019-20'!$B$9:$O$321,14,FALSE)</f>
        <v>268447</v>
      </c>
      <c r="D224" s="492">
        <f>IFERROR(VLOOKUP(A224,'Allocation 2018-19'!$B$9:$O$321,14,FALSE),0)</f>
        <v>251922</v>
      </c>
      <c r="E224" s="580">
        <f t="shared" si="6"/>
        <v>16525</v>
      </c>
      <c r="F224" s="581">
        <f t="shared" si="7"/>
        <v>6.559570025642858E-2</v>
      </c>
    </row>
    <row r="225" spans="1:6">
      <c r="A225" s="784" t="s">
        <v>424</v>
      </c>
      <c r="B225" s="784" t="s">
        <v>1563</v>
      </c>
      <c r="C225" s="492">
        <f>VLOOKUP(A225,'Allocation 2019-20'!$B$9:$O$321,14,FALSE)</f>
        <v>0</v>
      </c>
      <c r="D225" s="492">
        <f>IFERROR(VLOOKUP(A225,'Allocation 2018-19'!$B$9:$O$321,14,FALSE),0)</f>
        <v>0</v>
      </c>
      <c r="E225" s="580">
        <f t="shared" si="6"/>
        <v>0</v>
      </c>
      <c r="F225" s="581">
        <f t="shared" si="7"/>
        <v>0</v>
      </c>
    </row>
    <row r="226" spans="1:6">
      <c r="A226" s="784" t="s">
        <v>426</v>
      </c>
      <c r="B226" s="784" t="s">
        <v>1564</v>
      </c>
      <c r="C226" s="492">
        <f>VLOOKUP(A226,'Allocation 2019-20'!$B$9:$O$321,14,FALSE)</f>
        <v>0</v>
      </c>
      <c r="D226" s="492">
        <f>IFERROR(VLOOKUP(A226,'Allocation 2018-19'!$B$9:$O$321,14,FALSE),0)</f>
        <v>0</v>
      </c>
      <c r="E226" s="580">
        <f t="shared" si="6"/>
        <v>0</v>
      </c>
      <c r="F226" s="581">
        <f t="shared" si="7"/>
        <v>0</v>
      </c>
    </row>
    <row r="227" spans="1:6">
      <c r="A227" s="784" t="s">
        <v>428</v>
      </c>
      <c r="B227" s="784" t="s">
        <v>1565</v>
      </c>
      <c r="C227" s="492">
        <f>VLOOKUP(A227,'Allocation 2019-20'!$B$9:$O$321,14,FALSE)</f>
        <v>0</v>
      </c>
      <c r="D227" s="492">
        <f>IFERROR(VLOOKUP(A227,'Allocation 2018-19'!$B$9:$O$321,14,FALSE),0)</f>
        <v>0</v>
      </c>
      <c r="E227" s="580">
        <f t="shared" si="6"/>
        <v>0</v>
      </c>
      <c r="F227" s="581">
        <f t="shared" si="7"/>
        <v>0</v>
      </c>
    </row>
    <row r="228" spans="1:6">
      <c r="A228" s="784" t="s">
        <v>430</v>
      </c>
      <c r="B228" s="784" t="s">
        <v>1566</v>
      </c>
      <c r="C228" s="492">
        <f>VLOOKUP(A228,'Allocation 2019-20'!$B$9:$O$321,14,FALSE)</f>
        <v>0</v>
      </c>
      <c r="D228" s="492">
        <f>IFERROR(VLOOKUP(A228,'Allocation 2018-19'!$B$9:$O$321,14,FALSE),0)</f>
        <v>0</v>
      </c>
      <c r="E228" s="580">
        <f t="shared" si="6"/>
        <v>0</v>
      </c>
      <c r="F228" s="581">
        <f t="shared" si="7"/>
        <v>0</v>
      </c>
    </row>
    <row r="229" spans="1:6">
      <c r="A229" s="784" t="s">
        <v>432</v>
      </c>
      <c r="B229" s="784" t="s">
        <v>1567</v>
      </c>
      <c r="C229" s="492">
        <f>VLOOKUP(A229,'Allocation 2019-20'!$B$9:$O$321,14,FALSE)</f>
        <v>45637</v>
      </c>
      <c r="D229" s="492">
        <f>IFERROR(VLOOKUP(A229,'Allocation 2018-19'!$B$9:$O$321,14,FALSE),0)</f>
        <v>41533</v>
      </c>
      <c r="E229" s="580">
        <f t="shared" si="6"/>
        <v>4104</v>
      </c>
      <c r="F229" s="581">
        <f t="shared" si="7"/>
        <v>9.8812992078588111E-2</v>
      </c>
    </row>
    <row r="230" spans="1:6">
      <c r="A230" s="784" t="s">
        <v>434</v>
      </c>
      <c r="B230" s="784" t="s">
        <v>1568</v>
      </c>
      <c r="C230" s="492">
        <f>VLOOKUP(A230,'Allocation 2019-20'!$B$9:$O$321,14,FALSE)</f>
        <v>58278</v>
      </c>
      <c r="D230" s="492">
        <f>IFERROR(VLOOKUP(A230,'Allocation 2018-19'!$B$9:$O$321,14,FALSE),0)</f>
        <v>62987</v>
      </c>
      <c r="E230" s="580">
        <f t="shared" si="6"/>
        <v>-4709</v>
      </c>
      <c r="F230" s="581">
        <f t="shared" si="7"/>
        <v>-7.4761458713702822E-2</v>
      </c>
    </row>
    <row r="231" spans="1:6">
      <c r="A231" s="784" t="s">
        <v>436</v>
      </c>
      <c r="B231" s="784" t="s">
        <v>1569</v>
      </c>
      <c r="C231" s="492">
        <f>VLOOKUP(A231,'Allocation 2019-20'!$B$9:$O$321,14,FALSE)</f>
        <v>0</v>
      </c>
      <c r="D231" s="492">
        <f>IFERROR(VLOOKUP(A231,'Allocation 2018-19'!$B$9:$O$321,14,FALSE),0)</f>
        <v>0</v>
      </c>
      <c r="E231" s="580">
        <f t="shared" si="6"/>
        <v>0</v>
      </c>
      <c r="F231" s="581">
        <f t="shared" si="7"/>
        <v>0</v>
      </c>
    </row>
    <row r="232" spans="1:6">
      <c r="A232" s="784" t="s">
        <v>438</v>
      </c>
      <c r="B232" s="784" t="s">
        <v>1570</v>
      </c>
      <c r="C232" s="492">
        <f>VLOOKUP(A232,'Allocation 2019-20'!$B$9:$O$321,14,FALSE)</f>
        <v>23103</v>
      </c>
      <c r="D232" s="492">
        <f>IFERROR(VLOOKUP(A232,'Allocation 2018-19'!$B$9:$O$321,14,FALSE),0)</f>
        <v>17901</v>
      </c>
      <c r="E232" s="580">
        <f t="shared" si="6"/>
        <v>5202</v>
      </c>
      <c r="F232" s="581">
        <f t="shared" si="7"/>
        <v>0.29059829059829062</v>
      </c>
    </row>
    <row r="233" spans="1:6">
      <c r="A233" s="784" t="s">
        <v>440</v>
      </c>
      <c r="B233" s="784" t="s">
        <v>1571</v>
      </c>
      <c r="C233" s="492">
        <f>VLOOKUP(A233,'Allocation 2019-20'!$B$9:$O$321,14,FALSE)</f>
        <v>13437</v>
      </c>
      <c r="D233" s="492">
        <f>IFERROR(VLOOKUP(A233,'Allocation 2018-19'!$B$9:$O$321,14,FALSE),0)</f>
        <v>13571</v>
      </c>
      <c r="E233" s="580">
        <f t="shared" si="6"/>
        <v>-134</v>
      </c>
      <c r="F233" s="581">
        <f t="shared" si="7"/>
        <v>-9.8739960209269766E-3</v>
      </c>
    </row>
    <row r="234" spans="1:6">
      <c r="A234" s="784" t="s">
        <v>441</v>
      </c>
      <c r="B234" s="784" t="s">
        <v>1572</v>
      </c>
      <c r="C234" s="492">
        <f>VLOOKUP(A234,'Allocation 2019-20'!$B$9:$O$321,14,FALSE)</f>
        <v>0</v>
      </c>
      <c r="D234" s="492">
        <f>IFERROR(VLOOKUP(A234,'Allocation 2018-19'!$B$9:$O$321,14,FALSE),0)</f>
        <v>0</v>
      </c>
      <c r="E234" s="580">
        <f t="shared" si="6"/>
        <v>0</v>
      </c>
      <c r="F234" s="581">
        <f t="shared" si="7"/>
        <v>0</v>
      </c>
    </row>
    <row r="235" spans="1:6">
      <c r="A235" s="784" t="s">
        <v>443</v>
      </c>
      <c r="B235" s="784" t="s">
        <v>1573</v>
      </c>
      <c r="C235" s="492">
        <f>VLOOKUP(A235,'Allocation 2019-20'!$B$9:$O$321,14,FALSE)</f>
        <v>13756</v>
      </c>
      <c r="D235" s="492">
        <f>IFERROR(VLOOKUP(A235,'Allocation 2018-19'!$B$9:$O$321,14,FALSE),0)</f>
        <v>12746</v>
      </c>
      <c r="E235" s="580">
        <f t="shared" si="6"/>
        <v>1010</v>
      </c>
      <c r="F235" s="581">
        <f t="shared" si="7"/>
        <v>7.9240546053663888E-2</v>
      </c>
    </row>
    <row r="236" spans="1:6">
      <c r="A236" s="784" t="s">
        <v>444</v>
      </c>
      <c r="B236" s="784" t="s">
        <v>1574</v>
      </c>
      <c r="C236" s="492">
        <f>VLOOKUP(A236,'Allocation 2019-20'!$B$9:$O$321,14,FALSE)</f>
        <v>0</v>
      </c>
      <c r="D236" s="492">
        <f>IFERROR(VLOOKUP(A236,'Allocation 2018-19'!$B$9:$O$321,14,FALSE),0)</f>
        <v>0</v>
      </c>
      <c r="E236" s="580">
        <f t="shared" si="6"/>
        <v>0</v>
      </c>
      <c r="F236" s="581">
        <f t="shared" si="7"/>
        <v>0</v>
      </c>
    </row>
    <row r="237" spans="1:6">
      <c r="A237" s="784" t="s">
        <v>446</v>
      </c>
      <c r="B237" s="784" t="s">
        <v>1575</v>
      </c>
      <c r="C237" s="492">
        <f>VLOOKUP(A237,'Allocation 2019-20'!$B$9:$O$321,14,FALSE)</f>
        <v>0</v>
      </c>
      <c r="D237" s="492">
        <f>IFERROR(VLOOKUP(A237,'Allocation 2018-19'!$B$9:$O$321,14,FALSE),0)</f>
        <v>0</v>
      </c>
      <c r="E237" s="580">
        <f t="shared" si="6"/>
        <v>0</v>
      </c>
      <c r="F237" s="581">
        <f t="shared" si="7"/>
        <v>0</v>
      </c>
    </row>
    <row r="238" spans="1:6">
      <c r="A238" s="784" t="s">
        <v>448</v>
      </c>
      <c r="B238" s="784" t="s">
        <v>1576</v>
      </c>
      <c r="C238" s="492">
        <f>VLOOKUP(A238,'Allocation 2019-20'!$B$9:$O$321,14,FALSE)</f>
        <v>0</v>
      </c>
      <c r="D238" s="492">
        <f>IFERROR(VLOOKUP(A238,'Allocation 2018-19'!$B$9:$O$321,14,FALSE),0)</f>
        <v>0</v>
      </c>
      <c r="E238" s="580">
        <f t="shared" si="6"/>
        <v>0</v>
      </c>
      <c r="F238" s="581">
        <f t="shared" si="7"/>
        <v>0</v>
      </c>
    </row>
    <row r="239" spans="1:6">
      <c r="A239" s="784" t="s">
        <v>450</v>
      </c>
      <c r="B239" s="784" t="s">
        <v>1577</v>
      </c>
      <c r="C239" s="492">
        <f>VLOOKUP(A239,'Allocation 2019-20'!$B$9:$O$321,14,FALSE)</f>
        <v>0</v>
      </c>
      <c r="D239" s="492">
        <f>IFERROR(VLOOKUP(A239,'Allocation 2018-19'!$B$9:$O$321,14,FALSE),0)</f>
        <v>0</v>
      </c>
      <c r="E239" s="580">
        <f t="shared" si="6"/>
        <v>0</v>
      </c>
      <c r="F239" s="581">
        <f t="shared" si="7"/>
        <v>0</v>
      </c>
    </row>
    <row r="240" spans="1:6">
      <c r="A240" s="784" t="s">
        <v>452</v>
      </c>
      <c r="B240" s="784" t="s">
        <v>1578</v>
      </c>
      <c r="C240" s="492">
        <f>VLOOKUP(A240,'Allocation 2019-20'!$B$9:$O$321,14,FALSE)</f>
        <v>10586</v>
      </c>
      <c r="D240" s="492">
        <f>IFERROR(VLOOKUP(A240,'Allocation 2018-19'!$B$9:$O$321,14,FALSE),0)</f>
        <v>9751</v>
      </c>
      <c r="E240" s="580">
        <f t="shared" si="6"/>
        <v>835</v>
      </c>
      <c r="F240" s="581">
        <f t="shared" si="7"/>
        <v>8.5632242846887502E-2</v>
      </c>
    </row>
    <row r="241" spans="1:6">
      <c r="A241" s="784" t="s">
        <v>454</v>
      </c>
      <c r="B241" s="784" t="s">
        <v>1579</v>
      </c>
      <c r="C241" s="492">
        <f>VLOOKUP(A241,'Allocation 2019-20'!$B$9:$O$321,14,FALSE)</f>
        <v>0</v>
      </c>
      <c r="D241" s="492">
        <f>IFERROR(VLOOKUP(A241,'Allocation 2018-19'!$B$9:$O$321,14,FALSE),0)</f>
        <v>0</v>
      </c>
      <c r="E241" s="580">
        <f t="shared" si="6"/>
        <v>0</v>
      </c>
      <c r="F241" s="581">
        <f t="shared" si="7"/>
        <v>0</v>
      </c>
    </row>
    <row r="242" spans="1:6">
      <c r="A242" s="784" t="s">
        <v>456</v>
      </c>
      <c r="B242" s="784" t="s">
        <v>1580</v>
      </c>
      <c r="C242" s="492">
        <f>VLOOKUP(A242,'Allocation 2019-20'!$B$9:$O$321,14,FALSE)</f>
        <v>0</v>
      </c>
      <c r="D242" s="492">
        <f>IFERROR(VLOOKUP(A242,'Allocation 2018-19'!$B$9:$O$321,14,FALSE),0)</f>
        <v>0</v>
      </c>
      <c r="E242" s="580">
        <f t="shared" si="6"/>
        <v>0</v>
      </c>
      <c r="F242" s="581">
        <f t="shared" si="7"/>
        <v>0</v>
      </c>
    </row>
    <row r="243" spans="1:6">
      <c r="A243" s="784" t="s">
        <v>458</v>
      </c>
      <c r="B243" s="784" t="s">
        <v>1581</v>
      </c>
      <c r="C243" s="492">
        <f>VLOOKUP(A243,'Allocation 2019-20'!$B$9:$O$321,14,FALSE)</f>
        <v>0</v>
      </c>
      <c r="D243" s="492">
        <f>IFERROR(VLOOKUP(A243,'Allocation 2018-19'!$B$9:$O$321,14,FALSE),0)</f>
        <v>0</v>
      </c>
      <c r="E243" s="580">
        <f t="shared" si="6"/>
        <v>0</v>
      </c>
      <c r="F243" s="581">
        <f t="shared" si="7"/>
        <v>0</v>
      </c>
    </row>
    <row r="244" spans="1:6">
      <c r="A244" s="784" t="s">
        <v>460</v>
      </c>
      <c r="B244" s="784" t="s">
        <v>1582</v>
      </c>
      <c r="C244" s="492">
        <f>VLOOKUP(A244,'Allocation 2019-20'!$B$9:$O$321,14,FALSE)</f>
        <v>0</v>
      </c>
      <c r="D244" s="492">
        <f>IFERROR(VLOOKUP(A244,'Allocation 2018-19'!$B$9:$O$321,14,FALSE),0)</f>
        <v>0</v>
      </c>
      <c r="E244" s="580">
        <f t="shared" si="6"/>
        <v>0</v>
      </c>
      <c r="F244" s="581">
        <f t="shared" si="7"/>
        <v>0</v>
      </c>
    </row>
    <row r="245" spans="1:6">
      <c r="A245" s="784" t="s">
        <v>462</v>
      </c>
      <c r="B245" s="784" t="s">
        <v>1583</v>
      </c>
      <c r="C245" s="492">
        <f>VLOOKUP(A245,'Allocation 2019-20'!$B$9:$O$321,14,FALSE)</f>
        <v>0</v>
      </c>
      <c r="D245" s="492">
        <f>IFERROR(VLOOKUP(A245,'Allocation 2018-19'!$B$9:$O$321,14,FALSE),0)</f>
        <v>0</v>
      </c>
      <c r="E245" s="580">
        <f t="shared" si="6"/>
        <v>0</v>
      </c>
      <c r="F245" s="581">
        <f t="shared" si="7"/>
        <v>0</v>
      </c>
    </row>
    <row r="246" spans="1:6">
      <c r="A246" s="784" t="s">
        <v>464</v>
      </c>
      <c r="B246" s="784" t="s">
        <v>1584</v>
      </c>
      <c r="C246" s="492">
        <f>VLOOKUP(A246,'Allocation 2019-20'!$B$9:$O$321,14,FALSE)</f>
        <v>0</v>
      </c>
      <c r="D246" s="492">
        <f>IFERROR(VLOOKUP(A246,'Allocation 2018-19'!$B$9:$O$321,14,FALSE),0)</f>
        <v>0</v>
      </c>
      <c r="E246" s="580">
        <f t="shared" si="6"/>
        <v>0</v>
      </c>
      <c r="F246" s="581">
        <f t="shared" si="7"/>
        <v>0</v>
      </c>
    </row>
    <row r="247" spans="1:6">
      <c r="A247" s="784" t="s">
        <v>466</v>
      </c>
      <c r="B247" s="784" t="s">
        <v>1585</v>
      </c>
      <c r="C247" s="492">
        <f>VLOOKUP(A247,'Allocation 2019-20'!$B$9:$O$321,14,FALSE)</f>
        <v>0</v>
      </c>
      <c r="D247" s="492">
        <f>IFERROR(VLOOKUP(A247,'Allocation 2018-19'!$B$9:$O$321,14,FALSE),0)</f>
        <v>0</v>
      </c>
      <c r="E247" s="580">
        <f t="shared" si="6"/>
        <v>0</v>
      </c>
      <c r="F247" s="581">
        <f t="shared" si="7"/>
        <v>0</v>
      </c>
    </row>
    <row r="248" spans="1:6">
      <c r="A248" s="784" t="s">
        <v>468</v>
      </c>
      <c r="B248" s="784" t="s">
        <v>1586</v>
      </c>
      <c r="C248" s="492">
        <f>VLOOKUP(A248,'Allocation 2019-20'!$B$9:$O$321,14,FALSE)</f>
        <v>0</v>
      </c>
      <c r="D248" s="492">
        <f>IFERROR(VLOOKUP(A248,'Allocation 2018-19'!$B$9:$O$321,14,FALSE),0)</f>
        <v>0</v>
      </c>
      <c r="E248" s="580">
        <f t="shared" si="6"/>
        <v>0</v>
      </c>
      <c r="F248" s="581">
        <f t="shared" si="7"/>
        <v>0</v>
      </c>
    </row>
    <row r="249" spans="1:6">
      <c r="A249" s="784" t="s">
        <v>470</v>
      </c>
      <c r="B249" s="784" t="s">
        <v>1587</v>
      </c>
      <c r="C249" s="492">
        <f>VLOOKUP(A249,'Allocation 2019-20'!$B$9:$O$321,14,FALSE)</f>
        <v>0</v>
      </c>
      <c r="D249" s="492">
        <f>IFERROR(VLOOKUP(A249,'Allocation 2018-19'!$B$9:$O$321,14,FALSE),0)</f>
        <v>0</v>
      </c>
      <c r="E249" s="580">
        <f t="shared" si="6"/>
        <v>0</v>
      </c>
      <c r="F249" s="581">
        <f t="shared" si="7"/>
        <v>0</v>
      </c>
    </row>
    <row r="250" spans="1:6">
      <c r="A250" s="784" t="s">
        <v>472</v>
      </c>
      <c r="B250" s="784" t="s">
        <v>1588</v>
      </c>
      <c r="C250" s="492">
        <f>VLOOKUP(A250,'Allocation 2019-20'!$B$9:$O$321,14,FALSE)</f>
        <v>0</v>
      </c>
      <c r="D250" s="492">
        <f>IFERROR(VLOOKUP(A250,'Allocation 2018-19'!$B$9:$O$321,14,FALSE),0)</f>
        <v>0</v>
      </c>
      <c r="E250" s="580">
        <f t="shared" si="6"/>
        <v>0</v>
      </c>
      <c r="F250" s="581">
        <f t="shared" si="7"/>
        <v>0</v>
      </c>
    </row>
    <row r="251" spans="1:6">
      <c r="A251" s="784" t="s">
        <v>474</v>
      </c>
      <c r="B251" s="784" t="s">
        <v>631</v>
      </c>
      <c r="C251" s="492">
        <f>VLOOKUP(A251,'Allocation 2019-20'!$B$9:$O$321,14,FALSE)</f>
        <v>100800</v>
      </c>
      <c r="D251" s="492">
        <f>IFERROR(VLOOKUP(A251,'Allocation 2018-19'!$B$9:$O$321,14,FALSE),0)</f>
        <v>96927</v>
      </c>
      <c r="E251" s="580">
        <f t="shared" si="6"/>
        <v>3873</v>
      </c>
      <c r="F251" s="581">
        <f t="shared" si="7"/>
        <v>3.9957906465690675E-2</v>
      </c>
    </row>
    <row r="252" spans="1:6">
      <c r="A252" s="784" t="s">
        <v>476</v>
      </c>
      <c r="B252" s="784" t="s">
        <v>1589</v>
      </c>
      <c r="C252" s="492">
        <f>VLOOKUP(A252,'Allocation 2019-20'!$B$9:$O$321,14,FALSE)</f>
        <v>15525</v>
      </c>
      <c r="D252" s="492">
        <f>IFERROR(VLOOKUP(A252,'Allocation 2018-19'!$B$9:$O$321,14,FALSE),0)</f>
        <v>18638</v>
      </c>
      <c r="E252" s="580">
        <f t="shared" si="6"/>
        <v>-3113</v>
      </c>
      <c r="F252" s="581">
        <f t="shared" si="7"/>
        <v>-0.16702435883678507</v>
      </c>
    </row>
    <row r="253" spans="1:6">
      <c r="A253" s="784" t="s">
        <v>478</v>
      </c>
      <c r="B253" s="784" t="s">
        <v>1590</v>
      </c>
      <c r="C253" s="492">
        <f>VLOOKUP(A253,'Allocation 2019-20'!$B$9:$O$321,14,FALSE)</f>
        <v>38539</v>
      </c>
      <c r="D253" s="492">
        <f>IFERROR(VLOOKUP(A253,'Allocation 2018-19'!$B$9:$O$321,14,FALSE),0)</f>
        <v>31953</v>
      </c>
      <c r="E253" s="580">
        <f t="shared" si="6"/>
        <v>6586</v>
      </c>
      <c r="F253" s="581">
        <f t="shared" si="7"/>
        <v>0.20611523174662785</v>
      </c>
    </row>
    <row r="254" spans="1:6">
      <c r="A254" s="784" t="s">
        <v>480</v>
      </c>
      <c r="B254" s="784" t="s">
        <v>1591</v>
      </c>
      <c r="C254" s="492">
        <f>VLOOKUP(A254,'Allocation 2019-20'!$B$9:$O$321,14,FALSE)</f>
        <v>0</v>
      </c>
      <c r="D254" s="492">
        <f>IFERROR(VLOOKUP(A254,'Allocation 2018-19'!$B$9:$O$321,14,FALSE),0)</f>
        <v>0</v>
      </c>
      <c r="E254" s="580">
        <f t="shared" si="6"/>
        <v>0</v>
      </c>
      <c r="F254" s="581">
        <f t="shared" si="7"/>
        <v>0</v>
      </c>
    </row>
    <row r="255" spans="1:6">
      <c r="A255" s="784" t="s">
        <v>482</v>
      </c>
      <c r="B255" s="784" t="s">
        <v>1592</v>
      </c>
      <c r="C255" s="492">
        <f>VLOOKUP(A255,'Allocation 2019-20'!$B$9:$O$321,14,FALSE)</f>
        <v>0</v>
      </c>
      <c r="D255" s="492">
        <f>IFERROR(VLOOKUP(A255,'Allocation 2018-19'!$B$9:$O$321,14,FALSE),0)</f>
        <v>0</v>
      </c>
      <c r="E255" s="580">
        <f t="shared" si="6"/>
        <v>0</v>
      </c>
      <c r="F255" s="581">
        <f t="shared" si="7"/>
        <v>0</v>
      </c>
    </row>
    <row r="256" spans="1:6">
      <c r="A256" s="784" t="s">
        <v>484</v>
      </c>
      <c r="B256" s="784" t="s">
        <v>1593</v>
      </c>
      <c r="C256" s="492">
        <f>VLOOKUP(A256,'Allocation 2019-20'!$B$9:$O$321,14,FALSE)</f>
        <v>25934</v>
      </c>
      <c r="D256" s="492">
        <f>IFERROR(VLOOKUP(A256,'Allocation 2018-19'!$B$9:$O$321,14,FALSE),0)</f>
        <v>22786</v>
      </c>
      <c r="E256" s="580">
        <f t="shared" si="6"/>
        <v>3148</v>
      </c>
      <c r="F256" s="581">
        <f t="shared" si="7"/>
        <v>0.13815500746072149</v>
      </c>
    </row>
    <row r="257" spans="1:6">
      <c r="A257" s="784" t="s">
        <v>486</v>
      </c>
      <c r="B257" s="784" t="s">
        <v>1594</v>
      </c>
      <c r="C257" s="492">
        <f>VLOOKUP(A257,'Allocation 2019-20'!$B$9:$O$321,14,FALSE)</f>
        <v>0</v>
      </c>
      <c r="D257" s="492">
        <f>IFERROR(VLOOKUP(A257,'Allocation 2018-19'!$B$9:$O$321,14,FALSE),0)</f>
        <v>0</v>
      </c>
      <c r="E257" s="580">
        <f t="shared" si="6"/>
        <v>0</v>
      </c>
      <c r="F257" s="581">
        <f t="shared" si="7"/>
        <v>0</v>
      </c>
    </row>
    <row r="258" spans="1:6">
      <c r="A258" s="784" t="s">
        <v>678</v>
      </c>
      <c r="B258" s="784" t="s">
        <v>679</v>
      </c>
      <c r="C258" s="492">
        <f>VLOOKUP(A258,'Allocation 2019-20'!$B$9:$O$321,14,FALSE)</f>
        <v>0</v>
      </c>
      <c r="D258" s="492">
        <f>IFERROR(VLOOKUP(A258,'Allocation 2018-19'!$B$9:$O$321,14,FALSE),0)</f>
        <v>0</v>
      </c>
      <c r="E258" s="580">
        <f t="shared" ref="E258:E296" si="8">C258-D258</f>
        <v>0</v>
      </c>
      <c r="F258" s="581">
        <f t="shared" ref="F258:F296" si="9">IF(D258=0,0,E258/D258)</f>
        <v>0</v>
      </c>
    </row>
    <row r="259" spans="1:6">
      <c r="A259" s="784" t="s">
        <v>488</v>
      </c>
      <c r="B259" s="784" t="s">
        <v>1595</v>
      </c>
      <c r="C259" s="492">
        <f>VLOOKUP(A259,'Allocation 2019-20'!$B$9:$O$321,14,FALSE)</f>
        <v>0</v>
      </c>
      <c r="D259" s="492">
        <f>IFERROR(VLOOKUP(A259,'Allocation 2018-19'!$B$9:$O$321,14,FALSE),0)</f>
        <v>0</v>
      </c>
      <c r="E259" s="580">
        <f t="shared" si="8"/>
        <v>0</v>
      </c>
      <c r="F259" s="581">
        <f t="shared" si="9"/>
        <v>0</v>
      </c>
    </row>
    <row r="260" spans="1:6">
      <c r="A260" s="784" t="s">
        <v>490</v>
      </c>
      <c r="B260" s="784" t="s">
        <v>1596</v>
      </c>
      <c r="C260" s="492">
        <f>VLOOKUP(A260,'Allocation 2019-20'!$B$9:$O$321,14,FALSE)</f>
        <v>0</v>
      </c>
      <c r="D260" s="492">
        <f>IFERROR(VLOOKUP(A260,'Allocation 2018-19'!$B$9:$O$321,14,FALSE),0)</f>
        <v>0</v>
      </c>
      <c r="E260" s="580">
        <f t="shared" si="8"/>
        <v>0</v>
      </c>
      <c r="F260" s="581">
        <f t="shared" si="9"/>
        <v>0</v>
      </c>
    </row>
    <row r="261" spans="1:6">
      <c r="A261" s="784" t="s">
        <v>492</v>
      </c>
      <c r="B261" s="784" t="s">
        <v>641</v>
      </c>
      <c r="C261" s="492">
        <f>VLOOKUP(A261,'Allocation 2019-20'!$B$9:$O$321,14,FALSE)</f>
        <v>95684</v>
      </c>
      <c r="D261" s="492">
        <f>IFERROR(VLOOKUP(A261,'Allocation 2018-19'!$B$9:$O$321,14,FALSE),0)</f>
        <v>94551</v>
      </c>
      <c r="E261" s="580">
        <f t="shared" si="8"/>
        <v>1133</v>
      </c>
      <c r="F261" s="581">
        <f t="shared" si="9"/>
        <v>1.1982950999989424E-2</v>
      </c>
    </row>
    <row r="262" spans="1:6">
      <c r="A262" s="784" t="s">
        <v>494</v>
      </c>
      <c r="B262" s="784" t="s">
        <v>1597</v>
      </c>
      <c r="C262" s="492">
        <f>VLOOKUP(A262,'Allocation 2019-20'!$B$9:$O$321,14,FALSE)</f>
        <v>33211</v>
      </c>
      <c r="D262" s="492">
        <f>IFERROR(VLOOKUP(A262,'Allocation 2018-19'!$B$9:$O$321,14,FALSE),0)</f>
        <v>35785</v>
      </c>
      <c r="E262" s="580">
        <f t="shared" si="8"/>
        <v>-2574</v>
      </c>
      <c r="F262" s="581">
        <f t="shared" si="9"/>
        <v>-7.1929579432723212E-2</v>
      </c>
    </row>
    <row r="263" spans="1:6">
      <c r="A263" s="784" t="s">
        <v>496</v>
      </c>
      <c r="B263" s="784" t="s">
        <v>1598</v>
      </c>
      <c r="C263" s="492">
        <f>VLOOKUP(A263,'Allocation 2019-20'!$B$9:$O$321,14,FALSE)</f>
        <v>0</v>
      </c>
      <c r="D263" s="492">
        <f>IFERROR(VLOOKUP(A263,'Allocation 2018-19'!$B$9:$O$321,14,FALSE),0)</f>
        <v>0</v>
      </c>
      <c r="E263" s="580">
        <f t="shared" si="8"/>
        <v>0</v>
      </c>
      <c r="F263" s="581">
        <f t="shared" si="9"/>
        <v>0</v>
      </c>
    </row>
    <row r="264" spans="1:6">
      <c r="A264" s="784" t="s">
        <v>498</v>
      </c>
      <c r="B264" s="784" t="s">
        <v>1599</v>
      </c>
      <c r="C264" s="492">
        <f>VLOOKUP(A264,'Allocation 2019-20'!$B$9:$O$321,14,FALSE)</f>
        <v>15915</v>
      </c>
      <c r="D264" s="492">
        <f>IFERROR(VLOOKUP(A264,'Allocation 2018-19'!$B$9:$O$321,14,FALSE),0)</f>
        <v>13798</v>
      </c>
      <c r="E264" s="580">
        <f t="shared" si="8"/>
        <v>2117</v>
      </c>
      <c r="F264" s="581">
        <f t="shared" si="9"/>
        <v>0.15342803304826785</v>
      </c>
    </row>
    <row r="265" spans="1:6">
      <c r="A265" s="784" t="s">
        <v>500</v>
      </c>
      <c r="B265" s="784" t="s">
        <v>1600</v>
      </c>
      <c r="C265" s="492">
        <f>VLOOKUP(A265,'Allocation 2019-20'!$B$9:$O$321,14,FALSE)</f>
        <v>0</v>
      </c>
      <c r="D265" s="492">
        <f>IFERROR(VLOOKUP(A265,'Allocation 2018-19'!$B$9:$O$321,14,FALSE),0)</f>
        <v>0</v>
      </c>
      <c r="E265" s="580">
        <f t="shared" si="8"/>
        <v>0</v>
      </c>
      <c r="F265" s="581">
        <f t="shared" si="9"/>
        <v>0</v>
      </c>
    </row>
    <row r="266" spans="1:6">
      <c r="A266" s="784" t="s">
        <v>502</v>
      </c>
      <c r="B266" s="784" t="s">
        <v>1601</v>
      </c>
      <c r="C266" s="492">
        <f>VLOOKUP(A266,'Allocation 2019-20'!$B$9:$O$321,14,FALSE)</f>
        <v>12623</v>
      </c>
      <c r="D266" s="492">
        <f>IFERROR(VLOOKUP(A266,'Allocation 2018-19'!$B$9:$O$321,14,FALSE),0)</f>
        <v>11748</v>
      </c>
      <c r="E266" s="580">
        <f t="shared" si="8"/>
        <v>875</v>
      </c>
      <c r="F266" s="581">
        <f t="shared" si="9"/>
        <v>7.4480762683009877E-2</v>
      </c>
    </row>
    <row r="267" spans="1:6">
      <c r="A267" s="785" t="s">
        <v>504</v>
      </c>
      <c r="B267" s="784" t="s">
        <v>628</v>
      </c>
      <c r="C267" s="492">
        <f>VLOOKUP(A267,'Allocation 2019-20'!$B$9:$O$321,14,FALSE)</f>
        <v>104200</v>
      </c>
      <c r="D267" s="492">
        <f>IFERROR(VLOOKUP(A267,'Allocation 2018-19'!$B$9:$O$321,14,FALSE),0)</f>
        <v>106958</v>
      </c>
      <c r="E267" s="580">
        <f t="shared" si="8"/>
        <v>-2758</v>
      </c>
      <c r="F267" s="581">
        <f t="shared" si="9"/>
        <v>-2.5785822472372332E-2</v>
      </c>
    </row>
    <row r="268" spans="1:6">
      <c r="A268" s="784" t="s">
        <v>506</v>
      </c>
      <c r="B268" s="784" t="s">
        <v>1602</v>
      </c>
      <c r="C268" s="492">
        <f>VLOOKUP(A268,'Allocation 2019-20'!$B$9:$O$321,14,FALSE)</f>
        <v>0</v>
      </c>
      <c r="D268" s="492">
        <f>IFERROR(VLOOKUP(A268,'Allocation 2018-19'!$B$9:$O$321,14,FALSE),0)</f>
        <v>0</v>
      </c>
      <c r="E268" s="580">
        <f t="shared" si="8"/>
        <v>0</v>
      </c>
      <c r="F268" s="581">
        <f t="shared" si="9"/>
        <v>0</v>
      </c>
    </row>
    <row r="269" spans="1:6">
      <c r="A269" s="784" t="s">
        <v>508</v>
      </c>
      <c r="B269" s="784" t="s">
        <v>1603</v>
      </c>
      <c r="C269" s="492">
        <f>VLOOKUP(A269,'Allocation 2019-20'!$B$9:$O$321,14,FALSE)</f>
        <v>12267</v>
      </c>
      <c r="D269" s="492">
        <f>IFERROR(VLOOKUP(A269,'Allocation 2018-19'!$B$9:$O$321,14,FALSE),0)</f>
        <v>11203</v>
      </c>
      <c r="E269" s="580">
        <f t="shared" si="8"/>
        <v>1064</v>
      </c>
      <c r="F269" s="581">
        <f t="shared" si="9"/>
        <v>9.4974560385611001E-2</v>
      </c>
    </row>
    <row r="270" spans="1:6">
      <c r="A270" s="785" t="s">
        <v>510</v>
      </c>
      <c r="B270" s="784" t="s">
        <v>1604</v>
      </c>
      <c r="C270" s="492">
        <f>VLOOKUP(A270,'Allocation 2019-20'!$B$9:$O$321,14,FALSE)</f>
        <v>44930</v>
      </c>
      <c r="D270" s="492">
        <f>IFERROR(VLOOKUP(A270,'Allocation 2018-19'!$B$9:$O$321,14,FALSE),0)</f>
        <v>40502</v>
      </c>
      <c r="E270" s="580">
        <f t="shared" si="8"/>
        <v>4428</v>
      </c>
      <c r="F270" s="581">
        <f t="shared" si="9"/>
        <v>0.10932793442299146</v>
      </c>
    </row>
    <row r="271" spans="1:6">
      <c r="A271" s="784" t="s">
        <v>512</v>
      </c>
      <c r="B271" s="784" t="s">
        <v>1605</v>
      </c>
      <c r="C271" s="492">
        <f>VLOOKUP(A271,'Allocation 2019-20'!$B$9:$O$321,14,FALSE)</f>
        <v>22146</v>
      </c>
      <c r="D271" s="492">
        <f>IFERROR(VLOOKUP(A271,'Allocation 2018-19'!$B$9:$O$321,14,FALSE),0)</f>
        <v>21663</v>
      </c>
      <c r="E271" s="580">
        <f t="shared" si="8"/>
        <v>483</v>
      </c>
      <c r="F271" s="581">
        <f t="shared" si="9"/>
        <v>2.2296080875225038E-2</v>
      </c>
    </row>
    <row r="272" spans="1:6">
      <c r="A272" s="784" t="s">
        <v>514</v>
      </c>
      <c r="B272" s="784" t="s">
        <v>685</v>
      </c>
      <c r="C272" s="492">
        <f>VLOOKUP(A272,'Allocation 2019-20'!$B$9:$O$321,14,FALSE)</f>
        <v>32751</v>
      </c>
      <c r="D272" s="492">
        <f>IFERROR(VLOOKUP(A272,'Allocation 2018-19'!$B$9:$O$321,14,FALSE),0)</f>
        <v>31844</v>
      </c>
      <c r="E272" s="580">
        <f t="shared" si="8"/>
        <v>907</v>
      </c>
      <c r="F272" s="581">
        <f t="shared" si="9"/>
        <v>2.848260268810451E-2</v>
      </c>
    </row>
    <row r="273" spans="1:6">
      <c r="A273" s="784" t="s">
        <v>516</v>
      </c>
      <c r="B273" s="784" t="s">
        <v>1606</v>
      </c>
      <c r="C273" s="492">
        <f>VLOOKUP(A273,'Allocation 2019-20'!$B$9:$O$321,14,FALSE)</f>
        <v>19543</v>
      </c>
      <c r="D273" s="492">
        <f>IFERROR(VLOOKUP(A273,'Allocation 2018-19'!$B$9:$O$321,14,FALSE),0)</f>
        <v>14968</v>
      </c>
      <c r="E273" s="580">
        <f t="shared" si="8"/>
        <v>4575</v>
      </c>
      <c r="F273" s="581">
        <f t="shared" si="9"/>
        <v>0.30565205772314269</v>
      </c>
    </row>
    <row r="274" spans="1:6">
      <c r="A274" s="784" t="s">
        <v>518</v>
      </c>
      <c r="B274" s="784" t="s">
        <v>1607</v>
      </c>
      <c r="C274" s="492">
        <f>VLOOKUP(A274,'Allocation 2019-20'!$B$9:$O$321,14,FALSE)</f>
        <v>0</v>
      </c>
      <c r="D274" s="492">
        <f>IFERROR(VLOOKUP(A274,'Allocation 2018-19'!$B$9:$O$321,14,FALSE),0)</f>
        <v>0</v>
      </c>
      <c r="E274" s="580">
        <f t="shared" si="8"/>
        <v>0</v>
      </c>
      <c r="F274" s="581">
        <f t="shared" si="9"/>
        <v>0</v>
      </c>
    </row>
    <row r="275" spans="1:6">
      <c r="A275" s="784" t="s">
        <v>519</v>
      </c>
      <c r="B275" s="784" t="s">
        <v>1608</v>
      </c>
      <c r="C275" s="492">
        <f>VLOOKUP(A275,'Allocation 2019-20'!$B$9:$O$321,14,FALSE)</f>
        <v>0</v>
      </c>
      <c r="D275" s="492">
        <f>IFERROR(VLOOKUP(A275,'Allocation 2018-19'!$B$9:$O$321,14,FALSE),0)</f>
        <v>0</v>
      </c>
      <c r="E275" s="580">
        <f t="shared" si="8"/>
        <v>0</v>
      </c>
      <c r="F275" s="581">
        <f t="shared" si="9"/>
        <v>0</v>
      </c>
    </row>
    <row r="276" spans="1:6">
      <c r="A276" s="784" t="s">
        <v>521</v>
      </c>
      <c r="B276" s="784" t="s">
        <v>1609</v>
      </c>
      <c r="C276" s="492">
        <f>VLOOKUP(A276,'Allocation 2019-20'!$B$9:$O$321,14,FALSE)</f>
        <v>0</v>
      </c>
      <c r="D276" s="492">
        <f>IFERROR(VLOOKUP(A276,'Allocation 2018-19'!$B$9:$O$321,14,FALSE),0)</f>
        <v>0</v>
      </c>
      <c r="E276" s="580">
        <f t="shared" si="8"/>
        <v>0</v>
      </c>
      <c r="F276" s="581">
        <f t="shared" si="9"/>
        <v>0</v>
      </c>
    </row>
    <row r="277" spans="1:6">
      <c r="A277" s="784" t="s">
        <v>523</v>
      </c>
      <c r="B277" s="784" t="s">
        <v>1610</v>
      </c>
      <c r="C277" s="492">
        <f>VLOOKUP(A277,'Allocation 2019-20'!$B$9:$O$321,14,FALSE)</f>
        <v>22748</v>
      </c>
      <c r="D277" s="492">
        <f>IFERROR(VLOOKUP(A277,'Allocation 2018-19'!$B$9:$O$321,14,FALSE),0)</f>
        <v>21143</v>
      </c>
      <c r="E277" s="580">
        <f t="shared" si="8"/>
        <v>1605</v>
      </c>
      <c r="F277" s="581">
        <f t="shared" si="9"/>
        <v>7.5911649245613208E-2</v>
      </c>
    </row>
    <row r="278" spans="1:6">
      <c r="A278" s="784" t="s">
        <v>525</v>
      </c>
      <c r="B278" s="784" t="s">
        <v>1611</v>
      </c>
      <c r="C278" s="492">
        <f>VLOOKUP(A278,'Allocation 2019-20'!$B$9:$O$321,14,FALSE)</f>
        <v>0</v>
      </c>
      <c r="D278" s="492">
        <f>IFERROR(VLOOKUP(A278,'Allocation 2018-19'!$B$9:$O$321,14,FALSE),0)</f>
        <v>0</v>
      </c>
      <c r="E278" s="580">
        <f t="shared" si="8"/>
        <v>0</v>
      </c>
      <c r="F278" s="581">
        <f t="shared" si="9"/>
        <v>0</v>
      </c>
    </row>
    <row r="279" spans="1:6">
      <c r="A279" s="784" t="s">
        <v>527</v>
      </c>
      <c r="B279" s="784" t="s">
        <v>1612</v>
      </c>
      <c r="C279" s="492">
        <f>VLOOKUP(A279,'Allocation 2019-20'!$B$9:$O$321,14,FALSE)</f>
        <v>0</v>
      </c>
      <c r="D279" s="492">
        <f>IFERROR(VLOOKUP(A279,'Allocation 2018-19'!$B$9:$O$321,14,FALSE),0)</f>
        <v>0</v>
      </c>
      <c r="E279" s="580">
        <f t="shared" si="8"/>
        <v>0</v>
      </c>
      <c r="F279" s="581">
        <f t="shared" si="9"/>
        <v>0</v>
      </c>
    </row>
    <row r="280" spans="1:6">
      <c r="A280" s="784" t="s">
        <v>529</v>
      </c>
      <c r="B280" s="784" t="s">
        <v>1613</v>
      </c>
      <c r="C280" s="492">
        <f>VLOOKUP(A280,'Allocation 2019-20'!$B$9:$O$321,14,FALSE)</f>
        <v>0</v>
      </c>
      <c r="D280" s="492">
        <f>IFERROR(VLOOKUP(A280,'Allocation 2018-19'!$B$9:$O$321,14,FALSE),0)</f>
        <v>0</v>
      </c>
      <c r="E280" s="580">
        <f t="shared" si="8"/>
        <v>0</v>
      </c>
      <c r="F280" s="581">
        <f t="shared" si="9"/>
        <v>0</v>
      </c>
    </row>
    <row r="281" spans="1:6">
      <c r="A281" s="784" t="s">
        <v>531</v>
      </c>
      <c r="B281" s="784" t="s">
        <v>1614</v>
      </c>
      <c r="C281" s="492">
        <f>VLOOKUP(A281,'Allocation 2019-20'!$B$9:$O$321,14,FALSE)</f>
        <v>0</v>
      </c>
      <c r="D281" s="492">
        <f>IFERROR(VLOOKUP(A281,'Allocation 2018-19'!$B$9:$O$321,14,FALSE),0)</f>
        <v>0</v>
      </c>
      <c r="E281" s="580">
        <f t="shared" si="8"/>
        <v>0</v>
      </c>
      <c r="F281" s="581">
        <f t="shared" si="9"/>
        <v>0</v>
      </c>
    </row>
    <row r="282" spans="1:6">
      <c r="A282" s="787" t="s">
        <v>533</v>
      </c>
      <c r="B282" s="784" t="s">
        <v>1615</v>
      </c>
      <c r="C282" s="492">
        <f>VLOOKUP(A282,'Allocation 2019-20'!$B$9:$O$321,14,FALSE)</f>
        <v>0</v>
      </c>
      <c r="D282" s="492">
        <f>IFERROR(VLOOKUP(A282,'Allocation 2018-19'!$B$9:$O$321,14,FALSE),0)</f>
        <v>0</v>
      </c>
      <c r="E282" s="580">
        <f t="shared" si="8"/>
        <v>0</v>
      </c>
      <c r="F282" s="581">
        <f t="shared" si="9"/>
        <v>0</v>
      </c>
    </row>
    <row r="283" spans="1:6">
      <c r="A283" s="784" t="s">
        <v>535</v>
      </c>
      <c r="B283" s="784" t="s">
        <v>1616</v>
      </c>
      <c r="C283" s="492">
        <f>VLOOKUP(A283,'Allocation 2019-20'!$B$9:$O$321,14,FALSE)</f>
        <v>0</v>
      </c>
      <c r="D283" s="492">
        <f>IFERROR(VLOOKUP(A283,'Allocation 2018-19'!$B$9:$O$321,14,FALSE),0)</f>
        <v>0</v>
      </c>
      <c r="E283" s="580">
        <f t="shared" si="8"/>
        <v>0</v>
      </c>
      <c r="F283" s="581">
        <f t="shared" si="9"/>
        <v>0</v>
      </c>
    </row>
    <row r="284" spans="1:6">
      <c r="A284" s="784" t="s">
        <v>537</v>
      </c>
      <c r="B284" s="784" t="s">
        <v>1617</v>
      </c>
      <c r="C284" s="492">
        <f>VLOOKUP(A284,'Allocation 2019-20'!$B$9:$O$321,14,FALSE)</f>
        <v>0</v>
      </c>
      <c r="D284" s="492">
        <f>IFERROR(VLOOKUP(A284,'Allocation 2018-19'!$B$9:$O$321,14,FALSE),0)</f>
        <v>0</v>
      </c>
      <c r="E284" s="580">
        <f t="shared" si="8"/>
        <v>0</v>
      </c>
      <c r="F284" s="581">
        <f t="shared" si="9"/>
        <v>0</v>
      </c>
    </row>
    <row r="285" spans="1:6">
      <c r="A285" s="784" t="s">
        <v>539</v>
      </c>
      <c r="B285" s="784" t="s">
        <v>1618</v>
      </c>
      <c r="C285" s="492">
        <f>VLOOKUP(A285,'Allocation 2019-20'!$B$9:$O$321,14,FALSE)</f>
        <v>0</v>
      </c>
      <c r="D285" s="492">
        <f>IFERROR(VLOOKUP(A285,'Allocation 2018-19'!$B$9:$O$321,14,FALSE),0)</f>
        <v>0</v>
      </c>
      <c r="E285" s="580">
        <f t="shared" si="8"/>
        <v>0</v>
      </c>
      <c r="F285" s="581">
        <f t="shared" si="9"/>
        <v>0</v>
      </c>
    </row>
    <row r="286" spans="1:6">
      <c r="A286" s="784" t="s">
        <v>541</v>
      </c>
      <c r="B286" s="784" t="s">
        <v>1619</v>
      </c>
      <c r="C286" s="492">
        <f>VLOOKUP(A286,'Allocation 2019-20'!$B$9:$O$321,14,FALSE)</f>
        <v>0</v>
      </c>
      <c r="D286" s="492">
        <f>IFERROR(VLOOKUP(A286,'Allocation 2018-19'!$B$9:$O$321,14,FALSE),0)</f>
        <v>0</v>
      </c>
      <c r="E286" s="580">
        <f t="shared" si="8"/>
        <v>0</v>
      </c>
      <c r="F286" s="581">
        <f t="shared" si="9"/>
        <v>0</v>
      </c>
    </row>
    <row r="287" spans="1:6">
      <c r="A287" s="784" t="s">
        <v>543</v>
      </c>
      <c r="B287" s="784" t="s">
        <v>1620</v>
      </c>
      <c r="C287" s="492">
        <f>VLOOKUP(A287,'Allocation 2019-20'!$B$9:$O$321,14,FALSE)</f>
        <v>23952</v>
      </c>
      <c r="D287" s="492">
        <f>IFERROR(VLOOKUP(A287,'Allocation 2018-19'!$B$9:$O$321,14,FALSE),0)</f>
        <v>23979</v>
      </c>
      <c r="E287" s="580">
        <f t="shared" si="8"/>
        <v>-27</v>
      </c>
      <c r="F287" s="581">
        <f t="shared" si="9"/>
        <v>-1.1259852370824471E-3</v>
      </c>
    </row>
    <row r="288" spans="1:6">
      <c r="A288" s="784" t="s">
        <v>545</v>
      </c>
      <c r="B288" s="784" t="s">
        <v>1621</v>
      </c>
      <c r="C288" s="492">
        <f>VLOOKUP(A288,'Allocation 2019-20'!$B$9:$O$321,14,FALSE)</f>
        <v>10250</v>
      </c>
      <c r="D288" s="492">
        <f>IFERROR(VLOOKUP(A288,'Allocation 2018-19'!$B$9:$O$321,14,FALSE),0)</f>
        <v>11046</v>
      </c>
      <c r="E288" s="580">
        <f t="shared" si="8"/>
        <v>-796</v>
      </c>
      <c r="F288" s="581">
        <f t="shared" si="9"/>
        <v>-7.206228499004165E-2</v>
      </c>
    </row>
    <row r="289" spans="1:6">
      <c r="A289" s="784" t="s">
        <v>547</v>
      </c>
      <c r="B289" s="784" t="s">
        <v>1622</v>
      </c>
      <c r="C289" s="492">
        <f>VLOOKUP(A289,'Allocation 2019-20'!$B$9:$O$321,14,FALSE)</f>
        <v>622490</v>
      </c>
      <c r="D289" s="492">
        <f>IFERROR(VLOOKUP(A289,'Allocation 2018-19'!$B$9:$O$321,14,FALSE),0)</f>
        <v>643594</v>
      </c>
      <c r="E289" s="580">
        <f t="shared" si="8"/>
        <v>-21104</v>
      </c>
      <c r="F289" s="581">
        <f t="shared" si="9"/>
        <v>-3.2790858833363891E-2</v>
      </c>
    </row>
    <row r="290" spans="1:6">
      <c r="A290" s="784" t="s">
        <v>549</v>
      </c>
      <c r="B290" s="784" t="s">
        <v>1623</v>
      </c>
      <c r="C290" s="492">
        <f>VLOOKUP(A290,'Allocation 2019-20'!$B$9:$O$321,14,FALSE)</f>
        <v>42257</v>
      </c>
      <c r="D290" s="492">
        <f>IFERROR(VLOOKUP(A290,'Allocation 2018-19'!$B$9:$O$321,14,FALSE),0)</f>
        <v>45673</v>
      </c>
      <c r="E290" s="580">
        <f t="shared" si="8"/>
        <v>-3416</v>
      </c>
      <c r="F290" s="581">
        <f t="shared" si="9"/>
        <v>-7.4792547019026559E-2</v>
      </c>
    </row>
    <row r="291" spans="1:6">
      <c r="A291" s="784" t="s">
        <v>551</v>
      </c>
      <c r="B291" s="784" t="s">
        <v>1624</v>
      </c>
      <c r="C291" s="492">
        <f>VLOOKUP(A291,'Allocation 2019-20'!$B$9:$O$321,14,FALSE)</f>
        <v>41088</v>
      </c>
      <c r="D291" s="492">
        <f>IFERROR(VLOOKUP(A291,'Allocation 2018-19'!$B$9:$O$321,14,FALSE),0)</f>
        <v>41768</v>
      </c>
      <c r="E291" s="580">
        <f t="shared" si="8"/>
        <v>-680</v>
      </c>
      <c r="F291" s="581">
        <f t="shared" si="9"/>
        <v>-1.6280406052480368E-2</v>
      </c>
    </row>
    <row r="292" spans="1:6">
      <c r="A292" s="784" t="s">
        <v>553</v>
      </c>
      <c r="B292" s="784" t="s">
        <v>639</v>
      </c>
      <c r="C292" s="492">
        <f>VLOOKUP(A292,'Allocation 2019-20'!$B$9:$O$321,14,FALSE)</f>
        <v>46009</v>
      </c>
      <c r="D292" s="492">
        <f>IFERROR(VLOOKUP(A292,'Allocation 2018-19'!$B$9:$O$321,14,FALSE),0)</f>
        <v>49303</v>
      </c>
      <c r="E292" s="580">
        <f t="shared" si="8"/>
        <v>-3294</v>
      </c>
      <c r="F292" s="581">
        <f t="shared" si="9"/>
        <v>-6.6811350222096014E-2</v>
      </c>
    </row>
    <row r="293" spans="1:6">
      <c r="A293" s="784" t="s">
        <v>555</v>
      </c>
      <c r="B293" s="784" t="s">
        <v>1625</v>
      </c>
      <c r="C293" s="492">
        <f>VLOOKUP(A293,'Allocation 2019-20'!$B$9:$O$321,14,FALSE)</f>
        <v>147590</v>
      </c>
      <c r="D293" s="492">
        <f>IFERROR(VLOOKUP(A293,'Allocation 2018-19'!$B$9:$O$321,14,FALSE),0)</f>
        <v>157781</v>
      </c>
      <c r="E293" s="580">
        <f t="shared" si="8"/>
        <v>-10191</v>
      </c>
      <c r="F293" s="581">
        <f t="shared" si="9"/>
        <v>-6.4589525988553761E-2</v>
      </c>
    </row>
    <row r="294" spans="1:6">
      <c r="A294" s="784" t="s">
        <v>557</v>
      </c>
      <c r="B294" s="784" t="s">
        <v>1626</v>
      </c>
      <c r="C294" s="492">
        <f>VLOOKUP(A294,'Allocation 2019-20'!$B$9:$O$321,14,FALSE)</f>
        <v>269475</v>
      </c>
      <c r="D294" s="492">
        <f>IFERROR(VLOOKUP(A294,'Allocation 2018-19'!$B$9:$O$321,14,FALSE),0)</f>
        <v>271363</v>
      </c>
      <c r="E294" s="580">
        <f t="shared" si="8"/>
        <v>-1888</v>
      </c>
      <c r="F294" s="581">
        <f t="shared" si="9"/>
        <v>-6.9574702520240417E-3</v>
      </c>
    </row>
    <row r="295" spans="1:6">
      <c r="A295" s="784" t="s">
        <v>559</v>
      </c>
      <c r="B295" s="784" t="s">
        <v>633</v>
      </c>
      <c r="C295" s="492">
        <f>VLOOKUP(A295,'Allocation 2019-20'!$B$9:$O$321,14,FALSE)</f>
        <v>205585</v>
      </c>
      <c r="D295" s="492">
        <f>IFERROR(VLOOKUP(A295,'Allocation 2018-19'!$B$9:$O$321,14,FALSE),0)</f>
        <v>209006</v>
      </c>
      <c r="E295" s="580">
        <f t="shared" si="8"/>
        <v>-3421</v>
      </c>
      <c r="F295" s="581">
        <f t="shared" si="9"/>
        <v>-1.6367951159296863E-2</v>
      </c>
    </row>
    <row r="296" spans="1:6">
      <c r="A296" s="784" t="s">
        <v>561</v>
      </c>
      <c r="B296" s="784" t="s">
        <v>1627</v>
      </c>
      <c r="C296" s="492">
        <f>VLOOKUP(A296,'Allocation 2019-20'!$B$9:$O$321,14,FALSE)</f>
        <v>46081</v>
      </c>
      <c r="D296" s="492">
        <f>IFERROR(VLOOKUP(A296,'Allocation 2018-19'!$B$9:$O$321,14,FALSE),0)</f>
        <v>45130</v>
      </c>
      <c r="E296" s="580">
        <f t="shared" si="8"/>
        <v>951</v>
      </c>
      <c r="F296" s="581">
        <f t="shared" si="9"/>
        <v>2.1072457345446487E-2</v>
      </c>
    </row>
    <row r="297" spans="1:6">
      <c r="A297" s="23" t="s">
        <v>563</v>
      </c>
      <c r="B297" s="788" t="s">
        <v>1628</v>
      </c>
      <c r="C297" s="492">
        <f>VLOOKUP(A297,'Allocation 2019-20'!$B$9:$O$321,14,FALSE)</f>
        <v>74176</v>
      </c>
      <c r="D297" s="492">
        <f>IFERROR(VLOOKUP(A297,'Allocation 2018-19'!$B$9:$O$321,14,FALSE),0)</f>
        <v>69985</v>
      </c>
      <c r="E297" s="580">
        <f t="shared" ref="E297:E305" si="10">C297-D297</f>
        <v>4191</v>
      </c>
      <c r="F297" s="581">
        <f t="shared" ref="F297:F305" si="11">IF(D297=0,0,E297/D297)</f>
        <v>5.9884260913052795E-2</v>
      </c>
    </row>
    <row r="298" spans="1:6">
      <c r="A298" s="36" t="s">
        <v>565</v>
      </c>
      <c r="B298" s="23" t="s">
        <v>1629</v>
      </c>
      <c r="C298" s="492">
        <f>VLOOKUP(A298,'Allocation 2019-20'!$B$9:$O$321,14,FALSE)</f>
        <v>19420</v>
      </c>
      <c r="D298" s="492">
        <f>IFERROR(VLOOKUP(A298,'Allocation 2018-19'!$B$9:$O$321,14,FALSE),0)</f>
        <v>20602</v>
      </c>
      <c r="E298" s="580">
        <f t="shared" si="10"/>
        <v>-1182</v>
      </c>
      <c r="F298" s="581">
        <f t="shared" si="11"/>
        <v>-5.7373070575672265E-2</v>
      </c>
    </row>
    <row r="299" spans="1:6">
      <c r="A299" s="36" t="s">
        <v>567</v>
      </c>
      <c r="B299" s="23" t="s">
        <v>1630</v>
      </c>
      <c r="C299" s="492">
        <f>VLOOKUP(A299,'Allocation 2019-20'!$B$9:$O$321,14,FALSE)</f>
        <v>215375</v>
      </c>
      <c r="D299" s="492">
        <f>IFERROR(VLOOKUP(A299,'Allocation 2018-19'!$B$9:$O$321,14,FALSE),0)</f>
        <v>210789</v>
      </c>
      <c r="E299" s="580">
        <f t="shared" si="10"/>
        <v>4586</v>
      </c>
      <c r="F299" s="581">
        <f t="shared" si="11"/>
        <v>2.1756353509908011E-2</v>
      </c>
    </row>
    <row r="300" spans="1:6">
      <c r="A300" s="36" t="s">
        <v>569</v>
      </c>
      <c r="B300" s="23" t="s">
        <v>1631</v>
      </c>
      <c r="C300" s="492">
        <f>VLOOKUP(A300,'Allocation 2019-20'!$B$9:$O$321,14,FALSE)</f>
        <v>48241</v>
      </c>
      <c r="D300" s="492">
        <f>IFERROR(VLOOKUP(A300,'Allocation 2018-19'!$B$9:$O$321,14,FALSE),0)</f>
        <v>46412</v>
      </c>
      <c r="E300" s="580">
        <f t="shared" si="10"/>
        <v>1829</v>
      </c>
      <c r="F300" s="581">
        <f t="shared" si="11"/>
        <v>3.9407911746961989E-2</v>
      </c>
    </row>
    <row r="301" spans="1:6">
      <c r="A301" s="36" t="s">
        <v>571</v>
      </c>
      <c r="B301" s="23" t="s">
        <v>1632</v>
      </c>
      <c r="C301" s="492">
        <f>VLOOKUP(A301,'Allocation 2019-20'!$B$9:$O$321,14,FALSE)</f>
        <v>55427</v>
      </c>
      <c r="D301" s="492">
        <f>IFERROR(VLOOKUP(A301,'Allocation 2018-19'!$B$9:$O$321,14,FALSE),0)</f>
        <v>59012</v>
      </c>
      <c r="E301" s="580">
        <f t="shared" si="10"/>
        <v>-3585</v>
      </c>
      <c r="F301" s="581">
        <f t="shared" si="11"/>
        <v>-6.075035585982512E-2</v>
      </c>
    </row>
    <row r="302" spans="1:6">
      <c r="A302" s="36" t="s">
        <v>1660</v>
      </c>
      <c r="B302" s="23" t="s">
        <v>1661</v>
      </c>
      <c r="C302" s="492">
        <f>VLOOKUP(A302,'Allocation 2019-20'!$B$9:$O$321,14,FALSE)</f>
        <v>0</v>
      </c>
      <c r="D302" s="492">
        <f>IFERROR(VLOOKUP(A302,'Allocation 2018-19'!$B$9:$O$321,14,FALSE),0)</f>
        <v>0</v>
      </c>
      <c r="E302" s="580">
        <f t="shared" si="10"/>
        <v>0</v>
      </c>
      <c r="F302" s="581">
        <f t="shared" si="11"/>
        <v>0</v>
      </c>
    </row>
    <row r="303" spans="1:6">
      <c r="A303" s="36" t="s">
        <v>1682</v>
      </c>
      <c r="B303" s="23" t="s">
        <v>1683</v>
      </c>
      <c r="C303" s="492">
        <f>VLOOKUP(A303,'Allocation 2019-20'!$B$9:$O$321,14,FALSE)</f>
        <v>0</v>
      </c>
      <c r="D303" s="492">
        <f>IFERROR(VLOOKUP(A303,'Allocation 2018-19'!$B$9:$O$321,14,FALSE),0)</f>
        <v>0</v>
      </c>
      <c r="E303" s="580">
        <f t="shared" si="10"/>
        <v>0</v>
      </c>
      <c r="F303" s="581">
        <f t="shared" si="11"/>
        <v>0</v>
      </c>
    </row>
    <row r="304" spans="1:6">
      <c r="A304" s="36" t="s">
        <v>1684</v>
      </c>
      <c r="B304" s="23" t="s">
        <v>1685</v>
      </c>
      <c r="C304" s="492">
        <f>VLOOKUP(A304,'Allocation 2019-20'!$B$9:$O$321,14,FALSE)</f>
        <v>0</v>
      </c>
      <c r="D304" s="492">
        <f>IFERROR(VLOOKUP(A304,'Allocation 2018-19'!$B$9:$O$321,14,FALSE),0)</f>
        <v>0</v>
      </c>
      <c r="E304" s="580">
        <f t="shared" si="10"/>
        <v>0</v>
      </c>
      <c r="F304" s="581">
        <f t="shared" si="11"/>
        <v>0</v>
      </c>
    </row>
    <row r="305" spans="1:6">
      <c r="A305" s="36" t="s">
        <v>1686</v>
      </c>
      <c r="B305" s="23" t="s">
        <v>1687</v>
      </c>
      <c r="C305" s="492">
        <f>VLOOKUP(A305,'Allocation 2019-20'!$B$9:$O$321,14,FALSE)</f>
        <v>10800</v>
      </c>
      <c r="D305" s="492">
        <f>IFERROR(VLOOKUP(A305,'Allocation 2018-19'!$B$9:$O$321,14,FALSE),0)</f>
        <v>10993</v>
      </c>
      <c r="E305" s="580">
        <f t="shared" si="10"/>
        <v>-193</v>
      </c>
      <c r="F305" s="581">
        <f t="shared" si="11"/>
        <v>-1.7556626944419177E-2</v>
      </c>
    </row>
    <row r="306" spans="1:6">
      <c r="A306" t="s">
        <v>1689</v>
      </c>
      <c r="B306" t="s">
        <v>1688</v>
      </c>
      <c r="C306" s="492">
        <f>VLOOKUP(A306,'Allocation 2019-20'!$B$9:$O$321,14,FALSE)</f>
        <v>0</v>
      </c>
      <c r="D306" s="492">
        <f>IFERROR(VLOOKUP(A306,'Allocation 2018-19'!$B$9:$O$321,14,FALSE),0)</f>
        <v>0</v>
      </c>
      <c r="E306" s="580">
        <f t="shared" ref="E306:E314" si="12">C306-D306</f>
        <v>0</v>
      </c>
      <c r="F306" s="581">
        <f t="shared" ref="F306:F314" si="13">IF(D306=0,0,E306/D306)</f>
        <v>0</v>
      </c>
    </row>
    <row r="307" spans="1:6">
      <c r="A307" t="s">
        <v>1690</v>
      </c>
      <c r="B307" t="s">
        <v>1695</v>
      </c>
      <c r="C307" s="492">
        <f>VLOOKUP(A307,'Allocation 2019-20'!$B$9:$O$321,14,FALSE)</f>
        <v>0</v>
      </c>
      <c r="D307" s="492">
        <f>IFERROR(VLOOKUP(A307,'Allocation 2018-19'!$B$9:$O$321,14,FALSE),0)</f>
        <v>0</v>
      </c>
      <c r="E307" s="580">
        <f t="shared" si="12"/>
        <v>0</v>
      </c>
      <c r="F307" s="581">
        <f t="shared" si="13"/>
        <v>0</v>
      </c>
    </row>
    <row r="308" spans="1:6">
      <c r="A308" t="s">
        <v>1691</v>
      </c>
      <c r="B308" t="s">
        <v>1696</v>
      </c>
      <c r="C308" s="492">
        <f>VLOOKUP(A308,'Allocation 2019-20'!$B$9:$O$321,14,FALSE)</f>
        <v>0</v>
      </c>
      <c r="D308" s="492">
        <f>IFERROR(VLOOKUP(A308,'Allocation 2018-19'!$B$9:$O$321,14,FALSE),0)</f>
        <v>0</v>
      </c>
      <c r="E308" s="580">
        <f t="shared" si="12"/>
        <v>0</v>
      </c>
      <c r="F308" s="581">
        <f t="shared" si="13"/>
        <v>0</v>
      </c>
    </row>
    <row r="309" spans="1:6">
      <c r="A309" t="s">
        <v>1701</v>
      </c>
      <c r="B309" t="s">
        <v>1697</v>
      </c>
      <c r="C309" s="492">
        <f>VLOOKUP(A309,'Allocation 2019-20'!$B$9:$O$321,14,FALSE)</f>
        <v>0</v>
      </c>
      <c r="D309" s="492">
        <f>IFERROR(VLOOKUP(A309,'Allocation 2018-19'!$B$9:$O$321,14,FALSE),0)</f>
        <v>0</v>
      </c>
      <c r="E309" s="580">
        <f t="shared" si="12"/>
        <v>0</v>
      </c>
      <c r="F309" s="581">
        <f t="shared" si="13"/>
        <v>0</v>
      </c>
    </row>
    <row r="310" spans="1:6">
      <c r="A310" t="s">
        <v>1692</v>
      </c>
      <c r="B310" t="s">
        <v>1698</v>
      </c>
      <c r="C310" s="492">
        <f>VLOOKUP(A310,'Allocation 2019-20'!$B$9:$O$321,14,FALSE)</f>
        <v>0</v>
      </c>
      <c r="D310" s="492">
        <f>IFERROR(VLOOKUP(A310,'Allocation 2018-19'!$B$9:$O$321,14,FALSE),0)</f>
        <v>0</v>
      </c>
      <c r="E310" s="580">
        <f t="shared" si="12"/>
        <v>0</v>
      </c>
      <c r="F310" s="581">
        <f t="shared" si="13"/>
        <v>0</v>
      </c>
    </row>
    <row r="311" spans="1:6">
      <c r="A311" t="s">
        <v>1693</v>
      </c>
      <c r="B311" t="s">
        <v>1699</v>
      </c>
      <c r="C311" s="492">
        <f>VLOOKUP(A311,'Allocation 2019-20'!$B$9:$O$321,14,FALSE)</f>
        <v>0</v>
      </c>
      <c r="D311" s="492">
        <f>IFERROR(VLOOKUP(A311,'Allocation 2018-19'!$B$9:$O$321,14,FALSE),0)</f>
        <v>0</v>
      </c>
      <c r="E311" s="580">
        <f t="shared" si="12"/>
        <v>0</v>
      </c>
      <c r="F311" s="581">
        <f t="shared" si="13"/>
        <v>0</v>
      </c>
    </row>
    <row r="312" spans="1:6">
      <c r="A312" t="s">
        <v>1694</v>
      </c>
      <c r="B312" t="s">
        <v>1700</v>
      </c>
      <c r="C312" s="492">
        <f>VLOOKUP(A312,'Allocation 2019-20'!$B$9:$O$321,14,FALSE)</f>
        <v>0</v>
      </c>
      <c r="D312" s="492">
        <f>IFERROR(VLOOKUP(A312,'Allocation 2018-19'!$B$9:$O$321,14,FALSE),0)</f>
        <v>0</v>
      </c>
      <c r="E312" s="580">
        <f t="shared" si="12"/>
        <v>0</v>
      </c>
      <c r="F312" s="581">
        <f t="shared" si="13"/>
        <v>0</v>
      </c>
    </row>
    <row r="313" spans="1:6">
      <c r="A313" t="s">
        <v>1715</v>
      </c>
      <c r="B313" t="s">
        <v>1718</v>
      </c>
      <c r="C313" s="492">
        <f>VLOOKUP(A313,'Allocation 2019-20'!$B$9:$O$321,14,FALSE)</f>
        <v>0</v>
      </c>
      <c r="D313" s="492">
        <f>IFERROR(VLOOKUP(A313,'Allocation 2018-19'!$B$9:$O$321,14,FALSE),0)</f>
        <v>0</v>
      </c>
      <c r="E313" s="580">
        <f t="shared" si="12"/>
        <v>0</v>
      </c>
      <c r="F313" s="581">
        <f t="shared" si="13"/>
        <v>0</v>
      </c>
    </row>
    <row r="314" spans="1:6">
      <c r="A314" t="s">
        <v>1717</v>
      </c>
      <c r="B314" t="s">
        <v>1719</v>
      </c>
      <c r="C314" s="492">
        <f>VLOOKUP(A314,'Allocation 2019-20'!$B$9:$O$321,14,FALSE)</f>
        <v>0</v>
      </c>
      <c r="D314" s="492">
        <f>IFERROR(VLOOKUP(A314,'Allocation 2018-19'!$B$9:$O$321,14,FALSE),0)</f>
        <v>0</v>
      </c>
      <c r="E314" s="580">
        <f t="shared" si="12"/>
        <v>0</v>
      </c>
      <c r="F314" s="581">
        <f t="shared" si="13"/>
        <v>0</v>
      </c>
    </row>
  </sheetData>
  <autoFilter ref="A1:F1" xr:uid="{00000000-0009-0000-0000-000016000000}">
    <sortState xmlns:xlrd2="http://schemas.microsoft.com/office/spreadsheetml/2017/richdata2" ref="A2:F296">
      <sortCondition descending="1" ref="F1"/>
    </sortState>
  </autoFilter>
  <conditionalFormatting sqref="B2:B305">
    <cfRule type="expression" dxfId="6" priority="1">
      <formula>AND($O2&lt;10000,$O2&gt;0,$K2="Y")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297"/>
  <sheetViews>
    <sheetView workbookViewId="0">
      <pane ySplit="1" topLeftCell="A2" activePane="bottomLeft" state="frozen"/>
      <selection pane="bottomLeft" activeCell="E2" sqref="E2"/>
    </sheetView>
  </sheetViews>
  <sheetFormatPr defaultColWidth="9.140625" defaultRowHeight="15"/>
  <cols>
    <col min="1" max="1" width="8.5703125" style="708" bestFit="1" customWidth="1"/>
    <col min="2" max="2" width="20.5703125" style="708" bestFit="1" customWidth="1"/>
    <col min="3" max="3" width="9" style="708" bestFit="1" customWidth="1"/>
    <col min="4" max="4" width="9" style="708" customWidth="1"/>
    <col min="5" max="5" width="14.42578125" style="708" customWidth="1"/>
    <col min="6" max="6" width="15" style="708" customWidth="1"/>
    <col min="7" max="16384" width="9.140625" style="708"/>
  </cols>
  <sheetData>
    <row r="1" spans="1:8">
      <c r="A1" s="705" t="s">
        <v>709</v>
      </c>
      <c r="B1" s="705" t="s">
        <v>578</v>
      </c>
      <c r="C1" s="706" t="s">
        <v>885</v>
      </c>
      <c r="D1" s="706" t="s">
        <v>833</v>
      </c>
      <c r="E1" s="706" t="s">
        <v>755</v>
      </c>
      <c r="F1" s="707" t="s">
        <v>1349</v>
      </c>
      <c r="G1" s="707"/>
      <c r="H1" s="707"/>
    </row>
    <row r="2" spans="1:8">
      <c r="A2" s="709" t="s">
        <v>434</v>
      </c>
      <c r="B2" s="709" t="s">
        <v>435</v>
      </c>
      <c r="C2" s="710">
        <v>51165</v>
      </c>
      <c r="D2" s="710">
        <v>1</v>
      </c>
      <c r="E2" s="707" t="s">
        <v>781</v>
      </c>
      <c r="F2" s="707"/>
      <c r="G2" s="707"/>
      <c r="H2" s="707"/>
    </row>
    <row r="3" spans="1:8">
      <c r="A3" s="709" t="s">
        <v>175</v>
      </c>
      <c r="B3" s="709" t="s">
        <v>176</v>
      </c>
      <c r="C3" s="710">
        <v>520817</v>
      </c>
      <c r="D3" s="710">
        <v>1</v>
      </c>
      <c r="E3" s="707" t="s">
        <v>781</v>
      </c>
      <c r="F3" s="707"/>
      <c r="G3" s="707"/>
      <c r="H3" s="707"/>
    </row>
    <row r="4" spans="1:8">
      <c r="A4" s="709" t="s">
        <v>422</v>
      </c>
      <c r="B4" s="709" t="s">
        <v>423</v>
      </c>
      <c r="C4" s="710">
        <v>230413</v>
      </c>
      <c r="D4" s="710">
        <v>1</v>
      </c>
      <c r="E4" s="707" t="s">
        <v>781</v>
      </c>
      <c r="F4" s="707"/>
      <c r="G4" s="707"/>
      <c r="H4" s="707"/>
    </row>
    <row r="5" spans="1:8">
      <c r="A5" s="709" t="s">
        <v>321</v>
      </c>
      <c r="B5" s="709" t="s">
        <v>322</v>
      </c>
      <c r="C5" s="710">
        <v>27880</v>
      </c>
      <c r="D5" s="710">
        <v>1</v>
      </c>
      <c r="E5" s="707" t="s">
        <v>781</v>
      </c>
      <c r="F5" s="707"/>
      <c r="G5" s="707"/>
      <c r="H5" s="707"/>
    </row>
    <row r="6" spans="1:8">
      <c r="A6" s="709" t="s">
        <v>207</v>
      </c>
      <c r="B6" s="709" t="s">
        <v>208</v>
      </c>
      <c r="C6" s="710">
        <v>760729</v>
      </c>
      <c r="D6" s="710">
        <v>2</v>
      </c>
      <c r="E6" s="707" t="s">
        <v>781</v>
      </c>
      <c r="F6" s="707"/>
      <c r="G6" s="707"/>
      <c r="H6" s="707"/>
    </row>
    <row r="7" spans="1:8">
      <c r="A7" s="709" t="s">
        <v>157</v>
      </c>
      <c r="B7" s="709" t="s">
        <v>158</v>
      </c>
      <c r="C7" s="710">
        <v>20903</v>
      </c>
      <c r="D7" s="710">
        <v>2</v>
      </c>
      <c r="E7" s="707" t="s">
        <v>781</v>
      </c>
      <c r="F7" s="707"/>
      <c r="G7" s="707"/>
      <c r="H7" s="707"/>
    </row>
    <row r="8" spans="1:8">
      <c r="A8" s="709" t="s">
        <v>185</v>
      </c>
      <c r="B8" s="709" t="s">
        <v>186</v>
      </c>
      <c r="C8" s="710">
        <v>369115</v>
      </c>
      <c r="D8" s="710">
        <v>3</v>
      </c>
      <c r="E8" s="707" t="s">
        <v>781</v>
      </c>
      <c r="F8" s="707"/>
      <c r="G8" s="707"/>
      <c r="H8" s="707"/>
    </row>
    <row r="9" spans="1:8">
      <c r="A9" s="709" t="s">
        <v>203</v>
      </c>
      <c r="B9" s="709" t="s">
        <v>204</v>
      </c>
      <c r="C9" s="710">
        <v>97540</v>
      </c>
      <c r="D9" s="710">
        <v>3</v>
      </c>
      <c r="E9" s="707" t="s">
        <v>781</v>
      </c>
      <c r="F9" s="707"/>
      <c r="G9" s="707"/>
      <c r="H9" s="707"/>
    </row>
    <row r="10" spans="1:8">
      <c r="A10" s="709" t="s">
        <v>399</v>
      </c>
      <c r="B10" s="709" t="s">
        <v>400</v>
      </c>
      <c r="C10" s="710">
        <v>408371</v>
      </c>
      <c r="D10" s="710">
        <v>6</v>
      </c>
      <c r="E10" s="707" t="s">
        <v>781</v>
      </c>
      <c r="F10" s="707"/>
      <c r="G10" s="707"/>
      <c r="H10" s="707"/>
    </row>
    <row r="11" spans="1:8">
      <c r="A11" s="709" t="s">
        <v>401</v>
      </c>
      <c r="B11" s="709" t="s">
        <v>402</v>
      </c>
      <c r="C11" s="710">
        <v>341177</v>
      </c>
      <c r="D11" s="710">
        <v>8</v>
      </c>
      <c r="E11" s="707" t="s">
        <v>781</v>
      </c>
      <c r="F11" s="707"/>
      <c r="G11" s="707"/>
      <c r="H11" s="707"/>
    </row>
    <row r="12" spans="1:8">
      <c r="A12" s="709" t="s">
        <v>504</v>
      </c>
      <c r="B12" s="709" t="s">
        <v>505</v>
      </c>
      <c r="C12" s="710">
        <v>104265</v>
      </c>
      <c r="D12" s="710">
        <v>15</v>
      </c>
      <c r="E12" s="707" t="s">
        <v>781</v>
      </c>
      <c r="F12" s="707"/>
      <c r="G12" s="707"/>
      <c r="H12" s="707"/>
    </row>
    <row r="13" spans="1:8">
      <c r="A13" s="709" t="s">
        <v>395</v>
      </c>
      <c r="B13" s="709" t="s">
        <v>396</v>
      </c>
      <c r="C13" s="710">
        <v>328513</v>
      </c>
      <c r="D13" s="710">
        <v>15</v>
      </c>
      <c r="E13" s="707" t="s">
        <v>781</v>
      </c>
      <c r="F13" s="707"/>
      <c r="G13" s="707"/>
      <c r="H13" s="707"/>
    </row>
    <row r="14" spans="1:8">
      <c r="A14" s="709" t="s">
        <v>432</v>
      </c>
      <c r="B14" s="709" t="s">
        <v>433</v>
      </c>
      <c r="C14" s="710">
        <v>38697</v>
      </c>
      <c r="D14" s="710">
        <v>15</v>
      </c>
      <c r="E14" s="707" t="s">
        <v>781</v>
      </c>
      <c r="F14" s="707"/>
      <c r="G14" s="707"/>
      <c r="H14" s="707"/>
    </row>
    <row r="15" spans="1:8">
      <c r="A15" s="709" t="s">
        <v>189</v>
      </c>
      <c r="B15" s="709" t="s">
        <v>190</v>
      </c>
      <c r="C15" s="710">
        <v>317388</v>
      </c>
      <c r="D15" s="710">
        <v>17</v>
      </c>
      <c r="E15" s="707" t="s">
        <v>781</v>
      </c>
      <c r="F15" s="707"/>
      <c r="G15" s="707"/>
      <c r="H15" s="707"/>
    </row>
    <row r="16" spans="1:8">
      <c r="A16" s="709" t="s">
        <v>132</v>
      </c>
      <c r="B16" s="709" t="s">
        <v>133</v>
      </c>
      <c r="C16" s="710">
        <v>57638</v>
      </c>
      <c r="D16" s="710">
        <v>21</v>
      </c>
      <c r="E16" s="707" t="s">
        <v>781</v>
      </c>
      <c r="F16" s="707"/>
      <c r="G16" s="707"/>
      <c r="H16" s="707"/>
    </row>
    <row r="17" spans="1:8">
      <c r="A17" s="709" t="s">
        <v>173</v>
      </c>
      <c r="B17" s="709" t="s">
        <v>174</v>
      </c>
      <c r="C17" s="710">
        <v>983525</v>
      </c>
      <c r="D17" s="710">
        <v>35</v>
      </c>
      <c r="E17" s="707" t="s">
        <v>781</v>
      </c>
      <c r="F17" s="707"/>
      <c r="G17" s="707"/>
      <c r="H17" s="707"/>
    </row>
    <row r="18" spans="1:8">
      <c r="A18" s="709" t="s">
        <v>345</v>
      </c>
      <c r="B18" s="709" t="s">
        <v>346</v>
      </c>
      <c r="C18" s="710">
        <v>398956</v>
      </c>
      <c r="D18" s="710">
        <v>36</v>
      </c>
      <c r="E18" s="707" t="s">
        <v>781</v>
      </c>
      <c r="F18" s="707"/>
      <c r="G18" s="707"/>
      <c r="H18" s="707"/>
    </row>
    <row r="19" spans="1:8">
      <c r="A19" s="709" t="s">
        <v>37</v>
      </c>
      <c r="B19" s="709" t="s">
        <v>38</v>
      </c>
      <c r="C19" s="710">
        <v>257200</v>
      </c>
      <c r="D19" s="710">
        <v>48</v>
      </c>
      <c r="E19" s="707" t="s">
        <v>781</v>
      </c>
      <c r="F19" s="707"/>
      <c r="G19" s="707"/>
      <c r="H19" s="707"/>
    </row>
    <row r="20" spans="1:8">
      <c r="A20" s="709" t="s">
        <v>403</v>
      </c>
      <c r="B20" s="709" t="s">
        <v>404</v>
      </c>
      <c r="C20" s="710">
        <v>30879</v>
      </c>
      <c r="D20" s="710"/>
      <c r="E20" s="707" t="s">
        <v>781</v>
      </c>
      <c r="F20" s="707"/>
      <c r="G20" s="707"/>
      <c r="H20" s="707"/>
    </row>
    <row r="21" spans="1:8">
      <c r="A21" s="709" t="s">
        <v>195</v>
      </c>
      <c r="B21" s="709" t="s">
        <v>196</v>
      </c>
      <c r="C21" s="710">
        <v>331623</v>
      </c>
      <c r="D21" s="710"/>
      <c r="E21" s="707" t="s">
        <v>781</v>
      </c>
      <c r="F21" s="707"/>
      <c r="G21" s="707"/>
      <c r="H21" s="707"/>
    </row>
    <row r="22" spans="1:8">
      <c r="A22" s="709" t="s">
        <v>62</v>
      </c>
      <c r="B22" s="709" t="s">
        <v>63</v>
      </c>
      <c r="C22" s="710">
        <v>111773</v>
      </c>
      <c r="D22" s="710"/>
      <c r="E22" s="707" t="s">
        <v>781</v>
      </c>
      <c r="F22" s="707"/>
      <c r="G22" s="707"/>
      <c r="H22" s="707"/>
    </row>
    <row r="23" spans="1:8">
      <c r="A23" s="709" t="s">
        <v>363</v>
      </c>
      <c r="B23" s="709" t="s">
        <v>364</v>
      </c>
      <c r="C23" s="710">
        <v>47692</v>
      </c>
      <c r="D23" s="710"/>
      <c r="E23" s="707" t="s">
        <v>781</v>
      </c>
      <c r="F23" s="707"/>
      <c r="G23" s="707"/>
      <c r="H23" s="707"/>
    </row>
    <row r="24" spans="1:8">
      <c r="A24" s="709" t="s">
        <v>508</v>
      </c>
      <c r="B24" s="709" t="s">
        <v>509</v>
      </c>
      <c r="C24" s="710">
        <v>13926</v>
      </c>
      <c r="D24" s="710"/>
      <c r="E24" s="707" t="s">
        <v>781</v>
      </c>
      <c r="F24" s="707"/>
      <c r="G24" s="707"/>
      <c r="H24" s="707"/>
    </row>
    <row r="25" spans="1:8">
      <c r="A25" s="709" t="s">
        <v>211</v>
      </c>
      <c r="B25" s="709" t="s">
        <v>212</v>
      </c>
      <c r="C25" s="710">
        <v>24882</v>
      </c>
      <c r="D25" s="710"/>
      <c r="E25" s="707" t="s">
        <v>781</v>
      </c>
      <c r="F25" s="707"/>
      <c r="G25" s="707"/>
      <c r="H25" s="707"/>
    </row>
    <row r="26" spans="1:8">
      <c r="A26" s="709" t="s">
        <v>315</v>
      </c>
      <c r="B26" s="709" t="s">
        <v>316</v>
      </c>
      <c r="C26" s="710">
        <v>67137</v>
      </c>
      <c r="D26" s="710"/>
      <c r="E26" s="707" t="s">
        <v>781</v>
      </c>
      <c r="F26" s="707"/>
      <c r="G26" s="707"/>
      <c r="H26" s="707"/>
    </row>
    <row r="27" spans="1:8">
      <c r="A27" s="709" t="s">
        <v>84</v>
      </c>
      <c r="B27" s="709" t="s">
        <v>85</v>
      </c>
      <c r="C27" s="710">
        <v>53014</v>
      </c>
      <c r="D27" s="710"/>
      <c r="E27" s="707" t="s">
        <v>781</v>
      </c>
      <c r="F27" s="707"/>
      <c r="G27" s="707"/>
      <c r="H27" s="707"/>
    </row>
    <row r="28" spans="1:8">
      <c r="A28" s="709" t="s">
        <v>378</v>
      </c>
      <c r="B28" s="709" t="s">
        <v>602</v>
      </c>
      <c r="C28" s="710">
        <v>111101</v>
      </c>
      <c r="D28" s="710"/>
      <c r="E28" s="707" t="s">
        <v>781</v>
      </c>
      <c r="F28" s="707"/>
      <c r="G28" s="707"/>
      <c r="H28" s="707"/>
    </row>
    <row r="29" spans="1:8">
      <c r="A29" s="709" t="s">
        <v>60</v>
      </c>
      <c r="B29" s="709" t="s">
        <v>61</v>
      </c>
      <c r="C29" s="710">
        <v>18213</v>
      </c>
      <c r="D29" s="710"/>
      <c r="E29" s="707" t="s">
        <v>781</v>
      </c>
      <c r="F29" s="707"/>
      <c r="G29" s="707"/>
      <c r="H29" s="707"/>
    </row>
    <row r="30" spans="1:8">
      <c r="A30" s="709" t="s">
        <v>35</v>
      </c>
      <c r="B30" s="709" t="s">
        <v>36</v>
      </c>
      <c r="C30" s="710">
        <v>29477</v>
      </c>
      <c r="D30" s="710"/>
      <c r="E30" s="707" t="s">
        <v>781</v>
      </c>
      <c r="F30" s="707"/>
      <c r="G30" s="707"/>
      <c r="H30" s="707"/>
    </row>
    <row r="31" spans="1:8">
      <c r="A31" s="709" t="s">
        <v>33</v>
      </c>
      <c r="B31" s="709" t="s">
        <v>34</v>
      </c>
      <c r="C31" s="710">
        <v>36987</v>
      </c>
      <c r="D31" s="710"/>
      <c r="E31" s="707" t="s">
        <v>781</v>
      </c>
      <c r="F31" s="707"/>
      <c r="G31" s="707"/>
      <c r="H31" s="707"/>
    </row>
    <row r="32" spans="1:8">
      <c r="A32" s="709" t="s">
        <v>216</v>
      </c>
      <c r="B32" s="709" t="s">
        <v>217</v>
      </c>
      <c r="C32" s="710">
        <v>37547</v>
      </c>
      <c r="D32" s="710"/>
      <c r="E32" s="707" t="s">
        <v>781</v>
      </c>
      <c r="F32" s="707"/>
      <c r="G32" s="707"/>
      <c r="H32" s="707"/>
    </row>
    <row r="33" spans="1:8">
      <c r="A33" s="709" t="s">
        <v>278</v>
      </c>
      <c r="B33" s="709" t="s">
        <v>279</v>
      </c>
      <c r="C33" s="710">
        <v>50605</v>
      </c>
      <c r="D33" s="710"/>
      <c r="E33" s="707" t="s">
        <v>781</v>
      </c>
      <c r="F33" s="707"/>
      <c r="G33" s="707"/>
      <c r="H33" s="707"/>
    </row>
    <row r="34" spans="1:8">
      <c r="A34" s="709" t="s">
        <v>274</v>
      </c>
      <c r="B34" s="709" t="s">
        <v>275</v>
      </c>
      <c r="C34" s="710">
        <v>14487</v>
      </c>
      <c r="D34" s="710"/>
      <c r="E34" s="707" t="s">
        <v>781</v>
      </c>
      <c r="F34" s="707"/>
      <c r="G34" s="707"/>
      <c r="H34" s="707"/>
    </row>
    <row r="35" spans="1:8">
      <c r="A35" s="709" t="s">
        <v>438</v>
      </c>
      <c r="B35" s="709" t="s">
        <v>439</v>
      </c>
      <c r="C35" s="710">
        <v>15943</v>
      </c>
      <c r="D35" s="710"/>
      <c r="E35" s="707" t="s">
        <v>781</v>
      </c>
      <c r="F35" s="707"/>
      <c r="G35" s="707"/>
      <c r="H35" s="707"/>
    </row>
    <row r="36" spans="1:8">
      <c r="A36" s="709" t="s">
        <v>357</v>
      </c>
      <c r="B36" s="709" t="s">
        <v>358</v>
      </c>
      <c r="C36" s="710">
        <v>218757</v>
      </c>
      <c r="D36" s="710"/>
      <c r="E36" s="707" t="s">
        <v>781</v>
      </c>
      <c r="F36" s="707"/>
      <c r="G36" s="707"/>
      <c r="H36" s="707"/>
    </row>
    <row r="37" spans="1:8">
      <c r="A37" s="709" t="s">
        <v>494</v>
      </c>
      <c r="B37" s="709" t="s">
        <v>495</v>
      </c>
      <c r="C37" s="710">
        <v>31215</v>
      </c>
      <c r="D37" s="710"/>
      <c r="E37" s="707" t="s">
        <v>781</v>
      </c>
      <c r="F37" s="707"/>
      <c r="G37" s="707"/>
      <c r="H37" s="707"/>
    </row>
    <row r="38" spans="1:8">
      <c r="A38" s="709" t="s">
        <v>498</v>
      </c>
      <c r="B38" s="709" t="s">
        <v>499</v>
      </c>
      <c r="C38" s="710">
        <v>19894</v>
      </c>
      <c r="D38" s="710"/>
      <c r="E38" s="707" t="s">
        <v>781</v>
      </c>
      <c r="F38" s="707"/>
      <c r="G38" s="711"/>
      <c r="H38" s="707"/>
    </row>
    <row r="39" spans="1:8">
      <c r="A39" s="709" t="s">
        <v>440</v>
      </c>
      <c r="B39" s="709" t="s">
        <v>674</v>
      </c>
      <c r="C39" s="710">
        <v>16532</v>
      </c>
      <c r="D39" s="710"/>
      <c r="E39" s="707" t="s">
        <v>781</v>
      </c>
      <c r="F39" s="707"/>
      <c r="G39" s="707"/>
      <c r="H39" s="707"/>
    </row>
    <row r="40" spans="1:8">
      <c r="A40" s="709" t="s">
        <v>549</v>
      </c>
      <c r="B40" s="709" t="s">
        <v>550</v>
      </c>
      <c r="C40" s="710">
        <v>54220</v>
      </c>
      <c r="D40" s="710"/>
      <c r="E40" s="707" t="s">
        <v>781</v>
      </c>
      <c r="F40" s="707"/>
      <c r="G40" s="707"/>
      <c r="H40" s="707"/>
    </row>
    <row r="41" spans="1:8">
      <c r="A41" s="709" t="s">
        <v>88</v>
      </c>
      <c r="B41" s="709" t="s">
        <v>89</v>
      </c>
      <c r="C41" s="710">
        <v>158569</v>
      </c>
      <c r="D41" s="710"/>
      <c r="E41" s="707" t="s">
        <v>781</v>
      </c>
      <c r="F41" s="707"/>
      <c r="G41" s="707"/>
      <c r="H41" s="707"/>
    </row>
    <row r="42" spans="1:8">
      <c r="A42" s="709" t="s">
        <v>226</v>
      </c>
      <c r="B42" s="709" t="s">
        <v>227</v>
      </c>
      <c r="C42" s="710">
        <v>34633</v>
      </c>
      <c r="D42" s="710"/>
      <c r="E42" s="707" t="s">
        <v>781</v>
      </c>
      <c r="F42" s="707"/>
      <c r="G42" s="707"/>
      <c r="H42" s="707"/>
    </row>
    <row r="43" spans="1:8">
      <c r="A43" s="709" t="s">
        <v>177</v>
      </c>
      <c r="B43" s="709" t="s">
        <v>178</v>
      </c>
      <c r="C43" s="710">
        <v>31187</v>
      </c>
      <c r="D43" s="710"/>
      <c r="E43" s="707" t="s">
        <v>781</v>
      </c>
      <c r="F43" s="707"/>
      <c r="G43" s="707"/>
      <c r="H43" s="707"/>
    </row>
    <row r="44" spans="1:8">
      <c r="A44" s="709" t="s">
        <v>127</v>
      </c>
      <c r="B44" s="709" t="s">
        <v>128</v>
      </c>
      <c r="C44" s="710">
        <v>35054</v>
      </c>
      <c r="D44" s="710"/>
      <c r="E44" s="707" t="s">
        <v>781</v>
      </c>
      <c r="F44" s="707"/>
      <c r="G44" s="707"/>
      <c r="H44" s="707"/>
    </row>
    <row r="45" spans="1:8">
      <c r="A45" s="709" t="s">
        <v>58</v>
      </c>
      <c r="B45" s="709" t="s">
        <v>59</v>
      </c>
      <c r="C45" s="710">
        <v>454324</v>
      </c>
      <c r="D45" s="710"/>
      <c r="E45" s="707" t="s">
        <v>781</v>
      </c>
      <c r="F45" s="707"/>
      <c r="G45" s="707"/>
      <c r="H45" s="707"/>
    </row>
    <row r="46" spans="1:8">
      <c r="A46" s="709" t="s">
        <v>506</v>
      </c>
      <c r="B46" s="709" t="s">
        <v>507</v>
      </c>
      <c r="C46" s="710">
        <v>39480</v>
      </c>
      <c r="D46" s="710"/>
      <c r="E46" s="707" t="s">
        <v>781</v>
      </c>
      <c r="F46" s="707"/>
      <c r="G46" s="707"/>
      <c r="H46" s="707"/>
    </row>
    <row r="47" spans="1:8">
      <c r="A47" s="709" t="s">
        <v>369</v>
      </c>
      <c r="B47" s="709" t="s">
        <v>370</v>
      </c>
      <c r="C47" s="710">
        <v>58983</v>
      </c>
      <c r="D47" s="710"/>
      <c r="E47" s="707" t="s">
        <v>781</v>
      </c>
      <c r="F47" s="707"/>
      <c r="G47" s="707"/>
      <c r="H47" s="707"/>
    </row>
    <row r="48" spans="1:8">
      <c r="A48" s="709" t="s">
        <v>19</v>
      </c>
      <c r="B48" s="709" t="s">
        <v>20</v>
      </c>
      <c r="C48" s="710">
        <v>22557</v>
      </c>
      <c r="D48" s="710"/>
      <c r="E48" s="707" t="s">
        <v>781</v>
      </c>
      <c r="F48" s="707"/>
      <c r="G48" s="707"/>
      <c r="H48" s="707"/>
    </row>
    <row r="49" spans="1:8">
      <c r="A49" s="709" t="s">
        <v>361</v>
      </c>
      <c r="B49" s="709" t="s">
        <v>362</v>
      </c>
      <c r="C49" s="710">
        <v>98633</v>
      </c>
      <c r="D49" s="710"/>
      <c r="E49" s="707" t="s">
        <v>781</v>
      </c>
      <c r="F49" s="707"/>
      <c r="G49" s="707"/>
      <c r="H49" s="707"/>
    </row>
    <row r="50" spans="1:8">
      <c r="A50" s="709" t="s">
        <v>555</v>
      </c>
      <c r="B50" s="709" t="s">
        <v>556</v>
      </c>
      <c r="C50" s="710">
        <v>182889</v>
      </c>
      <c r="D50" s="710"/>
      <c r="E50" s="707" t="s">
        <v>781</v>
      </c>
      <c r="F50" s="707"/>
      <c r="G50" s="707"/>
      <c r="H50" s="707"/>
    </row>
    <row r="51" spans="1:8">
      <c r="A51" s="709" t="s">
        <v>563</v>
      </c>
      <c r="B51" s="709" t="s">
        <v>564</v>
      </c>
      <c r="C51" s="710">
        <v>96390</v>
      </c>
      <c r="D51" s="710"/>
      <c r="E51" s="707" t="s">
        <v>781</v>
      </c>
      <c r="F51" s="707"/>
      <c r="G51" s="707"/>
      <c r="H51" s="707"/>
    </row>
    <row r="52" spans="1:8">
      <c r="A52" s="709" t="s">
        <v>561</v>
      </c>
      <c r="B52" s="709" t="s">
        <v>562</v>
      </c>
      <c r="C52" s="710">
        <v>45561</v>
      </c>
      <c r="D52" s="710"/>
      <c r="E52" s="707" t="s">
        <v>781</v>
      </c>
      <c r="F52" s="707"/>
      <c r="G52" s="707"/>
      <c r="H52" s="707"/>
    </row>
    <row r="53" spans="1:8">
      <c r="A53" s="709" t="s">
        <v>181</v>
      </c>
      <c r="B53" s="709" t="s">
        <v>182</v>
      </c>
      <c r="C53" s="710">
        <v>698300</v>
      </c>
      <c r="D53" s="710"/>
      <c r="E53" s="707" t="s">
        <v>781</v>
      </c>
      <c r="F53" s="707"/>
      <c r="G53" s="707"/>
      <c r="H53" s="707"/>
    </row>
    <row r="54" spans="1:8">
      <c r="A54" s="709" t="s">
        <v>201</v>
      </c>
      <c r="B54" s="709" t="s">
        <v>202</v>
      </c>
      <c r="C54" s="710">
        <v>129594</v>
      </c>
      <c r="D54" s="710"/>
      <c r="E54" s="707" t="s">
        <v>781</v>
      </c>
      <c r="F54" s="707"/>
      <c r="G54" s="707"/>
      <c r="H54" s="707"/>
    </row>
    <row r="55" spans="1:8">
      <c r="A55" s="709" t="s">
        <v>80</v>
      </c>
      <c r="B55" s="709" t="s">
        <v>81</v>
      </c>
      <c r="C55" s="710">
        <v>38024</v>
      </c>
      <c r="D55" s="710"/>
      <c r="E55" s="707" t="s">
        <v>781</v>
      </c>
      <c r="F55" s="707"/>
      <c r="G55" s="707"/>
      <c r="H55" s="707"/>
    </row>
    <row r="56" spans="1:8">
      <c r="A56" s="709" t="s">
        <v>14</v>
      </c>
      <c r="B56" s="709" t="s">
        <v>15</v>
      </c>
      <c r="C56" s="710">
        <v>350592</v>
      </c>
      <c r="D56" s="710"/>
      <c r="E56" s="707" t="s">
        <v>781</v>
      </c>
      <c r="F56" s="707"/>
      <c r="G56" s="707"/>
      <c r="H56" s="707"/>
    </row>
    <row r="57" spans="1:8">
      <c r="A57" s="709" t="s">
        <v>18</v>
      </c>
      <c r="B57" s="709" t="s">
        <v>608</v>
      </c>
      <c r="C57" s="710">
        <v>41779</v>
      </c>
      <c r="D57" s="710"/>
      <c r="E57" s="707" t="s">
        <v>781</v>
      </c>
      <c r="F57" s="707"/>
      <c r="G57" s="707"/>
      <c r="H57" s="707"/>
    </row>
    <row r="58" spans="1:8">
      <c r="A58" s="709" t="s">
        <v>31</v>
      </c>
      <c r="B58" s="709" t="s">
        <v>32</v>
      </c>
      <c r="C58" s="710">
        <v>56237</v>
      </c>
      <c r="D58" s="710"/>
      <c r="E58" s="707" t="s">
        <v>781</v>
      </c>
      <c r="F58" s="707"/>
      <c r="G58" s="707"/>
      <c r="H58" s="707"/>
    </row>
    <row r="59" spans="1:8">
      <c r="A59" s="709" t="s">
        <v>397</v>
      </c>
      <c r="B59" s="709" t="s">
        <v>398</v>
      </c>
      <c r="C59" s="710">
        <v>45506</v>
      </c>
      <c r="D59" s="710"/>
      <c r="E59" s="707" t="s">
        <v>781</v>
      </c>
      <c r="F59" s="707"/>
      <c r="G59" s="707"/>
      <c r="H59" s="707"/>
    </row>
    <row r="60" spans="1:8">
      <c r="A60" s="709" t="s">
        <v>205</v>
      </c>
      <c r="B60" s="709" t="s">
        <v>206</v>
      </c>
      <c r="C60" s="710">
        <v>255182</v>
      </c>
      <c r="D60" s="710"/>
      <c r="E60" s="707" t="s">
        <v>781</v>
      </c>
      <c r="F60" s="707"/>
      <c r="G60" s="707"/>
      <c r="H60" s="707"/>
    </row>
    <row r="61" spans="1:8">
      <c r="A61" s="709" t="s">
        <v>413</v>
      </c>
      <c r="B61" s="709" t="s">
        <v>414</v>
      </c>
      <c r="C61" s="710">
        <v>12273</v>
      </c>
      <c r="D61" s="710"/>
      <c r="E61" s="707" t="s">
        <v>781</v>
      </c>
      <c r="F61" s="707"/>
      <c r="G61" s="707"/>
      <c r="H61" s="707"/>
    </row>
    <row r="62" spans="1:8">
      <c r="A62" s="709" t="s">
        <v>70</v>
      </c>
      <c r="B62" s="709" t="s">
        <v>71</v>
      </c>
      <c r="C62" s="710">
        <v>57162</v>
      </c>
      <c r="D62" s="710"/>
      <c r="E62" s="707" t="s">
        <v>781</v>
      </c>
      <c r="F62" s="707"/>
      <c r="G62" s="707"/>
      <c r="H62" s="707"/>
    </row>
    <row r="63" spans="1:8">
      <c r="A63" s="709" t="s">
        <v>510</v>
      </c>
      <c r="B63" s="709" t="s">
        <v>511</v>
      </c>
      <c r="C63" s="710">
        <v>38584</v>
      </c>
      <c r="D63" s="710"/>
      <c r="E63" s="707" t="s">
        <v>781</v>
      </c>
      <c r="F63" s="707"/>
      <c r="G63" s="707"/>
      <c r="H63" s="707"/>
    </row>
    <row r="64" spans="1:8">
      <c r="A64" s="709" t="s">
        <v>553</v>
      </c>
      <c r="B64" s="709" t="s">
        <v>554</v>
      </c>
      <c r="C64" s="710">
        <v>57330</v>
      </c>
      <c r="D64" s="710"/>
      <c r="E64" s="707" t="s">
        <v>781</v>
      </c>
      <c r="F64" s="707"/>
      <c r="G64" s="707"/>
      <c r="H64" s="707"/>
    </row>
    <row r="65" spans="1:8">
      <c r="A65" s="709" t="s">
        <v>25</v>
      </c>
      <c r="B65" s="709" t="s">
        <v>26</v>
      </c>
      <c r="C65" s="710">
        <v>36315</v>
      </c>
      <c r="D65" s="710"/>
      <c r="E65" s="707" t="s">
        <v>781</v>
      </c>
      <c r="F65" s="707"/>
      <c r="G65" s="707"/>
      <c r="H65" s="707"/>
    </row>
    <row r="66" spans="1:8">
      <c r="A66" s="709" t="s">
        <v>405</v>
      </c>
      <c r="B66" s="709" t="s">
        <v>406</v>
      </c>
      <c r="C66" s="710">
        <v>120628</v>
      </c>
      <c r="D66" s="710"/>
      <c r="E66" s="707" t="s">
        <v>781</v>
      </c>
      <c r="F66" s="707"/>
      <c r="G66" s="707"/>
      <c r="H66" s="707"/>
    </row>
    <row r="67" spans="1:8">
      <c r="A67" s="709" t="s">
        <v>179</v>
      </c>
      <c r="B67" s="709" t="s">
        <v>180</v>
      </c>
      <c r="C67" s="710">
        <v>16784</v>
      </c>
      <c r="D67" s="710"/>
      <c r="E67" s="707" t="s">
        <v>781</v>
      </c>
      <c r="F67" s="707"/>
      <c r="G67" s="707"/>
      <c r="H67" s="707"/>
    </row>
    <row r="68" spans="1:8">
      <c r="A68" s="709" t="s">
        <v>512</v>
      </c>
      <c r="B68" s="709" t="s">
        <v>513</v>
      </c>
      <c r="C68" s="710">
        <v>17597</v>
      </c>
      <c r="D68" s="710"/>
      <c r="E68" s="707" t="s">
        <v>781</v>
      </c>
      <c r="F68" s="707"/>
      <c r="G68" s="707"/>
      <c r="H68" s="707"/>
    </row>
    <row r="69" spans="1:8">
      <c r="A69" s="709" t="s">
        <v>409</v>
      </c>
      <c r="B69" s="709" t="s">
        <v>410</v>
      </c>
      <c r="C69" s="710">
        <v>79073</v>
      </c>
      <c r="D69" s="710"/>
      <c r="E69" s="707" t="s">
        <v>781</v>
      </c>
      <c r="F69" s="707"/>
      <c r="G69" s="707"/>
      <c r="H69" s="707"/>
    </row>
    <row r="70" spans="1:8">
      <c r="A70" s="709" t="s">
        <v>125</v>
      </c>
      <c r="B70" s="709" t="s">
        <v>126</v>
      </c>
      <c r="C70" s="710">
        <v>116509</v>
      </c>
      <c r="D70" s="710"/>
      <c r="E70" s="707" t="s">
        <v>781</v>
      </c>
      <c r="F70" s="707"/>
      <c r="G70" s="707"/>
      <c r="H70" s="707"/>
    </row>
    <row r="71" spans="1:8">
      <c r="A71" s="709" t="s">
        <v>571</v>
      </c>
      <c r="B71" s="709" t="s">
        <v>572</v>
      </c>
      <c r="C71" s="710">
        <v>49680</v>
      </c>
      <c r="D71" s="710"/>
      <c r="E71" s="707" t="s">
        <v>781</v>
      </c>
      <c r="F71" s="707"/>
      <c r="G71" s="707"/>
      <c r="H71" s="707"/>
    </row>
    <row r="72" spans="1:8">
      <c r="A72" s="709" t="s">
        <v>516</v>
      </c>
      <c r="B72" s="709" t="s">
        <v>517</v>
      </c>
      <c r="C72" s="710">
        <v>17036</v>
      </c>
      <c r="D72" s="710"/>
      <c r="E72" s="707" t="s">
        <v>781</v>
      </c>
      <c r="F72" s="707"/>
      <c r="G72" s="707"/>
      <c r="H72" s="707"/>
    </row>
    <row r="73" spans="1:8">
      <c r="A73" s="709" t="s">
        <v>386</v>
      </c>
      <c r="B73" s="709" t="s">
        <v>610</v>
      </c>
      <c r="C73" s="710">
        <v>258153</v>
      </c>
      <c r="D73" s="710"/>
      <c r="E73" s="707" t="s">
        <v>781</v>
      </c>
      <c r="F73" s="707"/>
      <c r="G73" s="707"/>
      <c r="H73" s="707"/>
    </row>
    <row r="74" spans="1:8">
      <c r="A74" s="709" t="s">
        <v>309</v>
      </c>
      <c r="B74" s="709" t="s">
        <v>310</v>
      </c>
      <c r="C74" s="710">
        <v>14627</v>
      </c>
      <c r="D74" s="710"/>
      <c r="E74" s="707" t="s">
        <v>781</v>
      </c>
      <c r="F74" s="707"/>
      <c r="G74" s="707"/>
      <c r="H74" s="707"/>
    </row>
    <row r="75" spans="1:8">
      <c r="A75" s="709" t="s">
        <v>514</v>
      </c>
      <c r="B75" s="709" t="s">
        <v>515</v>
      </c>
      <c r="C75" s="710">
        <v>32700</v>
      </c>
      <c r="D75" s="710"/>
      <c r="E75" s="707" t="s">
        <v>781</v>
      </c>
      <c r="F75" s="707"/>
      <c r="G75" s="707"/>
      <c r="H75" s="707"/>
    </row>
    <row r="76" spans="1:8">
      <c r="A76" s="709" t="s">
        <v>106</v>
      </c>
      <c r="B76" s="709" t="s">
        <v>107</v>
      </c>
      <c r="C76" s="710">
        <v>121161</v>
      </c>
      <c r="D76" s="710"/>
      <c r="E76" s="707" t="s">
        <v>781</v>
      </c>
      <c r="F76" s="707"/>
      <c r="G76" s="707"/>
      <c r="H76" s="707"/>
    </row>
    <row r="77" spans="1:8">
      <c r="A77" s="709" t="s">
        <v>214</v>
      </c>
      <c r="B77" s="709" t="s">
        <v>215</v>
      </c>
      <c r="C77" s="710">
        <v>27964</v>
      </c>
      <c r="D77" s="710"/>
      <c r="E77" s="707" t="s">
        <v>781</v>
      </c>
      <c r="F77" s="707"/>
      <c r="G77" s="707"/>
      <c r="H77" s="707"/>
    </row>
    <row r="78" spans="1:8">
      <c r="A78" s="709" t="s">
        <v>305</v>
      </c>
      <c r="B78" s="709" t="s">
        <v>306</v>
      </c>
      <c r="C78" s="710">
        <v>21044</v>
      </c>
      <c r="D78" s="710"/>
      <c r="E78" s="707" t="s">
        <v>781</v>
      </c>
      <c r="F78" s="707"/>
      <c r="G78" s="707"/>
      <c r="H78" s="707"/>
    </row>
    <row r="79" spans="1:8">
      <c r="A79" s="709" t="s">
        <v>474</v>
      </c>
      <c r="B79" s="709" t="s">
        <v>475</v>
      </c>
      <c r="C79" s="710">
        <v>98184</v>
      </c>
      <c r="D79" s="710"/>
      <c r="E79" s="707" t="s">
        <v>781</v>
      </c>
      <c r="F79" s="707"/>
      <c r="G79" s="707"/>
      <c r="H79" s="707"/>
    </row>
    <row r="80" spans="1:8">
      <c r="A80" s="709" t="s">
        <v>209</v>
      </c>
      <c r="B80" s="709" t="s">
        <v>210</v>
      </c>
      <c r="C80" s="710">
        <v>190119</v>
      </c>
      <c r="D80" s="710"/>
      <c r="E80" s="707" t="s">
        <v>781</v>
      </c>
      <c r="F80" s="707"/>
      <c r="G80" s="707"/>
      <c r="H80" s="707"/>
    </row>
    <row r="81" spans="1:8">
      <c r="A81" s="709" t="s">
        <v>313</v>
      </c>
      <c r="B81" s="709" t="s">
        <v>314</v>
      </c>
      <c r="C81" s="710">
        <v>15355</v>
      </c>
      <c r="D81" s="710"/>
      <c r="E81" s="707" t="s">
        <v>781</v>
      </c>
      <c r="F81" s="707"/>
      <c r="G81" s="707"/>
      <c r="H81" s="707"/>
    </row>
    <row r="82" spans="1:8">
      <c r="A82" s="709" t="s">
        <v>478</v>
      </c>
      <c r="B82" s="709" t="s">
        <v>479</v>
      </c>
      <c r="C82" s="710">
        <v>33512</v>
      </c>
      <c r="D82" s="710"/>
      <c r="E82" s="707" t="s">
        <v>781</v>
      </c>
      <c r="F82" s="707"/>
      <c r="G82" s="707"/>
      <c r="H82" s="707"/>
    </row>
    <row r="83" spans="1:8">
      <c r="A83" s="709" t="s">
        <v>311</v>
      </c>
      <c r="B83" s="709" t="s">
        <v>312</v>
      </c>
      <c r="C83" s="710">
        <v>15271</v>
      </c>
      <c r="D83" s="710"/>
      <c r="E83" s="707" t="s">
        <v>781</v>
      </c>
      <c r="F83" s="707"/>
      <c r="G83" s="707"/>
      <c r="H83" s="707"/>
    </row>
    <row r="84" spans="1:8">
      <c r="A84" s="709" t="s">
        <v>82</v>
      </c>
      <c r="B84" s="709" t="s">
        <v>83</v>
      </c>
      <c r="C84" s="710">
        <v>17540</v>
      </c>
      <c r="D84" s="710"/>
      <c r="E84" s="707" t="s">
        <v>781</v>
      </c>
      <c r="F84" s="707"/>
      <c r="G84" s="707"/>
      <c r="H84" s="707"/>
    </row>
    <row r="85" spans="1:8">
      <c r="A85" s="709" t="s">
        <v>323</v>
      </c>
      <c r="B85" s="709" t="s">
        <v>324</v>
      </c>
      <c r="C85" s="710">
        <v>17009</v>
      </c>
      <c r="D85" s="710"/>
      <c r="E85" s="707" t="s">
        <v>781</v>
      </c>
      <c r="F85" s="707"/>
      <c r="G85" s="707"/>
      <c r="H85" s="707"/>
    </row>
    <row r="86" spans="1:8">
      <c r="A86" s="709" t="s">
        <v>4</v>
      </c>
      <c r="B86" s="709" t="s">
        <v>5</v>
      </c>
      <c r="C86" s="710">
        <v>242126</v>
      </c>
      <c r="D86" s="710"/>
      <c r="E86" s="707" t="s">
        <v>781</v>
      </c>
      <c r="F86" s="707"/>
      <c r="G86" s="707"/>
      <c r="H86" s="707"/>
    </row>
    <row r="87" spans="1:8">
      <c r="A87" s="709" t="s">
        <v>104</v>
      </c>
      <c r="B87" s="709" t="s">
        <v>105</v>
      </c>
      <c r="C87" s="710">
        <v>935438</v>
      </c>
      <c r="D87" s="710"/>
      <c r="E87" s="707" t="s">
        <v>781</v>
      </c>
      <c r="F87" s="707"/>
      <c r="G87" s="707"/>
      <c r="H87" s="707"/>
    </row>
    <row r="88" spans="1:8">
      <c r="A88" s="709" t="s">
        <v>359</v>
      </c>
      <c r="B88" s="709" t="s">
        <v>360</v>
      </c>
      <c r="C88" s="710">
        <v>12357</v>
      </c>
      <c r="D88" s="710"/>
      <c r="E88" s="707" t="s">
        <v>781</v>
      </c>
      <c r="F88" s="707"/>
      <c r="G88" s="707"/>
      <c r="H88" s="707"/>
    </row>
    <row r="89" spans="1:8">
      <c r="A89" s="709" t="s">
        <v>171</v>
      </c>
      <c r="B89" s="709" t="s">
        <v>172</v>
      </c>
      <c r="C89" s="710">
        <v>1765</v>
      </c>
      <c r="D89" s="710"/>
      <c r="E89" s="707" t="s">
        <v>781</v>
      </c>
      <c r="F89" s="707"/>
      <c r="G89" s="707"/>
      <c r="H89" s="707"/>
    </row>
    <row r="90" spans="1:8">
      <c r="A90" s="709" t="s">
        <v>502</v>
      </c>
      <c r="B90" s="709" t="s">
        <v>503</v>
      </c>
      <c r="C90" s="710">
        <v>18297</v>
      </c>
      <c r="D90" s="710"/>
      <c r="E90" s="707" t="s">
        <v>781</v>
      </c>
      <c r="F90" s="707"/>
      <c r="G90" s="707"/>
      <c r="H90" s="707"/>
    </row>
    <row r="91" spans="1:8">
      <c r="A91" s="709" t="s">
        <v>21</v>
      </c>
      <c r="B91" s="709" t="s">
        <v>22</v>
      </c>
      <c r="C91" s="710">
        <v>100117</v>
      </c>
      <c r="D91" s="710"/>
      <c r="E91" s="707" t="s">
        <v>781</v>
      </c>
      <c r="F91" s="707"/>
      <c r="G91" s="707"/>
      <c r="H91" s="707"/>
    </row>
    <row r="92" spans="1:8">
      <c r="A92" s="709" t="s">
        <v>523</v>
      </c>
      <c r="B92" s="709" t="s">
        <v>524</v>
      </c>
      <c r="C92" s="710">
        <v>18914</v>
      </c>
      <c r="D92" s="710"/>
      <c r="E92" s="707" t="s">
        <v>781</v>
      </c>
      <c r="F92" s="707"/>
      <c r="G92" s="707"/>
      <c r="H92" s="707"/>
    </row>
    <row r="93" spans="1:8">
      <c r="A93" s="709" t="s">
        <v>343</v>
      </c>
      <c r="B93" s="709" t="s">
        <v>344</v>
      </c>
      <c r="C93" s="710">
        <v>115724</v>
      </c>
      <c r="D93" s="710"/>
      <c r="E93" s="707" t="s">
        <v>781</v>
      </c>
      <c r="F93" s="707"/>
      <c r="G93" s="707"/>
      <c r="H93" s="707"/>
    </row>
    <row r="94" spans="1:8">
      <c r="A94" s="709" t="s">
        <v>47</v>
      </c>
      <c r="B94" s="709" t="s">
        <v>48</v>
      </c>
      <c r="C94" s="710">
        <v>15467</v>
      </c>
      <c r="D94" s="710"/>
      <c r="E94" s="707" t="s">
        <v>781</v>
      </c>
      <c r="F94" s="707"/>
      <c r="G94" s="707"/>
      <c r="H94" s="707"/>
    </row>
    <row r="95" spans="1:8">
      <c r="A95" s="709" t="s">
        <v>116</v>
      </c>
      <c r="B95" s="709" t="s">
        <v>117</v>
      </c>
      <c r="C95" s="710">
        <v>166834</v>
      </c>
      <c r="D95" s="710"/>
      <c r="E95" s="707" t="s">
        <v>781</v>
      </c>
      <c r="F95" s="707"/>
      <c r="G95" s="707"/>
      <c r="H95" s="707"/>
    </row>
    <row r="96" spans="1:8">
      <c r="A96" s="709" t="s">
        <v>23</v>
      </c>
      <c r="B96" s="709" t="s">
        <v>24</v>
      </c>
      <c r="C96" s="710">
        <v>56938</v>
      </c>
      <c r="D96" s="710"/>
      <c r="E96" s="707" t="s">
        <v>781</v>
      </c>
      <c r="F96" s="707"/>
      <c r="G96" s="707"/>
      <c r="H96" s="707"/>
    </row>
    <row r="97" spans="1:8">
      <c r="A97" s="709" t="s">
        <v>193</v>
      </c>
      <c r="B97" s="709" t="s">
        <v>194</v>
      </c>
      <c r="C97" s="710">
        <v>11992</v>
      </c>
      <c r="D97" s="710"/>
      <c r="E97" s="707" t="s">
        <v>781</v>
      </c>
      <c r="F97" s="707"/>
      <c r="G97" s="707"/>
      <c r="H97" s="707"/>
    </row>
    <row r="98" spans="1:8">
      <c r="A98" s="709" t="s">
        <v>484</v>
      </c>
      <c r="B98" s="709" t="s">
        <v>485</v>
      </c>
      <c r="C98" s="710">
        <v>21407</v>
      </c>
      <c r="D98" s="710"/>
      <c r="E98" s="707" t="s">
        <v>781</v>
      </c>
      <c r="F98" s="707"/>
      <c r="G98" s="707"/>
      <c r="H98" s="707"/>
    </row>
    <row r="99" spans="1:8">
      <c r="A99" s="709" t="s">
        <v>123</v>
      </c>
      <c r="B99" s="709" t="s">
        <v>124</v>
      </c>
      <c r="C99" s="710">
        <v>115080</v>
      </c>
      <c r="D99" s="710"/>
      <c r="E99" s="707" t="s">
        <v>781</v>
      </c>
      <c r="F99" s="707"/>
      <c r="G99" s="707"/>
      <c r="H99" s="707"/>
    </row>
    <row r="100" spans="1:8">
      <c r="A100" s="709" t="s">
        <v>379</v>
      </c>
      <c r="B100" s="709" t="s">
        <v>615</v>
      </c>
      <c r="C100" s="710">
        <v>38613</v>
      </c>
      <c r="D100" s="710"/>
      <c r="E100" s="707" t="s">
        <v>781</v>
      </c>
      <c r="F100" s="707"/>
      <c r="G100" s="707"/>
      <c r="H100" s="707"/>
    </row>
    <row r="101" spans="1:8">
      <c r="A101" s="712" t="s">
        <v>551</v>
      </c>
      <c r="B101" s="712" t="s">
        <v>552</v>
      </c>
      <c r="C101" s="710">
        <v>34605</v>
      </c>
      <c r="D101" s="710"/>
      <c r="E101" s="707" t="s">
        <v>781</v>
      </c>
      <c r="F101" s="707"/>
      <c r="G101" s="707"/>
      <c r="H101" s="707"/>
    </row>
    <row r="102" spans="1:8">
      <c r="A102" s="709" t="s">
        <v>299</v>
      </c>
      <c r="B102" s="709" t="s">
        <v>300</v>
      </c>
      <c r="C102" s="710">
        <v>61309</v>
      </c>
      <c r="D102" s="710"/>
      <c r="E102" s="707" t="s">
        <v>781</v>
      </c>
      <c r="F102" s="707"/>
      <c r="G102" s="707"/>
      <c r="H102" s="707"/>
    </row>
    <row r="103" spans="1:8">
      <c r="A103" s="709" t="s">
        <v>411</v>
      </c>
      <c r="B103" s="709" t="s">
        <v>412</v>
      </c>
      <c r="C103" s="710">
        <v>45506</v>
      </c>
      <c r="D103" s="710"/>
      <c r="E103" s="707" t="s">
        <v>781</v>
      </c>
      <c r="F103" s="707"/>
      <c r="G103" s="707"/>
      <c r="H103" s="707"/>
    </row>
    <row r="104" spans="1:8">
      <c r="A104" s="709" t="s">
        <v>199</v>
      </c>
      <c r="B104" s="709" t="s">
        <v>200</v>
      </c>
      <c r="C104" s="710">
        <v>20679</v>
      </c>
      <c r="D104" s="710"/>
      <c r="E104" s="707" t="s">
        <v>781</v>
      </c>
      <c r="F104" s="707"/>
      <c r="G104" s="707"/>
      <c r="H104" s="707"/>
    </row>
    <row r="105" spans="1:8">
      <c r="A105" s="709" t="s">
        <v>121</v>
      </c>
      <c r="B105" s="709" t="s">
        <v>122</v>
      </c>
      <c r="C105" s="710">
        <v>13253</v>
      </c>
      <c r="D105" s="710"/>
      <c r="E105" s="707" t="s">
        <v>781</v>
      </c>
      <c r="F105" s="707"/>
      <c r="G105" s="707"/>
      <c r="H105" s="707"/>
    </row>
    <row r="106" spans="1:8">
      <c r="A106" s="709" t="s">
        <v>329</v>
      </c>
      <c r="B106" s="709" t="s">
        <v>330</v>
      </c>
      <c r="C106" s="710">
        <v>16000</v>
      </c>
      <c r="D106" s="710"/>
      <c r="E106" s="707" t="s">
        <v>781</v>
      </c>
      <c r="F106" s="707"/>
      <c r="G106" s="707"/>
      <c r="H106" s="707"/>
    </row>
    <row r="107" spans="1:8">
      <c r="A107" s="709" t="s">
        <v>218</v>
      </c>
      <c r="B107" s="709" t="s">
        <v>219</v>
      </c>
      <c r="C107" s="710">
        <v>11685</v>
      </c>
      <c r="D107" s="710"/>
      <c r="E107" s="707" t="s">
        <v>781</v>
      </c>
      <c r="F107" s="707"/>
      <c r="G107" s="707"/>
      <c r="H107" s="707"/>
    </row>
    <row r="108" spans="1:8">
      <c r="A108" s="709" t="s">
        <v>421</v>
      </c>
      <c r="B108" s="709" t="s">
        <v>673</v>
      </c>
      <c r="C108" s="710">
        <v>13899</v>
      </c>
      <c r="D108" s="710"/>
      <c r="E108" s="707" t="s">
        <v>781</v>
      </c>
      <c r="F108" s="707"/>
      <c r="G108" s="707"/>
      <c r="H108" s="707"/>
    </row>
    <row r="109" spans="1:8">
      <c r="A109" s="709" t="s">
        <v>342</v>
      </c>
      <c r="B109" s="709" t="s">
        <v>617</v>
      </c>
      <c r="C109" s="710">
        <v>10171</v>
      </c>
      <c r="D109" s="710"/>
      <c r="E109" s="707" t="s">
        <v>781</v>
      </c>
      <c r="F109" s="707"/>
      <c r="G109" s="707"/>
      <c r="H109" s="707"/>
    </row>
    <row r="110" spans="1:8">
      <c r="A110" s="709" t="s">
        <v>415</v>
      </c>
      <c r="B110" s="709" t="s">
        <v>416</v>
      </c>
      <c r="C110" s="710">
        <v>20456</v>
      </c>
      <c r="D110" s="710"/>
      <c r="E110" s="707" t="s">
        <v>781</v>
      </c>
      <c r="F110" s="707"/>
      <c r="G110" s="707"/>
      <c r="H110" s="707"/>
    </row>
    <row r="111" spans="1:8">
      <c r="A111" s="709" t="s">
        <v>351</v>
      </c>
      <c r="B111" s="709" t="s">
        <v>352</v>
      </c>
      <c r="C111" s="710">
        <v>47550</v>
      </c>
      <c r="D111" s="710"/>
      <c r="E111" s="707" t="s">
        <v>781</v>
      </c>
      <c r="F111" s="707"/>
      <c r="G111" s="707"/>
      <c r="H111" s="707"/>
    </row>
    <row r="112" spans="1:8">
      <c r="A112" s="709" t="s">
        <v>557</v>
      </c>
      <c r="B112" s="709" t="s">
        <v>558</v>
      </c>
      <c r="C112" s="710">
        <v>351517</v>
      </c>
      <c r="D112" s="710"/>
      <c r="E112" s="707" t="s">
        <v>781</v>
      </c>
      <c r="F112" s="707"/>
      <c r="G112" s="707"/>
      <c r="H112" s="707"/>
    </row>
    <row r="113" spans="1:8">
      <c r="A113" s="709" t="s">
        <v>197</v>
      </c>
      <c r="B113" s="709" t="s">
        <v>198</v>
      </c>
      <c r="C113" s="710">
        <v>25218</v>
      </c>
      <c r="D113" s="710"/>
      <c r="E113" s="707" t="s">
        <v>781</v>
      </c>
      <c r="F113" s="707"/>
      <c r="G113" s="707"/>
      <c r="H113" s="707"/>
    </row>
    <row r="114" spans="1:8">
      <c r="A114" s="709" t="s">
        <v>559</v>
      </c>
      <c r="B114" s="709" t="s">
        <v>560</v>
      </c>
      <c r="C114" s="710">
        <v>218027</v>
      </c>
      <c r="D114" s="710"/>
      <c r="E114" s="707" t="s">
        <v>781</v>
      </c>
      <c r="F114" s="707"/>
      <c r="G114" s="707"/>
      <c r="H114" s="707"/>
    </row>
    <row r="115" spans="1:8">
      <c r="A115" s="709" t="s">
        <v>191</v>
      </c>
      <c r="B115" s="709" t="s">
        <v>192</v>
      </c>
      <c r="C115" s="710">
        <v>185553</v>
      </c>
      <c r="D115" s="710"/>
      <c r="E115" s="707" t="s">
        <v>781</v>
      </c>
      <c r="F115" s="707"/>
      <c r="G115" s="707"/>
      <c r="H115" s="707"/>
    </row>
    <row r="116" spans="1:8">
      <c r="A116" s="709" t="s">
        <v>476</v>
      </c>
      <c r="B116" s="709" t="s">
        <v>477</v>
      </c>
      <c r="C116" s="710">
        <v>15131</v>
      </c>
      <c r="D116" s="710"/>
      <c r="E116" s="707" t="s">
        <v>781</v>
      </c>
      <c r="F116" s="707"/>
      <c r="G116" s="707"/>
      <c r="H116" s="707"/>
    </row>
    <row r="117" spans="1:8">
      <c r="A117" s="709" t="s">
        <v>543</v>
      </c>
      <c r="B117" s="709" t="s">
        <v>544</v>
      </c>
      <c r="C117" s="710">
        <v>27291</v>
      </c>
      <c r="D117" s="710"/>
      <c r="E117" s="707" t="s">
        <v>781</v>
      </c>
      <c r="F117" s="707"/>
      <c r="G117" s="707"/>
      <c r="H117" s="707"/>
    </row>
    <row r="118" spans="1:8">
      <c r="A118" s="712" t="s">
        <v>349</v>
      </c>
      <c r="B118" s="712" t="s">
        <v>350</v>
      </c>
      <c r="C118" s="710">
        <v>24770</v>
      </c>
      <c r="D118" s="710"/>
      <c r="E118" s="707" t="s">
        <v>781</v>
      </c>
      <c r="F118" s="707"/>
      <c r="G118" s="707"/>
      <c r="H118" s="707"/>
    </row>
    <row r="119" spans="1:8">
      <c r="A119" s="709" t="s">
        <v>49</v>
      </c>
      <c r="B119" s="709" t="s">
        <v>50</v>
      </c>
      <c r="C119" s="710">
        <v>416722</v>
      </c>
      <c r="D119" s="710"/>
      <c r="E119" s="707" t="s">
        <v>781</v>
      </c>
      <c r="F119" s="707"/>
      <c r="G119" s="707"/>
      <c r="H119" s="707"/>
    </row>
    <row r="120" spans="1:8">
      <c r="A120" s="709" t="s">
        <v>114</v>
      </c>
      <c r="B120" s="709" t="s">
        <v>115</v>
      </c>
      <c r="C120" s="710">
        <v>204830</v>
      </c>
      <c r="D120" s="710"/>
      <c r="E120" s="707" t="s">
        <v>781</v>
      </c>
      <c r="F120" s="707"/>
      <c r="G120" s="707"/>
      <c r="H120" s="707"/>
    </row>
    <row r="121" spans="1:8">
      <c r="A121" s="709" t="s">
        <v>492</v>
      </c>
      <c r="B121" s="709" t="s">
        <v>493</v>
      </c>
      <c r="C121" s="710">
        <v>131893</v>
      </c>
      <c r="D121" s="710"/>
      <c r="E121" s="707" t="s">
        <v>781</v>
      </c>
      <c r="F121" s="707"/>
      <c r="G121" s="707"/>
      <c r="H121" s="707"/>
    </row>
    <row r="122" spans="1:8">
      <c r="A122" s="709" t="s">
        <v>567</v>
      </c>
      <c r="B122" s="709" t="s">
        <v>568</v>
      </c>
      <c r="C122" s="710">
        <v>203653</v>
      </c>
      <c r="D122" s="710"/>
      <c r="E122" s="707" t="s">
        <v>781</v>
      </c>
      <c r="F122" s="707"/>
      <c r="G122" s="707"/>
      <c r="H122" s="707"/>
    </row>
    <row r="123" spans="1:8">
      <c r="A123" s="709" t="s">
        <v>118</v>
      </c>
      <c r="B123" s="709" t="s">
        <v>119</v>
      </c>
      <c r="C123" s="710">
        <v>58535</v>
      </c>
      <c r="D123" s="710"/>
      <c r="E123" s="707" t="s">
        <v>781</v>
      </c>
      <c r="F123" s="707"/>
      <c r="G123" s="707"/>
      <c r="H123" s="707"/>
    </row>
    <row r="124" spans="1:8">
      <c r="A124" s="709" t="s">
        <v>452</v>
      </c>
      <c r="B124" s="709" t="s">
        <v>453</v>
      </c>
      <c r="C124" s="710">
        <v>21268</v>
      </c>
      <c r="D124" s="710"/>
      <c r="E124" s="707" t="s">
        <v>781</v>
      </c>
      <c r="F124" s="707"/>
      <c r="G124" s="707"/>
      <c r="H124" s="707"/>
    </row>
    <row r="125" spans="1:8">
      <c r="A125" s="713" t="s">
        <v>443</v>
      </c>
      <c r="B125" s="713" t="s">
        <v>675</v>
      </c>
      <c r="C125" s="710">
        <v>17261</v>
      </c>
      <c r="D125" s="710"/>
      <c r="E125" s="707" t="s">
        <v>781</v>
      </c>
      <c r="F125" s="707"/>
      <c r="G125" s="707"/>
      <c r="H125" s="707"/>
    </row>
    <row r="126" spans="1:8">
      <c r="A126" s="709" t="s">
        <v>569</v>
      </c>
      <c r="B126" s="709" t="s">
        <v>570</v>
      </c>
      <c r="C126" s="710">
        <v>52623</v>
      </c>
      <c r="D126" s="710"/>
      <c r="E126" s="707" t="s">
        <v>781</v>
      </c>
      <c r="F126" s="707"/>
      <c r="G126" s="707"/>
      <c r="H126" s="707"/>
    </row>
    <row r="127" spans="1:8">
      <c r="A127" s="709" t="s">
        <v>248</v>
      </c>
      <c r="B127" s="709" t="s">
        <v>249</v>
      </c>
      <c r="C127" s="710">
        <v>33176</v>
      </c>
      <c r="D127" s="710"/>
      <c r="E127" s="707" t="s">
        <v>781</v>
      </c>
      <c r="F127" s="707"/>
      <c r="G127" s="707"/>
      <c r="H127" s="707"/>
    </row>
    <row r="128" spans="1:8">
      <c r="A128" s="709" t="s">
        <v>264</v>
      </c>
      <c r="B128" s="709" t="s">
        <v>265</v>
      </c>
      <c r="C128" s="710">
        <v>13758</v>
      </c>
      <c r="D128" s="710"/>
      <c r="E128" s="707" t="s">
        <v>781</v>
      </c>
      <c r="F128" s="707"/>
      <c r="G128" s="707"/>
      <c r="H128" s="707"/>
    </row>
    <row r="129" spans="1:8">
      <c r="A129" s="709" t="s">
        <v>78</v>
      </c>
      <c r="B129" s="709" t="s">
        <v>79</v>
      </c>
      <c r="C129" s="710">
        <v>23650</v>
      </c>
      <c r="D129" s="710"/>
      <c r="E129" s="707" t="s">
        <v>781</v>
      </c>
      <c r="F129" s="707"/>
      <c r="G129" s="707"/>
      <c r="H129" s="707"/>
    </row>
    <row r="130" spans="1:8">
      <c r="A130" s="709" t="s">
        <v>547</v>
      </c>
      <c r="B130" s="709" t="s">
        <v>548</v>
      </c>
      <c r="C130" s="710">
        <v>749690</v>
      </c>
      <c r="D130" s="710"/>
      <c r="E130" s="707" t="s">
        <v>781</v>
      </c>
      <c r="F130" s="707"/>
      <c r="G130" s="707"/>
      <c r="H130" s="707"/>
    </row>
    <row r="131" spans="1:8">
      <c r="A131" s="709" t="s">
        <v>565</v>
      </c>
      <c r="B131" s="709" t="s">
        <v>566</v>
      </c>
      <c r="C131" s="710">
        <v>21575</v>
      </c>
      <c r="D131" s="710"/>
      <c r="E131" s="707" t="s">
        <v>781</v>
      </c>
      <c r="F131" s="707"/>
      <c r="G131" s="707"/>
      <c r="H131" s="707"/>
    </row>
    <row r="132" spans="1:8">
      <c r="A132" s="712" t="s">
        <v>380</v>
      </c>
      <c r="B132" s="712" t="s">
        <v>381</v>
      </c>
      <c r="C132" s="710">
        <v>8742</v>
      </c>
      <c r="D132" s="710"/>
      <c r="E132" s="707" t="s">
        <v>1350</v>
      </c>
      <c r="F132" s="707"/>
      <c r="G132" s="707"/>
      <c r="H132" s="707"/>
    </row>
    <row r="133" spans="1:8">
      <c r="A133" s="709" t="s">
        <v>74</v>
      </c>
      <c r="B133" s="709" t="s">
        <v>75</v>
      </c>
      <c r="C133" s="710">
        <v>4707</v>
      </c>
      <c r="D133" s="710"/>
      <c r="E133" s="707" t="s">
        <v>1350</v>
      </c>
      <c r="F133" s="707"/>
      <c r="G133" s="707"/>
      <c r="H133" s="707"/>
    </row>
    <row r="134" spans="1:8">
      <c r="A134" s="709" t="s">
        <v>10</v>
      </c>
      <c r="B134" s="709" t="s">
        <v>11</v>
      </c>
      <c r="C134" s="710">
        <v>4371</v>
      </c>
      <c r="D134" s="710"/>
      <c r="E134" s="707" t="s">
        <v>1350</v>
      </c>
      <c r="F134" s="707"/>
      <c r="G134" s="707"/>
      <c r="H134" s="707"/>
    </row>
    <row r="135" spans="1:8">
      <c r="A135" s="709" t="s">
        <v>456</v>
      </c>
      <c r="B135" s="709" t="s">
        <v>457</v>
      </c>
      <c r="C135" s="710">
        <v>7397</v>
      </c>
      <c r="D135" s="710"/>
      <c r="E135" s="707" t="s">
        <v>1350</v>
      </c>
      <c r="F135" s="707"/>
      <c r="G135" s="707"/>
      <c r="H135" s="707"/>
    </row>
    <row r="136" spans="1:8">
      <c r="A136" s="709" t="s">
        <v>384</v>
      </c>
      <c r="B136" s="709" t="s">
        <v>385</v>
      </c>
      <c r="C136" s="710">
        <v>4623</v>
      </c>
      <c r="D136" s="710"/>
      <c r="E136" s="707" t="s">
        <v>1350</v>
      </c>
      <c r="F136" s="707"/>
      <c r="G136" s="707"/>
      <c r="H136" s="707"/>
    </row>
    <row r="137" spans="1:8">
      <c r="A137" s="709" t="s">
        <v>139</v>
      </c>
      <c r="B137" s="709" t="s">
        <v>140</v>
      </c>
      <c r="C137" s="710">
        <v>2017</v>
      </c>
      <c r="D137" s="710"/>
      <c r="E137" s="707" t="s">
        <v>1350</v>
      </c>
      <c r="F137" s="707"/>
      <c r="G137" s="707"/>
      <c r="H137" s="707"/>
    </row>
    <row r="138" spans="1:8">
      <c r="A138" s="709" t="s">
        <v>331</v>
      </c>
      <c r="B138" s="709" t="s">
        <v>611</v>
      </c>
      <c r="C138" s="710">
        <v>1037</v>
      </c>
      <c r="D138" s="710"/>
      <c r="E138" s="707" t="s">
        <v>1350</v>
      </c>
      <c r="F138" s="707"/>
      <c r="G138" s="707"/>
      <c r="H138" s="707"/>
    </row>
    <row r="139" spans="1:8">
      <c r="A139" s="709" t="s">
        <v>43</v>
      </c>
      <c r="B139" s="709" t="s">
        <v>44</v>
      </c>
      <c r="C139" s="710">
        <v>6780</v>
      </c>
      <c r="D139" s="710"/>
      <c r="E139" s="707" t="s">
        <v>1350</v>
      </c>
      <c r="F139" s="707"/>
      <c r="G139" s="707"/>
      <c r="H139" s="707"/>
    </row>
    <row r="140" spans="1:8">
      <c r="A140" s="709" t="s">
        <v>161</v>
      </c>
      <c r="B140" s="709" t="s">
        <v>162</v>
      </c>
      <c r="C140" s="710">
        <v>1905</v>
      </c>
      <c r="D140" s="710"/>
      <c r="E140" s="707" t="s">
        <v>1350</v>
      </c>
      <c r="F140" s="707"/>
      <c r="G140" s="707"/>
      <c r="H140" s="707"/>
    </row>
    <row r="141" spans="1:8">
      <c r="A141" s="709" t="s">
        <v>268</v>
      </c>
      <c r="B141" s="709" t="s">
        <v>269</v>
      </c>
      <c r="C141" s="710">
        <v>3811</v>
      </c>
      <c r="D141" s="710"/>
      <c r="E141" s="707" t="s">
        <v>1350</v>
      </c>
      <c r="F141" s="707"/>
      <c r="G141" s="707"/>
      <c r="H141" s="707"/>
    </row>
    <row r="142" spans="1:8">
      <c r="A142" s="709" t="s">
        <v>488</v>
      </c>
      <c r="B142" s="709" t="s">
        <v>489</v>
      </c>
      <c r="C142" s="710">
        <v>2522</v>
      </c>
      <c r="D142" s="710"/>
      <c r="E142" s="707" t="s">
        <v>1350</v>
      </c>
      <c r="F142" s="707"/>
      <c r="G142" s="707"/>
      <c r="H142" s="707"/>
    </row>
    <row r="143" spans="1:8">
      <c r="A143" s="709" t="s">
        <v>367</v>
      </c>
      <c r="B143" s="709" t="s">
        <v>368</v>
      </c>
      <c r="C143" s="710">
        <v>9723</v>
      </c>
      <c r="D143" s="710"/>
      <c r="E143" s="707" t="s">
        <v>1350</v>
      </c>
      <c r="F143" s="707"/>
      <c r="G143" s="707"/>
      <c r="H143" s="707"/>
    </row>
    <row r="144" spans="1:8">
      <c r="A144" s="709" t="s">
        <v>230</v>
      </c>
      <c r="B144" s="709" t="s">
        <v>231</v>
      </c>
      <c r="C144" s="710">
        <v>2325</v>
      </c>
      <c r="D144" s="710"/>
      <c r="E144" s="707" t="s">
        <v>1264</v>
      </c>
      <c r="F144" s="707">
        <v>105</v>
      </c>
      <c r="G144" s="707"/>
      <c r="H144" s="707"/>
    </row>
    <row r="145" spans="1:8">
      <c r="A145" s="709" t="s">
        <v>353</v>
      </c>
      <c r="B145" s="709" t="s">
        <v>354</v>
      </c>
      <c r="C145" s="710">
        <v>3502</v>
      </c>
      <c r="D145" s="710"/>
      <c r="E145" s="707" t="s">
        <v>1264</v>
      </c>
      <c r="F145" s="707" t="s">
        <v>1351</v>
      </c>
      <c r="G145" s="707"/>
      <c r="H145" s="707"/>
    </row>
    <row r="146" spans="1:8">
      <c r="A146" s="709" t="s">
        <v>222</v>
      </c>
      <c r="B146" s="709" t="s">
        <v>223</v>
      </c>
      <c r="C146" s="710">
        <v>1737</v>
      </c>
      <c r="D146" s="710"/>
      <c r="E146" s="707" t="s">
        <v>1264</v>
      </c>
      <c r="F146" s="707">
        <v>105</v>
      </c>
      <c r="G146" s="707"/>
      <c r="H146" s="707"/>
    </row>
    <row r="147" spans="1:8">
      <c r="A147" s="709" t="s">
        <v>29</v>
      </c>
      <c r="B147" s="709" t="s">
        <v>30</v>
      </c>
      <c r="C147" s="710">
        <v>7705</v>
      </c>
      <c r="D147" s="710"/>
      <c r="E147" s="707" t="s">
        <v>1264</v>
      </c>
      <c r="F147" s="707" t="s">
        <v>1352</v>
      </c>
      <c r="G147" s="707"/>
      <c r="H147" s="707"/>
    </row>
    <row r="148" spans="1:8">
      <c r="A148" s="709" t="s">
        <v>246</v>
      </c>
      <c r="B148" s="709" t="s">
        <v>247</v>
      </c>
      <c r="C148" s="710">
        <v>4427</v>
      </c>
      <c r="D148" s="710"/>
      <c r="E148" s="707" t="s">
        <v>1264</v>
      </c>
      <c r="F148" s="707">
        <v>105</v>
      </c>
      <c r="G148" s="707"/>
      <c r="H148" s="707"/>
    </row>
    <row r="149" spans="1:8">
      <c r="A149" s="709" t="s">
        <v>51</v>
      </c>
      <c r="B149" s="709" t="s">
        <v>52</v>
      </c>
      <c r="C149" s="710">
        <v>2270</v>
      </c>
      <c r="D149" s="710"/>
      <c r="E149" s="714" t="s">
        <v>1264</v>
      </c>
      <c r="F149" s="707" t="s">
        <v>652</v>
      </c>
      <c r="G149" s="707"/>
      <c r="H149" s="707"/>
    </row>
    <row r="150" spans="1:8">
      <c r="A150" s="709" t="s">
        <v>228</v>
      </c>
      <c r="B150" s="709" t="s">
        <v>229</v>
      </c>
      <c r="C150" s="710">
        <v>8351</v>
      </c>
      <c r="D150" s="710"/>
      <c r="E150" s="707" t="s">
        <v>1264</v>
      </c>
      <c r="F150" s="707">
        <v>105</v>
      </c>
      <c r="G150" s="707"/>
      <c r="H150" s="707"/>
    </row>
    <row r="151" spans="1:8">
      <c r="A151" s="709" t="s">
        <v>373</v>
      </c>
      <c r="B151" s="709" t="s">
        <v>374</v>
      </c>
      <c r="C151" s="710">
        <v>2409</v>
      </c>
      <c r="D151" s="710"/>
      <c r="E151" s="707" t="s">
        <v>1264</v>
      </c>
      <c r="F151" s="707" t="s">
        <v>1269</v>
      </c>
      <c r="G151" s="707"/>
      <c r="H151" s="707"/>
    </row>
    <row r="152" spans="1:8">
      <c r="A152" s="709" t="s">
        <v>258</v>
      </c>
      <c r="B152" s="709" t="s">
        <v>259</v>
      </c>
      <c r="C152" s="710">
        <v>8855</v>
      </c>
      <c r="D152" s="710"/>
      <c r="E152" s="707" t="s">
        <v>1264</v>
      </c>
      <c r="F152" s="707" t="s">
        <v>1353</v>
      </c>
      <c r="G152" s="707"/>
      <c r="H152" s="707"/>
    </row>
    <row r="153" spans="1:8">
      <c r="A153" s="709" t="s">
        <v>545</v>
      </c>
      <c r="B153" s="709" t="s">
        <v>546</v>
      </c>
      <c r="C153" s="710">
        <v>10873</v>
      </c>
      <c r="D153" s="710"/>
      <c r="E153" s="707" t="s">
        <v>1264</v>
      </c>
      <c r="F153" s="707">
        <v>105</v>
      </c>
      <c r="G153" s="707"/>
      <c r="H153" s="707"/>
    </row>
    <row r="154" spans="1:8">
      <c r="A154" s="709" t="s">
        <v>325</v>
      </c>
      <c r="B154" s="709" t="s">
        <v>326</v>
      </c>
      <c r="C154" s="710">
        <v>7229</v>
      </c>
      <c r="D154" s="710"/>
      <c r="E154" s="707" t="s">
        <v>1264</v>
      </c>
      <c r="F154" s="707" t="s">
        <v>1354</v>
      </c>
      <c r="G154" s="707"/>
      <c r="H154" s="707"/>
    </row>
    <row r="155" spans="1:8">
      <c r="A155" s="709" t="s">
        <v>372</v>
      </c>
      <c r="B155" s="709" t="s">
        <v>613</v>
      </c>
      <c r="C155" s="710">
        <v>3867</v>
      </c>
      <c r="D155" s="710"/>
      <c r="E155" s="707" t="s">
        <v>1264</v>
      </c>
      <c r="F155" s="707" t="s">
        <v>1269</v>
      </c>
      <c r="G155" s="707"/>
      <c r="H155" s="707"/>
    </row>
    <row r="156" spans="1:8">
      <c r="A156" s="709" t="s">
        <v>86</v>
      </c>
      <c r="B156" s="709" t="s">
        <v>87</v>
      </c>
      <c r="C156" s="710">
        <v>1710</v>
      </c>
      <c r="D156" s="710"/>
      <c r="E156" s="707" t="s">
        <v>1264</v>
      </c>
      <c r="F156" s="707" t="s">
        <v>1355</v>
      </c>
      <c r="G156" s="707"/>
      <c r="H156" s="707"/>
    </row>
    <row r="157" spans="1:8">
      <c r="A157" s="709" t="s">
        <v>317</v>
      </c>
      <c r="B157" s="709" t="s">
        <v>318</v>
      </c>
      <c r="C157" s="710">
        <v>6165</v>
      </c>
      <c r="D157" s="710"/>
      <c r="E157" s="707" t="s">
        <v>1264</v>
      </c>
      <c r="F157" s="707" t="s">
        <v>1355</v>
      </c>
      <c r="G157" s="707"/>
      <c r="H157" s="707"/>
    </row>
    <row r="158" spans="1:8">
      <c r="A158" s="709" t="s">
        <v>16</v>
      </c>
      <c r="B158" s="709" t="s">
        <v>17</v>
      </c>
      <c r="C158" s="710">
        <v>6081</v>
      </c>
      <c r="D158" s="710"/>
      <c r="E158" s="707" t="s">
        <v>1264</v>
      </c>
      <c r="F158" s="707" t="s">
        <v>604</v>
      </c>
      <c r="G158" s="707"/>
      <c r="H158" s="707"/>
    </row>
    <row r="159" spans="1:8">
      <c r="A159" s="709" t="s">
        <v>112</v>
      </c>
      <c r="B159" s="709" t="s">
        <v>113</v>
      </c>
      <c r="C159" s="710">
        <v>420</v>
      </c>
      <c r="D159" s="710"/>
      <c r="E159" s="714" t="s">
        <v>1264</v>
      </c>
      <c r="F159" s="707" t="s">
        <v>604</v>
      </c>
      <c r="G159" s="707"/>
      <c r="H159" s="707"/>
    </row>
    <row r="160" spans="1:8">
      <c r="A160" s="709" t="s">
        <v>145</v>
      </c>
      <c r="B160" s="709" t="s">
        <v>146</v>
      </c>
      <c r="C160" s="710">
        <v>7734</v>
      </c>
      <c r="D160" s="710"/>
      <c r="E160" s="707" t="s">
        <v>1264</v>
      </c>
      <c r="F160" s="707" t="s">
        <v>1356</v>
      </c>
      <c r="G160" s="707"/>
      <c r="H160" s="707"/>
    </row>
    <row r="161" spans="1:8">
      <c r="A161" s="709" t="s">
        <v>327</v>
      </c>
      <c r="B161" s="709" t="s">
        <v>328</v>
      </c>
      <c r="C161" s="710">
        <v>9975</v>
      </c>
      <c r="D161" s="710"/>
      <c r="E161" s="707" t="s">
        <v>1264</v>
      </c>
      <c r="F161" s="707" t="s">
        <v>712</v>
      </c>
      <c r="G161" s="707"/>
      <c r="H161" s="707"/>
    </row>
    <row r="162" spans="1:8">
      <c r="A162" s="709" t="s">
        <v>64</v>
      </c>
      <c r="B162" s="709" t="s">
        <v>65</v>
      </c>
      <c r="C162" s="710">
        <v>10116</v>
      </c>
      <c r="D162" s="710"/>
      <c r="E162" s="714" t="s">
        <v>1264</v>
      </c>
      <c r="F162" s="707" t="s">
        <v>652</v>
      </c>
      <c r="G162" s="707"/>
      <c r="H162" s="707"/>
    </row>
    <row r="163" spans="1:8">
      <c r="A163" s="709" t="s">
        <v>375</v>
      </c>
      <c r="B163" s="709" t="s">
        <v>614</v>
      </c>
      <c r="C163" s="710">
        <v>6585</v>
      </c>
      <c r="D163" s="710"/>
      <c r="E163" s="707" t="s">
        <v>1264</v>
      </c>
      <c r="F163" s="707" t="s">
        <v>1357</v>
      </c>
      <c r="G163" s="707"/>
      <c r="H163" s="707"/>
    </row>
    <row r="164" spans="1:8">
      <c r="A164" s="709" t="s">
        <v>486</v>
      </c>
      <c r="B164" s="709" t="s">
        <v>487</v>
      </c>
      <c r="C164" s="710">
        <v>1765</v>
      </c>
      <c r="D164" s="710"/>
      <c r="E164" s="707" t="s">
        <v>1264</v>
      </c>
      <c r="F164" s="707" t="s">
        <v>1356</v>
      </c>
      <c r="G164" s="707"/>
      <c r="H164" s="707"/>
    </row>
    <row r="165" spans="1:8">
      <c r="A165" s="709" t="s">
        <v>496</v>
      </c>
      <c r="B165" s="709" t="s">
        <v>497</v>
      </c>
      <c r="C165" s="710">
        <v>3586</v>
      </c>
      <c r="D165" s="710"/>
      <c r="E165" s="707" t="s">
        <v>1264</v>
      </c>
      <c r="F165" s="707" t="s">
        <v>604</v>
      </c>
      <c r="G165" s="707"/>
      <c r="H165" s="707"/>
    </row>
    <row r="166" spans="1:8">
      <c r="A166" s="712" t="s">
        <v>183</v>
      </c>
      <c r="B166" s="712" t="s">
        <v>184</v>
      </c>
      <c r="C166" s="710">
        <v>6024</v>
      </c>
      <c r="D166" s="710"/>
      <c r="E166" s="707" t="s">
        <v>1264</v>
      </c>
      <c r="F166" s="707" t="s">
        <v>1358</v>
      </c>
      <c r="G166" s="707"/>
      <c r="H166" s="707"/>
    </row>
    <row r="167" spans="1:8">
      <c r="A167" s="709" t="s">
        <v>56</v>
      </c>
      <c r="B167" s="709" t="s">
        <v>57</v>
      </c>
      <c r="C167" s="710">
        <v>10676</v>
      </c>
      <c r="D167" s="710"/>
      <c r="E167" s="714" t="s">
        <v>1264</v>
      </c>
      <c r="F167" s="707" t="s">
        <v>652</v>
      </c>
      <c r="G167" s="707"/>
      <c r="H167" s="707"/>
    </row>
    <row r="168" spans="1:8">
      <c r="A168" s="709" t="s">
        <v>92</v>
      </c>
      <c r="B168" s="709" t="s">
        <v>93</v>
      </c>
      <c r="C168" s="710">
        <v>869</v>
      </c>
      <c r="D168" s="710"/>
      <c r="E168" s="707" t="s">
        <v>1264</v>
      </c>
      <c r="F168" s="707" t="s">
        <v>1355</v>
      </c>
      <c r="G168" s="707"/>
      <c r="H168" s="707"/>
    </row>
    <row r="169" spans="1:8">
      <c r="A169" s="709" t="s">
        <v>262</v>
      </c>
      <c r="B169" s="709" t="s">
        <v>263</v>
      </c>
      <c r="C169" s="710">
        <v>0</v>
      </c>
      <c r="D169" s="710"/>
      <c r="E169" s="707"/>
      <c r="F169" s="707"/>
      <c r="G169" s="707"/>
      <c r="H169" s="707"/>
    </row>
    <row r="170" spans="1:8">
      <c r="A170" s="709" t="s">
        <v>283</v>
      </c>
      <c r="B170" s="709" t="s">
        <v>284</v>
      </c>
      <c r="C170" s="710">
        <v>0</v>
      </c>
      <c r="D170" s="710"/>
      <c r="E170" s="707"/>
      <c r="F170" s="707"/>
      <c r="G170" s="707"/>
      <c r="H170" s="707"/>
    </row>
    <row r="171" spans="1:8">
      <c r="A171" s="709" t="s">
        <v>12</v>
      </c>
      <c r="B171" s="709" t="s">
        <v>13</v>
      </c>
      <c r="C171" s="710">
        <v>168</v>
      </c>
      <c r="D171" s="710"/>
      <c r="E171" s="707" t="s">
        <v>1359</v>
      </c>
      <c r="F171" s="707"/>
      <c r="G171" s="707"/>
      <c r="H171" s="707"/>
    </row>
    <row r="172" spans="1:8">
      <c r="A172" s="709" t="s">
        <v>213</v>
      </c>
      <c r="B172" s="709" t="s">
        <v>598</v>
      </c>
      <c r="C172" s="710">
        <v>3502</v>
      </c>
      <c r="D172" s="710"/>
      <c r="E172" s="707" t="s">
        <v>1359</v>
      </c>
      <c r="F172" s="707"/>
      <c r="G172" s="707"/>
      <c r="H172" s="707"/>
    </row>
    <row r="173" spans="1:8">
      <c r="A173" s="709" t="s">
        <v>2</v>
      </c>
      <c r="B173" s="709" t="s">
        <v>3</v>
      </c>
      <c r="C173" s="710">
        <v>0</v>
      </c>
      <c r="D173" s="710"/>
      <c r="E173" s="707"/>
      <c r="F173" s="707"/>
      <c r="G173" s="707"/>
      <c r="H173" s="707"/>
    </row>
    <row r="174" spans="1:8">
      <c r="A174" s="709" t="s">
        <v>234</v>
      </c>
      <c r="B174" s="709" t="s">
        <v>235</v>
      </c>
      <c r="C174" s="710">
        <v>0</v>
      </c>
      <c r="D174" s="710"/>
      <c r="E174" s="707"/>
      <c r="F174" s="707"/>
      <c r="G174" s="707"/>
      <c r="H174" s="707"/>
    </row>
    <row r="175" spans="1:8">
      <c r="A175" s="709" t="s">
        <v>266</v>
      </c>
      <c r="B175" s="709" t="s">
        <v>267</v>
      </c>
      <c r="C175" s="710">
        <v>0</v>
      </c>
      <c r="D175" s="710"/>
      <c r="E175" s="707"/>
      <c r="F175" s="707"/>
      <c r="G175" s="707"/>
      <c r="H175" s="707"/>
    </row>
    <row r="176" spans="1:8">
      <c r="A176" s="709" t="s">
        <v>165</v>
      </c>
      <c r="B176" s="709" t="s">
        <v>166</v>
      </c>
      <c r="C176" s="710">
        <v>336</v>
      </c>
      <c r="D176" s="710"/>
      <c r="E176" s="707" t="s">
        <v>1359</v>
      </c>
      <c r="F176" s="707"/>
      <c r="G176" s="707"/>
      <c r="H176" s="707"/>
    </row>
    <row r="177" spans="1:8">
      <c r="A177" s="709" t="s">
        <v>45</v>
      </c>
      <c r="B177" s="709" t="s">
        <v>46</v>
      </c>
      <c r="C177" s="710">
        <v>0</v>
      </c>
      <c r="D177" s="710"/>
      <c r="E177" s="707"/>
      <c r="F177" s="707"/>
      <c r="G177" s="707"/>
      <c r="H177" s="707"/>
    </row>
    <row r="178" spans="1:8">
      <c r="A178" s="709" t="s">
        <v>347</v>
      </c>
      <c r="B178" s="709" t="s">
        <v>348</v>
      </c>
      <c r="C178" s="710">
        <v>0</v>
      </c>
      <c r="D178" s="710"/>
      <c r="E178" s="707"/>
      <c r="F178" s="707"/>
      <c r="G178" s="707"/>
      <c r="H178" s="707"/>
    </row>
    <row r="179" spans="1:8">
      <c r="A179" s="709" t="s">
        <v>236</v>
      </c>
      <c r="B179" s="709" t="s">
        <v>237</v>
      </c>
      <c r="C179" s="710">
        <v>0</v>
      </c>
      <c r="D179" s="710"/>
      <c r="E179" s="707"/>
      <c r="F179" s="707"/>
      <c r="G179" s="707"/>
      <c r="H179" s="707"/>
    </row>
    <row r="180" spans="1:8">
      <c r="A180" s="709" t="s">
        <v>450</v>
      </c>
      <c r="B180" s="709" t="s">
        <v>451</v>
      </c>
      <c r="C180" s="710">
        <v>841</v>
      </c>
      <c r="D180" s="710"/>
      <c r="E180" s="707" t="s">
        <v>1359</v>
      </c>
      <c r="F180" s="707"/>
      <c r="G180" s="707"/>
      <c r="H180" s="707"/>
    </row>
    <row r="181" spans="1:8">
      <c r="A181" s="709" t="s">
        <v>169</v>
      </c>
      <c r="B181" s="709" t="s">
        <v>170</v>
      </c>
      <c r="C181" s="710">
        <v>1681</v>
      </c>
      <c r="D181" s="710"/>
      <c r="E181" s="707" t="s">
        <v>1359</v>
      </c>
      <c r="F181" s="707"/>
      <c r="G181" s="707"/>
      <c r="H181" s="707"/>
    </row>
    <row r="182" spans="1:8">
      <c r="A182" s="709" t="s">
        <v>525</v>
      </c>
      <c r="B182" s="709" t="s">
        <v>526</v>
      </c>
      <c r="C182" s="710">
        <v>0</v>
      </c>
      <c r="D182" s="710"/>
      <c r="E182" s="707"/>
      <c r="F182" s="707"/>
      <c r="G182" s="707"/>
      <c r="H182" s="707"/>
    </row>
    <row r="183" spans="1:8">
      <c r="A183" s="709" t="s">
        <v>533</v>
      </c>
      <c r="B183" s="709" t="s">
        <v>534</v>
      </c>
      <c r="C183" s="710">
        <v>0</v>
      </c>
      <c r="D183" s="710"/>
      <c r="E183" s="707"/>
      <c r="F183" s="707"/>
      <c r="G183" s="707"/>
      <c r="H183" s="707"/>
    </row>
    <row r="184" spans="1:8">
      <c r="A184" s="709" t="s">
        <v>464</v>
      </c>
      <c r="B184" s="709" t="s">
        <v>465</v>
      </c>
      <c r="C184" s="710">
        <v>0</v>
      </c>
      <c r="D184" s="710"/>
      <c r="E184" s="707"/>
      <c r="F184" s="707"/>
      <c r="G184" s="707"/>
      <c r="H184" s="707"/>
    </row>
    <row r="185" spans="1:8">
      <c r="A185" s="709" t="s">
        <v>376</v>
      </c>
      <c r="B185" s="709" t="s">
        <v>377</v>
      </c>
      <c r="C185" s="710">
        <v>0</v>
      </c>
      <c r="D185" s="710"/>
      <c r="E185" s="707"/>
      <c r="F185" s="707"/>
      <c r="G185" s="707"/>
      <c r="H185" s="707"/>
    </row>
    <row r="186" spans="1:8">
      <c r="A186" s="709" t="s">
        <v>147</v>
      </c>
      <c r="B186" s="709" t="s">
        <v>148</v>
      </c>
      <c r="C186" s="710">
        <v>476</v>
      </c>
      <c r="D186" s="710"/>
      <c r="E186" s="707" t="s">
        <v>1359</v>
      </c>
      <c r="F186" s="707"/>
      <c r="G186" s="707"/>
      <c r="H186" s="707"/>
    </row>
    <row r="187" spans="1:8">
      <c r="A187" s="709" t="s">
        <v>120</v>
      </c>
      <c r="B187" s="709" t="s">
        <v>654</v>
      </c>
      <c r="C187" s="710">
        <v>0</v>
      </c>
      <c r="D187" s="710"/>
      <c r="E187" s="707"/>
      <c r="F187" s="707"/>
      <c r="G187" s="707"/>
      <c r="H187" s="707"/>
    </row>
    <row r="188" spans="1:8">
      <c r="A188" s="709" t="s">
        <v>159</v>
      </c>
      <c r="B188" s="709" t="s">
        <v>160</v>
      </c>
      <c r="C188" s="710">
        <v>3922</v>
      </c>
      <c r="D188" s="710"/>
      <c r="E188" s="707" t="s">
        <v>1359</v>
      </c>
      <c r="F188" s="707"/>
      <c r="G188" s="707"/>
      <c r="H188" s="707"/>
    </row>
    <row r="189" spans="1:8">
      <c r="A189" s="709" t="s">
        <v>41</v>
      </c>
      <c r="B189" s="709" t="s">
        <v>42</v>
      </c>
      <c r="C189" s="710">
        <v>0</v>
      </c>
      <c r="D189" s="710"/>
      <c r="E189" s="707"/>
      <c r="F189" s="707"/>
      <c r="G189" s="707"/>
      <c r="H189" s="707"/>
    </row>
    <row r="190" spans="1:8">
      <c r="A190" s="709" t="s">
        <v>285</v>
      </c>
      <c r="B190" s="709" t="s">
        <v>286</v>
      </c>
      <c r="C190" s="710">
        <v>0</v>
      </c>
      <c r="D190" s="710"/>
      <c r="E190" s="707"/>
      <c r="F190" s="707"/>
      <c r="G190" s="707"/>
      <c r="H190" s="707"/>
    </row>
    <row r="191" spans="1:8">
      <c r="A191" s="709" t="s">
        <v>96</v>
      </c>
      <c r="B191" s="709" t="s">
        <v>97</v>
      </c>
      <c r="C191" s="710">
        <v>0</v>
      </c>
      <c r="D191" s="710"/>
      <c r="E191" s="707"/>
      <c r="F191" s="707"/>
      <c r="G191" s="707"/>
      <c r="H191" s="707"/>
    </row>
    <row r="192" spans="1:8">
      <c r="A192" s="709" t="s">
        <v>338</v>
      </c>
      <c r="B192" s="709" t="s">
        <v>339</v>
      </c>
      <c r="C192" s="710">
        <v>0</v>
      </c>
      <c r="D192" s="710"/>
      <c r="E192" s="707"/>
      <c r="F192" s="707"/>
      <c r="G192" s="707"/>
      <c r="H192" s="707"/>
    </row>
    <row r="193" spans="1:8">
      <c r="A193" s="709" t="s">
        <v>220</v>
      </c>
      <c r="B193" s="709" t="s">
        <v>221</v>
      </c>
      <c r="C193" s="710">
        <v>0</v>
      </c>
      <c r="D193" s="710"/>
      <c r="E193" s="707"/>
      <c r="F193" s="707"/>
      <c r="G193" s="707"/>
      <c r="H193" s="707"/>
    </row>
    <row r="194" spans="1:8">
      <c r="A194" s="709" t="s">
        <v>417</v>
      </c>
      <c r="B194" s="709" t="s">
        <v>418</v>
      </c>
      <c r="C194" s="710">
        <v>0</v>
      </c>
      <c r="D194" s="710"/>
      <c r="E194" s="707"/>
      <c r="F194" s="707"/>
      <c r="G194" s="707"/>
      <c r="H194" s="707"/>
    </row>
    <row r="195" spans="1:8">
      <c r="A195" s="709" t="s">
        <v>293</v>
      </c>
      <c r="B195" s="709" t="s">
        <v>294</v>
      </c>
      <c r="C195" s="710">
        <v>0</v>
      </c>
      <c r="D195" s="710"/>
      <c r="E195" s="707"/>
      <c r="F195" s="707"/>
      <c r="G195" s="707"/>
      <c r="H195" s="707"/>
    </row>
    <row r="196" spans="1:8">
      <c r="A196" s="709" t="s">
        <v>66</v>
      </c>
      <c r="B196" s="709" t="s">
        <v>67</v>
      </c>
      <c r="C196" s="710">
        <v>29</v>
      </c>
      <c r="D196" s="710"/>
      <c r="E196" s="707" t="s">
        <v>1359</v>
      </c>
      <c r="F196" s="707"/>
      <c r="G196" s="707"/>
      <c r="H196" s="707"/>
    </row>
    <row r="197" spans="1:8">
      <c r="A197" s="709" t="s">
        <v>444</v>
      </c>
      <c r="B197" s="709" t="s">
        <v>445</v>
      </c>
      <c r="C197" s="710">
        <v>701</v>
      </c>
      <c r="D197" s="710"/>
      <c r="E197" s="707" t="s">
        <v>1359</v>
      </c>
      <c r="F197" s="707"/>
      <c r="G197" s="707"/>
      <c r="H197" s="707"/>
    </row>
    <row r="198" spans="1:8">
      <c r="A198" s="709" t="s">
        <v>490</v>
      </c>
      <c r="B198" s="709" t="s">
        <v>491</v>
      </c>
      <c r="C198" s="710">
        <v>0</v>
      </c>
      <c r="D198" s="710"/>
      <c r="E198" s="707"/>
      <c r="F198" s="707"/>
      <c r="G198" s="707"/>
      <c r="H198" s="707"/>
    </row>
    <row r="199" spans="1:8">
      <c r="A199" s="709" t="s">
        <v>365</v>
      </c>
      <c r="B199" s="709" t="s">
        <v>366</v>
      </c>
      <c r="C199" s="710">
        <v>2298</v>
      </c>
      <c r="D199" s="710"/>
      <c r="E199" s="707" t="s">
        <v>1359</v>
      </c>
      <c r="F199" s="707"/>
      <c r="G199" s="707"/>
      <c r="H199" s="707"/>
    </row>
    <row r="200" spans="1:8">
      <c r="A200" s="709" t="s">
        <v>141</v>
      </c>
      <c r="B200" s="709" t="s">
        <v>142</v>
      </c>
      <c r="C200" s="710">
        <v>16868</v>
      </c>
      <c r="D200" s="710"/>
      <c r="E200" s="707" t="s">
        <v>1359</v>
      </c>
      <c r="F200" s="707"/>
      <c r="G200" s="707"/>
      <c r="H200" s="707"/>
    </row>
    <row r="201" spans="1:8">
      <c r="A201" s="709" t="s">
        <v>535</v>
      </c>
      <c r="B201" s="709" t="s">
        <v>536</v>
      </c>
      <c r="C201" s="710">
        <v>0</v>
      </c>
      <c r="D201" s="710"/>
      <c r="E201" s="707"/>
      <c r="F201" s="707"/>
      <c r="G201" s="707"/>
      <c r="H201" s="707"/>
    </row>
    <row r="202" spans="1:8">
      <c r="A202" s="709" t="s">
        <v>256</v>
      </c>
      <c r="B202" s="709" t="s">
        <v>257</v>
      </c>
      <c r="C202" s="710">
        <v>0</v>
      </c>
      <c r="D202" s="710"/>
      <c r="E202" s="707"/>
      <c r="F202" s="707"/>
      <c r="G202" s="707"/>
      <c r="H202" s="707"/>
    </row>
    <row r="203" spans="1:8">
      <c r="A203" s="709" t="s">
        <v>462</v>
      </c>
      <c r="B203" s="709" t="s">
        <v>463</v>
      </c>
      <c r="C203" s="710">
        <v>0</v>
      </c>
      <c r="D203" s="710"/>
      <c r="E203" s="707"/>
      <c r="F203" s="707"/>
      <c r="G203" s="707"/>
      <c r="H203" s="707"/>
    </row>
    <row r="204" spans="1:8">
      <c r="A204" s="709" t="s">
        <v>436</v>
      </c>
      <c r="B204" s="709" t="s">
        <v>437</v>
      </c>
      <c r="C204" s="710">
        <v>0</v>
      </c>
      <c r="D204" s="710"/>
      <c r="E204" s="707"/>
      <c r="F204" s="707"/>
      <c r="G204" s="707"/>
      <c r="H204" s="707"/>
    </row>
    <row r="205" spans="1:8">
      <c r="A205" s="709" t="s">
        <v>529</v>
      </c>
      <c r="B205" s="709" t="s">
        <v>530</v>
      </c>
      <c r="C205" s="710">
        <v>0</v>
      </c>
      <c r="D205" s="710"/>
      <c r="E205" s="707"/>
      <c r="F205" s="707"/>
      <c r="G205" s="707"/>
      <c r="H205" s="707"/>
    </row>
    <row r="206" spans="1:8">
      <c r="A206" s="709" t="s">
        <v>240</v>
      </c>
      <c r="B206" s="709" t="s">
        <v>241</v>
      </c>
      <c r="C206" s="710">
        <v>0</v>
      </c>
      <c r="D206" s="710"/>
      <c r="E206" s="707"/>
      <c r="F206" s="707"/>
      <c r="G206" s="707"/>
      <c r="H206" s="707"/>
    </row>
    <row r="207" spans="1:8">
      <c r="A207" s="709" t="s">
        <v>131</v>
      </c>
      <c r="B207" s="709" t="s">
        <v>655</v>
      </c>
      <c r="C207" s="710">
        <v>0</v>
      </c>
      <c r="D207" s="710"/>
      <c r="E207" s="707"/>
      <c r="F207" s="707"/>
      <c r="G207" s="707"/>
      <c r="H207" s="707"/>
    </row>
    <row r="208" spans="1:8">
      <c r="A208" s="709" t="s">
        <v>419</v>
      </c>
      <c r="B208" s="709" t="s">
        <v>420</v>
      </c>
      <c r="C208" s="710">
        <v>5940</v>
      </c>
      <c r="D208" s="710"/>
      <c r="E208" s="707" t="s">
        <v>1359</v>
      </c>
      <c r="F208" s="707"/>
      <c r="G208" s="707"/>
      <c r="H208" s="707"/>
    </row>
    <row r="209" spans="1:8">
      <c r="A209" s="709" t="s">
        <v>297</v>
      </c>
      <c r="B209" s="709" t="s">
        <v>298</v>
      </c>
      <c r="C209" s="710">
        <v>0</v>
      </c>
      <c r="D209" s="710"/>
      <c r="E209" s="707"/>
      <c r="F209" s="707"/>
      <c r="G209" s="707"/>
      <c r="H209" s="707"/>
    </row>
    <row r="210" spans="1:8">
      <c r="A210" s="709" t="s">
        <v>426</v>
      </c>
      <c r="B210" s="709" t="s">
        <v>427</v>
      </c>
      <c r="C210" s="710">
        <v>0</v>
      </c>
      <c r="D210" s="710"/>
      <c r="E210" s="707"/>
      <c r="F210" s="707"/>
      <c r="G210" s="707"/>
      <c r="H210" s="707"/>
    </row>
    <row r="211" spans="1:8">
      <c r="A211" s="709" t="s">
        <v>54</v>
      </c>
      <c r="B211" s="709" t="s">
        <v>55</v>
      </c>
      <c r="C211" s="710">
        <v>0</v>
      </c>
      <c r="D211" s="710"/>
      <c r="E211" s="707"/>
      <c r="F211" s="707"/>
      <c r="G211" s="707"/>
      <c r="H211" s="707"/>
    </row>
    <row r="212" spans="1:8">
      <c r="A212" s="709" t="s">
        <v>482</v>
      </c>
      <c r="B212" s="709" t="s">
        <v>483</v>
      </c>
      <c r="C212" s="710">
        <v>0</v>
      </c>
      <c r="D212" s="710"/>
      <c r="E212" s="707"/>
      <c r="F212" s="707"/>
      <c r="G212" s="707"/>
      <c r="H212" s="707"/>
    </row>
    <row r="213" spans="1:8">
      <c r="A213" s="709" t="s">
        <v>291</v>
      </c>
      <c r="B213" s="709" t="s">
        <v>292</v>
      </c>
      <c r="C213" s="710">
        <v>0</v>
      </c>
      <c r="D213" s="710"/>
      <c r="E213" s="707"/>
      <c r="F213" s="707"/>
      <c r="G213" s="707"/>
      <c r="H213" s="707"/>
    </row>
    <row r="214" spans="1:8">
      <c r="A214" s="709" t="s">
        <v>307</v>
      </c>
      <c r="B214" s="709" t="s">
        <v>308</v>
      </c>
      <c r="C214" s="710">
        <v>0</v>
      </c>
      <c r="D214" s="710"/>
      <c r="E214" s="707"/>
      <c r="F214" s="707"/>
      <c r="G214" s="707"/>
      <c r="H214" s="707"/>
    </row>
    <row r="215" spans="1:8">
      <c r="A215" s="709" t="s">
        <v>134</v>
      </c>
      <c r="B215" s="709" t="s">
        <v>135</v>
      </c>
      <c r="C215" s="710">
        <v>7342</v>
      </c>
      <c r="D215" s="710"/>
      <c r="E215" s="707" t="s">
        <v>1359</v>
      </c>
      <c r="F215" s="707"/>
      <c r="G215" s="707"/>
      <c r="H215" s="707"/>
    </row>
    <row r="216" spans="1:8">
      <c r="A216" s="709" t="s">
        <v>100</v>
      </c>
      <c r="B216" s="709" t="s">
        <v>101</v>
      </c>
      <c r="C216" s="710">
        <v>0</v>
      </c>
      <c r="D216" s="710"/>
      <c r="E216" s="707"/>
      <c r="F216" s="707"/>
      <c r="G216" s="707"/>
      <c r="H216" s="707"/>
    </row>
    <row r="217" spans="1:8">
      <c r="A217" s="709" t="s">
        <v>407</v>
      </c>
      <c r="B217" s="709" t="s">
        <v>408</v>
      </c>
      <c r="C217" s="710">
        <v>0</v>
      </c>
      <c r="D217" s="710"/>
      <c r="E217" s="707"/>
      <c r="F217" s="707"/>
      <c r="G217" s="707"/>
      <c r="H217" s="707"/>
    </row>
    <row r="218" spans="1:8">
      <c r="A218" s="709" t="s">
        <v>110</v>
      </c>
      <c r="B218" s="709" t="s">
        <v>111</v>
      </c>
      <c r="C218" s="710">
        <v>0</v>
      </c>
      <c r="D218" s="710"/>
      <c r="E218" s="707"/>
      <c r="F218" s="707"/>
      <c r="G218" s="707"/>
      <c r="H218" s="707"/>
    </row>
    <row r="219" spans="1:8">
      <c r="A219" s="709" t="s">
        <v>76</v>
      </c>
      <c r="B219" s="709" t="s">
        <v>77</v>
      </c>
      <c r="C219" s="710">
        <v>0</v>
      </c>
      <c r="D219" s="710"/>
      <c r="E219" s="707"/>
      <c r="F219" s="707"/>
      <c r="G219" s="707"/>
      <c r="H219" s="707"/>
    </row>
    <row r="220" spans="1:8">
      <c r="A220" s="715" t="s">
        <v>94</v>
      </c>
      <c r="B220" s="709" t="s">
        <v>95</v>
      </c>
      <c r="C220" s="710">
        <v>0</v>
      </c>
      <c r="D220" s="710"/>
      <c r="E220" s="707"/>
      <c r="F220" s="707"/>
      <c r="G220" s="707"/>
      <c r="H220" s="707"/>
    </row>
    <row r="221" spans="1:8">
      <c r="A221" s="709" t="s">
        <v>470</v>
      </c>
      <c r="B221" s="709" t="s">
        <v>471</v>
      </c>
      <c r="C221" s="710">
        <v>0</v>
      </c>
      <c r="D221" s="710"/>
      <c r="E221" s="707"/>
      <c r="F221" s="707"/>
      <c r="G221" s="707"/>
      <c r="H221" s="707"/>
    </row>
    <row r="222" spans="1:8">
      <c r="A222" s="709" t="s">
        <v>242</v>
      </c>
      <c r="B222" s="709" t="s">
        <v>243</v>
      </c>
      <c r="C222" s="710">
        <v>0</v>
      </c>
      <c r="D222" s="710"/>
      <c r="E222" s="707"/>
      <c r="F222" s="707"/>
      <c r="G222" s="707"/>
      <c r="H222" s="707"/>
    </row>
    <row r="223" spans="1:8">
      <c r="A223" s="709" t="s">
        <v>382</v>
      </c>
      <c r="B223" s="709" t="s">
        <v>383</v>
      </c>
      <c r="C223" s="710">
        <v>0</v>
      </c>
      <c r="D223" s="710"/>
      <c r="E223" s="707"/>
      <c r="F223" s="707"/>
      <c r="G223" s="707"/>
      <c r="H223" s="707"/>
    </row>
    <row r="224" spans="1:8">
      <c r="A224" s="709" t="s">
        <v>53</v>
      </c>
      <c r="B224" s="709" t="s">
        <v>609</v>
      </c>
      <c r="C224" s="710">
        <v>4904</v>
      </c>
      <c r="D224" s="710"/>
      <c r="E224" s="707" t="s">
        <v>1359</v>
      </c>
      <c r="F224" s="707"/>
      <c r="G224" s="707"/>
      <c r="H224" s="707"/>
    </row>
    <row r="225" spans="1:8">
      <c r="A225" s="709" t="s">
        <v>518</v>
      </c>
      <c r="B225" s="709" t="s">
        <v>645</v>
      </c>
      <c r="C225" s="710">
        <v>0</v>
      </c>
      <c r="D225" s="710"/>
      <c r="E225" s="707"/>
      <c r="F225" s="707"/>
      <c r="G225" s="707"/>
      <c r="H225" s="707"/>
    </row>
    <row r="226" spans="1:8">
      <c r="A226" s="709" t="s">
        <v>519</v>
      </c>
      <c r="B226" s="709" t="s">
        <v>520</v>
      </c>
      <c r="C226" s="710">
        <v>0</v>
      </c>
      <c r="D226" s="710"/>
      <c r="E226" s="707"/>
      <c r="F226" s="707"/>
      <c r="G226" s="707"/>
      <c r="H226" s="707"/>
    </row>
    <row r="227" spans="1:8">
      <c r="A227" s="709" t="s">
        <v>441</v>
      </c>
      <c r="B227" s="709" t="s">
        <v>442</v>
      </c>
      <c r="C227" s="710">
        <v>0</v>
      </c>
      <c r="D227" s="710"/>
      <c r="E227" s="707"/>
      <c r="F227" s="707"/>
      <c r="G227" s="707"/>
      <c r="H227" s="707"/>
    </row>
    <row r="228" spans="1:8">
      <c r="A228" s="709" t="s">
        <v>6</v>
      </c>
      <c r="B228" s="709" t="s">
        <v>7</v>
      </c>
      <c r="C228" s="710">
        <v>3391</v>
      </c>
      <c r="D228" s="710"/>
      <c r="E228" s="707" t="s">
        <v>1359</v>
      </c>
      <c r="F228" s="707"/>
      <c r="G228" s="707"/>
      <c r="H228" s="707"/>
    </row>
    <row r="229" spans="1:8">
      <c r="A229" s="709" t="s">
        <v>458</v>
      </c>
      <c r="B229" s="709" t="s">
        <v>459</v>
      </c>
      <c r="C229" s="710">
        <v>0</v>
      </c>
      <c r="D229" s="710"/>
      <c r="E229" s="707"/>
      <c r="F229" s="707"/>
      <c r="G229" s="707"/>
      <c r="H229" s="707"/>
    </row>
    <row r="230" spans="1:8">
      <c r="A230" s="709" t="s">
        <v>250</v>
      </c>
      <c r="B230" s="709" t="s">
        <v>251</v>
      </c>
      <c r="C230" s="710">
        <v>0</v>
      </c>
      <c r="D230" s="710"/>
      <c r="E230" s="707"/>
      <c r="F230" s="707"/>
      <c r="G230" s="707"/>
      <c r="H230" s="707"/>
    </row>
    <row r="231" spans="1:8">
      <c r="A231" s="709" t="s">
        <v>90</v>
      </c>
      <c r="B231" s="709" t="s">
        <v>91</v>
      </c>
      <c r="C231" s="710">
        <v>0</v>
      </c>
      <c r="D231" s="710"/>
      <c r="E231" s="707"/>
      <c r="F231" s="707"/>
      <c r="G231" s="707"/>
      <c r="H231" s="707"/>
    </row>
    <row r="232" spans="1:8">
      <c r="A232" s="709" t="s">
        <v>301</v>
      </c>
      <c r="B232" s="709" t="s">
        <v>302</v>
      </c>
      <c r="C232" s="710">
        <v>0</v>
      </c>
      <c r="D232" s="710"/>
      <c r="E232" s="707"/>
      <c r="F232" s="707"/>
      <c r="G232" s="707"/>
      <c r="H232" s="707"/>
    </row>
    <row r="233" spans="1:8">
      <c r="A233" s="709" t="s">
        <v>466</v>
      </c>
      <c r="B233" s="709" t="s">
        <v>467</v>
      </c>
      <c r="C233" s="710">
        <v>0</v>
      </c>
      <c r="D233" s="710"/>
      <c r="E233" s="707"/>
      <c r="F233" s="707"/>
      <c r="G233" s="707"/>
      <c r="H233" s="707"/>
    </row>
    <row r="234" spans="1:8">
      <c r="A234" s="709" t="s">
        <v>138</v>
      </c>
      <c r="B234" s="709" t="s">
        <v>656</v>
      </c>
      <c r="C234" s="710">
        <v>0</v>
      </c>
      <c r="D234" s="710"/>
      <c r="E234" s="707"/>
      <c r="F234" s="707"/>
      <c r="G234" s="707"/>
      <c r="H234" s="707"/>
    </row>
    <row r="235" spans="1:8">
      <c r="A235" s="709" t="s">
        <v>430</v>
      </c>
      <c r="B235" s="709" t="s">
        <v>431</v>
      </c>
      <c r="C235" s="710">
        <v>728</v>
      </c>
      <c r="D235" s="710"/>
      <c r="E235" s="707" t="s">
        <v>1359</v>
      </c>
      <c r="F235" s="707"/>
      <c r="G235" s="707"/>
      <c r="H235" s="707"/>
    </row>
    <row r="236" spans="1:8">
      <c r="A236" s="709" t="s">
        <v>319</v>
      </c>
      <c r="B236" s="709" t="s">
        <v>320</v>
      </c>
      <c r="C236" s="710">
        <v>785</v>
      </c>
      <c r="D236" s="710"/>
      <c r="E236" s="707" t="s">
        <v>1359</v>
      </c>
      <c r="F236" s="707"/>
      <c r="G236" s="707"/>
      <c r="H236" s="707"/>
    </row>
    <row r="237" spans="1:8">
      <c r="A237" s="709" t="s">
        <v>391</v>
      </c>
      <c r="B237" s="709" t="s">
        <v>392</v>
      </c>
      <c r="C237" s="710">
        <v>0</v>
      </c>
      <c r="D237" s="710"/>
      <c r="E237" s="707"/>
      <c r="F237" s="707"/>
      <c r="G237" s="707"/>
      <c r="H237" s="707"/>
    </row>
    <row r="238" spans="1:8">
      <c r="A238" s="709" t="s">
        <v>260</v>
      </c>
      <c r="B238" s="709" t="s">
        <v>261</v>
      </c>
      <c r="C238" s="710">
        <v>0</v>
      </c>
      <c r="D238" s="710"/>
      <c r="E238" s="707"/>
      <c r="F238" s="707"/>
      <c r="G238" s="707"/>
      <c r="H238" s="707"/>
    </row>
    <row r="239" spans="1:8">
      <c r="A239" s="709" t="s">
        <v>389</v>
      </c>
      <c r="B239" s="709" t="s">
        <v>390</v>
      </c>
      <c r="C239" s="710">
        <v>0</v>
      </c>
      <c r="D239" s="710"/>
      <c r="E239" s="707"/>
      <c r="F239" s="707"/>
      <c r="G239" s="707"/>
      <c r="H239" s="707"/>
    </row>
    <row r="240" spans="1:8">
      <c r="A240" s="709" t="s">
        <v>252</v>
      </c>
      <c r="B240" s="709" t="s">
        <v>253</v>
      </c>
      <c r="C240" s="710">
        <v>1710</v>
      </c>
      <c r="D240" s="710"/>
      <c r="E240" s="707" t="s">
        <v>1359</v>
      </c>
      <c r="F240" s="707"/>
      <c r="G240" s="707"/>
      <c r="H240" s="707"/>
    </row>
    <row r="241" spans="1:8">
      <c r="A241" s="709" t="s">
        <v>336</v>
      </c>
      <c r="B241" s="709" t="s">
        <v>337</v>
      </c>
      <c r="C241" s="710">
        <v>0</v>
      </c>
      <c r="D241" s="710"/>
      <c r="E241" s="707"/>
      <c r="F241" s="707"/>
      <c r="G241" s="707"/>
      <c r="H241" s="707"/>
    </row>
    <row r="242" spans="1:8">
      <c r="A242" s="709" t="s">
        <v>428</v>
      </c>
      <c r="B242" s="709" t="s">
        <v>429</v>
      </c>
      <c r="C242" s="710">
        <v>0</v>
      </c>
      <c r="D242" s="710"/>
      <c r="E242" s="707"/>
      <c r="F242" s="707"/>
      <c r="G242" s="707"/>
      <c r="H242" s="707"/>
    </row>
    <row r="243" spans="1:8">
      <c r="A243" s="709" t="s">
        <v>136</v>
      </c>
      <c r="B243" s="709" t="s">
        <v>137</v>
      </c>
      <c r="C243" s="710">
        <v>0</v>
      </c>
      <c r="D243" s="710"/>
      <c r="E243" s="707"/>
      <c r="F243" s="707"/>
      <c r="G243" s="707"/>
      <c r="H243" s="707"/>
    </row>
    <row r="244" spans="1:8">
      <c r="A244" s="709" t="s">
        <v>334</v>
      </c>
      <c r="B244" s="709" t="s">
        <v>335</v>
      </c>
      <c r="C244" s="710">
        <v>0</v>
      </c>
      <c r="D244" s="710"/>
      <c r="E244" s="707"/>
      <c r="F244" s="707"/>
      <c r="G244" s="707"/>
      <c r="H244" s="707"/>
    </row>
    <row r="245" spans="1:8">
      <c r="A245" s="709" t="s">
        <v>468</v>
      </c>
      <c r="B245" s="709" t="s">
        <v>469</v>
      </c>
      <c r="C245" s="710">
        <v>0</v>
      </c>
      <c r="D245" s="710"/>
      <c r="E245" s="707"/>
      <c r="F245" s="707"/>
      <c r="G245" s="707"/>
      <c r="H245" s="707"/>
    </row>
    <row r="246" spans="1:8">
      <c r="A246" s="709" t="s">
        <v>541</v>
      </c>
      <c r="B246" s="709" t="s">
        <v>542</v>
      </c>
      <c r="C246" s="710">
        <v>0</v>
      </c>
      <c r="D246" s="710"/>
      <c r="E246" s="707"/>
      <c r="F246" s="707"/>
      <c r="G246" s="707"/>
      <c r="H246" s="707"/>
    </row>
    <row r="247" spans="1:8">
      <c r="A247" s="709" t="s">
        <v>155</v>
      </c>
      <c r="B247" s="709" t="s">
        <v>156</v>
      </c>
      <c r="C247" s="710">
        <v>0</v>
      </c>
      <c r="D247" s="710"/>
      <c r="E247" s="707"/>
      <c r="F247" s="707"/>
      <c r="G247" s="707"/>
      <c r="H247" s="707"/>
    </row>
    <row r="248" spans="1:8">
      <c r="A248" s="709" t="s">
        <v>153</v>
      </c>
      <c r="B248" s="709" t="s">
        <v>154</v>
      </c>
      <c r="C248" s="710">
        <v>8882</v>
      </c>
      <c r="D248" s="710"/>
      <c r="E248" s="707" t="s">
        <v>1359</v>
      </c>
      <c r="F248" s="707"/>
      <c r="G248" s="707"/>
      <c r="H248" s="707"/>
    </row>
    <row r="249" spans="1:8">
      <c r="A249" s="709" t="s">
        <v>287</v>
      </c>
      <c r="B249" s="709" t="s">
        <v>288</v>
      </c>
      <c r="C249" s="710">
        <v>0</v>
      </c>
      <c r="D249" s="710"/>
      <c r="E249" s="707"/>
      <c r="F249" s="707"/>
      <c r="G249" s="707"/>
      <c r="H249" s="707"/>
    </row>
    <row r="250" spans="1:8">
      <c r="A250" s="709" t="s">
        <v>270</v>
      </c>
      <c r="B250" s="709" t="s">
        <v>271</v>
      </c>
      <c r="C250" s="710">
        <v>4119</v>
      </c>
      <c r="D250" s="710"/>
      <c r="E250" s="707" t="s">
        <v>1359</v>
      </c>
      <c r="F250" s="707"/>
      <c r="G250" s="707"/>
      <c r="H250" s="707"/>
    </row>
    <row r="251" spans="1:8">
      <c r="A251" s="709" t="s">
        <v>448</v>
      </c>
      <c r="B251" s="709" t="s">
        <v>449</v>
      </c>
      <c r="C251" s="710">
        <v>0</v>
      </c>
      <c r="D251" s="710"/>
      <c r="E251" s="707"/>
      <c r="F251" s="707"/>
      <c r="G251" s="707"/>
      <c r="H251" s="707"/>
    </row>
    <row r="252" spans="1:8">
      <c r="A252" s="709" t="s">
        <v>424</v>
      </c>
      <c r="B252" s="709" t="s">
        <v>425</v>
      </c>
      <c r="C252" s="710">
        <v>0</v>
      </c>
      <c r="D252" s="710"/>
      <c r="E252" s="707"/>
      <c r="F252" s="707"/>
      <c r="G252" s="707"/>
      <c r="H252" s="707"/>
    </row>
    <row r="253" spans="1:8">
      <c r="A253" s="709" t="s">
        <v>98</v>
      </c>
      <c r="B253" s="709" t="s">
        <v>99</v>
      </c>
      <c r="C253" s="710">
        <v>0</v>
      </c>
      <c r="D253" s="710"/>
      <c r="E253" s="707"/>
      <c r="F253" s="707"/>
      <c r="G253" s="707"/>
      <c r="H253" s="707"/>
    </row>
    <row r="254" spans="1:8">
      <c r="A254" s="709" t="s">
        <v>355</v>
      </c>
      <c r="B254" s="709" t="s">
        <v>356</v>
      </c>
      <c r="C254" s="710">
        <v>5044</v>
      </c>
      <c r="D254" s="710"/>
      <c r="E254" s="707" t="s">
        <v>1359</v>
      </c>
      <c r="F254" s="707"/>
      <c r="G254" s="707"/>
      <c r="H254" s="707"/>
    </row>
    <row r="255" spans="1:8">
      <c r="A255" s="709" t="s">
        <v>527</v>
      </c>
      <c r="B255" s="709" t="s">
        <v>528</v>
      </c>
      <c r="C255" s="710">
        <v>0</v>
      </c>
      <c r="D255" s="710"/>
      <c r="E255" s="707"/>
      <c r="F255" s="707"/>
      <c r="G255" s="707"/>
      <c r="H255" s="707"/>
    </row>
    <row r="256" spans="1:8">
      <c r="A256" s="709" t="s">
        <v>272</v>
      </c>
      <c r="B256" s="709" t="s">
        <v>273</v>
      </c>
      <c r="C256" s="710">
        <v>0</v>
      </c>
      <c r="D256" s="710"/>
      <c r="E256" s="707"/>
      <c r="F256" s="707"/>
      <c r="G256" s="707"/>
      <c r="H256" s="707"/>
    </row>
    <row r="257" spans="1:8">
      <c r="A257" s="709" t="s">
        <v>303</v>
      </c>
      <c r="B257" s="709" t="s">
        <v>304</v>
      </c>
      <c r="C257" s="710">
        <v>0</v>
      </c>
      <c r="D257" s="710"/>
      <c r="E257" s="707"/>
      <c r="F257" s="707"/>
      <c r="G257" s="707"/>
      <c r="H257" s="707"/>
    </row>
    <row r="258" spans="1:8">
      <c r="A258" s="709" t="s">
        <v>39</v>
      </c>
      <c r="B258" s="709" t="s">
        <v>40</v>
      </c>
      <c r="C258" s="710">
        <v>4988</v>
      </c>
      <c r="D258" s="710"/>
      <c r="E258" s="707" t="s">
        <v>1359</v>
      </c>
      <c r="F258" s="707"/>
      <c r="G258" s="707"/>
      <c r="H258" s="707"/>
    </row>
    <row r="259" spans="1:8">
      <c r="A259" s="709" t="s">
        <v>163</v>
      </c>
      <c r="B259" s="709" t="s">
        <v>164</v>
      </c>
      <c r="C259" s="710">
        <v>0</v>
      </c>
      <c r="D259" s="710"/>
      <c r="E259" s="707"/>
      <c r="F259" s="707"/>
      <c r="G259" s="707"/>
      <c r="H259" s="707"/>
    </row>
    <row r="260" spans="1:8">
      <c r="A260" s="709" t="s">
        <v>167</v>
      </c>
      <c r="B260" s="709" t="s">
        <v>168</v>
      </c>
      <c r="C260" s="710">
        <v>0</v>
      </c>
      <c r="D260" s="710"/>
      <c r="E260" s="707"/>
      <c r="F260" s="707"/>
      <c r="G260" s="707"/>
      <c r="H260" s="707"/>
    </row>
    <row r="261" spans="1:8">
      <c r="A261" s="709" t="s">
        <v>480</v>
      </c>
      <c r="B261" s="709" t="s">
        <v>481</v>
      </c>
      <c r="C261" s="710">
        <v>0</v>
      </c>
      <c r="D261" s="710"/>
      <c r="E261" s="707"/>
      <c r="F261" s="707"/>
      <c r="G261" s="707"/>
      <c r="H261" s="707"/>
    </row>
    <row r="262" spans="1:8">
      <c r="A262" s="709" t="s">
        <v>282</v>
      </c>
      <c r="B262" s="709" t="s">
        <v>665</v>
      </c>
      <c r="C262" s="710">
        <v>3194</v>
      </c>
      <c r="D262" s="710"/>
      <c r="E262" s="707" t="s">
        <v>1359</v>
      </c>
      <c r="F262" s="707"/>
      <c r="G262" s="707"/>
      <c r="H262" s="707"/>
    </row>
    <row r="263" spans="1:8">
      <c r="A263" s="709" t="s">
        <v>102</v>
      </c>
      <c r="B263" s="709" t="s">
        <v>103</v>
      </c>
      <c r="C263" s="710">
        <v>0</v>
      </c>
      <c r="D263" s="710"/>
      <c r="E263" s="707"/>
      <c r="F263" s="707"/>
      <c r="G263" s="707"/>
      <c r="H263" s="707"/>
    </row>
    <row r="264" spans="1:8">
      <c r="A264" s="709" t="s">
        <v>8</v>
      </c>
      <c r="B264" s="709" t="s">
        <v>9</v>
      </c>
      <c r="C264" s="710">
        <v>0</v>
      </c>
      <c r="D264" s="710"/>
      <c r="E264" s="707"/>
      <c r="F264" s="707"/>
      <c r="G264" s="707"/>
      <c r="H264" s="707"/>
    </row>
    <row r="265" spans="1:8">
      <c r="A265" s="709" t="s">
        <v>446</v>
      </c>
      <c r="B265" s="709" t="s">
        <v>447</v>
      </c>
      <c r="C265" s="710">
        <v>2017</v>
      </c>
      <c r="D265" s="710"/>
      <c r="E265" s="707" t="s">
        <v>1359</v>
      </c>
      <c r="F265" s="707"/>
      <c r="G265" s="707"/>
      <c r="H265" s="707"/>
    </row>
    <row r="266" spans="1:8">
      <c r="A266" s="709" t="s">
        <v>244</v>
      </c>
      <c r="B266" s="709" t="s">
        <v>245</v>
      </c>
      <c r="C266" s="710">
        <v>1290</v>
      </c>
      <c r="D266" s="710"/>
      <c r="E266" s="707" t="s">
        <v>1359</v>
      </c>
      <c r="F266" s="707"/>
      <c r="G266" s="707"/>
      <c r="H266" s="707"/>
    </row>
    <row r="267" spans="1:8">
      <c r="A267" s="709" t="s">
        <v>537</v>
      </c>
      <c r="B267" s="709" t="s">
        <v>538</v>
      </c>
      <c r="C267" s="710">
        <v>0</v>
      </c>
      <c r="D267" s="710"/>
      <c r="E267" s="707"/>
      <c r="F267" s="707"/>
      <c r="G267" s="707"/>
      <c r="H267" s="707"/>
    </row>
    <row r="268" spans="1:8">
      <c r="A268" s="709" t="s">
        <v>149</v>
      </c>
      <c r="B268" s="709" t="s">
        <v>150</v>
      </c>
      <c r="C268" s="710">
        <v>0</v>
      </c>
      <c r="D268" s="710"/>
      <c r="E268" s="707"/>
      <c r="F268" s="707"/>
      <c r="G268" s="707"/>
      <c r="H268" s="707"/>
    </row>
    <row r="269" spans="1:8">
      <c r="A269" s="709" t="s">
        <v>340</v>
      </c>
      <c r="B269" s="709" t="s">
        <v>341</v>
      </c>
      <c r="C269" s="710">
        <v>0</v>
      </c>
      <c r="D269" s="710"/>
      <c r="E269" s="707"/>
      <c r="F269" s="707"/>
      <c r="G269" s="707"/>
      <c r="H269" s="707"/>
    </row>
    <row r="270" spans="1:8">
      <c r="A270" s="709" t="s">
        <v>371</v>
      </c>
      <c r="B270" s="709" t="s">
        <v>670</v>
      </c>
      <c r="C270" s="710">
        <v>0</v>
      </c>
      <c r="D270" s="710"/>
      <c r="E270" s="707"/>
      <c r="F270" s="707"/>
      <c r="G270" s="707"/>
      <c r="H270" s="707"/>
    </row>
    <row r="271" spans="1:8">
      <c r="A271" s="709" t="s">
        <v>387</v>
      </c>
      <c r="B271" s="709" t="s">
        <v>388</v>
      </c>
      <c r="C271" s="710">
        <v>0</v>
      </c>
      <c r="D271" s="710"/>
      <c r="E271" s="707"/>
      <c r="F271" s="707"/>
      <c r="G271" s="707"/>
      <c r="H271" s="707"/>
    </row>
    <row r="272" spans="1:8">
      <c r="A272" s="709" t="s">
        <v>187</v>
      </c>
      <c r="B272" s="709" t="s">
        <v>188</v>
      </c>
      <c r="C272" s="710">
        <v>0</v>
      </c>
      <c r="D272" s="710"/>
      <c r="E272" s="707"/>
      <c r="F272" s="707"/>
      <c r="G272" s="707"/>
      <c r="H272" s="707"/>
    </row>
    <row r="273" spans="1:8">
      <c r="A273" s="709" t="s">
        <v>295</v>
      </c>
      <c r="B273" s="709" t="s">
        <v>296</v>
      </c>
      <c r="C273" s="710">
        <v>644</v>
      </c>
      <c r="D273" s="710"/>
      <c r="E273" s="707" t="s">
        <v>1359</v>
      </c>
      <c r="F273" s="707"/>
      <c r="G273" s="707"/>
      <c r="H273" s="707"/>
    </row>
    <row r="274" spans="1:8">
      <c r="A274" s="709" t="s">
        <v>280</v>
      </c>
      <c r="B274" s="709" t="s">
        <v>281</v>
      </c>
      <c r="C274" s="710">
        <v>0</v>
      </c>
      <c r="D274" s="710"/>
      <c r="E274" s="707"/>
      <c r="F274" s="707"/>
      <c r="G274" s="707"/>
      <c r="H274" s="707"/>
    </row>
    <row r="275" spans="1:8">
      <c r="A275" s="709" t="s">
        <v>539</v>
      </c>
      <c r="B275" s="709" t="s">
        <v>540</v>
      </c>
      <c r="C275" s="710">
        <v>0</v>
      </c>
      <c r="D275" s="710"/>
      <c r="E275" s="707"/>
      <c r="F275" s="707"/>
      <c r="G275" s="707"/>
      <c r="H275" s="707"/>
    </row>
    <row r="276" spans="1:8">
      <c r="A276" s="709" t="s">
        <v>108</v>
      </c>
      <c r="B276" s="709" t="s">
        <v>109</v>
      </c>
      <c r="C276" s="710">
        <v>0</v>
      </c>
      <c r="D276" s="710"/>
      <c r="E276" s="707"/>
      <c r="F276" s="707"/>
      <c r="G276" s="707"/>
      <c r="H276" s="707"/>
    </row>
    <row r="277" spans="1:8">
      <c r="A277" s="709" t="s">
        <v>68</v>
      </c>
      <c r="B277" s="709" t="s">
        <v>69</v>
      </c>
      <c r="C277" s="710">
        <v>0</v>
      </c>
      <c r="D277" s="710"/>
      <c r="E277" s="707"/>
      <c r="F277" s="707"/>
      <c r="G277" s="707"/>
      <c r="H277" s="707"/>
    </row>
    <row r="278" spans="1:8">
      <c r="A278" s="709" t="s">
        <v>27</v>
      </c>
      <c r="B278" s="709" t="s">
        <v>28</v>
      </c>
      <c r="C278" s="710">
        <v>0</v>
      </c>
      <c r="D278" s="710"/>
      <c r="E278" s="707"/>
      <c r="F278" s="707"/>
      <c r="G278" s="707"/>
      <c r="H278" s="707"/>
    </row>
    <row r="279" spans="1:8">
      <c r="A279" s="709" t="s">
        <v>531</v>
      </c>
      <c r="B279" s="709" t="s">
        <v>532</v>
      </c>
      <c r="C279" s="710">
        <v>0</v>
      </c>
      <c r="D279" s="710"/>
      <c r="E279" s="707"/>
      <c r="F279" s="707"/>
      <c r="G279" s="707"/>
      <c r="H279" s="707"/>
    </row>
    <row r="280" spans="1:8">
      <c r="A280" s="709" t="s">
        <v>393</v>
      </c>
      <c r="B280" s="709" t="s">
        <v>394</v>
      </c>
      <c r="C280" s="710">
        <v>4484</v>
      </c>
      <c r="D280" s="710"/>
      <c r="E280" s="707" t="s">
        <v>1359</v>
      </c>
      <c r="F280" s="707"/>
      <c r="G280" s="707"/>
      <c r="H280" s="707"/>
    </row>
    <row r="281" spans="1:8">
      <c r="A281" s="709" t="s">
        <v>460</v>
      </c>
      <c r="B281" s="709" t="s">
        <v>461</v>
      </c>
      <c r="C281" s="710">
        <v>0</v>
      </c>
      <c r="D281" s="710"/>
      <c r="E281" s="707"/>
      <c r="F281" s="707"/>
      <c r="G281" s="707"/>
      <c r="H281" s="707"/>
    </row>
    <row r="282" spans="1:8">
      <c r="A282" s="709" t="s">
        <v>143</v>
      </c>
      <c r="B282" s="709" t="s">
        <v>144</v>
      </c>
      <c r="C282" s="710">
        <v>0</v>
      </c>
      <c r="D282" s="710"/>
      <c r="E282" s="707"/>
      <c r="F282" s="707"/>
      <c r="G282" s="707"/>
      <c r="H282" s="707"/>
    </row>
    <row r="283" spans="1:8">
      <c r="A283" s="709" t="s">
        <v>521</v>
      </c>
      <c r="B283" s="709" t="s">
        <v>522</v>
      </c>
      <c r="C283" s="710">
        <v>0</v>
      </c>
      <c r="D283" s="710"/>
      <c r="E283" s="707"/>
      <c r="F283" s="707"/>
      <c r="G283" s="707"/>
      <c r="H283" s="707"/>
    </row>
    <row r="284" spans="1:8">
      <c r="A284" s="709" t="s">
        <v>224</v>
      </c>
      <c r="B284" s="709" t="s">
        <v>225</v>
      </c>
      <c r="C284" s="710">
        <v>0</v>
      </c>
      <c r="D284" s="710"/>
      <c r="E284" s="707"/>
      <c r="F284" s="707"/>
      <c r="G284" s="707"/>
      <c r="H284" s="707"/>
    </row>
    <row r="285" spans="1:8">
      <c r="A285" s="709" t="s">
        <v>72</v>
      </c>
      <c r="B285" s="709" t="s">
        <v>73</v>
      </c>
      <c r="C285" s="710">
        <v>0</v>
      </c>
      <c r="D285" s="710"/>
      <c r="E285" s="707"/>
      <c r="F285" s="707"/>
      <c r="G285" s="707"/>
      <c r="H285" s="707"/>
    </row>
    <row r="286" spans="1:8">
      <c r="A286" s="709" t="s">
        <v>238</v>
      </c>
      <c r="B286" s="709" t="s">
        <v>239</v>
      </c>
      <c r="C286" s="710">
        <v>0</v>
      </c>
      <c r="D286" s="710"/>
      <c r="E286" s="707"/>
      <c r="F286" s="707"/>
      <c r="G286" s="707"/>
      <c r="H286" s="707"/>
    </row>
    <row r="287" spans="1:8">
      <c r="A287" s="709" t="s">
        <v>454</v>
      </c>
      <c r="B287" s="709" t="s">
        <v>455</v>
      </c>
      <c r="C287" s="710">
        <v>0</v>
      </c>
      <c r="D287" s="710"/>
      <c r="E287" s="707"/>
      <c r="F287" s="707"/>
      <c r="G287" s="707"/>
      <c r="H287" s="707"/>
    </row>
    <row r="288" spans="1:8">
      <c r="A288" s="709" t="s">
        <v>500</v>
      </c>
      <c r="B288" s="709" t="s">
        <v>501</v>
      </c>
      <c r="C288" s="710">
        <v>0</v>
      </c>
      <c r="D288" s="710"/>
      <c r="E288" s="707"/>
      <c r="F288" s="707"/>
      <c r="G288" s="707"/>
      <c r="H288" s="707"/>
    </row>
    <row r="289" spans="1:8">
      <c r="A289" s="709" t="s">
        <v>0</v>
      </c>
      <c r="B289" s="709" t="s">
        <v>1</v>
      </c>
      <c r="C289" s="710">
        <v>0</v>
      </c>
      <c r="D289" s="710"/>
      <c r="E289" s="707"/>
      <c r="F289" s="707"/>
      <c r="G289" s="707"/>
      <c r="H289" s="707"/>
    </row>
    <row r="290" spans="1:8">
      <c r="A290" s="709" t="s">
        <v>276</v>
      </c>
      <c r="B290" s="709" t="s">
        <v>277</v>
      </c>
      <c r="C290" s="710">
        <v>0</v>
      </c>
      <c r="D290" s="710"/>
      <c r="E290" s="707"/>
      <c r="F290" s="707"/>
      <c r="G290" s="707"/>
      <c r="H290" s="707"/>
    </row>
    <row r="291" spans="1:8">
      <c r="A291" s="709" t="s">
        <v>289</v>
      </c>
      <c r="B291" s="709" t="s">
        <v>290</v>
      </c>
      <c r="C291" s="710">
        <v>0</v>
      </c>
      <c r="D291" s="710"/>
      <c r="E291" s="707"/>
      <c r="F291" s="707"/>
      <c r="G291" s="707"/>
      <c r="H291" s="707"/>
    </row>
    <row r="292" spans="1:8">
      <c r="A292" s="709" t="s">
        <v>332</v>
      </c>
      <c r="B292" s="709" t="s">
        <v>333</v>
      </c>
      <c r="C292" s="710">
        <v>1821</v>
      </c>
      <c r="D292" s="710"/>
      <c r="E292" s="707" t="s">
        <v>1359</v>
      </c>
      <c r="F292" s="707"/>
      <c r="G292" s="707"/>
      <c r="H292" s="707"/>
    </row>
    <row r="293" spans="1:8">
      <c r="A293" s="709" t="s">
        <v>129</v>
      </c>
      <c r="B293" s="709" t="s">
        <v>130</v>
      </c>
      <c r="C293" s="710">
        <v>0</v>
      </c>
      <c r="D293" s="710"/>
      <c r="E293" s="707"/>
      <c r="F293" s="707"/>
      <c r="G293" s="707"/>
      <c r="H293" s="707"/>
    </row>
    <row r="294" spans="1:8">
      <c r="A294" s="709" t="s">
        <v>151</v>
      </c>
      <c r="B294" s="709" t="s">
        <v>152</v>
      </c>
      <c r="C294" s="710">
        <v>0</v>
      </c>
      <c r="D294" s="710"/>
      <c r="E294" s="707"/>
      <c r="F294" s="707"/>
      <c r="G294" s="707"/>
      <c r="H294" s="707"/>
    </row>
    <row r="295" spans="1:8">
      <c r="A295" s="709" t="s">
        <v>232</v>
      </c>
      <c r="B295" s="709" t="s">
        <v>233</v>
      </c>
      <c r="C295" s="710">
        <v>0</v>
      </c>
      <c r="D295" s="710"/>
      <c r="E295" s="707"/>
      <c r="F295" s="707"/>
      <c r="G295" s="707"/>
      <c r="H295" s="707"/>
    </row>
    <row r="296" spans="1:8">
      <c r="A296" s="709" t="s">
        <v>472</v>
      </c>
      <c r="B296" s="709" t="s">
        <v>473</v>
      </c>
      <c r="C296" s="710">
        <v>14375</v>
      </c>
      <c r="D296" s="710"/>
      <c r="E296" s="707" t="s">
        <v>1359</v>
      </c>
      <c r="F296" s="707"/>
      <c r="G296" s="707"/>
      <c r="H296" s="707"/>
    </row>
    <row r="297" spans="1:8">
      <c r="C297" s="716">
        <f>SUM(C171:C296)</f>
        <v>106480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J305"/>
  <sheetViews>
    <sheetView workbookViewId="0">
      <selection activeCell="E5" sqref="E5"/>
    </sheetView>
  </sheetViews>
  <sheetFormatPr defaultColWidth="9.140625" defaultRowHeight="15"/>
  <cols>
    <col min="1" max="1" width="10" style="725" bestFit="1" customWidth="1"/>
    <col min="2" max="2" width="20.5703125" style="725" bestFit="1" customWidth="1"/>
    <col min="3" max="3" width="9" style="725" customWidth="1"/>
    <col min="4" max="4" width="7.42578125" style="725" bestFit="1" customWidth="1"/>
    <col min="5" max="5" width="10.42578125" style="725" customWidth="1"/>
    <col min="6" max="6" width="12.140625" style="725" bestFit="1" customWidth="1"/>
    <col min="7" max="7" width="17.42578125" style="725" bestFit="1" customWidth="1"/>
    <col min="8" max="16384" width="9.140625" style="725"/>
  </cols>
  <sheetData>
    <row r="1" spans="1:8" s="721" customFormat="1" ht="30">
      <c r="A1" s="717" t="s">
        <v>709</v>
      </c>
      <c r="B1" s="717" t="s">
        <v>578</v>
      </c>
      <c r="C1" s="718" t="s">
        <v>885</v>
      </c>
      <c r="D1" s="718" t="s">
        <v>833</v>
      </c>
      <c r="E1" s="719" t="s">
        <v>720</v>
      </c>
      <c r="F1" s="718" t="s">
        <v>755</v>
      </c>
      <c r="G1" s="720" t="s">
        <v>1349</v>
      </c>
      <c r="H1" s="720"/>
    </row>
    <row r="2" spans="1:8">
      <c r="A2" s="722" t="s">
        <v>0</v>
      </c>
      <c r="B2" s="722" t="s">
        <v>1369</v>
      </c>
      <c r="C2" s="723" t="e">
        <f>VLOOKUP(A2,iGRANTS!$B$8:$D$135,3,0)</f>
        <v>#N/A</v>
      </c>
      <c r="D2" s="723">
        <v>0</v>
      </c>
      <c r="E2" s="723">
        <f>VLOOKUP(A2,'Native American'!$A$2:$C$307,3,0)</f>
        <v>0</v>
      </c>
      <c r="F2" s="724"/>
      <c r="G2" s="724"/>
      <c r="H2" s="724"/>
    </row>
    <row r="3" spans="1:8">
      <c r="A3" s="722" t="s">
        <v>2</v>
      </c>
      <c r="B3" s="722" t="s">
        <v>1370</v>
      </c>
      <c r="C3" s="723">
        <f>VLOOKUP(A3,iGRANTS!$B$8:$D$135,3,0)</f>
        <v>0</v>
      </c>
      <c r="D3" s="723">
        <v>0</v>
      </c>
      <c r="E3" s="723">
        <f>VLOOKUP(A3,'Native American'!$A$2:$C$307,3,0)</f>
        <v>0</v>
      </c>
      <c r="F3" s="724"/>
      <c r="G3" s="724"/>
      <c r="H3" s="724"/>
    </row>
    <row r="4" spans="1:8">
      <c r="A4" s="722" t="s">
        <v>4</v>
      </c>
      <c r="B4" s="722" t="s">
        <v>632</v>
      </c>
      <c r="C4" s="723" t="e">
        <f>VLOOKUP(A4,iGRANTS!$B$8:$D$135,3,0)</f>
        <v>#N/A</v>
      </c>
      <c r="D4" s="723">
        <v>0</v>
      </c>
      <c r="E4" s="723">
        <f>VLOOKUP(A4,'Native American'!$A$2:$C$307,3,0)</f>
        <v>3</v>
      </c>
      <c r="F4" s="724"/>
      <c r="G4" s="724"/>
      <c r="H4" s="724"/>
    </row>
    <row r="5" spans="1:8">
      <c r="A5" s="722" t="s">
        <v>6</v>
      </c>
      <c r="B5" s="722" t="s">
        <v>1371</v>
      </c>
      <c r="C5" s="723" t="e">
        <f>VLOOKUP(A5,iGRANTS!$B$8:$D$135,3,0)</f>
        <v>#N/A</v>
      </c>
      <c r="D5" s="723">
        <v>0</v>
      </c>
      <c r="E5" s="723">
        <f>VLOOKUP(A5,'Native American'!$A$2:$C$307,3,0)</f>
        <v>0</v>
      </c>
      <c r="F5" s="724"/>
      <c r="G5" s="724"/>
      <c r="H5" s="724"/>
    </row>
    <row r="6" spans="1:8">
      <c r="A6" s="722" t="s">
        <v>8</v>
      </c>
      <c r="B6" s="722" t="s">
        <v>1372</v>
      </c>
      <c r="C6" s="723" t="e">
        <f>VLOOKUP(A6,iGRANTS!$B$8:$D$135,3,0)</f>
        <v>#N/A</v>
      </c>
      <c r="D6" s="723">
        <v>0</v>
      </c>
      <c r="E6" s="723">
        <f>VLOOKUP(A6,'Native American'!$A$2:$C$307,3,0)</f>
        <v>0</v>
      </c>
      <c r="F6" s="724"/>
      <c r="G6" s="724"/>
      <c r="H6" s="724"/>
    </row>
    <row r="7" spans="1:8">
      <c r="A7" s="722" t="s">
        <v>10</v>
      </c>
      <c r="B7" s="722" t="s">
        <v>1373</v>
      </c>
      <c r="C7" s="723">
        <f>VLOOKUP(A7,iGRANTS!$B$8:$D$135,3,0)</f>
        <v>0</v>
      </c>
      <c r="D7" s="723">
        <v>0</v>
      </c>
      <c r="E7" s="723">
        <f>VLOOKUP(A7,'Native American'!$A$2:$C$307,3,0)</f>
        <v>0</v>
      </c>
      <c r="F7" s="738"/>
      <c r="G7" s="738"/>
      <c r="H7" s="724"/>
    </row>
    <row r="8" spans="1:8">
      <c r="A8" s="726" t="s">
        <v>12</v>
      </c>
      <c r="B8" s="726" t="s">
        <v>1374</v>
      </c>
      <c r="C8" s="723">
        <f>VLOOKUP(A8,iGRANTS!$B$8:$D$135,3,0)</f>
        <v>0</v>
      </c>
      <c r="D8" s="723">
        <v>0</v>
      </c>
      <c r="E8" s="723">
        <f>VLOOKUP(A8,'Native American'!$A$2:$C$307,3,0)</f>
        <v>0</v>
      </c>
      <c r="F8" s="724"/>
      <c r="G8" s="724"/>
      <c r="H8" s="724"/>
    </row>
    <row r="9" spans="1:8">
      <c r="A9" s="722" t="s">
        <v>14</v>
      </c>
      <c r="B9" s="722" t="s">
        <v>636</v>
      </c>
      <c r="C9" s="723">
        <f>VLOOKUP(A9,iGRANTS!$B$8:$D$135,3,0)</f>
        <v>367697</v>
      </c>
      <c r="D9" s="723">
        <v>0</v>
      </c>
      <c r="E9" s="723">
        <f>VLOOKUP(A9,'Native American'!$A$2:$C$307,3,0)</f>
        <v>0</v>
      </c>
      <c r="F9" s="724"/>
      <c r="G9" s="724"/>
      <c r="H9" s="724"/>
    </row>
    <row r="10" spans="1:8">
      <c r="A10" s="722" t="s">
        <v>16</v>
      </c>
      <c r="B10" s="722" t="s">
        <v>1375</v>
      </c>
      <c r="C10" s="723" t="e">
        <f>VLOOKUP(A10,iGRANTS!$B$8:$D$135,3,0)</f>
        <v>#N/A</v>
      </c>
      <c r="D10" s="723">
        <v>0</v>
      </c>
      <c r="E10" s="723">
        <f>VLOOKUP(A10,'Native American'!$A$2:$C$307,3,0)</f>
        <v>0</v>
      </c>
      <c r="F10" s="724"/>
      <c r="G10" s="724"/>
      <c r="H10" s="724"/>
    </row>
    <row r="11" spans="1:8">
      <c r="A11" s="722" t="s">
        <v>18</v>
      </c>
      <c r="B11" s="722" t="s">
        <v>1376</v>
      </c>
      <c r="C11" s="723">
        <f>VLOOKUP(A11,iGRANTS!$B$8:$D$135,3,0)</f>
        <v>44937</v>
      </c>
      <c r="D11" s="723">
        <v>0</v>
      </c>
      <c r="E11" s="723">
        <f>VLOOKUP(A11,'Native American'!$A$2:$C$307,3,0)</f>
        <v>3</v>
      </c>
      <c r="F11" s="724"/>
      <c r="G11" s="724"/>
      <c r="H11" s="724"/>
    </row>
    <row r="12" spans="1:8">
      <c r="A12" s="722" t="s">
        <v>19</v>
      </c>
      <c r="B12" s="722" t="s">
        <v>1377</v>
      </c>
      <c r="C12" s="723">
        <f>VLOOKUP(A12,iGRANTS!$B$8:$D$135,3,0)</f>
        <v>25283</v>
      </c>
      <c r="D12" s="723">
        <v>0</v>
      </c>
      <c r="E12" s="723">
        <f>VLOOKUP(A12,'Native American'!$A$2:$C$307,3,0)</f>
        <v>3</v>
      </c>
      <c r="F12" s="724"/>
      <c r="G12" s="724"/>
      <c r="H12" s="724"/>
    </row>
    <row r="13" spans="1:8">
      <c r="A13" s="722" t="s">
        <v>21</v>
      </c>
      <c r="B13" s="722" t="s">
        <v>1378</v>
      </c>
      <c r="C13" s="723" t="e">
        <f>VLOOKUP(A13,iGRANTS!$B$8:$D$135,3,0)</f>
        <v>#N/A</v>
      </c>
      <c r="D13" s="723">
        <v>0</v>
      </c>
      <c r="E13" s="723">
        <f>VLOOKUP(A13,'Native American'!$A$2:$C$307,3,0)</f>
        <v>2</v>
      </c>
      <c r="F13" s="727"/>
      <c r="G13" s="722"/>
      <c r="H13" s="724"/>
    </row>
    <row r="14" spans="1:8">
      <c r="A14" s="722" t="s">
        <v>23</v>
      </c>
      <c r="B14" s="722" t="s">
        <v>1379</v>
      </c>
      <c r="C14" s="723" t="e">
        <f>VLOOKUP(A14,iGRANTS!$B$8:$D$135,3,0)</f>
        <v>#N/A</v>
      </c>
      <c r="D14" s="723">
        <v>0</v>
      </c>
      <c r="E14" s="723">
        <f>VLOOKUP(A14,'Native American'!$A$2:$C$307,3,0)</f>
        <v>0</v>
      </c>
      <c r="F14" s="727"/>
      <c r="G14" s="722"/>
      <c r="H14" s="724"/>
    </row>
    <row r="15" spans="1:8">
      <c r="A15" s="722" t="s">
        <v>25</v>
      </c>
      <c r="B15" s="722" t="s">
        <v>1380</v>
      </c>
      <c r="C15" s="723" t="e">
        <f>VLOOKUP(A15,iGRANTS!$B$8:$D$135,3,0)</f>
        <v>#N/A</v>
      </c>
      <c r="D15" s="723">
        <v>0</v>
      </c>
      <c r="E15" s="723">
        <f>VLOOKUP(A15,'Native American'!$A$2:$C$307,3,0)</f>
        <v>0</v>
      </c>
      <c r="F15" s="727"/>
      <c r="G15" s="722"/>
      <c r="H15" s="724"/>
    </row>
    <row r="16" spans="1:8">
      <c r="A16" s="722" t="s">
        <v>27</v>
      </c>
      <c r="B16" s="722" t="s">
        <v>1381</v>
      </c>
      <c r="C16" s="723" t="e">
        <f>VLOOKUP(A16,iGRANTS!$B$8:$D$135,3,0)</f>
        <v>#N/A</v>
      </c>
      <c r="D16" s="723">
        <v>0</v>
      </c>
      <c r="E16" s="723">
        <f>VLOOKUP(A16,'Native American'!$A$2:$C$307,3,0)</f>
        <v>0</v>
      </c>
      <c r="F16" s="724"/>
      <c r="G16" s="724"/>
      <c r="H16" s="724"/>
    </row>
    <row r="17" spans="1:8">
      <c r="A17" s="722" t="s">
        <v>29</v>
      </c>
      <c r="B17" s="722" t="s">
        <v>1382</v>
      </c>
      <c r="C17" s="723">
        <f>VLOOKUP(A17,iGRANTS!$B$8:$D$135,3,0)</f>
        <v>0</v>
      </c>
      <c r="D17" s="723">
        <v>0</v>
      </c>
      <c r="E17" s="723">
        <f>VLOOKUP(A17,'Native American'!$A$2:$C$307,3,0)</f>
        <v>0</v>
      </c>
      <c r="F17" s="727"/>
      <c r="G17" s="724"/>
      <c r="H17" s="724"/>
    </row>
    <row r="18" spans="1:8">
      <c r="A18" s="722" t="s">
        <v>31</v>
      </c>
      <c r="B18" s="722" t="s">
        <v>624</v>
      </c>
      <c r="C18" s="723">
        <f>VLOOKUP(A18,iGRANTS!$B$8:$D$135,3,0)</f>
        <v>49604</v>
      </c>
      <c r="D18" s="723">
        <v>0</v>
      </c>
      <c r="E18" s="723">
        <f>VLOOKUP(A18,'Native American'!$A$2:$C$307,3,0)</f>
        <v>0</v>
      </c>
      <c r="F18" s="724"/>
      <c r="G18" s="724"/>
      <c r="H18" s="724"/>
    </row>
    <row r="19" spans="1:8">
      <c r="A19" s="722" t="s">
        <v>33</v>
      </c>
      <c r="B19" s="722" t="s">
        <v>878</v>
      </c>
      <c r="C19" s="723">
        <f>VLOOKUP(A19,iGRANTS!$B$8:$D$135,3,0)</f>
        <v>28646</v>
      </c>
      <c r="D19" s="723">
        <v>0</v>
      </c>
      <c r="E19" s="723">
        <f>VLOOKUP(A19,'Native American'!$A$2:$C$307,3,0)</f>
        <v>0</v>
      </c>
      <c r="F19" s="724"/>
      <c r="G19" s="724"/>
      <c r="H19" s="724"/>
    </row>
    <row r="20" spans="1:8">
      <c r="A20" s="722" t="s">
        <v>35</v>
      </c>
      <c r="B20" s="722" t="s">
        <v>1383</v>
      </c>
      <c r="C20" s="723">
        <f>VLOOKUP(A20,iGRANTS!$B$8:$D$135,3,0)</f>
        <v>19813</v>
      </c>
      <c r="D20" s="723">
        <v>0</v>
      </c>
      <c r="E20" s="723">
        <f>VLOOKUP(A20,'Native American'!$A$2:$C$307,3,0)</f>
        <v>0</v>
      </c>
      <c r="F20" s="724"/>
      <c r="G20" s="724"/>
      <c r="H20" s="724"/>
    </row>
    <row r="21" spans="1:8">
      <c r="A21" s="722" t="s">
        <v>37</v>
      </c>
      <c r="B21" s="722" t="s">
        <v>1384</v>
      </c>
      <c r="C21" s="723" t="e">
        <f>VLOOKUP(A21,iGRANTS!$B$8:$D$135,3,0)</f>
        <v>#N/A</v>
      </c>
      <c r="D21" s="723">
        <v>31</v>
      </c>
      <c r="E21" s="723">
        <f>VLOOKUP(A21,'Native American'!$A$2:$C$307,3,0)</f>
        <v>8</v>
      </c>
      <c r="F21" s="724"/>
      <c r="G21" s="724"/>
      <c r="H21" s="724"/>
    </row>
    <row r="22" spans="1:8">
      <c r="A22" s="722" t="s">
        <v>39</v>
      </c>
      <c r="B22" s="722" t="s">
        <v>1385</v>
      </c>
      <c r="C22" s="723" t="e">
        <f>VLOOKUP(A22,iGRANTS!$B$8:$D$135,3,0)</f>
        <v>#N/A</v>
      </c>
      <c r="D22" s="723">
        <v>9</v>
      </c>
      <c r="E22" s="723">
        <f>VLOOKUP(A22,'Native American'!$A$2:$C$307,3,0)</f>
        <v>0</v>
      </c>
      <c r="F22" s="724"/>
      <c r="G22" s="724"/>
      <c r="H22" s="724"/>
    </row>
    <row r="23" spans="1:8">
      <c r="A23" s="722" t="s">
        <v>41</v>
      </c>
      <c r="B23" s="722" t="s">
        <v>1386</v>
      </c>
      <c r="C23" s="723">
        <f>VLOOKUP(A23,iGRANTS!$B$8:$D$135,3,0)</f>
        <v>0</v>
      </c>
      <c r="D23" s="723">
        <v>0</v>
      </c>
      <c r="E23" s="723">
        <f>VLOOKUP(A23,'Native American'!$A$2:$C$307,3,0)</f>
        <v>0</v>
      </c>
      <c r="F23" s="724"/>
      <c r="G23" s="724"/>
      <c r="H23" s="724"/>
    </row>
    <row r="24" spans="1:8">
      <c r="A24" s="722" t="s">
        <v>43</v>
      </c>
      <c r="B24" s="722" t="s">
        <v>1387</v>
      </c>
      <c r="C24" s="723" t="e">
        <f>VLOOKUP(A24,iGRANTS!$B$8:$D$135,3,0)</f>
        <v>#N/A</v>
      </c>
      <c r="D24" s="723">
        <v>0</v>
      </c>
      <c r="E24" s="723">
        <f>VLOOKUP(A24,'Native American'!$A$2:$C$307,3,0)</f>
        <v>0</v>
      </c>
      <c r="F24" s="724"/>
      <c r="G24" s="724"/>
      <c r="H24" s="724"/>
    </row>
    <row r="25" spans="1:8">
      <c r="A25" s="722" t="s">
        <v>45</v>
      </c>
      <c r="B25" s="722" t="s">
        <v>1388</v>
      </c>
      <c r="C25" s="723">
        <f>VLOOKUP(A25,iGRANTS!$B$8:$D$135,3,0)</f>
        <v>0</v>
      </c>
      <c r="D25" s="723">
        <v>0</v>
      </c>
      <c r="E25" s="723">
        <f>VLOOKUP(A25,'Native American'!$A$2:$C$307,3,0)</f>
        <v>0</v>
      </c>
      <c r="F25" s="724"/>
      <c r="G25" s="724"/>
      <c r="H25" s="724"/>
    </row>
    <row r="26" spans="1:8">
      <c r="A26" s="722" t="s">
        <v>47</v>
      </c>
      <c r="B26" s="722" t="s">
        <v>1389</v>
      </c>
      <c r="C26" s="723" t="e">
        <f>VLOOKUP(A26,iGRANTS!$B$8:$D$135,3,0)</f>
        <v>#N/A</v>
      </c>
      <c r="D26" s="723">
        <v>0</v>
      </c>
      <c r="E26" s="723">
        <f>VLOOKUP(A26,'Native American'!$A$2:$C$307,3,0)</f>
        <v>21.5</v>
      </c>
      <c r="F26" s="724"/>
      <c r="G26" s="724"/>
      <c r="H26" s="724"/>
    </row>
    <row r="27" spans="1:8">
      <c r="A27" s="722" t="s">
        <v>49</v>
      </c>
      <c r="B27" s="722" t="s">
        <v>1390</v>
      </c>
      <c r="C27" s="723" t="e">
        <f>VLOOKUP(A27,iGRANTS!$B$8:$D$135,3,0)</f>
        <v>#N/A</v>
      </c>
      <c r="D27" s="723">
        <v>0</v>
      </c>
      <c r="E27" s="723">
        <f>VLOOKUP(A27,'Native American'!$A$2:$C$307,3,0)</f>
        <v>97.17</v>
      </c>
      <c r="F27" s="724"/>
      <c r="G27" s="724"/>
      <c r="H27" s="724"/>
    </row>
    <row r="28" spans="1:8">
      <c r="A28" s="722" t="s">
        <v>51</v>
      </c>
      <c r="B28" s="722" t="s">
        <v>1391</v>
      </c>
      <c r="C28" s="723">
        <f>VLOOKUP(A28,iGRANTS!$B$8:$D$135,3,0)</f>
        <v>0</v>
      </c>
      <c r="D28" s="723">
        <v>0</v>
      </c>
      <c r="E28" s="723">
        <f>VLOOKUP(A28,'Native American'!$A$2:$C$307,3,0)</f>
        <v>0</v>
      </c>
      <c r="F28" s="724"/>
      <c r="G28" s="724"/>
      <c r="H28" s="724"/>
    </row>
    <row r="29" spans="1:8">
      <c r="A29" s="722" t="s">
        <v>53</v>
      </c>
      <c r="B29" s="722" t="s">
        <v>1392</v>
      </c>
      <c r="C29" s="723">
        <f>VLOOKUP(A29,iGRANTS!$B$8:$D$135,3,0)</f>
        <v>0</v>
      </c>
      <c r="D29" s="723">
        <v>0</v>
      </c>
      <c r="E29" s="723">
        <f>VLOOKUP(A29,'Native American'!$A$2:$C$307,3,0)</f>
        <v>0</v>
      </c>
      <c r="F29" s="724"/>
      <c r="G29" s="724"/>
      <c r="H29" s="724"/>
    </row>
    <row r="30" spans="1:8">
      <c r="A30" s="726" t="s">
        <v>54</v>
      </c>
      <c r="B30" s="726" t="s">
        <v>1393</v>
      </c>
      <c r="C30" s="723">
        <f>VLOOKUP(A30,iGRANTS!$B$8:$D$135,3,0)</f>
        <v>0</v>
      </c>
      <c r="D30" s="723">
        <v>0</v>
      </c>
      <c r="E30" s="723">
        <f>VLOOKUP(A30,'Native American'!$A$2:$C$307,3,0)</f>
        <v>0</v>
      </c>
      <c r="F30" s="724"/>
      <c r="G30" s="724"/>
      <c r="H30" s="724"/>
    </row>
    <row r="31" spans="1:8">
      <c r="A31" s="722" t="s">
        <v>56</v>
      </c>
      <c r="B31" s="722" t="s">
        <v>854</v>
      </c>
      <c r="C31" s="723" t="e">
        <f>VLOOKUP(A31,iGRANTS!$B$8:$D$135,3,0)</f>
        <v>#N/A</v>
      </c>
      <c r="D31" s="723">
        <v>0</v>
      </c>
      <c r="E31" s="723">
        <f>VLOOKUP(A31,'Native American'!$A$2:$C$307,3,0)</f>
        <v>0</v>
      </c>
      <c r="F31" s="724"/>
      <c r="G31" s="724"/>
      <c r="H31" s="724"/>
    </row>
    <row r="32" spans="1:8">
      <c r="A32" s="722" t="s">
        <v>58</v>
      </c>
      <c r="B32" s="722" t="s">
        <v>1394</v>
      </c>
      <c r="C32" s="723">
        <f>VLOOKUP(A32,iGRANTS!$B$8:$D$135,3,0)</f>
        <v>465827</v>
      </c>
      <c r="D32" s="723">
        <v>0</v>
      </c>
      <c r="E32" s="723">
        <f>VLOOKUP(A32,'Native American'!$A$2:$C$307,3,0)</f>
        <v>94.33</v>
      </c>
      <c r="F32" s="724"/>
      <c r="G32" s="724"/>
      <c r="H32" s="724"/>
    </row>
    <row r="33" spans="1:8">
      <c r="A33" s="722" t="s">
        <v>60</v>
      </c>
      <c r="B33" s="722" t="s">
        <v>1395</v>
      </c>
      <c r="C33" s="723">
        <f>VLOOKUP(A33,iGRANTS!$B$8:$D$135,3,0)</f>
        <v>26608</v>
      </c>
      <c r="D33" s="723">
        <v>0</v>
      </c>
      <c r="E33" s="723">
        <f>VLOOKUP(A33,'Native American'!$A$2:$C$307,3,0)</f>
        <v>2.83</v>
      </c>
      <c r="F33" s="738"/>
      <c r="G33" s="738"/>
      <c r="H33" s="724"/>
    </row>
    <row r="34" spans="1:8">
      <c r="A34" s="722" t="s">
        <v>62</v>
      </c>
      <c r="B34" s="722" t="s">
        <v>1396</v>
      </c>
      <c r="C34" s="723">
        <f>VLOOKUP(A34,iGRANTS!$B$8:$D$135,3,0)</f>
        <v>110326</v>
      </c>
      <c r="D34" s="723">
        <v>0</v>
      </c>
      <c r="E34" s="723">
        <f>VLOOKUP(A34,'Native American'!$A$2:$C$307,3,0)</f>
        <v>17.5</v>
      </c>
      <c r="F34" s="724"/>
      <c r="G34" s="724"/>
      <c r="H34" s="724"/>
    </row>
    <row r="35" spans="1:8">
      <c r="A35" s="722" t="s">
        <v>64</v>
      </c>
      <c r="B35" s="729" t="s">
        <v>1397</v>
      </c>
      <c r="C35" s="723" t="e">
        <f>VLOOKUP(A35,iGRANTS!$B$8:$D$135,3,0)</f>
        <v>#N/A</v>
      </c>
      <c r="D35" s="723">
        <v>0</v>
      </c>
      <c r="E35" s="723">
        <f>VLOOKUP(A35,'Native American'!$A$2:$C$307,3,0)</f>
        <v>0</v>
      </c>
      <c r="F35" s="724"/>
      <c r="G35" s="724"/>
      <c r="H35" s="724"/>
    </row>
    <row r="36" spans="1:8">
      <c r="A36" s="722" t="s">
        <v>651</v>
      </c>
      <c r="B36" s="722" t="s">
        <v>652</v>
      </c>
      <c r="C36" s="723">
        <f>VLOOKUP(A36,iGRANTS!$B$8:$D$135,3,0)</f>
        <v>0</v>
      </c>
      <c r="D36" s="723">
        <v>0</v>
      </c>
      <c r="E36" s="723">
        <f>VLOOKUP(A36,'Native American'!$A$2:$C$307,3,0)</f>
        <v>0</v>
      </c>
      <c r="F36" s="724"/>
      <c r="G36" s="724"/>
      <c r="H36" s="724"/>
    </row>
    <row r="37" spans="1:8">
      <c r="A37" s="722" t="s">
        <v>66</v>
      </c>
      <c r="B37" s="722" t="s">
        <v>758</v>
      </c>
      <c r="C37" s="723">
        <f>VLOOKUP(A37,iGRANTS!$B$8:$D$135,3,0)</f>
        <v>0</v>
      </c>
      <c r="D37" s="723">
        <v>0</v>
      </c>
      <c r="E37" s="723">
        <f>VLOOKUP(A37,'Native American'!$A$2:$C$307,3,0)</f>
        <v>0</v>
      </c>
      <c r="F37" s="724"/>
      <c r="G37" s="724"/>
      <c r="H37" s="724"/>
    </row>
    <row r="38" spans="1:8">
      <c r="A38" s="722" t="s">
        <v>68</v>
      </c>
      <c r="B38" s="722" t="s">
        <v>1398</v>
      </c>
      <c r="C38" s="723" t="e">
        <f>VLOOKUP(A38,iGRANTS!$B$8:$D$135,3,0)</f>
        <v>#N/A</v>
      </c>
      <c r="D38" s="723">
        <v>0</v>
      </c>
      <c r="E38" s="723">
        <f>VLOOKUP(A38,'Native American'!$A$2:$C$307,3,0)</f>
        <v>0</v>
      </c>
      <c r="F38" s="724"/>
      <c r="G38" s="724"/>
      <c r="H38" s="730"/>
    </row>
    <row r="39" spans="1:8">
      <c r="A39" s="722" t="s">
        <v>70</v>
      </c>
      <c r="B39" s="722" t="s">
        <v>1399</v>
      </c>
      <c r="C39" s="723" t="e">
        <f>VLOOKUP(A39,iGRANTS!$B$8:$D$135,3,0)</f>
        <v>#N/A</v>
      </c>
      <c r="D39" s="723">
        <v>0</v>
      </c>
      <c r="E39" s="723">
        <f>VLOOKUP(A39,'Native American'!$A$2:$C$307,3,0)</f>
        <v>33.159999999999997</v>
      </c>
      <c r="F39" s="724"/>
      <c r="G39" s="724"/>
      <c r="H39" s="724"/>
    </row>
    <row r="40" spans="1:8">
      <c r="A40" s="722" t="s">
        <v>72</v>
      </c>
      <c r="B40" s="722" t="s">
        <v>1400</v>
      </c>
      <c r="C40" s="723" t="e">
        <f>VLOOKUP(A40,iGRANTS!$B$8:$D$135,3,0)</f>
        <v>#N/A</v>
      </c>
      <c r="D40" s="723">
        <v>0</v>
      </c>
      <c r="E40" s="723">
        <f>VLOOKUP(A40,'Native American'!$A$2:$C$307,3,0)</f>
        <v>0</v>
      </c>
      <c r="F40" s="724"/>
      <c r="G40" s="724"/>
      <c r="H40" s="724"/>
    </row>
    <row r="41" spans="1:8">
      <c r="A41" s="722" t="s">
        <v>74</v>
      </c>
      <c r="B41" s="722" t="s">
        <v>1401</v>
      </c>
      <c r="C41" s="723">
        <f>VLOOKUP(A41,iGRANTS!$B$8:$D$135,3,0)</f>
        <v>0</v>
      </c>
      <c r="D41" s="723">
        <v>0</v>
      </c>
      <c r="E41" s="723">
        <f>VLOOKUP(A41,'Native American'!$A$2:$C$307,3,0)</f>
        <v>0</v>
      </c>
      <c r="F41" s="724"/>
      <c r="G41" s="724"/>
      <c r="H41" s="724"/>
    </row>
    <row r="42" spans="1:8">
      <c r="A42" s="722" t="s">
        <v>76</v>
      </c>
      <c r="B42" s="722" t="s">
        <v>1402</v>
      </c>
      <c r="C42" s="723">
        <f>VLOOKUP(A42,iGRANTS!$B$8:$D$135,3,0)</f>
        <v>0</v>
      </c>
      <c r="D42" s="723">
        <v>0</v>
      </c>
      <c r="E42" s="723">
        <f>VLOOKUP(A42,'Native American'!$A$2:$C$307,3,0)</f>
        <v>0</v>
      </c>
      <c r="F42" s="724"/>
      <c r="G42" s="724"/>
      <c r="H42" s="724"/>
    </row>
    <row r="43" spans="1:8">
      <c r="A43" s="722" t="s">
        <v>78</v>
      </c>
      <c r="B43" s="722" t="s">
        <v>1403</v>
      </c>
      <c r="C43" s="723" t="e">
        <f>VLOOKUP(A43,iGRANTS!$B$8:$D$135,3,0)</f>
        <v>#N/A</v>
      </c>
      <c r="D43" s="723">
        <v>0</v>
      </c>
      <c r="E43" s="723" t="e">
        <f>VLOOKUP(A43,'Native American'!$A$2:$C$307,3,0)</f>
        <v>#N/A</v>
      </c>
      <c r="F43" s="724"/>
      <c r="G43" s="724"/>
      <c r="H43" s="724"/>
    </row>
    <row r="44" spans="1:8">
      <c r="A44" s="722" t="s">
        <v>80</v>
      </c>
      <c r="B44" s="722" t="s">
        <v>1404</v>
      </c>
      <c r="C44" s="723">
        <f>VLOOKUP(A44,iGRANTS!$B$8:$D$135,3,0)</f>
        <v>41801</v>
      </c>
      <c r="D44" s="723">
        <v>0</v>
      </c>
      <c r="E44" s="723">
        <f>VLOOKUP(A44,'Native American'!$A$2:$C$307,3,0)</f>
        <v>20.83</v>
      </c>
      <c r="F44" s="724"/>
      <c r="G44" s="724"/>
      <c r="H44" s="724"/>
    </row>
    <row r="45" spans="1:8">
      <c r="A45" s="722" t="s">
        <v>82</v>
      </c>
      <c r="B45" s="722" t="s">
        <v>1405</v>
      </c>
      <c r="C45" s="723" t="e">
        <f>VLOOKUP(A45,iGRANTS!$B$8:$D$135,3,0)</f>
        <v>#N/A</v>
      </c>
      <c r="D45" s="723">
        <v>0</v>
      </c>
      <c r="E45" s="723">
        <f>VLOOKUP(A45,'Native American'!$A$2:$C$307,3,0)</f>
        <v>0</v>
      </c>
      <c r="F45" s="724"/>
      <c r="G45" s="724"/>
      <c r="H45" s="724"/>
    </row>
    <row r="46" spans="1:8">
      <c r="A46" s="722" t="s">
        <v>84</v>
      </c>
      <c r="B46" s="722" t="s">
        <v>1406</v>
      </c>
      <c r="C46" s="723">
        <f>VLOOKUP(A46,iGRANTS!$B$8:$D$135,3,0)</f>
        <v>51960</v>
      </c>
      <c r="D46" s="723">
        <v>0</v>
      </c>
      <c r="E46" s="723">
        <f>VLOOKUP(A46,'Native American'!$A$2:$C$307,3,0)</f>
        <v>0</v>
      </c>
      <c r="F46" s="724"/>
      <c r="G46" s="724"/>
      <c r="H46" s="724"/>
    </row>
    <row r="47" spans="1:8">
      <c r="A47" s="722" t="s">
        <v>86</v>
      </c>
      <c r="B47" s="722" t="s">
        <v>1407</v>
      </c>
      <c r="C47" s="723" t="e">
        <f>VLOOKUP(A47,iGRANTS!$B$8:$D$135,3,0)</f>
        <v>#N/A</v>
      </c>
      <c r="D47" s="723">
        <v>0</v>
      </c>
      <c r="E47" s="723">
        <f>VLOOKUP(A47,'Native American'!$A$2:$C$307,3,0)</f>
        <v>0</v>
      </c>
      <c r="F47" s="724"/>
      <c r="G47" s="724"/>
      <c r="H47" s="724"/>
    </row>
    <row r="48" spans="1:8">
      <c r="A48" s="722" t="s">
        <v>88</v>
      </c>
      <c r="B48" s="722" t="s">
        <v>1408</v>
      </c>
      <c r="C48" s="723">
        <f>VLOOKUP(A48,iGRANTS!$B$8:$D$135,3,0)</f>
        <v>141213</v>
      </c>
      <c r="D48" s="723">
        <v>0</v>
      </c>
      <c r="E48" s="723">
        <f>VLOOKUP(A48,'Native American'!$A$2:$C$307,3,0)</f>
        <v>0</v>
      </c>
      <c r="F48" s="724"/>
      <c r="G48" s="724"/>
      <c r="H48" s="724"/>
    </row>
    <row r="49" spans="1:8">
      <c r="A49" s="722" t="s">
        <v>90</v>
      </c>
      <c r="B49" s="722" t="s">
        <v>1409</v>
      </c>
      <c r="C49" s="723" t="e">
        <f>VLOOKUP(A49,iGRANTS!$B$8:$D$135,3,0)</f>
        <v>#N/A</v>
      </c>
      <c r="D49" s="723">
        <v>0</v>
      </c>
      <c r="E49" s="723">
        <f>VLOOKUP(A49,'Native American'!$A$2:$C$307,3,0)</f>
        <v>0</v>
      </c>
      <c r="F49" s="724"/>
      <c r="G49" s="724"/>
      <c r="H49" s="724"/>
    </row>
    <row r="50" spans="1:8">
      <c r="A50" s="722" t="s">
        <v>92</v>
      </c>
      <c r="B50" s="722" t="s">
        <v>1410</v>
      </c>
      <c r="C50" s="723" t="e">
        <f>VLOOKUP(A50,iGRANTS!$B$8:$D$135,3,0)</f>
        <v>#N/A</v>
      </c>
      <c r="D50" s="723">
        <v>0</v>
      </c>
      <c r="E50" s="723">
        <f>VLOOKUP(A50,'Native American'!$A$2:$C$307,3,0)</f>
        <v>0</v>
      </c>
      <c r="F50" s="724"/>
      <c r="G50" s="724"/>
      <c r="H50" s="724"/>
    </row>
    <row r="51" spans="1:8">
      <c r="A51" s="722" t="s">
        <v>94</v>
      </c>
      <c r="B51" s="722" t="s">
        <v>1411</v>
      </c>
      <c r="C51" s="723">
        <f>VLOOKUP(A51,iGRANTS!$B$8:$D$135,3,0)</f>
        <v>0</v>
      </c>
      <c r="D51" s="723">
        <v>0</v>
      </c>
      <c r="E51" s="723">
        <f>VLOOKUP(A51,'Native American'!$A$2:$C$307,3,0)</f>
        <v>0</v>
      </c>
      <c r="F51" s="724"/>
      <c r="G51" s="724"/>
      <c r="H51" s="724"/>
    </row>
    <row r="52" spans="1:8">
      <c r="A52" s="722" t="s">
        <v>96</v>
      </c>
      <c r="B52" s="722" t="s">
        <v>1412</v>
      </c>
      <c r="C52" s="723">
        <f>VLOOKUP(A52,iGRANTS!$B$8:$D$135,3,0)</f>
        <v>0</v>
      </c>
      <c r="D52" s="723">
        <v>0</v>
      </c>
      <c r="E52" s="723">
        <f>VLOOKUP(A52,'Native American'!$A$2:$C$307,3,0)</f>
        <v>0</v>
      </c>
      <c r="F52" s="724"/>
      <c r="G52" s="724"/>
      <c r="H52" s="724"/>
    </row>
    <row r="53" spans="1:8">
      <c r="A53" s="722" t="s">
        <v>98</v>
      </c>
      <c r="B53" s="722" t="s">
        <v>1413</v>
      </c>
      <c r="C53" s="723" t="e">
        <f>VLOOKUP(A53,iGRANTS!$B$8:$D$135,3,0)</f>
        <v>#N/A</v>
      </c>
      <c r="D53" s="723">
        <v>0</v>
      </c>
      <c r="E53" s="723">
        <f>VLOOKUP(A53,'Native American'!$A$2:$C$307,3,0)</f>
        <v>0</v>
      </c>
      <c r="F53" s="724"/>
      <c r="G53" s="724"/>
      <c r="H53" s="724"/>
    </row>
    <row r="54" spans="1:8">
      <c r="A54" s="722" t="s">
        <v>100</v>
      </c>
      <c r="B54" s="722" t="s">
        <v>1414</v>
      </c>
      <c r="C54" s="723">
        <f>VLOOKUP(A54,iGRANTS!$B$8:$D$135,3,0)</f>
        <v>13704</v>
      </c>
      <c r="D54" s="723">
        <v>0</v>
      </c>
      <c r="E54" s="723">
        <f>VLOOKUP(A54,'Native American'!$A$2:$C$307,3,0)</f>
        <v>99.83</v>
      </c>
      <c r="F54" s="724"/>
      <c r="G54" s="724"/>
      <c r="H54" s="724"/>
    </row>
    <row r="55" spans="1:8">
      <c r="A55" s="722" t="s">
        <v>102</v>
      </c>
      <c r="B55" s="722" t="s">
        <v>1415</v>
      </c>
      <c r="C55" s="723" t="e">
        <f>VLOOKUP(A55,iGRANTS!$B$8:$D$135,3,0)</f>
        <v>#N/A</v>
      </c>
      <c r="D55" s="723">
        <v>0</v>
      </c>
      <c r="E55" s="723">
        <f>VLOOKUP(A55,'Native American'!$A$2:$C$307,3,0)</f>
        <v>0</v>
      </c>
      <c r="F55" s="724"/>
      <c r="G55" s="724"/>
      <c r="H55" s="724"/>
    </row>
    <row r="56" spans="1:8">
      <c r="A56" s="722" t="s">
        <v>104</v>
      </c>
      <c r="B56" s="722" t="s">
        <v>1416</v>
      </c>
      <c r="C56" s="723" t="e">
        <f>VLOOKUP(A56,iGRANTS!$B$8:$D$135,3,0)</f>
        <v>#N/A</v>
      </c>
      <c r="D56" s="723">
        <v>0</v>
      </c>
      <c r="E56" s="723">
        <f>VLOOKUP(A56,'Native American'!$A$2:$C$307,3,0)</f>
        <v>0</v>
      </c>
      <c r="F56" s="724"/>
      <c r="G56" s="724"/>
      <c r="H56" s="724"/>
    </row>
    <row r="57" spans="1:8">
      <c r="A57" s="722" t="s">
        <v>106</v>
      </c>
      <c r="B57" s="722" t="s">
        <v>1417</v>
      </c>
      <c r="C57" s="723" t="e">
        <f>VLOOKUP(A57,iGRANTS!$B$8:$D$135,3,0)</f>
        <v>#N/A</v>
      </c>
      <c r="D57" s="723">
        <v>0</v>
      </c>
      <c r="E57" s="723">
        <f>VLOOKUP(A57,'Native American'!$A$2:$C$307,3,0)</f>
        <v>1</v>
      </c>
      <c r="F57" s="724"/>
      <c r="G57" s="724"/>
      <c r="H57" s="724"/>
    </row>
    <row r="58" spans="1:8">
      <c r="A58" s="722" t="s">
        <v>108</v>
      </c>
      <c r="B58" s="722" t="s">
        <v>1418</v>
      </c>
      <c r="C58" s="723" t="e">
        <f>VLOOKUP(A58,iGRANTS!$B$8:$D$135,3,0)</f>
        <v>#N/A</v>
      </c>
      <c r="D58" s="723">
        <v>0</v>
      </c>
      <c r="E58" s="723">
        <f>VLOOKUP(A58,'Native American'!$A$2:$C$307,3,0)</f>
        <v>0</v>
      </c>
      <c r="F58" s="724"/>
      <c r="G58" s="724"/>
      <c r="H58" s="724"/>
    </row>
    <row r="59" spans="1:8">
      <c r="A59" s="722" t="s">
        <v>110</v>
      </c>
      <c r="B59" s="722" t="s">
        <v>1419</v>
      </c>
      <c r="C59" s="723">
        <f>VLOOKUP(A59,iGRANTS!$B$8:$D$135,3,0)</f>
        <v>0</v>
      </c>
      <c r="D59" s="723">
        <v>0</v>
      </c>
      <c r="E59" s="723">
        <f>VLOOKUP(A59,'Native American'!$A$2:$C$307,3,0)</f>
        <v>0</v>
      </c>
      <c r="F59" s="724"/>
      <c r="G59" s="724"/>
      <c r="H59" s="724"/>
    </row>
    <row r="60" spans="1:8">
      <c r="A60" s="722" t="s">
        <v>112</v>
      </c>
      <c r="B60" s="722" t="s">
        <v>1420</v>
      </c>
      <c r="C60" s="723" t="e">
        <f>VLOOKUP(A60,iGRANTS!$B$8:$D$135,3,0)</f>
        <v>#N/A</v>
      </c>
      <c r="D60" s="723">
        <v>0</v>
      </c>
      <c r="E60" s="723">
        <f>VLOOKUP(A60,'Native American'!$A$2:$C$307,3,0)</f>
        <v>0</v>
      </c>
      <c r="F60" s="724"/>
      <c r="G60" s="724"/>
      <c r="H60" s="724"/>
    </row>
    <row r="61" spans="1:8">
      <c r="A61" s="722" t="s">
        <v>114</v>
      </c>
      <c r="B61" s="722" t="s">
        <v>634</v>
      </c>
      <c r="C61" s="723" t="e">
        <f>VLOOKUP(A61,iGRANTS!$B$8:$D$135,3,0)</f>
        <v>#N/A</v>
      </c>
      <c r="D61" s="723">
        <v>0</v>
      </c>
      <c r="E61" s="723">
        <f>VLOOKUP(A61,'Native American'!$A$2:$C$307,3,0)</f>
        <v>0</v>
      </c>
      <c r="F61" s="724"/>
      <c r="G61" s="724"/>
      <c r="H61" s="724"/>
    </row>
    <row r="62" spans="1:8">
      <c r="A62" s="722" t="s">
        <v>116</v>
      </c>
      <c r="B62" s="722" t="s">
        <v>1421</v>
      </c>
      <c r="C62" s="723" t="e">
        <f>VLOOKUP(A62,iGRANTS!$B$8:$D$135,3,0)</f>
        <v>#N/A</v>
      </c>
      <c r="D62" s="723">
        <v>0</v>
      </c>
      <c r="E62" s="723">
        <f>VLOOKUP(A62,'Native American'!$A$2:$C$307,3,0)</f>
        <v>0</v>
      </c>
      <c r="F62" s="724"/>
      <c r="G62" s="724"/>
      <c r="H62" s="724"/>
    </row>
    <row r="63" spans="1:8">
      <c r="A63" s="722" t="s">
        <v>118</v>
      </c>
      <c r="B63" s="722" t="s">
        <v>1422</v>
      </c>
      <c r="C63" s="723" t="e">
        <f>VLOOKUP(A63,iGRANTS!$B$8:$D$135,3,0)</f>
        <v>#N/A</v>
      </c>
      <c r="D63" s="723">
        <v>0</v>
      </c>
      <c r="E63" s="723">
        <f>VLOOKUP(A63,'Native American'!$A$2:$C$307,3,0)</f>
        <v>0</v>
      </c>
      <c r="F63" s="724"/>
      <c r="G63" s="724"/>
      <c r="H63" s="724"/>
    </row>
    <row r="64" spans="1:8">
      <c r="A64" s="722" t="s">
        <v>120</v>
      </c>
      <c r="B64" s="722" t="s">
        <v>1423</v>
      </c>
      <c r="C64" s="723">
        <f>VLOOKUP(A64,iGRANTS!$B$8:$D$135,3,0)</f>
        <v>0</v>
      </c>
      <c r="D64" s="723">
        <v>0</v>
      </c>
      <c r="E64" s="723">
        <f>VLOOKUP(A64,'Native American'!$A$2:$C$307,3,0)</f>
        <v>0</v>
      </c>
      <c r="F64" s="724"/>
      <c r="G64" s="724"/>
      <c r="H64" s="724"/>
    </row>
    <row r="65" spans="1:8">
      <c r="A65" s="722" t="s">
        <v>121</v>
      </c>
      <c r="B65" s="722" t="s">
        <v>1424</v>
      </c>
      <c r="C65" s="723" t="e">
        <f>VLOOKUP(A65,iGRANTS!$B$8:$D$135,3,0)</f>
        <v>#N/A</v>
      </c>
      <c r="D65" s="723">
        <v>0</v>
      </c>
      <c r="E65" s="723">
        <f>VLOOKUP(A65,'Native American'!$A$2:$C$307,3,0)</f>
        <v>1</v>
      </c>
      <c r="F65" s="724"/>
      <c r="G65" s="724"/>
      <c r="H65" s="724"/>
    </row>
    <row r="66" spans="1:8">
      <c r="A66" s="722" t="s">
        <v>123</v>
      </c>
      <c r="B66" s="722" t="s">
        <v>1425</v>
      </c>
      <c r="C66" s="723" t="e">
        <f>VLOOKUP(A66,iGRANTS!$B$8:$D$135,3,0)</f>
        <v>#N/A</v>
      </c>
      <c r="D66" s="723">
        <v>0</v>
      </c>
      <c r="E66" s="723">
        <f>VLOOKUP(A66,'Native American'!$A$2:$C$307,3,0)</f>
        <v>0</v>
      </c>
      <c r="F66" s="724"/>
      <c r="G66" s="724"/>
      <c r="H66" s="724"/>
    </row>
    <row r="67" spans="1:8">
      <c r="A67" s="722" t="s">
        <v>125</v>
      </c>
      <c r="B67" s="722" t="s">
        <v>1426</v>
      </c>
      <c r="C67" s="723" t="e">
        <f>VLOOKUP(A67,iGRANTS!$B$8:$D$135,3,0)</f>
        <v>#N/A</v>
      </c>
      <c r="D67" s="723">
        <v>0</v>
      </c>
      <c r="E67" s="723">
        <f>VLOOKUP(A67,'Native American'!$A$2:$C$307,3,0)</f>
        <v>14.67</v>
      </c>
      <c r="F67" s="724"/>
      <c r="G67" s="724"/>
      <c r="H67" s="724"/>
    </row>
    <row r="68" spans="1:8">
      <c r="A68" s="722" t="s">
        <v>127</v>
      </c>
      <c r="B68" s="722" t="s">
        <v>623</v>
      </c>
      <c r="C68" s="723">
        <f>VLOOKUP(A68,iGRANTS!$B$8:$D$135,3,0)</f>
        <v>47682</v>
      </c>
      <c r="D68" s="723">
        <v>8</v>
      </c>
      <c r="E68" s="723">
        <f>VLOOKUP(A68,'Native American'!$A$2:$C$307,3,0)</f>
        <v>2</v>
      </c>
      <c r="F68" s="724"/>
      <c r="G68" s="724"/>
      <c r="H68" s="724"/>
    </row>
    <row r="69" spans="1:8">
      <c r="A69" s="722" t="s">
        <v>129</v>
      </c>
      <c r="B69" s="722" t="s">
        <v>1427</v>
      </c>
      <c r="C69" s="723" t="e">
        <f>VLOOKUP(A69,iGRANTS!$B$8:$D$135,3,0)</f>
        <v>#N/A</v>
      </c>
      <c r="D69" s="723">
        <v>0</v>
      </c>
      <c r="E69" s="723" t="e">
        <f>VLOOKUP(A69,'Native American'!$A$2:$C$307,3,0)</f>
        <v>#N/A</v>
      </c>
      <c r="F69" s="724"/>
      <c r="G69" s="724"/>
      <c r="H69" s="724"/>
    </row>
    <row r="70" spans="1:8">
      <c r="A70" s="722" t="s">
        <v>131</v>
      </c>
      <c r="B70" s="722" t="s">
        <v>1428</v>
      </c>
      <c r="C70" s="723">
        <f>VLOOKUP(A70,iGRANTS!$B$8:$D$135,3,0)</f>
        <v>16382</v>
      </c>
      <c r="D70" s="723">
        <v>0</v>
      </c>
      <c r="E70" s="723">
        <f>VLOOKUP(A70,'Native American'!$A$2:$C$307,3,0)</f>
        <v>119.33</v>
      </c>
      <c r="F70" s="724"/>
      <c r="G70" s="724"/>
      <c r="H70" s="724"/>
    </row>
    <row r="71" spans="1:8">
      <c r="A71" s="722" t="s">
        <v>132</v>
      </c>
      <c r="B71" s="722" t="s">
        <v>1429</v>
      </c>
      <c r="C71" s="723">
        <f>VLOOKUP(A71,iGRANTS!$B$8:$D$135,3,0)</f>
        <v>59966</v>
      </c>
      <c r="D71" s="723">
        <v>14</v>
      </c>
      <c r="E71" s="723">
        <f>VLOOKUP(A71,'Native American'!$A$2:$C$307,3,0)</f>
        <v>28.17</v>
      </c>
      <c r="F71" s="724"/>
      <c r="G71" s="724"/>
      <c r="H71" s="724"/>
    </row>
    <row r="72" spans="1:8">
      <c r="A72" s="722" t="s">
        <v>134</v>
      </c>
      <c r="B72" s="722" t="s">
        <v>748</v>
      </c>
      <c r="C72" s="723">
        <f>VLOOKUP(A72,iGRANTS!$B$8:$D$135,3,0)</f>
        <v>12333</v>
      </c>
      <c r="D72" s="723">
        <v>0</v>
      </c>
      <c r="E72" s="723">
        <f>VLOOKUP(A72,'Native American'!$A$2:$C$307,3,0)</f>
        <v>0</v>
      </c>
      <c r="F72" s="724"/>
      <c r="G72" s="724"/>
      <c r="H72" s="724"/>
    </row>
    <row r="73" spans="1:8">
      <c r="A73" s="722" t="s">
        <v>136</v>
      </c>
      <c r="B73" s="722" t="s">
        <v>1430</v>
      </c>
      <c r="C73" s="723" t="e">
        <f>VLOOKUP(A73,iGRANTS!$B$8:$D$135,3,0)</f>
        <v>#N/A</v>
      </c>
      <c r="D73" s="723">
        <v>0</v>
      </c>
      <c r="E73" s="723">
        <f>VLOOKUP(A73,'Native American'!$A$2:$C$307,3,0)</f>
        <v>32.83</v>
      </c>
      <c r="F73" s="724"/>
      <c r="G73" s="724"/>
      <c r="H73" s="724"/>
    </row>
    <row r="74" spans="1:8">
      <c r="A74" s="722" t="s">
        <v>138</v>
      </c>
      <c r="B74" s="722" t="s">
        <v>1431</v>
      </c>
      <c r="C74" s="723" t="e">
        <f>VLOOKUP(A74,iGRANTS!$B$8:$D$135,3,0)</f>
        <v>#N/A</v>
      </c>
      <c r="D74" s="723">
        <v>0</v>
      </c>
      <c r="E74" s="723">
        <f>VLOOKUP(A74,'Native American'!$A$2:$C$307,3,0)</f>
        <v>0</v>
      </c>
      <c r="F74" s="724"/>
      <c r="G74" s="724"/>
      <c r="H74" s="724"/>
    </row>
    <row r="75" spans="1:8">
      <c r="A75" s="722" t="s">
        <v>139</v>
      </c>
      <c r="B75" s="722" t="s">
        <v>1432</v>
      </c>
      <c r="C75" s="723" t="e">
        <f>VLOOKUP(A75,iGRANTS!$B$8:$D$135,3,0)</f>
        <v>#N/A</v>
      </c>
      <c r="D75" s="723">
        <v>0</v>
      </c>
      <c r="E75" s="723">
        <f>VLOOKUP(A75,'Native American'!$A$2:$C$307,3,0)</f>
        <v>0</v>
      </c>
      <c r="F75" s="724"/>
      <c r="G75" s="724"/>
      <c r="H75" s="724"/>
    </row>
    <row r="76" spans="1:8">
      <c r="A76" s="722" t="s">
        <v>141</v>
      </c>
      <c r="B76" s="722" t="s">
        <v>1433</v>
      </c>
      <c r="C76" s="723">
        <f>VLOOKUP(A76,iGRANTS!$B$8:$D$135,3,0)</f>
        <v>16176</v>
      </c>
      <c r="D76" s="723">
        <v>0</v>
      </c>
      <c r="E76" s="723">
        <f>VLOOKUP(A76,'Native American'!$A$2:$C$307,3,0)</f>
        <v>3</v>
      </c>
      <c r="F76" s="724"/>
      <c r="G76" s="724"/>
      <c r="H76" s="724"/>
    </row>
    <row r="77" spans="1:8">
      <c r="A77" s="722" t="s">
        <v>143</v>
      </c>
      <c r="B77" s="722" t="s">
        <v>1434</v>
      </c>
      <c r="C77" s="723" t="e">
        <f>VLOOKUP(A77,iGRANTS!$B$8:$D$135,3,0)</f>
        <v>#N/A</v>
      </c>
      <c r="D77" s="723">
        <v>0</v>
      </c>
      <c r="E77" s="723">
        <f>VLOOKUP(A77,'Native American'!$A$2:$C$307,3,0)</f>
        <v>0</v>
      </c>
      <c r="F77" s="724"/>
      <c r="G77" s="724"/>
      <c r="H77" s="724"/>
    </row>
    <row r="78" spans="1:8">
      <c r="A78" s="722" t="s">
        <v>145</v>
      </c>
      <c r="B78" s="722" t="s">
        <v>607</v>
      </c>
      <c r="C78" s="723" t="e">
        <f>VLOOKUP(A78,iGRANTS!$B$8:$D$135,3,0)</f>
        <v>#N/A</v>
      </c>
      <c r="D78" s="723">
        <v>0</v>
      </c>
      <c r="E78" s="723">
        <f>VLOOKUP(A78,'Native American'!$A$2:$C$307,3,0)</f>
        <v>5</v>
      </c>
      <c r="F78" s="724"/>
      <c r="G78" s="724"/>
      <c r="H78" s="724"/>
    </row>
    <row r="79" spans="1:8">
      <c r="A79" s="722" t="s">
        <v>147</v>
      </c>
      <c r="B79" s="722" t="s">
        <v>1435</v>
      </c>
      <c r="C79" s="723">
        <f>VLOOKUP(A79,iGRANTS!$B$8:$D$135,3,0)</f>
        <v>0</v>
      </c>
      <c r="D79" s="723">
        <v>0</v>
      </c>
      <c r="E79" s="723">
        <f>VLOOKUP(A79,'Native American'!$A$2:$C$307,3,0)</f>
        <v>0</v>
      </c>
      <c r="F79" s="724"/>
      <c r="G79" s="724"/>
      <c r="H79" s="724"/>
    </row>
    <row r="80" spans="1:8">
      <c r="A80" s="722" t="s">
        <v>149</v>
      </c>
      <c r="B80" s="722" t="s">
        <v>1436</v>
      </c>
      <c r="C80" s="723" t="e">
        <f>VLOOKUP(A80,iGRANTS!$B$8:$D$135,3,0)</f>
        <v>#N/A</v>
      </c>
      <c r="D80" s="723">
        <v>0</v>
      </c>
      <c r="E80" s="723">
        <f>VLOOKUP(A80,'Native American'!$A$2:$C$307,3,0)</f>
        <v>0</v>
      </c>
      <c r="F80" s="724"/>
      <c r="G80" s="724"/>
      <c r="H80" s="724"/>
    </row>
    <row r="81" spans="1:8">
      <c r="A81" s="722" t="s">
        <v>151</v>
      </c>
      <c r="B81" s="722" t="s">
        <v>1437</v>
      </c>
      <c r="C81" s="723" t="e">
        <f>VLOOKUP(A81,iGRANTS!$B$8:$D$135,3,0)</f>
        <v>#N/A</v>
      </c>
      <c r="D81" s="723">
        <v>0</v>
      </c>
      <c r="E81" s="723" t="e">
        <f>VLOOKUP(A81,'Native American'!$A$2:$C$307,3,0)</f>
        <v>#N/A</v>
      </c>
      <c r="F81" s="724"/>
      <c r="G81" s="724"/>
      <c r="H81" s="724"/>
    </row>
    <row r="82" spans="1:8">
      <c r="A82" s="722" t="s">
        <v>153</v>
      </c>
      <c r="B82" s="722" t="s">
        <v>1438</v>
      </c>
      <c r="C82" s="723" t="e">
        <f>VLOOKUP(A82,iGRANTS!$B$8:$D$135,3,0)</f>
        <v>#N/A</v>
      </c>
      <c r="D82" s="723">
        <v>0</v>
      </c>
      <c r="E82" s="723">
        <f>VLOOKUP(A82,'Native American'!$A$2:$C$307,3,0)</f>
        <v>0</v>
      </c>
      <c r="F82" s="724"/>
      <c r="G82" s="724"/>
      <c r="H82" s="724"/>
    </row>
    <row r="83" spans="1:8">
      <c r="A83" s="722" t="s">
        <v>155</v>
      </c>
      <c r="B83" s="722" t="s">
        <v>1439</v>
      </c>
      <c r="C83" s="723" t="e">
        <f>VLOOKUP(A83,iGRANTS!$B$8:$D$135,3,0)</f>
        <v>#N/A</v>
      </c>
      <c r="D83" s="723">
        <v>0</v>
      </c>
      <c r="E83" s="723">
        <f>VLOOKUP(A83,'Native American'!$A$2:$C$307,3,0)</f>
        <v>44.17</v>
      </c>
      <c r="F83" s="724"/>
      <c r="G83" s="724"/>
      <c r="H83" s="724"/>
    </row>
    <row r="84" spans="1:8">
      <c r="A84" s="722" t="s">
        <v>157</v>
      </c>
      <c r="B84" s="722" t="s">
        <v>1440</v>
      </c>
      <c r="C84" s="723" t="e">
        <f>VLOOKUP(A84,iGRANTS!$B$8:$D$135,3,0)</f>
        <v>#N/A</v>
      </c>
      <c r="D84" s="723">
        <v>0</v>
      </c>
      <c r="E84" s="723">
        <f>VLOOKUP(A84,'Native American'!$A$2:$C$307,3,0)</f>
        <v>26.67</v>
      </c>
      <c r="F84" s="724"/>
      <c r="G84" s="724"/>
      <c r="H84" s="724"/>
    </row>
    <row r="85" spans="1:8">
      <c r="A85" s="722" t="s">
        <v>159</v>
      </c>
      <c r="B85" s="722" t="s">
        <v>1441</v>
      </c>
      <c r="C85" s="723">
        <f>VLOOKUP(A85,iGRANTS!$B$8:$D$135,3,0)</f>
        <v>0</v>
      </c>
      <c r="D85" s="723">
        <v>0</v>
      </c>
      <c r="E85" s="723">
        <f>VLOOKUP(A85,'Native American'!$A$2:$C$307,3,0)</f>
        <v>0</v>
      </c>
      <c r="F85" s="724"/>
      <c r="G85" s="724"/>
      <c r="H85" s="724"/>
    </row>
    <row r="86" spans="1:8">
      <c r="A86" s="722" t="s">
        <v>161</v>
      </c>
      <c r="B86" s="722" t="s">
        <v>1442</v>
      </c>
      <c r="C86" s="723" t="e">
        <f>VLOOKUP(A86,iGRANTS!$B$8:$D$135,3,0)</f>
        <v>#N/A</v>
      </c>
      <c r="D86" s="723">
        <v>0</v>
      </c>
      <c r="E86" s="723">
        <f>VLOOKUP(A86,'Native American'!$A$2:$C$307,3,0)</f>
        <v>0</v>
      </c>
      <c r="F86" s="724"/>
      <c r="G86" s="724"/>
      <c r="H86" s="724"/>
    </row>
    <row r="87" spans="1:8">
      <c r="A87" s="722" t="s">
        <v>163</v>
      </c>
      <c r="B87" s="722" t="s">
        <v>1443</v>
      </c>
      <c r="C87" s="723" t="e">
        <f>VLOOKUP(A87,iGRANTS!$B$8:$D$135,3,0)</f>
        <v>#N/A</v>
      </c>
      <c r="D87" s="723">
        <v>0</v>
      </c>
      <c r="E87" s="723">
        <f>VLOOKUP(A87,'Native American'!$A$2:$C$307,3,0)</f>
        <v>0</v>
      </c>
      <c r="F87" s="724"/>
      <c r="G87" s="724"/>
      <c r="H87" s="724"/>
    </row>
    <row r="88" spans="1:8">
      <c r="A88" s="722" t="s">
        <v>165</v>
      </c>
      <c r="B88" s="722" t="s">
        <v>1444</v>
      </c>
      <c r="C88" s="723">
        <f>VLOOKUP(A88,iGRANTS!$B$8:$D$135,3,0)</f>
        <v>0</v>
      </c>
      <c r="D88" s="723">
        <v>0</v>
      </c>
      <c r="E88" s="723">
        <f>VLOOKUP(A88,'Native American'!$A$2:$C$307,3,0)</f>
        <v>0</v>
      </c>
      <c r="F88" s="724"/>
      <c r="G88" s="724"/>
      <c r="H88" s="724"/>
    </row>
    <row r="89" spans="1:8">
      <c r="A89" s="722" t="s">
        <v>167</v>
      </c>
      <c r="B89" s="722" t="s">
        <v>1445</v>
      </c>
      <c r="C89" s="723" t="e">
        <f>VLOOKUP(A89,iGRANTS!$B$8:$D$135,3,0)</f>
        <v>#N/A</v>
      </c>
      <c r="D89" s="723">
        <v>0</v>
      </c>
      <c r="E89" s="723">
        <f>VLOOKUP(A89,'Native American'!$A$2:$C$307,3,0)</f>
        <v>0</v>
      </c>
      <c r="F89" s="724"/>
      <c r="G89" s="724"/>
      <c r="H89" s="724"/>
    </row>
    <row r="90" spans="1:8">
      <c r="A90" s="722" t="s">
        <v>169</v>
      </c>
      <c r="B90" s="722" t="s">
        <v>1446</v>
      </c>
      <c r="C90" s="723">
        <f>VLOOKUP(A90,iGRANTS!$B$8:$D$135,3,0)</f>
        <v>0</v>
      </c>
      <c r="D90" s="723">
        <v>0</v>
      </c>
      <c r="E90" s="723">
        <f>VLOOKUP(A90,'Native American'!$A$2:$C$307,3,0)</f>
        <v>0</v>
      </c>
      <c r="F90" s="724"/>
      <c r="G90" s="724"/>
      <c r="H90" s="724"/>
    </row>
    <row r="91" spans="1:8">
      <c r="A91" s="722" t="s">
        <v>171</v>
      </c>
      <c r="B91" s="722" t="s">
        <v>1447</v>
      </c>
      <c r="C91" s="723" t="e">
        <f>VLOOKUP(A91,iGRANTS!$B$8:$D$135,3,0)</f>
        <v>#N/A</v>
      </c>
      <c r="D91" s="723">
        <v>0</v>
      </c>
      <c r="E91" s="723">
        <f>VLOOKUP(A91,'Native American'!$A$2:$C$307,3,0)</f>
        <v>0</v>
      </c>
      <c r="F91" s="724"/>
      <c r="G91" s="724"/>
      <c r="H91" s="724"/>
    </row>
    <row r="92" spans="1:8">
      <c r="A92" s="722" t="s">
        <v>173</v>
      </c>
      <c r="B92" s="722" t="s">
        <v>1448</v>
      </c>
      <c r="C92" s="723" t="e">
        <f>VLOOKUP(A92,iGRANTS!$B$8:$D$135,3,0)</f>
        <v>#N/A</v>
      </c>
      <c r="D92" s="723">
        <v>15</v>
      </c>
      <c r="E92" s="723">
        <f>VLOOKUP(A92,'Native American'!$A$2:$C$307,3,0)</f>
        <v>119</v>
      </c>
      <c r="F92" s="724"/>
      <c r="G92" s="724"/>
      <c r="H92" s="724"/>
    </row>
    <row r="93" spans="1:8">
      <c r="A93" s="722" t="s">
        <v>175</v>
      </c>
      <c r="B93" s="722" t="s">
        <v>1449</v>
      </c>
      <c r="C93" s="723">
        <f>VLOOKUP(A93,iGRANTS!$B$8:$D$135,3,0)</f>
        <v>674030</v>
      </c>
      <c r="D93" s="723">
        <v>0</v>
      </c>
      <c r="E93" s="723">
        <f>VLOOKUP(A93,'Native American'!$A$2:$C$307,3,0)</f>
        <v>43.33</v>
      </c>
      <c r="F93" s="724"/>
      <c r="G93" s="724"/>
      <c r="H93" s="724"/>
    </row>
    <row r="94" spans="1:8">
      <c r="A94" s="722" t="s">
        <v>177</v>
      </c>
      <c r="B94" s="722" t="s">
        <v>1450</v>
      </c>
      <c r="C94" s="723">
        <f>VLOOKUP(A94,iGRANTS!$B$8:$D$135,3,0)</f>
        <v>34456</v>
      </c>
      <c r="D94" s="723">
        <v>0</v>
      </c>
      <c r="E94" s="723">
        <f>VLOOKUP(A94,'Native American'!$A$2:$C$307,3,0)</f>
        <v>4</v>
      </c>
      <c r="F94" s="724"/>
      <c r="G94" s="724"/>
      <c r="H94" s="724"/>
    </row>
    <row r="95" spans="1:8">
      <c r="A95" s="722" t="s">
        <v>179</v>
      </c>
      <c r="B95" s="722" t="s">
        <v>1451</v>
      </c>
      <c r="C95" s="723" t="e">
        <f>VLOOKUP(A95,iGRANTS!$B$8:$D$135,3,0)</f>
        <v>#N/A</v>
      </c>
      <c r="D95" s="723">
        <v>0</v>
      </c>
      <c r="E95" s="723">
        <f>VLOOKUP(A95,'Native American'!$A$2:$C$307,3,0)</f>
        <v>0</v>
      </c>
      <c r="F95" s="724"/>
      <c r="G95" s="724"/>
      <c r="H95" s="724"/>
    </row>
    <row r="96" spans="1:8">
      <c r="A96" s="722" t="s">
        <v>181</v>
      </c>
      <c r="B96" s="722" t="s">
        <v>1452</v>
      </c>
      <c r="C96" s="723">
        <f>VLOOKUP(A96,iGRANTS!$B$8:$D$135,3,0)</f>
        <v>852880</v>
      </c>
      <c r="D96" s="723">
        <v>0</v>
      </c>
      <c r="E96" s="723">
        <f>VLOOKUP(A96,'Native American'!$A$2:$C$307,3,0)</f>
        <v>154.83000000000001</v>
      </c>
      <c r="F96" s="724"/>
      <c r="G96" s="724"/>
      <c r="H96" s="724"/>
    </row>
    <row r="97" spans="1:8">
      <c r="A97" s="722" t="s">
        <v>183</v>
      </c>
      <c r="B97" s="722" t="s">
        <v>1453</v>
      </c>
      <c r="C97" s="723" t="e">
        <f>VLOOKUP(A97,iGRANTS!$B$8:$D$135,3,0)</f>
        <v>#N/A</v>
      </c>
      <c r="D97" s="723">
        <v>0</v>
      </c>
      <c r="E97" s="723">
        <f>VLOOKUP(A97,'Native American'!$A$2:$C$307,3,0)</f>
        <v>0</v>
      </c>
      <c r="F97" s="724"/>
      <c r="G97" s="724"/>
      <c r="H97" s="724"/>
    </row>
    <row r="98" spans="1:8">
      <c r="A98" s="722" t="s">
        <v>185</v>
      </c>
      <c r="B98" s="722" t="s">
        <v>638</v>
      </c>
      <c r="C98" s="723" t="e">
        <f>VLOOKUP(A98,iGRANTS!$B$8:$D$135,3,0)</f>
        <v>#N/A</v>
      </c>
      <c r="D98" s="723">
        <v>3</v>
      </c>
      <c r="E98" s="723">
        <f>VLOOKUP(A98,'Native American'!$A$2:$C$307,3,0)</f>
        <v>34</v>
      </c>
      <c r="F98" s="724"/>
      <c r="G98" s="724"/>
      <c r="H98" s="724"/>
    </row>
    <row r="99" spans="1:8">
      <c r="A99" s="722" t="s">
        <v>187</v>
      </c>
      <c r="B99" s="722" t="s">
        <v>1454</v>
      </c>
      <c r="C99" s="723" t="e">
        <f>VLOOKUP(A99,iGRANTS!$B$8:$D$135,3,0)</f>
        <v>#N/A</v>
      </c>
      <c r="D99" s="723">
        <v>0</v>
      </c>
      <c r="E99" s="723">
        <f>VLOOKUP(A99,'Native American'!$A$2:$C$307,3,0)</f>
        <v>0</v>
      </c>
      <c r="F99" s="724"/>
      <c r="G99" s="724"/>
      <c r="H99" s="724"/>
    </row>
    <row r="100" spans="1:8">
      <c r="A100" s="722" t="s">
        <v>189</v>
      </c>
      <c r="B100" s="722" t="s">
        <v>1455</v>
      </c>
      <c r="C100" s="723">
        <f>VLOOKUP(A100,iGRANTS!$B$8:$D$135,3,0)</f>
        <v>424255</v>
      </c>
      <c r="D100" s="723">
        <v>79</v>
      </c>
      <c r="E100" s="723">
        <f>VLOOKUP(A100,'Native American'!$A$2:$C$307,3,0)</f>
        <v>0</v>
      </c>
      <c r="F100" s="724"/>
      <c r="G100" s="724"/>
      <c r="H100" s="724"/>
    </row>
    <row r="101" spans="1:8">
      <c r="A101" s="722" t="s">
        <v>191</v>
      </c>
      <c r="B101" s="722" t="s">
        <v>1456</v>
      </c>
      <c r="C101" s="723" t="e">
        <f>VLOOKUP(A101,iGRANTS!$B$8:$D$135,3,0)</f>
        <v>#N/A</v>
      </c>
      <c r="D101" s="723">
        <v>0</v>
      </c>
      <c r="E101" s="723">
        <f>VLOOKUP(A101,'Native American'!$A$2:$C$307,3,0)</f>
        <v>12</v>
      </c>
      <c r="F101" s="724"/>
      <c r="G101" s="724"/>
      <c r="H101" s="724"/>
    </row>
    <row r="102" spans="1:8">
      <c r="A102" s="722" t="s">
        <v>193</v>
      </c>
      <c r="B102" s="722" t="s">
        <v>1457</v>
      </c>
      <c r="C102" s="723" t="e">
        <f>VLOOKUP(A102,iGRANTS!$B$8:$D$135,3,0)</f>
        <v>#N/A</v>
      </c>
      <c r="D102" s="723">
        <v>0</v>
      </c>
      <c r="E102" s="723">
        <f>VLOOKUP(A102,'Native American'!$A$2:$C$307,3,0)</f>
        <v>0</v>
      </c>
      <c r="F102" s="724"/>
      <c r="G102" s="724"/>
      <c r="H102" s="724"/>
    </row>
    <row r="103" spans="1:8">
      <c r="A103" s="722" t="s">
        <v>195</v>
      </c>
      <c r="B103" s="722" t="s">
        <v>1362</v>
      </c>
      <c r="C103" s="723">
        <f>VLOOKUP(A103,iGRANTS!$B$8:$D$135,3,0)</f>
        <v>0</v>
      </c>
      <c r="D103" s="723">
        <v>0</v>
      </c>
      <c r="E103" s="723">
        <f>VLOOKUP(A103,'Native American'!$A$2:$C$307,3,0)</f>
        <v>19</v>
      </c>
      <c r="F103" s="724"/>
      <c r="G103" s="724"/>
      <c r="H103" s="724"/>
    </row>
    <row r="104" spans="1:8">
      <c r="A104" s="722" t="s">
        <v>197</v>
      </c>
      <c r="B104" s="722" t="s">
        <v>627</v>
      </c>
      <c r="C104" s="723" t="e">
        <f>VLOOKUP(A104,iGRANTS!$B$8:$D$135,3,0)</f>
        <v>#N/A</v>
      </c>
      <c r="D104" s="723">
        <v>0</v>
      </c>
      <c r="E104" s="723">
        <f>VLOOKUP(A104,'Native American'!$A$2:$C$307,3,0)</f>
        <v>4</v>
      </c>
      <c r="F104" s="724"/>
      <c r="G104" s="724"/>
      <c r="H104" s="724"/>
    </row>
    <row r="105" spans="1:8">
      <c r="A105" s="722" t="s">
        <v>199</v>
      </c>
      <c r="B105" s="722" t="s">
        <v>1272</v>
      </c>
      <c r="C105" s="723" t="e">
        <f>VLOOKUP(A105,iGRANTS!$B$8:$D$135,3,0)</f>
        <v>#N/A</v>
      </c>
      <c r="D105" s="723">
        <v>0</v>
      </c>
      <c r="E105" s="723">
        <f>VLOOKUP(A105,'Native American'!$A$2:$C$307,3,0)</f>
        <v>3</v>
      </c>
      <c r="F105" s="724"/>
      <c r="G105" s="724"/>
      <c r="H105" s="724"/>
    </row>
    <row r="106" spans="1:8">
      <c r="A106" s="722" t="s">
        <v>201</v>
      </c>
      <c r="B106" s="722" t="s">
        <v>1458</v>
      </c>
      <c r="C106" s="723">
        <f>VLOOKUP(A106,iGRANTS!$B$8:$D$135,3,0)</f>
        <v>197497</v>
      </c>
      <c r="D106" s="723">
        <v>0</v>
      </c>
      <c r="E106" s="723">
        <f>VLOOKUP(A106,'Native American'!$A$2:$C$307,3,0)</f>
        <v>22.83</v>
      </c>
      <c r="F106" s="724"/>
      <c r="G106" s="724"/>
      <c r="H106" s="724"/>
    </row>
    <row r="107" spans="1:8">
      <c r="A107" s="722" t="s">
        <v>203</v>
      </c>
      <c r="B107" s="722" t="s">
        <v>640</v>
      </c>
      <c r="C107" s="723" t="e">
        <f>VLOOKUP(A107,iGRANTS!$B$8:$D$135,3,0)</f>
        <v>#N/A</v>
      </c>
      <c r="D107" s="723">
        <v>4</v>
      </c>
      <c r="E107" s="723">
        <f>VLOOKUP(A107,'Native American'!$A$2:$C$307,3,0)</f>
        <v>29</v>
      </c>
      <c r="F107" s="724"/>
      <c r="G107" s="724"/>
      <c r="H107" s="724"/>
    </row>
    <row r="108" spans="1:8">
      <c r="A108" s="722" t="s">
        <v>205</v>
      </c>
      <c r="B108" s="722" t="s">
        <v>1459</v>
      </c>
      <c r="C108" s="723">
        <f>VLOOKUP(A108,iGRANTS!$B$8:$D$135,3,0)</f>
        <v>486169</v>
      </c>
      <c r="D108" s="723">
        <v>0</v>
      </c>
      <c r="E108" s="723">
        <f>VLOOKUP(A108,'Native American'!$A$2:$C$307,3,0)</f>
        <v>33.17</v>
      </c>
      <c r="F108" s="724"/>
      <c r="G108" s="724"/>
      <c r="H108" s="724"/>
    </row>
    <row r="109" spans="1:8">
      <c r="A109" s="722" t="s">
        <v>207</v>
      </c>
      <c r="B109" s="722" t="s">
        <v>1460</v>
      </c>
      <c r="C109" s="723">
        <f>VLOOKUP(A109,iGRANTS!$B$8:$D$135,3,0)</f>
        <v>784310</v>
      </c>
      <c r="D109" s="723">
        <v>0</v>
      </c>
      <c r="E109" s="723">
        <f>VLOOKUP(A109,'Native American'!$A$2:$C$307,3,0)</f>
        <v>19.829999999999998</v>
      </c>
      <c r="F109" s="724"/>
      <c r="G109" s="724"/>
      <c r="H109" s="724"/>
    </row>
    <row r="110" spans="1:8">
      <c r="A110" s="722" t="s">
        <v>209</v>
      </c>
      <c r="B110" s="722" t="s">
        <v>637</v>
      </c>
      <c r="C110" s="723" t="e">
        <f>VLOOKUP(A110,iGRANTS!$B$8:$D$135,3,0)</f>
        <v>#N/A</v>
      </c>
      <c r="D110" s="723">
        <v>0</v>
      </c>
      <c r="E110" s="723">
        <f>VLOOKUP(A110,'Native American'!$A$2:$C$307,3,0)</f>
        <v>21.83</v>
      </c>
      <c r="F110" s="724"/>
      <c r="G110" s="724"/>
      <c r="H110" s="724"/>
    </row>
    <row r="111" spans="1:8">
      <c r="A111" s="722" t="s">
        <v>659</v>
      </c>
      <c r="B111" s="722" t="s">
        <v>1461</v>
      </c>
      <c r="C111" s="723" t="e">
        <f>VLOOKUP(A111,iGRANTS!$B$8:$D$135,3,0)</f>
        <v>#N/A</v>
      </c>
      <c r="D111" s="723">
        <v>0</v>
      </c>
      <c r="E111" s="723" t="e">
        <f>VLOOKUP(A111,'Native American'!$A$2:$C$307,3,0)</f>
        <v>#N/A</v>
      </c>
      <c r="F111" s="724"/>
      <c r="G111" s="724"/>
      <c r="H111" s="724"/>
    </row>
    <row r="112" spans="1:8">
      <c r="A112" s="722" t="s">
        <v>211</v>
      </c>
      <c r="B112" s="722" t="s">
        <v>1462</v>
      </c>
      <c r="C112" s="723">
        <f>VLOOKUP(A112,iGRANTS!$B$8:$D$135,3,0)</f>
        <v>62827</v>
      </c>
      <c r="D112" s="723">
        <v>0</v>
      </c>
      <c r="E112" s="723">
        <f>VLOOKUP(A112,'Native American'!$A$2:$C$307,3,0)</f>
        <v>4.83</v>
      </c>
      <c r="F112" s="724"/>
      <c r="G112" s="724"/>
      <c r="H112" s="724"/>
    </row>
    <row r="113" spans="1:8">
      <c r="A113" s="722" t="s">
        <v>213</v>
      </c>
      <c r="B113" s="722" t="s">
        <v>1463</v>
      </c>
      <c r="C113" s="723">
        <f>VLOOKUP(A113,iGRANTS!$B$8:$D$135,3,0)</f>
        <v>0</v>
      </c>
      <c r="D113" s="723">
        <v>0</v>
      </c>
      <c r="E113" s="723">
        <f>VLOOKUP(A113,'Native American'!$A$2:$C$307,3,0)</f>
        <v>0</v>
      </c>
      <c r="F113" s="724"/>
      <c r="G113" s="724"/>
      <c r="H113" s="724"/>
    </row>
    <row r="114" spans="1:8">
      <c r="A114" s="722" t="s">
        <v>214</v>
      </c>
      <c r="B114" s="722" t="s">
        <v>625</v>
      </c>
      <c r="C114" s="723" t="e">
        <f>VLOOKUP(A114,iGRANTS!$B$8:$D$135,3,0)</f>
        <v>#N/A</v>
      </c>
      <c r="D114" s="723">
        <v>0</v>
      </c>
      <c r="E114" s="723">
        <f>VLOOKUP(A114,'Native American'!$A$2:$C$307,3,0)</f>
        <v>15.67</v>
      </c>
      <c r="F114" s="724"/>
      <c r="G114" s="724"/>
      <c r="H114" s="724"/>
    </row>
    <row r="115" spans="1:8">
      <c r="A115" s="722" t="s">
        <v>216</v>
      </c>
      <c r="B115" s="722" t="s">
        <v>1464</v>
      </c>
      <c r="C115" s="723">
        <f>VLOOKUP(A115,iGRANTS!$B$8:$D$135,3,0)</f>
        <v>52189</v>
      </c>
      <c r="D115" s="723">
        <v>0</v>
      </c>
      <c r="E115" s="723">
        <f>VLOOKUP(A115,'Native American'!$A$2:$C$307,3,0)</f>
        <v>16</v>
      </c>
      <c r="F115" s="724"/>
      <c r="G115" s="724"/>
      <c r="H115" s="724"/>
    </row>
    <row r="116" spans="1:8">
      <c r="A116" s="722" t="s">
        <v>218</v>
      </c>
      <c r="B116" s="722" t="s">
        <v>1465</v>
      </c>
      <c r="C116" s="723" t="e">
        <f>VLOOKUP(A116,iGRANTS!$B$8:$D$135,3,0)</f>
        <v>#N/A</v>
      </c>
      <c r="D116" s="723">
        <v>0</v>
      </c>
      <c r="E116" s="723">
        <f>VLOOKUP(A116,'Native American'!$A$2:$C$307,3,0)</f>
        <v>71.67</v>
      </c>
      <c r="F116" s="724"/>
      <c r="G116" s="724"/>
      <c r="H116" s="724"/>
    </row>
    <row r="117" spans="1:8">
      <c r="A117" s="722" t="s">
        <v>220</v>
      </c>
      <c r="B117" s="722" t="s">
        <v>1466</v>
      </c>
      <c r="C117" s="723">
        <f>VLOOKUP(A117,iGRANTS!$B$8:$D$135,3,0)</f>
        <v>0</v>
      </c>
      <c r="D117" s="723">
        <v>0</v>
      </c>
      <c r="E117" s="723">
        <f>VLOOKUP(A117,'Native American'!$A$2:$C$307,3,0)</f>
        <v>0</v>
      </c>
      <c r="F117" s="724"/>
      <c r="G117" s="724"/>
      <c r="H117" s="724"/>
    </row>
    <row r="118" spans="1:8">
      <c r="A118" s="722" t="s">
        <v>222</v>
      </c>
      <c r="B118" s="722" t="s">
        <v>1467</v>
      </c>
      <c r="C118" s="723">
        <f>VLOOKUP(A118,iGRANTS!$B$8:$D$135,3,0)</f>
        <v>0</v>
      </c>
      <c r="D118" s="723">
        <v>0</v>
      </c>
      <c r="E118" s="723">
        <f>VLOOKUP(A118,'Native American'!$A$2:$C$307,3,0)</f>
        <v>0</v>
      </c>
      <c r="F118" s="724"/>
      <c r="G118" s="724"/>
      <c r="H118" s="724"/>
    </row>
    <row r="119" spans="1:8">
      <c r="A119" s="722" t="s">
        <v>224</v>
      </c>
      <c r="B119" s="722" t="s">
        <v>1468</v>
      </c>
      <c r="C119" s="723" t="e">
        <f>VLOOKUP(A119,iGRANTS!$B$8:$D$135,3,0)</f>
        <v>#N/A</v>
      </c>
      <c r="D119" s="723">
        <v>0</v>
      </c>
      <c r="E119" s="723">
        <f>VLOOKUP(A119,'Native American'!$A$2:$C$307,3,0)</f>
        <v>0</v>
      </c>
      <c r="F119" s="724"/>
      <c r="G119" s="724"/>
      <c r="H119" s="724"/>
    </row>
    <row r="120" spans="1:8">
      <c r="A120" s="722" t="s">
        <v>226</v>
      </c>
      <c r="B120" s="722" t="s">
        <v>1469</v>
      </c>
      <c r="C120" s="723">
        <f>VLOOKUP(A120,iGRANTS!$B$8:$D$135,3,0)</f>
        <v>32512</v>
      </c>
      <c r="D120" s="723">
        <v>0</v>
      </c>
      <c r="E120" s="723">
        <f>VLOOKUP(A120,'Native American'!$A$2:$C$307,3,0)</f>
        <v>8</v>
      </c>
      <c r="F120" s="724"/>
      <c r="G120" s="724"/>
      <c r="H120" s="724"/>
    </row>
    <row r="121" spans="1:8">
      <c r="A121" s="722" t="s">
        <v>228</v>
      </c>
      <c r="B121" s="722" t="s">
        <v>1470</v>
      </c>
      <c r="C121" s="723">
        <f>VLOOKUP(A121,iGRANTS!$B$8:$D$135,3,0)</f>
        <v>0</v>
      </c>
      <c r="D121" s="723">
        <v>0</v>
      </c>
      <c r="E121" s="723">
        <f>VLOOKUP(A121,'Native American'!$A$2:$C$307,3,0)</f>
        <v>0</v>
      </c>
      <c r="F121" s="724"/>
      <c r="G121" s="724"/>
      <c r="H121" s="724"/>
    </row>
    <row r="122" spans="1:8">
      <c r="A122" s="722" t="s">
        <v>230</v>
      </c>
      <c r="B122" s="722" t="s">
        <v>1471</v>
      </c>
      <c r="C122" s="723">
        <f>VLOOKUP(A122,iGRANTS!$B$8:$D$135,3,0)</f>
        <v>0</v>
      </c>
      <c r="D122" s="723">
        <v>0</v>
      </c>
      <c r="E122" s="723">
        <f>VLOOKUP(A122,'Native American'!$A$2:$C$307,3,0)</f>
        <v>0</v>
      </c>
      <c r="F122" s="724"/>
      <c r="G122" s="724"/>
      <c r="H122" s="724"/>
    </row>
    <row r="123" spans="1:8">
      <c r="A123" s="722" t="s">
        <v>232</v>
      </c>
      <c r="B123" s="722" t="s">
        <v>1472</v>
      </c>
      <c r="C123" s="723" t="e">
        <f>VLOOKUP(A123,iGRANTS!$B$8:$D$135,3,0)</f>
        <v>#N/A</v>
      </c>
      <c r="D123" s="723">
        <v>0</v>
      </c>
      <c r="E123" s="723" t="e">
        <f>VLOOKUP(A123,'Native American'!$A$2:$C$307,3,0)</f>
        <v>#N/A</v>
      </c>
      <c r="F123" s="724"/>
      <c r="G123" s="724"/>
      <c r="H123" s="724"/>
    </row>
    <row r="124" spans="1:8">
      <c r="A124" s="722" t="s">
        <v>234</v>
      </c>
      <c r="B124" s="722" t="s">
        <v>1473</v>
      </c>
      <c r="C124" s="723">
        <f>VLOOKUP(A124,iGRANTS!$B$8:$D$135,3,0)</f>
        <v>0</v>
      </c>
      <c r="D124" s="723">
        <v>0</v>
      </c>
      <c r="E124" s="723">
        <f>VLOOKUP(A124,'Native American'!$A$2:$C$307,3,0)</f>
        <v>0</v>
      </c>
      <c r="F124" s="724"/>
      <c r="G124" s="724"/>
      <c r="H124" s="724"/>
    </row>
    <row r="125" spans="1:8">
      <c r="A125" s="731" t="s">
        <v>236</v>
      </c>
      <c r="B125" s="722" t="s">
        <v>1474</v>
      </c>
      <c r="C125" s="723">
        <f>VLOOKUP(A125,iGRANTS!$B$8:$D$135,3,0)</f>
        <v>0</v>
      </c>
      <c r="D125" s="723">
        <v>0</v>
      </c>
      <c r="E125" s="723">
        <f>VLOOKUP(A125,'Native American'!$A$2:$C$307,3,0)</f>
        <v>0</v>
      </c>
      <c r="F125" s="724"/>
      <c r="G125" s="724"/>
      <c r="H125" s="724"/>
    </row>
    <row r="126" spans="1:8">
      <c r="A126" s="722" t="s">
        <v>238</v>
      </c>
      <c r="B126" s="722" t="s">
        <v>1475</v>
      </c>
      <c r="C126" s="723" t="e">
        <f>VLOOKUP(A126,iGRANTS!$B$8:$D$135,3,0)</f>
        <v>#N/A</v>
      </c>
      <c r="D126" s="723">
        <v>0</v>
      </c>
      <c r="E126" s="723">
        <f>VLOOKUP(A126,'Native American'!$A$2:$C$307,3,0)</f>
        <v>0</v>
      </c>
      <c r="F126" s="724"/>
      <c r="G126" s="724"/>
      <c r="H126" s="724"/>
    </row>
    <row r="127" spans="1:8">
      <c r="A127" s="722" t="s">
        <v>240</v>
      </c>
      <c r="B127" s="722" t="s">
        <v>1476</v>
      </c>
      <c r="C127" s="723">
        <f>VLOOKUP(A127,iGRANTS!$B$8:$D$135,3,0)</f>
        <v>0</v>
      </c>
      <c r="D127" s="723">
        <v>0</v>
      </c>
      <c r="E127" s="723">
        <f>VLOOKUP(A127,'Native American'!$A$2:$C$307,3,0)</f>
        <v>0</v>
      </c>
      <c r="F127" s="724"/>
      <c r="G127" s="724"/>
      <c r="H127" s="724"/>
    </row>
    <row r="128" spans="1:8">
      <c r="A128" s="722" t="s">
        <v>242</v>
      </c>
      <c r="B128" s="722" t="s">
        <v>1477</v>
      </c>
      <c r="C128" s="723">
        <f>VLOOKUP(A128,iGRANTS!$B$8:$D$135,3,0)</f>
        <v>0</v>
      </c>
      <c r="D128" s="723">
        <v>0</v>
      </c>
      <c r="E128" s="723">
        <f>VLOOKUP(A128,'Native American'!$A$2:$C$307,3,0)</f>
        <v>0</v>
      </c>
      <c r="F128" s="724"/>
      <c r="G128" s="724"/>
      <c r="H128" s="724"/>
    </row>
    <row r="129" spans="1:8">
      <c r="A129" s="722" t="s">
        <v>244</v>
      </c>
      <c r="B129" s="722" t="s">
        <v>1478</v>
      </c>
      <c r="C129" s="723" t="e">
        <f>VLOOKUP(A129,iGRANTS!$B$8:$D$135,3,0)</f>
        <v>#N/A</v>
      </c>
      <c r="D129" s="723">
        <v>0</v>
      </c>
      <c r="E129" s="723">
        <f>VLOOKUP(A129,'Native American'!$A$2:$C$307,3,0)</f>
        <v>0</v>
      </c>
      <c r="F129" s="724"/>
      <c r="G129" s="724"/>
      <c r="H129" s="724"/>
    </row>
    <row r="130" spans="1:8">
      <c r="A130" s="722" t="s">
        <v>246</v>
      </c>
      <c r="B130" s="722" t="s">
        <v>1479</v>
      </c>
      <c r="C130" s="723">
        <f>VLOOKUP(A130,iGRANTS!$B$8:$D$135,3,0)</f>
        <v>0</v>
      </c>
      <c r="D130" s="723">
        <v>0</v>
      </c>
      <c r="E130" s="723">
        <f>VLOOKUP(A130,'Native American'!$A$2:$C$307,3,0)</f>
        <v>0.33</v>
      </c>
      <c r="F130" s="724"/>
      <c r="G130" s="724"/>
      <c r="H130" s="724"/>
    </row>
    <row r="131" spans="1:8">
      <c r="A131" s="722" t="s">
        <v>248</v>
      </c>
      <c r="B131" s="722" t="s">
        <v>1480</v>
      </c>
      <c r="C131" s="723" t="e">
        <f>VLOOKUP(A131,iGRANTS!$B$8:$D$135,3,0)</f>
        <v>#N/A</v>
      </c>
      <c r="D131" s="723">
        <v>0</v>
      </c>
      <c r="E131" s="723">
        <f>VLOOKUP(A131,'Native American'!$A$2:$C$307,3,0)</f>
        <v>5.33</v>
      </c>
      <c r="F131" s="724"/>
      <c r="G131" s="724"/>
      <c r="H131" s="724"/>
    </row>
    <row r="132" spans="1:8">
      <c r="A132" s="722" t="s">
        <v>250</v>
      </c>
      <c r="B132" s="722" t="s">
        <v>1481</v>
      </c>
      <c r="C132" s="723" t="e">
        <f>VLOOKUP(A132,iGRANTS!$B$8:$D$135,3,0)</f>
        <v>#N/A</v>
      </c>
      <c r="D132" s="723">
        <v>0</v>
      </c>
      <c r="E132" s="723">
        <f>VLOOKUP(A132,'Native American'!$A$2:$C$307,3,0)</f>
        <v>0</v>
      </c>
      <c r="F132" s="724"/>
      <c r="G132" s="724"/>
      <c r="H132" s="724"/>
    </row>
    <row r="133" spans="1:8">
      <c r="A133" s="722" t="s">
        <v>252</v>
      </c>
      <c r="B133" s="722" t="s">
        <v>1482</v>
      </c>
      <c r="C133" s="723" t="e">
        <f>VLOOKUP(A133,iGRANTS!$B$8:$D$135,3,0)</f>
        <v>#N/A</v>
      </c>
      <c r="D133" s="723">
        <v>0</v>
      </c>
      <c r="E133" s="723">
        <f>VLOOKUP(A133,'Native American'!$A$2:$C$307,3,0)</f>
        <v>0</v>
      </c>
      <c r="F133" s="724"/>
      <c r="G133" s="724"/>
      <c r="H133" s="724"/>
    </row>
    <row r="134" spans="1:8">
      <c r="A134" s="722" t="s">
        <v>256</v>
      </c>
      <c r="B134" s="722" t="s">
        <v>1483</v>
      </c>
      <c r="C134" s="723">
        <f>VLOOKUP(A134,iGRANTS!$B$8:$D$135,3,0)</f>
        <v>0</v>
      </c>
      <c r="D134" s="723">
        <v>0</v>
      </c>
      <c r="E134" s="723">
        <f>VLOOKUP(A134,'Native American'!$A$2:$C$307,3,0)</f>
        <v>0</v>
      </c>
      <c r="F134" s="724"/>
      <c r="G134" s="724"/>
      <c r="H134" s="724"/>
    </row>
    <row r="135" spans="1:8">
      <c r="A135" s="722" t="s">
        <v>258</v>
      </c>
      <c r="B135" s="722" t="s">
        <v>1356</v>
      </c>
      <c r="C135" s="723" t="e">
        <f>VLOOKUP(A135,iGRANTS!$B$8:$D$135,3,0)</f>
        <v>#N/A</v>
      </c>
      <c r="D135" s="723">
        <v>0</v>
      </c>
      <c r="E135" s="723">
        <f>VLOOKUP(A135,'Native American'!$A$2:$C$307,3,0)</f>
        <v>0</v>
      </c>
      <c r="F135" s="724"/>
      <c r="G135" s="724"/>
      <c r="H135" s="724"/>
    </row>
    <row r="136" spans="1:8">
      <c r="A136" s="722" t="s">
        <v>260</v>
      </c>
      <c r="B136" s="722" t="s">
        <v>1484</v>
      </c>
      <c r="C136" s="723" t="e">
        <f>VLOOKUP(A136,iGRANTS!$B$8:$D$135,3,0)</f>
        <v>#N/A</v>
      </c>
      <c r="D136" s="723">
        <v>0</v>
      </c>
      <c r="E136" s="723">
        <f>VLOOKUP(A136,'Native American'!$A$2:$C$307,3,0)</f>
        <v>0</v>
      </c>
      <c r="F136" s="724"/>
      <c r="G136" s="724"/>
      <c r="H136" s="724"/>
    </row>
    <row r="137" spans="1:8">
      <c r="A137" s="722" t="s">
        <v>262</v>
      </c>
      <c r="B137" s="722" t="s">
        <v>1485</v>
      </c>
      <c r="C137" s="723">
        <f>VLOOKUP(A137,iGRANTS!$B$8:$D$135,3,0)</f>
        <v>0</v>
      </c>
      <c r="D137" s="723">
        <v>0</v>
      </c>
      <c r="E137" s="723">
        <f>VLOOKUP(A137,'Native American'!$A$2:$C$307,3,0)</f>
        <v>0</v>
      </c>
      <c r="F137" s="724"/>
      <c r="G137" s="724"/>
      <c r="H137" s="724"/>
    </row>
    <row r="138" spans="1:8">
      <c r="A138" s="722" t="s">
        <v>264</v>
      </c>
      <c r="B138" s="722" t="s">
        <v>1486</v>
      </c>
      <c r="C138" s="723" t="e">
        <f>VLOOKUP(A138,iGRANTS!$B$8:$D$135,3,0)</f>
        <v>#N/A</v>
      </c>
      <c r="D138" s="723">
        <v>0</v>
      </c>
      <c r="E138" s="723" t="e">
        <f>VLOOKUP(A138,'Native American'!$A$2:$C$307,3,0)</f>
        <v>#N/A</v>
      </c>
      <c r="F138" s="724"/>
      <c r="G138" s="724"/>
      <c r="H138" s="724"/>
    </row>
    <row r="139" spans="1:8">
      <c r="A139" s="722" t="s">
        <v>266</v>
      </c>
      <c r="B139" s="722" t="s">
        <v>1487</v>
      </c>
      <c r="C139" s="723">
        <f>VLOOKUP(A139,iGRANTS!$B$8:$D$135,3,0)</f>
        <v>0</v>
      </c>
      <c r="D139" s="723">
        <v>0</v>
      </c>
      <c r="E139" s="723">
        <f>VLOOKUP(A139,'Native American'!$A$2:$C$307,3,0)</f>
        <v>0</v>
      </c>
      <c r="F139" s="724"/>
      <c r="G139" s="724"/>
      <c r="H139" s="724"/>
    </row>
    <row r="140" spans="1:8">
      <c r="A140" s="722" t="s">
        <v>268</v>
      </c>
      <c r="B140" s="722" t="s">
        <v>1488</v>
      </c>
      <c r="C140" s="723" t="e">
        <f>VLOOKUP(A140,iGRANTS!$B$8:$D$135,3,0)</f>
        <v>#N/A</v>
      </c>
      <c r="D140" s="723">
        <v>0</v>
      </c>
      <c r="E140" s="723">
        <f>VLOOKUP(A140,'Native American'!$A$2:$C$307,3,0)</f>
        <v>0</v>
      </c>
      <c r="F140" s="724"/>
      <c r="G140" s="724"/>
      <c r="H140" s="724"/>
    </row>
    <row r="141" spans="1:8">
      <c r="A141" s="722" t="s">
        <v>270</v>
      </c>
      <c r="B141" s="722" t="s">
        <v>1489</v>
      </c>
      <c r="C141" s="723" t="e">
        <f>VLOOKUP(A141,iGRANTS!$B$8:$D$135,3,0)</f>
        <v>#N/A</v>
      </c>
      <c r="D141" s="723">
        <v>0</v>
      </c>
      <c r="E141" s="723">
        <f>VLOOKUP(A141,'Native American'!$A$2:$C$307,3,0)</f>
        <v>0</v>
      </c>
      <c r="F141" s="724"/>
      <c r="G141" s="724"/>
      <c r="H141" s="724"/>
    </row>
    <row r="142" spans="1:8">
      <c r="A142" s="722" t="s">
        <v>272</v>
      </c>
      <c r="B142" s="722" t="s">
        <v>1490</v>
      </c>
      <c r="C142" s="723" t="e">
        <f>VLOOKUP(A142,iGRANTS!$B$8:$D$135,3,0)</f>
        <v>#N/A</v>
      </c>
      <c r="D142" s="723">
        <v>0</v>
      </c>
      <c r="E142" s="723">
        <f>VLOOKUP(A142,'Native American'!$A$2:$C$307,3,0)</f>
        <v>0</v>
      </c>
      <c r="F142" s="724"/>
      <c r="G142" s="724"/>
      <c r="H142" s="724"/>
    </row>
    <row r="143" spans="1:8">
      <c r="A143" s="722" t="s">
        <v>274</v>
      </c>
      <c r="B143" s="722" t="s">
        <v>1491</v>
      </c>
      <c r="C143" s="723">
        <f>VLOOKUP(A143,iGRANTS!$B$8:$D$135,3,0)</f>
        <v>16016</v>
      </c>
      <c r="D143" s="723">
        <v>0</v>
      </c>
      <c r="E143" s="723">
        <f>VLOOKUP(A143,'Native American'!$A$2:$C$307,3,0)</f>
        <v>0</v>
      </c>
      <c r="F143" s="724"/>
      <c r="G143" s="724"/>
      <c r="H143" s="724"/>
    </row>
    <row r="144" spans="1:8">
      <c r="A144" s="722" t="s">
        <v>276</v>
      </c>
      <c r="B144" s="722" t="s">
        <v>1492</v>
      </c>
      <c r="C144" s="723" t="e">
        <f>VLOOKUP(A144,iGRANTS!$B$8:$D$135,3,0)</f>
        <v>#N/A</v>
      </c>
      <c r="D144" s="723">
        <v>0</v>
      </c>
      <c r="E144" s="723">
        <f>VLOOKUP(A144,'Native American'!$A$2:$C$307,3,0)</f>
        <v>0</v>
      </c>
      <c r="F144" s="724"/>
      <c r="G144" s="724"/>
      <c r="H144" s="724"/>
    </row>
    <row r="145" spans="1:8">
      <c r="A145" s="722" t="s">
        <v>278</v>
      </c>
      <c r="B145" s="722" t="s">
        <v>622</v>
      </c>
      <c r="C145" s="723">
        <f>VLOOKUP(A145,iGRANTS!$B$8:$D$135,3,0)</f>
        <v>60265</v>
      </c>
      <c r="D145" s="723">
        <v>0</v>
      </c>
      <c r="E145" s="723">
        <f>VLOOKUP(A145,'Native American'!$A$2:$C$307,3,0)</f>
        <v>0</v>
      </c>
      <c r="F145" s="724"/>
      <c r="G145" s="724"/>
      <c r="H145" s="724"/>
    </row>
    <row r="146" spans="1:8">
      <c r="A146" s="722" t="s">
        <v>280</v>
      </c>
      <c r="B146" s="722" t="s">
        <v>1493</v>
      </c>
      <c r="C146" s="723" t="e">
        <f>VLOOKUP(A146,iGRANTS!$B$8:$D$135,3,0)</f>
        <v>#N/A</v>
      </c>
      <c r="D146" s="723">
        <v>0</v>
      </c>
      <c r="E146" s="723">
        <f>VLOOKUP(A146,'Native American'!$A$2:$C$307,3,0)</f>
        <v>0</v>
      </c>
      <c r="F146" s="724"/>
      <c r="G146" s="724"/>
      <c r="H146" s="724"/>
    </row>
    <row r="147" spans="1:8">
      <c r="A147" s="722" t="s">
        <v>282</v>
      </c>
      <c r="B147" s="722" t="s">
        <v>1494</v>
      </c>
      <c r="C147" s="723" t="e">
        <f>VLOOKUP(A147,iGRANTS!$B$8:$D$135,3,0)</f>
        <v>#N/A</v>
      </c>
      <c r="D147" s="723">
        <v>0</v>
      </c>
      <c r="E147" s="723">
        <f>VLOOKUP(A147,'Native American'!$A$2:$C$307,3,0)</f>
        <v>5</v>
      </c>
      <c r="F147" s="724"/>
      <c r="G147" s="724"/>
      <c r="H147" s="724"/>
    </row>
    <row r="148" spans="1:8">
      <c r="A148" s="722" t="s">
        <v>283</v>
      </c>
      <c r="B148" s="722" t="s">
        <v>1495</v>
      </c>
      <c r="C148" s="723">
        <f>VLOOKUP(A148,iGRANTS!$B$8:$D$135,3,0)</f>
        <v>0</v>
      </c>
      <c r="D148" s="723">
        <v>0</v>
      </c>
      <c r="E148" s="723">
        <f>VLOOKUP(A148,'Native American'!$A$2:$C$307,3,0)</f>
        <v>0</v>
      </c>
      <c r="F148" s="724"/>
      <c r="G148" s="724"/>
      <c r="H148" s="724"/>
    </row>
    <row r="149" spans="1:8">
      <c r="A149" s="722" t="s">
        <v>285</v>
      </c>
      <c r="B149" s="722" t="s">
        <v>1496</v>
      </c>
      <c r="C149" s="723">
        <f>VLOOKUP(A149,iGRANTS!$B$8:$D$135,3,0)</f>
        <v>0</v>
      </c>
      <c r="D149" s="723">
        <v>0</v>
      </c>
      <c r="E149" s="723">
        <f>VLOOKUP(A149,'Native American'!$A$2:$C$307,3,0)</f>
        <v>0</v>
      </c>
      <c r="F149" s="724"/>
      <c r="G149" s="724"/>
      <c r="H149" s="724"/>
    </row>
    <row r="150" spans="1:8">
      <c r="A150" s="722" t="s">
        <v>287</v>
      </c>
      <c r="B150" s="722" t="s">
        <v>1497</v>
      </c>
      <c r="C150" s="723" t="e">
        <f>VLOOKUP(A150,iGRANTS!$B$8:$D$135,3,0)</f>
        <v>#N/A</v>
      </c>
      <c r="D150" s="723">
        <v>0</v>
      </c>
      <c r="E150" s="723">
        <f>VLOOKUP(A150,'Native American'!$A$2:$C$307,3,0)</f>
        <v>0</v>
      </c>
      <c r="F150" s="724"/>
      <c r="G150" s="724"/>
      <c r="H150" s="724"/>
    </row>
    <row r="151" spans="1:8">
      <c r="A151" s="722" t="s">
        <v>289</v>
      </c>
      <c r="B151" s="722" t="s">
        <v>1498</v>
      </c>
      <c r="C151" s="723" t="e">
        <f>VLOOKUP(A151,iGRANTS!$B$8:$D$135,3,0)</f>
        <v>#N/A</v>
      </c>
      <c r="D151" s="723">
        <v>0</v>
      </c>
      <c r="E151" s="723" t="e">
        <f>VLOOKUP(A151,'Native American'!$A$2:$C$307,3,0)</f>
        <v>#N/A</v>
      </c>
      <c r="F151" s="724"/>
      <c r="G151" s="724"/>
      <c r="H151" s="724"/>
    </row>
    <row r="152" spans="1:8">
      <c r="A152" s="722" t="s">
        <v>291</v>
      </c>
      <c r="B152" s="722" t="s">
        <v>1499</v>
      </c>
      <c r="C152" s="723">
        <f>VLOOKUP(A152,iGRANTS!$B$8:$D$135,3,0)</f>
        <v>0</v>
      </c>
      <c r="D152" s="723">
        <v>0</v>
      </c>
      <c r="E152" s="723">
        <f>VLOOKUP(A152,'Native American'!$A$2:$C$307,3,0)</f>
        <v>0</v>
      </c>
      <c r="F152" s="724"/>
      <c r="G152" s="724"/>
      <c r="H152" s="724"/>
    </row>
    <row r="153" spans="1:8">
      <c r="A153" s="722" t="s">
        <v>293</v>
      </c>
      <c r="B153" s="722" t="s">
        <v>1500</v>
      </c>
      <c r="C153" s="723">
        <f>VLOOKUP(A153,iGRANTS!$B$8:$D$135,3,0)</f>
        <v>0</v>
      </c>
      <c r="D153" s="723">
        <v>0</v>
      </c>
      <c r="E153" s="723">
        <f>VLOOKUP(A153,'Native American'!$A$2:$C$307,3,0)</f>
        <v>0</v>
      </c>
      <c r="F153" s="724"/>
      <c r="G153" s="724"/>
      <c r="H153" s="724"/>
    </row>
    <row r="154" spans="1:8">
      <c r="A154" s="722" t="s">
        <v>295</v>
      </c>
      <c r="B154" s="722" t="s">
        <v>1501</v>
      </c>
      <c r="C154" s="723" t="e">
        <f>VLOOKUP(A154,iGRANTS!$B$8:$D$135,3,0)</f>
        <v>#N/A</v>
      </c>
      <c r="D154" s="723">
        <v>0</v>
      </c>
      <c r="E154" s="723">
        <f>VLOOKUP(A154,'Native American'!$A$2:$C$307,3,0)</f>
        <v>0</v>
      </c>
      <c r="F154" s="724"/>
      <c r="G154" s="724"/>
      <c r="H154" s="724"/>
    </row>
    <row r="155" spans="1:8">
      <c r="A155" s="722" t="s">
        <v>297</v>
      </c>
      <c r="B155" s="722" t="s">
        <v>1502</v>
      </c>
      <c r="C155" s="723">
        <f>VLOOKUP(A155,iGRANTS!$B$8:$D$135,3,0)</f>
        <v>0</v>
      </c>
      <c r="D155" s="723">
        <v>0</v>
      </c>
      <c r="E155" s="723">
        <f>VLOOKUP(A155,'Native American'!$A$2:$C$307,3,0)</f>
        <v>0</v>
      </c>
      <c r="F155" s="724"/>
      <c r="G155" s="724"/>
      <c r="H155" s="724"/>
    </row>
    <row r="156" spans="1:8">
      <c r="A156" s="722" t="s">
        <v>299</v>
      </c>
      <c r="B156" s="722" t="s">
        <v>1503</v>
      </c>
      <c r="C156" s="723" t="e">
        <f>VLOOKUP(A156,iGRANTS!$B$8:$D$135,3,0)</f>
        <v>#N/A</v>
      </c>
      <c r="D156" s="723">
        <v>0</v>
      </c>
      <c r="E156" s="723">
        <f>VLOOKUP(A156,'Native American'!$A$2:$C$307,3,0)</f>
        <v>49</v>
      </c>
      <c r="F156" s="724"/>
      <c r="G156" s="724"/>
      <c r="H156" s="724"/>
    </row>
    <row r="157" spans="1:8">
      <c r="A157" s="722" t="s">
        <v>301</v>
      </c>
      <c r="B157" s="722" t="s">
        <v>1504</v>
      </c>
      <c r="C157" s="723" t="e">
        <f>VLOOKUP(A157,iGRANTS!$B$8:$D$135,3,0)</f>
        <v>#N/A</v>
      </c>
      <c r="D157" s="723">
        <v>0</v>
      </c>
      <c r="E157" s="723">
        <f>VLOOKUP(A157,'Native American'!$A$2:$C$307,3,0)</f>
        <v>0</v>
      </c>
      <c r="F157" s="724"/>
      <c r="G157" s="724"/>
      <c r="H157" s="724"/>
    </row>
    <row r="158" spans="1:8">
      <c r="A158" s="722" t="s">
        <v>303</v>
      </c>
      <c r="B158" s="722" t="s">
        <v>1505</v>
      </c>
      <c r="C158" s="723" t="e">
        <f>VLOOKUP(A158,iGRANTS!$B$8:$D$135,3,0)</f>
        <v>#N/A</v>
      </c>
      <c r="D158" s="723">
        <v>0</v>
      </c>
      <c r="E158" s="723">
        <f>VLOOKUP(A158,'Native American'!$A$2:$C$307,3,0)</f>
        <v>0</v>
      </c>
      <c r="F158" s="724"/>
      <c r="G158" s="724"/>
      <c r="H158" s="724"/>
    </row>
    <row r="159" spans="1:8">
      <c r="A159" s="722" t="s">
        <v>305</v>
      </c>
      <c r="B159" s="722" t="s">
        <v>1506</v>
      </c>
      <c r="C159" s="723" t="e">
        <f>VLOOKUP(A159,iGRANTS!$B$8:$D$135,3,0)</f>
        <v>#N/A</v>
      </c>
      <c r="D159" s="723">
        <v>0</v>
      </c>
      <c r="E159" s="723">
        <f>VLOOKUP(A159,'Native American'!$A$2:$C$307,3,0)</f>
        <v>34.5</v>
      </c>
      <c r="F159" s="724"/>
      <c r="G159" s="724"/>
      <c r="H159" s="724"/>
    </row>
    <row r="160" spans="1:8">
      <c r="A160" s="722" t="s">
        <v>307</v>
      </c>
      <c r="B160" s="722" t="s">
        <v>1507</v>
      </c>
      <c r="C160" s="723">
        <f>VLOOKUP(A160,iGRANTS!$B$8:$D$135,3,0)</f>
        <v>0</v>
      </c>
      <c r="D160" s="723">
        <v>0</v>
      </c>
      <c r="E160" s="723">
        <f>VLOOKUP(A160,'Native American'!$A$2:$C$307,3,0)</f>
        <v>0</v>
      </c>
      <c r="F160" s="724"/>
      <c r="G160" s="724"/>
      <c r="H160" s="724"/>
    </row>
    <row r="161" spans="1:8">
      <c r="A161" s="722" t="s">
        <v>309</v>
      </c>
      <c r="B161" s="722" t="s">
        <v>1309</v>
      </c>
      <c r="C161" s="723" t="e">
        <f>VLOOKUP(A161,iGRANTS!$B$8:$D$135,3,0)</f>
        <v>#N/A</v>
      </c>
      <c r="D161" s="723">
        <v>0</v>
      </c>
      <c r="E161" s="723">
        <f>VLOOKUP(A161,'Native American'!$A$2:$C$307,3,0)</f>
        <v>125.83</v>
      </c>
      <c r="F161" s="724"/>
      <c r="G161" s="724"/>
      <c r="H161" s="724"/>
    </row>
    <row r="162" spans="1:8">
      <c r="A162" s="722" t="s">
        <v>311</v>
      </c>
      <c r="B162" s="722" t="s">
        <v>1508</v>
      </c>
      <c r="C162" s="723" t="e">
        <f>VLOOKUP(A162,iGRANTS!$B$8:$D$135,3,0)</f>
        <v>#N/A</v>
      </c>
      <c r="D162" s="723">
        <v>0</v>
      </c>
      <c r="E162" s="723">
        <f>VLOOKUP(A162,'Native American'!$A$2:$C$307,3,0)</f>
        <v>7</v>
      </c>
      <c r="F162" s="724"/>
      <c r="G162" s="724"/>
      <c r="H162" s="724"/>
    </row>
    <row r="163" spans="1:8">
      <c r="A163" s="722" t="s">
        <v>313</v>
      </c>
      <c r="B163" s="722" t="s">
        <v>1509</v>
      </c>
      <c r="C163" s="723" t="e">
        <f>VLOOKUP(A163,iGRANTS!$B$8:$D$135,3,0)</f>
        <v>#N/A</v>
      </c>
      <c r="D163" s="723">
        <v>0</v>
      </c>
      <c r="E163" s="723">
        <f>VLOOKUP(A163,'Native American'!$A$2:$C$307,3,0)</f>
        <v>0</v>
      </c>
      <c r="F163" s="724"/>
      <c r="G163" s="724"/>
      <c r="H163" s="724"/>
    </row>
    <row r="164" spans="1:8">
      <c r="A164" s="722" t="s">
        <v>315</v>
      </c>
      <c r="B164" s="722" t="s">
        <v>1510</v>
      </c>
      <c r="C164" s="723">
        <f>VLOOKUP(A164,iGRANTS!$B$8:$D$135,3,0)</f>
        <v>47588</v>
      </c>
      <c r="D164" s="723">
        <v>0</v>
      </c>
      <c r="E164" s="723">
        <f>VLOOKUP(A164,'Native American'!$A$2:$C$307,3,0)</f>
        <v>0</v>
      </c>
      <c r="F164" s="724"/>
      <c r="G164" s="724"/>
      <c r="H164" s="724"/>
    </row>
    <row r="165" spans="1:8">
      <c r="A165" s="722" t="s">
        <v>317</v>
      </c>
      <c r="B165" s="722" t="s">
        <v>1511</v>
      </c>
      <c r="C165" s="723" t="e">
        <f>VLOOKUP(A165,iGRANTS!$B$8:$D$135,3,0)</f>
        <v>#N/A</v>
      </c>
      <c r="D165" s="723">
        <v>0</v>
      </c>
      <c r="E165" s="723">
        <f>VLOOKUP(A165,'Native American'!$A$2:$C$307,3,0)</f>
        <v>0</v>
      </c>
      <c r="F165" s="724"/>
      <c r="G165" s="724"/>
      <c r="H165" s="724"/>
    </row>
    <row r="166" spans="1:8">
      <c r="A166" s="722" t="s">
        <v>319</v>
      </c>
      <c r="B166" s="722" t="s">
        <v>1512</v>
      </c>
      <c r="C166" s="723" t="e">
        <f>VLOOKUP(A166,iGRANTS!$B$8:$D$135,3,0)</f>
        <v>#N/A</v>
      </c>
      <c r="D166" s="723">
        <v>0</v>
      </c>
      <c r="E166" s="723">
        <f>VLOOKUP(A166,'Native American'!$A$2:$C$307,3,0)</f>
        <v>0</v>
      </c>
      <c r="F166" s="724"/>
      <c r="G166" s="724"/>
      <c r="H166" s="724"/>
    </row>
    <row r="167" spans="1:8">
      <c r="A167" s="722" t="s">
        <v>321</v>
      </c>
      <c r="B167" s="722" t="s">
        <v>612</v>
      </c>
      <c r="C167" s="723" t="e">
        <f>VLOOKUP(A167,iGRANTS!$B$8:$D$135,3,0)</f>
        <v>#N/A</v>
      </c>
      <c r="D167" s="723">
        <v>0</v>
      </c>
      <c r="E167" s="723">
        <f>VLOOKUP(A167,'Native American'!$A$2:$C$307,3,0)</f>
        <v>0</v>
      </c>
      <c r="F167" s="724"/>
      <c r="G167" s="724"/>
      <c r="H167" s="724"/>
    </row>
    <row r="168" spans="1:8">
      <c r="A168" s="722" t="s">
        <v>323</v>
      </c>
      <c r="B168" s="722" t="s">
        <v>1513</v>
      </c>
      <c r="C168" s="723" t="e">
        <f>VLOOKUP(A168,iGRANTS!$B$8:$D$135,3,0)</f>
        <v>#N/A</v>
      </c>
      <c r="D168" s="723">
        <v>0</v>
      </c>
      <c r="E168" s="723">
        <f>VLOOKUP(A168,'Native American'!$A$2:$C$307,3,0)</f>
        <v>0</v>
      </c>
      <c r="F168" s="724"/>
      <c r="G168" s="724"/>
      <c r="H168" s="724"/>
    </row>
    <row r="169" spans="1:8">
      <c r="A169" s="722" t="s">
        <v>325</v>
      </c>
      <c r="B169" s="722" t="s">
        <v>712</v>
      </c>
      <c r="C169" s="723" t="e">
        <f>VLOOKUP(A169,iGRANTS!$B$8:$D$135,3,0)</f>
        <v>#N/A</v>
      </c>
      <c r="D169" s="723">
        <v>0</v>
      </c>
      <c r="E169" s="723">
        <f>VLOOKUP(A169,'Native American'!$A$2:$C$307,3,0)</f>
        <v>4</v>
      </c>
      <c r="F169" s="724"/>
      <c r="G169" s="724"/>
      <c r="H169" s="724"/>
    </row>
    <row r="170" spans="1:8">
      <c r="A170" s="722" t="s">
        <v>327</v>
      </c>
      <c r="B170" s="722" t="s">
        <v>1514</v>
      </c>
      <c r="C170" s="723" t="e">
        <f>VLOOKUP(A170,iGRANTS!$B$8:$D$135,3,0)</f>
        <v>#N/A</v>
      </c>
      <c r="D170" s="723">
        <v>0</v>
      </c>
      <c r="E170" s="723">
        <f>VLOOKUP(A170,'Native American'!$A$2:$C$307,3,0)</f>
        <v>0</v>
      </c>
      <c r="F170" s="724"/>
      <c r="G170" s="724"/>
      <c r="H170" s="724"/>
    </row>
    <row r="171" spans="1:8">
      <c r="A171" s="722" t="s">
        <v>329</v>
      </c>
      <c r="B171" s="722" t="s">
        <v>1515</v>
      </c>
      <c r="C171" s="723" t="e">
        <f>VLOOKUP(A171,iGRANTS!$B$8:$D$135,3,0)</f>
        <v>#N/A</v>
      </c>
      <c r="D171" s="723">
        <v>0</v>
      </c>
      <c r="E171" s="723">
        <f>VLOOKUP(A171,'Native American'!$A$2:$C$307,3,0)</f>
        <v>2</v>
      </c>
      <c r="F171" s="724"/>
      <c r="G171" s="724"/>
      <c r="H171" s="724"/>
    </row>
    <row r="172" spans="1:8">
      <c r="A172" s="722" t="s">
        <v>331</v>
      </c>
      <c r="B172" s="722" t="s">
        <v>1516</v>
      </c>
      <c r="C172" s="723" t="e">
        <f>VLOOKUP(A172,iGRANTS!$B$8:$D$135,3,0)</f>
        <v>#N/A</v>
      </c>
      <c r="D172" s="723">
        <v>0</v>
      </c>
      <c r="E172" s="723">
        <f>VLOOKUP(A172,'Native American'!$A$2:$C$307,3,0)</f>
        <v>0</v>
      </c>
      <c r="F172" s="724"/>
      <c r="G172" s="724"/>
      <c r="H172" s="724"/>
    </row>
    <row r="173" spans="1:8">
      <c r="A173" s="722" t="s">
        <v>332</v>
      </c>
      <c r="B173" s="722" t="s">
        <v>1517</v>
      </c>
      <c r="C173" s="723" t="e">
        <f>VLOOKUP(A173,iGRANTS!$B$8:$D$135,3,0)</f>
        <v>#N/A</v>
      </c>
      <c r="D173" s="723">
        <v>0</v>
      </c>
      <c r="E173" s="723" t="e">
        <f>VLOOKUP(A173,'Native American'!$A$2:$C$307,3,0)</f>
        <v>#N/A</v>
      </c>
      <c r="F173" s="724"/>
      <c r="G173" s="724"/>
      <c r="H173" s="724"/>
    </row>
    <row r="174" spans="1:8">
      <c r="A174" s="722" t="s">
        <v>334</v>
      </c>
      <c r="B174" s="722" t="s">
        <v>1518</v>
      </c>
      <c r="C174" s="723" t="e">
        <f>VLOOKUP(A174,iGRANTS!$B$8:$D$135,3,0)</f>
        <v>#N/A</v>
      </c>
      <c r="D174" s="723">
        <v>0</v>
      </c>
      <c r="E174" s="723">
        <f>VLOOKUP(A174,'Native American'!$A$2:$C$307,3,0)</f>
        <v>0</v>
      </c>
      <c r="F174" s="724"/>
      <c r="G174" s="724"/>
      <c r="H174" s="724"/>
    </row>
    <row r="175" spans="1:8">
      <c r="A175" s="722" t="s">
        <v>336</v>
      </c>
      <c r="B175" s="722" t="s">
        <v>1519</v>
      </c>
      <c r="C175" s="723" t="e">
        <f>VLOOKUP(A175,iGRANTS!$B$8:$D$135,3,0)</f>
        <v>#N/A</v>
      </c>
      <c r="D175" s="723">
        <v>0</v>
      </c>
      <c r="E175" s="723">
        <f>VLOOKUP(A175,'Native American'!$A$2:$C$307,3,0)</f>
        <v>0</v>
      </c>
      <c r="F175" s="724"/>
      <c r="G175" s="724"/>
      <c r="H175" s="724"/>
    </row>
    <row r="176" spans="1:8">
      <c r="A176" s="722" t="s">
        <v>338</v>
      </c>
      <c r="B176" s="722" t="s">
        <v>1520</v>
      </c>
      <c r="C176" s="723">
        <f>VLOOKUP(A176,iGRANTS!$B$8:$D$135,3,0)</f>
        <v>0</v>
      </c>
      <c r="D176" s="723">
        <v>0</v>
      </c>
      <c r="E176" s="723">
        <f>VLOOKUP(A176,'Native American'!$A$2:$C$307,3,0)</f>
        <v>0</v>
      </c>
      <c r="F176" s="724"/>
      <c r="G176" s="724"/>
      <c r="H176" s="724"/>
    </row>
    <row r="177" spans="1:10">
      <c r="A177" s="722" t="s">
        <v>340</v>
      </c>
      <c r="B177" s="722" t="s">
        <v>1521</v>
      </c>
      <c r="C177" s="723" t="e">
        <f>VLOOKUP(A177,iGRANTS!$B$8:$D$135,3,0)</f>
        <v>#N/A</v>
      </c>
      <c r="D177" s="723">
        <v>0</v>
      </c>
      <c r="E177" s="723">
        <f>VLOOKUP(A177,'Native American'!$A$2:$C$307,3,0)</f>
        <v>0</v>
      </c>
      <c r="F177" s="724"/>
      <c r="G177" s="724"/>
      <c r="H177" s="724"/>
    </row>
    <row r="178" spans="1:10">
      <c r="A178" s="722" t="s">
        <v>342</v>
      </c>
      <c r="B178" s="722" t="s">
        <v>1522</v>
      </c>
      <c r="C178" s="723" t="e">
        <f>VLOOKUP(A178,iGRANTS!$B$8:$D$135,3,0)</f>
        <v>#N/A</v>
      </c>
      <c r="D178" s="723">
        <v>0</v>
      </c>
      <c r="E178" s="723">
        <f>VLOOKUP(A178,'Native American'!$A$2:$C$307,3,0)</f>
        <v>1</v>
      </c>
      <c r="F178" s="724"/>
      <c r="G178" s="724"/>
      <c r="H178" s="724"/>
    </row>
    <row r="179" spans="1:10" s="732" customFormat="1">
      <c r="A179" s="722" t="s">
        <v>343</v>
      </c>
      <c r="B179" s="722" t="s">
        <v>1523</v>
      </c>
      <c r="C179" s="723" t="e">
        <f>VLOOKUP(A179,iGRANTS!$B$8:$D$135,3,0)</f>
        <v>#N/A</v>
      </c>
      <c r="D179" s="723">
        <v>0</v>
      </c>
      <c r="E179" s="723">
        <f>VLOOKUP(A179,'Native American'!$A$2:$C$307,3,0)</f>
        <v>29.17</v>
      </c>
      <c r="F179" s="724"/>
      <c r="G179" s="724"/>
      <c r="H179" s="724"/>
      <c r="I179" s="725"/>
      <c r="J179" s="725"/>
    </row>
    <row r="180" spans="1:10">
      <c r="A180" s="722" t="s">
        <v>345</v>
      </c>
      <c r="B180" s="722" t="s">
        <v>1524</v>
      </c>
      <c r="C180" s="723" t="e">
        <f>VLOOKUP(A180,iGRANTS!$B$8:$D$135,3,0)</f>
        <v>#N/A</v>
      </c>
      <c r="D180" s="723">
        <v>46</v>
      </c>
      <c r="E180" s="723">
        <f>VLOOKUP(A180,'Native American'!$A$2:$C$307,3,0)</f>
        <v>136</v>
      </c>
      <c r="F180" s="724"/>
      <c r="G180" s="724"/>
      <c r="H180" s="724"/>
    </row>
    <row r="181" spans="1:10">
      <c r="A181" s="722" t="s">
        <v>347</v>
      </c>
      <c r="B181" s="722" t="s">
        <v>1525</v>
      </c>
      <c r="C181" s="723">
        <f>VLOOKUP(A181,iGRANTS!$B$8:$D$135,3,0)</f>
        <v>0</v>
      </c>
      <c r="D181" s="723">
        <v>0</v>
      </c>
      <c r="E181" s="723">
        <f>VLOOKUP(A181,'Native American'!$A$2:$C$307,3,0)</f>
        <v>0</v>
      </c>
      <c r="F181" s="724"/>
      <c r="G181" s="724"/>
      <c r="H181" s="724"/>
    </row>
    <row r="182" spans="1:10">
      <c r="A182" s="722" t="s">
        <v>349</v>
      </c>
      <c r="B182" s="722" t="s">
        <v>1526</v>
      </c>
      <c r="C182" s="723" t="e">
        <f>VLOOKUP(A182,iGRANTS!$B$8:$D$135,3,0)</f>
        <v>#N/A</v>
      </c>
      <c r="D182" s="723">
        <v>0</v>
      </c>
      <c r="E182" s="723">
        <f>VLOOKUP(A182,'Native American'!$A$2:$C$307,3,0)</f>
        <v>0</v>
      </c>
      <c r="F182" s="724"/>
      <c r="G182" s="724"/>
      <c r="H182" s="724"/>
    </row>
    <row r="183" spans="1:10" s="732" customFormat="1">
      <c r="A183" s="722" t="s">
        <v>351</v>
      </c>
      <c r="B183" s="722" t="s">
        <v>1527</v>
      </c>
      <c r="C183" s="723" t="e">
        <f>VLOOKUP(A183,iGRANTS!$B$8:$D$135,3,0)</f>
        <v>#N/A</v>
      </c>
      <c r="D183" s="723">
        <v>0</v>
      </c>
      <c r="E183" s="723">
        <f>VLOOKUP(A183,'Native American'!$A$2:$C$307,3,0)</f>
        <v>5</v>
      </c>
      <c r="F183" s="724"/>
      <c r="G183" s="724"/>
      <c r="H183" s="724"/>
      <c r="I183" s="725"/>
      <c r="J183" s="725"/>
    </row>
    <row r="184" spans="1:10">
      <c r="A184" s="722" t="s">
        <v>353</v>
      </c>
      <c r="B184" s="722" t="s">
        <v>1528</v>
      </c>
      <c r="C184" s="723">
        <f>VLOOKUP(A184,iGRANTS!$B$8:$D$135,3,0)</f>
        <v>0</v>
      </c>
      <c r="D184" s="723">
        <v>0</v>
      </c>
      <c r="E184" s="723">
        <f>VLOOKUP(A184,'Native American'!$A$2:$C$307,3,0)</f>
        <v>0</v>
      </c>
      <c r="F184" s="724"/>
      <c r="G184" s="724"/>
      <c r="H184" s="724"/>
    </row>
    <row r="185" spans="1:10">
      <c r="A185" s="722" t="s">
        <v>355</v>
      </c>
      <c r="B185" s="722" t="s">
        <v>1529</v>
      </c>
      <c r="C185" s="723" t="e">
        <f>VLOOKUP(A185,iGRANTS!$B$8:$D$135,3,0)</f>
        <v>#N/A</v>
      </c>
      <c r="D185" s="723">
        <v>0</v>
      </c>
      <c r="E185" s="723">
        <f>VLOOKUP(A185,'Native American'!$A$2:$C$307,3,0)</f>
        <v>10</v>
      </c>
      <c r="F185" s="724"/>
      <c r="G185" s="724"/>
      <c r="H185" s="724"/>
    </row>
    <row r="186" spans="1:10">
      <c r="A186" s="722" t="s">
        <v>357</v>
      </c>
      <c r="B186" s="722" t="s">
        <v>1530</v>
      </c>
      <c r="C186" s="723">
        <f>VLOOKUP(A186,iGRANTS!$B$8:$D$135,3,0)</f>
        <v>225889</v>
      </c>
      <c r="D186" s="723">
        <v>22</v>
      </c>
      <c r="E186" s="723">
        <f>VLOOKUP(A186,'Native American'!$A$2:$C$307,3,0)</f>
        <v>18</v>
      </c>
      <c r="F186" s="724"/>
      <c r="G186" s="724"/>
      <c r="H186" s="724"/>
    </row>
    <row r="187" spans="1:10">
      <c r="A187" s="722" t="s">
        <v>359</v>
      </c>
      <c r="B187" s="722" t="s">
        <v>626</v>
      </c>
      <c r="C187" s="723" t="e">
        <f>VLOOKUP(A187,iGRANTS!$B$8:$D$135,3,0)</f>
        <v>#N/A</v>
      </c>
      <c r="D187" s="723">
        <v>0</v>
      </c>
      <c r="E187" s="723">
        <f>VLOOKUP(A187,'Native American'!$A$2:$C$307,3,0)</f>
        <v>6</v>
      </c>
      <c r="F187" s="724"/>
      <c r="G187" s="724"/>
      <c r="H187" s="724"/>
    </row>
    <row r="188" spans="1:10">
      <c r="A188" s="722" t="s">
        <v>361</v>
      </c>
      <c r="B188" s="722" t="s">
        <v>630</v>
      </c>
      <c r="C188" s="723">
        <f>VLOOKUP(A188,iGRANTS!$B$8:$D$135,3,0)</f>
        <v>123732</v>
      </c>
      <c r="D188" s="723">
        <v>1</v>
      </c>
      <c r="E188" s="723">
        <f>VLOOKUP(A188,'Native American'!$A$2:$C$307,3,0)</f>
        <v>3.33</v>
      </c>
      <c r="F188" s="724"/>
      <c r="G188" s="724"/>
      <c r="H188" s="724"/>
    </row>
    <row r="189" spans="1:10">
      <c r="A189" s="722" t="s">
        <v>363</v>
      </c>
      <c r="B189" s="722" t="s">
        <v>1531</v>
      </c>
      <c r="C189" s="723">
        <f>VLOOKUP(A189,iGRANTS!$B$8:$D$135,3,0)</f>
        <v>149952</v>
      </c>
      <c r="D189" s="723">
        <v>0</v>
      </c>
      <c r="E189" s="723">
        <f>VLOOKUP(A189,'Native American'!$A$2:$C$307,3,0)</f>
        <v>5</v>
      </c>
      <c r="F189" s="724"/>
      <c r="G189" s="724"/>
      <c r="H189" s="724"/>
    </row>
    <row r="190" spans="1:10">
      <c r="A190" s="722" t="s">
        <v>365</v>
      </c>
      <c r="B190" s="722" t="s">
        <v>1532</v>
      </c>
      <c r="C190" s="723">
        <f>VLOOKUP(A190,iGRANTS!$B$8:$D$135,3,0)</f>
        <v>0</v>
      </c>
      <c r="D190" s="723">
        <v>0</v>
      </c>
      <c r="E190" s="723">
        <f>VLOOKUP(A190,'Native American'!$A$2:$C$307,3,0)</f>
        <v>0</v>
      </c>
      <c r="F190" s="724"/>
      <c r="G190" s="724"/>
      <c r="H190" s="724"/>
    </row>
    <row r="191" spans="1:10">
      <c r="A191" s="722" t="s">
        <v>367</v>
      </c>
      <c r="B191" s="722" t="s">
        <v>1533</v>
      </c>
      <c r="C191" s="723" t="e">
        <f>VLOOKUP(A191,iGRANTS!$B$8:$D$135,3,0)</f>
        <v>#N/A</v>
      </c>
      <c r="D191" s="723">
        <v>0</v>
      </c>
      <c r="E191" s="723">
        <f>VLOOKUP(A191,'Native American'!$A$2:$C$307,3,0)</f>
        <v>2</v>
      </c>
      <c r="F191" s="724"/>
      <c r="G191" s="724"/>
      <c r="H191" s="724"/>
    </row>
    <row r="192" spans="1:10">
      <c r="A192" s="722" t="s">
        <v>369</v>
      </c>
      <c r="B192" s="722" t="s">
        <v>1534</v>
      </c>
      <c r="C192" s="723">
        <f>VLOOKUP(A192,iGRANTS!$B$8:$D$135,3,0)</f>
        <v>72207</v>
      </c>
      <c r="D192" s="723">
        <v>0</v>
      </c>
      <c r="E192" s="723">
        <f>VLOOKUP(A192,'Native American'!$A$2:$C$307,3,0)</f>
        <v>0</v>
      </c>
      <c r="F192" s="724"/>
      <c r="G192" s="724"/>
      <c r="H192" s="724"/>
      <c r="I192" s="732"/>
      <c r="J192" s="732"/>
    </row>
    <row r="193" spans="1:10">
      <c r="A193" s="722" t="s">
        <v>666</v>
      </c>
      <c r="B193" s="722" t="s">
        <v>1535</v>
      </c>
      <c r="C193" s="723" t="e">
        <f>VLOOKUP(A193,iGRANTS!$B$8:$D$135,3,0)</f>
        <v>#N/A</v>
      </c>
      <c r="D193" s="723">
        <v>0</v>
      </c>
      <c r="E193" s="723" t="e">
        <f>VLOOKUP(A193,'Native American'!$A$2:$C$307,3,0)</f>
        <v>#N/A</v>
      </c>
      <c r="F193" s="724"/>
      <c r="G193" s="724"/>
      <c r="H193" s="724"/>
    </row>
    <row r="194" spans="1:10">
      <c r="A194" s="722" t="s">
        <v>668</v>
      </c>
      <c r="B194" s="722" t="s">
        <v>1536</v>
      </c>
      <c r="C194" s="723" t="e">
        <f>VLOOKUP(A194,iGRANTS!$B$8:$D$135,3,0)</f>
        <v>#N/A</v>
      </c>
      <c r="D194" s="723">
        <v>0</v>
      </c>
      <c r="E194" s="723" t="e">
        <f>VLOOKUP(A194,'Native American'!$A$2:$C$307,3,0)</f>
        <v>#N/A</v>
      </c>
      <c r="F194" s="724"/>
      <c r="G194" s="724"/>
      <c r="H194" s="724"/>
    </row>
    <row r="195" spans="1:10">
      <c r="A195" s="722" t="s">
        <v>371</v>
      </c>
      <c r="B195" s="722" t="s">
        <v>1537</v>
      </c>
      <c r="C195" s="723" t="e">
        <f>VLOOKUP(A195,iGRANTS!$B$8:$D$135,3,0)</f>
        <v>#N/A</v>
      </c>
      <c r="D195" s="723">
        <v>0</v>
      </c>
      <c r="E195" s="723">
        <f>VLOOKUP(A195,'Native American'!$A$2:$C$307,3,0)</f>
        <v>0</v>
      </c>
      <c r="F195" s="724"/>
      <c r="G195" s="724"/>
      <c r="H195" s="724"/>
    </row>
    <row r="196" spans="1:10">
      <c r="A196" s="722" t="s">
        <v>372</v>
      </c>
      <c r="B196" s="722" t="s">
        <v>1538</v>
      </c>
      <c r="C196" s="723" t="e">
        <f>VLOOKUP(A196,iGRANTS!$B$8:$D$135,3,0)</f>
        <v>#N/A</v>
      </c>
      <c r="D196" s="723">
        <v>0</v>
      </c>
      <c r="E196" s="723">
        <f>VLOOKUP(A196,'Native American'!$A$2:$C$307,3,0)</f>
        <v>0</v>
      </c>
      <c r="F196" s="724"/>
      <c r="G196" s="724"/>
      <c r="H196" s="724"/>
      <c r="I196" s="732"/>
      <c r="J196" s="732"/>
    </row>
    <row r="197" spans="1:10">
      <c r="A197" s="722" t="s">
        <v>373</v>
      </c>
      <c r="B197" s="722" t="s">
        <v>1539</v>
      </c>
      <c r="C197" s="723" t="e">
        <f>VLOOKUP(A197,iGRANTS!$B$8:$D$135,3,0)</f>
        <v>#N/A</v>
      </c>
      <c r="D197" s="723">
        <v>0</v>
      </c>
      <c r="E197" s="723">
        <f>VLOOKUP(A197,'Native American'!$A$2:$C$307,3,0)</f>
        <v>0</v>
      </c>
      <c r="F197" s="724"/>
      <c r="G197" s="724"/>
      <c r="H197" s="724"/>
    </row>
    <row r="198" spans="1:10">
      <c r="A198" s="722" t="s">
        <v>375</v>
      </c>
      <c r="B198" s="722" t="s">
        <v>1269</v>
      </c>
      <c r="C198" s="723" t="e">
        <f>VLOOKUP(A198,iGRANTS!$B$8:$D$135,3,0)</f>
        <v>#N/A</v>
      </c>
      <c r="D198" s="723">
        <v>0</v>
      </c>
      <c r="E198" s="723">
        <f>VLOOKUP(A198,'Native American'!$A$2:$C$307,3,0)</f>
        <v>0</v>
      </c>
      <c r="F198" s="724"/>
      <c r="G198" s="724"/>
      <c r="H198" s="724"/>
    </row>
    <row r="199" spans="1:10">
      <c r="A199" s="722" t="s">
        <v>376</v>
      </c>
      <c r="B199" s="722" t="s">
        <v>1540</v>
      </c>
      <c r="C199" s="723">
        <f>VLOOKUP(A199,iGRANTS!$B$8:$D$135,3,0)</f>
        <v>0</v>
      </c>
      <c r="D199" s="723">
        <v>0</v>
      </c>
      <c r="E199" s="723">
        <f>VLOOKUP(A199,'Native American'!$A$2:$C$307,3,0)</f>
        <v>0</v>
      </c>
      <c r="F199" s="724"/>
      <c r="G199" s="724"/>
      <c r="H199" s="724"/>
    </row>
    <row r="200" spans="1:10">
      <c r="A200" s="722" t="s">
        <v>378</v>
      </c>
      <c r="B200" s="722" t="s">
        <v>629</v>
      </c>
      <c r="C200" s="723">
        <f>VLOOKUP(A200,iGRANTS!$B$8:$D$135,3,0)</f>
        <v>100165</v>
      </c>
      <c r="D200" s="723">
        <v>0</v>
      </c>
      <c r="E200" s="723">
        <f>VLOOKUP(A200,'Native American'!$A$2:$C$307,3,0)</f>
        <v>6</v>
      </c>
      <c r="F200" s="724"/>
      <c r="G200" s="724"/>
      <c r="H200" s="724"/>
    </row>
    <row r="201" spans="1:10">
      <c r="A201" s="722" t="s">
        <v>379</v>
      </c>
      <c r="B201" s="722" t="s">
        <v>686</v>
      </c>
      <c r="C201" s="723" t="e">
        <f>VLOOKUP(A201,iGRANTS!$B$8:$D$135,3,0)</f>
        <v>#N/A</v>
      </c>
      <c r="D201" s="723">
        <v>0</v>
      </c>
      <c r="E201" s="723">
        <f>VLOOKUP(A201,'Native American'!$A$2:$C$307,3,0)</f>
        <v>33.67</v>
      </c>
      <c r="F201" s="724"/>
      <c r="G201" s="724"/>
      <c r="H201" s="724"/>
    </row>
    <row r="202" spans="1:10">
      <c r="A202" s="722" t="s">
        <v>380</v>
      </c>
      <c r="B202" s="722" t="s">
        <v>1541</v>
      </c>
      <c r="C202" s="723">
        <f>VLOOKUP(A202,iGRANTS!$B$8:$D$135,3,0)</f>
        <v>0</v>
      </c>
      <c r="D202" s="723">
        <v>0</v>
      </c>
      <c r="E202" s="723">
        <f>VLOOKUP(A202,'Native American'!$A$2:$C$307,3,0)</f>
        <v>0</v>
      </c>
      <c r="F202" s="724"/>
      <c r="G202" s="724"/>
      <c r="H202" s="724"/>
    </row>
    <row r="203" spans="1:10">
      <c r="A203" s="722" t="s">
        <v>382</v>
      </c>
      <c r="B203" s="722" t="s">
        <v>1542</v>
      </c>
      <c r="C203" s="723">
        <f>VLOOKUP(A203,iGRANTS!$B$8:$D$135,3,0)</f>
        <v>21919</v>
      </c>
      <c r="D203" s="723">
        <v>0</v>
      </c>
      <c r="E203" s="723">
        <f>VLOOKUP(A203,'Native American'!$A$2:$C$307,3,0)</f>
        <v>143.5</v>
      </c>
      <c r="F203" s="724"/>
      <c r="G203" s="724"/>
      <c r="H203" s="724"/>
    </row>
    <row r="204" spans="1:10">
      <c r="A204" s="722" t="s">
        <v>384</v>
      </c>
      <c r="B204" s="722" t="s">
        <v>1543</v>
      </c>
      <c r="C204" s="723">
        <f>VLOOKUP(A204,iGRANTS!$B$8:$D$135,3,0)</f>
        <v>0</v>
      </c>
      <c r="D204" s="723">
        <v>0</v>
      </c>
      <c r="E204" s="723">
        <f>VLOOKUP(A204,'Native American'!$A$2:$C$307,3,0)</f>
        <v>0</v>
      </c>
      <c r="F204" s="724"/>
      <c r="G204" s="724"/>
      <c r="H204" s="724"/>
    </row>
    <row r="205" spans="1:10">
      <c r="A205" s="722" t="s">
        <v>386</v>
      </c>
      <c r="B205" s="722" t="s">
        <v>1544</v>
      </c>
      <c r="C205" s="723" t="e">
        <f>VLOOKUP(A205,iGRANTS!$B$8:$D$135,3,0)</f>
        <v>#N/A</v>
      </c>
      <c r="D205" s="723">
        <v>6</v>
      </c>
      <c r="E205" s="723">
        <f>VLOOKUP(A205,'Native American'!$A$2:$C$307,3,0)</f>
        <v>17</v>
      </c>
      <c r="F205" s="724"/>
      <c r="G205" s="724"/>
      <c r="H205" s="724"/>
    </row>
    <row r="206" spans="1:10">
      <c r="A206" s="722" t="s">
        <v>387</v>
      </c>
      <c r="B206" s="722" t="s">
        <v>1545</v>
      </c>
      <c r="C206" s="723" t="e">
        <f>VLOOKUP(A206,iGRANTS!$B$8:$D$135,3,0)</f>
        <v>#N/A</v>
      </c>
      <c r="D206" s="723">
        <v>0</v>
      </c>
      <c r="E206" s="723">
        <f>VLOOKUP(A206,'Native American'!$A$2:$C$307,3,0)</f>
        <v>0</v>
      </c>
      <c r="F206" s="724"/>
      <c r="G206" s="724"/>
      <c r="H206" s="724"/>
    </row>
    <row r="207" spans="1:10">
      <c r="A207" s="722" t="s">
        <v>389</v>
      </c>
      <c r="B207" s="722" t="s">
        <v>1546</v>
      </c>
      <c r="C207" s="723" t="e">
        <f>VLOOKUP(A207,iGRANTS!$B$8:$D$135,3,0)</f>
        <v>#N/A</v>
      </c>
      <c r="D207" s="723">
        <v>0</v>
      </c>
      <c r="E207" s="723">
        <f>VLOOKUP(A207,'Native American'!$A$2:$C$307,3,0)</f>
        <v>0</v>
      </c>
      <c r="F207" s="724"/>
      <c r="G207" s="724"/>
      <c r="H207" s="724"/>
    </row>
    <row r="208" spans="1:10">
      <c r="A208" s="722" t="s">
        <v>391</v>
      </c>
      <c r="B208" s="722" t="s">
        <v>1547</v>
      </c>
      <c r="C208" s="723" t="e">
        <f>VLOOKUP(A208,iGRANTS!$B$8:$D$135,3,0)</f>
        <v>#N/A</v>
      </c>
      <c r="D208" s="723">
        <v>0</v>
      </c>
      <c r="E208" s="723">
        <f>VLOOKUP(A208,'Native American'!$A$2:$C$307,3,0)</f>
        <v>0</v>
      </c>
      <c r="F208" s="724"/>
      <c r="G208" s="724"/>
      <c r="H208" s="724"/>
    </row>
    <row r="209" spans="1:8">
      <c r="A209" s="722" t="s">
        <v>393</v>
      </c>
      <c r="B209" s="722" t="s">
        <v>1548</v>
      </c>
      <c r="C209" s="723" t="e">
        <f>VLOOKUP(A209,iGRANTS!$B$8:$D$135,3,0)</f>
        <v>#N/A</v>
      </c>
      <c r="D209" s="723">
        <v>0</v>
      </c>
      <c r="E209" s="723">
        <f>VLOOKUP(A209,'Native American'!$A$2:$C$307,3,0)</f>
        <v>5</v>
      </c>
      <c r="F209" s="724"/>
      <c r="G209" s="724"/>
      <c r="H209" s="724"/>
    </row>
    <row r="210" spans="1:8">
      <c r="A210" s="722" t="s">
        <v>395</v>
      </c>
      <c r="B210" s="722" t="s">
        <v>635</v>
      </c>
      <c r="C210" s="723">
        <f>VLOOKUP(A210,iGRANTS!$B$8:$D$135,3,0)</f>
        <v>438098</v>
      </c>
      <c r="D210" s="723">
        <v>30</v>
      </c>
      <c r="E210" s="723">
        <f>VLOOKUP(A210,'Native American'!$A$2:$C$307,3,0)</f>
        <v>97.67</v>
      </c>
      <c r="F210" s="724"/>
      <c r="G210" s="724"/>
      <c r="H210" s="724"/>
    </row>
    <row r="211" spans="1:8">
      <c r="A211" s="722" t="s">
        <v>397</v>
      </c>
      <c r="B211" s="722" t="s">
        <v>1549</v>
      </c>
      <c r="C211" s="723">
        <f>VLOOKUP(A211,iGRANTS!$B$8:$D$135,3,0)</f>
        <v>68364</v>
      </c>
      <c r="D211" s="723">
        <v>0</v>
      </c>
      <c r="E211" s="723">
        <f>VLOOKUP(A211,'Native American'!$A$2:$C$307,3,0)</f>
        <v>5</v>
      </c>
      <c r="F211" s="724"/>
      <c r="G211" s="724"/>
      <c r="H211" s="724"/>
    </row>
    <row r="212" spans="1:8">
      <c r="A212" s="722" t="s">
        <v>399</v>
      </c>
      <c r="B212" s="722" t="s">
        <v>1550</v>
      </c>
      <c r="C212" s="723" t="e">
        <f>VLOOKUP(A212,iGRANTS!$B$8:$D$135,3,0)</f>
        <v>#N/A</v>
      </c>
      <c r="D212" s="723">
        <v>0</v>
      </c>
      <c r="E212" s="723">
        <f>VLOOKUP(A212,'Native American'!$A$2:$C$307,3,0)</f>
        <v>9.67</v>
      </c>
      <c r="F212" s="724"/>
      <c r="G212" s="724"/>
      <c r="H212" s="724"/>
    </row>
    <row r="213" spans="1:8">
      <c r="A213" s="722" t="s">
        <v>401</v>
      </c>
      <c r="B213" s="722" t="s">
        <v>1551</v>
      </c>
      <c r="C213" s="723">
        <f>VLOOKUP(A213,iGRANTS!$B$8:$D$135,3,0)</f>
        <v>427780</v>
      </c>
      <c r="D213" s="723">
        <v>18</v>
      </c>
      <c r="E213" s="723">
        <f>VLOOKUP(A213,'Native American'!$A$2:$C$307,3,0)</f>
        <v>15.17</v>
      </c>
      <c r="F213" s="724"/>
      <c r="G213" s="724"/>
      <c r="H213" s="724"/>
    </row>
    <row r="214" spans="1:8">
      <c r="A214" s="722" t="s">
        <v>403</v>
      </c>
      <c r="B214" s="722" t="s">
        <v>1552</v>
      </c>
      <c r="C214" s="723">
        <f>VLOOKUP(A214,iGRANTS!$B$8:$D$135,3,0)</f>
        <v>37980</v>
      </c>
      <c r="D214" s="723">
        <v>0</v>
      </c>
      <c r="E214" s="723">
        <f>VLOOKUP(A214,'Native American'!$A$2:$C$307,3,0)</f>
        <v>9.33</v>
      </c>
      <c r="F214" s="724"/>
      <c r="G214" s="724"/>
      <c r="H214" s="724"/>
    </row>
    <row r="215" spans="1:8">
      <c r="A215" s="722" t="s">
        <v>405</v>
      </c>
      <c r="B215" s="722" t="s">
        <v>1553</v>
      </c>
      <c r="C215" s="723" t="e">
        <f>VLOOKUP(A215,iGRANTS!$B$8:$D$135,3,0)</f>
        <v>#N/A</v>
      </c>
      <c r="D215" s="723">
        <v>0</v>
      </c>
      <c r="E215" s="723">
        <f>VLOOKUP(A215,'Native American'!$A$2:$C$307,3,0)</f>
        <v>248.33</v>
      </c>
      <c r="F215" s="724"/>
      <c r="G215" s="724"/>
      <c r="H215" s="724"/>
    </row>
    <row r="216" spans="1:8">
      <c r="A216" s="722" t="s">
        <v>407</v>
      </c>
      <c r="B216" s="722" t="s">
        <v>1554</v>
      </c>
      <c r="C216" s="723">
        <f>VLOOKUP(A216,iGRANTS!$B$8:$D$135,3,0)</f>
        <v>0</v>
      </c>
      <c r="D216" s="723">
        <v>0</v>
      </c>
      <c r="E216" s="723">
        <f>VLOOKUP(A216,'Native American'!$A$2:$C$307,3,0)</f>
        <v>0</v>
      </c>
      <c r="F216" s="724"/>
      <c r="G216" s="724"/>
      <c r="H216" s="724"/>
    </row>
    <row r="217" spans="1:8">
      <c r="A217" s="722" t="s">
        <v>409</v>
      </c>
      <c r="B217" s="722" t="s">
        <v>1555</v>
      </c>
      <c r="C217" s="723" t="e">
        <f>VLOOKUP(A217,iGRANTS!$B$8:$D$135,3,0)</f>
        <v>#N/A</v>
      </c>
      <c r="D217" s="723">
        <v>0</v>
      </c>
      <c r="E217" s="723">
        <f>VLOOKUP(A217,'Native American'!$A$2:$C$307,3,0)</f>
        <v>9</v>
      </c>
      <c r="F217" s="724"/>
      <c r="G217" s="724"/>
      <c r="H217" s="724"/>
    </row>
    <row r="218" spans="1:8">
      <c r="A218" s="722" t="s">
        <v>411</v>
      </c>
      <c r="B218" s="722" t="s">
        <v>1556</v>
      </c>
      <c r="C218" s="723" t="e">
        <f>VLOOKUP(A218,iGRANTS!$B$8:$D$135,3,0)</f>
        <v>#N/A</v>
      </c>
      <c r="D218" s="723">
        <v>0</v>
      </c>
      <c r="E218" s="723">
        <f>VLOOKUP(A218,'Native American'!$A$2:$C$307,3,0)</f>
        <v>1</v>
      </c>
      <c r="F218" s="724"/>
      <c r="G218" s="724"/>
      <c r="H218" s="724"/>
    </row>
    <row r="219" spans="1:8">
      <c r="A219" s="722" t="s">
        <v>413</v>
      </c>
      <c r="B219" s="722" t="s">
        <v>1557</v>
      </c>
      <c r="C219" s="723">
        <f>VLOOKUP(A219,iGRANTS!$B$8:$D$135,3,0)</f>
        <v>23932</v>
      </c>
      <c r="D219" s="723">
        <v>0</v>
      </c>
      <c r="E219" s="723">
        <f>VLOOKUP(A219,'Native American'!$A$2:$C$307,3,0)</f>
        <v>9</v>
      </c>
      <c r="F219" s="724"/>
      <c r="G219" s="724"/>
      <c r="H219" s="724"/>
    </row>
    <row r="220" spans="1:8">
      <c r="A220" s="722" t="s">
        <v>415</v>
      </c>
      <c r="B220" s="722" t="s">
        <v>1558</v>
      </c>
      <c r="C220" s="723" t="e">
        <f>VLOOKUP(A220,iGRANTS!$B$8:$D$135,3,0)</f>
        <v>#N/A</v>
      </c>
      <c r="D220" s="723">
        <v>0</v>
      </c>
      <c r="E220" s="723">
        <f>VLOOKUP(A220,'Native American'!$A$2:$C$307,3,0)</f>
        <v>1</v>
      </c>
      <c r="F220" s="724"/>
      <c r="G220" s="724"/>
      <c r="H220" s="724"/>
    </row>
    <row r="221" spans="1:8">
      <c r="A221" s="722" t="s">
        <v>417</v>
      </c>
      <c r="B221" s="722" t="s">
        <v>1559</v>
      </c>
      <c r="C221" s="723">
        <f>VLOOKUP(A221,iGRANTS!$B$8:$D$135,3,0)</f>
        <v>0</v>
      </c>
      <c r="D221" s="723">
        <v>0</v>
      </c>
      <c r="E221" s="723">
        <f>VLOOKUP(A221,'Native American'!$A$2:$C$307,3,0)</f>
        <v>0</v>
      </c>
      <c r="F221" s="724"/>
      <c r="G221" s="724"/>
      <c r="H221" s="724"/>
    </row>
    <row r="222" spans="1:8">
      <c r="A222" s="722" t="s">
        <v>419</v>
      </c>
      <c r="B222" s="722" t="s">
        <v>1560</v>
      </c>
      <c r="C222" s="723">
        <f>VLOOKUP(A222,iGRANTS!$B$8:$D$135,3,0)</f>
        <v>0</v>
      </c>
      <c r="D222" s="723">
        <v>0</v>
      </c>
      <c r="E222" s="723">
        <f>VLOOKUP(A222,'Native American'!$A$2:$C$307,3,0)</f>
        <v>0</v>
      </c>
      <c r="F222" s="724"/>
      <c r="G222" s="724"/>
      <c r="H222" s="724"/>
    </row>
    <row r="223" spans="1:8">
      <c r="A223" s="722" t="s">
        <v>421</v>
      </c>
      <c r="B223" s="722" t="s">
        <v>1561</v>
      </c>
      <c r="C223" s="723" t="e">
        <f>VLOOKUP(A223,iGRANTS!$B$8:$D$135,3,0)</f>
        <v>#N/A</v>
      </c>
      <c r="D223" s="723">
        <v>0</v>
      </c>
      <c r="E223" s="723">
        <f>VLOOKUP(A223,'Native American'!$A$2:$C$307,3,0)</f>
        <v>11</v>
      </c>
      <c r="F223" s="724"/>
      <c r="G223" s="724"/>
      <c r="H223" s="724"/>
    </row>
    <row r="224" spans="1:8">
      <c r="A224" s="722" t="s">
        <v>422</v>
      </c>
      <c r="B224" s="722" t="s">
        <v>1562</v>
      </c>
      <c r="C224" s="723" t="e">
        <f>VLOOKUP(A224,iGRANTS!$B$8:$D$135,3,0)</f>
        <v>#N/A</v>
      </c>
      <c r="D224" s="723">
        <v>0</v>
      </c>
      <c r="E224" s="723">
        <f>VLOOKUP(A224,'Native American'!$A$2:$C$307,3,0)</f>
        <v>162</v>
      </c>
      <c r="F224" s="724"/>
      <c r="G224" s="724"/>
      <c r="H224" s="724"/>
    </row>
    <row r="225" spans="1:8">
      <c r="A225" s="722" t="s">
        <v>424</v>
      </c>
      <c r="B225" s="722" t="s">
        <v>1563</v>
      </c>
      <c r="C225" s="723" t="e">
        <f>VLOOKUP(A225,iGRANTS!$B$8:$D$135,3,0)</f>
        <v>#N/A</v>
      </c>
      <c r="D225" s="723">
        <v>0</v>
      </c>
      <c r="E225" s="723">
        <f>VLOOKUP(A225,'Native American'!$A$2:$C$307,3,0)</f>
        <v>0.83</v>
      </c>
      <c r="F225" s="724"/>
      <c r="G225" s="724"/>
      <c r="H225" s="724"/>
    </row>
    <row r="226" spans="1:8">
      <c r="A226" s="722" t="s">
        <v>426</v>
      </c>
      <c r="B226" s="722" t="s">
        <v>1564</v>
      </c>
      <c r="C226" s="723">
        <f>VLOOKUP(A226,iGRANTS!$B$8:$D$135,3,0)</f>
        <v>0</v>
      </c>
      <c r="D226" s="723">
        <v>0</v>
      </c>
      <c r="E226" s="723">
        <f>VLOOKUP(A226,'Native American'!$A$2:$C$307,3,0)</f>
        <v>0</v>
      </c>
      <c r="F226" s="724"/>
      <c r="G226" s="724"/>
      <c r="H226" s="724"/>
    </row>
    <row r="227" spans="1:8">
      <c r="A227" s="722" t="s">
        <v>428</v>
      </c>
      <c r="B227" s="722" t="s">
        <v>1565</v>
      </c>
      <c r="C227" s="723" t="e">
        <f>VLOOKUP(A227,iGRANTS!$B$8:$D$135,3,0)</f>
        <v>#N/A</v>
      </c>
      <c r="D227" s="723">
        <v>0</v>
      </c>
      <c r="E227" s="723">
        <f>VLOOKUP(A227,'Native American'!$A$2:$C$307,3,0)</f>
        <v>0</v>
      </c>
      <c r="F227" s="724"/>
      <c r="G227" s="724"/>
      <c r="H227" s="724"/>
    </row>
    <row r="228" spans="1:8">
      <c r="A228" s="726" t="s">
        <v>430</v>
      </c>
      <c r="B228" s="726" t="s">
        <v>1566</v>
      </c>
      <c r="C228" s="723" t="e">
        <f>VLOOKUP(A228,iGRANTS!$B$8:$D$135,3,0)</f>
        <v>#N/A</v>
      </c>
      <c r="D228" s="723">
        <v>0</v>
      </c>
      <c r="E228" s="723">
        <f>VLOOKUP(A228,'Native American'!$A$2:$C$307,3,0)</f>
        <v>0</v>
      </c>
      <c r="F228" s="724"/>
      <c r="G228" s="724"/>
      <c r="H228" s="724"/>
    </row>
    <row r="229" spans="1:8">
      <c r="A229" s="722" t="s">
        <v>432</v>
      </c>
      <c r="B229" s="722" t="s">
        <v>1567</v>
      </c>
      <c r="C229" s="723" t="e">
        <f>VLOOKUP(A229,iGRANTS!$B$8:$D$135,3,0)</f>
        <v>#N/A</v>
      </c>
      <c r="D229" s="723">
        <v>30</v>
      </c>
      <c r="E229" s="723">
        <f>VLOOKUP(A229,'Native American'!$A$2:$C$307,3,0)</f>
        <v>16</v>
      </c>
      <c r="F229" s="724"/>
      <c r="G229" s="724"/>
      <c r="H229" s="724"/>
    </row>
    <row r="230" spans="1:8">
      <c r="A230" s="722" t="s">
        <v>434</v>
      </c>
      <c r="B230" s="722" t="s">
        <v>1568</v>
      </c>
      <c r="C230" s="723">
        <f>VLOOKUP(A230,iGRANTS!$B$8:$D$135,3,0)</f>
        <v>70103</v>
      </c>
      <c r="D230" s="723">
        <v>2</v>
      </c>
      <c r="E230" s="723">
        <f>VLOOKUP(A230,'Native American'!$A$2:$C$307,3,0)</f>
        <v>7</v>
      </c>
      <c r="F230" s="724"/>
      <c r="G230" s="724"/>
      <c r="H230" s="724"/>
    </row>
    <row r="231" spans="1:8">
      <c r="A231" s="722" t="s">
        <v>436</v>
      </c>
      <c r="B231" s="722" t="s">
        <v>1569</v>
      </c>
      <c r="C231" s="723">
        <f>VLOOKUP(A231,iGRANTS!$B$8:$D$135,3,0)</f>
        <v>0</v>
      </c>
      <c r="D231" s="723">
        <v>0</v>
      </c>
      <c r="E231" s="723">
        <f>VLOOKUP(A231,'Native American'!$A$2:$C$307,3,0)</f>
        <v>0</v>
      </c>
      <c r="F231" s="724"/>
      <c r="G231" s="724"/>
      <c r="H231" s="724"/>
    </row>
    <row r="232" spans="1:8">
      <c r="A232" s="722" t="s">
        <v>438</v>
      </c>
      <c r="B232" s="722" t="s">
        <v>1570</v>
      </c>
      <c r="C232" s="723">
        <f>VLOOKUP(A232,iGRANTS!$B$8:$D$135,3,0)</f>
        <v>27844</v>
      </c>
      <c r="D232" s="723">
        <v>0</v>
      </c>
      <c r="E232" s="723">
        <f>VLOOKUP(A232,'Native American'!$A$2:$C$307,3,0)</f>
        <v>0</v>
      </c>
      <c r="F232" s="724"/>
      <c r="G232" s="724"/>
      <c r="H232" s="724"/>
    </row>
    <row r="233" spans="1:8">
      <c r="A233" s="722" t="s">
        <v>440</v>
      </c>
      <c r="B233" s="722" t="s">
        <v>1571</v>
      </c>
      <c r="C233" s="723">
        <f>VLOOKUP(A233,iGRANTS!$B$8:$D$135,3,0)</f>
        <v>14369</v>
      </c>
      <c r="D233" s="723">
        <v>0</v>
      </c>
      <c r="E233" s="723">
        <f>VLOOKUP(A233,'Native American'!$A$2:$C$307,3,0)</f>
        <v>4</v>
      </c>
      <c r="F233" s="724"/>
      <c r="G233" s="724"/>
      <c r="H233" s="724"/>
    </row>
    <row r="234" spans="1:8">
      <c r="A234" s="722" t="s">
        <v>441</v>
      </c>
      <c r="B234" s="722" t="s">
        <v>1572</v>
      </c>
      <c r="C234" s="723" t="e">
        <f>VLOOKUP(A234,iGRANTS!$B$8:$D$135,3,0)</f>
        <v>#N/A</v>
      </c>
      <c r="D234" s="723">
        <v>0</v>
      </c>
      <c r="E234" s="723">
        <f>VLOOKUP(A234,'Native American'!$A$2:$C$307,3,0)</f>
        <v>0</v>
      </c>
      <c r="F234" s="724"/>
      <c r="G234" s="724"/>
      <c r="H234" s="724"/>
    </row>
    <row r="235" spans="1:8">
      <c r="A235" s="722" t="s">
        <v>443</v>
      </c>
      <c r="B235" s="722" t="s">
        <v>1573</v>
      </c>
      <c r="C235" s="723" t="e">
        <f>VLOOKUP(A235,iGRANTS!$B$8:$D$135,3,0)</f>
        <v>#N/A</v>
      </c>
      <c r="D235" s="723">
        <v>0</v>
      </c>
      <c r="E235" s="723">
        <f>VLOOKUP(A235,'Native American'!$A$2:$C$307,3,0)</f>
        <v>3</v>
      </c>
      <c r="F235" s="724"/>
      <c r="G235" s="724"/>
      <c r="H235" s="724"/>
    </row>
    <row r="236" spans="1:8">
      <c r="A236" s="722" t="s">
        <v>444</v>
      </c>
      <c r="B236" s="722" t="s">
        <v>1574</v>
      </c>
      <c r="C236" s="723">
        <f>VLOOKUP(A236,iGRANTS!$B$8:$D$135,3,0)</f>
        <v>0</v>
      </c>
      <c r="D236" s="723">
        <v>0</v>
      </c>
      <c r="E236" s="723">
        <f>VLOOKUP(A236,'Native American'!$A$2:$C$307,3,0)</f>
        <v>0</v>
      </c>
      <c r="F236" s="724"/>
      <c r="G236" s="724"/>
      <c r="H236" s="724"/>
    </row>
    <row r="237" spans="1:8">
      <c r="A237" s="722" t="s">
        <v>446</v>
      </c>
      <c r="B237" s="722" t="s">
        <v>1575</v>
      </c>
      <c r="C237" s="723" t="e">
        <f>VLOOKUP(A237,iGRANTS!$B$8:$D$135,3,0)</f>
        <v>#N/A</v>
      </c>
      <c r="D237" s="723">
        <v>0</v>
      </c>
      <c r="E237" s="723">
        <f>VLOOKUP(A237,'Native American'!$A$2:$C$307,3,0)</f>
        <v>0</v>
      </c>
      <c r="F237" s="724"/>
      <c r="G237" s="724"/>
      <c r="H237" s="724"/>
    </row>
    <row r="238" spans="1:8">
      <c r="A238" s="722" t="s">
        <v>448</v>
      </c>
      <c r="B238" s="722" t="s">
        <v>1576</v>
      </c>
      <c r="C238" s="723" t="e">
        <f>VLOOKUP(A238,iGRANTS!$B$8:$D$135,3,0)</f>
        <v>#N/A</v>
      </c>
      <c r="D238" s="723">
        <v>0</v>
      </c>
      <c r="E238" s="723">
        <f>VLOOKUP(A238,'Native American'!$A$2:$C$307,3,0)</f>
        <v>0</v>
      </c>
      <c r="F238" s="724"/>
      <c r="G238" s="724"/>
      <c r="H238" s="724"/>
    </row>
    <row r="239" spans="1:8">
      <c r="A239" s="722" t="s">
        <v>450</v>
      </c>
      <c r="B239" s="722" t="s">
        <v>1577</v>
      </c>
      <c r="C239" s="723">
        <f>VLOOKUP(A239,iGRANTS!$B$8:$D$135,3,0)</f>
        <v>0</v>
      </c>
      <c r="D239" s="723">
        <v>1</v>
      </c>
      <c r="E239" s="723">
        <f>VLOOKUP(A239,'Native American'!$A$2:$C$307,3,0)</f>
        <v>0</v>
      </c>
      <c r="F239" s="724"/>
      <c r="G239" s="724"/>
      <c r="H239" s="724"/>
    </row>
    <row r="240" spans="1:8">
      <c r="A240" s="722" t="s">
        <v>452</v>
      </c>
      <c r="B240" s="722" t="s">
        <v>1578</v>
      </c>
      <c r="C240" s="723" t="e">
        <f>VLOOKUP(A240,iGRANTS!$B$8:$D$135,3,0)</f>
        <v>#N/A</v>
      </c>
      <c r="D240" s="723">
        <v>0</v>
      </c>
      <c r="E240" s="723">
        <f>VLOOKUP(A240,'Native American'!$A$2:$C$307,3,0)</f>
        <v>91</v>
      </c>
      <c r="F240" s="724"/>
      <c r="G240" s="724"/>
      <c r="H240" s="724"/>
    </row>
    <row r="241" spans="1:8">
      <c r="A241" s="722" t="s">
        <v>454</v>
      </c>
      <c r="B241" s="722" t="s">
        <v>1579</v>
      </c>
      <c r="C241" s="723" t="e">
        <f>VLOOKUP(A241,iGRANTS!$B$8:$D$135,3,0)</f>
        <v>#N/A</v>
      </c>
      <c r="D241" s="723">
        <v>0</v>
      </c>
      <c r="E241" s="723">
        <f>VLOOKUP(A241,'Native American'!$A$2:$C$307,3,0)</f>
        <v>3</v>
      </c>
      <c r="F241" s="724"/>
      <c r="G241" s="724"/>
      <c r="H241" s="724"/>
    </row>
    <row r="242" spans="1:8">
      <c r="A242" s="722" t="s">
        <v>456</v>
      </c>
      <c r="B242" s="722" t="s">
        <v>1580</v>
      </c>
      <c r="C242" s="723">
        <f>VLOOKUP(A242,iGRANTS!$B$8:$D$135,3,0)</f>
        <v>0</v>
      </c>
      <c r="D242" s="723">
        <v>0</v>
      </c>
      <c r="E242" s="723">
        <f>VLOOKUP(A242,'Native American'!$A$2:$C$307,3,0)</f>
        <v>0</v>
      </c>
      <c r="F242" s="724"/>
      <c r="G242" s="724"/>
      <c r="H242" s="724"/>
    </row>
    <row r="243" spans="1:8">
      <c r="A243" s="722" t="s">
        <v>458</v>
      </c>
      <c r="B243" s="722" t="s">
        <v>1581</v>
      </c>
      <c r="C243" s="723" t="e">
        <f>VLOOKUP(A243,iGRANTS!$B$8:$D$135,3,0)</f>
        <v>#N/A</v>
      </c>
      <c r="D243" s="723">
        <v>0</v>
      </c>
      <c r="E243" s="723">
        <f>VLOOKUP(A243,'Native American'!$A$2:$C$307,3,0)</f>
        <v>0</v>
      </c>
      <c r="F243" s="724"/>
      <c r="G243" s="724"/>
      <c r="H243" s="724"/>
    </row>
    <row r="244" spans="1:8">
      <c r="A244" s="722" t="s">
        <v>460</v>
      </c>
      <c r="B244" s="722" t="s">
        <v>1582</v>
      </c>
      <c r="C244" s="723" t="e">
        <f>VLOOKUP(A244,iGRANTS!$B$8:$D$135,3,0)</f>
        <v>#N/A</v>
      </c>
      <c r="D244" s="723">
        <v>0</v>
      </c>
      <c r="E244" s="723">
        <f>VLOOKUP(A244,'Native American'!$A$2:$C$307,3,0)</f>
        <v>0</v>
      </c>
      <c r="F244" s="724"/>
      <c r="G244" s="724"/>
      <c r="H244" s="724"/>
    </row>
    <row r="245" spans="1:8">
      <c r="A245" s="722" t="s">
        <v>462</v>
      </c>
      <c r="B245" s="722" t="s">
        <v>1583</v>
      </c>
      <c r="C245" s="723">
        <f>VLOOKUP(A245,iGRANTS!$B$8:$D$135,3,0)</f>
        <v>0</v>
      </c>
      <c r="D245" s="723">
        <v>0</v>
      </c>
      <c r="E245" s="723">
        <f>VLOOKUP(A245,'Native American'!$A$2:$C$307,3,0)</f>
        <v>0</v>
      </c>
      <c r="F245" s="724"/>
      <c r="G245" s="724"/>
      <c r="H245" s="724"/>
    </row>
    <row r="246" spans="1:8">
      <c r="A246" s="722" t="s">
        <v>464</v>
      </c>
      <c r="B246" s="722" t="s">
        <v>1584</v>
      </c>
      <c r="C246" s="723">
        <f>VLOOKUP(A246,iGRANTS!$B$8:$D$135,3,0)</f>
        <v>0</v>
      </c>
      <c r="D246" s="723">
        <v>0</v>
      </c>
      <c r="E246" s="723">
        <f>VLOOKUP(A246,'Native American'!$A$2:$C$307,3,0)</f>
        <v>0</v>
      </c>
      <c r="F246" s="724"/>
      <c r="G246" s="724"/>
      <c r="H246" s="724"/>
    </row>
    <row r="247" spans="1:8">
      <c r="A247" s="722" t="s">
        <v>466</v>
      </c>
      <c r="B247" s="722" t="s">
        <v>1585</v>
      </c>
      <c r="C247" s="723" t="e">
        <f>VLOOKUP(A247,iGRANTS!$B$8:$D$135,3,0)</f>
        <v>#N/A</v>
      </c>
      <c r="D247" s="723">
        <v>0</v>
      </c>
      <c r="E247" s="723">
        <f>VLOOKUP(A247,'Native American'!$A$2:$C$307,3,0)</f>
        <v>2.5</v>
      </c>
      <c r="F247" s="724"/>
      <c r="G247" s="724"/>
      <c r="H247" s="724"/>
    </row>
    <row r="248" spans="1:8">
      <c r="A248" s="722" t="s">
        <v>468</v>
      </c>
      <c r="B248" s="722" t="s">
        <v>1586</v>
      </c>
      <c r="C248" s="723" t="e">
        <f>VLOOKUP(A248,iGRANTS!$B$8:$D$135,3,0)</f>
        <v>#N/A</v>
      </c>
      <c r="D248" s="723">
        <v>0</v>
      </c>
      <c r="E248" s="723">
        <f>VLOOKUP(A248,'Native American'!$A$2:$C$307,3,0)</f>
        <v>0</v>
      </c>
      <c r="F248" s="724"/>
      <c r="G248" s="724"/>
      <c r="H248" s="724"/>
    </row>
    <row r="249" spans="1:8">
      <c r="A249" s="722" t="s">
        <v>470</v>
      </c>
      <c r="B249" s="722" t="s">
        <v>1587</v>
      </c>
      <c r="C249" s="723">
        <f>VLOOKUP(A249,iGRANTS!$B$8:$D$135,3,0)</f>
        <v>0</v>
      </c>
      <c r="D249" s="723">
        <v>0</v>
      </c>
      <c r="E249" s="723">
        <f>VLOOKUP(A249,'Native American'!$A$2:$C$307,3,0)</f>
        <v>0</v>
      </c>
      <c r="F249" s="724"/>
      <c r="G249" s="724"/>
      <c r="H249" s="724"/>
    </row>
    <row r="250" spans="1:8">
      <c r="A250" s="722" t="s">
        <v>472</v>
      </c>
      <c r="B250" s="722" t="s">
        <v>1588</v>
      </c>
      <c r="C250" s="723" t="e">
        <f>VLOOKUP(A250,iGRANTS!$B$8:$D$135,3,0)</f>
        <v>#N/A</v>
      </c>
      <c r="D250" s="723">
        <v>0</v>
      </c>
      <c r="E250" s="723" t="e">
        <f>VLOOKUP(A250,'Native American'!$A$2:$C$307,3,0)</f>
        <v>#N/A</v>
      </c>
      <c r="F250" s="724"/>
      <c r="G250" s="724"/>
      <c r="H250" s="724"/>
    </row>
    <row r="251" spans="1:8">
      <c r="A251" s="722" t="s">
        <v>474</v>
      </c>
      <c r="B251" s="722" t="s">
        <v>631</v>
      </c>
      <c r="C251" s="723" t="e">
        <f>VLOOKUP(A251,iGRANTS!$B$8:$D$135,3,0)</f>
        <v>#N/A</v>
      </c>
      <c r="D251" s="723">
        <v>0</v>
      </c>
      <c r="E251" s="723">
        <f>VLOOKUP(A251,'Native American'!$A$2:$C$307,3,0)</f>
        <v>46.5</v>
      </c>
      <c r="F251" s="724"/>
      <c r="G251" s="724"/>
      <c r="H251" s="724"/>
    </row>
    <row r="252" spans="1:8">
      <c r="A252" s="722" t="s">
        <v>476</v>
      </c>
      <c r="B252" s="722" t="s">
        <v>1589</v>
      </c>
      <c r="C252" s="723" t="e">
        <f>VLOOKUP(A252,iGRANTS!$B$8:$D$135,3,0)</f>
        <v>#N/A</v>
      </c>
      <c r="D252" s="723">
        <v>0</v>
      </c>
      <c r="E252" s="723">
        <f>VLOOKUP(A252,'Native American'!$A$2:$C$307,3,0)</f>
        <v>0</v>
      </c>
      <c r="F252" s="724"/>
      <c r="G252" s="724"/>
      <c r="H252" s="724"/>
    </row>
    <row r="253" spans="1:8">
      <c r="A253" s="722" t="s">
        <v>478</v>
      </c>
      <c r="B253" s="722" t="s">
        <v>1590</v>
      </c>
      <c r="C253" s="723" t="e">
        <f>VLOOKUP(A253,iGRANTS!$B$8:$D$135,3,0)</f>
        <v>#N/A</v>
      </c>
      <c r="D253" s="723">
        <v>1</v>
      </c>
      <c r="E253" s="723">
        <f>VLOOKUP(A253,'Native American'!$A$2:$C$307,3,0)</f>
        <v>10</v>
      </c>
      <c r="F253" s="724"/>
      <c r="G253" s="724"/>
      <c r="H253" s="724"/>
    </row>
    <row r="254" spans="1:8">
      <c r="A254" s="722" t="s">
        <v>480</v>
      </c>
      <c r="B254" s="722" t="s">
        <v>1591</v>
      </c>
      <c r="C254" s="723" t="e">
        <f>VLOOKUP(A254,iGRANTS!$B$8:$D$135,3,0)</f>
        <v>#N/A</v>
      </c>
      <c r="D254" s="723">
        <v>0</v>
      </c>
      <c r="E254" s="723">
        <f>VLOOKUP(A254,'Native American'!$A$2:$C$307,3,0)</f>
        <v>0</v>
      </c>
      <c r="F254" s="724"/>
      <c r="G254" s="724"/>
      <c r="H254" s="724"/>
    </row>
    <row r="255" spans="1:8">
      <c r="A255" s="722" t="s">
        <v>482</v>
      </c>
      <c r="B255" s="722" t="s">
        <v>1592</v>
      </c>
      <c r="C255" s="723">
        <f>VLOOKUP(A255,iGRANTS!$B$8:$D$135,3,0)</f>
        <v>0</v>
      </c>
      <c r="D255" s="723">
        <v>0</v>
      </c>
      <c r="E255" s="723">
        <f>VLOOKUP(A255,'Native American'!$A$2:$C$307,3,0)</f>
        <v>0</v>
      </c>
      <c r="F255" s="724"/>
      <c r="G255" s="724"/>
      <c r="H255" s="724"/>
    </row>
    <row r="256" spans="1:8">
      <c r="A256" s="722" t="s">
        <v>484</v>
      </c>
      <c r="B256" s="722" t="s">
        <v>1593</v>
      </c>
      <c r="C256" s="723" t="e">
        <f>VLOOKUP(A256,iGRANTS!$B$8:$D$135,3,0)</f>
        <v>#N/A</v>
      </c>
      <c r="D256" s="723">
        <v>0</v>
      </c>
      <c r="E256" s="723">
        <f>VLOOKUP(A256,'Native American'!$A$2:$C$307,3,0)</f>
        <v>43</v>
      </c>
      <c r="F256" s="724"/>
      <c r="G256" s="724"/>
      <c r="H256" s="724"/>
    </row>
    <row r="257" spans="1:10">
      <c r="A257" s="722" t="s">
        <v>486</v>
      </c>
      <c r="B257" s="722" t="s">
        <v>1594</v>
      </c>
      <c r="C257" s="723" t="e">
        <f>VLOOKUP(A257,iGRANTS!$B$8:$D$135,3,0)</f>
        <v>#N/A</v>
      </c>
      <c r="D257" s="723">
        <v>0</v>
      </c>
      <c r="E257" s="723">
        <f>VLOOKUP(A257,'Native American'!$A$2:$C$307,3,0)</f>
        <v>0</v>
      </c>
      <c r="F257" s="724"/>
      <c r="G257" s="724"/>
      <c r="H257" s="724"/>
    </row>
    <row r="258" spans="1:10">
      <c r="A258" s="722" t="s">
        <v>678</v>
      </c>
      <c r="B258" s="722" t="s">
        <v>679</v>
      </c>
      <c r="C258" s="723">
        <f>VLOOKUP(A258,iGRANTS!$B$8:$D$135,3,0)</f>
        <v>0</v>
      </c>
      <c r="D258" s="723">
        <v>0</v>
      </c>
      <c r="E258" s="723">
        <f>VLOOKUP(A258,'Native American'!$A$2:$C$307,3,0)</f>
        <v>0</v>
      </c>
      <c r="F258" s="724"/>
      <c r="G258" s="724"/>
      <c r="H258" s="724"/>
    </row>
    <row r="259" spans="1:10">
      <c r="A259" s="722" t="s">
        <v>488</v>
      </c>
      <c r="B259" s="722" t="s">
        <v>1595</v>
      </c>
      <c r="C259" s="723" t="e">
        <f>VLOOKUP(A259,iGRANTS!$B$8:$D$135,3,0)</f>
        <v>#N/A</v>
      </c>
      <c r="D259" s="723">
        <v>0</v>
      </c>
      <c r="E259" s="723">
        <f>VLOOKUP(A259,'Native American'!$A$2:$C$307,3,0)</f>
        <v>0</v>
      </c>
      <c r="F259" s="724"/>
      <c r="G259" s="724"/>
      <c r="H259" s="724"/>
    </row>
    <row r="260" spans="1:10" s="732" customFormat="1">
      <c r="A260" s="722" t="s">
        <v>490</v>
      </c>
      <c r="B260" s="722" t="s">
        <v>1596</v>
      </c>
      <c r="C260" s="723">
        <f>VLOOKUP(A260,iGRANTS!$B$8:$D$135,3,0)</f>
        <v>0</v>
      </c>
      <c r="D260" s="723">
        <v>0</v>
      </c>
      <c r="E260" s="723">
        <f>VLOOKUP(A260,'Native American'!$A$2:$C$307,3,0)</f>
        <v>0</v>
      </c>
      <c r="F260" s="724"/>
      <c r="G260" s="724"/>
      <c r="H260" s="724"/>
      <c r="I260" s="725"/>
      <c r="J260" s="725"/>
    </row>
    <row r="261" spans="1:10">
      <c r="A261" s="722" t="s">
        <v>492</v>
      </c>
      <c r="B261" s="722" t="s">
        <v>641</v>
      </c>
      <c r="C261" s="723" t="e">
        <f>VLOOKUP(A261,iGRANTS!$B$8:$D$135,3,0)</f>
        <v>#N/A</v>
      </c>
      <c r="D261" s="723">
        <v>0</v>
      </c>
      <c r="E261" s="723">
        <f>VLOOKUP(A261,'Native American'!$A$2:$C$307,3,0)</f>
        <v>4</v>
      </c>
      <c r="F261" s="724"/>
      <c r="G261" s="724"/>
      <c r="H261" s="724"/>
    </row>
    <row r="262" spans="1:10">
      <c r="A262" s="722" t="s">
        <v>494</v>
      </c>
      <c r="B262" s="722" t="s">
        <v>1597</v>
      </c>
      <c r="C262" s="723">
        <f>VLOOKUP(A262,iGRANTS!$B$8:$D$135,3,0)</f>
        <v>42441</v>
      </c>
      <c r="D262" s="723">
        <v>0</v>
      </c>
      <c r="E262" s="723">
        <f>VLOOKUP(A262,'Native American'!$A$2:$C$307,3,0)</f>
        <v>0</v>
      </c>
      <c r="F262" s="724"/>
      <c r="G262" s="724"/>
      <c r="H262" s="724"/>
    </row>
    <row r="263" spans="1:10">
      <c r="A263" s="722" t="s">
        <v>496</v>
      </c>
      <c r="B263" s="722" t="s">
        <v>1598</v>
      </c>
      <c r="C263" s="723" t="e">
        <f>VLOOKUP(A263,iGRANTS!$B$8:$D$135,3,0)</f>
        <v>#N/A</v>
      </c>
      <c r="D263" s="723">
        <v>0</v>
      </c>
      <c r="E263" s="723">
        <f>VLOOKUP(A263,'Native American'!$A$2:$C$307,3,0)</f>
        <v>0</v>
      </c>
      <c r="F263" s="724"/>
      <c r="G263" s="724"/>
      <c r="H263" s="724"/>
    </row>
    <row r="264" spans="1:10">
      <c r="A264" s="733" t="s">
        <v>498</v>
      </c>
      <c r="B264" s="733" t="s">
        <v>1599</v>
      </c>
      <c r="C264" s="723">
        <f>VLOOKUP(A264,iGRANTS!$B$8:$D$135,3,0)</f>
        <v>15673</v>
      </c>
      <c r="D264" s="723">
        <v>0</v>
      </c>
      <c r="E264" s="723">
        <f>VLOOKUP(A264,'Native American'!$A$2:$C$307,3,0)</f>
        <v>0</v>
      </c>
      <c r="F264" s="727"/>
      <c r="G264" s="727"/>
      <c r="H264" s="727"/>
      <c r="I264" s="732"/>
      <c r="J264" s="732"/>
    </row>
    <row r="265" spans="1:10">
      <c r="A265" s="722" t="s">
        <v>500</v>
      </c>
      <c r="B265" s="722" t="s">
        <v>1600</v>
      </c>
      <c r="C265" s="723" t="e">
        <f>VLOOKUP(A265,iGRANTS!$B$8:$D$135,3,0)</f>
        <v>#N/A</v>
      </c>
      <c r="D265" s="723">
        <v>0</v>
      </c>
      <c r="E265" s="723">
        <f>VLOOKUP(A265,'Native American'!$A$2:$C$307,3,0)</f>
        <v>0</v>
      </c>
      <c r="F265" s="724"/>
      <c r="G265" s="724"/>
      <c r="H265" s="724"/>
    </row>
    <row r="266" spans="1:10">
      <c r="A266" s="722" t="s">
        <v>502</v>
      </c>
      <c r="B266" s="722" t="s">
        <v>1601</v>
      </c>
      <c r="C266" s="723" t="e">
        <f>VLOOKUP(A266,iGRANTS!$B$8:$D$135,3,0)</f>
        <v>#N/A</v>
      </c>
      <c r="D266" s="723">
        <v>0</v>
      </c>
      <c r="E266" s="723">
        <f>VLOOKUP(A266,'Native American'!$A$2:$C$307,3,0)</f>
        <v>0</v>
      </c>
      <c r="F266" s="724"/>
      <c r="G266" s="724"/>
      <c r="H266" s="724"/>
    </row>
    <row r="267" spans="1:10">
      <c r="A267" s="722" t="s">
        <v>504</v>
      </c>
      <c r="B267" s="722" t="s">
        <v>628</v>
      </c>
      <c r="C267" s="723">
        <f>VLOOKUP(A267,iGRANTS!$B$8:$D$135,3,0)</f>
        <v>118517</v>
      </c>
      <c r="D267" s="723">
        <v>29</v>
      </c>
      <c r="E267" s="723">
        <f>VLOOKUP(A267,'Native American'!$A$2:$C$307,3,0)</f>
        <v>13</v>
      </c>
      <c r="F267" s="724"/>
      <c r="G267" s="724"/>
      <c r="H267" s="724"/>
    </row>
    <row r="268" spans="1:10">
      <c r="A268" s="722" t="s">
        <v>506</v>
      </c>
      <c r="B268" s="722" t="s">
        <v>1602</v>
      </c>
      <c r="C268" s="723">
        <f>VLOOKUP(A268,iGRANTS!$B$8:$D$135,3,0)</f>
        <v>0</v>
      </c>
      <c r="D268" s="723">
        <v>0</v>
      </c>
      <c r="E268" s="723">
        <f>VLOOKUP(A268,'Native American'!$A$2:$C$307,3,0)</f>
        <v>7.83</v>
      </c>
      <c r="F268" s="724"/>
      <c r="G268" s="724"/>
      <c r="H268" s="724"/>
    </row>
    <row r="269" spans="1:10">
      <c r="A269" s="722" t="s">
        <v>508</v>
      </c>
      <c r="B269" s="722" t="s">
        <v>1603</v>
      </c>
      <c r="C269" s="723">
        <f>VLOOKUP(A269,iGRANTS!$B$8:$D$135,3,0)</f>
        <v>13406</v>
      </c>
      <c r="D269" s="723">
        <v>0</v>
      </c>
      <c r="E269" s="723">
        <f>VLOOKUP(A269,'Native American'!$A$2:$C$307,3,0)</f>
        <v>7</v>
      </c>
      <c r="F269" s="724"/>
      <c r="G269" s="724"/>
      <c r="H269" s="724"/>
    </row>
    <row r="270" spans="1:10">
      <c r="A270" s="735" t="s">
        <v>510</v>
      </c>
      <c r="B270" s="735" t="s">
        <v>1604</v>
      </c>
      <c r="C270" s="723" t="e">
        <f>VLOOKUP(A270,iGRANTS!$B$8:$D$135,3,0)</f>
        <v>#N/A</v>
      </c>
      <c r="D270" s="723">
        <v>0</v>
      </c>
      <c r="E270" s="723">
        <f>VLOOKUP(A270,'Native American'!$A$2:$C$307,3,0)</f>
        <v>0</v>
      </c>
      <c r="F270" s="727"/>
      <c r="G270" s="727"/>
      <c r="H270" s="727"/>
    </row>
    <row r="271" spans="1:10">
      <c r="A271" s="722" t="s">
        <v>512</v>
      </c>
      <c r="B271" s="722" t="s">
        <v>1605</v>
      </c>
      <c r="C271" s="723" t="e">
        <f>VLOOKUP(A271,iGRANTS!$B$8:$D$135,3,0)</f>
        <v>#N/A</v>
      </c>
      <c r="D271" s="723">
        <v>0</v>
      </c>
      <c r="E271" s="723">
        <f>VLOOKUP(A271,'Native American'!$A$2:$C$307,3,0)</f>
        <v>16</v>
      </c>
      <c r="F271" s="724"/>
      <c r="G271" s="724"/>
      <c r="H271" s="724"/>
    </row>
    <row r="272" spans="1:10">
      <c r="A272" s="722" t="s">
        <v>514</v>
      </c>
      <c r="B272" s="722" t="s">
        <v>685</v>
      </c>
      <c r="C272" s="723" t="e">
        <f>VLOOKUP(A272,iGRANTS!$B$8:$D$135,3,0)</f>
        <v>#N/A</v>
      </c>
      <c r="D272" s="723">
        <v>0</v>
      </c>
      <c r="E272" s="723">
        <f>VLOOKUP(A272,'Native American'!$A$2:$C$307,3,0)</f>
        <v>13</v>
      </c>
      <c r="F272" s="724"/>
      <c r="G272" s="724"/>
      <c r="H272" s="724"/>
    </row>
    <row r="273" spans="1:8">
      <c r="A273" s="722" t="s">
        <v>516</v>
      </c>
      <c r="B273" s="722" t="s">
        <v>1606</v>
      </c>
      <c r="C273" s="723" t="e">
        <f>VLOOKUP(A273,iGRANTS!$B$8:$D$135,3,0)</f>
        <v>#N/A</v>
      </c>
      <c r="D273" s="723">
        <v>0</v>
      </c>
      <c r="E273" s="723">
        <f>VLOOKUP(A273,'Native American'!$A$2:$C$307,3,0)</f>
        <v>32</v>
      </c>
      <c r="F273" s="724"/>
      <c r="G273" s="724"/>
      <c r="H273" s="724"/>
    </row>
    <row r="274" spans="1:8">
      <c r="A274" s="722" t="s">
        <v>518</v>
      </c>
      <c r="B274" s="722" t="s">
        <v>1607</v>
      </c>
      <c r="C274" s="723">
        <f>VLOOKUP(A274,iGRANTS!$B$8:$D$135,3,0)</f>
        <v>0</v>
      </c>
      <c r="D274" s="723">
        <v>0</v>
      </c>
      <c r="E274" s="723">
        <f>VLOOKUP(A274,'Native American'!$A$2:$C$307,3,0)</f>
        <v>0</v>
      </c>
      <c r="F274" s="724"/>
      <c r="G274" s="724"/>
      <c r="H274" s="724"/>
    </row>
    <row r="275" spans="1:8">
      <c r="A275" s="722" t="s">
        <v>519</v>
      </c>
      <c r="B275" s="722" t="s">
        <v>1608</v>
      </c>
      <c r="C275" s="723">
        <f>VLOOKUP(A275,iGRANTS!$B$8:$D$135,3,0)</f>
        <v>0</v>
      </c>
      <c r="D275" s="723">
        <v>0</v>
      </c>
      <c r="E275" s="723">
        <f>VLOOKUP(A275,'Native American'!$A$2:$C$307,3,0)</f>
        <v>0</v>
      </c>
      <c r="F275" s="724"/>
      <c r="G275" s="724"/>
      <c r="H275" s="724"/>
    </row>
    <row r="276" spans="1:8">
      <c r="A276" s="722" t="s">
        <v>521</v>
      </c>
      <c r="B276" s="722" t="s">
        <v>1609</v>
      </c>
      <c r="C276" s="723" t="e">
        <f>VLOOKUP(A276,iGRANTS!$B$8:$D$135,3,0)</f>
        <v>#N/A</v>
      </c>
      <c r="D276" s="723">
        <v>0</v>
      </c>
      <c r="E276" s="723">
        <f>VLOOKUP(A276,'Native American'!$A$2:$C$307,3,0)</f>
        <v>0</v>
      </c>
      <c r="F276" s="724"/>
      <c r="G276" s="724"/>
      <c r="H276" s="724"/>
    </row>
    <row r="277" spans="1:8">
      <c r="A277" s="722" t="s">
        <v>523</v>
      </c>
      <c r="B277" s="722" t="s">
        <v>1610</v>
      </c>
      <c r="C277" s="723" t="e">
        <f>VLOOKUP(A277,iGRANTS!$B$8:$D$135,3,0)</f>
        <v>#N/A</v>
      </c>
      <c r="D277" s="723">
        <v>0</v>
      </c>
      <c r="E277" s="723">
        <f>VLOOKUP(A277,'Native American'!$A$2:$C$307,3,0)</f>
        <v>1.83</v>
      </c>
      <c r="F277" s="724"/>
      <c r="G277" s="724"/>
      <c r="H277" s="724"/>
    </row>
    <row r="278" spans="1:8">
      <c r="A278" s="722" t="s">
        <v>525</v>
      </c>
      <c r="B278" s="722" t="s">
        <v>1611</v>
      </c>
      <c r="C278" s="723">
        <f>VLOOKUP(A278,iGRANTS!$B$8:$D$135,3,0)</f>
        <v>0</v>
      </c>
      <c r="D278" s="723">
        <v>0</v>
      </c>
      <c r="E278" s="723">
        <f>VLOOKUP(A278,'Native American'!$A$2:$C$307,3,0)</f>
        <v>0</v>
      </c>
      <c r="F278" s="724"/>
      <c r="G278" s="724"/>
      <c r="H278" s="724"/>
    </row>
    <row r="279" spans="1:8">
      <c r="A279" s="722" t="s">
        <v>527</v>
      </c>
      <c r="B279" s="722" t="s">
        <v>1612</v>
      </c>
      <c r="C279" s="723" t="e">
        <f>VLOOKUP(A279,iGRANTS!$B$8:$D$135,3,0)</f>
        <v>#N/A</v>
      </c>
      <c r="D279" s="723">
        <v>0</v>
      </c>
      <c r="E279" s="723">
        <f>VLOOKUP(A279,'Native American'!$A$2:$C$307,3,0)</f>
        <v>0</v>
      </c>
      <c r="F279" s="724"/>
      <c r="G279" s="724"/>
      <c r="H279" s="724"/>
    </row>
    <row r="280" spans="1:8">
      <c r="A280" s="722" t="s">
        <v>529</v>
      </c>
      <c r="B280" s="722" t="s">
        <v>1613</v>
      </c>
      <c r="C280" s="723">
        <f>VLOOKUP(A280,iGRANTS!$B$8:$D$135,3,0)</f>
        <v>0</v>
      </c>
      <c r="D280" s="723">
        <v>0</v>
      </c>
      <c r="E280" s="723">
        <f>VLOOKUP(A280,'Native American'!$A$2:$C$307,3,0)</f>
        <v>0</v>
      </c>
      <c r="F280" s="724"/>
      <c r="G280" s="724"/>
      <c r="H280" s="724"/>
    </row>
    <row r="281" spans="1:8">
      <c r="A281" s="722" t="s">
        <v>531</v>
      </c>
      <c r="B281" s="722" t="s">
        <v>1614</v>
      </c>
      <c r="C281" s="723" t="e">
        <f>VLOOKUP(A281,iGRANTS!$B$8:$D$135,3,0)</f>
        <v>#N/A</v>
      </c>
      <c r="D281" s="723">
        <v>0</v>
      </c>
      <c r="E281" s="723">
        <f>VLOOKUP(A281,'Native American'!$A$2:$C$307,3,0)</f>
        <v>0</v>
      </c>
      <c r="F281" s="724"/>
      <c r="G281" s="724"/>
      <c r="H281" s="724"/>
    </row>
    <row r="282" spans="1:8">
      <c r="A282" s="736" t="s">
        <v>533</v>
      </c>
      <c r="B282" s="736" t="s">
        <v>1615</v>
      </c>
      <c r="C282" s="723">
        <f>VLOOKUP(A282,iGRANTS!$B$8:$D$135,3,0)</f>
        <v>0</v>
      </c>
      <c r="D282" s="723">
        <v>0</v>
      </c>
      <c r="E282" s="723">
        <f>VLOOKUP(A282,'Native American'!$A$2:$C$307,3,0)</f>
        <v>0</v>
      </c>
      <c r="F282" s="724"/>
      <c r="G282" s="724"/>
      <c r="H282" s="724"/>
    </row>
    <row r="283" spans="1:8">
      <c r="A283" s="722" t="s">
        <v>535</v>
      </c>
      <c r="B283" s="722" t="s">
        <v>1616</v>
      </c>
      <c r="C283" s="723">
        <f>VLOOKUP(A283,iGRANTS!$B$8:$D$135,3,0)</f>
        <v>0</v>
      </c>
      <c r="D283" s="723">
        <v>0</v>
      </c>
      <c r="E283" s="723">
        <f>VLOOKUP(A283,'Native American'!$A$2:$C$307,3,0)</f>
        <v>0</v>
      </c>
      <c r="F283" s="724"/>
      <c r="G283" s="724"/>
      <c r="H283" s="724"/>
    </row>
    <row r="284" spans="1:8">
      <c r="A284" s="722" t="s">
        <v>537</v>
      </c>
      <c r="B284" s="722" t="s">
        <v>1617</v>
      </c>
      <c r="C284" s="723" t="e">
        <f>VLOOKUP(A284,iGRANTS!$B$8:$D$135,3,0)</f>
        <v>#N/A</v>
      </c>
      <c r="D284" s="723">
        <v>0</v>
      </c>
      <c r="E284" s="723">
        <f>VLOOKUP(A284,'Native American'!$A$2:$C$307,3,0)</f>
        <v>0</v>
      </c>
      <c r="F284" s="724"/>
      <c r="G284" s="724"/>
      <c r="H284" s="724"/>
    </row>
    <row r="285" spans="1:8">
      <c r="A285" s="722" t="s">
        <v>539</v>
      </c>
      <c r="B285" s="722" t="s">
        <v>1618</v>
      </c>
      <c r="C285" s="723" t="e">
        <f>VLOOKUP(A285,iGRANTS!$B$8:$D$135,3,0)</f>
        <v>#N/A</v>
      </c>
      <c r="D285" s="723">
        <v>0</v>
      </c>
      <c r="E285" s="723">
        <f>VLOOKUP(A285,'Native American'!$A$2:$C$307,3,0)</f>
        <v>0</v>
      </c>
      <c r="F285" s="724"/>
      <c r="G285" s="724"/>
      <c r="H285" s="724"/>
    </row>
    <row r="286" spans="1:8">
      <c r="A286" s="722" t="s">
        <v>541</v>
      </c>
      <c r="B286" s="722" t="s">
        <v>1619</v>
      </c>
      <c r="C286" s="723" t="e">
        <f>VLOOKUP(A286,iGRANTS!$B$8:$D$135,3,0)</f>
        <v>#N/A</v>
      </c>
      <c r="D286" s="723">
        <v>0</v>
      </c>
      <c r="E286" s="723">
        <f>VLOOKUP(A286,'Native American'!$A$2:$C$307,3,0)</f>
        <v>0</v>
      </c>
      <c r="F286" s="724"/>
      <c r="G286" s="724"/>
      <c r="H286" s="724"/>
    </row>
    <row r="287" spans="1:8">
      <c r="A287" s="722" t="s">
        <v>543</v>
      </c>
      <c r="B287" s="722" t="s">
        <v>1620</v>
      </c>
      <c r="C287" s="723" t="e">
        <f>VLOOKUP(A287,iGRANTS!$B$8:$D$135,3,0)</f>
        <v>#N/A</v>
      </c>
      <c r="D287" s="723">
        <v>0</v>
      </c>
      <c r="E287" s="723">
        <f>VLOOKUP(A287,'Native American'!$A$2:$C$307,3,0)</f>
        <v>2</v>
      </c>
      <c r="F287" s="724"/>
      <c r="G287" s="724"/>
      <c r="H287" s="724"/>
    </row>
    <row r="288" spans="1:8">
      <c r="A288" s="722" t="s">
        <v>545</v>
      </c>
      <c r="B288" s="722" t="s">
        <v>1621</v>
      </c>
      <c r="C288" s="723" t="e">
        <f>VLOOKUP(A288,iGRANTS!$B$8:$D$135,3,0)</f>
        <v>#N/A</v>
      </c>
      <c r="D288" s="723">
        <v>0</v>
      </c>
      <c r="E288" s="723">
        <f>VLOOKUP(A288,'Native American'!$A$2:$C$307,3,0)</f>
        <v>0</v>
      </c>
      <c r="F288" s="724"/>
      <c r="G288" s="724"/>
      <c r="H288" s="724"/>
    </row>
    <row r="289" spans="1:8">
      <c r="A289" s="722" t="s">
        <v>547</v>
      </c>
      <c r="B289" s="722" t="s">
        <v>1622</v>
      </c>
      <c r="C289" s="723" t="e">
        <f>VLOOKUP(A289,iGRANTS!$B$8:$D$135,3,0)</f>
        <v>#N/A</v>
      </c>
      <c r="D289" s="723">
        <v>0</v>
      </c>
      <c r="E289" s="723" t="e">
        <f>VLOOKUP(A289,'Native American'!$A$2:$C$307,3,0)</f>
        <v>#N/A</v>
      </c>
      <c r="F289" s="724"/>
      <c r="G289" s="724"/>
      <c r="H289" s="724"/>
    </row>
    <row r="290" spans="1:8">
      <c r="A290" s="722" t="s">
        <v>549</v>
      </c>
      <c r="B290" s="722" t="s">
        <v>1623</v>
      </c>
      <c r="C290" s="723">
        <f>VLOOKUP(A290,iGRANTS!$B$8:$D$135,3,0)</f>
        <v>47429</v>
      </c>
      <c r="D290" s="723">
        <v>0</v>
      </c>
      <c r="E290" s="723">
        <f>VLOOKUP(A290,'Native American'!$A$2:$C$307,3,0)</f>
        <v>0.67</v>
      </c>
      <c r="F290" s="724"/>
      <c r="G290" s="724"/>
      <c r="H290" s="724"/>
    </row>
    <row r="291" spans="1:8">
      <c r="A291" s="722" t="s">
        <v>551</v>
      </c>
      <c r="B291" s="722" t="s">
        <v>1624</v>
      </c>
      <c r="C291" s="723" t="e">
        <f>VLOOKUP(A291,iGRANTS!$B$8:$D$135,3,0)</f>
        <v>#N/A</v>
      </c>
      <c r="D291" s="723">
        <v>0</v>
      </c>
      <c r="E291" s="723">
        <f>VLOOKUP(A291,'Native American'!$A$2:$C$307,3,0)</f>
        <v>20</v>
      </c>
      <c r="F291" s="724"/>
      <c r="G291" s="724"/>
      <c r="H291" s="724"/>
    </row>
    <row r="292" spans="1:8">
      <c r="A292" s="722" t="s">
        <v>553</v>
      </c>
      <c r="B292" s="722" t="s">
        <v>639</v>
      </c>
      <c r="C292" s="723" t="e">
        <f>VLOOKUP(A292,iGRANTS!$B$8:$D$135,3,0)</f>
        <v>#N/A</v>
      </c>
      <c r="D292" s="723">
        <v>0</v>
      </c>
      <c r="E292" s="723">
        <f>VLOOKUP(A292,'Native American'!$A$2:$C$307,3,0)</f>
        <v>0</v>
      </c>
      <c r="F292" s="724"/>
      <c r="G292" s="724"/>
      <c r="H292" s="724"/>
    </row>
    <row r="293" spans="1:8">
      <c r="A293" s="722" t="s">
        <v>555</v>
      </c>
      <c r="B293" s="722" t="s">
        <v>1625</v>
      </c>
      <c r="C293" s="723">
        <f>VLOOKUP(A293,iGRANTS!$B$8:$D$135,3,0)</f>
        <v>156726</v>
      </c>
      <c r="D293" s="723">
        <v>0</v>
      </c>
      <c r="E293" s="723">
        <f>VLOOKUP(A293,'Native American'!$A$2:$C$307,3,0)</f>
        <v>0</v>
      </c>
      <c r="F293" s="724"/>
      <c r="G293" s="724"/>
      <c r="H293" s="724"/>
    </row>
    <row r="294" spans="1:8">
      <c r="A294" s="722" t="s">
        <v>557</v>
      </c>
      <c r="B294" s="722" t="s">
        <v>1626</v>
      </c>
      <c r="C294" s="723" t="e">
        <f>VLOOKUP(A294,iGRANTS!$B$8:$D$135,3,0)</f>
        <v>#N/A</v>
      </c>
      <c r="D294" s="723">
        <v>0</v>
      </c>
      <c r="E294" s="723">
        <f>VLOOKUP(A294,'Native American'!$A$2:$C$307,3,0)</f>
        <v>4</v>
      </c>
      <c r="F294" s="724"/>
      <c r="G294" s="724"/>
      <c r="H294" s="724"/>
    </row>
    <row r="295" spans="1:8">
      <c r="A295" s="722" t="s">
        <v>559</v>
      </c>
      <c r="B295" s="722" t="s">
        <v>633</v>
      </c>
      <c r="C295" s="723" t="e">
        <f>VLOOKUP(A295,iGRANTS!$B$8:$D$135,3,0)</f>
        <v>#N/A</v>
      </c>
      <c r="D295" s="723">
        <v>0</v>
      </c>
      <c r="E295" s="723">
        <f>VLOOKUP(A295,'Native American'!$A$2:$C$307,3,0)</f>
        <v>203.17</v>
      </c>
      <c r="F295" s="724"/>
      <c r="G295" s="724"/>
      <c r="H295" s="724"/>
    </row>
    <row r="296" spans="1:8">
      <c r="A296" s="722" t="s">
        <v>561</v>
      </c>
      <c r="B296" s="722" t="s">
        <v>1627</v>
      </c>
      <c r="C296" s="723">
        <f>VLOOKUP(A296,iGRANTS!$B$8:$D$135,3,0)</f>
        <v>40040</v>
      </c>
      <c r="D296" s="723">
        <v>0</v>
      </c>
      <c r="E296" s="723">
        <f>VLOOKUP(A296,'Native American'!$A$2:$C$307,3,0)</f>
        <v>0</v>
      </c>
      <c r="F296" s="724"/>
      <c r="G296" s="724"/>
      <c r="H296" s="724"/>
    </row>
    <row r="297" spans="1:8">
      <c r="A297" s="722" t="s">
        <v>563</v>
      </c>
      <c r="B297" s="722" t="s">
        <v>1628</v>
      </c>
      <c r="C297" s="723"/>
      <c r="D297" s="723">
        <v>0</v>
      </c>
      <c r="E297" s="723">
        <f>VLOOKUP(A297,'Native American'!$A$2:$C$307,3,0)</f>
        <v>0</v>
      </c>
      <c r="F297" s="724"/>
      <c r="G297" s="724"/>
      <c r="H297" s="724"/>
    </row>
    <row r="298" spans="1:8">
      <c r="A298" s="722" t="s">
        <v>565</v>
      </c>
      <c r="B298" s="722" t="s">
        <v>1629</v>
      </c>
      <c r="C298" s="723"/>
      <c r="D298" s="723">
        <v>0</v>
      </c>
      <c r="E298" s="723" t="e">
        <f>VLOOKUP(A298,'Native American'!$A$2:$C$307,3,0)</f>
        <v>#N/A</v>
      </c>
      <c r="F298" s="724"/>
      <c r="G298" s="724"/>
      <c r="H298" s="724"/>
    </row>
    <row r="299" spans="1:8">
      <c r="A299" s="722" t="s">
        <v>567</v>
      </c>
      <c r="B299" s="722" t="s">
        <v>1630</v>
      </c>
      <c r="C299" s="723"/>
      <c r="D299" s="723">
        <v>0</v>
      </c>
      <c r="E299" s="723">
        <f>VLOOKUP(A299,'Native American'!$A$2:$C$307,3,0)</f>
        <v>447.33</v>
      </c>
      <c r="F299" s="724"/>
      <c r="G299" s="724"/>
      <c r="H299" s="724"/>
    </row>
    <row r="300" spans="1:8">
      <c r="A300" s="722" t="s">
        <v>569</v>
      </c>
      <c r="B300" s="722" t="s">
        <v>1631</v>
      </c>
      <c r="C300" s="723"/>
      <c r="D300" s="723">
        <v>0</v>
      </c>
      <c r="E300" s="723">
        <f>VLOOKUP(A300,'Native American'!$A$2:$C$307,3,0)</f>
        <v>15.83</v>
      </c>
      <c r="F300" s="724"/>
      <c r="G300" s="724"/>
      <c r="H300" s="724"/>
    </row>
    <row r="301" spans="1:8">
      <c r="A301" s="722" t="s">
        <v>571</v>
      </c>
      <c r="B301" s="722" t="s">
        <v>1632</v>
      </c>
      <c r="C301" s="723"/>
      <c r="D301" s="723">
        <v>0</v>
      </c>
      <c r="E301" s="723">
        <f>VLOOKUP(A301,'Native American'!$A$2:$C$307,3,0)</f>
        <v>302.67</v>
      </c>
      <c r="F301" s="724"/>
      <c r="G301" s="724"/>
      <c r="H301" s="724"/>
    </row>
    <row r="302" spans="1:8">
      <c r="A302" s="722" t="s">
        <v>1659</v>
      </c>
      <c r="B302" s="722" t="s">
        <v>1150</v>
      </c>
      <c r="C302" s="723"/>
      <c r="D302" s="723">
        <v>0</v>
      </c>
      <c r="E302" s="723" t="e">
        <f>VLOOKUP(A302,'Native American'!$A$2:$C$307,3,0)</f>
        <v>#N/A</v>
      </c>
      <c r="F302" s="724"/>
      <c r="G302" s="724"/>
      <c r="H302" s="724"/>
    </row>
    <row r="303" spans="1:8">
      <c r="A303" s="722" t="s">
        <v>1660</v>
      </c>
      <c r="B303" s="722" t="s">
        <v>1661</v>
      </c>
      <c r="C303" s="723"/>
      <c r="D303" s="723">
        <v>0</v>
      </c>
      <c r="E303" s="723" t="e">
        <f>VLOOKUP(A303,'Native American'!$A$2:$C$307,3,0)</f>
        <v>#N/A</v>
      </c>
      <c r="F303" s="724"/>
      <c r="G303" s="724"/>
      <c r="H303" s="724"/>
    </row>
    <row r="304" spans="1:8">
      <c r="A304" s="722" t="s">
        <v>1662</v>
      </c>
      <c r="B304" s="722" t="s">
        <v>1663</v>
      </c>
      <c r="C304" s="723"/>
      <c r="D304" s="723">
        <v>0</v>
      </c>
      <c r="E304" s="723" t="e">
        <f>VLOOKUP(A304,'Native American'!$A$2:$C$307,3,0)</f>
        <v>#N/A</v>
      </c>
      <c r="F304" s="724"/>
      <c r="G304" s="724"/>
      <c r="H304" s="724"/>
    </row>
    <row r="305" spans="1:8">
      <c r="A305" s="722" t="s">
        <v>1664</v>
      </c>
      <c r="B305" s="722" t="s">
        <v>1665</v>
      </c>
      <c r="C305" s="723"/>
      <c r="D305" s="723">
        <v>0</v>
      </c>
      <c r="E305" s="723" t="e">
        <f>VLOOKUP(A305,'Native American'!$A$2:$C$307,3,0)</f>
        <v>#N/A</v>
      </c>
      <c r="F305" s="724"/>
      <c r="G305" s="724"/>
      <c r="H305" s="724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J297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/>
  <cols>
    <col min="1" max="1" width="10" style="725" bestFit="1" customWidth="1"/>
    <col min="2" max="2" width="20.5703125" style="725" bestFit="1" customWidth="1"/>
    <col min="3" max="3" width="12.42578125" style="725" customWidth="1"/>
    <col min="4" max="4" width="7.42578125" style="725" bestFit="1" customWidth="1"/>
    <col min="5" max="5" width="10.42578125" style="725" customWidth="1"/>
    <col min="6" max="6" width="12.140625" style="725" bestFit="1" customWidth="1"/>
    <col min="7" max="7" width="17.42578125" style="725" bestFit="1" customWidth="1"/>
    <col min="8" max="16384" width="9.140625" style="725"/>
  </cols>
  <sheetData>
    <row r="1" spans="1:8" s="721" customFormat="1" ht="30">
      <c r="A1" s="717" t="s">
        <v>709</v>
      </c>
      <c r="B1" s="717" t="s">
        <v>578</v>
      </c>
      <c r="C1" s="718" t="s">
        <v>885</v>
      </c>
      <c r="D1" s="718" t="s">
        <v>833</v>
      </c>
      <c r="E1" s="719" t="s">
        <v>720</v>
      </c>
      <c r="F1" s="718" t="s">
        <v>755</v>
      </c>
      <c r="G1" s="720" t="s">
        <v>1349</v>
      </c>
      <c r="H1" s="720"/>
    </row>
    <row r="2" spans="1:8">
      <c r="A2" s="722" t="s">
        <v>230</v>
      </c>
      <c r="B2" s="722" t="s">
        <v>231</v>
      </c>
      <c r="C2" s="723">
        <v>2325</v>
      </c>
      <c r="D2" s="723"/>
      <c r="E2" s="723">
        <v>2</v>
      </c>
      <c r="F2" s="724" t="s">
        <v>1264</v>
      </c>
      <c r="G2" s="724" t="s">
        <v>681</v>
      </c>
      <c r="H2" s="724"/>
    </row>
    <row r="3" spans="1:8">
      <c r="A3" s="722" t="s">
        <v>222</v>
      </c>
      <c r="B3" s="722" t="s">
        <v>223</v>
      </c>
      <c r="C3" s="723">
        <v>1737</v>
      </c>
      <c r="D3" s="723"/>
      <c r="E3" s="723"/>
      <c r="F3" s="724" t="s">
        <v>1264</v>
      </c>
      <c r="G3" s="724" t="s">
        <v>681</v>
      </c>
      <c r="H3" s="724"/>
    </row>
    <row r="4" spans="1:8">
      <c r="A4" s="722" t="s">
        <v>246</v>
      </c>
      <c r="B4" s="722" t="s">
        <v>247</v>
      </c>
      <c r="C4" s="723">
        <v>4427</v>
      </c>
      <c r="D4" s="723"/>
      <c r="E4" s="723"/>
      <c r="F4" s="724" t="s">
        <v>1264</v>
      </c>
      <c r="G4" s="724" t="s">
        <v>681</v>
      </c>
      <c r="H4" s="724"/>
    </row>
    <row r="5" spans="1:8">
      <c r="A5" s="722" t="s">
        <v>228</v>
      </c>
      <c r="B5" s="722" t="s">
        <v>229</v>
      </c>
      <c r="C5" s="723">
        <v>8351</v>
      </c>
      <c r="D5" s="723"/>
      <c r="E5" s="723"/>
      <c r="F5" s="724" t="s">
        <v>1264</v>
      </c>
      <c r="G5" s="724" t="s">
        <v>681</v>
      </c>
      <c r="H5" s="724"/>
    </row>
    <row r="6" spans="1:8">
      <c r="A6" s="722" t="s">
        <v>545</v>
      </c>
      <c r="B6" s="722" t="s">
        <v>546</v>
      </c>
      <c r="C6" s="723">
        <v>10873</v>
      </c>
      <c r="D6" s="723"/>
      <c r="E6" s="723"/>
      <c r="F6" s="724" t="s">
        <v>1264</v>
      </c>
      <c r="G6" s="724" t="s">
        <v>681</v>
      </c>
      <c r="H6" s="724"/>
    </row>
    <row r="7" spans="1:8">
      <c r="A7" s="722" t="s">
        <v>353</v>
      </c>
      <c r="B7" s="722" t="s">
        <v>354</v>
      </c>
      <c r="C7" s="723">
        <v>3502</v>
      </c>
      <c r="D7" s="723"/>
      <c r="E7" s="723"/>
      <c r="F7" s="738" t="s">
        <v>1264</v>
      </c>
      <c r="G7" s="738" t="s">
        <v>1362</v>
      </c>
      <c r="H7" s="724"/>
    </row>
    <row r="8" spans="1:8">
      <c r="A8" s="726" t="s">
        <v>183</v>
      </c>
      <c r="B8" s="726" t="s">
        <v>184</v>
      </c>
      <c r="C8" s="723">
        <v>6024</v>
      </c>
      <c r="D8" s="723"/>
      <c r="E8" s="723"/>
      <c r="F8" s="724"/>
      <c r="G8" s="724" t="s">
        <v>1358</v>
      </c>
      <c r="H8" s="724"/>
    </row>
    <row r="9" spans="1:8">
      <c r="A9" s="722" t="s">
        <v>86</v>
      </c>
      <c r="B9" s="722" t="s">
        <v>87</v>
      </c>
      <c r="C9" s="723">
        <v>1710</v>
      </c>
      <c r="D9" s="723"/>
      <c r="E9" s="723"/>
      <c r="F9" s="724" t="s">
        <v>1264</v>
      </c>
      <c r="G9" s="724" t="s">
        <v>1355</v>
      </c>
      <c r="H9" s="724"/>
    </row>
    <row r="10" spans="1:8">
      <c r="A10" s="722" t="s">
        <v>317</v>
      </c>
      <c r="B10" s="722" t="s">
        <v>318</v>
      </c>
      <c r="C10" s="723">
        <v>6165</v>
      </c>
      <c r="D10" s="723"/>
      <c r="E10" s="723"/>
      <c r="F10" s="724" t="s">
        <v>1264</v>
      </c>
      <c r="G10" s="724" t="s">
        <v>1355</v>
      </c>
      <c r="H10" s="724"/>
    </row>
    <row r="11" spans="1:8">
      <c r="A11" s="722" t="s">
        <v>92</v>
      </c>
      <c r="B11" s="722" t="s">
        <v>93</v>
      </c>
      <c r="C11" s="723">
        <v>869</v>
      </c>
      <c r="D11" s="723"/>
      <c r="E11" s="723"/>
      <c r="F11" s="724" t="s">
        <v>1264</v>
      </c>
      <c r="G11" s="724" t="s">
        <v>1355</v>
      </c>
      <c r="H11" s="724"/>
    </row>
    <row r="12" spans="1:8">
      <c r="A12" s="722" t="s">
        <v>29</v>
      </c>
      <c r="B12" s="722" t="s">
        <v>30</v>
      </c>
      <c r="C12" s="723">
        <v>7705</v>
      </c>
      <c r="D12" s="723"/>
      <c r="E12" s="723"/>
      <c r="F12" s="724" t="s">
        <v>1264</v>
      </c>
      <c r="G12" s="724" t="s">
        <v>1352</v>
      </c>
      <c r="H12" s="724"/>
    </row>
    <row r="13" spans="1:8">
      <c r="A13" s="722" t="s">
        <v>51</v>
      </c>
      <c r="B13" s="722" t="s">
        <v>52</v>
      </c>
      <c r="C13" s="723">
        <v>2270</v>
      </c>
      <c r="D13" s="723"/>
      <c r="E13" s="723"/>
      <c r="F13" s="727" t="s">
        <v>1264</v>
      </c>
      <c r="G13" s="722" t="s">
        <v>57</v>
      </c>
      <c r="H13" s="724"/>
    </row>
    <row r="14" spans="1:8">
      <c r="A14" s="722" t="s">
        <v>64</v>
      </c>
      <c r="B14" s="722" t="s">
        <v>65</v>
      </c>
      <c r="C14" s="723">
        <v>10116</v>
      </c>
      <c r="D14" s="723"/>
      <c r="E14" s="723"/>
      <c r="F14" s="727" t="s">
        <v>1264</v>
      </c>
      <c r="G14" s="722" t="s">
        <v>57</v>
      </c>
      <c r="H14" s="724"/>
    </row>
    <row r="15" spans="1:8">
      <c r="A15" s="722" t="s">
        <v>56</v>
      </c>
      <c r="B15" s="722" t="s">
        <v>57</v>
      </c>
      <c r="C15" s="723">
        <v>10676</v>
      </c>
      <c r="D15" s="723"/>
      <c r="E15" s="723"/>
      <c r="F15" s="728" t="s">
        <v>1264</v>
      </c>
      <c r="G15" s="722" t="s">
        <v>1361</v>
      </c>
      <c r="H15" s="724"/>
    </row>
    <row r="16" spans="1:8">
      <c r="A16" s="722" t="s">
        <v>16</v>
      </c>
      <c r="B16" s="722" t="s">
        <v>17</v>
      </c>
      <c r="C16" s="723">
        <v>6081</v>
      </c>
      <c r="D16" s="723"/>
      <c r="E16" s="723"/>
      <c r="F16" s="724" t="s">
        <v>1264</v>
      </c>
      <c r="G16" s="724" t="s">
        <v>604</v>
      </c>
      <c r="H16" s="724"/>
    </row>
    <row r="17" spans="1:8">
      <c r="A17" s="722" t="s">
        <v>112</v>
      </c>
      <c r="B17" s="722" t="s">
        <v>113</v>
      </c>
      <c r="C17" s="723">
        <v>420</v>
      </c>
      <c r="D17" s="723"/>
      <c r="E17" s="723"/>
      <c r="F17" s="728" t="s">
        <v>1264</v>
      </c>
      <c r="G17" s="724" t="s">
        <v>604</v>
      </c>
      <c r="H17" s="724"/>
    </row>
    <row r="18" spans="1:8">
      <c r="A18" s="722" t="s">
        <v>496</v>
      </c>
      <c r="B18" s="722" t="s">
        <v>497</v>
      </c>
      <c r="C18" s="723">
        <v>3586</v>
      </c>
      <c r="D18" s="723"/>
      <c r="E18" s="723"/>
      <c r="F18" s="724" t="s">
        <v>1264</v>
      </c>
      <c r="G18" s="724" t="s">
        <v>604</v>
      </c>
      <c r="H18" s="724"/>
    </row>
    <row r="19" spans="1:8">
      <c r="A19" s="722" t="s">
        <v>145</v>
      </c>
      <c r="B19" s="722" t="s">
        <v>146</v>
      </c>
      <c r="C19" s="723">
        <v>7734</v>
      </c>
      <c r="D19" s="723">
        <v>19</v>
      </c>
      <c r="E19" s="723">
        <v>19</v>
      </c>
      <c r="F19" s="724" t="s">
        <v>1264</v>
      </c>
      <c r="G19" s="724" t="s">
        <v>1356</v>
      </c>
      <c r="H19" s="724"/>
    </row>
    <row r="20" spans="1:8">
      <c r="A20" s="722" t="s">
        <v>486</v>
      </c>
      <c r="B20" s="722" t="s">
        <v>487</v>
      </c>
      <c r="C20" s="723">
        <v>1765</v>
      </c>
      <c r="D20" s="723"/>
      <c r="E20" s="723"/>
      <c r="F20" s="724" t="s">
        <v>1264</v>
      </c>
      <c r="G20" s="724" t="s">
        <v>1356</v>
      </c>
      <c r="H20" s="724"/>
    </row>
    <row r="21" spans="1:8">
      <c r="A21" s="722" t="s">
        <v>258</v>
      </c>
      <c r="B21" s="722" t="s">
        <v>259</v>
      </c>
      <c r="C21" s="723">
        <v>8855</v>
      </c>
      <c r="D21" s="723"/>
      <c r="E21" s="723"/>
      <c r="F21" s="724" t="s">
        <v>1264</v>
      </c>
      <c r="G21" s="724" t="s">
        <v>1353</v>
      </c>
      <c r="H21" s="724"/>
    </row>
    <row r="22" spans="1:8">
      <c r="A22" s="722" t="s">
        <v>327</v>
      </c>
      <c r="B22" s="722" t="s">
        <v>328</v>
      </c>
      <c r="C22" s="723">
        <v>9975</v>
      </c>
      <c r="D22" s="723"/>
      <c r="E22" s="723"/>
      <c r="F22" s="724" t="s">
        <v>1264</v>
      </c>
      <c r="G22" s="724" t="s">
        <v>712</v>
      </c>
      <c r="H22" s="724"/>
    </row>
    <row r="23" spans="1:8">
      <c r="A23" s="722" t="s">
        <v>325</v>
      </c>
      <c r="B23" s="722" t="s">
        <v>326</v>
      </c>
      <c r="C23" s="723">
        <v>7229</v>
      </c>
      <c r="D23" s="723"/>
      <c r="E23" s="723"/>
      <c r="F23" s="724" t="s">
        <v>1264</v>
      </c>
      <c r="G23" s="724" t="s">
        <v>1354</v>
      </c>
      <c r="H23" s="724"/>
    </row>
    <row r="24" spans="1:8">
      <c r="A24" s="722" t="s">
        <v>373</v>
      </c>
      <c r="B24" s="722" t="s">
        <v>374</v>
      </c>
      <c r="C24" s="723">
        <v>2409</v>
      </c>
      <c r="D24" s="723"/>
      <c r="E24" s="723"/>
      <c r="F24" s="724" t="s">
        <v>1264</v>
      </c>
      <c r="G24" s="724" t="s">
        <v>1269</v>
      </c>
      <c r="H24" s="724"/>
    </row>
    <row r="25" spans="1:8">
      <c r="A25" s="722" t="s">
        <v>372</v>
      </c>
      <c r="B25" s="722" t="s">
        <v>613</v>
      </c>
      <c r="C25" s="723">
        <v>3867</v>
      </c>
      <c r="D25" s="723"/>
      <c r="E25" s="723"/>
      <c r="F25" s="724" t="s">
        <v>1264</v>
      </c>
      <c r="G25" s="724" t="s">
        <v>1269</v>
      </c>
      <c r="H25" s="724"/>
    </row>
    <row r="26" spans="1:8">
      <c r="A26" s="722" t="s">
        <v>375</v>
      </c>
      <c r="B26" s="722" t="s">
        <v>614</v>
      </c>
      <c r="C26" s="723">
        <v>6585</v>
      </c>
      <c r="D26" s="723"/>
      <c r="E26" s="723"/>
      <c r="F26" s="724" t="s">
        <v>1264</v>
      </c>
      <c r="G26" s="724" t="s">
        <v>1357</v>
      </c>
      <c r="H26" s="724"/>
    </row>
    <row r="27" spans="1:8">
      <c r="A27" s="722" t="s">
        <v>132</v>
      </c>
      <c r="B27" s="722" t="s">
        <v>133</v>
      </c>
      <c r="C27" s="723">
        <v>57638</v>
      </c>
      <c r="D27" s="723">
        <v>21</v>
      </c>
      <c r="E27" s="723">
        <v>36</v>
      </c>
      <c r="F27" s="724" t="s">
        <v>781</v>
      </c>
      <c r="G27" s="724"/>
      <c r="H27" s="724"/>
    </row>
    <row r="28" spans="1:8">
      <c r="A28" s="722" t="s">
        <v>262</v>
      </c>
      <c r="B28" s="722" t="s">
        <v>263</v>
      </c>
      <c r="C28" s="723">
        <v>0</v>
      </c>
      <c r="D28" s="723"/>
      <c r="E28" s="723"/>
      <c r="F28" s="724"/>
      <c r="G28" s="724"/>
      <c r="H28" s="724"/>
    </row>
    <row r="29" spans="1:8">
      <c r="A29" s="722" t="s">
        <v>283</v>
      </c>
      <c r="B29" s="722" t="s">
        <v>284</v>
      </c>
      <c r="C29" s="723">
        <v>0</v>
      </c>
      <c r="D29" s="723"/>
      <c r="E29" s="723"/>
      <c r="F29" s="724"/>
      <c r="G29" s="724"/>
      <c r="H29" s="724"/>
    </row>
    <row r="30" spans="1:8">
      <c r="A30" s="726" t="s">
        <v>380</v>
      </c>
      <c r="B30" s="726" t="s">
        <v>381</v>
      </c>
      <c r="C30" s="723">
        <v>8742</v>
      </c>
      <c r="D30" s="723"/>
      <c r="E30" s="723"/>
      <c r="F30" s="724" t="s">
        <v>1350</v>
      </c>
      <c r="G30" s="724"/>
      <c r="H30" s="724"/>
    </row>
    <row r="31" spans="1:8">
      <c r="A31" s="722" t="s">
        <v>403</v>
      </c>
      <c r="B31" s="722" t="s">
        <v>404</v>
      </c>
      <c r="C31" s="723">
        <v>30879</v>
      </c>
      <c r="D31" s="723"/>
      <c r="E31" s="723"/>
      <c r="F31" s="724" t="s">
        <v>781</v>
      </c>
      <c r="G31" s="724"/>
      <c r="H31" s="724"/>
    </row>
    <row r="32" spans="1:8">
      <c r="A32" s="722" t="s">
        <v>12</v>
      </c>
      <c r="B32" s="722" t="s">
        <v>13</v>
      </c>
      <c r="C32" s="723">
        <v>168</v>
      </c>
      <c r="D32" s="723"/>
      <c r="E32" s="723"/>
      <c r="F32" s="724" t="s">
        <v>785</v>
      </c>
      <c r="G32" s="724"/>
      <c r="H32" s="724"/>
    </row>
    <row r="33" spans="1:8">
      <c r="A33" s="722" t="s">
        <v>195</v>
      </c>
      <c r="B33" s="722" t="s">
        <v>196</v>
      </c>
      <c r="C33" s="723">
        <v>331623</v>
      </c>
      <c r="D33" s="723"/>
      <c r="E33" s="723">
        <v>43</v>
      </c>
      <c r="F33" s="738" t="s">
        <v>1264</v>
      </c>
      <c r="G33" s="738" t="s">
        <v>1362</v>
      </c>
      <c r="H33" s="724"/>
    </row>
    <row r="34" spans="1:8">
      <c r="A34" s="722" t="s">
        <v>213</v>
      </c>
      <c r="B34" s="722" t="s">
        <v>598</v>
      </c>
      <c r="C34" s="723">
        <v>3502</v>
      </c>
      <c r="D34" s="723"/>
      <c r="E34" s="723"/>
      <c r="F34" s="724" t="s">
        <v>785</v>
      </c>
      <c r="G34" s="724"/>
      <c r="H34" s="724"/>
    </row>
    <row r="35" spans="1:8">
      <c r="A35" s="722" t="s">
        <v>62</v>
      </c>
      <c r="B35" s="729" t="s">
        <v>63</v>
      </c>
      <c r="C35" s="723">
        <v>111773</v>
      </c>
      <c r="D35" s="723"/>
      <c r="E35" s="723">
        <v>19</v>
      </c>
      <c r="F35" s="724" t="s">
        <v>781</v>
      </c>
      <c r="G35" s="724"/>
      <c r="H35" s="724"/>
    </row>
    <row r="36" spans="1:8">
      <c r="A36" s="722" t="s">
        <v>189</v>
      </c>
      <c r="B36" s="722" t="s">
        <v>190</v>
      </c>
      <c r="C36" s="723">
        <v>317388</v>
      </c>
      <c r="D36" s="723">
        <v>17</v>
      </c>
      <c r="E36" s="723">
        <v>13</v>
      </c>
      <c r="F36" s="724" t="s">
        <v>781</v>
      </c>
      <c r="G36" s="724"/>
      <c r="H36" s="724"/>
    </row>
    <row r="37" spans="1:8">
      <c r="A37" s="722" t="s">
        <v>504</v>
      </c>
      <c r="B37" s="722" t="s">
        <v>505</v>
      </c>
      <c r="C37" s="723">
        <v>104265</v>
      </c>
      <c r="D37" s="723">
        <v>15</v>
      </c>
      <c r="E37" s="723"/>
      <c r="F37" s="724" t="s">
        <v>781</v>
      </c>
      <c r="G37" s="724"/>
      <c r="H37" s="724"/>
    </row>
    <row r="38" spans="1:8">
      <c r="A38" s="722" t="s">
        <v>2</v>
      </c>
      <c r="B38" s="722" t="s">
        <v>3</v>
      </c>
      <c r="C38" s="723">
        <v>0</v>
      </c>
      <c r="D38" s="723"/>
      <c r="E38" s="723"/>
      <c r="F38" s="724"/>
      <c r="G38" s="724"/>
      <c r="H38" s="730"/>
    </row>
    <row r="39" spans="1:8">
      <c r="A39" s="722" t="s">
        <v>363</v>
      </c>
      <c r="B39" s="722" t="s">
        <v>364</v>
      </c>
      <c r="C39" s="723">
        <v>47692</v>
      </c>
      <c r="D39" s="723"/>
      <c r="E39" s="723"/>
      <c r="F39" s="724" t="s">
        <v>781</v>
      </c>
      <c r="G39" s="724"/>
      <c r="H39" s="724"/>
    </row>
    <row r="40" spans="1:8">
      <c r="A40" s="722" t="s">
        <v>234</v>
      </c>
      <c r="B40" s="722" t="s">
        <v>235</v>
      </c>
      <c r="C40" s="723">
        <v>0</v>
      </c>
      <c r="D40" s="723"/>
      <c r="E40" s="723"/>
      <c r="F40" s="724"/>
      <c r="G40" s="724"/>
      <c r="H40" s="724"/>
    </row>
    <row r="41" spans="1:8">
      <c r="A41" s="722" t="s">
        <v>508</v>
      </c>
      <c r="B41" s="722" t="s">
        <v>509</v>
      </c>
      <c r="C41" s="723">
        <v>13926</v>
      </c>
      <c r="D41" s="723"/>
      <c r="E41" s="723">
        <v>1</v>
      </c>
      <c r="F41" s="724" t="s">
        <v>781</v>
      </c>
      <c r="G41" s="724"/>
      <c r="H41" s="724"/>
    </row>
    <row r="42" spans="1:8">
      <c r="A42" s="722" t="s">
        <v>266</v>
      </c>
      <c r="B42" s="722" t="s">
        <v>267</v>
      </c>
      <c r="C42" s="723">
        <v>0</v>
      </c>
      <c r="D42" s="723"/>
      <c r="E42" s="723"/>
      <c r="F42" s="724"/>
      <c r="G42" s="724"/>
      <c r="H42" s="724"/>
    </row>
    <row r="43" spans="1:8">
      <c r="A43" s="722" t="s">
        <v>211</v>
      </c>
      <c r="B43" s="722" t="s">
        <v>212</v>
      </c>
      <c r="C43" s="723">
        <v>24882</v>
      </c>
      <c r="D43" s="723"/>
      <c r="E43" s="723">
        <v>1</v>
      </c>
      <c r="F43" s="724" t="s">
        <v>781</v>
      </c>
      <c r="G43" s="724"/>
      <c r="H43" s="724"/>
    </row>
    <row r="44" spans="1:8">
      <c r="A44" s="722" t="s">
        <v>315</v>
      </c>
      <c r="B44" s="722" t="s">
        <v>316</v>
      </c>
      <c r="C44" s="723">
        <v>67137</v>
      </c>
      <c r="D44" s="723"/>
      <c r="E44" s="723"/>
      <c r="F44" s="724" t="s">
        <v>781</v>
      </c>
      <c r="G44" s="724"/>
      <c r="H44" s="724"/>
    </row>
    <row r="45" spans="1:8">
      <c r="A45" s="722" t="s">
        <v>84</v>
      </c>
      <c r="B45" s="722" t="s">
        <v>85</v>
      </c>
      <c r="C45" s="723">
        <v>53014</v>
      </c>
      <c r="D45" s="723"/>
      <c r="E45" s="723"/>
      <c r="F45" s="724" t="s">
        <v>781</v>
      </c>
      <c r="G45" s="724"/>
      <c r="H45" s="724"/>
    </row>
    <row r="46" spans="1:8">
      <c r="A46" s="722" t="s">
        <v>165</v>
      </c>
      <c r="B46" s="722" t="s">
        <v>166</v>
      </c>
      <c r="C46" s="723">
        <v>336</v>
      </c>
      <c r="D46" s="723"/>
      <c r="E46" s="723"/>
      <c r="F46" s="724" t="s">
        <v>785</v>
      </c>
      <c r="G46" s="724"/>
      <c r="H46" s="724"/>
    </row>
    <row r="47" spans="1:8">
      <c r="A47" s="722" t="s">
        <v>378</v>
      </c>
      <c r="B47" s="722" t="s">
        <v>602</v>
      </c>
      <c r="C47" s="723">
        <v>111101</v>
      </c>
      <c r="D47" s="723"/>
      <c r="E47" s="723"/>
      <c r="F47" s="724" t="s">
        <v>781</v>
      </c>
      <c r="G47" s="724"/>
      <c r="H47" s="724"/>
    </row>
    <row r="48" spans="1:8">
      <c r="A48" s="722" t="s">
        <v>60</v>
      </c>
      <c r="B48" s="722" t="s">
        <v>61</v>
      </c>
      <c r="C48" s="723">
        <v>18213</v>
      </c>
      <c r="D48" s="723"/>
      <c r="E48" s="723"/>
      <c r="F48" s="724" t="s">
        <v>781</v>
      </c>
      <c r="G48" s="724"/>
      <c r="H48" s="724"/>
    </row>
    <row r="49" spans="1:8">
      <c r="A49" s="722" t="s">
        <v>45</v>
      </c>
      <c r="B49" s="722" t="s">
        <v>46</v>
      </c>
      <c r="C49" s="723">
        <v>0</v>
      </c>
      <c r="D49" s="723"/>
      <c r="E49" s="723"/>
      <c r="F49" s="724"/>
      <c r="G49" s="724"/>
      <c r="H49" s="724"/>
    </row>
    <row r="50" spans="1:8">
      <c r="A50" s="722" t="s">
        <v>347</v>
      </c>
      <c r="B50" s="722" t="s">
        <v>348</v>
      </c>
      <c r="C50" s="723">
        <v>0</v>
      </c>
      <c r="D50" s="723"/>
      <c r="E50" s="723"/>
      <c r="F50" s="724"/>
      <c r="G50" s="724"/>
      <c r="H50" s="724"/>
    </row>
    <row r="51" spans="1:8">
      <c r="A51" s="722" t="s">
        <v>35</v>
      </c>
      <c r="B51" s="722" t="s">
        <v>36</v>
      </c>
      <c r="C51" s="723">
        <v>29477</v>
      </c>
      <c r="D51" s="723"/>
      <c r="E51" s="723"/>
      <c r="F51" s="724" t="s">
        <v>781</v>
      </c>
      <c r="G51" s="724"/>
      <c r="H51" s="724"/>
    </row>
    <row r="52" spans="1:8">
      <c r="A52" s="722" t="s">
        <v>33</v>
      </c>
      <c r="B52" s="722" t="s">
        <v>34</v>
      </c>
      <c r="C52" s="723">
        <v>36987</v>
      </c>
      <c r="D52" s="723"/>
      <c r="E52" s="723">
        <v>5</v>
      </c>
      <c r="F52" s="724" t="s">
        <v>781</v>
      </c>
      <c r="G52" s="724"/>
      <c r="H52" s="724"/>
    </row>
    <row r="53" spans="1:8">
      <c r="A53" s="722" t="s">
        <v>74</v>
      </c>
      <c r="B53" s="722" t="s">
        <v>75</v>
      </c>
      <c r="C53" s="723">
        <v>4707</v>
      </c>
      <c r="D53" s="723"/>
      <c r="E53" s="723"/>
      <c r="F53" s="724" t="s">
        <v>1350</v>
      </c>
      <c r="G53" s="724"/>
      <c r="H53" s="724"/>
    </row>
    <row r="54" spans="1:8">
      <c r="A54" s="722" t="s">
        <v>236</v>
      </c>
      <c r="B54" s="722" t="s">
        <v>237</v>
      </c>
      <c r="C54" s="723">
        <v>0</v>
      </c>
      <c r="D54" s="723"/>
      <c r="E54" s="723"/>
      <c r="F54" s="724"/>
      <c r="G54" s="724"/>
      <c r="H54" s="724"/>
    </row>
    <row r="55" spans="1:8">
      <c r="A55" s="722" t="s">
        <v>216</v>
      </c>
      <c r="B55" s="722" t="s">
        <v>217</v>
      </c>
      <c r="C55" s="723">
        <v>37547</v>
      </c>
      <c r="D55" s="723"/>
      <c r="E55" s="723"/>
      <c r="F55" s="724" t="s">
        <v>781</v>
      </c>
      <c r="G55" s="724"/>
      <c r="H55" s="724"/>
    </row>
    <row r="56" spans="1:8">
      <c r="A56" s="722" t="s">
        <v>434</v>
      </c>
      <c r="B56" s="722" t="s">
        <v>435</v>
      </c>
      <c r="C56" s="723">
        <v>51165</v>
      </c>
      <c r="D56" s="723">
        <v>1</v>
      </c>
      <c r="E56" s="723"/>
      <c r="F56" s="724" t="s">
        <v>781</v>
      </c>
      <c r="G56" s="724"/>
      <c r="H56" s="724"/>
    </row>
    <row r="57" spans="1:8">
      <c r="A57" s="722" t="s">
        <v>278</v>
      </c>
      <c r="B57" s="722" t="s">
        <v>279</v>
      </c>
      <c r="C57" s="723">
        <v>50605</v>
      </c>
      <c r="D57" s="723"/>
      <c r="E57" s="723"/>
      <c r="F57" s="724" t="s">
        <v>781</v>
      </c>
      <c r="G57" s="724"/>
      <c r="H57" s="724"/>
    </row>
    <row r="58" spans="1:8">
      <c r="A58" s="722" t="s">
        <v>274</v>
      </c>
      <c r="B58" s="722" t="s">
        <v>275</v>
      </c>
      <c r="C58" s="723">
        <v>14487</v>
      </c>
      <c r="D58" s="723"/>
      <c r="E58" s="723"/>
      <c r="F58" s="724" t="s">
        <v>781</v>
      </c>
      <c r="G58" s="724"/>
      <c r="H58" s="724"/>
    </row>
    <row r="59" spans="1:8">
      <c r="A59" s="722" t="s">
        <v>438</v>
      </c>
      <c r="B59" s="722" t="s">
        <v>439</v>
      </c>
      <c r="C59" s="723">
        <v>15943</v>
      </c>
      <c r="D59" s="723"/>
      <c r="E59" s="723">
        <v>2</v>
      </c>
      <c r="F59" s="724" t="s">
        <v>781</v>
      </c>
      <c r="G59" s="724"/>
      <c r="H59" s="724"/>
    </row>
    <row r="60" spans="1:8">
      <c r="A60" s="722" t="s">
        <v>450</v>
      </c>
      <c r="B60" s="722" t="s">
        <v>451</v>
      </c>
      <c r="C60" s="723">
        <v>841</v>
      </c>
      <c r="D60" s="723"/>
      <c r="E60" s="723"/>
      <c r="F60" s="724" t="s">
        <v>785</v>
      </c>
      <c r="G60" s="724"/>
      <c r="H60" s="724"/>
    </row>
    <row r="61" spans="1:8">
      <c r="A61" s="722" t="s">
        <v>169</v>
      </c>
      <c r="B61" s="722" t="s">
        <v>170</v>
      </c>
      <c r="C61" s="723">
        <v>1681</v>
      </c>
      <c r="D61" s="723"/>
      <c r="E61" s="723"/>
      <c r="F61" s="724" t="s">
        <v>785</v>
      </c>
      <c r="G61" s="724"/>
      <c r="H61" s="724"/>
    </row>
    <row r="62" spans="1:8">
      <c r="A62" s="722" t="s">
        <v>10</v>
      </c>
      <c r="B62" s="722" t="s">
        <v>11</v>
      </c>
      <c r="C62" s="723">
        <v>4371</v>
      </c>
      <c r="D62" s="723"/>
      <c r="E62" s="723"/>
      <c r="F62" s="724" t="s">
        <v>1350</v>
      </c>
      <c r="G62" s="724"/>
      <c r="H62" s="724"/>
    </row>
    <row r="63" spans="1:8">
      <c r="A63" s="722" t="s">
        <v>357</v>
      </c>
      <c r="B63" s="722" t="s">
        <v>358</v>
      </c>
      <c r="C63" s="723">
        <v>218757</v>
      </c>
      <c r="D63" s="723"/>
      <c r="E63" s="723"/>
      <c r="F63" s="724" t="s">
        <v>781</v>
      </c>
      <c r="G63" s="724"/>
      <c r="H63" s="724"/>
    </row>
    <row r="64" spans="1:8">
      <c r="A64" s="722" t="s">
        <v>525</v>
      </c>
      <c r="B64" s="722" t="s">
        <v>526</v>
      </c>
      <c r="C64" s="723">
        <v>0</v>
      </c>
      <c r="D64" s="723"/>
      <c r="E64" s="723"/>
      <c r="F64" s="724"/>
      <c r="G64" s="724"/>
      <c r="H64" s="724"/>
    </row>
    <row r="65" spans="1:8">
      <c r="A65" s="722" t="s">
        <v>494</v>
      </c>
      <c r="B65" s="722" t="s">
        <v>495</v>
      </c>
      <c r="C65" s="723">
        <v>31215</v>
      </c>
      <c r="D65" s="723"/>
      <c r="E65" s="723"/>
      <c r="F65" s="724" t="s">
        <v>781</v>
      </c>
      <c r="G65" s="724"/>
      <c r="H65" s="724"/>
    </row>
    <row r="66" spans="1:8">
      <c r="A66" s="722" t="s">
        <v>533</v>
      </c>
      <c r="B66" s="722" t="s">
        <v>534</v>
      </c>
      <c r="C66" s="723">
        <v>0</v>
      </c>
      <c r="D66" s="723"/>
      <c r="E66" s="723"/>
      <c r="F66" s="724"/>
      <c r="G66" s="724"/>
      <c r="H66" s="724"/>
    </row>
    <row r="67" spans="1:8">
      <c r="A67" s="722" t="s">
        <v>464</v>
      </c>
      <c r="B67" s="722" t="s">
        <v>465</v>
      </c>
      <c r="C67" s="723">
        <v>0</v>
      </c>
      <c r="D67" s="723"/>
      <c r="E67" s="723"/>
      <c r="F67" s="724"/>
      <c r="G67" s="724"/>
      <c r="H67" s="724"/>
    </row>
    <row r="68" spans="1:8">
      <c r="A68" s="722" t="s">
        <v>498</v>
      </c>
      <c r="B68" s="722" t="s">
        <v>499</v>
      </c>
      <c r="C68" s="723">
        <v>19894</v>
      </c>
      <c r="D68" s="723"/>
      <c r="E68" s="723"/>
      <c r="F68" s="724" t="s">
        <v>781</v>
      </c>
      <c r="G68" s="724"/>
      <c r="H68" s="724"/>
    </row>
    <row r="69" spans="1:8">
      <c r="A69" s="722" t="s">
        <v>456</v>
      </c>
      <c r="B69" s="722" t="s">
        <v>457</v>
      </c>
      <c r="C69" s="723">
        <v>7397</v>
      </c>
      <c r="D69" s="723"/>
      <c r="E69" s="723"/>
      <c r="F69" s="724" t="s">
        <v>1350</v>
      </c>
      <c r="G69" s="724"/>
      <c r="H69" s="724"/>
    </row>
    <row r="70" spans="1:8">
      <c r="A70" s="722" t="s">
        <v>376</v>
      </c>
      <c r="B70" s="722" t="s">
        <v>377</v>
      </c>
      <c r="C70" s="723">
        <v>0</v>
      </c>
      <c r="D70" s="723"/>
      <c r="E70" s="723"/>
      <c r="F70" s="724"/>
      <c r="G70" s="724"/>
      <c r="H70" s="724"/>
    </row>
    <row r="71" spans="1:8">
      <c r="A71" s="722" t="s">
        <v>384</v>
      </c>
      <c r="B71" s="722" t="s">
        <v>385</v>
      </c>
      <c r="C71" s="723">
        <v>4623</v>
      </c>
      <c r="D71" s="723"/>
      <c r="E71" s="723"/>
      <c r="F71" s="724" t="s">
        <v>1350</v>
      </c>
      <c r="G71" s="724"/>
      <c r="H71" s="724"/>
    </row>
    <row r="72" spans="1:8">
      <c r="A72" s="722" t="s">
        <v>147</v>
      </c>
      <c r="B72" s="722" t="s">
        <v>148</v>
      </c>
      <c r="C72" s="723">
        <v>476</v>
      </c>
      <c r="D72" s="723"/>
      <c r="E72" s="723"/>
      <c r="F72" s="724" t="s">
        <v>785</v>
      </c>
      <c r="G72" s="724"/>
      <c r="H72" s="724"/>
    </row>
    <row r="73" spans="1:8">
      <c r="A73" s="722" t="s">
        <v>120</v>
      </c>
      <c r="B73" s="722" t="s">
        <v>654</v>
      </c>
      <c r="C73" s="723">
        <v>0</v>
      </c>
      <c r="D73" s="723"/>
      <c r="E73" s="723"/>
      <c r="F73" s="724"/>
      <c r="G73" s="724"/>
      <c r="H73" s="724"/>
    </row>
    <row r="74" spans="1:8">
      <c r="A74" s="722" t="s">
        <v>159</v>
      </c>
      <c r="B74" s="722" t="s">
        <v>160</v>
      </c>
      <c r="C74" s="723">
        <v>3922</v>
      </c>
      <c r="D74" s="723"/>
      <c r="E74" s="723"/>
      <c r="F74" s="724" t="s">
        <v>785</v>
      </c>
      <c r="G74" s="724"/>
      <c r="H74" s="724"/>
    </row>
    <row r="75" spans="1:8">
      <c r="A75" s="722" t="s">
        <v>41</v>
      </c>
      <c r="B75" s="722" t="s">
        <v>42</v>
      </c>
      <c r="C75" s="723">
        <v>0</v>
      </c>
      <c r="D75" s="723"/>
      <c r="E75" s="723"/>
      <c r="F75" s="724"/>
      <c r="G75" s="724"/>
      <c r="H75" s="724"/>
    </row>
    <row r="76" spans="1:8">
      <c r="A76" s="722" t="s">
        <v>285</v>
      </c>
      <c r="B76" s="722" t="s">
        <v>286</v>
      </c>
      <c r="C76" s="723">
        <v>0</v>
      </c>
      <c r="D76" s="723"/>
      <c r="E76" s="723"/>
      <c r="F76" s="724"/>
      <c r="G76" s="724"/>
      <c r="H76" s="724"/>
    </row>
    <row r="77" spans="1:8">
      <c r="A77" s="722" t="s">
        <v>96</v>
      </c>
      <c r="B77" s="722" t="s">
        <v>97</v>
      </c>
      <c r="C77" s="723">
        <v>0</v>
      </c>
      <c r="D77" s="723"/>
      <c r="E77" s="723"/>
      <c r="F77" s="724"/>
      <c r="G77" s="724"/>
      <c r="H77" s="724"/>
    </row>
    <row r="78" spans="1:8">
      <c r="A78" s="722" t="s">
        <v>338</v>
      </c>
      <c r="B78" s="722" t="s">
        <v>339</v>
      </c>
      <c r="C78" s="723">
        <v>0</v>
      </c>
      <c r="D78" s="723"/>
      <c r="E78" s="723"/>
      <c r="F78" s="724"/>
      <c r="G78" s="724"/>
      <c r="H78" s="724"/>
    </row>
    <row r="79" spans="1:8">
      <c r="A79" s="722" t="s">
        <v>220</v>
      </c>
      <c r="B79" s="722" t="s">
        <v>221</v>
      </c>
      <c r="C79" s="723">
        <v>0</v>
      </c>
      <c r="D79" s="723"/>
      <c r="E79" s="723"/>
      <c r="F79" s="724"/>
      <c r="G79" s="724"/>
      <c r="H79" s="724"/>
    </row>
    <row r="80" spans="1:8">
      <c r="A80" s="722" t="s">
        <v>417</v>
      </c>
      <c r="B80" s="722" t="s">
        <v>418</v>
      </c>
      <c r="C80" s="723">
        <v>0</v>
      </c>
      <c r="D80" s="723"/>
      <c r="E80" s="723"/>
      <c r="F80" s="724"/>
      <c r="G80" s="724"/>
      <c r="H80" s="724"/>
    </row>
    <row r="81" spans="1:8">
      <c r="A81" s="722" t="s">
        <v>293</v>
      </c>
      <c r="B81" s="722" t="s">
        <v>294</v>
      </c>
      <c r="C81" s="723">
        <v>0</v>
      </c>
      <c r="D81" s="723"/>
      <c r="E81" s="723"/>
      <c r="F81" s="724"/>
      <c r="G81" s="724"/>
      <c r="H81" s="724"/>
    </row>
    <row r="82" spans="1:8">
      <c r="A82" s="722" t="s">
        <v>66</v>
      </c>
      <c r="B82" s="722" t="s">
        <v>67</v>
      </c>
      <c r="C82" s="723">
        <v>29</v>
      </c>
      <c r="D82" s="723"/>
      <c r="E82" s="723"/>
      <c r="F82" s="724" t="s">
        <v>785</v>
      </c>
      <c r="G82" s="724"/>
      <c r="H82" s="724"/>
    </row>
    <row r="83" spans="1:8">
      <c r="A83" s="722" t="s">
        <v>444</v>
      </c>
      <c r="B83" s="722" t="s">
        <v>445</v>
      </c>
      <c r="C83" s="723">
        <v>701</v>
      </c>
      <c r="D83" s="723"/>
      <c r="E83" s="723"/>
      <c r="F83" s="724" t="s">
        <v>785</v>
      </c>
      <c r="G83" s="724"/>
      <c r="H83" s="724"/>
    </row>
    <row r="84" spans="1:8">
      <c r="A84" s="722" t="s">
        <v>490</v>
      </c>
      <c r="B84" s="722" t="s">
        <v>491</v>
      </c>
      <c r="C84" s="723">
        <v>0</v>
      </c>
      <c r="D84" s="723"/>
      <c r="E84" s="723"/>
      <c r="F84" s="724"/>
      <c r="G84" s="724"/>
      <c r="H84" s="724"/>
    </row>
    <row r="85" spans="1:8">
      <c r="A85" s="722" t="s">
        <v>440</v>
      </c>
      <c r="B85" s="722" t="s">
        <v>674</v>
      </c>
      <c r="C85" s="723">
        <v>16532</v>
      </c>
      <c r="D85" s="723"/>
      <c r="E85" s="723"/>
      <c r="F85" s="724" t="s">
        <v>781</v>
      </c>
      <c r="G85" s="724"/>
      <c r="H85" s="724"/>
    </row>
    <row r="86" spans="1:8">
      <c r="A86" s="722" t="s">
        <v>549</v>
      </c>
      <c r="B86" s="722" t="s">
        <v>550</v>
      </c>
      <c r="C86" s="723">
        <v>54220</v>
      </c>
      <c r="D86" s="723"/>
      <c r="E86" s="723"/>
      <c r="F86" s="724" t="s">
        <v>781</v>
      </c>
      <c r="G86" s="724"/>
      <c r="H86" s="724"/>
    </row>
    <row r="87" spans="1:8">
      <c r="A87" s="722" t="s">
        <v>88</v>
      </c>
      <c r="B87" s="722" t="s">
        <v>89</v>
      </c>
      <c r="C87" s="723">
        <v>158569</v>
      </c>
      <c r="D87" s="723"/>
      <c r="E87" s="723"/>
      <c r="F87" s="724" t="s">
        <v>781</v>
      </c>
      <c r="G87" s="724"/>
      <c r="H87" s="724"/>
    </row>
    <row r="88" spans="1:8">
      <c r="A88" s="722" t="s">
        <v>365</v>
      </c>
      <c r="B88" s="722" t="s">
        <v>366</v>
      </c>
      <c r="C88" s="723">
        <v>2298</v>
      </c>
      <c r="D88" s="723"/>
      <c r="E88" s="723"/>
      <c r="F88" s="724" t="s">
        <v>785</v>
      </c>
      <c r="G88" s="724"/>
      <c r="H88" s="724"/>
    </row>
    <row r="89" spans="1:8">
      <c r="A89" s="722" t="s">
        <v>401</v>
      </c>
      <c r="B89" s="722" t="s">
        <v>402</v>
      </c>
      <c r="C89" s="723">
        <v>341177</v>
      </c>
      <c r="D89" s="723">
        <v>8</v>
      </c>
      <c r="E89" s="723"/>
      <c r="F89" s="724" t="s">
        <v>781</v>
      </c>
      <c r="G89" s="724"/>
      <c r="H89" s="724"/>
    </row>
    <row r="90" spans="1:8">
      <c r="A90" s="722" t="s">
        <v>226</v>
      </c>
      <c r="B90" s="722" t="s">
        <v>227</v>
      </c>
      <c r="C90" s="723">
        <v>34633</v>
      </c>
      <c r="D90" s="723"/>
      <c r="E90" s="723"/>
      <c r="F90" s="724" t="s">
        <v>781</v>
      </c>
      <c r="G90" s="724"/>
      <c r="H90" s="724"/>
    </row>
    <row r="91" spans="1:8">
      <c r="A91" s="722" t="s">
        <v>141</v>
      </c>
      <c r="B91" s="722" t="s">
        <v>142</v>
      </c>
      <c r="C91" s="723">
        <v>16868</v>
      </c>
      <c r="D91" s="723"/>
      <c r="E91" s="723"/>
      <c r="F91" s="724" t="s">
        <v>785</v>
      </c>
      <c r="G91" s="724"/>
      <c r="H91" s="724"/>
    </row>
    <row r="92" spans="1:8">
      <c r="A92" s="722" t="s">
        <v>535</v>
      </c>
      <c r="B92" s="722" t="s">
        <v>536</v>
      </c>
      <c r="C92" s="723">
        <v>0</v>
      </c>
      <c r="D92" s="723"/>
      <c r="E92" s="723"/>
      <c r="F92" s="724"/>
      <c r="G92" s="724"/>
      <c r="H92" s="724"/>
    </row>
    <row r="93" spans="1:8">
      <c r="A93" s="722" t="s">
        <v>177</v>
      </c>
      <c r="B93" s="722" t="s">
        <v>178</v>
      </c>
      <c r="C93" s="723">
        <v>31187</v>
      </c>
      <c r="D93" s="723"/>
      <c r="E93" s="723"/>
      <c r="F93" s="724" t="s">
        <v>781</v>
      </c>
      <c r="G93" s="724"/>
      <c r="H93" s="724"/>
    </row>
    <row r="94" spans="1:8">
      <c r="A94" s="722" t="s">
        <v>127</v>
      </c>
      <c r="B94" s="722" t="s">
        <v>128</v>
      </c>
      <c r="C94" s="723">
        <v>35054</v>
      </c>
      <c r="D94" s="723"/>
      <c r="E94" s="723"/>
      <c r="F94" s="724" t="s">
        <v>781</v>
      </c>
      <c r="G94" s="724"/>
      <c r="H94" s="724"/>
    </row>
    <row r="95" spans="1:8">
      <c r="A95" s="722" t="s">
        <v>256</v>
      </c>
      <c r="B95" s="722" t="s">
        <v>257</v>
      </c>
      <c r="C95" s="723">
        <v>0</v>
      </c>
      <c r="D95" s="723"/>
      <c r="E95" s="723"/>
      <c r="F95" s="724"/>
      <c r="G95" s="724"/>
      <c r="H95" s="724"/>
    </row>
    <row r="96" spans="1:8">
      <c r="A96" s="722" t="s">
        <v>395</v>
      </c>
      <c r="B96" s="722" t="s">
        <v>396</v>
      </c>
      <c r="C96" s="723">
        <v>328513</v>
      </c>
      <c r="D96" s="723">
        <v>15</v>
      </c>
      <c r="E96" s="723">
        <v>63</v>
      </c>
      <c r="F96" s="724" t="s">
        <v>781</v>
      </c>
      <c r="G96" s="724"/>
      <c r="H96" s="724"/>
    </row>
    <row r="97" spans="1:8">
      <c r="A97" s="722" t="s">
        <v>58</v>
      </c>
      <c r="B97" s="722" t="s">
        <v>59</v>
      </c>
      <c r="C97" s="723">
        <v>454324</v>
      </c>
      <c r="D97" s="723"/>
      <c r="E97" s="723">
        <v>146</v>
      </c>
      <c r="F97" s="724" t="s">
        <v>781</v>
      </c>
      <c r="G97" s="724"/>
      <c r="H97" s="724"/>
    </row>
    <row r="98" spans="1:8">
      <c r="A98" s="722" t="s">
        <v>462</v>
      </c>
      <c r="B98" s="722" t="s">
        <v>463</v>
      </c>
      <c r="C98" s="723">
        <v>0</v>
      </c>
      <c r="D98" s="723"/>
      <c r="E98" s="723"/>
      <c r="F98" s="724"/>
      <c r="G98" s="724"/>
      <c r="H98" s="724"/>
    </row>
    <row r="99" spans="1:8">
      <c r="A99" s="722" t="s">
        <v>175</v>
      </c>
      <c r="B99" s="722" t="s">
        <v>176</v>
      </c>
      <c r="C99" s="723">
        <v>520817</v>
      </c>
      <c r="D99" s="723">
        <v>1</v>
      </c>
      <c r="E99" s="723"/>
      <c r="F99" s="724" t="s">
        <v>781</v>
      </c>
      <c r="G99" s="724"/>
      <c r="H99" s="724"/>
    </row>
    <row r="100" spans="1:8">
      <c r="A100" s="722" t="s">
        <v>506</v>
      </c>
      <c r="B100" s="722" t="s">
        <v>507</v>
      </c>
      <c r="C100" s="723">
        <v>39480</v>
      </c>
      <c r="D100" s="723"/>
      <c r="E100" s="723"/>
      <c r="F100" s="724" t="s">
        <v>781</v>
      </c>
      <c r="G100" s="724"/>
      <c r="H100" s="724"/>
    </row>
    <row r="101" spans="1:8">
      <c r="A101" s="722" t="s">
        <v>369</v>
      </c>
      <c r="B101" s="722" t="s">
        <v>370</v>
      </c>
      <c r="C101" s="723">
        <v>58983</v>
      </c>
      <c r="D101" s="723"/>
      <c r="E101" s="723"/>
      <c r="F101" s="724" t="s">
        <v>781</v>
      </c>
      <c r="G101" s="724"/>
      <c r="H101" s="724"/>
    </row>
    <row r="102" spans="1:8">
      <c r="A102" s="722" t="s">
        <v>19</v>
      </c>
      <c r="B102" s="722" t="s">
        <v>20</v>
      </c>
      <c r="C102" s="723">
        <v>22557</v>
      </c>
      <c r="D102" s="723"/>
      <c r="E102" s="723"/>
      <c r="F102" s="724" t="s">
        <v>781</v>
      </c>
      <c r="G102" s="724"/>
      <c r="H102" s="724"/>
    </row>
    <row r="103" spans="1:8">
      <c r="A103" s="722" t="s">
        <v>361</v>
      </c>
      <c r="B103" s="722" t="s">
        <v>362</v>
      </c>
      <c r="C103" s="723">
        <v>98633</v>
      </c>
      <c r="D103" s="723"/>
      <c r="E103" s="723"/>
      <c r="F103" s="724" t="s">
        <v>781</v>
      </c>
      <c r="G103" s="724"/>
      <c r="H103" s="724"/>
    </row>
    <row r="104" spans="1:8">
      <c r="A104" s="722" t="s">
        <v>436</v>
      </c>
      <c r="B104" s="722" t="s">
        <v>437</v>
      </c>
      <c r="C104" s="723">
        <v>0</v>
      </c>
      <c r="D104" s="723"/>
      <c r="E104" s="723"/>
      <c r="F104" s="724"/>
      <c r="G104" s="724"/>
      <c r="H104" s="724"/>
    </row>
    <row r="105" spans="1:8">
      <c r="A105" s="722" t="s">
        <v>529</v>
      </c>
      <c r="B105" s="722" t="s">
        <v>530</v>
      </c>
      <c r="C105" s="723">
        <v>0</v>
      </c>
      <c r="D105" s="723"/>
      <c r="E105" s="723"/>
      <c r="F105" s="724"/>
      <c r="G105" s="724"/>
      <c r="H105" s="724"/>
    </row>
    <row r="106" spans="1:8">
      <c r="A106" s="722" t="s">
        <v>240</v>
      </c>
      <c r="B106" s="722" t="s">
        <v>241</v>
      </c>
      <c r="C106" s="723">
        <v>0</v>
      </c>
      <c r="D106" s="723"/>
      <c r="E106" s="723"/>
      <c r="F106" s="724"/>
      <c r="G106" s="724"/>
      <c r="H106" s="724"/>
    </row>
    <row r="107" spans="1:8">
      <c r="A107" s="722" t="s">
        <v>131</v>
      </c>
      <c r="B107" s="722" t="s">
        <v>655</v>
      </c>
      <c r="C107" s="723">
        <v>0</v>
      </c>
      <c r="D107" s="723"/>
      <c r="E107" s="723"/>
      <c r="F107" s="724"/>
      <c r="G107" s="724"/>
      <c r="H107" s="724"/>
    </row>
    <row r="108" spans="1:8">
      <c r="A108" s="722" t="s">
        <v>555</v>
      </c>
      <c r="B108" s="722" t="s">
        <v>556</v>
      </c>
      <c r="C108" s="723">
        <v>182889</v>
      </c>
      <c r="D108" s="723"/>
      <c r="E108" s="723"/>
      <c r="F108" s="724" t="s">
        <v>781</v>
      </c>
      <c r="G108" s="724"/>
      <c r="H108" s="724"/>
    </row>
    <row r="109" spans="1:8">
      <c r="A109" s="722" t="s">
        <v>563</v>
      </c>
      <c r="B109" s="722" t="s">
        <v>564</v>
      </c>
      <c r="C109" s="723">
        <v>96390</v>
      </c>
      <c r="D109" s="723"/>
      <c r="E109" s="723">
        <v>20</v>
      </c>
      <c r="F109" s="724" t="s">
        <v>781</v>
      </c>
      <c r="G109" s="724"/>
      <c r="H109" s="724"/>
    </row>
    <row r="110" spans="1:8">
      <c r="A110" s="722" t="s">
        <v>419</v>
      </c>
      <c r="B110" s="722" t="s">
        <v>420</v>
      </c>
      <c r="C110" s="723">
        <v>5940</v>
      </c>
      <c r="D110" s="723"/>
      <c r="E110" s="723"/>
      <c r="F110" s="724" t="s">
        <v>785</v>
      </c>
      <c r="G110" s="724"/>
      <c r="H110" s="724"/>
    </row>
    <row r="111" spans="1:8">
      <c r="A111" s="722" t="s">
        <v>297</v>
      </c>
      <c r="B111" s="722" t="s">
        <v>298</v>
      </c>
      <c r="C111" s="723">
        <v>0</v>
      </c>
      <c r="D111" s="723"/>
      <c r="E111" s="723"/>
      <c r="F111" s="724"/>
      <c r="G111" s="724"/>
      <c r="H111" s="724"/>
    </row>
    <row r="112" spans="1:8">
      <c r="A112" s="722" t="s">
        <v>426</v>
      </c>
      <c r="B112" s="722" t="s">
        <v>427</v>
      </c>
      <c r="C112" s="723">
        <v>0</v>
      </c>
      <c r="D112" s="723"/>
      <c r="E112" s="723"/>
      <c r="F112" s="724"/>
      <c r="G112" s="724"/>
      <c r="H112" s="724"/>
    </row>
    <row r="113" spans="1:8">
      <c r="A113" s="722" t="s">
        <v>54</v>
      </c>
      <c r="B113" s="722" t="s">
        <v>55</v>
      </c>
      <c r="C113" s="723">
        <v>0</v>
      </c>
      <c r="D113" s="723"/>
      <c r="E113" s="723"/>
      <c r="F113" s="724"/>
      <c r="G113" s="724"/>
      <c r="H113" s="724"/>
    </row>
    <row r="114" spans="1:8">
      <c r="A114" s="722" t="s">
        <v>482</v>
      </c>
      <c r="B114" s="722" t="s">
        <v>483</v>
      </c>
      <c r="C114" s="723">
        <v>0</v>
      </c>
      <c r="D114" s="723"/>
      <c r="E114" s="723"/>
      <c r="F114" s="724"/>
      <c r="G114" s="724"/>
      <c r="H114" s="724"/>
    </row>
    <row r="115" spans="1:8">
      <c r="A115" s="722" t="s">
        <v>291</v>
      </c>
      <c r="B115" s="722" t="s">
        <v>292</v>
      </c>
      <c r="C115" s="723">
        <v>0</v>
      </c>
      <c r="D115" s="723"/>
      <c r="E115" s="723"/>
      <c r="F115" s="724"/>
      <c r="G115" s="724"/>
      <c r="H115" s="724"/>
    </row>
    <row r="116" spans="1:8">
      <c r="A116" s="722" t="s">
        <v>561</v>
      </c>
      <c r="B116" s="722" t="s">
        <v>562</v>
      </c>
      <c r="C116" s="723">
        <v>45561</v>
      </c>
      <c r="D116" s="723"/>
      <c r="E116" s="723"/>
      <c r="F116" s="724" t="s">
        <v>781</v>
      </c>
      <c r="G116" s="724"/>
      <c r="H116" s="724"/>
    </row>
    <row r="117" spans="1:8">
      <c r="A117" s="722" t="s">
        <v>181</v>
      </c>
      <c r="B117" s="722" t="s">
        <v>182</v>
      </c>
      <c r="C117" s="723">
        <v>698300</v>
      </c>
      <c r="D117" s="723"/>
      <c r="E117" s="723">
        <v>53</v>
      </c>
      <c r="F117" s="724" t="s">
        <v>781</v>
      </c>
      <c r="G117" s="724"/>
      <c r="H117" s="724"/>
    </row>
    <row r="118" spans="1:8">
      <c r="A118" s="722" t="s">
        <v>307</v>
      </c>
      <c r="B118" s="722" t="s">
        <v>308</v>
      </c>
      <c r="C118" s="723">
        <v>0</v>
      </c>
      <c r="D118" s="723"/>
      <c r="E118" s="723"/>
      <c r="F118" s="724"/>
      <c r="G118" s="724"/>
      <c r="H118" s="724"/>
    </row>
    <row r="119" spans="1:8">
      <c r="A119" s="722" t="s">
        <v>134</v>
      </c>
      <c r="B119" s="722" t="s">
        <v>135</v>
      </c>
      <c r="C119" s="723">
        <v>7342</v>
      </c>
      <c r="D119" s="723"/>
      <c r="E119" s="723"/>
      <c r="F119" s="724" t="s">
        <v>785</v>
      </c>
      <c r="G119" s="724"/>
      <c r="H119" s="724"/>
    </row>
    <row r="120" spans="1:8">
      <c r="A120" s="722" t="s">
        <v>100</v>
      </c>
      <c r="B120" s="722" t="s">
        <v>101</v>
      </c>
      <c r="C120" s="723">
        <v>0</v>
      </c>
      <c r="D120" s="723"/>
      <c r="E120" s="723"/>
      <c r="F120" s="724"/>
      <c r="G120" s="724"/>
      <c r="H120" s="724"/>
    </row>
    <row r="121" spans="1:8">
      <c r="A121" s="722" t="s">
        <v>407</v>
      </c>
      <c r="B121" s="722" t="s">
        <v>408</v>
      </c>
      <c r="C121" s="723">
        <v>0</v>
      </c>
      <c r="D121" s="723"/>
      <c r="E121" s="723"/>
      <c r="F121" s="724"/>
      <c r="G121" s="724"/>
      <c r="H121" s="724"/>
    </row>
    <row r="122" spans="1:8">
      <c r="A122" s="722" t="s">
        <v>201</v>
      </c>
      <c r="B122" s="722" t="s">
        <v>202</v>
      </c>
      <c r="C122" s="723">
        <v>129594</v>
      </c>
      <c r="D122" s="723"/>
      <c r="E122" s="723"/>
      <c r="F122" s="724" t="s">
        <v>781</v>
      </c>
      <c r="G122" s="724"/>
      <c r="H122" s="724"/>
    </row>
    <row r="123" spans="1:8">
      <c r="A123" s="722" t="s">
        <v>110</v>
      </c>
      <c r="B123" s="722" t="s">
        <v>111</v>
      </c>
      <c r="C123" s="723">
        <v>0</v>
      </c>
      <c r="D123" s="723"/>
      <c r="E123" s="723"/>
      <c r="F123" s="724"/>
      <c r="G123" s="724"/>
      <c r="H123" s="724"/>
    </row>
    <row r="124" spans="1:8">
      <c r="A124" s="722" t="s">
        <v>76</v>
      </c>
      <c r="B124" s="722" t="s">
        <v>77</v>
      </c>
      <c r="C124" s="723">
        <v>0</v>
      </c>
      <c r="D124" s="723"/>
      <c r="E124" s="723"/>
      <c r="F124" s="724"/>
      <c r="G124" s="724"/>
      <c r="H124" s="724"/>
    </row>
    <row r="125" spans="1:8">
      <c r="A125" s="731" t="s">
        <v>94</v>
      </c>
      <c r="B125" s="722" t="s">
        <v>95</v>
      </c>
      <c r="C125" s="723">
        <v>0</v>
      </c>
      <c r="D125" s="723"/>
      <c r="E125" s="723"/>
      <c r="F125" s="724"/>
      <c r="G125" s="724"/>
      <c r="H125" s="724"/>
    </row>
    <row r="126" spans="1:8">
      <c r="A126" s="722" t="s">
        <v>80</v>
      </c>
      <c r="B126" s="722" t="s">
        <v>81</v>
      </c>
      <c r="C126" s="723">
        <v>38024</v>
      </c>
      <c r="D126" s="723"/>
      <c r="E126" s="723">
        <v>13</v>
      </c>
      <c r="F126" s="724" t="s">
        <v>781</v>
      </c>
      <c r="G126" s="724"/>
      <c r="H126" s="724"/>
    </row>
    <row r="127" spans="1:8">
      <c r="A127" s="722" t="s">
        <v>14</v>
      </c>
      <c r="B127" s="722" t="s">
        <v>15</v>
      </c>
      <c r="C127" s="723">
        <v>350592</v>
      </c>
      <c r="D127" s="723"/>
      <c r="E127" s="723"/>
      <c r="F127" s="724" t="s">
        <v>781</v>
      </c>
      <c r="G127" s="724"/>
      <c r="H127" s="724"/>
    </row>
    <row r="128" spans="1:8">
      <c r="A128" s="722" t="s">
        <v>207</v>
      </c>
      <c r="B128" s="722" t="s">
        <v>208</v>
      </c>
      <c r="C128" s="723">
        <v>760729</v>
      </c>
      <c r="D128" s="723">
        <v>2</v>
      </c>
      <c r="E128" s="723">
        <v>12</v>
      </c>
      <c r="F128" s="724" t="s">
        <v>781</v>
      </c>
      <c r="G128" s="724"/>
      <c r="H128" s="724"/>
    </row>
    <row r="129" spans="1:8">
      <c r="A129" s="722" t="s">
        <v>470</v>
      </c>
      <c r="B129" s="722" t="s">
        <v>471</v>
      </c>
      <c r="C129" s="723">
        <v>0</v>
      </c>
      <c r="D129" s="723"/>
      <c r="E129" s="723"/>
      <c r="F129" s="724"/>
      <c r="G129" s="724"/>
      <c r="H129" s="724"/>
    </row>
    <row r="130" spans="1:8">
      <c r="A130" s="722" t="s">
        <v>18</v>
      </c>
      <c r="B130" s="722" t="s">
        <v>608</v>
      </c>
      <c r="C130" s="723">
        <v>41779</v>
      </c>
      <c r="D130" s="723"/>
      <c r="E130" s="723"/>
      <c r="F130" s="724" t="s">
        <v>781</v>
      </c>
      <c r="G130" s="724"/>
      <c r="H130" s="724"/>
    </row>
    <row r="131" spans="1:8">
      <c r="A131" s="722" t="s">
        <v>242</v>
      </c>
      <c r="B131" s="722" t="s">
        <v>243</v>
      </c>
      <c r="C131" s="723">
        <v>0</v>
      </c>
      <c r="D131" s="723"/>
      <c r="E131" s="723"/>
      <c r="F131" s="724"/>
      <c r="G131" s="724"/>
      <c r="H131" s="724"/>
    </row>
    <row r="132" spans="1:8">
      <c r="A132" s="722" t="s">
        <v>382</v>
      </c>
      <c r="B132" s="722" t="s">
        <v>383</v>
      </c>
      <c r="C132" s="723">
        <v>0</v>
      </c>
      <c r="D132" s="723"/>
      <c r="E132" s="723"/>
      <c r="F132" s="724"/>
      <c r="G132" s="724"/>
      <c r="H132" s="724"/>
    </row>
    <row r="133" spans="1:8">
      <c r="A133" s="722" t="s">
        <v>53</v>
      </c>
      <c r="B133" s="722" t="s">
        <v>609</v>
      </c>
      <c r="C133" s="723">
        <v>4904</v>
      </c>
      <c r="D133" s="723"/>
      <c r="E133" s="723"/>
      <c r="F133" s="724" t="s">
        <v>785</v>
      </c>
      <c r="G133" s="724"/>
      <c r="H133" s="724"/>
    </row>
    <row r="134" spans="1:8">
      <c r="A134" s="722" t="s">
        <v>518</v>
      </c>
      <c r="B134" s="722" t="s">
        <v>645</v>
      </c>
      <c r="C134" s="723">
        <v>0</v>
      </c>
      <c r="D134" s="723"/>
      <c r="E134" s="723"/>
      <c r="F134" s="724"/>
      <c r="G134" s="724"/>
      <c r="H134" s="724"/>
    </row>
    <row r="135" spans="1:8">
      <c r="A135" s="722" t="s">
        <v>31</v>
      </c>
      <c r="B135" s="722" t="s">
        <v>32</v>
      </c>
      <c r="C135" s="723">
        <v>56237</v>
      </c>
      <c r="D135" s="723"/>
      <c r="E135" s="723"/>
      <c r="F135" s="724" t="s">
        <v>781</v>
      </c>
      <c r="G135" s="724"/>
      <c r="H135" s="724"/>
    </row>
    <row r="136" spans="1:8">
      <c r="A136" s="722" t="s">
        <v>397</v>
      </c>
      <c r="B136" s="722" t="s">
        <v>398</v>
      </c>
      <c r="C136" s="723">
        <v>45506</v>
      </c>
      <c r="D136" s="723"/>
      <c r="E136" s="723"/>
      <c r="F136" s="724" t="s">
        <v>781</v>
      </c>
      <c r="G136" s="724"/>
      <c r="H136" s="724"/>
    </row>
    <row r="137" spans="1:8">
      <c r="A137" s="722" t="s">
        <v>205</v>
      </c>
      <c r="B137" s="722" t="s">
        <v>206</v>
      </c>
      <c r="C137" s="723">
        <v>255182</v>
      </c>
      <c r="D137" s="723"/>
      <c r="E137" s="723"/>
      <c r="F137" s="724" t="s">
        <v>781</v>
      </c>
      <c r="G137" s="724"/>
      <c r="H137" s="724"/>
    </row>
    <row r="138" spans="1:8">
      <c r="A138" s="722" t="s">
        <v>413</v>
      </c>
      <c r="B138" s="722" t="s">
        <v>414</v>
      </c>
      <c r="C138" s="723">
        <v>12273</v>
      </c>
      <c r="D138" s="723"/>
      <c r="E138" s="723"/>
      <c r="F138" s="724" t="s">
        <v>781</v>
      </c>
      <c r="G138" s="724"/>
      <c r="H138" s="724"/>
    </row>
    <row r="139" spans="1:8">
      <c r="A139" s="722" t="s">
        <v>519</v>
      </c>
      <c r="B139" s="722" t="s">
        <v>520</v>
      </c>
      <c r="C139" s="723">
        <v>0</v>
      </c>
      <c r="D139" s="723"/>
      <c r="E139" s="723"/>
      <c r="F139" s="724"/>
      <c r="G139" s="724"/>
      <c r="H139" s="724"/>
    </row>
    <row r="140" spans="1:8">
      <c r="A140" s="722" t="s">
        <v>441</v>
      </c>
      <c r="B140" s="722" t="s">
        <v>442</v>
      </c>
      <c r="C140" s="723">
        <v>0</v>
      </c>
      <c r="D140" s="723"/>
      <c r="E140" s="723"/>
      <c r="F140" s="724"/>
      <c r="G140" s="724"/>
      <c r="H140" s="724"/>
    </row>
    <row r="141" spans="1:8">
      <c r="A141" s="722" t="s">
        <v>6</v>
      </c>
      <c r="B141" s="722" t="s">
        <v>7</v>
      </c>
      <c r="C141" s="723">
        <v>3391</v>
      </c>
      <c r="D141" s="723"/>
      <c r="E141" s="723"/>
      <c r="F141" s="724" t="s">
        <v>785</v>
      </c>
      <c r="G141" s="724"/>
      <c r="H141" s="724"/>
    </row>
    <row r="142" spans="1:8">
      <c r="A142" s="722" t="s">
        <v>70</v>
      </c>
      <c r="B142" s="722" t="s">
        <v>71</v>
      </c>
      <c r="C142" s="723">
        <v>57162</v>
      </c>
      <c r="D142" s="723"/>
      <c r="E142" s="723"/>
      <c r="F142" s="724" t="s">
        <v>781</v>
      </c>
      <c r="G142" s="724"/>
      <c r="H142" s="724"/>
    </row>
    <row r="143" spans="1:8">
      <c r="A143" s="722" t="s">
        <v>458</v>
      </c>
      <c r="B143" s="722" t="s">
        <v>459</v>
      </c>
      <c r="C143" s="723">
        <v>0</v>
      </c>
      <c r="D143" s="723"/>
      <c r="E143" s="723"/>
      <c r="F143" s="724"/>
      <c r="G143" s="724"/>
      <c r="H143" s="724"/>
    </row>
    <row r="144" spans="1:8">
      <c r="A144" s="722" t="s">
        <v>250</v>
      </c>
      <c r="B144" s="722" t="s">
        <v>251</v>
      </c>
      <c r="C144" s="723">
        <v>0</v>
      </c>
      <c r="D144" s="723"/>
      <c r="E144" s="723"/>
      <c r="F144" s="724"/>
      <c r="G144" s="724"/>
      <c r="H144" s="724"/>
    </row>
    <row r="145" spans="1:8">
      <c r="A145" s="722" t="s">
        <v>510</v>
      </c>
      <c r="B145" s="722" t="s">
        <v>511</v>
      </c>
      <c r="C145" s="723">
        <v>38584</v>
      </c>
      <c r="D145" s="723"/>
      <c r="E145" s="723"/>
      <c r="F145" s="724" t="s">
        <v>781</v>
      </c>
      <c r="G145" s="724"/>
      <c r="H145" s="724"/>
    </row>
    <row r="146" spans="1:8">
      <c r="A146" s="722" t="s">
        <v>553</v>
      </c>
      <c r="B146" s="722" t="s">
        <v>554</v>
      </c>
      <c r="C146" s="723">
        <v>57330</v>
      </c>
      <c r="D146" s="723"/>
      <c r="E146" s="723"/>
      <c r="F146" s="724" t="s">
        <v>781</v>
      </c>
      <c r="G146" s="724"/>
      <c r="H146" s="724"/>
    </row>
    <row r="147" spans="1:8">
      <c r="A147" s="722" t="s">
        <v>90</v>
      </c>
      <c r="B147" s="722" t="s">
        <v>91</v>
      </c>
      <c r="C147" s="723">
        <v>0</v>
      </c>
      <c r="D147" s="723"/>
      <c r="E147" s="723"/>
      <c r="F147" s="724"/>
      <c r="G147" s="724"/>
      <c r="H147" s="724"/>
    </row>
    <row r="148" spans="1:8">
      <c r="A148" s="722" t="s">
        <v>25</v>
      </c>
      <c r="B148" s="722" t="s">
        <v>26</v>
      </c>
      <c r="C148" s="723">
        <v>36315</v>
      </c>
      <c r="D148" s="723"/>
      <c r="E148" s="723"/>
      <c r="F148" s="724" t="s">
        <v>781</v>
      </c>
      <c r="G148" s="724"/>
      <c r="H148" s="724"/>
    </row>
    <row r="149" spans="1:8">
      <c r="A149" s="722" t="s">
        <v>301</v>
      </c>
      <c r="B149" s="722" t="s">
        <v>302</v>
      </c>
      <c r="C149" s="723">
        <v>0</v>
      </c>
      <c r="D149" s="723"/>
      <c r="E149" s="723"/>
      <c r="F149" s="724"/>
      <c r="G149" s="724"/>
      <c r="H149" s="724"/>
    </row>
    <row r="150" spans="1:8">
      <c r="A150" s="722" t="s">
        <v>466</v>
      </c>
      <c r="B150" s="722" t="s">
        <v>467</v>
      </c>
      <c r="C150" s="723">
        <v>0</v>
      </c>
      <c r="D150" s="723"/>
      <c r="E150" s="723"/>
      <c r="F150" s="724"/>
      <c r="G150" s="724"/>
      <c r="H150" s="724"/>
    </row>
    <row r="151" spans="1:8">
      <c r="A151" s="722" t="s">
        <v>405</v>
      </c>
      <c r="B151" s="722" t="s">
        <v>406</v>
      </c>
      <c r="C151" s="723">
        <v>120628</v>
      </c>
      <c r="D151" s="723"/>
      <c r="E151" s="723"/>
      <c r="F151" s="724" t="s">
        <v>781</v>
      </c>
      <c r="G151" s="724"/>
      <c r="H151" s="724"/>
    </row>
    <row r="152" spans="1:8">
      <c r="A152" s="722" t="s">
        <v>138</v>
      </c>
      <c r="B152" s="722" t="s">
        <v>656</v>
      </c>
      <c r="C152" s="723">
        <v>0</v>
      </c>
      <c r="D152" s="723"/>
      <c r="E152" s="723"/>
      <c r="F152" s="724"/>
      <c r="G152" s="724"/>
      <c r="H152" s="724"/>
    </row>
    <row r="153" spans="1:8">
      <c r="A153" s="722" t="s">
        <v>432</v>
      </c>
      <c r="B153" s="722" t="s">
        <v>433</v>
      </c>
      <c r="C153" s="723">
        <v>38697</v>
      </c>
      <c r="D153" s="723">
        <v>15</v>
      </c>
      <c r="E153" s="723"/>
      <c r="F153" s="724" t="s">
        <v>781</v>
      </c>
      <c r="G153" s="724"/>
      <c r="H153" s="724"/>
    </row>
    <row r="154" spans="1:8">
      <c r="A154" s="722" t="s">
        <v>430</v>
      </c>
      <c r="B154" s="722" t="s">
        <v>431</v>
      </c>
      <c r="C154" s="723">
        <v>728</v>
      </c>
      <c r="D154" s="723"/>
      <c r="E154" s="723"/>
      <c r="F154" s="724" t="s">
        <v>785</v>
      </c>
      <c r="G154" s="724"/>
      <c r="H154" s="724"/>
    </row>
    <row r="155" spans="1:8">
      <c r="A155" s="722" t="s">
        <v>179</v>
      </c>
      <c r="B155" s="722" t="s">
        <v>180</v>
      </c>
      <c r="C155" s="723">
        <v>16784</v>
      </c>
      <c r="D155" s="723"/>
      <c r="E155" s="723"/>
      <c r="F155" s="724" t="s">
        <v>781</v>
      </c>
      <c r="G155" s="724"/>
      <c r="H155" s="724"/>
    </row>
    <row r="156" spans="1:8">
      <c r="A156" s="722" t="s">
        <v>512</v>
      </c>
      <c r="B156" s="722" t="s">
        <v>513</v>
      </c>
      <c r="C156" s="723">
        <v>17597</v>
      </c>
      <c r="D156" s="723"/>
      <c r="E156" s="723"/>
      <c r="F156" s="724" t="s">
        <v>781</v>
      </c>
      <c r="G156" s="724"/>
      <c r="H156" s="724"/>
    </row>
    <row r="157" spans="1:8">
      <c r="A157" s="722" t="s">
        <v>319</v>
      </c>
      <c r="B157" s="722" t="s">
        <v>320</v>
      </c>
      <c r="C157" s="723">
        <v>785</v>
      </c>
      <c r="D157" s="723"/>
      <c r="E157" s="723"/>
      <c r="F157" s="724" t="s">
        <v>785</v>
      </c>
      <c r="G157" s="724"/>
      <c r="H157" s="724"/>
    </row>
    <row r="158" spans="1:8">
      <c r="A158" s="722" t="s">
        <v>391</v>
      </c>
      <c r="B158" s="722" t="s">
        <v>392</v>
      </c>
      <c r="C158" s="723">
        <v>0</v>
      </c>
      <c r="D158" s="723"/>
      <c r="E158" s="723"/>
      <c r="F158" s="724"/>
      <c r="G158" s="724"/>
      <c r="H158" s="724"/>
    </row>
    <row r="159" spans="1:8">
      <c r="A159" s="722" t="s">
        <v>409</v>
      </c>
      <c r="B159" s="722" t="s">
        <v>410</v>
      </c>
      <c r="C159" s="723">
        <v>79073</v>
      </c>
      <c r="D159" s="723">
        <v>8</v>
      </c>
      <c r="E159" s="723">
        <v>8</v>
      </c>
      <c r="F159" s="724" t="s">
        <v>781</v>
      </c>
      <c r="G159" s="724"/>
      <c r="H159" s="724"/>
    </row>
    <row r="160" spans="1:8">
      <c r="A160" s="722" t="s">
        <v>139</v>
      </c>
      <c r="B160" s="722" t="s">
        <v>140</v>
      </c>
      <c r="C160" s="723">
        <v>2017</v>
      </c>
      <c r="D160" s="723"/>
      <c r="E160" s="723"/>
      <c r="F160" s="724" t="s">
        <v>1350</v>
      </c>
      <c r="G160" s="724"/>
      <c r="H160" s="724"/>
    </row>
    <row r="161" spans="1:8">
      <c r="A161" s="722" t="s">
        <v>260</v>
      </c>
      <c r="B161" s="722" t="s">
        <v>261</v>
      </c>
      <c r="C161" s="723">
        <v>0</v>
      </c>
      <c r="D161" s="723"/>
      <c r="E161" s="723"/>
      <c r="F161" s="724"/>
      <c r="G161" s="724"/>
      <c r="H161" s="724"/>
    </row>
    <row r="162" spans="1:8">
      <c r="A162" s="722" t="s">
        <v>125</v>
      </c>
      <c r="B162" s="722" t="s">
        <v>126</v>
      </c>
      <c r="C162" s="723">
        <v>116509</v>
      </c>
      <c r="D162" s="723"/>
      <c r="E162" s="723"/>
      <c r="F162" s="724" t="s">
        <v>781</v>
      </c>
      <c r="G162" s="724"/>
      <c r="H162" s="724"/>
    </row>
    <row r="163" spans="1:8">
      <c r="A163" s="722" t="s">
        <v>571</v>
      </c>
      <c r="B163" s="722" t="s">
        <v>572</v>
      </c>
      <c r="C163" s="723">
        <v>49680</v>
      </c>
      <c r="D163" s="723"/>
      <c r="E163" s="723">
        <v>168</v>
      </c>
      <c r="F163" s="724" t="s">
        <v>781</v>
      </c>
      <c r="G163" s="724"/>
      <c r="H163" s="724"/>
    </row>
    <row r="164" spans="1:8">
      <c r="A164" s="722" t="s">
        <v>516</v>
      </c>
      <c r="B164" s="722" t="s">
        <v>517</v>
      </c>
      <c r="C164" s="723">
        <v>17036</v>
      </c>
      <c r="D164" s="723"/>
      <c r="E164" s="723"/>
      <c r="F164" s="724" t="s">
        <v>781</v>
      </c>
      <c r="G164" s="724"/>
      <c r="H164" s="724"/>
    </row>
    <row r="165" spans="1:8">
      <c r="A165" s="722" t="s">
        <v>389</v>
      </c>
      <c r="B165" s="722" t="s">
        <v>390</v>
      </c>
      <c r="C165" s="723">
        <v>0</v>
      </c>
      <c r="D165" s="723"/>
      <c r="E165" s="723"/>
      <c r="F165" s="724"/>
      <c r="G165" s="724"/>
      <c r="H165" s="724"/>
    </row>
    <row r="166" spans="1:8">
      <c r="A166" s="722" t="s">
        <v>386</v>
      </c>
      <c r="B166" s="722" t="s">
        <v>610</v>
      </c>
      <c r="C166" s="723">
        <v>258153</v>
      </c>
      <c r="D166" s="723"/>
      <c r="E166" s="723"/>
      <c r="F166" s="724" t="s">
        <v>781</v>
      </c>
      <c r="G166" s="724"/>
      <c r="H166" s="724"/>
    </row>
    <row r="167" spans="1:8">
      <c r="A167" s="722" t="s">
        <v>399</v>
      </c>
      <c r="B167" s="722" t="s">
        <v>400</v>
      </c>
      <c r="C167" s="723">
        <v>408371</v>
      </c>
      <c r="D167" s="723">
        <v>6</v>
      </c>
      <c r="E167" s="723"/>
      <c r="F167" s="724" t="s">
        <v>781</v>
      </c>
      <c r="G167" s="724"/>
      <c r="H167" s="724"/>
    </row>
    <row r="168" spans="1:8">
      <c r="A168" s="722" t="s">
        <v>252</v>
      </c>
      <c r="B168" s="722" t="s">
        <v>253</v>
      </c>
      <c r="C168" s="723">
        <v>1710</v>
      </c>
      <c r="D168" s="723"/>
      <c r="E168" s="723"/>
      <c r="F168" s="724" t="s">
        <v>785</v>
      </c>
      <c r="G168" s="724"/>
      <c r="H168" s="724"/>
    </row>
    <row r="169" spans="1:8">
      <c r="A169" s="722" t="s">
        <v>331</v>
      </c>
      <c r="B169" s="722" t="s">
        <v>611</v>
      </c>
      <c r="C169" s="723">
        <v>1037</v>
      </c>
      <c r="D169" s="723"/>
      <c r="E169" s="723"/>
      <c r="F169" s="724" t="s">
        <v>1350</v>
      </c>
      <c r="G169" s="724"/>
      <c r="H169" s="724"/>
    </row>
    <row r="170" spans="1:8">
      <c r="A170" s="722" t="s">
        <v>309</v>
      </c>
      <c r="B170" s="722" t="s">
        <v>310</v>
      </c>
      <c r="C170" s="723">
        <v>14627</v>
      </c>
      <c r="D170" s="723"/>
      <c r="E170" s="723">
        <v>87</v>
      </c>
      <c r="F170" s="724" t="s">
        <v>781</v>
      </c>
      <c r="G170" s="724"/>
      <c r="H170" s="724"/>
    </row>
    <row r="171" spans="1:8">
      <c r="A171" s="722" t="s">
        <v>336</v>
      </c>
      <c r="B171" s="722" t="s">
        <v>337</v>
      </c>
      <c r="C171" s="723">
        <v>0</v>
      </c>
      <c r="D171" s="723"/>
      <c r="E171" s="723"/>
      <c r="F171" s="724"/>
      <c r="G171" s="724"/>
      <c r="H171" s="724"/>
    </row>
    <row r="172" spans="1:8">
      <c r="A172" s="722" t="s">
        <v>428</v>
      </c>
      <c r="B172" s="722" t="s">
        <v>429</v>
      </c>
      <c r="C172" s="723">
        <v>0</v>
      </c>
      <c r="D172" s="723"/>
      <c r="E172" s="723"/>
      <c r="F172" s="724"/>
      <c r="G172" s="724"/>
      <c r="H172" s="724"/>
    </row>
    <row r="173" spans="1:8">
      <c r="A173" s="722" t="s">
        <v>514</v>
      </c>
      <c r="B173" s="722" t="s">
        <v>515</v>
      </c>
      <c r="C173" s="723">
        <v>32700</v>
      </c>
      <c r="D173" s="723"/>
      <c r="E173" s="723"/>
      <c r="F173" s="724" t="s">
        <v>781</v>
      </c>
      <c r="G173" s="724"/>
      <c r="H173" s="724"/>
    </row>
    <row r="174" spans="1:8">
      <c r="A174" s="722" t="s">
        <v>136</v>
      </c>
      <c r="B174" s="722" t="s">
        <v>137</v>
      </c>
      <c r="C174" s="723">
        <v>0</v>
      </c>
      <c r="D174" s="723"/>
      <c r="E174" s="723"/>
      <c r="F174" s="724"/>
      <c r="G174" s="724"/>
      <c r="H174" s="724"/>
    </row>
    <row r="175" spans="1:8">
      <c r="A175" s="722" t="s">
        <v>106</v>
      </c>
      <c r="B175" s="722" t="s">
        <v>107</v>
      </c>
      <c r="C175" s="723">
        <v>121161</v>
      </c>
      <c r="D175" s="723"/>
      <c r="E175" s="723"/>
      <c r="F175" s="724" t="s">
        <v>781</v>
      </c>
      <c r="G175" s="724"/>
      <c r="H175" s="724"/>
    </row>
    <row r="176" spans="1:8">
      <c r="A176" s="722" t="s">
        <v>214</v>
      </c>
      <c r="B176" s="722" t="s">
        <v>215</v>
      </c>
      <c r="C176" s="723">
        <v>27964</v>
      </c>
      <c r="D176" s="723"/>
      <c r="E176" s="723"/>
      <c r="F176" s="724" t="s">
        <v>781</v>
      </c>
      <c r="G176" s="724"/>
      <c r="H176" s="724"/>
    </row>
    <row r="177" spans="1:10">
      <c r="A177" s="722" t="s">
        <v>305</v>
      </c>
      <c r="B177" s="722" t="s">
        <v>306</v>
      </c>
      <c r="C177" s="723">
        <v>21044</v>
      </c>
      <c r="D177" s="723"/>
      <c r="E177" s="723"/>
      <c r="F177" s="724" t="s">
        <v>781</v>
      </c>
      <c r="G177" s="724"/>
      <c r="H177" s="724"/>
    </row>
    <row r="178" spans="1:10">
      <c r="A178" s="722" t="s">
        <v>334</v>
      </c>
      <c r="B178" s="722" t="s">
        <v>335</v>
      </c>
      <c r="C178" s="723">
        <v>0</v>
      </c>
      <c r="D178" s="723"/>
      <c r="E178" s="723"/>
      <c r="F178" s="724"/>
      <c r="G178" s="724"/>
      <c r="H178" s="724"/>
    </row>
    <row r="179" spans="1:10" s="732" customFormat="1">
      <c r="A179" s="722" t="s">
        <v>474</v>
      </c>
      <c r="B179" s="722" t="s">
        <v>475</v>
      </c>
      <c r="C179" s="723">
        <v>98184</v>
      </c>
      <c r="D179" s="723"/>
      <c r="E179" s="723"/>
      <c r="F179" s="724" t="s">
        <v>781</v>
      </c>
      <c r="G179" s="724"/>
      <c r="H179" s="724"/>
      <c r="I179" s="725"/>
      <c r="J179" s="725"/>
    </row>
    <row r="180" spans="1:10">
      <c r="A180" s="722" t="s">
        <v>468</v>
      </c>
      <c r="B180" s="722" t="s">
        <v>469</v>
      </c>
      <c r="C180" s="723">
        <v>0</v>
      </c>
      <c r="D180" s="723"/>
      <c r="E180" s="723"/>
      <c r="F180" s="724"/>
      <c r="G180" s="724"/>
      <c r="H180" s="724"/>
    </row>
    <row r="181" spans="1:10">
      <c r="A181" s="722" t="s">
        <v>209</v>
      </c>
      <c r="B181" s="722" t="s">
        <v>210</v>
      </c>
      <c r="C181" s="723">
        <v>190119</v>
      </c>
      <c r="D181" s="723"/>
      <c r="E181" s="723">
        <v>20</v>
      </c>
      <c r="F181" s="724" t="s">
        <v>781</v>
      </c>
      <c r="G181" s="724"/>
      <c r="H181" s="724"/>
    </row>
    <row r="182" spans="1:10">
      <c r="A182" s="722" t="s">
        <v>157</v>
      </c>
      <c r="B182" s="722" t="s">
        <v>158</v>
      </c>
      <c r="C182" s="723">
        <v>20903</v>
      </c>
      <c r="D182" s="723">
        <v>2</v>
      </c>
      <c r="E182" s="723"/>
      <c r="F182" s="724" t="s">
        <v>781</v>
      </c>
      <c r="G182" s="724"/>
      <c r="H182" s="724"/>
    </row>
    <row r="183" spans="1:10" s="732" customFormat="1">
      <c r="A183" s="722" t="s">
        <v>541</v>
      </c>
      <c r="B183" s="722" t="s">
        <v>542</v>
      </c>
      <c r="C183" s="723">
        <v>0</v>
      </c>
      <c r="D183" s="723"/>
      <c r="E183" s="723"/>
      <c r="F183" s="724"/>
      <c r="G183" s="724"/>
      <c r="H183" s="724"/>
      <c r="I183" s="725"/>
      <c r="J183" s="725"/>
    </row>
    <row r="184" spans="1:10">
      <c r="A184" s="722" t="s">
        <v>155</v>
      </c>
      <c r="B184" s="722" t="s">
        <v>156</v>
      </c>
      <c r="C184" s="723">
        <v>0</v>
      </c>
      <c r="D184" s="723"/>
      <c r="E184" s="723"/>
      <c r="F184" s="724"/>
      <c r="G184" s="724"/>
      <c r="H184" s="724"/>
    </row>
    <row r="185" spans="1:10">
      <c r="A185" s="722" t="s">
        <v>153</v>
      </c>
      <c r="B185" s="722" t="s">
        <v>154</v>
      </c>
      <c r="C185" s="723">
        <v>8882</v>
      </c>
      <c r="D185" s="723"/>
      <c r="E185" s="723"/>
      <c r="F185" s="724" t="s">
        <v>785</v>
      </c>
      <c r="G185" s="724"/>
      <c r="H185" s="724"/>
    </row>
    <row r="186" spans="1:10">
      <c r="A186" s="722" t="s">
        <v>287</v>
      </c>
      <c r="B186" s="722" t="s">
        <v>288</v>
      </c>
      <c r="C186" s="723">
        <v>0</v>
      </c>
      <c r="D186" s="723"/>
      <c r="E186" s="723"/>
      <c r="F186" s="724"/>
      <c r="G186" s="724"/>
      <c r="H186" s="724"/>
    </row>
    <row r="187" spans="1:10">
      <c r="A187" s="722" t="s">
        <v>313</v>
      </c>
      <c r="B187" s="722" t="s">
        <v>314</v>
      </c>
      <c r="C187" s="723">
        <v>15355</v>
      </c>
      <c r="D187" s="723"/>
      <c r="E187" s="723"/>
      <c r="F187" s="724" t="s">
        <v>781</v>
      </c>
      <c r="G187" s="724"/>
      <c r="H187" s="724"/>
    </row>
    <row r="188" spans="1:10">
      <c r="A188" s="722" t="s">
        <v>478</v>
      </c>
      <c r="B188" s="722" t="s">
        <v>479</v>
      </c>
      <c r="C188" s="723">
        <v>33512</v>
      </c>
      <c r="D188" s="723"/>
      <c r="E188" s="723">
        <v>11</v>
      </c>
      <c r="F188" s="724" t="s">
        <v>781</v>
      </c>
      <c r="G188" s="724"/>
      <c r="H188" s="724"/>
    </row>
    <row r="189" spans="1:10">
      <c r="A189" s="722" t="s">
        <v>311</v>
      </c>
      <c r="B189" s="722" t="s">
        <v>312</v>
      </c>
      <c r="C189" s="723">
        <v>15271</v>
      </c>
      <c r="D189" s="723"/>
      <c r="E189" s="723"/>
      <c r="F189" s="724" t="s">
        <v>781</v>
      </c>
      <c r="G189" s="724"/>
      <c r="H189" s="724"/>
    </row>
    <row r="190" spans="1:10">
      <c r="A190" s="722" t="s">
        <v>270</v>
      </c>
      <c r="B190" s="722" t="s">
        <v>271</v>
      </c>
      <c r="C190" s="723">
        <v>4119</v>
      </c>
      <c r="D190" s="723"/>
      <c r="E190" s="723"/>
      <c r="F190" s="724" t="s">
        <v>785</v>
      </c>
      <c r="G190" s="724"/>
      <c r="H190" s="724"/>
    </row>
    <row r="191" spans="1:10">
      <c r="A191" s="722" t="s">
        <v>448</v>
      </c>
      <c r="B191" s="722" t="s">
        <v>449</v>
      </c>
      <c r="C191" s="723">
        <v>0</v>
      </c>
      <c r="D191" s="723"/>
      <c r="E191" s="723"/>
      <c r="F191" s="724"/>
      <c r="G191" s="724"/>
      <c r="H191" s="724"/>
    </row>
    <row r="192" spans="1:10">
      <c r="A192" s="722" t="s">
        <v>424</v>
      </c>
      <c r="B192" s="722" t="s">
        <v>425</v>
      </c>
      <c r="C192" s="723">
        <v>0</v>
      </c>
      <c r="D192" s="723"/>
      <c r="E192" s="723"/>
      <c r="F192" s="724"/>
      <c r="G192" s="724"/>
      <c r="H192" s="724"/>
      <c r="I192" s="732"/>
      <c r="J192" s="732"/>
    </row>
    <row r="193" spans="1:10">
      <c r="A193" s="722" t="s">
        <v>98</v>
      </c>
      <c r="B193" s="722" t="s">
        <v>99</v>
      </c>
      <c r="C193" s="723">
        <v>0</v>
      </c>
      <c r="D193" s="723"/>
      <c r="E193" s="723"/>
      <c r="F193" s="724"/>
      <c r="G193" s="724"/>
      <c r="H193" s="724"/>
    </row>
    <row r="194" spans="1:10">
      <c r="A194" s="722" t="s">
        <v>82</v>
      </c>
      <c r="B194" s="722" t="s">
        <v>83</v>
      </c>
      <c r="C194" s="723">
        <v>17540</v>
      </c>
      <c r="D194" s="723"/>
      <c r="E194" s="723"/>
      <c r="F194" s="724" t="s">
        <v>781</v>
      </c>
      <c r="G194" s="724"/>
      <c r="H194" s="724"/>
    </row>
    <row r="195" spans="1:10">
      <c r="A195" s="722" t="s">
        <v>323</v>
      </c>
      <c r="B195" s="722" t="s">
        <v>324</v>
      </c>
      <c r="C195" s="723">
        <v>17009</v>
      </c>
      <c r="D195" s="723"/>
      <c r="E195" s="723"/>
      <c r="F195" s="724" t="s">
        <v>781</v>
      </c>
      <c r="G195" s="724"/>
      <c r="H195" s="724"/>
    </row>
    <row r="196" spans="1:10">
      <c r="A196" s="722" t="s">
        <v>355</v>
      </c>
      <c r="B196" s="722" t="s">
        <v>356</v>
      </c>
      <c r="C196" s="723">
        <v>5044</v>
      </c>
      <c r="D196" s="723"/>
      <c r="E196" s="723"/>
      <c r="F196" s="724" t="s">
        <v>785</v>
      </c>
      <c r="G196" s="724"/>
      <c r="H196" s="724"/>
      <c r="I196" s="732"/>
      <c r="J196" s="732"/>
    </row>
    <row r="197" spans="1:10">
      <c r="A197" s="722" t="s">
        <v>4</v>
      </c>
      <c r="B197" s="722" t="s">
        <v>5</v>
      </c>
      <c r="C197" s="723">
        <v>242126</v>
      </c>
      <c r="D197" s="723"/>
      <c r="E197" s="723"/>
      <c r="F197" s="724" t="s">
        <v>781</v>
      </c>
      <c r="G197" s="724"/>
      <c r="H197" s="724"/>
    </row>
    <row r="198" spans="1:10">
      <c r="A198" s="722" t="s">
        <v>527</v>
      </c>
      <c r="B198" s="722" t="s">
        <v>528</v>
      </c>
      <c r="C198" s="723">
        <v>0</v>
      </c>
      <c r="D198" s="723"/>
      <c r="E198" s="723"/>
      <c r="F198" s="724"/>
      <c r="G198" s="724"/>
      <c r="H198" s="724"/>
    </row>
    <row r="199" spans="1:10">
      <c r="A199" s="722" t="s">
        <v>104</v>
      </c>
      <c r="B199" s="722" t="s">
        <v>105</v>
      </c>
      <c r="C199" s="723">
        <v>935438</v>
      </c>
      <c r="D199" s="723"/>
      <c r="E199" s="723"/>
      <c r="F199" s="724" t="s">
        <v>781</v>
      </c>
      <c r="G199" s="724"/>
      <c r="H199" s="724"/>
    </row>
    <row r="200" spans="1:10">
      <c r="A200" s="722" t="s">
        <v>272</v>
      </c>
      <c r="B200" s="722" t="s">
        <v>273</v>
      </c>
      <c r="C200" s="723">
        <v>0</v>
      </c>
      <c r="D200" s="723"/>
      <c r="E200" s="723"/>
      <c r="F200" s="724"/>
      <c r="G200" s="724"/>
      <c r="H200" s="724"/>
    </row>
    <row r="201" spans="1:10">
      <c r="A201" s="722" t="s">
        <v>359</v>
      </c>
      <c r="B201" s="722" t="s">
        <v>360</v>
      </c>
      <c r="C201" s="723">
        <v>12357</v>
      </c>
      <c r="D201" s="723"/>
      <c r="E201" s="723"/>
      <c r="F201" s="724" t="s">
        <v>781</v>
      </c>
      <c r="G201" s="724"/>
      <c r="H201" s="724"/>
    </row>
    <row r="202" spans="1:10">
      <c r="A202" s="722" t="s">
        <v>303</v>
      </c>
      <c r="B202" s="722" t="s">
        <v>304</v>
      </c>
      <c r="C202" s="723">
        <v>0</v>
      </c>
      <c r="D202" s="723"/>
      <c r="E202" s="723"/>
      <c r="F202" s="724"/>
      <c r="G202" s="724"/>
      <c r="H202" s="724"/>
    </row>
    <row r="203" spans="1:10">
      <c r="A203" s="722" t="s">
        <v>39</v>
      </c>
      <c r="B203" s="722" t="s">
        <v>40</v>
      </c>
      <c r="C203" s="723">
        <v>4988</v>
      </c>
      <c r="D203" s="723"/>
      <c r="E203" s="723"/>
      <c r="F203" s="724" t="s">
        <v>785</v>
      </c>
      <c r="G203" s="724"/>
      <c r="H203" s="724"/>
    </row>
    <row r="204" spans="1:10">
      <c r="A204" s="722" t="s">
        <v>171</v>
      </c>
      <c r="B204" s="722" t="s">
        <v>172</v>
      </c>
      <c r="C204" s="723">
        <v>1765</v>
      </c>
      <c r="D204" s="723"/>
      <c r="E204" s="723"/>
      <c r="F204" s="724" t="s">
        <v>781</v>
      </c>
      <c r="G204" s="724"/>
      <c r="H204" s="724"/>
    </row>
    <row r="205" spans="1:10">
      <c r="A205" s="722" t="s">
        <v>502</v>
      </c>
      <c r="B205" s="722" t="s">
        <v>503</v>
      </c>
      <c r="C205" s="723">
        <v>18297</v>
      </c>
      <c r="D205" s="723"/>
      <c r="E205" s="723"/>
      <c r="F205" s="724" t="s">
        <v>781</v>
      </c>
      <c r="G205" s="724"/>
      <c r="H205" s="724"/>
    </row>
    <row r="206" spans="1:10">
      <c r="A206" s="722" t="s">
        <v>21</v>
      </c>
      <c r="B206" s="722" t="s">
        <v>22</v>
      </c>
      <c r="C206" s="723">
        <v>100117</v>
      </c>
      <c r="D206" s="723"/>
      <c r="E206" s="723"/>
      <c r="F206" s="724" t="s">
        <v>781</v>
      </c>
      <c r="G206" s="724"/>
      <c r="H206" s="724"/>
    </row>
    <row r="207" spans="1:10">
      <c r="A207" s="722" t="s">
        <v>523</v>
      </c>
      <c r="B207" s="722" t="s">
        <v>524</v>
      </c>
      <c r="C207" s="723">
        <v>18914</v>
      </c>
      <c r="D207" s="723"/>
      <c r="E207" s="723"/>
      <c r="F207" s="724" t="s">
        <v>781</v>
      </c>
      <c r="G207" s="724"/>
      <c r="H207" s="724"/>
    </row>
    <row r="208" spans="1:10">
      <c r="A208" s="722" t="s">
        <v>343</v>
      </c>
      <c r="B208" s="722" t="s">
        <v>344</v>
      </c>
      <c r="C208" s="723">
        <v>115724</v>
      </c>
      <c r="D208" s="723"/>
      <c r="E208" s="723"/>
      <c r="F208" s="724" t="s">
        <v>781</v>
      </c>
      <c r="G208" s="724"/>
      <c r="H208" s="724"/>
    </row>
    <row r="209" spans="1:8">
      <c r="A209" s="722" t="s">
        <v>163</v>
      </c>
      <c r="B209" s="722" t="s">
        <v>164</v>
      </c>
      <c r="C209" s="723">
        <v>0</v>
      </c>
      <c r="D209" s="723"/>
      <c r="E209" s="723"/>
      <c r="F209" s="724"/>
      <c r="G209" s="724"/>
      <c r="H209" s="724"/>
    </row>
    <row r="210" spans="1:8">
      <c r="A210" s="722" t="s">
        <v>167</v>
      </c>
      <c r="B210" s="722" t="s">
        <v>168</v>
      </c>
      <c r="C210" s="723">
        <v>0</v>
      </c>
      <c r="D210" s="723"/>
      <c r="E210" s="723"/>
      <c r="F210" s="724"/>
      <c r="G210" s="724"/>
      <c r="H210" s="724"/>
    </row>
    <row r="211" spans="1:8">
      <c r="A211" s="722" t="s">
        <v>47</v>
      </c>
      <c r="B211" s="722" t="s">
        <v>48</v>
      </c>
      <c r="C211" s="723">
        <v>15467</v>
      </c>
      <c r="D211" s="723"/>
      <c r="E211" s="723"/>
      <c r="F211" s="724" t="s">
        <v>781</v>
      </c>
      <c r="G211" s="724"/>
      <c r="H211" s="724"/>
    </row>
    <row r="212" spans="1:8">
      <c r="A212" s="722" t="s">
        <v>116</v>
      </c>
      <c r="B212" s="722" t="s">
        <v>117</v>
      </c>
      <c r="C212" s="723">
        <v>166834</v>
      </c>
      <c r="D212" s="723"/>
      <c r="E212" s="723"/>
      <c r="F212" s="724" t="s">
        <v>781</v>
      </c>
      <c r="G212" s="724"/>
      <c r="H212" s="724"/>
    </row>
    <row r="213" spans="1:8">
      <c r="A213" s="722" t="s">
        <v>480</v>
      </c>
      <c r="B213" s="722" t="s">
        <v>481</v>
      </c>
      <c r="C213" s="723">
        <v>0</v>
      </c>
      <c r="D213" s="723"/>
      <c r="E213" s="723"/>
      <c r="F213" s="724"/>
      <c r="G213" s="724"/>
      <c r="H213" s="724"/>
    </row>
    <row r="214" spans="1:8">
      <c r="A214" s="722" t="s">
        <v>282</v>
      </c>
      <c r="B214" s="722" t="s">
        <v>665</v>
      </c>
      <c r="C214" s="723">
        <v>3194</v>
      </c>
      <c r="D214" s="723"/>
      <c r="E214" s="723"/>
      <c r="F214" s="724" t="s">
        <v>785</v>
      </c>
      <c r="G214" s="724"/>
      <c r="H214" s="724"/>
    </row>
    <row r="215" spans="1:8">
      <c r="A215" s="722" t="s">
        <v>185</v>
      </c>
      <c r="B215" s="722" t="s">
        <v>186</v>
      </c>
      <c r="C215" s="723">
        <v>369115</v>
      </c>
      <c r="D215" s="723">
        <v>3</v>
      </c>
      <c r="E215" s="723"/>
      <c r="F215" s="724" t="s">
        <v>781</v>
      </c>
      <c r="G215" s="724"/>
      <c r="H215" s="724"/>
    </row>
    <row r="216" spans="1:8">
      <c r="A216" s="722" t="s">
        <v>102</v>
      </c>
      <c r="B216" s="722" t="s">
        <v>103</v>
      </c>
      <c r="C216" s="723">
        <v>0</v>
      </c>
      <c r="D216" s="723"/>
      <c r="E216" s="723"/>
      <c r="F216" s="724"/>
      <c r="G216" s="724"/>
      <c r="H216" s="724"/>
    </row>
    <row r="217" spans="1:8">
      <c r="A217" s="722" t="s">
        <v>23</v>
      </c>
      <c r="B217" s="722" t="s">
        <v>24</v>
      </c>
      <c r="C217" s="723">
        <v>56938</v>
      </c>
      <c r="D217" s="723"/>
      <c r="E217" s="723"/>
      <c r="F217" s="724" t="s">
        <v>781</v>
      </c>
      <c r="G217" s="724"/>
      <c r="H217" s="724"/>
    </row>
    <row r="218" spans="1:8">
      <c r="A218" s="722" t="s">
        <v>8</v>
      </c>
      <c r="B218" s="722" t="s">
        <v>9</v>
      </c>
      <c r="C218" s="723">
        <v>0</v>
      </c>
      <c r="D218" s="723"/>
      <c r="E218" s="723"/>
      <c r="F218" s="724"/>
      <c r="G218" s="724"/>
      <c r="H218" s="724"/>
    </row>
    <row r="219" spans="1:8">
      <c r="A219" s="722" t="s">
        <v>446</v>
      </c>
      <c r="B219" s="722" t="s">
        <v>447</v>
      </c>
      <c r="C219" s="723">
        <v>2017</v>
      </c>
      <c r="D219" s="723"/>
      <c r="E219" s="723"/>
      <c r="F219" s="724" t="s">
        <v>785</v>
      </c>
      <c r="G219" s="724"/>
      <c r="H219" s="724"/>
    </row>
    <row r="220" spans="1:8">
      <c r="A220" s="722" t="s">
        <v>193</v>
      </c>
      <c r="B220" s="722" t="s">
        <v>194</v>
      </c>
      <c r="C220" s="723">
        <v>11992</v>
      </c>
      <c r="D220" s="723"/>
      <c r="E220" s="723"/>
      <c r="F220" s="724" t="s">
        <v>781</v>
      </c>
      <c r="G220" s="724"/>
      <c r="H220" s="724"/>
    </row>
    <row r="221" spans="1:8">
      <c r="A221" s="722" t="s">
        <v>484</v>
      </c>
      <c r="B221" s="722" t="s">
        <v>485</v>
      </c>
      <c r="C221" s="723">
        <v>21407</v>
      </c>
      <c r="D221" s="723"/>
      <c r="E221" s="723">
        <v>9</v>
      </c>
      <c r="F221" s="724" t="s">
        <v>781</v>
      </c>
      <c r="G221" s="724"/>
      <c r="H221" s="724"/>
    </row>
    <row r="222" spans="1:8">
      <c r="A222" s="722" t="s">
        <v>244</v>
      </c>
      <c r="B222" s="722" t="s">
        <v>245</v>
      </c>
      <c r="C222" s="723">
        <v>1290</v>
      </c>
      <c r="D222" s="723"/>
      <c r="E222" s="723"/>
      <c r="F222" s="724" t="s">
        <v>785</v>
      </c>
      <c r="G222" s="724"/>
      <c r="H222" s="724"/>
    </row>
    <row r="223" spans="1:8">
      <c r="A223" s="722" t="s">
        <v>537</v>
      </c>
      <c r="B223" s="722" t="s">
        <v>538</v>
      </c>
      <c r="C223" s="723">
        <v>0</v>
      </c>
      <c r="D223" s="723"/>
      <c r="E223" s="723"/>
      <c r="F223" s="724"/>
      <c r="G223" s="724"/>
      <c r="H223" s="724"/>
    </row>
    <row r="224" spans="1:8">
      <c r="A224" s="722" t="s">
        <v>123</v>
      </c>
      <c r="B224" s="722" t="s">
        <v>124</v>
      </c>
      <c r="C224" s="723">
        <v>115080</v>
      </c>
      <c r="D224" s="723"/>
      <c r="E224" s="723"/>
      <c r="F224" s="724" t="s">
        <v>781</v>
      </c>
      <c r="G224" s="724"/>
      <c r="H224" s="724"/>
    </row>
    <row r="225" spans="1:8">
      <c r="A225" s="722" t="s">
        <v>149</v>
      </c>
      <c r="B225" s="722" t="s">
        <v>150</v>
      </c>
      <c r="C225" s="723">
        <v>0</v>
      </c>
      <c r="D225" s="723"/>
      <c r="E225" s="723"/>
      <c r="F225" s="724"/>
      <c r="G225" s="724"/>
      <c r="H225" s="724"/>
    </row>
    <row r="226" spans="1:8">
      <c r="A226" s="722" t="s">
        <v>173</v>
      </c>
      <c r="B226" s="722" t="s">
        <v>174</v>
      </c>
      <c r="C226" s="723">
        <v>983525</v>
      </c>
      <c r="D226" s="723">
        <v>35</v>
      </c>
      <c r="E226" s="723">
        <v>117</v>
      </c>
      <c r="F226" s="724" t="s">
        <v>781</v>
      </c>
      <c r="G226" s="724"/>
      <c r="H226" s="724"/>
    </row>
    <row r="227" spans="1:8">
      <c r="A227" s="722" t="s">
        <v>379</v>
      </c>
      <c r="B227" s="722" t="s">
        <v>615</v>
      </c>
      <c r="C227" s="723">
        <v>38613</v>
      </c>
      <c r="D227" s="723"/>
      <c r="E227" s="723"/>
      <c r="F227" s="724" t="s">
        <v>781</v>
      </c>
      <c r="G227" s="724"/>
      <c r="H227" s="724"/>
    </row>
    <row r="228" spans="1:8">
      <c r="A228" s="726" t="s">
        <v>551</v>
      </c>
      <c r="B228" s="726" t="s">
        <v>552</v>
      </c>
      <c r="C228" s="723">
        <v>34605</v>
      </c>
      <c r="D228" s="723"/>
      <c r="E228" s="723"/>
      <c r="F228" s="724" t="s">
        <v>781</v>
      </c>
      <c r="G228" s="724"/>
      <c r="H228" s="724"/>
    </row>
    <row r="229" spans="1:8">
      <c r="A229" s="722" t="s">
        <v>340</v>
      </c>
      <c r="B229" s="722" t="s">
        <v>341</v>
      </c>
      <c r="C229" s="723">
        <v>0</v>
      </c>
      <c r="D229" s="723"/>
      <c r="E229" s="723"/>
      <c r="F229" s="724"/>
      <c r="G229" s="724"/>
      <c r="H229" s="724"/>
    </row>
    <row r="230" spans="1:8">
      <c r="A230" s="722" t="s">
        <v>43</v>
      </c>
      <c r="B230" s="722" t="s">
        <v>44</v>
      </c>
      <c r="C230" s="723">
        <v>6780</v>
      </c>
      <c r="D230" s="723"/>
      <c r="E230" s="723"/>
      <c r="F230" s="724" t="s">
        <v>1350</v>
      </c>
      <c r="G230" s="724"/>
      <c r="H230" s="724"/>
    </row>
    <row r="231" spans="1:8">
      <c r="A231" s="722" t="s">
        <v>371</v>
      </c>
      <c r="B231" s="722" t="s">
        <v>670</v>
      </c>
      <c r="C231" s="723">
        <v>0</v>
      </c>
      <c r="D231" s="723"/>
      <c r="E231" s="723"/>
      <c r="F231" s="724"/>
      <c r="G231" s="724"/>
      <c r="H231" s="724"/>
    </row>
    <row r="232" spans="1:8">
      <c r="A232" s="722" t="s">
        <v>299</v>
      </c>
      <c r="B232" s="722" t="s">
        <v>300</v>
      </c>
      <c r="C232" s="723">
        <v>61309</v>
      </c>
      <c r="D232" s="723"/>
      <c r="E232" s="723"/>
      <c r="F232" s="724" t="s">
        <v>781</v>
      </c>
      <c r="G232" s="724"/>
      <c r="H232" s="724"/>
    </row>
    <row r="233" spans="1:8">
      <c r="A233" s="722" t="s">
        <v>203</v>
      </c>
      <c r="B233" s="722" t="s">
        <v>204</v>
      </c>
      <c r="C233" s="723">
        <v>97540</v>
      </c>
      <c r="D233" s="723">
        <v>3</v>
      </c>
      <c r="E233" s="723"/>
      <c r="F233" s="724" t="s">
        <v>781</v>
      </c>
      <c r="G233" s="724"/>
      <c r="H233" s="724"/>
    </row>
    <row r="234" spans="1:8">
      <c r="A234" s="722" t="s">
        <v>387</v>
      </c>
      <c r="B234" s="722" t="s">
        <v>388</v>
      </c>
      <c r="C234" s="723">
        <v>0</v>
      </c>
      <c r="D234" s="723"/>
      <c r="E234" s="723"/>
      <c r="F234" s="724"/>
      <c r="G234" s="724"/>
      <c r="H234" s="724"/>
    </row>
    <row r="235" spans="1:8">
      <c r="A235" s="722" t="s">
        <v>187</v>
      </c>
      <c r="B235" s="722" t="s">
        <v>188</v>
      </c>
      <c r="C235" s="723">
        <v>0</v>
      </c>
      <c r="D235" s="723"/>
      <c r="E235" s="723"/>
      <c r="F235" s="724"/>
      <c r="G235" s="724"/>
      <c r="H235" s="724"/>
    </row>
    <row r="236" spans="1:8">
      <c r="A236" s="722" t="s">
        <v>411</v>
      </c>
      <c r="B236" s="722" t="s">
        <v>412</v>
      </c>
      <c r="C236" s="723">
        <v>45506</v>
      </c>
      <c r="D236" s="723"/>
      <c r="E236" s="723"/>
      <c r="F236" s="724" t="s">
        <v>781</v>
      </c>
      <c r="G236" s="724"/>
      <c r="H236" s="724"/>
    </row>
    <row r="237" spans="1:8">
      <c r="A237" s="722" t="s">
        <v>199</v>
      </c>
      <c r="B237" s="722" t="s">
        <v>200</v>
      </c>
      <c r="C237" s="723">
        <v>20679</v>
      </c>
      <c r="D237" s="723"/>
      <c r="E237" s="723"/>
      <c r="F237" s="724" t="s">
        <v>781</v>
      </c>
      <c r="G237" s="724"/>
      <c r="H237" s="724"/>
    </row>
    <row r="238" spans="1:8">
      <c r="A238" s="722" t="s">
        <v>121</v>
      </c>
      <c r="B238" s="722" t="s">
        <v>122</v>
      </c>
      <c r="C238" s="723">
        <v>13253</v>
      </c>
      <c r="D238" s="723"/>
      <c r="E238" s="723"/>
      <c r="F238" s="724" t="s">
        <v>781</v>
      </c>
      <c r="G238" s="724"/>
      <c r="H238" s="724"/>
    </row>
    <row r="239" spans="1:8">
      <c r="A239" s="722" t="s">
        <v>329</v>
      </c>
      <c r="B239" s="722" t="s">
        <v>330</v>
      </c>
      <c r="C239" s="723">
        <v>16000</v>
      </c>
      <c r="D239" s="723"/>
      <c r="E239" s="723"/>
      <c r="F239" s="724" t="s">
        <v>781</v>
      </c>
      <c r="G239" s="724"/>
      <c r="H239" s="724"/>
    </row>
    <row r="240" spans="1:8">
      <c r="A240" s="722" t="s">
        <v>218</v>
      </c>
      <c r="B240" s="722" t="s">
        <v>219</v>
      </c>
      <c r="C240" s="723">
        <v>11685</v>
      </c>
      <c r="D240" s="723"/>
      <c r="E240" s="723"/>
      <c r="F240" s="724" t="s">
        <v>781</v>
      </c>
      <c r="G240" s="724"/>
      <c r="H240" s="724"/>
    </row>
    <row r="241" spans="1:8">
      <c r="A241" s="722" t="s">
        <v>161</v>
      </c>
      <c r="B241" s="722" t="s">
        <v>162</v>
      </c>
      <c r="C241" s="723">
        <v>1905</v>
      </c>
      <c r="D241" s="723"/>
      <c r="E241" s="723"/>
      <c r="F241" s="724" t="s">
        <v>1350</v>
      </c>
      <c r="G241" s="724"/>
      <c r="H241" s="724"/>
    </row>
    <row r="242" spans="1:8">
      <c r="A242" s="722" t="s">
        <v>295</v>
      </c>
      <c r="B242" s="722" t="s">
        <v>296</v>
      </c>
      <c r="C242" s="723">
        <v>644</v>
      </c>
      <c r="D242" s="723"/>
      <c r="E242" s="723"/>
      <c r="F242" s="724" t="s">
        <v>785</v>
      </c>
      <c r="G242" s="724"/>
      <c r="H242" s="724"/>
    </row>
    <row r="243" spans="1:8">
      <c r="A243" s="722" t="s">
        <v>422</v>
      </c>
      <c r="B243" s="722" t="s">
        <v>423</v>
      </c>
      <c r="C243" s="723">
        <v>230413</v>
      </c>
      <c r="D243" s="723">
        <v>1</v>
      </c>
      <c r="E243" s="723"/>
      <c r="F243" s="724" t="s">
        <v>781</v>
      </c>
      <c r="G243" s="724"/>
      <c r="H243" s="724"/>
    </row>
    <row r="244" spans="1:8">
      <c r="A244" s="722" t="s">
        <v>280</v>
      </c>
      <c r="B244" s="722" t="s">
        <v>281</v>
      </c>
      <c r="C244" s="723">
        <v>0</v>
      </c>
      <c r="D244" s="723"/>
      <c r="E244" s="723"/>
      <c r="F244" s="724"/>
      <c r="G244" s="724"/>
      <c r="H244" s="724"/>
    </row>
    <row r="245" spans="1:8">
      <c r="A245" s="722" t="s">
        <v>539</v>
      </c>
      <c r="B245" s="722" t="s">
        <v>540</v>
      </c>
      <c r="C245" s="723">
        <v>0</v>
      </c>
      <c r="D245" s="723"/>
      <c r="E245" s="723"/>
      <c r="F245" s="724"/>
      <c r="G245" s="724"/>
      <c r="H245" s="724"/>
    </row>
    <row r="246" spans="1:8">
      <c r="A246" s="722" t="s">
        <v>421</v>
      </c>
      <c r="B246" s="722" t="s">
        <v>673</v>
      </c>
      <c r="C246" s="723">
        <v>13899</v>
      </c>
      <c r="D246" s="723"/>
      <c r="E246" s="723"/>
      <c r="F246" s="724" t="s">
        <v>781</v>
      </c>
      <c r="G246" s="724"/>
      <c r="H246" s="724"/>
    </row>
    <row r="247" spans="1:8">
      <c r="A247" s="722" t="s">
        <v>108</v>
      </c>
      <c r="B247" s="722" t="s">
        <v>109</v>
      </c>
      <c r="C247" s="723">
        <v>0</v>
      </c>
      <c r="D247" s="723"/>
      <c r="E247" s="723"/>
      <c r="F247" s="724"/>
      <c r="G247" s="724"/>
      <c r="H247" s="724"/>
    </row>
    <row r="248" spans="1:8">
      <c r="A248" s="722" t="s">
        <v>68</v>
      </c>
      <c r="B248" s="722" t="s">
        <v>69</v>
      </c>
      <c r="C248" s="723">
        <v>0</v>
      </c>
      <c r="D248" s="723"/>
      <c r="E248" s="723"/>
      <c r="F248" s="724"/>
      <c r="G248" s="724"/>
      <c r="H248" s="724"/>
    </row>
    <row r="249" spans="1:8">
      <c r="A249" s="722" t="s">
        <v>27</v>
      </c>
      <c r="B249" s="722" t="s">
        <v>28</v>
      </c>
      <c r="C249" s="723">
        <v>0</v>
      </c>
      <c r="D249" s="723"/>
      <c r="E249" s="723"/>
      <c r="F249" s="724"/>
      <c r="G249" s="724"/>
      <c r="H249" s="724"/>
    </row>
    <row r="250" spans="1:8">
      <c r="A250" s="722" t="s">
        <v>342</v>
      </c>
      <c r="B250" s="722" t="s">
        <v>617</v>
      </c>
      <c r="C250" s="723">
        <v>10171</v>
      </c>
      <c r="D250" s="723"/>
      <c r="E250" s="723"/>
      <c r="F250" s="724" t="s">
        <v>781</v>
      </c>
      <c r="G250" s="724"/>
      <c r="H250" s="724"/>
    </row>
    <row r="251" spans="1:8">
      <c r="A251" s="722" t="s">
        <v>531</v>
      </c>
      <c r="B251" s="722" t="s">
        <v>532</v>
      </c>
      <c r="C251" s="723">
        <v>0</v>
      </c>
      <c r="D251" s="723"/>
      <c r="E251" s="723"/>
      <c r="F251" s="724"/>
      <c r="G251" s="724"/>
      <c r="H251" s="724"/>
    </row>
    <row r="252" spans="1:8">
      <c r="A252" s="722" t="s">
        <v>393</v>
      </c>
      <c r="B252" s="722" t="s">
        <v>394</v>
      </c>
      <c r="C252" s="723">
        <v>4484</v>
      </c>
      <c r="D252" s="723"/>
      <c r="E252" s="723"/>
      <c r="F252" s="724" t="s">
        <v>785</v>
      </c>
      <c r="G252" s="724"/>
      <c r="H252" s="724"/>
    </row>
    <row r="253" spans="1:8">
      <c r="A253" s="722" t="s">
        <v>415</v>
      </c>
      <c r="B253" s="722" t="s">
        <v>416</v>
      </c>
      <c r="C253" s="723">
        <v>20456</v>
      </c>
      <c r="D253" s="723"/>
      <c r="E253" s="723"/>
      <c r="F253" s="724" t="s">
        <v>781</v>
      </c>
      <c r="G253" s="724"/>
      <c r="H253" s="724"/>
    </row>
    <row r="254" spans="1:8">
      <c r="A254" s="722" t="s">
        <v>460</v>
      </c>
      <c r="B254" s="722" t="s">
        <v>461</v>
      </c>
      <c r="C254" s="723">
        <v>0</v>
      </c>
      <c r="D254" s="723"/>
      <c r="E254" s="723"/>
      <c r="F254" s="724"/>
      <c r="G254" s="724"/>
      <c r="H254" s="724"/>
    </row>
    <row r="255" spans="1:8">
      <c r="A255" s="722" t="s">
        <v>351</v>
      </c>
      <c r="B255" s="722" t="s">
        <v>352</v>
      </c>
      <c r="C255" s="723">
        <v>47550</v>
      </c>
      <c r="D255" s="723"/>
      <c r="E255" s="723">
        <v>11</v>
      </c>
      <c r="F255" s="724" t="s">
        <v>781</v>
      </c>
      <c r="G255" s="724"/>
      <c r="H255" s="724"/>
    </row>
    <row r="256" spans="1:8">
      <c r="A256" s="722" t="s">
        <v>557</v>
      </c>
      <c r="B256" s="722" t="s">
        <v>558</v>
      </c>
      <c r="C256" s="723">
        <v>351517</v>
      </c>
      <c r="D256" s="723"/>
      <c r="E256" s="723"/>
      <c r="F256" s="724" t="s">
        <v>781</v>
      </c>
      <c r="G256" s="724"/>
      <c r="H256" s="724"/>
    </row>
    <row r="257" spans="1:10">
      <c r="A257" s="722" t="s">
        <v>345</v>
      </c>
      <c r="B257" s="722" t="s">
        <v>346</v>
      </c>
      <c r="C257" s="723">
        <v>398956</v>
      </c>
      <c r="D257" s="723">
        <v>36</v>
      </c>
      <c r="E257" s="723"/>
      <c r="F257" s="724" t="s">
        <v>781</v>
      </c>
      <c r="G257" s="724"/>
      <c r="H257" s="724"/>
    </row>
    <row r="258" spans="1:10">
      <c r="A258" s="722" t="s">
        <v>143</v>
      </c>
      <c r="B258" s="722" t="s">
        <v>144</v>
      </c>
      <c r="C258" s="723">
        <v>0</v>
      </c>
      <c r="D258" s="723"/>
      <c r="E258" s="723"/>
      <c r="F258" s="724"/>
      <c r="G258" s="724"/>
      <c r="H258" s="724"/>
    </row>
    <row r="259" spans="1:10">
      <c r="A259" s="722" t="s">
        <v>197</v>
      </c>
      <c r="B259" s="722" t="s">
        <v>198</v>
      </c>
      <c r="C259" s="723">
        <v>25218</v>
      </c>
      <c r="D259" s="723"/>
      <c r="E259" s="723"/>
      <c r="F259" s="724" t="s">
        <v>781</v>
      </c>
      <c r="G259" s="724"/>
      <c r="H259" s="724"/>
    </row>
    <row r="260" spans="1:10" s="732" customFormat="1">
      <c r="A260" s="722" t="s">
        <v>521</v>
      </c>
      <c r="B260" s="722" t="s">
        <v>522</v>
      </c>
      <c r="C260" s="723">
        <v>0</v>
      </c>
      <c r="D260" s="723"/>
      <c r="E260" s="723"/>
      <c r="F260" s="724"/>
      <c r="G260" s="724"/>
      <c r="H260" s="724"/>
      <c r="I260" s="725"/>
      <c r="J260" s="725"/>
    </row>
    <row r="261" spans="1:10">
      <c r="A261" s="722" t="s">
        <v>224</v>
      </c>
      <c r="B261" s="722" t="s">
        <v>225</v>
      </c>
      <c r="C261" s="723">
        <v>0</v>
      </c>
      <c r="D261" s="723"/>
      <c r="E261" s="723"/>
      <c r="F261" s="724"/>
      <c r="G261" s="724"/>
      <c r="H261" s="724"/>
    </row>
    <row r="262" spans="1:10">
      <c r="A262" s="722" t="s">
        <v>268</v>
      </c>
      <c r="B262" s="722" t="s">
        <v>269</v>
      </c>
      <c r="C262" s="723">
        <v>3811</v>
      </c>
      <c r="D262" s="723"/>
      <c r="E262" s="723"/>
      <c r="F262" s="724" t="s">
        <v>1350</v>
      </c>
      <c r="G262" s="724"/>
      <c r="H262" s="724"/>
    </row>
    <row r="263" spans="1:10">
      <c r="A263" s="722" t="s">
        <v>321</v>
      </c>
      <c r="B263" s="722" t="s">
        <v>322</v>
      </c>
      <c r="C263" s="723">
        <v>27880</v>
      </c>
      <c r="D263" s="723">
        <v>1</v>
      </c>
      <c r="E263" s="723"/>
      <c r="F263" s="724" t="s">
        <v>781</v>
      </c>
      <c r="G263" s="724"/>
      <c r="H263" s="724"/>
    </row>
    <row r="264" spans="1:10">
      <c r="A264" s="733" t="s">
        <v>559</v>
      </c>
      <c r="B264" s="733" t="s">
        <v>560</v>
      </c>
      <c r="C264" s="734">
        <v>218027</v>
      </c>
      <c r="D264" s="734"/>
      <c r="E264" s="734"/>
      <c r="F264" s="727" t="s">
        <v>781</v>
      </c>
      <c r="G264" s="727"/>
      <c r="H264" s="727"/>
      <c r="I264" s="732"/>
      <c r="J264" s="732"/>
    </row>
    <row r="265" spans="1:10">
      <c r="A265" s="722" t="s">
        <v>72</v>
      </c>
      <c r="B265" s="722" t="s">
        <v>73</v>
      </c>
      <c r="C265" s="723">
        <v>0</v>
      </c>
      <c r="D265" s="723"/>
      <c r="E265" s="723">
        <v>227</v>
      </c>
      <c r="F265" s="724"/>
      <c r="G265" s="724"/>
      <c r="H265" s="724"/>
    </row>
    <row r="266" spans="1:10">
      <c r="A266" s="722" t="s">
        <v>238</v>
      </c>
      <c r="B266" s="722" t="s">
        <v>239</v>
      </c>
      <c r="C266" s="723">
        <v>0</v>
      </c>
      <c r="D266" s="723"/>
      <c r="E266" s="723"/>
      <c r="F266" s="724"/>
      <c r="G266" s="724"/>
      <c r="H266" s="724"/>
    </row>
    <row r="267" spans="1:10">
      <c r="A267" s="722" t="s">
        <v>191</v>
      </c>
      <c r="B267" s="722" t="s">
        <v>192</v>
      </c>
      <c r="C267" s="723">
        <v>185553</v>
      </c>
      <c r="D267" s="723"/>
      <c r="E267" s="723"/>
      <c r="F267" s="724" t="s">
        <v>781</v>
      </c>
      <c r="G267" s="724"/>
      <c r="H267" s="724"/>
    </row>
    <row r="268" spans="1:10">
      <c r="A268" s="722" t="s">
        <v>476</v>
      </c>
      <c r="B268" s="722" t="s">
        <v>477</v>
      </c>
      <c r="C268" s="723">
        <v>15131</v>
      </c>
      <c r="D268" s="723"/>
      <c r="E268" s="723"/>
      <c r="F268" s="724" t="s">
        <v>781</v>
      </c>
      <c r="G268" s="724"/>
      <c r="H268" s="724"/>
    </row>
    <row r="269" spans="1:10">
      <c r="A269" s="722" t="s">
        <v>543</v>
      </c>
      <c r="B269" s="722" t="s">
        <v>544</v>
      </c>
      <c r="C269" s="723">
        <v>27291</v>
      </c>
      <c r="D269" s="723"/>
      <c r="E269" s="723"/>
      <c r="F269" s="724" t="s">
        <v>781</v>
      </c>
      <c r="G269" s="724"/>
      <c r="H269" s="724"/>
    </row>
    <row r="270" spans="1:10">
      <c r="A270" s="735" t="s">
        <v>349</v>
      </c>
      <c r="B270" s="735" t="s">
        <v>350</v>
      </c>
      <c r="C270" s="734">
        <v>24770</v>
      </c>
      <c r="D270" s="734"/>
      <c r="E270" s="734"/>
      <c r="F270" s="727" t="s">
        <v>781</v>
      </c>
      <c r="G270" s="727"/>
      <c r="H270" s="727"/>
    </row>
    <row r="271" spans="1:10">
      <c r="A271" s="722" t="s">
        <v>454</v>
      </c>
      <c r="B271" s="722" t="s">
        <v>455</v>
      </c>
      <c r="C271" s="723">
        <v>0</v>
      </c>
      <c r="D271" s="723"/>
      <c r="E271" s="723"/>
      <c r="F271" s="724"/>
      <c r="G271" s="724"/>
      <c r="H271" s="724"/>
    </row>
    <row r="272" spans="1:10">
      <c r="A272" s="722" t="s">
        <v>49</v>
      </c>
      <c r="B272" s="722" t="s">
        <v>50</v>
      </c>
      <c r="C272" s="723">
        <v>416722</v>
      </c>
      <c r="D272" s="723"/>
      <c r="E272" s="723">
        <v>100</v>
      </c>
      <c r="F272" s="724" t="s">
        <v>781</v>
      </c>
      <c r="G272" s="724"/>
      <c r="H272" s="724"/>
    </row>
    <row r="273" spans="1:8">
      <c r="A273" s="722" t="s">
        <v>488</v>
      </c>
      <c r="B273" s="722" t="s">
        <v>489</v>
      </c>
      <c r="C273" s="723">
        <v>2522</v>
      </c>
      <c r="D273" s="723"/>
      <c r="E273" s="723"/>
      <c r="F273" s="724" t="s">
        <v>1350</v>
      </c>
      <c r="G273" s="724"/>
      <c r="H273" s="724"/>
    </row>
    <row r="274" spans="1:8">
      <c r="A274" s="722" t="s">
        <v>114</v>
      </c>
      <c r="B274" s="722" t="s">
        <v>115</v>
      </c>
      <c r="C274" s="723">
        <v>204830</v>
      </c>
      <c r="D274" s="723"/>
      <c r="E274" s="723"/>
      <c r="F274" s="724" t="s">
        <v>781</v>
      </c>
      <c r="G274" s="724"/>
      <c r="H274" s="724"/>
    </row>
    <row r="275" spans="1:8">
      <c r="A275" s="722" t="s">
        <v>500</v>
      </c>
      <c r="B275" s="722" t="s">
        <v>501</v>
      </c>
      <c r="C275" s="723">
        <v>0</v>
      </c>
      <c r="D275" s="723"/>
      <c r="E275" s="723"/>
      <c r="F275" s="724"/>
      <c r="G275" s="724"/>
      <c r="H275" s="724"/>
    </row>
    <row r="276" spans="1:8">
      <c r="A276" s="722" t="s">
        <v>492</v>
      </c>
      <c r="B276" s="722" t="s">
        <v>493</v>
      </c>
      <c r="C276" s="723">
        <v>131893</v>
      </c>
      <c r="D276" s="723"/>
      <c r="E276" s="723"/>
      <c r="F276" s="724" t="s">
        <v>781</v>
      </c>
      <c r="G276" s="724"/>
      <c r="H276" s="724"/>
    </row>
    <row r="277" spans="1:8">
      <c r="A277" s="722" t="s">
        <v>567</v>
      </c>
      <c r="B277" s="722" t="s">
        <v>568</v>
      </c>
      <c r="C277" s="723">
        <v>203653</v>
      </c>
      <c r="D277" s="723"/>
      <c r="E277" s="723">
        <v>357</v>
      </c>
      <c r="F277" s="724" t="s">
        <v>781</v>
      </c>
      <c r="G277" s="724"/>
      <c r="H277" s="724"/>
    </row>
    <row r="278" spans="1:8">
      <c r="A278" s="722" t="s">
        <v>118</v>
      </c>
      <c r="B278" s="722" t="s">
        <v>119</v>
      </c>
      <c r="C278" s="723">
        <v>58535</v>
      </c>
      <c r="D278" s="723"/>
      <c r="E278" s="723"/>
      <c r="F278" s="724" t="s">
        <v>781</v>
      </c>
      <c r="G278" s="724"/>
      <c r="H278" s="724"/>
    </row>
    <row r="279" spans="1:8">
      <c r="A279" s="722" t="s">
        <v>0</v>
      </c>
      <c r="B279" s="722" t="s">
        <v>1</v>
      </c>
      <c r="C279" s="723">
        <v>0</v>
      </c>
      <c r="D279" s="723"/>
      <c r="E279" s="723"/>
      <c r="F279" s="724"/>
      <c r="G279" s="724"/>
      <c r="H279" s="724"/>
    </row>
    <row r="280" spans="1:8">
      <c r="A280" s="722" t="s">
        <v>452</v>
      </c>
      <c r="B280" s="722" t="s">
        <v>453</v>
      </c>
      <c r="C280" s="723">
        <v>21268</v>
      </c>
      <c r="D280" s="723"/>
      <c r="E280" s="723">
        <v>127</v>
      </c>
      <c r="F280" s="724" t="s">
        <v>781</v>
      </c>
      <c r="G280" s="724"/>
      <c r="H280" s="724"/>
    </row>
    <row r="281" spans="1:8">
      <c r="A281" s="722" t="s">
        <v>37</v>
      </c>
      <c r="B281" s="722" t="s">
        <v>38</v>
      </c>
      <c r="C281" s="723">
        <v>257200</v>
      </c>
      <c r="D281" s="723">
        <v>48</v>
      </c>
      <c r="E281" s="723"/>
      <c r="F281" s="724" t="s">
        <v>781</v>
      </c>
      <c r="G281" s="724"/>
      <c r="H281" s="724"/>
    </row>
    <row r="282" spans="1:8">
      <c r="A282" s="736" t="s">
        <v>443</v>
      </c>
      <c r="B282" s="736" t="s">
        <v>675</v>
      </c>
      <c r="C282" s="723">
        <v>17261</v>
      </c>
      <c r="D282" s="723"/>
      <c r="E282" s="723"/>
      <c r="F282" s="724" t="s">
        <v>781</v>
      </c>
      <c r="G282" s="724"/>
      <c r="H282" s="724"/>
    </row>
    <row r="283" spans="1:8">
      <c r="A283" s="722" t="s">
        <v>569</v>
      </c>
      <c r="B283" s="722" t="s">
        <v>570</v>
      </c>
      <c r="C283" s="723">
        <v>52623</v>
      </c>
      <c r="D283" s="723"/>
      <c r="E283" s="723"/>
      <c r="F283" s="724" t="s">
        <v>781</v>
      </c>
      <c r="G283" s="724"/>
      <c r="H283" s="724"/>
    </row>
    <row r="284" spans="1:8">
      <c r="A284" s="722" t="s">
        <v>276</v>
      </c>
      <c r="B284" s="722" t="s">
        <v>277</v>
      </c>
      <c r="C284" s="723">
        <v>0</v>
      </c>
      <c r="D284" s="723"/>
      <c r="E284" s="723"/>
      <c r="F284" s="724"/>
      <c r="G284" s="724"/>
      <c r="H284" s="724"/>
    </row>
    <row r="285" spans="1:8">
      <c r="A285" s="722" t="s">
        <v>367</v>
      </c>
      <c r="B285" s="722" t="s">
        <v>368</v>
      </c>
      <c r="C285" s="723">
        <v>9723</v>
      </c>
      <c r="D285" s="723"/>
      <c r="E285" s="723"/>
      <c r="F285" s="724" t="s">
        <v>1350</v>
      </c>
      <c r="G285" s="724"/>
      <c r="H285" s="724"/>
    </row>
    <row r="286" spans="1:8">
      <c r="A286" s="722" t="s">
        <v>248</v>
      </c>
      <c r="B286" s="722" t="s">
        <v>249</v>
      </c>
      <c r="C286" s="723">
        <v>33176</v>
      </c>
      <c r="D286" s="723"/>
      <c r="E286" s="723">
        <v>6</v>
      </c>
      <c r="F286" s="724" t="s">
        <v>781</v>
      </c>
      <c r="G286" s="724"/>
      <c r="H286" s="724"/>
    </row>
    <row r="287" spans="1:8">
      <c r="A287" s="722" t="s">
        <v>289</v>
      </c>
      <c r="B287" s="722" t="s">
        <v>290</v>
      </c>
      <c r="C287" s="723">
        <v>0</v>
      </c>
      <c r="D287" s="723"/>
      <c r="E287" s="723"/>
      <c r="F287" s="724"/>
      <c r="G287" s="724"/>
      <c r="H287" s="724"/>
    </row>
    <row r="288" spans="1:8">
      <c r="A288" s="722" t="s">
        <v>332</v>
      </c>
      <c r="B288" s="722" t="s">
        <v>333</v>
      </c>
      <c r="C288" s="723">
        <v>1821</v>
      </c>
      <c r="D288" s="723"/>
      <c r="E288" s="723"/>
      <c r="F288" s="724" t="s">
        <v>785</v>
      </c>
      <c r="G288" s="724"/>
      <c r="H288" s="724"/>
    </row>
    <row r="289" spans="1:8">
      <c r="A289" s="722" t="s">
        <v>129</v>
      </c>
      <c r="B289" s="722" t="s">
        <v>130</v>
      </c>
      <c r="C289" s="723">
        <v>0</v>
      </c>
      <c r="D289" s="723"/>
      <c r="E289" s="723"/>
      <c r="F289" s="724"/>
      <c r="G289" s="724"/>
      <c r="H289" s="724"/>
    </row>
    <row r="290" spans="1:8">
      <c r="A290" s="722" t="s">
        <v>264</v>
      </c>
      <c r="B290" s="722" t="s">
        <v>265</v>
      </c>
      <c r="C290" s="723">
        <v>13758</v>
      </c>
      <c r="D290" s="723"/>
      <c r="E290" s="723">
        <v>11</v>
      </c>
      <c r="F290" s="724" t="s">
        <v>781</v>
      </c>
      <c r="G290" s="724"/>
      <c r="H290" s="724"/>
    </row>
    <row r="291" spans="1:8">
      <c r="A291" s="722" t="s">
        <v>151</v>
      </c>
      <c r="B291" s="722" t="s">
        <v>152</v>
      </c>
      <c r="C291" s="723">
        <v>0</v>
      </c>
      <c r="D291" s="723"/>
      <c r="E291" s="723"/>
      <c r="F291" s="724"/>
      <c r="G291" s="724"/>
      <c r="H291" s="724"/>
    </row>
    <row r="292" spans="1:8">
      <c r="A292" s="722" t="s">
        <v>232</v>
      </c>
      <c r="B292" s="722" t="s">
        <v>233</v>
      </c>
      <c r="C292" s="723">
        <v>0</v>
      </c>
      <c r="D292" s="723"/>
      <c r="E292" s="723"/>
      <c r="F292" s="724"/>
      <c r="G292" s="724"/>
      <c r="H292" s="724"/>
    </row>
    <row r="293" spans="1:8">
      <c r="A293" s="722" t="s">
        <v>78</v>
      </c>
      <c r="B293" s="722" t="s">
        <v>79</v>
      </c>
      <c r="C293" s="723">
        <v>23650</v>
      </c>
      <c r="D293" s="723"/>
      <c r="E293" s="723"/>
      <c r="F293" s="724" t="s">
        <v>781</v>
      </c>
      <c r="G293" s="724"/>
      <c r="H293" s="724"/>
    </row>
    <row r="294" spans="1:8">
      <c r="A294" s="722" t="s">
        <v>547</v>
      </c>
      <c r="B294" s="722" t="s">
        <v>548</v>
      </c>
      <c r="C294" s="723">
        <v>749690</v>
      </c>
      <c r="D294" s="723"/>
      <c r="E294" s="723">
        <v>35</v>
      </c>
      <c r="F294" s="724" t="s">
        <v>781</v>
      </c>
      <c r="G294" s="724"/>
      <c r="H294" s="724"/>
    </row>
    <row r="295" spans="1:8">
      <c r="A295" s="722" t="s">
        <v>472</v>
      </c>
      <c r="B295" s="722" t="s">
        <v>473</v>
      </c>
      <c r="C295" s="723">
        <v>14375</v>
      </c>
      <c r="D295" s="723"/>
      <c r="E295" s="723"/>
      <c r="F295" s="724" t="s">
        <v>785</v>
      </c>
      <c r="G295" s="724"/>
      <c r="H295" s="724"/>
    </row>
    <row r="296" spans="1:8">
      <c r="A296" s="722" t="s">
        <v>565</v>
      </c>
      <c r="B296" s="722" t="s">
        <v>566</v>
      </c>
      <c r="C296" s="723">
        <v>21575</v>
      </c>
      <c r="D296" s="723"/>
      <c r="E296" s="723"/>
      <c r="F296" s="724" t="s">
        <v>781</v>
      </c>
      <c r="G296" s="724"/>
      <c r="H296" s="724"/>
    </row>
    <row r="297" spans="1:8">
      <c r="A297" s="730"/>
      <c r="B297" s="730"/>
      <c r="C297" s="737">
        <f>SUM(C266:C296)</f>
        <v>2487020</v>
      </c>
      <c r="D297" s="730"/>
      <c r="E297" s="737"/>
      <c r="F297" s="730"/>
      <c r="G297" s="730"/>
      <c r="H297" s="73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1:S297"/>
  <sheetViews>
    <sheetView workbookViewId="0">
      <pane ySplit="1" topLeftCell="A2" activePane="bottomLeft" state="frozen"/>
      <selection pane="bottomLeft" activeCell="G9" sqref="G9"/>
    </sheetView>
  </sheetViews>
  <sheetFormatPr defaultColWidth="9.140625" defaultRowHeight="15"/>
  <cols>
    <col min="1" max="1" width="8.5703125" style="598" bestFit="1" customWidth="1"/>
    <col min="2" max="2" width="20.5703125" style="598" bestFit="1" customWidth="1"/>
    <col min="3" max="3" width="13.5703125" style="598" bestFit="1" customWidth="1"/>
    <col min="4" max="5" width="9.140625" style="620" customWidth="1"/>
    <col min="6" max="6" width="9.140625" style="598" customWidth="1"/>
    <col min="7" max="7" width="19.42578125" style="598" customWidth="1"/>
    <col min="8" max="12" width="9.140625" style="598"/>
    <col min="13" max="13" width="22.42578125" style="598" bestFit="1" customWidth="1"/>
    <col min="14" max="17" width="9.140625" style="598"/>
    <col min="18" max="18" width="15.5703125" style="598" bestFit="1" customWidth="1"/>
    <col min="19" max="16384" width="9.140625" style="598"/>
  </cols>
  <sheetData>
    <row r="1" spans="1:19" ht="45">
      <c r="A1" s="593" t="s">
        <v>709</v>
      </c>
      <c r="B1" s="594" t="s">
        <v>578</v>
      </c>
      <c r="C1" s="595" t="s">
        <v>885</v>
      </c>
      <c r="D1" s="596" t="s">
        <v>888</v>
      </c>
      <c r="E1" s="596" t="s">
        <v>889</v>
      </c>
      <c r="F1" s="597" t="s">
        <v>1288</v>
      </c>
      <c r="G1" s="597" t="s">
        <v>1264</v>
      </c>
      <c r="J1" s="895" t="s">
        <v>1305</v>
      </c>
      <c r="K1" s="896"/>
      <c r="L1" s="627" t="s">
        <v>709</v>
      </c>
      <c r="M1" s="628" t="s">
        <v>578</v>
      </c>
      <c r="N1" s="629" t="s">
        <v>885</v>
      </c>
      <c r="O1" s="630" t="s">
        <v>888</v>
      </c>
      <c r="P1" s="630" t="s">
        <v>889</v>
      </c>
      <c r="Q1" s="631" t="s">
        <v>1288</v>
      </c>
      <c r="R1" s="631" t="s">
        <v>1264</v>
      </c>
    </row>
    <row r="2" spans="1:19">
      <c r="A2" s="599" t="s">
        <v>29</v>
      </c>
      <c r="B2" s="600" t="s">
        <v>30</v>
      </c>
      <c r="C2" s="601">
        <v>7966</v>
      </c>
      <c r="D2" s="602"/>
      <c r="E2" s="602"/>
      <c r="F2" s="603" t="s">
        <v>781</v>
      </c>
      <c r="G2" s="604" t="s">
        <v>1289</v>
      </c>
      <c r="H2" s="598" t="s">
        <v>1264</v>
      </c>
      <c r="L2" s="632" t="s">
        <v>132</v>
      </c>
      <c r="M2" s="633" t="s">
        <v>133</v>
      </c>
      <c r="N2" s="634">
        <v>48973</v>
      </c>
      <c r="O2" s="635"/>
      <c r="P2" s="635">
        <v>21</v>
      </c>
      <c r="Q2" s="636" t="s">
        <v>781</v>
      </c>
      <c r="R2" s="636"/>
      <c r="S2" s="658" t="s">
        <v>621</v>
      </c>
    </row>
    <row r="3" spans="1:19">
      <c r="A3" s="599" t="s">
        <v>86</v>
      </c>
      <c r="B3" s="600" t="s">
        <v>87</v>
      </c>
      <c r="C3" s="601">
        <v>2058</v>
      </c>
      <c r="D3" s="602"/>
      <c r="E3" s="602"/>
      <c r="F3" s="603" t="s">
        <v>781</v>
      </c>
      <c r="G3" s="603" t="s">
        <v>1290</v>
      </c>
      <c r="H3" s="598" t="s">
        <v>1264</v>
      </c>
      <c r="L3" s="632" t="s">
        <v>262</v>
      </c>
      <c r="M3" s="633" t="s">
        <v>263</v>
      </c>
      <c r="N3" s="634">
        <v>0</v>
      </c>
      <c r="O3" s="635"/>
      <c r="P3" s="635"/>
      <c r="Q3" s="636"/>
      <c r="R3" s="636"/>
      <c r="S3" s="644" t="s">
        <v>723</v>
      </c>
    </row>
    <row r="4" spans="1:19">
      <c r="A4" s="599" t="s">
        <v>317</v>
      </c>
      <c r="B4" s="600" t="s">
        <v>318</v>
      </c>
      <c r="C4" s="601">
        <v>6639</v>
      </c>
      <c r="D4" s="602"/>
      <c r="E4" s="602"/>
      <c r="F4" s="603" t="s">
        <v>781</v>
      </c>
      <c r="G4" s="603" t="s">
        <v>1290</v>
      </c>
      <c r="H4" s="598" t="s">
        <v>1264</v>
      </c>
      <c r="L4" s="632" t="s">
        <v>283</v>
      </c>
      <c r="M4" s="633" t="s">
        <v>284</v>
      </c>
      <c r="N4" s="634">
        <v>0</v>
      </c>
      <c r="O4" s="635"/>
      <c r="P4" s="635"/>
      <c r="Q4" s="636"/>
      <c r="R4" s="636"/>
      <c r="S4" s="644" t="s">
        <v>723</v>
      </c>
    </row>
    <row r="5" spans="1:19">
      <c r="A5" s="599" t="s">
        <v>92</v>
      </c>
      <c r="B5" s="600" t="s">
        <v>93</v>
      </c>
      <c r="C5" s="601">
        <v>2030</v>
      </c>
      <c r="D5" s="602"/>
      <c r="E5" s="602"/>
      <c r="F5" s="603" t="s">
        <v>781</v>
      </c>
      <c r="G5" s="603" t="s">
        <v>1290</v>
      </c>
      <c r="H5" s="598" t="s">
        <v>1264</v>
      </c>
      <c r="L5" s="640" t="s">
        <v>380</v>
      </c>
      <c r="M5" s="641" t="s">
        <v>381</v>
      </c>
      <c r="N5" s="634">
        <v>9269</v>
      </c>
      <c r="O5" s="635"/>
      <c r="P5" s="635"/>
      <c r="Q5" s="636" t="s">
        <v>782</v>
      </c>
      <c r="R5" s="636"/>
      <c r="S5" s="658" t="s">
        <v>644</v>
      </c>
    </row>
    <row r="6" spans="1:19">
      <c r="A6" s="599" t="s">
        <v>230</v>
      </c>
      <c r="B6" s="600" t="s">
        <v>231</v>
      </c>
      <c r="C6" s="601">
        <v>2708</v>
      </c>
      <c r="D6" s="602">
        <v>2</v>
      </c>
      <c r="E6" s="602"/>
      <c r="F6" s="603" t="s">
        <v>781</v>
      </c>
      <c r="G6" s="603" t="s">
        <v>1291</v>
      </c>
      <c r="H6" s="598" t="s">
        <v>1264</v>
      </c>
      <c r="L6" s="632" t="s">
        <v>403</v>
      </c>
      <c r="M6" s="633" t="s">
        <v>404</v>
      </c>
      <c r="N6" s="634">
        <v>29864</v>
      </c>
      <c r="O6" s="635"/>
      <c r="P6" s="635">
        <v>1</v>
      </c>
      <c r="Q6" s="636" t="s">
        <v>781</v>
      </c>
      <c r="R6" s="636"/>
      <c r="S6" s="658" t="s">
        <v>621</v>
      </c>
    </row>
    <row r="7" spans="1:19">
      <c r="A7" s="599" t="s">
        <v>246</v>
      </c>
      <c r="B7" s="600" t="s">
        <v>247</v>
      </c>
      <c r="C7" s="601">
        <v>4035</v>
      </c>
      <c r="D7" s="602"/>
      <c r="E7" s="602"/>
      <c r="F7" s="603" t="s">
        <v>781</v>
      </c>
      <c r="G7" s="603" t="s">
        <v>1291</v>
      </c>
      <c r="H7" s="598" t="s">
        <v>1264</v>
      </c>
      <c r="L7" s="632" t="s">
        <v>12</v>
      </c>
      <c r="M7" s="633" t="s">
        <v>13</v>
      </c>
      <c r="N7" s="634">
        <v>182</v>
      </c>
      <c r="O7" s="635"/>
      <c r="P7" s="635"/>
      <c r="Q7" s="638" t="s">
        <v>782</v>
      </c>
      <c r="R7" s="636"/>
      <c r="S7" s="658" t="s">
        <v>644</v>
      </c>
    </row>
    <row r="8" spans="1:19">
      <c r="A8" s="599" t="s">
        <v>228</v>
      </c>
      <c r="B8" s="600" t="s">
        <v>229</v>
      </c>
      <c r="C8" s="601">
        <v>9685</v>
      </c>
      <c r="D8" s="602"/>
      <c r="E8" s="602"/>
      <c r="F8" s="603" t="s">
        <v>781</v>
      </c>
      <c r="G8" s="603" t="s">
        <v>1291</v>
      </c>
      <c r="H8" s="598" t="s">
        <v>1264</v>
      </c>
      <c r="L8" s="632" t="s">
        <v>195</v>
      </c>
      <c r="M8" s="633" t="s">
        <v>196</v>
      </c>
      <c r="N8" s="634">
        <v>330263</v>
      </c>
      <c r="O8" s="643">
        <v>10</v>
      </c>
      <c r="P8" s="635"/>
      <c r="Q8" s="636" t="s">
        <v>781</v>
      </c>
      <c r="R8" s="636"/>
      <c r="S8" s="658" t="s">
        <v>621</v>
      </c>
    </row>
    <row r="9" spans="1:19">
      <c r="A9" s="599" t="s">
        <v>545</v>
      </c>
      <c r="B9" s="600" t="s">
        <v>546</v>
      </c>
      <c r="C9" s="601">
        <v>11170</v>
      </c>
      <c r="D9" s="602"/>
      <c r="E9" s="602"/>
      <c r="F9" s="603" t="s">
        <v>781</v>
      </c>
      <c r="G9" s="603" t="s">
        <v>1291</v>
      </c>
      <c r="H9" s="598" t="s">
        <v>1264</v>
      </c>
      <c r="L9" s="632" t="s">
        <v>213</v>
      </c>
      <c r="M9" s="633" t="s">
        <v>598</v>
      </c>
      <c r="N9" s="634">
        <v>4817</v>
      </c>
      <c r="O9" s="635"/>
      <c r="P9" s="635"/>
      <c r="Q9" s="636" t="s">
        <v>782</v>
      </c>
      <c r="R9" s="636"/>
      <c r="S9" s="658" t="s">
        <v>644</v>
      </c>
    </row>
    <row r="10" spans="1:19">
      <c r="A10" s="605" t="s">
        <v>569</v>
      </c>
      <c r="B10" s="606" t="s">
        <v>570</v>
      </c>
      <c r="C10" s="607">
        <v>40148</v>
      </c>
      <c r="D10" s="608"/>
      <c r="E10" s="608"/>
      <c r="F10" s="609" t="s">
        <v>781</v>
      </c>
      <c r="G10" s="609" t="s">
        <v>1291</v>
      </c>
      <c r="H10" s="598" t="s">
        <v>1264</v>
      </c>
      <c r="L10" s="632" t="s">
        <v>62</v>
      </c>
      <c r="M10" s="633" t="s">
        <v>63</v>
      </c>
      <c r="N10" s="634">
        <v>120260</v>
      </c>
      <c r="O10" s="635"/>
      <c r="P10" s="635"/>
      <c r="Q10" s="636" t="s">
        <v>781</v>
      </c>
      <c r="R10" s="636"/>
      <c r="S10" s="658" t="s">
        <v>621</v>
      </c>
    </row>
    <row r="11" spans="1:19">
      <c r="A11" s="599" t="s">
        <v>16</v>
      </c>
      <c r="B11" s="600" t="s">
        <v>17</v>
      </c>
      <c r="C11" s="601">
        <v>6926</v>
      </c>
      <c r="D11" s="602"/>
      <c r="E11" s="602"/>
      <c r="F11" s="603" t="s">
        <v>781</v>
      </c>
      <c r="G11" s="603" t="s">
        <v>604</v>
      </c>
      <c r="H11" s="598" t="s">
        <v>1264</v>
      </c>
      <c r="L11" s="632" t="s">
        <v>189</v>
      </c>
      <c r="M11" s="633" t="s">
        <v>190</v>
      </c>
      <c r="N11" s="634">
        <v>305009</v>
      </c>
      <c r="O11" s="635">
        <v>12</v>
      </c>
      <c r="P11" s="635"/>
      <c r="Q11" s="636" t="s">
        <v>781</v>
      </c>
      <c r="R11" s="636"/>
      <c r="S11" s="658" t="s">
        <v>621</v>
      </c>
    </row>
    <row r="12" spans="1:19">
      <c r="A12" s="599" t="s">
        <v>112</v>
      </c>
      <c r="B12" s="600" t="s">
        <v>113</v>
      </c>
      <c r="C12" s="601">
        <v>365</v>
      </c>
      <c r="D12" s="602"/>
      <c r="E12" s="602"/>
      <c r="F12" s="603" t="s">
        <v>781</v>
      </c>
      <c r="G12" s="603" t="s">
        <v>604</v>
      </c>
      <c r="H12" s="598" t="s">
        <v>1264</v>
      </c>
      <c r="L12" s="632" t="s">
        <v>504</v>
      </c>
      <c r="M12" s="633" t="s">
        <v>505</v>
      </c>
      <c r="N12" s="634">
        <v>109950</v>
      </c>
      <c r="O12" s="635"/>
      <c r="P12" s="635">
        <v>9</v>
      </c>
      <c r="Q12" s="636" t="s">
        <v>781</v>
      </c>
      <c r="R12" s="636"/>
      <c r="S12" s="658" t="s">
        <v>621</v>
      </c>
    </row>
    <row r="13" spans="1:19">
      <c r="A13" s="599" t="s">
        <v>496</v>
      </c>
      <c r="B13" s="600" t="s">
        <v>497</v>
      </c>
      <c r="C13" s="601">
        <v>5571</v>
      </c>
      <c r="D13" s="602">
        <v>1</v>
      </c>
      <c r="E13" s="602"/>
      <c r="F13" s="603" t="s">
        <v>781</v>
      </c>
      <c r="G13" s="603" t="s">
        <v>1292</v>
      </c>
      <c r="H13" s="598" t="s">
        <v>1264</v>
      </c>
      <c r="L13" s="632" t="s">
        <v>2</v>
      </c>
      <c r="M13" s="633" t="s">
        <v>3</v>
      </c>
      <c r="N13" s="634">
        <v>0</v>
      </c>
      <c r="O13" s="635"/>
      <c r="P13" s="635"/>
      <c r="Q13" s="636"/>
      <c r="R13" s="636"/>
      <c r="S13" s="644" t="s">
        <v>723</v>
      </c>
    </row>
    <row r="14" spans="1:19" ht="45">
      <c r="A14" s="599" t="s">
        <v>367</v>
      </c>
      <c r="B14" s="610" t="s">
        <v>368</v>
      </c>
      <c r="C14" s="611">
        <v>9738</v>
      </c>
      <c r="D14" s="602"/>
      <c r="E14" s="602"/>
      <c r="F14" s="603" t="s">
        <v>782</v>
      </c>
      <c r="G14" s="597" t="s">
        <v>1293</v>
      </c>
      <c r="H14" s="621" t="s">
        <v>782</v>
      </c>
      <c r="L14" s="632" t="s">
        <v>363</v>
      </c>
      <c r="M14" s="633" t="s">
        <v>364</v>
      </c>
      <c r="N14" s="634">
        <v>49129</v>
      </c>
      <c r="O14" s="635"/>
      <c r="P14" s="635">
        <v>2</v>
      </c>
      <c r="Q14" s="636" t="s">
        <v>781</v>
      </c>
      <c r="R14" s="636"/>
      <c r="S14" s="658" t="s">
        <v>621</v>
      </c>
    </row>
    <row r="15" spans="1:19">
      <c r="A15" s="599" t="s">
        <v>258</v>
      </c>
      <c r="B15" s="600" t="s">
        <v>259</v>
      </c>
      <c r="C15" s="601">
        <v>7316</v>
      </c>
      <c r="D15" s="602"/>
      <c r="E15" s="602"/>
      <c r="F15" s="603" t="s">
        <v>781</v>
      </c>
      <c r="G15" s="603" t="s">
        <v>1294</v>
      </c>
      <c r="H15" s="598" t="s">
        <v>1264</v>
      </c>
      <c r="L15" s="632" t="s">
        <v>234</v>
      </c>
      <c r="M15" s="633" t="s">
        <v>235</v>
      </c>
      <c r="N15" s="634">
        <v>0</v>
      </c>
      <c r="O15" s="635"/>
      <c r="P15" s="635"/>
      <c r="Q15" s="636"/>
      <c r="R15" s="636"/>
      <c r="S15" s="644" t="s">
        <v>723</v>
      </c>
    </row>
    <row r="16" spans="1:19">
      <c r="A16" s="599" t="s">
        <v>486</v>
      </c>
      <c r="B16" s="600" t="s">
        <v>487</v>
      </c>
      <c r="C16" s="601">
        <v>1875</v>
      </c>
      <c r="D16" s="602"/>
      <c r="E16" s="602"/>
      <c r="F16" s="603" t="s">
        <v>781</v>
      </c>
      <c r="G16" s="603" t="s">
        <v>1294</v>
      </c>
      <c r="H16" s="598" t="s">
        <v>1264</v>
      </c>
      <c r="L16" s="632" t="s">
        <v>508</v>
      </c>
      <c r="M16" s="633" t="s">
        <v>509</v>
      </c>
      <c r="N16" s="634">
        <v>13148</v>
      </c>
      <c r="O16" s="635"/>
      <c r="P16" s="635"/>
      <c r="Q16" s="636" t="s">
        <v>781</v>
      </c>
      <c r="R16" s="636"/>
      <c r="S16" s="658" t="s">
        <v>621</v>
      </c>
    </row>
    <row r="17" spans="1:19">
      <c r="A17" s="599" t="s">
        <v>488</v>
      </c>
      <c r="B17" s="600" t="s">
        <v>489</v>
      </c>
      <c r="C17" s="601">
        <v>2734</v>
      </c>
      <c r="D17" s="602"/>
      <c r="E17" s="602"/>
      <c r="F17" s="603" t="s">
        <v>781</v>
      </c>
      <c r="G17" s="603" t="s">
        <v>1294</v>
      </c>
      <c r="H17" s="598" t="s">
        <v>1264</v>
      </c>
      <c r="L17" s="632" t="s">
        <v>266</v>
      </c>
      <c r="M17" s="633" t="s">
        <v>267</v>
      </c>
      <c r="N17" s="634">
        <v>0</v>
      </c>
      <c r="O17" s="635"/>
      <c r="P17" s="635"/>
      <c r="Q17" s="636"/>
      <c r="R17" s="636"/>
      <c r="S17" s="644" t="s">
        <v>723</v>
      </c>
    </row>
    <row r="18" spans="1:19">
      <c r="A18" s="599" t="s">
        <v>325</v>
      </c>
      <c r="B18" s="600" t="s">
        <v>326</v>
      </c>
      <c r="C18" s="601">
        <v>6769</v>
      </c>
      <c r="D18" s="602"/>
      <c r="E18" s="602"/>
      <c r="F18" s="603" t="s">
        <v>781</v>
      </c>
      <c r="G18" s="603" t="s">
        <v>1295</v>
      </c>
      <c r="H18" s="598" t="s">
        <v>1264</v>
      </c>
      <c r="L18" s="632" t="s">
        <v>211</v>
      </c>
      <c r="M18" s="633" t="s">
        <v>212</v>
      </c>
      <c r="N18" s="634">
        <v>22989</v>
      </c>
      <c r="O18" s="635"/>
      <c r="P18" s="635"/>
      <c r="Q18" s="636" t="s">
        <v>781</v>
      </c>
      <c r="R18" s="636"/>
      <c r="S18" s="658" t="s">
        <v>621</v>
      </c>
    </row>
    <row r="19" spans="1:19">
      <c r="A19" s="599" t="s">
        <v>327</v>
      </c>
      <c r="B19" s="600" t="s">
        <v>328</v>
      </c>
      <c r="C19" s="601">
        <v>9971</v>
      </c>
      <c r="D19" s="602"/>
      <c r="E19" s="602"/>
      <c r="F19" s="603" t="s">
        <v>781</v>
      </c>
      <c r="G19" s="603" t="s">
        <v>1295</v>
      </c>
      <c r="H19" s="598" t="s">
        <v>1264</v>
      </c>
      <c r="L19" s="632" t="s">
        <v>315</v>
      </c>
      <c r="M19" s="633" t="s">
        <v>316</v>
      </c>
      <c r="N19" s="634">
        <v>67979</v>
      </c>
      <c r="O19" s="635"/>
      <c r="P19" s="635"/>
      <c r="Q19" s="636" t="s">
        <v>781</v>
      </c>
      <c r="R19" s="636"/>
      <c r="S19" s="658" t="s">
        <v>621</v>
      </c>
    </row>
    <row r="20" spans="1:19">
      <c r="A20" s="599" t="s">
        <v>373</v>
      </c>
      <c r="B20" s="600" t="s">
        <v>374</v>
      </c>
      <c r="C20" s="601">
        <v>1172</v>
      </c>
      <c r="D20" s="602"/>
      <c r="E20" s="602"/>
      <c r="F20" s="603" t="s">
        <v>781</v>
      </c>
      <c r="G20" s="603" t="s">
        <v>1296</v>
      </c>
      <c r="H20" s="598" t="s">
        <v>1264</v>
      </c>
      <c r="L20" s="632" t="s">
        <v>84</v>
      </c>
      <c r="M20" s="633" t="s">
        <v>85</v>
      </c>
      <c r="N20" s="634">
        <v>57462</v>
      </c>
      <c r="O20" s="635"/>
      <c r="P20" s="635"/>
      <c r="Q20" s="636" t="s">
        <v>781</v>
      </c>
      <c r="R20" s="636"/>
      <c r="S20" s="658" t="s">
        <v>621</v>
      </c>
    </row>
    <row r="21" spans="1:19">
      <c r="A21" s="599" t="s">
        <v>372</v>
      </c>
      <c r="B21" s="600" t="s">
        <v>613</v>
      </c>
      <c r="C21" s="601">
        <v>3516</v>
      </c>
      <c r="D21" s="602"/>
      <c r="E21" s="602"/>
      <c r="F21" s="603" t="s">
        <v>781</v>
      </c>
      <c r="G21" s="603" t="s">
        <v>1296</v>
      </c>
      <c r="H21" s="598" t="s">
        <v>1264</v>
      </c>
      <c r="L21" s="632" t="s">
        <v>165</v>
      </c>
      <c r="M21" s="633" t="s">
        <v>166</v>
      </c>
      <c r="N21" s="634">
        <v>0</v>
      </c>
      <c r="O21" s="635"/>
      <c r="P21" s="635"/>
      <c r="Q21" s="636"/>
      <c r="R21" s="636"/>
      <c r="S21" s="644" t="s">
        <v>723</v>
      </c>
    </row>
    <row r="22" spans="1:19">
      <c r="A22" s="599" t="s">
        <v>375</v>
      </c>
      <c r="B22" s="600" t="s">
        <v>614</v>
      </c>
      <c r="C22" s="601">
        <v>8566</v>
      </c>
      <c r="D22" s="602"/>
      <c r="E22" s="602"/>
      <c r="F22" s="603" t="s">
        <v>781</v>
      </c>
      <c r="G22" s="603" t="s">
        <v>1296</v>
      </c>
      <c r="H22" s="598" t="s">
        <v>1264</v>
      </c>
      <c r="L22" s="632" t="s">
        <v>378</v>
      </c>
      <c r="M22" s="633" t="s">
        <v>602</v>
      </c>
      <c r="N22" s="634">
        <v>108361</v>
      </c>
      <c r="O22" s="635"/>
      <c r="P22" s="635"/>
      <c r="Q22" s="636" t="s">
        <v>781</v>
      </c>
      <c r="R22" s="636"/>
      <c r="S22" s="658" t="s">
        <v>621</v>
      </c>
    </row>
    <row r="23" spans="1:19">
      <c r="A23" s="599" t="s">
        <v>353</v>
      </c>
      <c r="B23" s="600" t="s">
        <v>354</v>
      </c>
      <c r="C23" s="601">
        <v>2630</v>
      </c>
      <c r="D23" s="602"/>
      <c r="E23" s="602"/>
      <c r="F23" s="603" t="s">
        <v>781</v>
      </c>
      <c r="G23" s="603" t="s">
        <v>1297</v>
      </c>
      <c r="H23" s="598" t="s">
        <v>1264</v>
      </c>
      <c r="L23" s="632" t="s">
        <v>60</v>
      </c>
      <c r="M23" s="633" t="s">
        <v>61</v>
      </c>
      <c r="N23" s="634">
        <v>20412</v>
      </c>
      <c r="O23" s="635"/>
      <c r="P23" s="635"/>
      <c r="Q23" s="636" t="s">
        <v>781</v>
      </c>
      <c r="R23" s="636"/>
      <c r="S23" s="658" t="s">
        <v>621</v>
      </c>
    </row>
    <row r="24" spans="1:19">
      <c r="A24" s="599" t="s">
        <v>342</v>
      </c>
      <c r="B24" s="600" t="s">
        <v>617</v>
      </c>
      <c r="C24" s="601">
        <v>9738</v>
      </c>
      <c r="D24" s="602"/>
      <c r="E24" s="602"/>
      <c r="F24" s="603" t="s">
        <v>781</v>
      </c>
      <c r="G24" s="603" t="s">
        <v>1297</v>
      </c>
      <c r="H24" s="598" t="s">
        <v>1264</v>
      </c>
      <c r="L24" s="632" t="s">
        <v>45</v>
      </c>
      <c r="M24" s="633" t="s">
        <v>46</v>
      </c>
      <c r="N24" s="634">
        <v>0</v>
      </c>
      <c r="O24" s="635"/>
      <c r="P24" s="635"/>
      <c r="Q24" s="636"/>
      <c r="R24" s="636"/>
      <c r="S24" s="644" t="s">
        <v>723</v>
      </c>
    </row>
    <row r="25" spans="1:19">
      <c r="A25" s="599" t="s">
        <v>51</v>
      </c>
      <c r="B25" s="600" t="s">
        <v>52</v>
      </c>
      <c r="C25" s="601">
        <v>3853</v>
      </c>
      <c r="D25" s="602"/>
      <c r="E25" s="602"/>
      <c r="F25" s="612" t="s">
        <v>781</v>
      </c>
      <c r="G25" s="603" t="s">
        <v>1298</v>
      </c>
      <c r="H25" s="598" t="s">
        <v>1264</v>
      </c>
      <c r="L25" s="632" t="s">
        <v>347</v>
      </c>
      <c r="M25" s="633" t="s">
        <v>348</v>
      </c>
      <c r="N25" s="634">
        <v>0</v>
      </c>
      <c r="O25" s="635"/>
      <c r="P25" s="635"/>
      <c r="Q25" s="636"/>
      <c r="R25" s="636"/>
      <c r="S25" s="644" t="s">
        <v>723</v>
      </c>
    </row>
    <row r="26" spans="1:19">
      <c r="A26" s="599" t="s">
        <v>64</v>
      </c>
      <c r="B26" s="600" t="s">
        <v>65</v>
      </c>
      <c r="C26" s="601">
        <v>10753</v>
      </c>
      <c r="D26" s="602"/>
      <c r="E26" s="602"/>
      <c r="F26" s="603" t="s">
        <v>781</v>
      </c>
      <c r="G26" s="603" t="s">
        <v>1298</v>
      </c>
      <c r="H26" s="598" t="s">
        <v>1264</v>
      </c>
      <c r="L26" s="632" t="s">
        <v>35</v>
      </c>
      <c r="M26" s="633" t="s">
        <v>36</v>
      </c>
      <c r="N26" s="634">
        <v>29107</v>
      </c>
      <c r="O26" s="635"/>
      <c r="P26" s="635"/>
      <c r="Q26" s="636" t="s">
        <v>781</v>
      </c>
      <c r="R26" s="636"/>
      <c r="S26" s="658" t="s">
        <v>621</v>
      </c>
    </row>
    <row r="27" spans="1:19">
      <c r="A27" s="599" t="s">
        <v>56</v>
      </c>
      <c r="B27" s="600" t="s">
        <v>57</v>
      </c>
      <c r="C27" s="601">
        <v>9477</v>
      </c>
      <c r="D27" s="602"/>
      <c r="E27" s="602"/>
      <c r="F27" s="603" t="s">
        <v>781</v>
      </c>
      <c r="G27" s="603" t="s">
        <v>1298</v>
      </c>
      <c r="H27" s="598" t="s">
        <v>1264</v>
      </c>
      <c r="L27" s="632" t="s">
        <v>33</v>
      </c>
      <c r="M27" s="633" t="s">
        <v>34</v>
      </c>
      <c r="N27" s="634">
        <v>39938</v>
      </c>
      <c r="O27" s="635">
        <v>7</v>
      </c>
      <c r="P27" s="635"/>
      <c r="Q27" s="636" t="s">
        <v>781</v>
      </c>
      <c r="R27" s="636"/>
      <c r="S27" s="658" t="s">
        <v>621</v>
      </c>
    </row>
    <row r="28" spans="1:19">
      <c r="A28" s="599" t="s">
        <v>132</v>
      </c>
      <c r="B28" s="600" t="s">
        <v>133</v>
      </c>
      <c r="C28" s="601">
        <v>48973</v>
      </c>
      <c r="D28" s="602"/>
      <c r="E28" s="602">
        <v>21</v>
      </c>
      <c r="F28" s="603" t="s">
        <v>781</v>
      </c>
      <c r="G28" s="603"/>
      <c r="H28" s="598" t="str">
        <f>IF(ISBLANK(F28),"NA",F28)</f>
        <v>Yes</v>
      </c>
      <c r="L28" s="632" t="s">
        <v>74</v>
      </c>
      <c r="M28" s="645" t="s">
        <v>75</v>
      </c>
      <c r="N28" s="646">
        <v>5156</v>
      </c>
      <c r="O28" s="647"/>
      <c r="P28" s="647"/>
      <c r="Q28" s="648" t="s">
        <v>782</v>
      </c>
      <c r="R28" s="636"/>
      <c r="S28" s="658" t="s">
        <v>644</v>
      </c>
    </row>
    <row r="29" spans="1:19">
      <c r="A29" s="599" t="s">
        <v>262</v>
      </c>
      <c r="B29" s="600" t="s">
        <v>263</v>
      </c>
      <c r="C29" s="601">
        <v>0</v>
      </c>
      <c r="D29" s="602"/>
      <c r="E29" s="602"/>
      <c r="F29" s="603"/>
      <c r="G29" s="603"/>
      <c r="H29" s="598" t="str">
        <f t="shared" ref="H29:H92" si="0">IF(ISBLANK(F29),"NA",F29)</f>
        <v>NA</v>
      </c>
      <c r="L29" s="632" t="s">
        <v>236</v>
      </c>
      <c r="M29" s="633" t="s">
        <v>237</v>
      </c>
      <c r="N29" s="634">
        <v>0</v>
      </c>
      <c r="O29" s="635"/>
      <c r="P29" s="635"/>
      <c r="Q29" s="636"/>
      <c r="R29" s="636"/>
      <c r="S29" s="644" t="s">
        <v>723</v>
      </c>
    </row>
    <row r="30" spans="1:19">
      <c r="A30" s="599" t="s">
        <v>283</v>
      </c>
      <c r="B30" s="600" t="s">
        <v>284</v>
      </c>
      <c r="C30" s="601">
        <v>0</v>
      </c>
      <c r="D30" s="602"/>
      <c r="E30" s="602"/>
      <c r="F30" s="603"/>
      <c r="G30" s="603"/>
      <c r="H30" s="598" t="str">
        <f t="shared" si="0"/>
        <v>NA</v>
      </c>
      <c r="L30" s="632" t="s">
        <v>216</v>
      </c>
      <c r="M30" s="633" t="s">
        <v>217</v>
      </c>
      <c r="N30" s="634">
        <v>40121</v>
      </c>
      <c r="O30" s="635"/>
      <c r="P30" s="635"/>
      <c r="Q30" s="636" t="s">
        <v>781</v>
      </c>
      <c r="R30" s="636"/>
      <c r="S30" s="658" t="s">
        <v>621</v>
      </c>
    </row>
    <row r="31" spans="1:19">
      <c r="A31" s="613" t="s">
        <v>380</v>
      </c>
      <c r="B31" s="614" t="s">
        <v>381</v>
      </c>
      <c r="C31" s="601">
        <v>9269</v>
      </c>
      <c r="D31" s="602"/>
      <c r="E31" s="602"/>
      <c r="F31" s="603" t="s">
        <v>782</v>
      </c>
      <c r="G31" s="603"/>
      <c r="H31" s="598" t="str">
        <f t="shared" si="0"/>
        <v>No</v>
      </c>
      <c r="L31" s="632" t="s">
        <v>434</v>
      </c>
      <c r="M31" s="633" t="s">
        <v>435</v>
      </c>
      <c r="N31" s="634">
        <v>50301</v>
      </c>
      <c r="O31" s="635"/>
      <c r="P31" s="635">
        <v>1</v>
      </c>
      <c r="Q31" s="636" t="s">
        <v>781</v>
      </c>
      <c r="R31" s="636"/>
      <c r="S31" s="658" t="s">
        <v>621</v>
      </c>
    </row>
    <row r="32" spans="1:19">
      <c r="A32" s="599" t="s">
        <v>403</v>
      </c>
      <c r="B32" s="600" t="s">
        <v>404</v>
      </c>
      <c r="C32" s="601">
        <v>29864</v>
      </c>
      <c r="D32" s="602"/>
      <c r="E32" s="602">
        <v>1</v>
      </c>
      <c r="F32" s="603" t="s">
        <v>781</v>
      </c>
      <c r="G32" s="603"/>
      <c r="H32" s="598" t="str">
        <f t="shared" si="0"/>
        <v>Yes</v>
      </c>
      <c r="L32" s="632" t="s">
        <v>278</v>
      </c>
      <c r="M32" s="633" t="s">
        <v>279</v>
      </c>
      <c r="N32" s="634">
        <v>51889</v>
      </c>
      <c r="O32" s="635"/>
      <c r="P32" s="635"/>
      <c r="Q32" s="636" t="s">
        <v>781</v>
      </c>
      <c r="R32" s="636"/>
      <c r="S32" s="658" t="s">
        <v>621</v>
      </c>
    </row>
    <row r="33" spans="1:19">
      <c r="A33" s="599" t="s">
        <v>12</v>
      </c>
      <c r="B33" s="600" t="s">
        <v>13</v>
      </c>
      <c r="C33" s="601">
        <v>182</v>
      </c>
      <c r="D33" s="602"/>
      <c r="E33" s="602"/>
      <c r="F33" s="615" t="s">
        <v>782</v>
      </c>
      <c r="G33" s="603"/>
      <c r="H33" s="598" t="str">
        <f t="shared" si="0"/>
        <v>No</v>
      </c>
      <c r="L33" s="632" t="s">
        <v>274</v>
      </c>
      <c r="M33" s="633" t="s">
        <v>275</v>
      </c>
      <c r="N33" s="634">
        <v>13565</v>
      </c>
      <c r="O33" s="635"/>
      <c r="P33" s="635"/>
      <c r="Q33" s="636" t="s">
        <v>781</v>
      </c>
      <c r="R33" s="636"/>
      <c r="S33" s="658" t="s">
        <v>621</v>
      </c>
    </row>
    <row r="34" spans="1:19">
      <c r="A34" s="599" t="s">
        <v>195</v>
      </c>
      <c r="B34" s="600" t="s">
        <v>196</v>
      </c>
      <c r="C34" s="601">
        <v>330263</v>
      </c>
      <c r="D34" s="616">
        <v>10</v>
      </c>
      <c r="E34" s="602"/>
      <c r="F34" s="603" t="s">
        <v>781</v>
      </c>
      <c r="G34" s="603"/>
      <c r="H34" s="598" t="str">
        <f t="shared" si="0"/>
        <v>Yes</v>
      </c>
      <c r="L34" s="632" t="s">
        <v>438</v>
      </c>
      <c r="M34" s="633" t="s">
        <v>439</v>
      </c>
      <c r="N34" s="634">
        <v>18329</v>
      </c>
      <c r="O34" s="635"/>
      <c r="P34" s="635"/>
      <c r="Q34" s="636" t="s">
        <v>781</v>
      </c>
      <c r="R34" s="636"/>
      <c r="S34" s="658" t="s">
        <v>621</v>
      </c>
    </row>
    <row r="35" spans="1:19">
      <c r="A35" s="599" t="s">
        <v>213</v>
      </c>
      <c r="B35" s="600" t="s">
        <v>598</v>
      </c>
      <c r="C35" s="601">
        <v>4817</v>
      </c>
      <c r="D35" s="602"/>
      <c r="E35" s="602"/>
      <c r="F35" s="603" t="s">
        <v>781</v>
      </c>
      <c r="G35" s="603"/>
      <c r="H35" s="598" t="str">
        <f t="shared" si="0"/>
        <v>Yes</v>
      </c>
      <c r="L35" s="632" t="s">
        <v>450</v>
      </c>
      <c r="M35" s="633" t="s">
        <v>451</v>
      </c>
      <c r="N35" s="634">
        <v>1068</v>
      </c>
      <c r="O35" s="635"/>
      <c r="P35" s="635"/>
      <c r="Q35" s="636" t="s">
        <v>782</v>
      </c>
      <c r="R35" s="636"/>
      <c r="S35" s="658" t="s">
        <v>644</v>
      </c>
    </row>
    <row r="36" spans="1:19">
      <c r="A36" s="599" t="s">
        <v>62</v>
      </c>
      <c r="B36" s="600" t="s">
        <v>63</v>
      </c>
      <c r="C36" s="601">
        <v>120260</v>
      </c>
      <c r="D36" s="602"/>
      <c r="E36" s="602"/>
      <c r="F36" s="603" t="s">
        <v>781</v>
      </c>
      <c r="G36" s="603"/>
      <c r="H36" s="598" t="str">
        <f t="shared" si="0"/>
        <v>Yes</v>
      </c>
      <c r="L36" s="632" t="s">
        <v>169</v>
      </c>
      <c r="M36" s="633" t="s">
        <v>170</v>
      </c>
      <c r="N36" s="634">
        <v>2265</v>
      </c>
      <c r="O36" s="635"/>
      <c r="P36" s="635"/>
      <c r="Q36" s="638" t="s">
        <v>782</v>
      </c>
      <c r="R36" s="636"/>
      <c r="S36" s="658" t="s">
        <v>644</v>
      </c>
    </row>
    <row r="37" spans="1:19">
      <c r="A37" s="599" t="s">
        <v>189</v>
      </c>
      <c r="B37" s="600" t="s">
        <v>190</v>
      </c>
      <c r="C37" s="601">
        <v>305009</v>
      </c>
      <c r="D37" s="602">
        <v>12</v>
      </c>
      <c r="E37" s="602"/>
      <c r="F37" s="603" t="s">
        <v>781</v>
      </c>
      <c r="G37" s="603"/>
      <c r="H37" s="598" t="str">
        <f t="shared" si="0"/>
        <v>Yes</v>
      </c>
      <c r="L37" s="632" t="s">
        <v>10</v>
      </c>
      <c r="M37" s="633" t="s">
        <v>11</v>
      </c>
      <c r="N37" s="634">
        <v>4010</v>
      </c>
      <c r="O37" s="635"/>
      <c r="P37" s="635"/>
      <c r="Q37" s="636" t="s">
        <v>782</v>
      </c>
      <c r="R37" s="636"/>
      <c r="S37" s="658" t="s">
        <v>644</v>
      </c>
    </row>
    <row r="38" spans="1:19">
      <c r="A38" s="599" t="s">
        <v>504</v>
      </c>
      <c r="B38" s="600" t="s">
        <v>505</v>
      </c>
      <c r="C38" s="601">
        <v>109950</v>
      </c>
      <c r="D38" s="602"/>
      <c r="E38" s="602">
        <v>9</v>
      </c>
      <c r="F38" s="603" t="s">
        <v>781</v>
      </c>
      <c r="G38" s="603"/>
      <c r="H38" s="598" t="str">
        <f t="shared" si="0"/>
        <v>Yes</v>
      </c>
      <c r="L38" s="632" t="s">
        <v>230</v>
      </c>
      <c r="M38" s="633" t="s">
        <v>231</v>
      </c>
      <c r="N38" s="634">
        <v>2708</v>
      </c>
      <c r="O38" s="635">
        <v>2</v>
      </c>
      <c r="P38" s="635"/>
      <c r="Q38" s="636" t="s">
        <v>781</v>
      </c>
      <c r="R38" s="636" t="s">
        <v>1291</v>
      </c>
      <c r="S38" s="658" t="s">
        <v>1306</v>
      </c>
    </row>
    <row r="39" spans="1:19">
      <c r="A39" s="599" t="s">
        <v>2</v>
      </c>
      <c r="B39" s="600" t="s">
        <v>3</v>
      </c>
      <c r="C39" s="601">
        <v>0</v>
      </c>
      <c r="D39" s="602"/>
      <c r="E39" s="602"/>
      <c r="F39" s="603"/>
      <c r="G39" s="603"/>
      <c r="H39" s="598" t="str">
        <f t="shared" si="0"/>
        <v>NA</v>
      </c>
      <c r="L39" s="632" t="s">
        <v>357</v>
      </c>
      <c r="M39" s="633" t="s">
        <v>358</v>
      </c>
      <c r="N39" s="634">
        <v>224376</v>
      </c>
      <c r="O39" s="635"/>
      <c r="P39" s="635"/>
      <c r="Q39" s="636" t="s">
        <v>781</v>
      </c>
      <c r="R39" s="636"/>
      <c r="S39" s="658" t="s">
        <v>621</v>
      </c>
    </row>
    <row r="40" spans="1:19">
      <c r="A40" s="599" t="s">
        <v>363</v>
      </c>
      <c r="B40" s="600" t="s">
        <v>364</v>
      </c>
      <c r="C40" s="601">
        <v>49129</v>
      </c>
      <c r="D40" s="602"/>
      <c r="E40" s="602">
        <v>2</v>
      </c>
      <c r="F40" s="603" t="s">
        <v>781</v>
      </c>
      <c r="G40" s="603"/>
      <c r="H40" s="598" t="str">
        <f t="shared" si="0"/>
        <v>Yes</v>
      </c>
      <c r="L40" s="632" t="s">
        <v>525</v>
      </c>
      <c r="M40" s="633" t="s">
        <v>526</v>
      </c>
      <c r="N40" s="634">
        <v>0</v>
      </c>
      <c r="O40" s="635"/>
      <c r="P40" s="635"/>
      <c r="Q40" s="636"/>
      <c r="R40" s="636"/>
      <c r="S40" s="644" t="s">
        <v>723</v>
      </c>
    </row>
    <row r="41" spans="1:19">
      <c r="A41" s="599" t="s">
        <v>234</v>
      </c>
      <c r="B41" s="600" t="s">
        <v>235</v>
      </c>
      <c r="C41" s="601">
        <v>0</v>
      </c>
      <c r="D41" s="602"/>
      <c r="E41" s="602"/>
      <c r="F41" s="603"/>
      <c r="G41" s="603"/>
      <c r="H41" s="598" t="str">
        <f t="shared" si="0"/>
        <v>NA</v>
      </c>
      <c r="L41" s="632" t="s">
        <v>494</v>
      </c>
      <c r="M41" s="633" t="s">
        <v>495</v>
      </c>
      <c r="N41" s="634">
        <v>32284</v>
      </c>
      <c r="O41" s="635"/>
      <c r="P41" s="635"/>
      <c r="Q41" s="636" t="s">
        <v>781</v>
      </c>
      <c r="R41" s="636"/>
      <c r="S41" s="658" t="s">
        <v>621</v>
      </c>
    </row>
    <row r="42" spans="1:19">
      <c r="A42" s="599" t="s">
        <v>508</v>
      </c>
      <c r="B42" s="600" t="s">
        <v>509</v>
      </c>
      <c r="C42" s="601">
        <v>13148</v>
      </c>
      <c r="D42" s="602"/>
      <c r="E42" s="602"/>
      <c r="F42" s="603" t="s">
        <v>781</v>
      </c>
      <c r="G42" s="603"/>
      <c r="H42" s="598" t="str">
        <f t="shared" si="0"/>
        <v>Yes</v>
      </c>
      <c r="L42" s="632" t="s">
        <v>533</v>
      </c>
      <c r="M42" s="633" t="s">
        <v>534</v>
      </c>
      <c r="N42" s="634">
        <v>0</v>
      </c>
      <c r="O42" s="635"/>
      <c r="P42" s="635"/>
      <c r="Q42" s="636"/>
      <c r="R42" s="636"/>
      <c r="S42" s="644" t="s">
        <v>723</v>
      </c>
    </row>
    <row r="43" spans="1:19">
      <c r="A43" s="599" t="s">
        <v>266</v>
      </c>
      <c r="B43" s="600" t="s">
        <v>267</v>
      </c>
      <c r="C43" s="601">
        <v>0</v>
      </c>
      <c r="D43" s="602"/>
      <c r="E43" s="602"/>
      <c r="F43" s="603"/>
      <c r="G43" s="603"/>
      <c r="H43" s="598" t="str">
        <f t="shared" si="0"/>
        <v>NA</v>
      </c>
      <c r="L43" s="632" t="s">
        <v>464</v>
      </c>
      <c r="M43" s="633" t="s">
        <v>465</v>
      </c>
      <c r="N43" s="634">
        <v>0</v>
      </c>
      <c r="O43" s="635"/>
      <c r="P43" s="635"/>
      <c r="Q43" s="636"/>
      <c r="R43" s="636"/>
      <c r="S43" s="644" t="s">
        <v>723</v>
      </c>
    </row>
    <row r="44" spans="1:19">
      <c r="A44" s="599" t="s">
        <v>211</v>
      </c>
      <c r="B44" s="600" t="s">
        <v>212</v>
      </c>
      <c r="C44" s="601">
        <v>22989</v>
      </c>
      <c r="D44" s="602"/>
      <c r="E44" s="602"/>
      <c r="F44" s="603" t="s">
        <v>781</v>
      </c>
      <c r="G44" s="603"/>
      <c r="H44" s="598" t="str">
        <f t="shared" si="0"/>
        <v>Yes</v>
      </c>
      <c r="L44" s="632" t="s">
        <v>498</v>
      </c>
      <c r="M44" s="633" t="s">
        <v>499</v>
      </c>
      <c r="N44" s="634">
        <v>19761</v>
      </c>
      <c r="O44" s="635"/>
      <c r="P44" s="635"/>
      <c r="Q44" s="636" t="s">
        <v>781</v>
      </c>
      <c r="R44" s="636"/>
      <c r="S44" s="658" t="s">
        <v>621</v>
      </c>
    </row>
    <row r="45" spans="1:19">
      <c r="A45" s="599" t="s">
        <v>315</v>
      </c>
      <c r="B45" s="600" t="s">
        <v>316</v>
      </c>
      <c r="C45" s="601">
        <v>67979</v>
      </c>
      <c r="D45" s="602"/>
      <c r="E45" s="602"/>
      <c r="F45" s="603" t="s">
        <v>781</v>
      </c>
      <c r="G45" s="603"/>
      <c r="H45" s="598" t="str">
        <f t="shared" si="0"/>
        <v>Yes</v>
      </c>
      <c r="L45" s="632" t="s">
        <v>456</v>
      </c>
      <c r="M45" s="633" t="s">
        <v>457</v>
      </c>
      <c r="N45" s="634">
        <v>11899</v>
      </c>
      <c r="O45" s="635"/>
      <c r="P45" s="635">
        <v>1</v>
      </c>
      <c r="Q45" s="636" t="s">
        <v>781</v>
      </c>
      <c r="R45" s="636"/>
      <c r="S45" s="658" t="s">
        <v>621</v>
      </c>
    </row>
    <row r="46" spans="1:19">
      <c r="A46" s="599" t="s">
        <v>84</v>
      </c>
      <c r="B46" s="600" t="s">
        <v>85</v>
      </c>
      <c r="C46" s="601">
        <v>57462</v>
      </c>
      <c r="D46" s="602"/>
      <c r="E46" s="602"/>
      <c r="F46" s="603" t="s">
        <v>781</v>
      </c>
      <c r="G46" s="603"/>
      <c r="H46" s="598" t="str">
        <f t="shared" si="0"/>
        <v>Yes</v>
      </c>
      <c r="L46" s="632" t="s">
        <v>376</v>
      </c>
      <c r="M46" s="633" t="s">
        <v>377</v>
      </c>
      <c r="N46" s="634">
        <v>0</v>
      </c>
      <c r="O46" s="635"/>
      <c r="P46" s="635"/>
      <c r="Q46" s="636"/>
      <c r="R46" s="636"/>
      <c r="S46" s="658" t="s">
        <v>723</v>
      </c>
    </row>
    <row r="47" spans="1:19">
      <c r="A47" s="599" t="s">
        <v>165</v>
      </c>
      <c r="B47" s="600" t="s">
        <v>166</v>
      </c>
      <c r="C47" s="601">
        <v>0</v>
      </c>
      <c r="D47" s="602"/>
      <c r="E47" s="602"/>
      <c r="F47" s="603"/>
      <c r="G47" s="603"/>
      <c r="H47" s="598" t="str">
        <f t="shared" si="0"/>
        <v>NA</v>
      </c>
      <c r="L47" s="632" t="s">
        <v>384</v>
      </c>
      <c r="M47" s="645" t="s">
        <v>385</v>
      </c>
      <c r="N47" s="646">
        <v>5181</v>
      </c>
      <c r="O47" s="647"/>
      <c r="P47" s="647"/>
      <c r="Q47" s="648" t="s">
        <v>782</v>
      </c>
      <c r="R47" s="636"/>
      <c r="S47" s="658" t="s">
        <v>644</v>
      </c>
    </row>
    <row r="48" spans="1:19">
      <c r="A48" s="599" t="s">
        <v>378</v>
      </c>
      <c r="B48" s="600" t="s">
        <v>602</v>
      </c>
      <c r="C48" s="601">
        <v>108361</v>
      </c>
      <c r="D48" s="602"/>
      <c r="E48" s="602"/>
      <c r="F48" s="603" t="s">
        <v>781</v>
      </c>
      <c r="G48" s="603"/>
      <c r="H48" s="598" t="str">
        <f t="shared" si="0"/>
        <v>Yes</v>
      </c>
      <c r="L48" s="632" t="s">
        <v>147</v>
      </c>
      <c r="M48" s="633" t="s">
        <v>148</v>
      </c>
      <c r="N48" s="634">
        <v>521</v>
      </c>
      <c r="O48" s="635"/>
      <c r="P48" s="635"/>
      <c r="Q48" s="638" t="s">
        <v>782</v>
      </c>
      <c r="R48" s="636"/>
      <c r="S48" s="658" t="s">
        <v>644</v>
      </c>
    </row>
    <row r="49" spans="1:19">
      <c r="A49" s="599" t="s">
        <v>60</v>
      </c>
      <c r="B49" s="600" t="s">
        <v>61</v>
      </c>
      <c r="C49" s="601">
        <v>20412</v>
      </c>
      <c r="D49" s="602"/>
      <c r="E49" s="602"/>
      <c r="F49" s="603" t="s">
        <v>781</v>
      </c>
      <c r="G49" s="603"/>
      <c r="H49" s="598" t="str">
        <f t="shared" si="0"/>
        <v>Yes</v>
      </c>
      <c r="L49" s="632" t="s">
        <v>120</v>
      </c>
      <c r="M49" s="633" t="s">
        <v>654</v>
      </c>
      <c r="N49" s="634">
        <v>0</v>
      </c>
      <c r="O49" s="635"/>
      <c r="P49" s="635"/>
      <c r="Q49" s="636"/>
      <c r="R49" s="636"/>
      <c r="S49" s="644" t="s">
        <v>723</v>
      </c>
    </row>
    <row r="50" spans="1:19">
      <c r="A50" s="599" t="s">
        <v>45</v>
      </c>
      <c r="B50" s="600" t="s">
        <v>46</v>
      </c>
      <c r="C50" s="601">
        <v>0</v>
      </c>
      <c r="D50" s="602"/>
      <c r="E50" s="602"/>
      <c r="F50" s="603"/>
      <c r="G50" s="603"/>
      <c r="H50" s="598" t="str">
        <f t="shared" si="0"/>
        <v>NA</v>
      </c>
      <c r="L50" s="632" t="s">
        <v>159</v>
      </c>
      <c r="M50" s="633" t="s">
        <v>160</v>
      </c>
      <c r="N50" s="634">
        <v>4478</v>
      </c>
      <c r="O50" s="635"/>
      <c r="P50" s="635"/>
      <c r="Q50" s="638" t="s">
        <v>782</v>
      </c>
      <c r="R50" s="636"/>
      <c r="S50" s="658" t="s">
        <v>644</v>
      </c>
    </row>
    <row r="51" spans="1:19">
      <c r="A51" s="599" t="s">
        <v>347</v>
      </c>
      <c r="B51" s="600" t="s">
        <v>348</v>
      </c>
      <c r="C51" s="601">
        <v>0</v>
      </c>
      <c r="D51" s="602"/>
      <c r="E51" s="602"/>
      <c r="F51" s="603"/>
      <c r="G51" s="603"/>
      <c r="H51" s="598" t="str">
        <f t="shared" si="0"/>
        <v>NA</v>
      </c>
      <c r="L51" s="632" t="s">
        <v>41</v>
      </c>
      <c r="M51" s="633" t="s">
        <v>42</v>
      </c>
      <c r="N51" s="634">
        <v>0</v>
      </c>
      <c r="O51" s="635"/>
      <c r="P51" s="635"/>
      <c r="Q51" s="636"/>
      <c r="R51" s="636"/>
      <c r="S51" s="644" t="s">
        <v>723</v>
      </c>
    </row>
    <row r="52" spans="1:19">
      <c r="A52" s="599" t="s">
        <v>35</v>
      </c>
      <c r="B52" s="600" t="s">
        <v>36</v>
      </c>
      <c r="C52" s="601">
        <v>29107</v>
      </c>
      <c r="D52" s="602"/>
      <c r="E52" s="602"/>
      <c r="F52" s="603" t="s">
        <v>781</v>
      </c>
      <c r="G52" s="603"/>
      <c r="H52" s="598" t="str">
        <f t="shared" si="0"/>
        <v>Yes</v>
      </c>
      <c r="L52" s="632" t="s">
        <v>285</v>
      </c>
      <c r="M52" s="633" t="s">
        <v>286</v>
      </c>
      <c r="N52" s="634">
        <v>0</v>
      </c>
      <c r="O52" s="635"/>
      <c r="P52" s="635"/>
      <c r="Q52" s="636"/>
      <c r="R52" s="636"/>
      <c r="S52" s="644" t="s">
        <v>723</v>
      </c>
    </row>
    <row r="53" spans="1:19">
      <c r="A53" s="599" t="s">
        <v>33</v>
      </c>
      <c r="B53" s="600" t="s">
        <v>34</v>
      </c>
      <c r="C53" s="601">
        <v>39938</v>
      </c>
      <c r="D53" s="602">
        <v>7</v>
      </c>
      <c r="E53" s="602"/>
      <c r="F53" s="603" t="s">
        <v>781</v>
      </c>
      <c r="G53" s="603"/>
      <c r="H53" s="598" t="str">
        <f t="shared" si="0"/>
        <v>Yes</v>
      </c>
      <c r="L53" s="632" t="s">
        <v>96</v>
      </c>
      <c r="M53" s="633" t="s">
        <v>97</v>
      </c>
      <c r="N53" s="634">
        <v>0</v>
      </c>
      <c r="O53" s="635"/>
      <c r="P53" s="635"/>
      <c r="Q53" s="636"/>
      <c r="R53" s="636"/>
      <c r="S53" s="644" t="s">
        <v>723</v>
      </c>
    </row>
    <row r="54" spans="1:19">
      <c r="A54" s="599" t="s">
        <v>74</v>
      </c>
      <c r="B54" s="600" t="s">
        <v>75</v>
      </c>
      <c r="C54" s="601">
        <v>5156</v>
      </c>
      <c r="D54" s="602"/>
      <c r="E54" s="602"/>
      <c r="F54" s="603" t="s">
        <v>781</v>
      </c>
      <c r="G54" s="603"/>
      <c r="H54" s="598" t="str">
        <f t="shared" si="0"/>
        <v>Yes</v>
      </c>
      <c r="L54" s="632" t="s">
        <v>338</v>
      </c>
      <c r="M54" s="633" t="s">
        <v>339</v>
      </c>
      <c r="N54" s="634">
        <v>0</v>
      </c>
      <c r="O54" s="635"/>
      <c r="P54" s="635"/>
      <c r="Q54" s="636"/>
      <c r="R54" s="636"/>
      <c r="S54" s="644" t="s">
        <v>723</v>
      </c>
    </row>
    <row r="55" spans="1:19">
      <c r="A55" s="599" t="s">
        <v>236</v>
      </c>
      <c r="B55" s="600" t="s">
        <v>237</v>
      </c>
      <c r="C55" s="601">
        <v>0</v>
      </c>
      <c r="D55" s="602"/>
      <c r="E55" s="602"/>
      <c r="F55" s="603"/>
      <c r="G55" s="603"/>
      <c r="H55" s="598" t="str">
        <f t="shared" si="0"/>
        <v>NA</v>
      </c>
      <c r="L55" s="632" t="s">
        <v>220</v>
      </c>
      <c r="M55" s="633" t="s">
        <v>221</v>
      </c>
      <c r="N55" s="634">
        <v>0</v>
      </c>
      <c r="O55" s="635"/>
      <c r="P55" s="635"/>
      <c r="Q55" s="636"/>
      <c r="R55" s="636"/>
      <c r="S55" s="644" t="s">
        <v>723</v>
      </c>
    </row>
    <row r="56" spans="1:19">
      <c r="A56" s="599" t="s">
        <v>216</v>
      </c>
      <c r="B56" s="600" t="s">
        <v>217</v>
      </c>
      <c r="C56" s="601">
        <v>40121</v>
      </c>
      <c r="D56" s="602"/>
      <c r="E56" s="602"/>
      <c r="F56" s="603" t="s">
        <v>781</v>
      </c>
      <c r="G56" s="603"/>
      <c r="H56" s="598" t="str">
        <f t="shared" si="0"/>
        <v>Yes</v>
      </c>
      <c r="L56" s="632" t="s">
        <v>417</v>
      </c>
      <c r="M56" s="633" t="s">
        <v>418</v>
      </c>
      <c r="N56" s="634">
        <v>0</v>
      </c>
      <c r="O56" s="635"/>
      <c r="P56" s="635"/>
      <c r="Q56" s="636"/>
      <c r="R56" s="636"/>
      <c r="S56" s="644" t="s">
        <v>723</v>
      </c>
    </row>
    <row r="57" spans="1:19">
      <c r="A57" s="599" t="s">
        <v>434</v>
      </c>
      <c r="B57" s="600" t="s">
        <v>435</v>
      </c>
      <c r="C57" s="601">
        <v>50301</v>
      </c>
      <c r="D57" s="602"/>
      <c r="E57" s="602">
        <v>1</v>
      </c>
      <c r="F57" s="603" t="s">
        <v>781</v>
      </c>
      <c r="G57" s="603"/>
      <c r="H57" s="598" t="str">
        <f t="shared" si="0"/>
        <v>Yes</v>
      </c>
      <c r="L57" s="632" t="s">
        <v>293</v>
      </c>
      <c r="M57" s="633" t="s">
        <v>294</v>
      </c>
      <c r="N57" s="634">
        <v>0</v>
      </c>
      <c r="O57" s="635"/>
      <c r="P57" s="635"/>
      <c r="Q57" s="636"/>
      <c r="R57" s="636"/>
      <c r="S57" s="644" t="s">
        <v>723</v>
      </c>
    </row>
    <row r="58" spans="1:19">
      <c r="A58" s="599" t="s">
        <v>278</v>
      </c>
      <c r="B58" s="600" t="s">
        <v>279</v>
      </c>
      <c r="C58" s="601">
        <v>51889</v>
      </c>
      <c r="D58" s="602"/>
      <c r="E58" s="602"/>
      <c r="F58" s="603" t="s">
        <v>781</v>
      </c>
      <c r="G58" s="603"/>
      <c r="H58" s="598" t="str">
        <f t="shared" si="0"/>
        <v>Yes</v>
      </c>
      <c r="L58" s="632" t="s">
        <v>66</v>
      </c>
      <c r="M58" s="633" t="s">
        <v>67</v>
      </c>
      <c r="N58" s="634">
        <v>0</v>
      </c>
      <c r="O58" s="635"/>
      <c r="P58" s="635"/>
      <c r="Q58" s="636"/>
      <c r="R58" s="636"/>
      <c r="S58" s="644" t="s">
        <v>723</v>
      </c>
    </row>
    <row r="59" spans="1:19">
      <c r="A59" s="599" t="s">
        <v>274</v>
      </c>
      <c r="B59" s="600" t="s">
        <v>275</v>
      </c>
      <c r="C59" s="601">
        <v>13565</v>
      </c>
      <c r="D59" s="602"/>
      <c r="E59" s="602"/>
      <c r="F59" s="603" t="s">
        <v>781</v>
      </c>
      <c r="G59" s="603"/>
      <c r="H59" s="598" t="str">
        <f t="shared" si="0"/>
        <v>Yes</v>
      </c>
      <c r="L59" s="632" t="s">
        <v>444</v>
      </c>
      <c r="M59" s="633" t="s">
        <v>445</v>
      </c>
      <c r="N59" s="634">
        <v>1301</v>
      </c>
      <c r="O59" s="635"/>
      <c r="P59" s="635"/>
      <c r="Q59" s="638" t="s">
        <v>782</v>
      </c>
      <c r="R59" s="636"/>
      <c r="S59" s="658" t="s">
        <v>644</v>
      </c>
    </row>
    <row r="60" spans="1:19">
      <c r="A60" s="599" t="s">
        <v>438</v>
      </c>
      <c r="B60" s="600" t="s">
        <v>439</v>
      </c>
      <c r="C60" s="601">
        <v>18329</v>
      </c>
      <c r="D60" s="602"/>
      <c r="E60" s="602"/>
      <c r="F60" s="603" t="s">
        <v>781</v>
      </c>
      <c r="G60" s="603"/>
      <c r="H60" s="598" t="str">
        <f t="shared" si="0"/>
        <v>Yes</v>
      </c>
      <c r="L60" s="632" t="s">
        <v>353</v>
      </c>
      <c r="M60" s="633" t="s">
        <v>354</v>
      </c>
      <c r="N60" s="634">
        <v>2630</v>
      </c>
      <c r="O60" s="635"/>
      <c r="P60" s="635"/>
      <c r="Q60" s="636" t="s">
        <v>781</v>
      </c>
      <c r="R60" s="636" t="s">
        <v>1297</v>
      </c>
      <c r="S60" s="658" t="s">
        <v>1306</v>
      </c>
    </row>
    <row r="61" spans="1:19">
      <c r="A61" s="599" t="s">
        <v>450</v>
      </c>
      <c r="B61" s="600" t="s">
        <v>451</v>
      </c>
      <c r="C61" s="601">
        <v>1068</v>
      </c>
      <c r="D61" s="602"/>
      <c r="E61" s="602"/>
      <c r="F61" s="603" t="s">
        <v>782</v>
      </c>
      <c r="G61" s="603"/>
      <c r="H61" s="598" t="str">
        <f t="shared" si="0"/>
        <v>No</v>
      </c>
      <c r="L61" s="632" t="s">
        <v>490</v>
      </c>
      <c r="M61" s="633" t="s">
        <v>491</v>
      </c>
      <c r="N61" s="634">
        <v>0</v>
      </c>
      <c r="O61" s="635"/>
      <c r="P61" s="635"/>
      <c r="Q61" s="636"/>
      <c r="R61" s="636"/>
      <c r="S61" s="644" t="s">
        <v>723</v>
      </c>
    </row>
    <row r="62" spans="1:19">
      <c r="A62" s="599" t="s">
        <v>169</v>
      </c>
      <c r="B62" s="600" t="s">
        <v>170</v>
      </c>
      <c r="C62" s="601">
        <v>2265</v>
      </c>
      <c r="D62" s="602"/>
      <c r="E62" s="602"/>
      <c r="F62" s="615" t="s">
        <v>782</v>
      </c>
      <c r="G62" s="603"/>
      <c r="H62" s="598" t="str">
        <f t="shared" si="0"/>
        <v>No</v>
      </c>
      <c r="L62" s="632" t="s">
        <v>440</v>
      </c>
      <c r="M62" s="633" t="s">
        <v>674</v>
      </c>
      <c r="N62" s="634">
        <v>19032</v>
      </c>
      <c r="O62" s="635"/>
      <c r="P62" s="635"/>
      <c r="Q62" s="636" t="s">
        <v>781</v>
      </c>
      <c r="R62" s="636"/>
      <c r="S62" s="658" t="s">
        <v>621</v>
      </c>
    </row>
    <row r="63" spans="1:19">
      <c r="A63" s="599" t="s">
        <v>10</v>
      </c>
      <c r="B63" s="600" t="s">
        <v>11</v>
      </c>
      <c r="C63" s="601">
        <v>4010</v>
      </c>
      <c r="D63" s="602"/>
      <c r="E63" s="602"/>
      <c r="F63" s="603" t="s">
        <v>782</v>
      </c>
      <c r="G63" s="603"/>
      <c r="H63" s="598" t="str">
        <f t="shared" si="0"/>
        <v>No</v>
      </c>
      <c r="L63" s="632" t="s">
        <v>549</v>
      </c>
      <c r="M63" s="633" t="s">
        <v>550</v>
      </c>
      <c r="N63" s="634">
        <v>48947</v>
      </c>
      <c r="O63" s="635"/>
      <c r="P63" s="635"/>
      <c r="Q63" s="636" t="s">
        <v>781</v>
      </c>
      <c r="R63" s="636"/>
      <c r="S63" s="658" t="s">
        <v>621</v>
      </c>
    </row>
    <row r="64" spans="1:19">
      <c r="A64" s="599" t="s">
        <v>357</v>
      </c>
      <c r="B64" s="600" t="s">
        <v>358</v>
      </c>
      <c r="C64" s="601">
        <v>224376</v>
      </c>
      <c r="D64" s="602"/>
      <c r="E64" s="602"/>
      <c r="F64" s="603" t="s">
        <v>781</v>
      </c>
      <c r="G64" s="603"/>
      <c r="H64" s="598" t="str">
        <f t="shared" si="0"/>
        <v>Yes</v>
      </c>
      <c r="L64" s="632" t="s">
        <v>88</v>
      </c>
      <c r="M64" s="633" t="s">
        <v>89</v>
      </c>
      <c r="N64" s="634">
        <v>162724</v>
      </c>
      <c r="O64" s="635"/>
      <c r="P64" s="635"/>
      <c r="Q64" s="636" t="s">
        <v>781</v>
      </c>
      <c r="R64" s="636"/>
      <c r="S64" s="658" t="s">
        <v>621</v>
      </c>
    </row>
    <row r="65" spans="1:19">
      <c r="A65" s="599" t="s">
        <v>525</v>
      </c>
      <c r="B65" s="600" t="s">
        <v>526</v>
      </c>
      <c r="C65" s="601">
        <v>0</v>
      </c>
      <c r="D65" s="602"/>
      <c r="E65" s="602"/>
      <c r="F65" s="603"/>
      <c r="G65" s="603"/>
      <c r="H65" s="598" t="str">
        <f t="shared" si="0"/>
        <v>NA</v>
      </c>
      <c r="L65" s="632" t="s">
        <v>222</v>
      </c>
      <c r="M65" s="633" t="s">
        <v>223</v>
      </c>
      <c r="N65" s="634">
        <v>1640</v>
      </c>
      <c r="O65" s="635"/>
      <c r="P65" s="635"/>
      <c r="Q65" s="638" t="s">
        <v>782</v>
      </c>
      <c r="R65" s="636"/>
      <c r="S65" s="658" t="s">
        <v>644</v>
      </c>
    </row>
    <row r="66" spans="1:19">
      <c r="A66" s="599" t="s">
        <v>494</v>
      </c>
      <c r="B66" s="600" t="s">
        <v>495</v>
      </c>
      <c r="C66" s="601">
        <v>32284</v>
      </c>
      <c r="D66" s="602"/>
      <c r="E66" s="602"/>
      <c r="F66" s="603" t="s">
        <v>781</v>
      </c>
      <c r="G66" s="603"/>
      <c r="H66" s="598" t="str">
        <f t="shared" si="0"/>
        <v>Yes</v>
      </c>
      <c r="L66" s="632" t="s">
        <v>365</v>
      </c>
      <c r="M66" s="633" t="s">
        <v>366</v>
      </c>
      <c r="N66" s="634">
        <v>2316</v>
      </c>
      <c r="O66" s="635"/>
      <c r="P66" s="635"/>
      <c r="Q66" s="638" t="s">
        <v>782</v>
      </c>
      <c r="R66" s="636"/>
      <c r="S66" s="658" t="s">
        <v>644</v>
      </c>
    </row>
    <row r="67" spans="1:19">
      <c r="A67" s="599" t="s">
        <v>533</v>
      </c>
      <c r="B67" s="600" t="s">
        <v>534</v>
      </c>
      <c r="C67" s="601">
        <v>0</v>
      </c>
      <c r="D67" s="602"/>
      <c r="E67" s="602"/>
      <c r="F67" s="603"/>
      <c r="G67" s="603"/>
      <c r="H67" s="598" t="str">
        <f t="shared" si="0"/>
        <v>NA</v>
      </c>
      <c r="L67" s="632" t="s">
        <v>401</v>
      </c>
      <c r="M67" s="633" t="s">
        <v>402</v>
      </c>
      <c r="N67" s="634">
        <v>341355</v>
      </c>
      <c r="O67" s="635"/>
      <c r="P67" s="635">
        <v>5</v>
      </c>
      <c r="Q67" s="636" t="s">
        <v>781</v>
      </c>
      <c r="R67" s="636"/>
      <c r="S67" s="658" t="s">
        <v>621</v>
      </c>
    </row>
    <row r="68" spans="1:19">
      <c r="A68" s="599" t="s">
        <v>464</v>
      </c>
      <c r="B68" s="600" t="s">
        <v>465</v>
      </c>
      <c r="C68" s="601">
        <v>0</v>
      </c>
      <c r="D68" s="602"/>
      <c r="E68" s="602"/>
      <c r="F68" s="603"/>
      <c r="G68" s="603"/>
      <c r="H68" s="598" t="str">
        <f t="shared" si="0"/>
        <v>NA</v>
      </c>
      <c r="L68" s="632" t="s">
        <v>226</v>
      </c>
      <c r="M68" s="633" t="s">
        <v>227</v>
      </c>
      <c r="N68" s="634">
        <v>38480</v>
      </c>
      <c r="O68" s="635"/>
      <c r="P68" s="635"/>
      <c r="Q68" s="636" t="s">
        <v>781</v>
      </c>
      <c r="R68" s="636"/>
      <c r="S68" s="658" t="s">
        <v>621</v>
      </c>
    </row>
    <row r="69" spans="1:19">
      <c r="A69" s="599" t="s">
        <v>498</v>
      </c>
      <c r="B69" s="600" t="s">
        <v>499</v>
      </c>
      <c r="C69" s="601">
        <v>19761</v>
      </c>
      <c r="D69" s="602"/>
      <c r="E69" s="602"/>
      <c r="F69" s="603" t="s">
        <v>781</v>
      </c>
      <c r="G69" s="603"/>
      <c r="H69" s="598" t="str">
        <f t="shared" si="0"/>
        <v>Yes</v>
      </c>
      <c r="L69" s="632" t="s">
        <v>141</v>
      </c>
      <c r="M69" s="633" t="s">
        <v>142</v>
      </c>
      <c r="N69" s="634">
        <v>17678</v>
      </c>
      <c r="O69" s="635"/>
      <c r="P69" s="635"/>
      <c r="Q69" s="636" t="s">
        <v>782</v>
      </c>
      <c r="R69" s="636"/>
      <c r="S69" s="658" t="s">
        <v>644</v>
      </c>
    </row>
    <row r="70" spans="1:19">
      <c r="A70" s="599" t="s">
        <v>456</v>
      </c>
      <c r="B70" s="600" t="s">
        <v>457</v>
      </c>
      <c r="C70" s="601">
        <v>11899</v>
      </c>
      <c r="D70" s="602"/>
      <c r="E70" s="602">
        <v>1</v>
      </c>
      <c r="F70" s="603" t="s">
        <v>781</v>
      </c>
      <c r="G70" s="603"/>
      <c r="H70" s="598" t="str">
        <f t="shared" si="0"/>
        <v>Yes</v>
      </c>
      <c r="L70" s="632" t="s">
        <v>535</v>
      </c>
      <c r="M70" s="633" t="s">
        <v>536</v>
      </c>
      <c r="N70" s="634">
        <v>0</v>
      </c>
      <c r="O70" s="635"/>
      <c r="P70" s="635"/>
      <c r="Q70" s="636"/>
      <c r="R70" s="636"/>
      <c r="S70" s="644" t="s">
        <v>723</v>
      </c>
    </row>
    <row r="71" spans="1:19">
      <c r="A71" s="599" t="s">
        <v>376</v>
      </c>
      <c r="B71" s="600" t="s">
        <v>377</v>
      </c>
      <c r="C71" s="601">
        <v>0</v>
      </c>
      <c r="D71" s="602"/>
      <c r="E71" s="602"/>
      <c r="F71" s="603"/>
      <c r="G71" s="603"/>
      <c r="H71" s="598" t="str">
        <f t="shared" si="0"/>
        <v>NA</v>
      </c>
      <c r="L71" s="632" t="s">
        <v>29</v>
      </c>
      <c r="M71" s="633" t="s">
        <v>30</v>
      </c>
      <c r="N71" s="634">
        <v>7966</v>
      </c>
      <c r="O71" s="635"/>
      <c r="P71" s="635"/>
      <c r="Q71" s="636" t="s">
        <v>781</v>
      </c>
      <c r="R71" s="642" t="s">
        <v>1289</v>
      </c>
      <c r="S71" s="658" t="s">
        <v>1306</v>
      </c>
    </row>
    <row r="72" spans="1:19">
      <c r="A72" s="599" t="s">
        <v>384</v>
      </c>
      <c r="B72" s="600" t="s">
        <v>385</v>
      </c>
      <c r="C72" s="601">
        <v>5181</v>
      </c>
      <c r="D72" s="602"/>
      <c r="E72" s="602"/>
      <c r="F72" s="603" t="s">
        <v>781</v>
      </c>
      <c r="G72" s="603"/>
      <c r="H72" s="598" t="str">
        <f t="shared" si="0"/>
        <v>Yes</v>
      </c>
      <c r="L72" s="632" t="s">
        <v>177</v>
      </c>
      <c r="M72" s="633" t="s">
        <v>178</v>
      </c>
      <c r="N72" s="634">
        <v>29289</v>
      </c>
      <c r="O72" s="635"/>
      <c r="P72" s="635"/>
      <c r="Q72" s="636" t="s">
        <v>781</v>
      </c>
      <c r="R72" s="636"/>
      <c r="S72" s="658" t="s">
        <v>621</v>
      </c>
    </row>
    <row r="73" spans="1:19">
      <c r="A73" s="599" t="s">
        <v>147</v>
      </c>
      <c r="B73" s="600" t="s">
        <v>148</v>
      </c>
      <c r="C73" s="601">
        <v>521</v>
      </c>
      <c r="D73" s="602"/>
      <c r="E73" s="602"/>
      <c r="F73" s="615" t="s">
        <v>782</v>
      </c>
      <c r="G73" s="603"/>
      <c r="H73" s="598" t="str">
        <f t="shared" si="0"/>
        <v>No</v>
      </c>
      <c r="L73" s="632" t="s">
        <v>127</v>
      </c>
      <c r="M73" s="633" t="s">
        <v>128</v>
      </c>
      <c r="N73" s="634">
        <v>33820</v>
      </c>
      <c r="O73" s="635"/>
      <c r="P73" s="635"/>
      <c r="Q73" s="636" t="s">
        <v>781</v>
      </c>
      <c r="R73" s="636"/>
      <c r="S73" s="658" t="s">
        <v>621</v>
      </c>
    </row>
    <row r="74" spans="1:19">
      <c r="A74" s="599" t="s">
        <v>120</v>
      </c>
      <c r="B74" s="600" t="s">
        <v>654</v>
      </c>
      <c r="C74" s="601">
        <v>0</v>
      </c>
      <c r="D74" s="602"/>
      <c r="E74" s="602"/>
      <c r="F74" s="603"/>
      <c r="G74" s="603"/>
      <c r="H74" s="598" t="str">
        <f t="shared" si="0"/>
        <v>NA</v>
      </c>
      <c r="L74" s="632" t="s">
        <v>256</v>
      </c>
      <c r="M74" s="633" t="s">
        <v>257</v>
      </c>
      <c r="N74" s="634">
        <v>0</v>
      </c>
      <c r="O74" s="635"/>
      <c r="P74" s="635"/>
      <c r="Q74" s="636"/>
      <c r="R74" s="636"/>
      <c r="S74" s="644" t="s">
        <v>723</v>
      </c>
    </row>
    <row r="75" spans="1:19">
      <c r="A75" s="599" t="s">
        <v>159</v>
      </c>
      <c r="B75" s="600" t="s">
        <v>160</v>
      </c>
      <c r="C75" s="601">
        <v>4478</v>
      </c>
      <c r="D75" s="602"/>
      <c r="E75" s="602"/>
      <c r="F75" s="603" t="s">
        <v>781</v>
      </c>
      <c r="G75" s="603"/>
      <c r="H75" s="598" t="str">
        <f t="shared" si="0"/>
        <v>Yes</v>
      </c>
      <c r="L75" s="632" t="s">
        <v>395</v>
      </c>
      <c r="M75" s="633" t="s">
        <v>396</v>
      </c>
      <c r="N75" s="634">
        <v>313002</v>
      </c>
      <c r="O75" s="635">
        <v>45</v>
      </c>
      <c r="P75" s="635"/>
      <c r="Q75" s="636" t="s">
        <v>781</v>
      </c>
      <c r="R75" s="636"/>
      <c r="S75" s="658" t="s">
        <v>621</v>
      </c>
    </row>
    <row r="76" spans="1:19">
      <c r="A76" s="599" t="s">
        <v>41</v>
      </c>
      <c r="B76" s="600" t="s">
        <v>42</v>
      </c>
      <c r="C76" s="601">
        <v>0</v>
      </c>
      <c r="D76" s="602"/>
      <c r="E76" s="602"/>
      <c r="F76" s="603"/>
      <c r="G76" s="603"/>
      <c r="H76" s="598" t="str">
        <f t="shared" si="0"/>
        <v>NA</v>
      </c>
      <c r="L76" s="632" t="s">
        <v>58</v>
      </c>
      <c r="M76" s="633" t="s">
        <v>59</v>
      </c>
      <c r="N76" s="634">
        <v>393818</v>
      </c>
      <c r="O76" s="635"/>
      <c r="P76" s="635"/>
      <c r="Q76" s="636" t="s">
        <v>781</v>
      </c>
      <c r="R76" s="636"/>
      <c r="S76" s="658" t="s">
        <v>621</v>
      </c>
    </row>
    <row r="77" spans="1:19">
      <c r="A77" s="599" t="s">
        <v>285</v>
      </c>
      <c r="B77" s="600" t="s">
        <v>286</v>
      </c>
      <c r="C77" s="601">
        <v>0</v>
      </c>
      <c r="D77" s="602"/>
      <c r="E77" s="602"/>
      <c r="F77" s="603"/>
      <c r="G77" s="603"/>
      <c r="H77" s="598" t="str">
        <f t="shared" si="0"/>
        <v>NA</v>
      </c>
      <c r="L77" s="632" t="s">
        <v>462</v>
      </c>
      <c r="M77" s="633" t="s">
        <v>463</v>
      </c>
      <c r="N77" s="634">
        <v>0</v>
      </c>
      <c r="O77" s="635"/>
      <c r="P77" s="635"/>
      <c r="Q77" s="636"/>
      <c r="R77" s="636"/>
      <c r="S77" s="644" t="s">
        <v>723</v>
      </c>
    </row>
    <row r="78" spans="1:19">
      <c r="A78" s="599" t="s">
        <v>96</v>
      </c>
      <c r="B78" s="600" t="s">
        <v>97</v>
      </c>
      <c r="C78" s="601">
        <v>0</v>
      </c>
      <c r="D78" s="602"/>
      <c r="E78" s="602"/>
      <c r="F78" s="603"/>
      <c r="G78" s="603"/>
      <c r="H78" s="598" t="str">
        <f t="shared" si="0"/>
        <v>NA</v>
      </c>
      <c r="L78" s="632" t="s">
        <v>175</v>
      </c>
      <c r="M78" s="633" t="s">
        <v>176</v>
      </c>
      <c r="N78" s="634">
        <v>522565</v>
      </c>
      <c r="O78" s="635"/>
      <c r="P78" s="635"/>
      <c r="Q78" s="636" t="s">
        <v>781</v>
      </c>
      <c r="R78" s="636"/>
      <c r="S78" s="658" t="s">
        <v>621</v>
      </c>
    </row>
    <row r="79" spans="1:19">
      <c r="A79" s="599" t="s">
        <v>338</v>
      </c>
      <c r="B79" s="600" t="s">
        <v>339</v>
      </c>
      <c r="C79" s="601">
        <v>0</v>
      </c>
      <c r="D79" s="602"/>
      <c r="E79" s="602"/>
      <c r="F79" s="603"/>
      <c r="G79" s="603"/>
      <c r="H79" s="598" t="str">
        <f t="shared" si="0"/>
        <v>NA</v>
      </c>
      <c r="L79" s="632" t="s">
        <v>506</v>
      </c>
      <c r="M79" s="633" t="s">
        <v>507</v>
      </c>
      <c r="N79" s="634">
        <v>42803</v>
      </c>
      <c r="O79" s="635"/>
      <c r="P79" s="635"/>
      <c r="Q79" s="636" t="s">
        <v>781</v>
      </c>
      <c r="R79" s="636"/>
      <c r="S79" s="658" t="s">
        <v>621</v>
      </c>
    </row>
    <row r="80" spans="1:19">
      <c r="A80" s="599" t="s">
        <v>220</v>
      </c>
      <c r="B80" s="600" t="s">
        <v>221</v>
      </c>
      <c r="C80" s="601">
        <v>0</v>
      </c>
      <c r="D80" s="602"/>
      <c r="E80" s="602"/>
      <c r="F80" s="603"/>
      <c r="G80" s="603"/>
      <c r="H80" s="598" t="str">
        <f t="shared" si="0"/>
        <v>NA</v>
      </c>
      <c r="L80" s="632" t="s">
        <v>369</v>
      </c>
      <c r="M80" s="633" t="s">
        <v>370</v>
      </c>
      <c r="N80" s="634">
        <v>63684</v>
      </c>
      <c r="O80" s="635"/>
      <c r="P80" s="635"/>
      <c r="Q80" s="636" t="s">
        <v>781</v>
      </c>
      <c r="R80" s="636"/>
      <c r="S80" s="658" t="s">
        <v>621</v>
      </c>
    </row>
    <row r="81" spans="1:19">
      <c r="A81" s="599" t="s">
        <v>417</v>
      </c>
      <c r="B81" s="600" t="s">
        <v>418</v>
      </c>
      <c r="C81" s="601">
        <v>0</v>
      </c>
      <c r="D81" s="602"/>
      <c r="E81" s="602"/>
      <c r="F81" s="603"/>
      <c r="G81" s="603"/>
      <c r="H81" s="598" t="str">
        <f t="shared" si="0"/>
        <v>NA</v>
      </c>
      <c r="L81" s="632" t="s">
        <v>19</v>
      </c>
      <c r="M81" s="633" t="s">
        <v>20</v>
      </c>
      <c r="N81" s="634">
        <v>23667</v>
      </c>
      <c r="O81" s="635"/>
      <c r="P81" s="635"/>
      <c r="Q81" s="636" t="s">
        <v>781</v>
      </c>
      <c r="R81" s="636"/>
      <c r="S81" s="658" t="s">
        <v>621</v>
      </c>
    </row>
    <row r="82" spans="1:19">
      <c r="A82" s="599" t="s">
        <v>293</v>
      </c>
      <c r="B82" s="600" t="s">
        <v>294</v>
      </c>
      <c r="C82" s="601">
        <v>0</v>
      </c>
      <c r="D82" s="602"/>
      <c r="E82" s="602"/>
      <c r="F82" s="603"/>
      <c r="G82" s="603"/>
      <c r="H82" s="598" t="str">
        <f t="shared" si="0"/>
        <v>NA</v>
      </c>
      <c r="L82" s="632" t="s">
        <v>361</v>
      </c>
      <c r="M82" s="633" t="s">
        <v>362</v>
      </c>
      <c r="N82" s="634">
        <v>104820</v>
      </c>
      <c r="O82" s="635"/>
      <c r="P82" s="635"/>
      <c r="Q82" s="636" t="s">
        <v>781</v>
      </c>
      <c r="R82" s="636"/>
      <c r="S82" s="658" t="s">
        <v>621</v>
      </c>
    </row>
    <row r="83" spans="1:19">
      <c r="A83" s="599" t="s">
        <v>66</v>
      </c>
      <c r="B83" s="600" t="s">
        <v>67</v>
      </c>
      <c r="C83" s="601">
        <v>0</v>
      </c>
      <c r="D83" s="602"/>
      <c r="E83" s="602"/>
      <c r="F83" s="603"/>
      <c r="G83" s="603"/>
      <c r="H83" s="598" t="str">
        <f t="shared" si="0"/>
        <v>NA</v>
      </c>
      <c r="L83" s="632" t="s">
        <v>436</v>
      </c>
      <c r="M83" s="633" t="s">
        <v>437</v>
      </c>
      <c r="N83" s="634">
        <v>0</v>
      </c>
      <c r="O83" s="635"/>
      <c r="P83" s="635"/>
      <c r="Q83" s="636"/>
      <c r="R83" s="636"/>
      <c r="S83" s="644" t="s">
        <v>723</v>
      </c>
    </row>
    <row r="84" spans="1:19">
      <c r="A84" s="599" t="s">
        <v>444</v>
      </c>
      <c r="B84" s="600" t="s">
        <v>445</v>
      </c>
      <c r="C84" s="601">
        <v>1301</v>
      </c>
      <c r="D84" s="602"/>
      <c r="E84" s="602"/>
      <c r="F84" s="615" t="s">
        <v>782</v>
      </c>
      <c r="G84" s="603"/>
      <c r="H84" s="598" t="str">
        <f t="shared" si="0"/>
        <v>No</v>
      </c>
      <c r="L84" s="632" t="s">
        <v>529</v>
      </c>
      <c r="M84" s="633" t="s">
        <v>530</v>
      </c>
      <c r="N84" s="634">
        <v>0</v>
      </c>
      <c r="O84" s="635"/>
      <c r="P84" s="635"/>
      <c r="Q84" s="636"/>
      <c r="R84" s="636"/>
      <c r="S84" s="644" t="s">
        <v>723</v>
      </c>
    </row>
    <row r="85" spans="1:19">
      <c r="A85" s="599" t="s">
        <v>490</v>
      </c>
      <c r="B85" s="600" t="s">
        <v>491</v>
      </c>
      <c r="C85" s="601">
        <v>0</v>
      </c>
      <c r="D85" s="602"/>
      <c r="E85" s="602"/>
      <c r="F85" s="603"/>
      <c r="G85" s="603"/>
      <c r="H85" s="598" t="str">
        <f t="shared" si="0"/>
        <v>NA</v>
      </c>
      <c r="L85" s="632" t="s">
        <v>240</v>
      </c>
      <c r="M85" s="633" t="s">
        <v>241</v>
      </c>
      <c r="N85" s="634">
        <v>0</v>
      </c>
      <c r="O85" s="635"/>
      <c r="P85" s="635"/>
      <c r="Q85" s="636"/>
      <c r="R85" s="636"/>
      <c r="S85" s="644" t="s">
        <v>723</v>
      </c>
    </row>
    <row r="86" spans="1:19">
      <c r="A86" s="599" t="s">
        <v>440</v>
      </c>
      <c r="B86" s="600" t="s">
        <v>674</v>
      </c>
      <c r="C86" s="601">
        <v>19032</v>
      </c>
      <c r="D86" s="602"/>
      <c r="E86" s="602"/>
      <c r="F86" s="603" t="s">
        <v>781</v>
      </c>
      <c r="G86" s="603"/>
      <c r="H86" s="598" t="str">
        <f t="shared" si="0"/>
        <v>Yes</v>
      </c>
      <c r="L86" s="632" t="s">
        <v>246</v>
      </c>
      <c r="M86" s="633" t="s">
        <v>247</v>
      </c>
      <c r="N86" s="634">
        <v>4035</v>
      </c>
      <c r="O86" s="635"/>
      <c r="P86" s="635"/>
      <c r="Q86" s="636" t="s">
        <v>781</v>
      </c>
      <c r="R86" s="636" t="s">
        <v>1291</v>
      </c>
      <c r="S86" s="658" t="s">
        <v>1306</v>
      </c>
    </row>
    <row r="87" spans="1:19">
      <c r="A87" s="599" t="s">
        <v>549</v>
      </c>
      <c r="B87" s="600" t="s">
        <v>550</v>
      </c>
      <c r="C87" s="601">
        <v>48947</v>
      </c>
      <c r="D87" s="602"/>
      <c r="E87" s="602"/>
      <c r="F87" s="603" t="s">
        <v>781</v>
      </c>
      <c r="G87" s="603"/>
      <c r="H87" s="598" t="str">
        <f t="shared" si="0"/>
        <v>Yes</v>
      </c>
      <c r="L87" s="632" t="s">
        <v>131</v>
      </c>
      <c r="M87" s="633" t="s">
        <v>655</v>
      </c>
      <c r="N87" s="634">
        <v>0</v>
      </c>
      <c r="O87" s="635"/>
      <c r="P87" s="635"/>
      <c r="Q87" s="636"/>
      <c r="R87" s="636"/>
      <c r="S87" s="644" t="s">
        <v>723</v>
      </c>
    </row>
    <row r="88" spans="1:19">
      <c r="A88" s="599" t="s">
        <v>88</v>
      </c>
      <c r="B88" s="600" t="s">
        <v>89</v>
      </c>
      <c r="C88" s="601">
        <v>162724</v>
      </c>
      <c r="D88" s="602"/>
      <c r="E88" s="602"/>
      <c r="F88" s="603" t="s">
        <v>781</v>
      </c>
      <c r="G88" s="603"/>
      <c r="H88" s="598" t="str">
        <f t="shared" si="0"/>
        <v>Yes</v>
      </c>
      <c r="L88" s="632" t="s">
        <v>555</v>
      </c>
      <c r="M88" s="633" t="s">
        <v>556</v>
      </c>
      <c r="N88" s="634">
        <v>190062</v>
      </c>
      <c r="O88" s="635"/>
      <c r="P88" s="635"/>
      <c r="Q88" s="636" t="s">
        <v>781</v>
      </c>
      <c r="R88" s="636"/>
      <c r="S88" s="658" t="s">
        <v>621</v>
      </c>
    </row>
    <row r="89" spans="1:19">
      <c r="A89" s="599" t="s">
        <v>222</v>
      </c>
      <c r="B89" s="600" t="s">
        <v>223</v>
      </c>
      <c r="C89" s="601">
        <v>1640</v>
      </c>
      <c r="D89" s="602"/>
      <c r="E89" s="602"/>
      <c r="F89" s="615" t="s">
        <v>782</v>
      </c>
      <c r="G89" s="603"/>
      <c r="H89" s="598" t="str">
        <f t="shared" si="0"/>
        <v>No</v>
      </c>
      <c r="L89" s="632" t="s">
        <v>563</v>
      </c>
      <c r="M89" s="633" t="s">
        <v>564</v>
      </c>
      <c r="N89" s="634">
        <v>97921</v>
      </c>
      <c r="O89" s="635">
        <v>18</v>
      </c>
      <c r="P89" s="635"/>
      <c r="Q89" s="636" t="s">
        <v>781</v>
      </c>
      <c r="R89" s="636"/>
      <c r="S89" s="658" t="s">
        <v>621</v>
      </c>
    </row>
    <row r="90" spans="1:19">
      <c r="A90" s="599" t="s">
        <v>365</v>
      </c>
      <c r="B90" s="600" t="s">
        <v>366</v>
      </c>
      <c r="C90" s="601">
        <v>2316</v>
      </c>
      <c r="D90" s="602"/>
      <c r="E90" s="602"/>
      <c r="F90" s="603"/>
      <c r="G90" s="603"/>
      <c r="H90" s="598" t="str">
        <f t="shared" si="0"/>
        <v>NA</v>
      </c>
      <c r="L90" s="632" t="s">
        <v>419</v>
      </c>
      <c r="M90" s="633" t="s">
        <v>420</v>
      </c>
      <c r="N90" s="634">
        <v>5129</v>
      </c>
      <c r="O90" s="635"/>
      <c r="P90" s="635"/>
      <c r="Q90" s="638" t="s">
        <v>782</v>
      </c>
      <c r="R90" s="636"/>
      <c r="S90" s="658" t="s">
        <v>644</v>
      </c>
    </row>
    <row r="91" spans="1:19">
      <c r="A91" s="599" t="s">
        <v>401</v>
      </c>
      <c r="B91" s="600" t="s">
        <v>402</v>
      </c>
      <c r="C91" s="601">
        <v>341355</v>
      </c>
      <c r="D91" s="602"/>
      <c r="E91" s="602">
        <v>5</v>
      </c>
      <c r="F91" s="603" t="s">
        <v>781</v>
      </c>
      <c r="G91" s="603"/>
      <c r="H91" s="598" t="str">
        <f t="shared" si="0"/>
        <v>Yes</v>
      </c>
      <c r="L91" s="632" t="s">
        <v>297</v>
      </c>
      <c r="M91" s="633" t="s">
        <v>298</v>
      </c>
      <c r="N91" s="634">
        <v>0</v>
      </c>
      <c r="O91" s="635"/>
      <c r="P91" s="635"/>
      <c r="Q91" s="636"/>
      <c r="R91" s="636"/>
      <c r="S91" s="644" t="s">
        <v>723</v>
      </c>
    </row>
    <row r="92" spans="1:19">
      <c r="A92" s="599" t="s">
        <v>226</v>
      </c>
      <c r="B92" s="600" t="s">
        <v>227</v>
      </c>
      <c r="C92" s="601">
        <v>38480</v>
      </c>
      <c r="D92" s="602"/>
      <c r="E92" s="602"/>
      <c r="F92" s="603" t="s">
        <v>781</v>
      </c>
      <c r="G92" s="603"/>
      <c r="H92" s="598" t="str">
        <f t="shared" si="0"/>
        <v>Yes</v>
      </c>
      <c r="L92" s="632" t="s">
        <v>426</v>
      </c>
      <c r="M92" s="633" t="s">
        <v>427</v>
      </c>
      <c r="N92" s="634">
        <v>0</v>
      </c>
      <c r="O92" s="635"/>
      <c r="P92" s="635"/>
      <c r="Q92" s="636"/>
      <c r="R92" s="636"/>
      <c r="S92" s="644" t="s">
        <v>723</v>
      </c>
    </row>
    <row r="93" spans="1:19">
      <c r="A93" s="599" t="s">
        <v>141</v>
      </c>
      <c r="B93" s="600" t="s">
        <v>142</v>
      </c>
      <c r="C93" s="601">
        <v>17678</v>
      </c>
      <c r="D93" s="602"/>
      <c r="E93" s="602"/>
      <c r="F93" s="603" t="s">
        <v>782</v>
      </c>
      <c r="G93" s="603"/>
      <c r="H93" s="598" t="str">
        <f t="shared" ref="H93:H156" si="1">IF(ISBLANK(F93),"NA",F93)</f>
        <v>No</v>
      </c>
      <c r="L93" s="632" t="s">
        <v>54</v>
      </c>
      <c r="M93" s="633" t="s">
        <v>55</v>
      </c>
      <c r="N93" s="634">
        <v>0</v>
      </c>
      <c r="O93" s="635"/>
      <c r="P93" s="635"/>
      <c r="Q93" s="636"/>
      <c r="R93" s="636"/>
      <c r="S93" s="644" t="s">
        <v>723</v>
      </c>
    </row>
    <row r="94" spans="1:19">
      <c r="A94" s="599" t="s">
        <v>535</v>
      </c>
      <c r="B94" s="600" t="s">
        <v>536</v>
      </c>
      <c r="C94" s="601">
        <v>0</v>
      </c>
      <c r="D94" s="602"/>
      <c r="E94" s="602"/>
      <c r="F94" s="603"/>
      <c r="G94" s="603"/>
      <c r="H94" s="598" t="str">
        <f t="shared" si="1"/>
        <v>NA</v>
      </c>
      <c r="L94" s="632" t="s">
        <v>482</v>
      </c>
      <c r="M94" s="633" t="s">
        <v>483</v>
      </c>
      <c r="N94" s="634">
        <v>0</v>
      </c>
      <c r="O94" s="635"/>
      <c r="P94" s="635"/>
      <c r="Q94" s="636"/>
      <c r="R94" s="636"/>
      <c r="S94" s="644" t="s">
        <v>723</v>
      </c>
    </row>
    <row r="95" spans="1:19">
      <c r="A95" s="599" t="s">
        <v>177</v>
      </c>
      <c r="B95" s="600" t="s">
        <v>178</v>
      </c>
      <c r="C95" s="601">
        <v>29289</v>
      </c>
      <c r="D95" s="602"/>
      <c r="E95" s="602"/>
      <c r="F95" s="603" t="s">
        <v>781</v>
      </c>
      <c r="G95" s="603"/>
      <c r="H95" s="598" t="str">
        <f t="shared" si="1"/>
        <v>Yes</v>
      </c>
      <c r="L95" s="632" t="s">
        <v>291</v>
      </c>
      <c r="M95" s="633" t="s">
        <v>292</v>
      </c>
      <c r="N95" s="634">
        <v>0</v>
      </c>
      <c r="O95" s="635"/>
      <c r="P95" s="635"/>
      <c r="Q95" s="636"/>
      <c r="R95" s="636"/>
      <c r="S95" s="644" t="s">
        <v>723</v>
      </c>
    </row>
    <row r="96" spans="1:19">
      <c r="A96" s="599" t="s">
        <v>127</v>
      </c>
      <c r="B96" s="600" t="s">
        <v>128</v>
      </c>
      <c r="C96" s="601">
        <v>33820</v>
      </c>
      <c r="D96" s="602"/>
      <c r="E96" s="602"/>
      <c r="F96" s="603" t="s">
        <v>781</v>
      </c>
      <c r="G96" s="603"/>
      <c r="H96" s="598" t="str">
        <f t="shared" si="1"/>
        <v>Yes</v>
      </c>
      <c r="L96" s="632" t="s">
        <v>561</v>
      </c>
      <c r="M96" s="633" t="s">
        <v>562</v>
      </c>
      <c r="N96" s="634">
        <v>48375</v>
      </c>
      <c r="O96" s="635"/>
      <c r="P96" s="635"/>
      <c r="Q96" s="636" t="s">
        <v>781</v>
      </c>
      <c r="R96" s="636"/>
      <c r="S96" s="658" t="s">
        <v>621</v>
      </c>
    </row>
    <row r="97" spans="1:19">
      <c r="A97" s="599" t="s">
        <v>256</v>
      </c>
      <c r="B97" s="600" t="s">
        <v>257</v>
      </c>
      <c r="C97" s="601">
        <v>0</v>
      </c>
      <c r="D97" s="602"/>
      <c r="E97" s="602"/>
      <c r="F97" s="603"/>
      <c r="G97" s="603"/>
      <c r="H97" s="598" t="str">
        <f t="shared" si="1"/>
        <v>NA</v>
      </c>
      <c r="L97" s="632" t="s">
        <v>181</v>
      </c>
      <c r="M97" s="633" t="s">
        <v>182</v>
      </c>
      <c r="N97" s="634">
        <v>711377</v>
      </c>
      <c r="O97" s="635">
        <v>55</v>
      </c>
      <c r="P97" s="635"/>
      <c r="Q97" s="636" t="s">
        <v>781</v>
      </c>
      <c r="R97" s="636"/>
      <c r="S97" s="658" t="s">
        <v>621</v>
      </c>
    </row>
    <row r="98" spans="1:19">
      <c r="A98" s="599" t="s">
        <v>395</v>
      </c>
      <c r="B98" s="600" t="s">
        <v>396</v>
      </c>
      <c r="C98" s="601">
        <v>313002</v>
      </c>
      <c r="D98" s="602">
        <v>45</v>
      </c>
      <c r="E98" s="602"/>
      <c r="F98" s="603" t="s">
        <v>781</v>
      </c>
      <c r="G98" s="603"/>
      <c r="H98" s="598" t="str">
        <f t="shared" si="1"/>
        <v>Yes</v>
      </c>
      <c r="L98" s="632" t="s">
        <v>51</v>
      </c>
      <c r="M98" s="633" t="s">
        <v>52</v>
      </c>
      <c r="N98" s="634">
        <v>3853</v>
      </c>
      <c r="O98" s="635"/>
      <c r="P98" s="635"/>
      <c r="Q98" s="639" t="s">
        <v>781</v>
      </c>
      <c r="R98" s="636" t="s">
        <v>1298</v>
      </c>
      <c r="S98" s="658" t="s">
        <v>1306</v>
      </c>
    </row>
    <row r="99" spans="1:19">
      <c r="A99" s="599" t="s">
        <v>58</v>
      </c>
      <c r="B99" s="600" t="s">
        <v>59</v>
      </c>
      <c r="C99" s="601">
        <v>393818</v>
      </c>
      <c r="D99" s="602"/>
      <c r="E99" s="602"/>
      <c r="F99" s="603" t="s">
        <v>781</v>
      </c>
      <c r="G99" s="603"/>
      <c r="H99" s="598" t="str">
        <f t="shared" si="1"/>
        <v>Yes</v>
      </c>
      <c r="L99" s="632" t="s">
        <v>307</v>
      </c>
      <c r="M99" s="633" t="s">
        <v>308</v>
      </c>
      <c r="N99" s="634">
        <v>0</v>
      </c>
      <c r="O99" s="635"/>
      <c r="P99" s="635"/>
      <c r="Q99" s="636"/>
      <c r="R99" s="636"/>
      <c r="S99" s="644" t="s">
        <v>723</v>
      </c>
    </row>
    <row r="100" spans="1:19">
      <c r="A100" s="599" t="s">
        <v>462</v>
      </c>
      <c r="B100" s="600" t="s">
        <v>463</v>
      </c>
      <c r="C100" s="601">
        <v>0</v>
      </c>
      <c r="D100" s="602"/>
      <c r="E100" s="602"/>
      <c r="F100" s="603"/>
      <c r="G100" s="603"/>
      <c r="H100" s="598" t="str">
        <f t="shared" si="1"/>
        <v>NA</v>
      </c>
      <c r="L100" s="632" t="s">
        <v>134</v>
      </c>
      <c r="M100" s="633" t="s">
        <v>135</v>
      </c>
      <c r="N100" s="634">
        <v>7629</v>
      </c>
      <c r="O100" s="635"/>
      <c r="P100" s="635"/>
      <c r="Q100" s="638" t="s">
        <v>782</v>
      </c>
      <c r="R100" s="636"/>
      <c r="S100" s="658" t="s">
        <v>644</v>
      </c>
    </row>
    <row r="101" spans="1:19">
      <c r="A101" s="599" t="s">
        <v>175</v>
      </c>
      <c r="B101" s="600" t="s">
        <v>176</v>
      </c>
      <c r="C101" s="601">
        <v>522565</v>
      </c>
      <c r="D101" s="602"/>
      <c r="E101" s="602"/>
      <c r="F101" s="603" t="s">
        <v>781</v>
      </c>
      <c r="G101" s="603"/>
      <c r="H101" s="598" t="str">
        <f t="shared" si="1"/>
        <v>Yes</v>
      </c>
      <c r="L101" s="649" t="s">
        <v>100</v>
      </c>
      <c r="M101" s="650" t="s">
        <v>101</v>
      </c>
      <c r="N101" s="651">
        <v>6014</v>
      </c>
      <c r="O101" s="652"/>
      <c r="P101" s="652"/>
      <c r="Q101" s="653" t="s">
        <v>1307</v>
      </c>
      <c r="R101" s="653"/>
      <c r="S101" s="658" t="s">
        <v>723</v>
      </c>
    </row>
    <row r="102" spans="1:19">
      <c r="A102" s="599" t="s">
        <v>506</v>
      </c>
      <c r="B102" s="600" t="s">
        <v>507</v>
      </c>
      <c r="C102" s="601">
        <v>42803</v>
      </c>
      <c r="D102" s="602"/>
      <c r="E102" s="602"/>
      <c r="F102" s="603" t="s">
        <v>781</v>
      </c>
      <c r="G102" s="603"/>
      <c r="H102" s="598" t="str">
        <f t="shared" si="1"/>
        <v>Yes</v>
      </c>
      <c r="L102" s="632" t="s">
        <v>407</v>
      </c>
      <c r="M102" s="633" t="s">
        <v>408</v>
      </c>
      <c r="N102" s="634">
        <v>0</v>
      </c>
      <c r="O102" s="635"/>
      <c r="P102" s="635"/>
      <c r="Q102" s="636"/>
      <c r="R102" s="636"/>
      <c r="S102" s="658" t="s">
        <v>723</v>
      </c>
    </row>
    <row r="103" spans="1:19">
      <c r="A103" s="599" t="s">
        <v>369</v>
      </c>
      <c r="B103" s="600" t="s">
        <v>370</v>
      </c>
      <c r="C103" s="601">
        <v>63684</v>
      </c>
      <c r="D103" s="602"/>
      <c r="E103" s="602"/>
      <c r="F103" s="603" t="s">
        <v>781</v>
      </c>
      <c r="G103" s="603"/>
      <c r="H103" s="598" t="str">
        <f t="shared" si="1"/>
        <v>Yes</v>
      </c>
      <c r="L103" s="632" t="s">
        <v>201</v>
      </c>
      <c r="M103" s="633" t="s">
        <v>202</v>
      </c>
      <c r="N103" s="634">
        <v>121718</v>
      </c>
      <c r="O103" s="635">
        <v>4</v>
      </c>
      <c r="P103" s="635"/>
      <c r="Q103" s="636" t="s">
        <v>781</v>
      </c>
      <c r="R103" s="636"/>
      <c r="S103" s="658" t="s">
        <v>621</v>
      </c>
    </row>
    <row r="104" spans="1:19">
      <c r="A104" s="599" t="s">
        <v>19</v>
      </c>
      <c r="B104" s="600" t="s">
        <v>20</v>
      </c>
      <c r="C104" s="601">
        <v>23667</v>
      </c>
      <c r="D104" s="602"/>
      <c r="E104" s="602"/>
      <c r="F104" s="603" t="s">
        <v>781</v>
      </c>
      <c r="G104" s="603"/>
      <c r="H104" s="598" t="str">
        <f t="shared" si="1"/>
        <v>Yes</v>
      </c>
      <c r="L104" s="632" t="s">
        <v>110</v>
      </c>
      <c r="M104" s="633" t="s">
        <v>111</v>
      </c>
      <c r="N104" s="634">
        <v>0</v>
      </c>
      <c r="O104" s="635"/>
      <c r="P104" s="635"/>
      <c r="Q104" s="636"/>
      <c r="R104" s="636"/>
      <c r="S104" s="658" t="s">
        <v>723</v>
      </c>
    </row>
    <row r="105" spans="1:19">
      <c r="A105" s="599" t="s">
        <v>361</v>
      </c>
      <c r="B105" s="600" t="s">
        <v>362</v>
      </c>
      <c r="C105" s="601">
        <v>104820</v>
      </c>
      <c r="D105" s="602"/>
      <c r="E105" s="602"/>
      <c r="F105" s="603" t="s">
        <v>781</v>
      </c>
      <c r="G105" s="603"/>
      <c r="H105" s="598" t="str">
        <f t="shared" si="1"/>
        <v>Yes</v>
      </c>
      <c r="L105" s="632" t="s">
        <v>76</v>
      </c>
      <c r="M105" s="633" t="s">
        <v>77</v>
      </c>
      <c r="N105" s="634">
        <v>0</v>
      </c>
      <c r="O105" s="635"/>
      <c r="P105" s="635"/>
      <c r="Q105" s="636"/>
      <c r="R105" s="636"/>
      <c r="S105" s="658" t="s">
        <v>723</v>
      </c>
    </row>
    <row r="106" spans="1:19">
      <c r="A106" s="599" t="s">
        <v>436</v>
      </c>
      <c r="B106" s="600" t="s">
        <v>437</v>
      </c>
      <c r="C106" s="601">
        <v>0</v>
      </c>
      <c r="D106" s="602"/>
      <c r="E106" s="602"/>
      <c r="F106" s="603"/>
      <c r="G106" s="603"/>
      <c r="H106" s="598" t="str">
        <f t="shared" si="1"/>
        <v>NA</v>
      </c>
      <c r="L106" s="637" t="s">
        <v>94</v>
      </c>
      <c r="M106" s="633" t="s">
        <v>95</v>
      </c>
      <c r="N106" s="634">
        <v>0</v>
      </c>
      <c r="O106" s="635"/>
      <c r="P106" s="635"/>
      <c r="Q106" s="636"/>
      <c r="R106" s="636"/>
      <c r="S106" s="658" t="s">
        <v>723</v>
      </c>
    </row>
    <row r="107" spans="1:19">
      <c r="A107" s="599" t="s">
        <v>529</v>
      </c>
      <c r="B107" s="600" t="s">
        <v>530</v>
      </c>
      <c r="C107" s="601">
        <v>0</v>
      </c>
      <c r="D107" s="602"/>
      <c r="E107" s="602"/>
      <c r="F107" s="603"/>
      <c r="G107" s="603"/>
      <c r="H107" s="598" t="str">
        <f t="shared" si="1"/>
        <v>NA</v>
      </c>
      <c r="L107" s="632" t="s">
        <v>80</v>
      </c>
      <c r="M107" s="633" t="s">
        <v>81</v>
      </c>
      <c r="N107" s="634">
        <v>36007</v>
      </c>
      <c r="O107" s="635"/>
      <c r="P107" s="635"/>
      <c r="Q107" s="636" t="s">
        <v>781</v>
      </c>
      <c r="R107" s="636"/>
      <c r="S107" s="658" t="s">
        <v>621</v>
      </c>
    </row>
    <row r="108" spans="1:19">
      <c r="A108" s="599" t="s">
        <v>240</v>
      </c>
      <c r="B108" s="600" t="s">
        <v>241</v>
      </c>
      <c r="C108" s="601">
        <v>0</v>
      </c>
      <c r="D108" s="602"/>
      <c r="E108" s="602"/>
      <c r="F108" s="603"/>
      <c r="G108" s="603"/>
      <c r="H108" s="598" t="str">
        <f t="shared" si="1"/>
        <v>NA</v>
      </c>
      <c r="L108" s="632" t="s">
        <v>14</v>
      </c>
      <c r="M108" s="633" t="s">
        <v>15</v>
      </c>
      <c r="N108" s="634">
        <v>350521</v>
      </c>
      <c r="O108" s="635"/>
      <c r="P108" s="635"/>
      <c r="Q108" s="636" t="s">
        <v>781</v>
      </c>
      <c r="R108" s="636"/>
      <c r="S108" s="658" t="s">
        <v>621</v>
      </c>
    </row>
    <row r="109" spans="1:19">
      <c r="A109" s="599" t="s">
        <v>131</v>
      </c>
      <c r="B109" s="600" t="s">
        <v>655</v>
      </c>
      <c r="C109" s="601">
        <v>0</v>
      </c>
      <c r="D109" s="602"/>
      <c r="E109" s="602"/>
      <c r="F109" s="603"/>
      <c r="G109" s="603"/>
      <c r="H109" s="598" t="str">
        <f t="shared" si="1"/>
        <v>NA</v>
      </c>
      <c r="L109" s="632" t="s">
        <v>207</v>
      </c>
      <c r="M109" s="633" t="s">
        <v>208</v>
      </c>
      <c r="N109" s="634">
        <v>789926</v>
      </c>
      <c r="O109" s="635">
        <v>12</v>
      </c>
      <c r="P109" s="635">
        <v>1</v>
      </c>
      <c r="Q109" s="636" t="s">
        <v>781</v>
      </c>
      <c r="R109" s="636"/>
      <c r="S109" s="658" t="s">
        <v>621</v>
      </c>
    </row>
    <row r="110" spans="1:19">
      <c r="A110" s="599" t="s">
        <v>555</v>
      </c>
      <c r="B110" s="600" t="s">
        <v>556</v>
      </c>
      <c r="C110" s="601">
        <v>190062</v>
      </c>
      <c r="D110" s="602"/>
      <c r="E110" s="602"/>
      <c r="F110" s="603" t="s">
        <v>781</v>
      </c>
      <c r="G110" s="603"/>
      <c r="H110" s="598" t="str">
        <f t="shared" si="1"/>
        <v>Yes</v>
      </c>
      <c r="L110" s="632" t="s">
        <v>470</v>
      </c>
      <c r="M110" s="633" t="s">
        <v>471</v>
      </c>
      <c r="N110" s="634">
        <v>0</v>
      </c>
      <c r="O110" s="635"/>
      <c r="P110" s="635"/>
      <c r="Q110" s="636"/>
      <c r="R110" s="636"/>
      <c r="S110" s="658" t="s">
        <v>723</v>
      </c>
    </row>
    <row r="111" spans="1:19">
      <c r="A111" s="599" t="s">
        <v>563</v>
      </c>
      <c r="B111" s="600" t="s">
        <v>564</v>
      </c>
      <c r="C111" s="601">
        <v>97921</v>
      </c>
      <c r="D111" s="602">
        <v>18</v>
      </c>
      <c r="E111" s="602"/>
      <c r="F111" s="603" t="s">
        <v>781</v>
      </c>
      <c r="G111" s="603"/>
      <c r="H111" s="598" t="str">
        <f t="shared" si="1"/>
        <v>Yes</v>
      </c>
      <c r="L111" s="632" t="s">
        <v>18</v>
      </c>
      <c r="M111" s="633" t="s">
        <v>608</v>
      </c>
      <c r="N111" s="634">
        <v>37387</v>
      </c>
      <c r="O111" s="635"/>
      <c r="P111" s="635"/>
      <c r="Q111" s="636" t="s">
        <v>781</v>
      </c>
      <c r="R111" s="636"/>
      <c r="S111" s="658" t="s">
        <v>621</v>
      </c>
    </row>
    <row r="112" spans="1:19">
      <c r="A112" s="599" t="s">
        <v>419</v>
      </c>
      <c r="B112" s="600" t="s">
        <v>420</v>
      </c>
      <c r="C112" s="601">
        <v>5129</v>
      </c>
      <c r="D112" s="602"/>
      <c r="E112" s="602"/>
      <c r="F112" s="603" t="s">
        <v>781</v>
      </c>
      <c r="G112" s="603"/>
      <c r="H112" s="598" t="str">
        <f t="shared" si="1"/>
        <v>Yes</v>
      </c>
      <c r="L112" s="632" t="s">
        <v>228</v>
      </c>
      <c r="M112" s="633" t="s">
        <v>229</v>
      </c>
      <c r="N112" s="634">
        <v>9685</v>
      </c>
      <c r="O112" s="635"/>
      <c r="P112" s="635"/>
      <c r="Q112" s="636" t="s">
        <v>781</v>
      </c>
      <c r="R112" s="636" t="s">
        <v>1291</v>
      </c>
      <c r="S112" s="658" t="s">
        <v>1306</v>
      </c>
    </row>
    <row r="113" spans="1:19">
      <c r="A113" s="599" t="s">
        <v>297</v>
      </c>
      <c r="B113" s="600" t="s">
        <v>298</v>
      </c>
      <c r="C113" s="601">
        <v>0</v>
      </c>
      <c r="D113" s="602"/>
      <c r="E113" s="602"/>
      <c r="F113" s="603"/>
      <c r="G113" s="603"/>
      <c r="H113" s="598" t="str">
        <f t="shared" si="1"/>
        <v>NA</v>
      </c>
      <c r="L113" s="632" t="s">
        <v>242</v>
      </c>
      <c r="M113" s="633" t="s">
        <v>243</v>
      </c>
      <c r="N113" s="634">
        <v>0</v>
      </c>
      <c r="O113" s="635"/>
      <c r="P113" s="635"/>
      <c r="Q113" s="636"/>
      <c r="R113" s="636"/>
      <c r="S113" s="658" t="s">
        <v>723</v>
      </c>
    </row>
    <row r="114" spans="1:19">
      <c r="A114" s="599" t="s">
        <v>426</v>
      </c>
      <c r="B114" s="600" t="s">
        <v>427</v>
      </c>
      <c r="C114" s="601">
        <v>0</v>
      </c>
      <c r="D114" s="602"/>
      <c r="E114" s="602"/>
      <c r="F114" s="603"/>
      <c r="G114" s="603"/>
      <c r="H114" s="598" t="str">
        <f t="shared" si="1"/>
        <v>NA</v>
      </c>
      <c r="L114" s="632" t="s">
        <v>382</v>
      </c>
      <c r="M114" s="633" t="s">
        <v>383</v>
      </c>
      <c r="N114" s="634">
        <v>0</v>
      </c>
      <c r="O114" s="635"/>
      <c r="P114" s="635"/>
      <c r="Q114" s="636"/>
      <c r="R114" s="636"/>
      <c r="S114" s="658" t="s">
        <v>723</v>
      </c>
    </row>
    <row r="115" spans="1:19">
      <c r="A115" s="599" t="s">
        <v>54</v>
      </c>
      <c r="B115" s="600" t="s">
        <v>55</v>
      </c>
      <c r="C115" s="601">
        <v>0</v>
      </c>
      <c r="D115" s="602"/>
      <c r="E115" s="602"/>
      <c r="F115" s="603"/>
      <c r="G115" s="603"/>
      <c r="H115" s="598" t="str">
        <f t="shared" si="1"/>
        <v>NA</v>
      </c>
      <c r="L115" s="632" t="s">
        <v>53</v>
      </c>
      <c r="M115" s="633" t="s">
        <v>609</v>
      </c>
      <c r="N115" s="634">
        <v>2863</v>
      </c>
      <c r="O115" s="635"/>
      <c r="P115" s="635"/>
      <c r="Q115" s="638" t="s">
        <v>782</v>
      </c>
      <c r="R115" s="636"/>
      <c r="S115" s="658" t="s">
        <v>644</v>
      </c>
    </row>
    <row r="116" spans="1:19">
      <c r="A116" s="599" t="s">
        <v>482</v>
      </c>
      <c r="B116" s="600" t="s">
        <v>483</v>
      </c>
      <c r="C116" s="601">
        <v>0</v>
      </c>
      <c r="D116" s="602"/>
      <c r="E116" s="602"/>
      <c r="F116" s="603"/>
      <c r="G116" s="603"/>
      <c r="H116" s="598" t="str">
        <f t="shared" si="1"/>
        <v>NA</v>
      </c>
      <c r="L116" s="632" t="s">
        <v>518</v>
      </c>
      <c r="M116" s="633" t="s">
        <v>645</v>
      </c>
      <c r="N116" s="634">
        <v>0</v>
      </c>
      <c r="O116" s="635"/>
      <c r="P116" s="635"/>
      <c r="Q116" s="636"/>
      <c r="R116" s="636"/>
      <c r="S116" s="658" t="s">
        <v>723</v>
      </c>
    </row>
    <row r="117" spans="1:19">
      <c r="A117" s="599" t="s">
        <v>291</v>
      </c>
      <c r="B117" s="600" t="s">
        <v>292</v>
      </c>
      <c r="C117" s="601">
        <v>0</v>
      </c>
      <c r="D117" s="602"/>
      <c r="E117" s="602"/>
      <c r="F117" s="603"/>
      <c r="G117" s="603"/>
      <c r="H117" s="598" t="str">
        <f t="shared" si="1"/>
        <v>NA</v>
      </c>
      <c r="L117" s="632" t="s">
        <v>31</v>
      </c>
      <c r="M117" s="633" t="s">
        <v>32</v>
      </c>
      <c r="N117" s="634">
        <v>50977</v>
      </c>
      <c r="O117" s="635"/>
      <c r="P117" s="635"/>
      <c r="Q117" s="636" t="s">
        <v>781</v>
      </c>
      <c r="R117" s="636"/>
      <c r="S117" s="644" t="s">
        <v>621</v>
      </c>
    </row>
    <row r="118" spans="1:19">
      <c r="A118" s="599" t="s">
        <v>561</v>
      </c>
      <c r="B118" s="600" t="s">
        <v>562</v>
      </c>
      <c r="C118" s="601">
        <v>48375</v>
      </c>
      <c r="D118" s="602"/>
      <c r="E118" s="602"/>
      <c r="F118" s="603" t="s">
        <v>781</v>
      </c>
      <c r="G118" s="603"/>
      <c r="H118" s="598" t="str">
        <f t="shared" si="1"/>
        <v>Yes</v>
      </c>
      <c r="L118" s="632" t="s">
        <v>397</v>
      </c>
      <c r="M118" s="633" t="s">
        <v>398</v>
      </c>
      <c r="N118" s="634">
        <v>45798</v>
      </c>
      <c r="O118" s="635"/>
      <c r="P118" s="635"/>
      <c r="Q118" s="636" t="s">
        <v>781</v>
      </c>
      <c r="R118" s="636"/>
      <c r="S118" s="658" t="s">
        <v>621</v>
      </c>
    </row>
    <row r="119" spans="1:19">
      <c r="A119" s="599" t="s">
        <v>181</v>
      </c>
      <c r="B119" s="600" t="s">
        <v>182</v>
      </c>
      <c r="C119" s="601">
        <v>711377</v>
      </c>
      <c r="D119" s="602">
        <v>55</v>
      </c>
      <c r="E119" s="602"/>
      <c r="F119" s="603" t="s">
        <v>781</v>
      </c>
      <c r="G119" s="603"/>
      <c r="H119" s="598" t="str">
        <f t="shared" si="1"/>
        <v>Yes</v>
      </c>
      <c r="L119" s="632" t="s">
        <v>205</v>
      </c>
      <c r="M119" s="633" t="s">
        <v>206</v>
      </c>
      <c r="N119" s="634">
        <v>246975</v>
      </c>
      <c r="O119" s="635"/>
      <c r="P119" s="635"/>
      <c r="Q119" s="636" t="s">
        <v>781</v>
      </c>
      <c r="R119" s="636"/>
      <c r="S119" s="658" t="s">
        <v>621</v>
      </c>
    </row>
    <row r="120" spans="1:19">
      <c r="A120" s="599" t="s">
        <v>307</v>
      </c>
      <c r="B120" s="600" t="s">
        <v>308</v>
      </c>
      <c r="C120" s="601">
        <v>0</v>
      </c>
      <c r="D120" s="602"/>
      <c r="E120" s="602"/>
      <c r="F120" s="603"/>
      <c r="G120" s="603"/>
      <c r="H120" s="598" t="str">
        <f t="shared" si="1"/>
        <v>NA</v>
      </c>
      <c r="L120" s="632" t="s">
        <v>413</v>
      </c>
      <c r="M120" s="633" t="s">
        <v>414</v>
      </c>
      <c r="N120" s="634">
        <v>13383</v>
      </c>
      <c r="O120" s="635"/>
      <c r="P120" s="635"/>
      <c r="Q120" s="636" t="s">
        <v>781</v>
      </c>
      <c r="R120" s="636"/>
      <c r="S120" s="658" t="s">
        <v>621</v>
      </c>
    </row>
    <row r="121" spans="1:19">
      <c r="A121" s="599" t="s">
        <v>134</v>
      </c>
      <c r="B121" s="600" t="s">
        <v>135</v>
      </c>
      <c r="C121" s="601">
        <v>7629</v>
      </c>
      <c r="D121" s="602"/>
      <c r="E121" s="602"/>
      <c r="F121" s="603" t="s">
        <v>781</v>
      </c>
      <c r="G121" s="603"/>
      <c r="H121" s="598" t="str">
        <f t="shared" si="1"/>
        <v>Yes</v>
      </c>
      <c r="L121" s="632" t="s">
        <v>519</v>
      </c>
      <c r="M121" s="633" t="s">
        <v>520</v>
      </c>
      <c r="N121" s="634">
        <v>0</v>
      </c>
      <c r="O121" s="635"/>
      <c r="P121" s="635"/>
      <c r="Q121" s="636"/>
      <c r="R121" s="636"/>
      <c r="S121" s="658" t="s">
        <v>723</v>
      </c>
    </row>
    <row r="122" spans="1:19">
      <c r="A122" s="599" t="s">
        <v>100</v>
      </c>
      <c r="B122" s="600" t="s">
        <v>101</v>
      </c>
      <c r="C122" s="601">
        <v>6014</v>
      </c>
      <c r="D122" s="602"/>
      <c r="E122" s="602"/>
      <c r="F122" s="603" t="s">
        <v>781</v>
      </c>
      <c r="G122" s="603"/>
      <c r="H122" s="598" t="str">
        <f t="shared" si="1"/>
        <v>Yes</v>
      </c>
      <c r="L122" s="632" t="s">
        <v>441</v>
      </c>
      <c r="M122" s="633" t="s">
        <v>442</v>
      </c>
      <c r="N122" s="634">
        <v>0</v>
      </c>
      <c r="O122" s="635"/>
      <c r="P122" s="635"/>
      <c r="Q122" s="636"/>
      <c r="R122" s="636"/>
      <c r="S122" s="658" t="s">
        <v>723</v>
      </c>
    </row>
    <row r="123" spans="1:19">
      <c r="A123" s="599" t="s">
        <v>407</v>
      </c>
      <c r="B123" s="600" t="s">
        <v>408</v>
      </c>
      <c r="C123" s="601">
        <v>0</v>
      </c>
      <c r="D123" s="602"/>
      <c r="E123" s="602"/>
      <c r="F123" s="603"/>
      <c r="G123" s="603"/>
      <c r="H123" s="598" t="str">
        <f t="shared" si="1"/>
        <v>NA</v>
      </c>
      <c r="L123" s="632" t="s">
        <v>6</v>
      </c>
      <c r="M123" s="633" t="s">
        <v>7</v>
      </c>
      <c r="N123" s="634">
        <v>2134</v>
      </c>
      <c r="O123" s="635"/>
      <c r="P123" s="635"/>
      <c r="Q123" s="636" t="s">
        <v>782</v>
      </c>
      <c r="R123" s="636"/>
      <c r="S123" s="658" t="s">
        <v>644</v>
      </c>
    </row>
    <row r="124" spans="1:19">
      <c r="A124" s="599" t="s">
        <v>201</v>
      </c>
      <c r="B124" s="600" t="s">
        <v>202</v>
      </c>
      <c r="C124" s="601">
        <v>121718</v>
      </c>
      <c r="D124" s="602">
        <v>4</v>
      </c>
      <c r="E124" s="602"/>
      <c r="F124" s="603" t="s">
        <v>781</v>
      </c>
      <c r="G124" s="603"/>
      <c r="H124" s="598" t="str">
        <f t="shared" si="1"/>
        <v>Yes</v>
      </c>
      <c r="L124" s="632" t="s">
        <v>70</v>
      </c>
      <c r="M124" s="633" t="s">
        <v>71</v>
      </c>
      <c r="N124" s="634">
        <v>62929</v>
      </c>
      <c r="O124" s="635">
        <v>8</v>
      </c>
      <c r="P124" s="635"/>
      <c r="Q124" s="636" t="s">
        <v>781</v>
      </c>
      <c r="R124" s="636"/>
      <c r="S124" s="658" t="s">
        <v>621</v>
      </c>
    </row>
    <row r="125" spans="1:19">
      <c r="A125" s="599" t="s">
        <v>110</v>
      </c>
      <c r="B125" s="600" t="s">
        <v>111</v>
      </c>
      <c r="C125" s="601">
        <v>0</v>
      </c>
      <c r="D125" s="602"/>
      <c r="E125" s="602"/>
      <c r="F125" s="603"/>
      <c r="G125" s="603"/>
      <c r="H125" s="598" t="str">
        <f t="shared" si="1"/>
        <v>NA</v>
      </c>
      <c r="L125" s="632" t="s">
        <v>458</v>
      </c>
      <c r="M125" s="633" t="s">
        <v>459</v>
      </c>
      <c r="N125" s="634">
        <v>0</v>
      </c>
      <c r="O125" s="635"/>
      <c r="P125" s="635"/>
      <c r="Q125" s="636"/>
      <c r="R125" s="636"/>
      <c r="S125" s="658" t="s">
        <v>723</v>
      </c>
    </row>
    <row r="126" spans="1:19">
      <c r="A126" s="599" t="s">
        <v>76</v>
      </c>
      <c r="B126" s="600" t="s">
        <v>77</v>
      </c>
      <c r="C126" s="601">
        <v>0</v>
      </c>
      <c r="D126" s="602"/>
      <c r="E126" s="602"/>
      <c r="F126" s="603"/>
      <c r="G126" s="603"/>
      <c r="H126" s="598" t="str">
        <f t="shared" si="1"/>
        <v>NA</v>
      </c>
      <c r="L126" s="632" t="s">
        <v>373</v>
      </c>
      <c r="M126" s="633" t="s">
        <v>374</v>
      </c>
      <c r="N126" s="634">
        <v>1172</v>
      </c>
      <c r="O126" s="635"/>
      <c r="P126" s="635"/>
      <c r="Q126" s="636" t="s">
        <v>781</v>
      </c>
      <c r="R126" s="636" t="s">
        <v>1296</v>
      </c>
      <c r="S126" s="658" t="s">
        <v>1306</v>
      </c>
    </row>
    <row r="127" spans="1:19">
      <c r="A127" s="617" t="s">
        <v>94</v>
      </c>
      <c r="B127" s="600" t="s">
        <v>95</v>
      </c>
      <c r="C127" s="601">
        <v>0</v>
      </c>
      <c r="D127" s="602"/>
      <c r="E127" s="602"/>
      <c r="F127" s="603"/>
      <c r="G127" s="603"/>
      <c r="H127" s="598" t="str">
        <f t="shared" si="1"/>
        <v>NA</v>
      </c>
      <c r="L127" s="632" t="s">
        <v>250</v>
      </c>
      <c r="M127" s="633" t="s">
        <v>251</v>
      </c>
      <c r="N127" s="634">
        <v>0</v>
      </c>
      <c r="O127" s="635"/>
      <c r="P127" s="635"/>
      <c r="Q127" s="636"/>
      <c r="R127" s="636"/>
      <c r="S127" s="658" t="s">
        <v>723</v>
      </c>
    </row>
    <row r="128" spans="1:19">
      <c r="A128" s="599" t="s">
        <v>80</v>
      </c>
      <c r="B128" s="600" t="s">
        <v>81</v>
      </c>
      <c r="C128" s="601">
        <v>36007</v>
      </c>
      <c r="D128" s="602"/>
      <c r="E128" s="602"/>
      <c r="F128" s="603" t="s">
        <v>781</v>
      </c>
      <c r="G128" s="603"/>
      <c r="H128" s="598" t="str">
        <f t="shared" si="1"/>
        <v>Yes</v>
      </c>
      <c r="L128" s="632" t="s">
        <v>510</v>
      </c>
      <c r="M128" s="633" t="s">
        <v>511</v>
      </c>
      <c r="N128" s="634">
        <v>41761</v>
      </c>
      <c r="O128" s="635"/>
      <c r="P128" s="635"/>
      <c r="Q128" s="636" t="s">
        <v>781</v>
      </c>
      <c r="R128" s="636"/>
      <c r="S128" s="658" t="s">
        <v>621</v>
      </c>
    </row>
    <row r="129" spans="1:19">
      <c r="A129" s="599" t="s">
        <v>14</v>
      </c>
      <c r="B129" s="600" t="s">
        <v>15</v>
      </c>
      <c r="C129" s="601">
        <v>350521</v>
      </c>
      <c r="D129" s="602"/>
      <c r="E129" s="602"/>
      <c r="F129" s="603" t="s">
        <v>781</v>
      </c>
      <c r="G129" s="603"/>
      <c r="H129" s="598" t="str">
        <f t="shared" si="1"/>
        <v>Yes</v>
      </c>
      <c r="L129" s="632" t="s">
        <v>553</v>
      </c>
      <c r="M129" s="633" t="s">
        <v>554</v>
      </c>
      <c r="N129" s="634">
        <v>68032</v>
      </c>
      <c r="O129" s="635"/>
      <c r="P129" s="635"/>
      <c r="Q129" s="636" t="s">
        <v>781</v>
      </c>
      <c r="R129" s="636"/>
      <c r="S129" s="658" t="s">
        <v>621</v>
      </c>
    </row>
    <row r="130" spans="1:19">
      <c r="A130" s="599" t="s">
        <v>207</v>
      </c>
      <c r="B130" s="600" t="s">
        <v>208</v>
      </c>
      <c r="C130" s="601">
        <v>789926</v>
      </c>
      <c r="D130" s="602">
        <v>12</v>
      </c>
      <c r="E130" s="602">
        <v>1</v>
      </c>
      <c r="F130" s="603" t="s">
        <v>781</v>
      </c>
      <c r="G130" s="603"/>
      <c r="H130" s="598" t="str">
        <f t="shared" si="1"/>
        <v>Yes</v>
      </c>
      <c r="L130" s="632" t="s">
        <v>90</v>
      </c>
      <c r="M130" s="633" t="s">
        <v>91</v>
      </c>
      <c r="N130" s="634">
        <v>0</v>
      </c>
      <c r="O130" s="635"/>
      <c r="P130" s="635"/>
      <c r="Q130" s="636"/>
      <c r="R130" s="636"/>
      <c r="S130" s="658" t="s">
        <v>723</v>
      </c>
    </row>
    <row r="131" spans="1:19">
      <c r="A131" s="599" t="s">
        <v>470</v>
      </c>
      <c r="B131" s="600" t="s">
        <v>471</v>
      </c>
      <c r="C131" s="601">
        <v>0</v>
      </c>
      <c r="D131" s="602"/>
      <c r="E131" s="602"/>
      <c r="F131" s="603"/>
      <c r="G131" s="603"/>
      <c r="H131" s="598" t="str">
        <f t="shared" si="1"/>
        <v>NA</v>
      </c>
      <c r="L131" s="632" t="s">
        <v>25</v>
      </c>
      <c r="M131" s="633" t="s">
        <v>26</v>
      </c>
      <c r="N131" s="634">
        <v>34888</v>
      </c>
      <c r="O131" s="635">
        <v>1</v>
      </c>
      <c r="P131" s="635"/>
      <c r="Q131" s="636" t="s">
        <v>781</v>
      </c>
      <c r="R131" s="636"/>
      <c r="S131" s="658" t="s">
        <v>621</v>
      </c>
    </row>
    <row r="132" spans="1:19">
      <c r="A132" s="599" t="s">
        <v>18</v>
      </c>
      <c r="B132" s="600" t="s">
        <v>608</v>
      </c>
      <c r="C132" s="601">
        <v>37387</v>
      </c>
      <c r="D132" s="602"/>
      <c r="E132" s="602"/>
      <c r="F132" s="603" t="s">
        <v>781</v>
      </c>
      <c r="G132" s="603"/>
      <c r="H132" s="598" t="str">
        <f t="shared" si="1"/>
        <v>Yes</v>
      </c>
      <c r="L132" s="632" t="s">
        <v>301</v>
      </c>
      <c r="M132" s="633" t="s">
        <v>302</v>
      </c>
      <c r="N132" s="634">
        <v>0</v>
      </c>
      <c r="O132" s="635"/>
      <c r="P132" s="635"/>
      <c r="Q132" s="636"/>
      <c r="R132" s="636"/>
      <c r="S132" s="658" t="s">
        <v>723</v>
      </c>
    </row>
    <row r="133" spans="1:19">
      <c r="A133" s="599" t="s">
        <v>242</v>
      </c>
      <c r="B133" s="600" t="s">
        <v>243</v>
      </c>
      <c r="C133" s="601">
        <v>0</v>
      </c>
      <c r="D133" s="602"/>
      <c r="E133" s="602"/>
      <c r="F133" s="603"/>
      <c r="G133" s="603"/>
      <c r="H133" s="598" t="str">
        <f t="shared" si="1"/>
        <v>NA</v>
      </c>
      <c r="L133" s="632" t="s">
        <v>466</v>
      </c>
      <c r="M133" s="633" t="s">
        <v>467</v>
      </c>
      <c r="N133" s="634">
        <v>0</v>
      </c>
      <c r="O133" s="635"/>
      <c r="P133" s="635"/>
      <c r="Q133" s="636"/>
      <c r="R133" s="636"/>
      <c r="S133" s="658" t="s">
        <v>723</v>
      </c>
    </row>
    <row r="134" spans="1:19">
      <c r="A134" s="599" t="s">
        <v>382</v>
      </c>
      <c r="B134" s="600" t="s">
        <v>383</v>
      </c>
      <c r="C134" s="601">
        <v>0</v>
      </c>
      <c r="D134" s="602"/>
      <c r="E134" s="602"/>
      <c r="F134" s="603"/>
      <c r="G134" s="603"/>
      <c r="H134" s="598" t="str">
        <f t="shared" si="1"/>
        <v>NA</v>
      </c>
      <c r="L134" s="632" t="s">
        <v>405</v>
      </c>
      <c r="M134" s="633" t="s">
        <v>406</v>
      </c>
      <c r="N134" s="634">
        <v>130048</v>
      </c>
      <c r="O134" s="635"/>
      <c r="P134" s="635"/>
      <c r="Q134" s="636" t="s">
        <v>781</v>
      </c>
      <c r="R134" s="636"/>
      <c r="S134" s="658" t="s">
        <v>621</v>
      </c>
    </row>
    <row r="135" spans="1:19">
      <c r="A135" s="599" t="s">
        <v>53</v>
      </c>
      <c r="B135" s="600" t="s">
        <v>609</v>
      </c>
      <c r="C135" s="601">
        <v>2863</v>
      </c>
      <c r="D135" s="602"/>
      <c r="E135" s="602"/>
      <c r="F135" s="615" t="s">
        <v>782</v>
      </c>
      <c r="G135" s="603"/>
      <c r="H135" s="598" t="str">
        <f t="shared" si="1"/>
        <v>No</v>
      </c>
      <c r="L135" s="632" t="s">
        <v>138</v>
      </c>
      <c r="M135" s="633" t="s">
        <v>656</v>
      </c>
      <c r="N135" s="634">
        <v>0</v>
      </c>
      <c r="O135" s="635"/>
      <c r="P135" s="635"/>
      <c r="Q135" s="636"/>
      <c r="R135" s="636"/>
      <c r="S135" s="658" t="s">
        <v>723</v>
      </c>
    </row>
    <row r="136" spans="1:19">
      <c r="A136" s="599" t="s">
        <v>518</v>
      </c>
      <c r="B136" s="600" t="s">
        <v>645</v>
      </c>
      <c r="C136" s="601">
        <v>0</v>
      </c>
      <c r="D136" s="602"/>
      <c r="E136" s="602"/>
      <c r="F136" s="603"/>
      <c r="G136" s="603"/>
      <c r="H136" s="598" t="str">
        <f t="shared" si="1"/>
        <v>NA</v>
      </c>
      <c r="L136" s="632" t="s">
        <v>432</v>
      </c>
      <c r="M136" s="633" t="s">
        <v>433</v>
      </c>
      <c r="N136" s="634">
        <v>30383</v>
      </c>
      <c r="O136" s="635"/>
      <c r="P136" s="635">
        <v>11</v>
      </c>
      <c r="Q136" s="636" t="s">
        <v>781</v>
      </c>
      <c r="R136" s="636"/>
      <c r="S136" s="658" t="s">
        <v>621</v>
      </c>
    </row>
    <row r="137" spans="1:19">
      <c r="A137" s="599" t="s">
        <v>31</v>
      </c>
      <c r="B137" s="600" t="s">
        <v>32</v>
      </c>
      <c r="C137" s="601">
        <v>50977</v>
      </c>
      <c r="D137" s="602"/>
      <c r="E137" s="602"/>
      <c r="F137" s="603" t="s">
        <v>781</v>
      </c>
      <c r="G137" s="603"/>
      <c r="H137" s="598" t="str">
        <f t="shared" si="1"/>
        <v>Yes</v>
      </c>
      <c r="L137" s="632" t="s">
        <v>430</v>
      </c>
      <c r="M137" s="633" t="s">
        <v>431</v>
      </c>
      <c r="N137" s="634">
        <v>1041</v>
      </c>
      <c r="O137" s="635"/>
      <c r="P137" s="635"/>
      <c r="Q137" s="636" t="s">
        <v>782</v>
      </c>
      <c r="R137" s="636"/>
      <c r="S137" s="658" t="s">
        <v>644</v>
      </c>
    </row>
    <row r="138" spans="1:19">
      <c r="A138" s="599" t="s">
        <v>397</v>
      </c>
      <c r="B138" s="600" t="s">
        <v>398</v>
      </c>
      <c r="C138" s="601">
        <v>45798</v>
      </c>
      <c r="D138" s="602"/>
      <c r="E138" s="602"/>
      <c r="F138" s="603" t="s">
        <v>781</v>
      </c>
      <c r="G138" s="603"/>
      <c r="H138" s="598" t="str">
        <f t="shared" si="1"/>
        <v>Yes</v>
      </c>
      <c r="L138" s="632" t="s">
        <v>179</v>
      </c>
      <c r="M138" s="633" t="s">
        <v>180</v>
      </c>
      <c r="N138" s="634">
        <v>18172</v>
      </c>
      <c r="O138" s="635"/>
      <c r="P138" s="635">
        <v>4</v>
      </c>
      <c r="Q138" s="636" t="s">
        <v>781</v>
      </c>
      <c r="R138" s="636"/>
      <c r="S138" s="658" t="s">
        <v>621</v>
      </c>
    </row>
    <row r="139" spans="1:19">
      <c r="A139" s="599" t="s">
        <v>205</v>
      </c>
      <c r="B139" s="600" t="s">
        <v>206</v>
      </c>
      <c r="C139" s="601">
        <v>246975</v>
      </c>
      <c r="D139" s="602"/>
      <c r="E139" s="602"/>
      <c r="F139" s="603" t="s">
        <v>781</v>
      </c>
      <c r="G139" s="603"/>
      <c r="H139" s="598" t="str">
        <f t="shared" si="1"/>
        <v>Yes</v>
      </c>
      <c r="L139" s="632" t="s">
        <v>512</v>
      </c>
      <c r="M139" s="633" t="s">
        <v>513</v>
      </c>
      <c r="N139" s="634">
        <v>19761</v>
      </c>
      <c r="O139" s="635"/>
      <c r="P139" s="635"/>
      <c r="Q139" s="636" t="s">
        <v>781</v>
      </c>
      <c r="R139" s="636"/>
      <c r="S139" s="658" t="s">
        <v>621</v>
      </c>
    </row>
    <row r="140" spans="1:19">
      <c r="A140" s="599" t="s">
        <v>413</v>
      </c>
      <c r="B140" s="600" t="s">
        <v>414</v>
      </c>
      <c r="C140" s="601">
        <v>13383</v>
      </c>
      <c r="D140" s="602"/>
      <c r="E140" s="602"/>
      <c r="F140" s="603" t="s">
        <v>781</v>
      </c>
      <c r="G140" s="603"/>
      <c r="H140" s="598" t="str">
        <f t="shared" si="1"/>
        <v>Yes</v>
      </c>
      <c r="L140" s="632" t="s">
        <v>319</v>
      </c>
      <c r="M140" s="633" t="s">
        <v>320</v>
      </c>
      <c r="N140" s="634">
        <v>703</v>
      </c>
      <c r="O140" s="635"/>
      <c r="P140" s="635"/>
      <c r="Q140" s="636" t="s">
        <v>782</v>
      </c>
      <c r="R140" s="636"/>
      <c r="S140" s="658" t="s">
        <v>644</v>
      </c>
    </row>
    <row r="141" spans="1:19">
      <c r="A141" s="599" t="s">
        <v>519</v>
      </c>
      <c r="B141" s="600" t="s">
        <v>520</v>
      </c>
      <c r="C141" s="601">
        <v>0</v>
      </c>
      <c r="D141" s="602"/>
      <c r="E141" s="602"/>
      <c r="F141" s="603"/>
      <c r="G141" s="603"/>
      <c r="H141" s="598" t="str">
        <f t="shared" si="1"/>
        <v>NA</v>
      </c>
      <c r="L141" s="632" t="s">
        <v>391</v>
      </c>
      <c r="M141" s="633" t="s">
        <v>392</v>
      </c>
      <c r="N141" s="634">
        <v>0</v>
      </c>
      <c r="O141" s="635"/>
      <c r="P141" s="635"/>
      <c r="Q141" s="636"/>
      <c r="R141" s="636"/>
      <c r="S141" s="658" t="s">
        <v>723</v>
      </c>
    </row>
    <row r="142" spans="1:19">
      <c r="A142" s="599" t="s">
        <v>441</v>
      </c>
      <c r="B142" s="600" t="s">
        <v>442</v>
      </c>
      <c r="C142" s="601">
        <v>0</v>
      </c>
      <c r="D142" s="602"/>
      <c r="E142" s="602"/>
      <c r="F142" s="603"/>
      <c r="G142" s="603"/>
      <c r="H142" s="598" t="str">
        <f t="shared" si="1"/>
        <v>NA</v>
      </c>
      <c r="L142" s="632" t="s">
        <v>409</v>
      </c>
      <c r="M142" s="633" t="s">
        <v>410</v>
      </c>
      <c r="N142" s="634">
        <v>77456</v>
      </c>
      <c r="O142" s="635">
        <v>6</v>
      </c>
      <c r="P142" s="635"/>
      <c r="Q142" s="636" t="s">
        <v>781</v>
      </c>
      <c r="R142" s="636"/>
      <c r="S142" s="658" t="s">
        <v>621</v>
      </c>
    </row>
    <row r="143" spans="1:19">
      <c r="A143" s="599" t="s">
        <v>6</v>
      </c>
      <c r="B143" s="600" t="s">
        <v>7</v>
      </c>
      <c r="C143" s="601">
        <v>2134</v>
      </c>
      <c r="D143" s="602"/>
      <c r="E143" s="602"/>
      <c r="F143" s="603" t="s">
        <v>782</v>
      </c>
      <c r="G143" s="603"/>
      <c r="H143" s="598" t="str">
        <f t="shared" si="1"/>
        <v>No</v>
      </c>
      <c r="L143" s="632" t="s">
        <v>139</v>
      </c>
      <c r="M143" s="633" t="s">
        <v>140</v>
      </c>
      <c r="N143" s="634">
        <v>2134</v>
      </c>
      <c r="O143" s="635"/>
      <c r="P143" s="635"/>
      <c r="Q143" s="638" t="s">
        <v>782</v>
      </c>
      <c r="R143" s="636"/>
      <c r="S143" s="658" t="s">
        <v>644</v>
      </c>
    </row>
    <row r="144" spans="1:19">
      <c r="A144" s="599" t="s">
        <v>70</v>
      </c>
      <c r="B144" s="600" t="s">
        <v>71</v>
      </c>
      <c r="C144" s="601">
        <v>62929</v>
      </c>
      <c r="D144" s="602">
        <v>8</v>
      </c>
      <c r="E144" s="602"/>
      <c r="F144" s="603" t="s">
        <v>781</v>
      </c>
      <c r="G144" s="603"/>
      <c r="H144" s="598" t="str">
        <f t="shared" si="1"/>
        <v>Yes</v>
      </c>
      <c r="L144" s="632" t="s">
        <v>260</v>
      </c>
      <c r="M144" s="633" t="s">
        <v>261</v>
      </c>
      <c r="N144" s="634">
        <v>0</v>
      </c>
      <c r="O144" s="635"/>
      <c r="P144" s="635"/>
      <c r="Q144" s="636"/>
      <c r="R144" s="636"/>
      <c r="S144" s="658" t="s">
        <v>723</v>
      </c>
    </row>
    <row r="145" spans="1:19">
      <c r="A145" s="599" t="s">
        <v>458</v>
      </c>
      <c r="B145" s="600" t="s">
        <v>459</v>
      </c>
      <c r="C145" s="601">
        <v>0</v>
      </c>
      <c r="D145" s="602"/>
      <c r="E145" s="602"/>
      <c r="F145" s="603"/>
      <c r="G145" s="603"/>
      <c r="H145" s="598" t="str">
        <f t="shared" si="1"/>
        <v>NA</v>
      </c>
      <c r="L145" s="632" t="s">
        <v>125</v>
      </c>
      <c r="M145" s="633" t="s">
        <v>126</v>
      </c>
      <c r="N145" s="634">
        <v>115937</v>
      </c>
      <c r="O145" s="635"/>
      <c r="P145" s="635"/>
      <c r="Q145" s="636" t="s">
        <v>781</v>
      </c>
      <c r="R145" s="636"/>
      <c r="S145" s="644" t="s">
        <v>621</v>
      </c>
    </row>
    <row r="146" spans="1:19">
      <c r="A146" s="599" t="s">
        <v>250</v>
      </c>
      <c r="B146" s="600" t="s">
        <v>251</v>
      </c>
      <c r="C146" s="601">
        <v>0</v>
      </c>
      <c r="D146" s="602"/>
      <c r="E146" s="602"/>
      <c r="F146" s="603"/>
      <c r="G146" s="603"/>
      <c r="H146" s="598" t="str">
        <f t="shared" si="1"/>
        <v>NA</v>
      </c>
      <c r="L146" s="632" t="s">
        <v>258</v>
      </c>
      <c r="M146" s="633" t="s">
        <v>259</v>
      </c>
      <c r="N146" s="634">
        <v>7316</v>
      </c>
      <c r="O146" s="635"/>
      <c r="P146" s="635"/>
      <c r="Q146" s="636" t="s">
        <v>781</v>
      </c>
      <c r="R146" s="636" t="s">
        <v>1294</v>
      </c>
      <c r="S146" s="658" t="s">
        <v>1306</v>
      </c>
    </row>
    <row r="147" spans="1:19">
      <c r="A147" s="599" t="s">
        <v>510</v>
      </c>
      <c r="B147" s="600" t="s">
        <v>511</v>
      </c>
      <c r="C147" s="601">
        <v>41761</v>
      </c>
      <c r="D147" s="602"/>
      <c r="E147" s="602"/>
      <c r="F147" s="603" t="s">
        <v>781</v>
      </c>
      <c r="G147" s="603"/>
      <c r="H147" s="598" t="str">
        <f t="shared" si="1"/>
        <v>Yes</v>
      </c>
      <c r="L147" s="632" t="s">
        <v>571</v>
      </c>
      <c r="M147" s="633" t="s">
        <v>572</v>
      </c>
      <c r="N147" s="634">
        <v>45874</v>
      </c>
      <c r="O147" s="635">
        <v>119</v>
      </c>
      <c r="P147" s="635"/>
      <c r="Q147" s="636" t="s">
        <v>781</v>
      </c>
      <c r="R147" s="636"/>
      <c r="S147" s="658" t="s">
        <v>621</v>
      </c>
    </row>
    <row r="148" spans="1:19">
      <c r="A148" s="599" t="s">
        <v>553</v>
      </c>
      <c r="B148" s="600" t="s">
        <v>554</v>
      </c>
      <c r="C148" s="601">
        <v>68032</v>
      </c>
      <c r="D148" s="602"/>
      <c r="E148" s="602"/>
      <c r="F148" s="603" t="s">
        <v>781</v>
      </c>
      <c r="G148" s="603"/>
      <c r="H148" s="598" t="str">
        <f t="shared" si="1"/>
        <v>Yes</v>
      </c>
      <c r="L148" s="632" t="s">
        <v>516</v>
      </c>
      <c r="M148" s="633" t="s">
        <v>517</v>
      </c>
      <c r="N148" s="634">
        <v>20829</v>
      </c>
      <c r="O148" s="635"/>
      <c r="P148" s="635"/>
      <c r="Q148" s="636" t="s">
        <v>781</v>
      </c>
      <c r="R148" s="636"/>
      <c r="S148" s="658" t="s">
        <v>621</v>
      </c>
    </row>
    <row r="149" spans="1:19">
      <c r="A149" s="599" t="s">
        <v>90</v>
      </c>
      <c r="B149" s="600" t="s">
        <v>91</v>
      </c>
      <c r="C149" s="601">
        <v>0</v>
      </c>
      <c r="D149" s="602"/>
      <c r="E149" s="602"/>
      <c r="F149" s="603"/>
      <c r="G149" s="603"/>
      <c r="H149" s="598" t="str">
        <f t="shared" si="1"/>
        <v>NA</v>
      </c>
      <c r="L149" s="632" t="s">
        <v>389</v>
      </c>
      <c r="M149" s="633" t="s">
        <v>390</v>
      </c>
      <c r="N149" s="634">
        <v>0</v>
      </c>
      <c r="O149" s="635"/>
      <c r="P149" s="635"/>
      <c r="Q149" s="636"/>
      <c r="R149" s="636"/>
      <c r="S149" s="658" t="s">
        <v>723</v>
      </c>
    </row>
    <row r="150" spans="1:19">
      <c r="A150" s="599" t="s">
        <v>25</v>
      </c>
      <c r="B150" s="600" t="s">
        <v>26</v>
      </c>
      <c r="C150" s="601">
        <v>34888</v>
      </c>
      <c r="D150" s="602">
        <v>1</v>
      </c>
      <c r="E150" s="602"/>
      <c r="F150" s="603" t="s">
        <v>781</v>
      </c>
      <c r="G150" s="603"/>
      <c r="H150" s="598" t="str">
        <f t="shared" si="1"/>
        <v>Yes</v>
      </c>
      <c r="L150" s="632" t="s">
        <v>386</v>
      </c>
      <c r="M150" s="633" t="s">
        <v>610</v>
      </c>
      <c r="N150" s="634">
        <v>269106</v>
      </c>
      <c r="O150" s="635"/>
      <c r="P150" s="635"/>
      <c r="Q150" s="636" t="s">
        <v>781</v>
      </c>
      <c r="R150" s="636"/>
      <c r="S150" s="658" t="s">
        <v>621</v>
      </c>
    </row>
    <row r="151" spans="1:19">
      <c r="A151" s="599" t="s">
        <v>301</v>
      </c>
      <c r="B151" s="600" t="s">
        <v>302</v>
      </c>
      <c r="C151" s="601">
        <v>0</v>
      </c>
      <c r="D151" s="602"/>
      <c r="E151" s="602"/>
      <c r="F151" s="603"/>
      <c r="G151" s="603"/>
      <c r="H151" s="598" t="str">
        <f t="shared" si="1"/>
        <v>NA</v>
      </c>
      <c r="L151" s="632" t="s">
        <v>399</v>
      </c>
      <c r="M151" s="633" t="s">
        <v>400</v>
      </c>
      <c r="N151" s="634">
        <v>409725</v>
      </c>
      <c r="O151" s="635"/>
      <c r="P151" s="635">
        <v>4</v>
      </c>
      <c r="Q151" s="636" t="s">
        <v>781</v>
      </c>
      <c r="R151" s="636"/>
      <c r="S151" s="658" t="s">
        <v>621</v>
      </c>
    </row>
    <row r="152" spans="1:19">
      <c r="A152" s="599" t="s">
        <v>466</v>
      </c>
      <c r="B152" s="600" t="s">
        <v>467</v>
      </c>
      <c r="C152" s="601">
        <v>0</v>
      </c>
      <c r="D152" s="602"/>
      <c r="E152" s="602"/>
      <c r="F152" s="603"/>
      <c r="G152" s="603"/>
      <c r="H152" s="598" t="str">
        <f t="shared" si="1"/>
        <v>NA</v>
      </c>
      <c r="L152" s="632" t="s">
        <v>545</v>
      </c>
      <c r="M152" s="633" t="s">
        <v>546</v>
      </c>
      <c r="N152" s="634">
        <v>11170</v>
      </c>
      <c r="O152" s="635"/>
      <c r="P152" s="635"/>
      <c r="Q152" s="636" t="s">
        <v>781</v>
      </c>
      <c r="R152" s="636" t="s">
        <v>1291</v>
      </c>
      <c r="S152" s="658" t="s">
        <v>1306</v>
      </c>
    </row>
    <row r="153" spans="1:19">
      <c r="A153" s="599" t="s">
        <v>405</v>
      </c>
      <c r="B153" s="600" t="s">
        <v>406</v>
      </c>
      <c r="C153" s="601">
        <v>130048</v>
      </c>
      <c r="D153" s="602"/>
      <c r="E153" s="602"/>
      <c r="F153" s="603" t="s">
        <v>781</v>
      </c>
      <c r="G153" s="603"/>
      <c r="H153" s="598" t="str">
        <f t="shared" si="1"/>
        <v>Yes</v>
      </c>
      <c r="L153" s="632" t="s">
        <v>252</v>
      </c>
      <c r="M153" s="633" t="s">
        <v>253</v>
      </c>
      <c r="N153" s="634">
        <v>104</v>
      </c>
      <c r="O153" s="635"/>
      <c r="P153" s="635"/>
      <c r="Q153" s="638" t="s">
        <v>782</v>
      </c>
      <c r="R153" s="636"/>
      <c r="S153" s="658" t="s">
        <v>644</v>
      </c>
    </row>
    <row r="154" spans="1:19">
      <c r="A154" s="599" t="s">
        <v>138</v>
      </c>
      <c r="B154" s="600" t="s">
        <v>656</v>
      </c>
      <c r="C154" s="601">
        <v>0</v>
      </c>
      <c r="D154" s="602"/>
      <c r="E154" s="602"/>
      <c r="F154" s="603"/>
      <c r="G154" s="603"/>
      <c r="H154" s="598" t="str">
        <f t="shared" si="1"/>
        <v>NA</v>
      </c>
      <c r="L154" s="632" t="s">
        <v>331</v>
      </c>
      <c r="M154" s="633" t="s">
        <v>611</v>
      </c>
      <c r="N154" s="634">
        <v>729</v>
      </c>
      <c r="O154" s="635"/>
      <c r="P154" s="635"/>
      <c r="Q154" s="636" t="s">
        <v>782</v>
      </c>
      <c r="R154" s="636"/>
      <c r="S154" s="658" t="s">
        <v>644</v>
      </c>
    </row>
    <row r="155" spans="1:19">
      <c r="A155" s="599" t="s">
        <v>432</v>
      </c>
      <c r="B155" s="600" t="s">
        <v>433</v>
      </c>
      <c r="C155" s="601">
        <v>30383</v>
      </c>
      <c r="D155" s="602"/>
      <c r="E155" s="602">
        <v>11</v>
      </c>
      <c r="F155" s="603" t="s">
        <v>781</v>
      </c>
      <c r="G155" s="603"/>
      <c r="H155" s="598" t="str">
        <f t="shared" si="1"/>
        <v>Yes</v>
      </c>
      <c r="L155" s="632" t="s">
        <v>309</v>
      </c>
      <c r="M155" s="633" t="s">
        <v>310</v>
      </c>
      <c r="N155" s="634">
        <v>0</v>
      </c>
      <c r="O155" s="635"/>
      <c r="P155" s="635"/>
      <c r="Q155" s="636"/>
      <c r="R155" s="636"/>
      <c r="S155" s="658" t="s">
        <v>723</v>
      </c>
    </row>
    <row r="156" spans="1:19">
      <c r="A156" s="599" t="s">
        <v>430</v>
      </c>
      <c r="B156" s="600" t="s">
        <v>431</v>
      </c>
      <c r="C156" s="601">
        <v>1041</v>
      </c>
      <c r="D156" s="602"/>
      <c r="E156" s="602"/>
      <c r="F156" s="603" t="s">
        <v>782</v>
      </c>
      <c r="G156" s="603"/>
      <c r="H156" s="598" t="str">
        <f t="shared" si="1"/>
        <v>No</v>
      </c>
      <c r="L156" s="632" t="s">
        <v>336</v>
      </c>
      <c r="M156" s="633" t="s">
        <v>337</v>
      </c>
      <c r="N156" s="634">
        <v>0</v>
      </c>
      <c r="O156" s="635"/>
      <c r="P156" s="635"/>
      <c r="Q156" s="636"/>
      <c r="R156" s="636"/>
      <c r="S156" s="658" t="s">
        <v>723</v>
      </c>
    </row>
    <row r="157" spans="1:19">
      <c r="A157" s="599" t="s">
        <v>179</v>
      </c>
      <c r="B157" s="600" t="s">
        <v>180</v>
      </c>
      <c r="C157" s="601">
        <v>18172</v>
      </c>
      <c r="D157" s="602"/>
      <c r="E157" s="602">
        <v>4</v>
      </c>
      <c r="F157" s="603" t="s">
        <v>781</v>
      </c>
      <c r="G157" s="603"/>
      <c r="H157" s="598" t="str">
        <f t="shared" ref="H157:H220" si="2">IF(ISBLANK(F157),"NA",F157)</f>
        <v>Yes</v>
      </c>
      <c r="L157" s="632" t="s">
        <v>428</v>
      </c>
      <c r="M157" s="633" t="s">
        <v>429</v>
      </c>
      <c r="N157" s="634">
        <v>0</v>
      </c>
      <c r="O157" s="635"/>
      <c r="P157" s="635"/>
      <c r="Q157" s="636"/>
      <c r="R157" s="636"/>
      <c r="S157" s="658" t="s">
        <v>723</v>
      </c>
    </row>
    <row r="158" spans="1:19">
      <c r="A158" s="599" t="s">
        <v>512</v>
      </c>
      <c r="B158" s="600" t="s">
        <v>513</v>
      </c>
      <c r="C158" s="601">
        <v>19761</v>
      </c>
      <c r="D158" s="602"/>
      <c r="E158" s="602"/>
      <c r="F158" s="603" t="s">
        <v>781</v>
      </c>
      <c r="G158" s="603"/>
      <c r="H158" s="598" t="str">
        <f t="shared" si="2"/>
        <v>Yes</v>
      </c>
      <c r="L158" s="632" t="s">
        <v>514</v>
      </c>
      <c r="M158" s="633" t="s">
        <v>515</v>
      </c>
      <c r="N158" s="634">
        <v>31815</v>
      </c>
      <c r="O158" s="635"/>
      <c r="P158" s="635"/>
      <c r="Q158" s="636" t="s">
        <v>781</v>
      </c>
      <c r="R158" s="636"/>
      <c r="S158" s="658" t="s">
        <v>621</v>
      </c>
    </row>
    <row r="159" spans="1:19">
      <c r="A159" s="599" t="s">
        <v>319</v>
      </c>
      <c r="B159" s="600" t="s">
        <v>320</v>
      </c>
      <c r="C159" s="601">
        <v>703</v>
      </c>
      <c r="D159" s="602"/>
      <c r="E159" s="602"/>
      <c r="F159" s="603" t="s">
        <v>782</v>
      </c>
      <c r="G159" s="603"/>
      <c r="H159" s="598" t="str">
        <f t="shared" si="2"/>
        <v>No</v>
      </c>
      <c r="L159" s="632" t="s">
        <v>136</v>
      </c>
      <c r="M159" s="633" t="s">
        <v>137</v>
      </c>
      <c r="N159" s="634">
        <v>0</v>
      </c>
      <c r="O159" s="635"/>
      <c r="P159" s="635"/>
      <c r="Q159" s="636"/>
      <c r="R159" s="636"/>
      <c r="S159" s="658" t="s">
        <v>723</v>
      </c>
    </row>
    <row r="160" spans="1:19">
      <c r="A160" s="599" t="s">
        <v>391</v>
      </c>
      <c r="B160" s="600" t="s">
        <v>392</v>
      </c>
      <c r="C160" s="601">
        <v>0</v>
      </c>
      <c r="D160" s="602"/>
      <c r="E160" s="602"/>
      <c r="F160" s="603"/>
      <c r="G160" s="603"/>
      <c r="H160" s="598" t="str">
        <f t="shared" si="2"/>
        <v>NA</v>
      </c>
      <c r="L160" s="632" t="s">
        <v>106</v>
      </c>
      <c r="M160" s="633" t="s">
        <v>107</v>
      </c>
      <c r="N160" s="634">
        <v>123723</v>
      </c>
      <c r="O160" s="635"/>
      <c r="P160" s="635"/>
      <c r="Q160" s="636" t="s">
        <v>781</v>
      </c>
      <c r="R160" s="636"/>
      <c r="S160" s="658" t="s">
        <v>621</v>
      </c>
    </row>
    <row r="161" spans="1:19">
      <c r="A161" s="599" t="s">
        <v>409</v>
      </c>
      <c r="B161" s="600" t="s">
        <v>410</v>
      </c>
      <c r="C161" s="601">
        <v>77456</v>
      </c>
      <c r="D161" s="602">
        <v>6</v>
      </c>
      <c r="E161" s="602"/>
      <c r="F161" s="603" t="s">
        <v>781</v>
      </c>
      <c r="G161" s="603"/>
      <c r="H161" s="598" t="str">
        <f t="shared" si="2"/>
        <v>Yes</v>
      </c>
      <c r="L161" s="632" t="s">
        <v>214</v>
      </c>
      <c r="M161" s="633" t="s">
        <v>215</v>
      </c>
      <c r="N161" s="634">
        <v>31998</v>
      </c>
      <c r="O161" s="635"/>
      <c r="P161" s="635"/>
      <c r="Q161" s="636" t="s">
        <v>781</v>
      </c>
      <c r="R161" s="636"/>
      <c r="S161" s="658" t="s">
        <v>621</v>
      </c>
    </row>
    <row r="162" spans="1:19">
      <c r="A162" s="599" t="s">
        <v>139</v>
      </c>
      <c r="B162" s="600" t="s">
        <v>140</v>
      </c>
      <c r="C162" s="601">
        <v>2134</v>
      </c>
      <c r="D162" s="602"/>
      <c r="E162" s="602"/>
      <c r="F162" s="615" t="s">
        <v>782</v>
      </c>
      <c r="G162" s="603"/>
      <c r="H162" s="598" t="str">
        <f t="shared" si="2"/>
        <v>No</v>
      </c>
      <c r="L162" s="632" t="s">
        <v>305</v>
      </c>
      <c r="M162" s="633" t="s">
        <v>306</v>
      </c>
      <c r="N162" s="634">
        <v>17549</v>
      </c>
      <c r="O162" s="635"/>
      <c r="P162" s="635"/>
      <c r="Q162" s="636" t="s">
        <v>781</v>
      </c>
      <c r="R162" s="636"/>
      <c r="S162" s="658" t="s">
        <v>621</v>
      </c>
    </row>
    <row r="163" spans="1:19">
      <c r="A163" s="599" t="s">
        <v>260</v>
      </c>
      <c r="B163" s="600" t="s">
        <v>261</v>
      </c>
      <c r="C163" s="601">
        <v>0</v>
      </c>
      <c r="D163" s="602"/>
      <c r="E163" s="602"/>
      <c r="F163" s="603"/>
      <c r="G163" s="603"/>
      <c r="H163" s="598" t="str">
        <f t="shared" si="2"/>
        <v>NA</v>
      </c>
      <c r="L163" s="632" t="s">
        <v>334</v>
      </c>
      <c r="M163" s="633" t="s">
        <v>335</v>
      </c>
      <c r="N163" s="634">
        <v>0</v>
      </c>
      <c r="O163" s="635"/>
      <c r="P163" s="635"/>
      <c r="Q163" s="636"/>
      <c r="R163" s="636"/>
      <c r="S163" s="658" t="s">
        <v>723</v>
      </c>
    </row>
    <row r="164" spans="1:19">
      <c r="A164" s="599" t="s">
        <v>125</v>
      </c>
      <c r="B164" s="600" t="s">
        <v>126</v>
      </c>
      <c r="C164" s="601">
        <v>115937</v>
      </c>
      <c r="D164" s="602"/>
      <c r="E164" s="602"/>
      <c r="F164" s="603" t="s">
        <v>781</v>
      </c>
      <c r="G164" s="603"/>
      <c r="H164" s="598" t="str">
        <f t="shared" si="2"/>
        <v>Yes</v>
      </c>
      <c r="L164" s="632" t="s">
        <v>474</v>
      </c>
      <c r="M164" s="633" t="s">
        <v>475</v>
      </c>
      <c r="N164" s="634">
        <v>91543</v>
      </c>
      <c r="O164" s="635"/>
      <c r="P164" s="635"/>
      <c r="Q164" s="636" t="s">
        <v>781</v>
      </c>
      <c r="R164" s="636"/>
      <c r="S164" s="658" t="s">
        <v>621</v>
      </c>
    </row>
    <row r="165" spans="1:19">
      <c r="A165" s="599" t="s">
        <v>571</v>
      </c>
      <c r="B165" s="600" t="s">
        <v>572</v>
      </c>
      <c r="C165" s="601">
        <v>45874</v>
      </c>
      <c r="D165" s="602">
        <v>119</v>
      </c>
      <c r="E165" s="602"/>
      <c r="F165" s="603" t="s">
        <v>781</v>
      </c>
      <c r="G165" s="603"/>
      <c r="H165" s="598" t="str">
        <f t="shared" si="2"/>
        <v>Yes</v>
      </c>
      <c r="L165" s="632" t="s">
        <v>468</v>
      </c>
      <c r="M165" s="633" t="s">
        <v>469</v>
      </c>
      <c r="N165" s="634">
        <v>0</v>
      </c>
      <c r="O165" s="635"/>
      <c r="P165" s="635"/>
      <c r="Q165" s="636"/>
      <c r="R165" s="636"/>
      <c r="S165" s="658" t="s">
        <v>723</v>
      </c>
    </row>
    <row r="166" spans="1:19">
      <c r="A166" s="599" t="s">
        <v>516</v>
      </c>
      <c r="B166" s="600" t="s">
        <v>517</v>
      </c>
      <c r="C166" s="601">
        <v>20829</v>
      </c>
      <c r="D166" s="602"/>
      <c r="E166" s="602"/>
      <c r="F166" s="603" t="s">
        <v>781</v>
      </c>
      <c r="G166" s="603"/>
      <c r="H166" s="598" t="str">
        <f t="shared" si="2"/>
        <v>Yes</v>
      </c>
      <c r="L166" s="632" t="s">
        <v>209</v>
      </c>
      <c r="M166" s="633" t="s">
        <v>210</v>
      </c>
      <c r="N166" s="634">
        <v>181600</v>
      </c>
      <c r="O166" s="635">
        <v>29</v>
      </c>
      <c r="P166" s="635"/>
      <c r="Q166" s="636" t="s">
        <v>781</v>
      </c>
      <c r="R166" s="636"/>
      <c r="S166" s="658" t="s">
        <v>621</v>
      </c>
    </row>
    <row r="167" spans="1:19">
      <c r="A167" s="599" t="s">
        <v>389</v>
      </c>
      <c r="B167" s="600" t="s">
        <v>390</v>
      </c>
      <c r="C167" s="601">
        <v>0</v>
      </c>
      <c r="D167" s="602"/>
      <c r="E167" s="602"/>
      <c r="F167" s="603"/>
      <c r="G167" s="603"/>
      <c r="H167" s="598" t="str">
        <f t="shared" si="2"/>
        <v>NA</v>
      </c>
      <c r="L167" s="632" t="s">
        <v>157</v>
      </c>
      <c r="M167" s="633" t="s">
        <v>158</v>
      </c>
      <c r="N167" s="634">
        <v>19787</v>
      </c>
      <c r="O167" s="635"/>
      <c r="P167" s="635"/>
      <c r="Q167" s="636" t="s">
        <v>781</v>
      </c>
      <c r="R167" s="636"/>
      <c r="S167" s="658" t="s">
        <v>621</v>
      </c>
    </row>
    <row r="168" spans="1:19">
      <c r="A168" s="599" t="s">
        <v>386</v>
      </c>
      <c r="B168" s="600" t="s">
        <v>610</v>
      </c>
      <c r="C168" s="601">
        <v>269106</v>
      </c>
      <c r="D168" s="602"/>
      <c r="E168" s="602"/>
      <c r="F168" s="603" t="s">
        <v>781</v>
      </c>
      <c r="G168" s="603"/>
      <c r="H168" s="598" t="str">
        <f t="shared" si="2"/>
        <v>Yes</v>
      </c>
      <c r="L168" s="632" t="s">
        <v>541</v>
      </c>
      <c r="M168" s="633" t="s">
        <v>542</v>
      </c>
      <c r="N168" s="634">
        <v>0</v>
      </c>
      <c r="O168" s="635"/>
      <c r="P168" s="635"/>
      <c r="Q168" s="636"/>
      <c r="R168" s="636"/>
      <c r="S168" s="658" t="s">
        <v>723</v>
      </c>
    </row>
    <row r="169" spans="1:19">
      <c r="A169" s="599" t="s">
        <v>399</v>
      </c>
      <c r="B169" s="600" t="s">
        <v>400</v>
      </c>
      <c r="C169" s="601">
        <v>409725</v>
      </c>
      <c r="D169" s="602"/>
      <c r="E169" s="602">
        <v>4</v>
      </c>
      <c r="F169" s="603" t="s">
        <v>781</v>
      </c>
      <c r="G169" s="603"/>
      <c r="H169" s="598" t="str">
        <f t="shared" si="2"/>
        <v>Yes</v>
      </c>
      <c r="L169" s="632" t="s">
        <v>155</v>
      </c>
      <c r="M169" s="633" t="s">
        <v>156</v>
      </c>
      <c r="N169" s="634">
        <v>0</v>
      </c>
      <c r="O169" s="635"/>
      <c r="P169" s="635"/>
      <c r="Q169" s="636"/>
      <c r="R169" s="636"/>
      <c r="S169" s="658" t="s">
        <v>723</v>
      </c>
    </row>
    <row r="170" spans="1:19">
      <c r="A170" s="599" t="s">
        <v>252</v>
      </c>
      <c r="B170" s="600" t="s">
        <v>253</v>
      </c>
      <c r="C170" s="601">
        <v>104</v>
      </c>
      <c r="D170" s="602"/>
      <c r="E170" s="602"/>
      <c r="F170" s="615" t="s">
        <v>782</v>
      </c>
      <c r="G170" s="603"/>
      <c r="H170" s="598" t="str">
        <f t="shared" si="2"/>
        <v>No</v>
      </c>
      <c r="L170" s="632" t="s">
        <v>325</v>
      </c>
      <c r="M170" s="633" t="s">
        <v>326</v>
      </c>
      <c r="N170" s="634">
        <v>6769</v>
      </c>
      <c r="O170" s="635"/>
      <c r="P170" s="635"/>
      <c r="Q170" s="636" t="s">
        <v>781</v>
      </c>
      <c r="R170" s="636" t="s">
        <v>1295</v>
      </c>
      <c r="S170" s="658" t="s">
        <v>1306</v>
      </c>
    </row>
    <row r="171" spans="1:19">
      <c r="A171" s="599" t="s">
        <v>331</v>
      </c>
      <c r="B171" s="600" t="s">
        <v>611</v>
      </c>
      <c r="C171" s="601">
        <v>729</v>
      </c>
      <c r="D171" s="602"/>
      <c r="E171" s="602"/>
      <c r="F171" s="603" t="s">
        <v>782</v>
      </c>
      <c r="G171" s="603"/>
      <c r="H171" s="598" t="str">
        <f t="shared" si="2"/>
        <v>No</v>
      </c>
      <c r="L171" s="632" t="s">
        <v>153</v>
      </c>
      <c r="M171" s="633" t="s">
        <v>154</v>
      </c>
      <c r="N171" s="634">
        <v>9763</v>
      </c>
      <c r="O171" s="635"/>
      <c r="P171" s="635"/>
      <c r="Q171" s="636" t="s">
        <v>782</v>
      </c>
      <c r="R171" s="636"/>
      <c r="S171" s="658" t="s">
        <v>644</v>
      </c>
    </row>
    <row r="172" spans="1:19">
      <c r="A172" s="599" t="s">
        <v>309</v>
      </c>
      <c r="B172" s="600" t="s">
        <v>310</v>
      </c>
      <c r="C172" s="601">
        <v>0</v>
      </c>
      <c r="D172" s="602"/>
      <c r="E172" s="602"/>
      <c r="F172" s="603"/>
      <c r="G172" s="603"/>
      <c r="H172" s="598" t="str">
        <f t="shared" si="2"/>
        <v>NA</v>
      </c>
      <c r="L172" s="632" t="s">
        <v>287</v>
      </c>
      <c r="M172" s="633" t="s">
        <v>288</v>
      </c>
      <c r="N172" s="634">
        <v>0</v>
      </c>
      <c r="O172" s="635"/>
      <c r="P172" s="635"/>
      <c r="Q172" s="636"/>
      <c r="R172" s="636"/>
      <c r="S172" s="644" t="str">
        <f>IF(Q172="Yes",IF(ISBLANK(R172),"C","Y"),IF(Q172="No","N","NA"))</f>
        <v>NA</v>
      </c>
    </row>
    <row r="173" spans="1:19">
      <c r="A173" s="599" t="s">
        <v>336</v>
      </c>
      <c r="B173" s="600" t="s">
        <v>337</v>
      </c>
      <c r="C173" s="601">
        <v>0</v>
      </c>
      <c r="D173" s="602"/>
      <c r="E173" s="602"/>
      <c r="F173" s="603"/>
      <c r="G173" s="603"/>
      <c r="H173" s="598" t="str">
        <f t="shared" si="2"/>
        <v>NA</v>
      </c>
      <c r="L173" s="632" t="s">
        <v>313</v>
      </c>
      <c r="M173" s="633" t="s">
        <v>314</v>
      </c>
      <c r="N173" s="634">
        <v>15152</v>
      </c>
      <c r="O173" s="635"/>
      <c r="P173" s="635"/>
      <c r="Q173" s="636" t="s">
        <v>781</v>
      </c>
      <c r="R173" s="636"/>
      <c r="S173" s="644" t="str">
        <f>IF(Q173="Yes",IF(R173="0","C","Y"),IF(Q173="No","N","NA"))</f>
        <v>Y</v>
      </c>
    </row>
    <row r="174" spans="1:19">
      <c r="A174" s="599" t="s">
        <v>428</v>
      </c>
      <c r="B174" s="600" t="s">
        <v>429</v>
      </c>
      <c r="C174" s="601">
        <v>0</v>
      </c>
      <c r="D174" s="602"/>
      <c r="E174" s="602"/>
      <c r="F174" s="603"/>
      <c r="G174" s="603"/>
      <c r="H174" s="598" t="str">
        <f t="shared" si="2"/>
        <v>NA</v>
      </c>
      <c r="L174" s="632" t="s">
        <v>478</v>
      </c>
      <c r="M174" s="633" t="s">
        <v>479</v>
      </c>
      <c r="N174" s="634">
        <v>35096</v>
      </c>
      <c r="O174" s="635">
        <v>1</v>
      </c>
      <c r="P174" s="635"/>
      <c r="Q174" s="636" t="s">
        <v>781</v>
      </c>
      <c r="R174" s="636"/>
      <c r="S174" s="644" t="str">
        <f t="shared" ref="S174" si="3">IF(Q174="Yes",IF(R174="0","C","Y"),IF(Q174="No","N","NA"))</f>
        <v>Y</v>
      </c>
    </row>
    <row r="175" spans="1:19">
      <c r="A175" s="599" t="s">
        <v>514</v>
      </c>
      <c r="B175" s="600" t="s">
        <v>515</v>
      </c>
      <c r="C175" s="601">
        <v>31815</v>
      </c>
      <c r="D175" s="602"/>
      <c r="E175" s="602"/>
      <c r="F175" s="603" t="s">
        <v>781</v>
      </c>
      <c r="G175" s="603"/>
      <c r="H175" s="598" t="str">
        <f t="shared" si="2"/>
        <v>Yes</v>
      </c>
      <c r="L175" s="632" t="s">
        <v>311</v>
      </c>
      <c r="M175" s="633" t="s">
        <v>312</v>
      </c>
      <c r="N175" s="634">
        <v>14476</v>
      </c>
      <c r="O175" s="635"/>
      <c r="P175" s="635"/>
      <c r="Q175" s="636" t="s">
        <v>781</v>
      </c>
      <c r="R175" s="636"/>
      <c r="S175" s="644" t="str">
        <f>IF(Q175="Yes",IF(R175=0,"Y","C"),IF(Q175="No","N","NA"))</f>
        <v>Y</v>
      </c>
    </row>
    <row r="176" spans="1:19">
      <c r="A176" s="599" t="s">
        <v>136</v>
      </c>
      <c r="B176" s="600" t="s">
        <v>137</v>
      </c>
      <c r="C176" s="601">
        <v>0</v>
      </c>
      <c r="D176" s="602"/>
      <c r="E176" s="602"/>
      <c r="F176" s="603"/>
      <c r="G176" s="603"/>
      <c r="H176" s="598" t="str">
        <f t="shared" si="2"/>
        <v>NA</v>
      </c>
      <c r="L176" s="632" t="s">
        <v>270</v>
      </c>
      <c r="M176" s="633" t="s">
        <v>271</v>
      </c>
      <c r="N176" s="634">
        <v>3306</v>
      </c>
      <c r="O176" s="635"/>
      <c r="P176" s="635"/>
      <c r="Q176" s="638" t="s">
        <v>782</v>
      </c>
      <c r="R176" s="636"/>
      <c r="S176" s="644" t="str">
        <f t="shared" ref="S176:S239" si="4">IF(Q176="Yes",IF(R176=0,"Y","C"),IF(Q176="No","N","NA"))</f>
        <v>N</v>
      </c>
    </row>
    <row r="177" spans="1:19">
      <c r="A177" s="599" t="s">
        <v>106</v>
      </c>
      <c r="B177" s="600" t="s">
        <v>107</v>
      </c>
      <c r="C177" s="601">
        <v>123723</v>
      </c>
      <c r="D177" s="602"/>
      <c r="E177" s="602"/>
      <c r="F177" s="603" t="s">
        <v>781</v>
      </c>
      <c r="G177" s="603"/>
      <c r="H177" s="598" t="str">
        <f t="shared" si="2"/>
        <v>Yes</v>
      </c>
      <c r="L177" s="632" t="s">
        <v>448</v>
      </c>
      <c r="M177" s="633" t="s">
        <v>449</v>
      </c>
      <c r="N177" s="634">
        <v>0</v>
      </c>
      <c r="O177" s="635"/>
      <c r="P177" s="635"/>
      <c r="Q177" s="636"/>
      <c r="R177" s="636"/>
      <c r="S177" s="644" t="str">
        <f t="shared" si="4"/>
        <v>NA</v>
      </c>
    </row>
    <row r="178" spans="1:19">
      <c r="A178" s="599" t="s">
        <v>214</v>
      </c>
      <c r="B178" s="600" t="s">
        <v>215</v>
      </c>
      <c r="C178" s="601">
        <v>31998</v>
      </c>
      <c r="D178" s="602"/>
      <c r="E178" s="602"/>
      <c r="F178" s="603" t="s">
        <v>781</v>
      </c>
      <c r="G178" s="603"/>
      <c r="H178" s="598" t="str">
        <f t="shared" si="2"/>
        <v>Yes</v>
      </c>
      <c r="L178" s="632" t="s">
        <v>372</v>
      </c>
      <c r="M178" s="633" t="s">
        <v>613</v>
      </c>
      <c r="N178" s="634">
        <v>3516</v>
      </c>
      <c r="O178" s="635"/>
      <c r="P178" s="635"/>
      <c r="Q178" s="636" t="s">
        <v>781</v>
      </c>
      <c r="R178" s="636" t="s">
        <v>1296</v>
      </c>
      <c r="S178" s="644" t="str">
        <f t="shared" si="4"/>
        <v>C</v>
      </c>
    </row>
    <row r="179" spans="1:19">
      <c r="A179" s="599" t="s">
        <v>305</v>
      </c>
      <c r="B179" s="600" t="s">
        <v>306</v>
      </c>
      <c r="C179" s="601">
        <v>17549</v>
      </c>
      <c r="D179" s="602"/>
      <c r="E179" s="602"/>
      <c r="F179" s="603" t="s">
        <v>781</v>
      </c>
      <c r="G179" s="603"/>
      <c r="H179" s="598" t="str">
        <f t="shared" si="2"/>
        <v>Yes</v>
      </c>
      <c r="L179" s="632" t="s">
        <v>424</v>
      </c>
      <c r="M179" s="633" t="s">
        <v>425</v>
      </c>
      <c r="N179" s="634">
        <v>0</v>
      </c>
      <c r="O179" s="635"/>
      <c r="P179" s="635"/>
      <c r="Q179" s="636"/>
      <c r="R179" s="636"/>
      <c r="S179" s="644" t="str">
        <f t="shared" si="4"/>
        <v>NA</v>
      </c>
    </row>
    <row r="180" spans="1:19">
      <c r="A180" s="599" t="s">
        <v>334</v>
      </c>
      <c r="B180" s="600" t="s">
        <v>335</v>
      </c>
      <c r="C180" s="601">
        <v>0</v>
      </c>
      <c r="D180" s="602"/>
      <c r="E180" s="602"/>
      <c r="F180" s="603"/>
      <c r="G180" s="603"/>
      <c r="H180" s="598" t="str">
        <f t="shared" si="2"/>
        <v>NA</v>
      </c>
      <c r="L180" s="632" t="s">
        <v>98</v>
      </c>
      <c r="M180" s="633" t="s">
        <v>99</v>
      </c>
      <c r="N180" s="634">
        <v>0</v>
      </c>
      <c r="O180" s="635"/>
      <c r="P180" s="635"/>
      <c r="Q180" s="636"/>
      <c r="R180" s="636"/>
      <c r="S180" s="644" t="str">
        <f t="shared" si="4"/>
        <v>NA</v>
      </c>
    </row>
    <row r="181" spans="1:19">
      <c r="A181" s="599" t="s">
        <v>474</v>
      </c>
      <c r="B181" s="600" t="s">
        <v>475</v>
      </c>
      <c r="C181" s="601">
        <v>91543</v>
      </c>
      <c r="D181" s="602"/>
      <c r="E181" s="602"/>
      <c r="F181" s="603" t="s">
        <v>781</v>
      </c>
      <c r="G181" s="603"/>
      <c r="H181" s="598" t="str">
        <f t="shared" si="2"/>
        <v>Yes</v>
      </c>
      <c r="L181" s="632" t="s">
        <v>82</v>
      </c>
      <c r="M181" s="633" t="s">
        <v>83</v>
      </c>
      <c r="N181" s="634">
        <v>18772</v>
      </c>
      <c r="O181" s="635"/>
      <c r="P181" s="635"/>
      <c r="Q181" s="636" t="s">
        <v>781</v>
      </c>
      <c r="R181" s="636"/>
      <c r="S181" s="644" t="str">
        <f t="shared" si="4"/>
        <v>Y</v>
      </c>
    </row>
    <row r="182" spans="1:19">
      <c r="A182" s="599" t="s">
        <v>468</v>
      </c>
      <c r="B182" s="600" t="s">
        <v>469</v>
      </c>
      <c r="C182" s="601">
        <v>0</v>
      </c>
      <c r="D182" s="602"/>
      <c r="E182" s="602"/>
      <c r="F182" s="603"/>
      <c r="G182" s="603"/>
      <c r="H182" s="598" t="str">
        <f t="shared" si="2"/>
        <v>NA</v>
      </c>
      <c r="L182" s="632" t="s">
        <v>323</v>
      </c>
      <c r="M182" s="633" t="s">
        <v>324</v>
      </c>
      <c r="N182" s="634">
        <v>16559</v>
      </c>
      <c r="O182" s="635"/>
      <c r="P182" s="635"/>
      <c r="Q182" s="636" t="s">
        <v>781</v>
      </c>
      <c r="R182" s="636"/>
      <c r="S182" s="644" t="str">
        <f t="shared" si="4"/>
        <v>Y</v>
      </c>
    </row>
    <row r="183" spans="1:19">
      <c r="A183" s="599" t="s">
        <v>209</v>
      </c>
      <c r="B183" s="600" t="s">
        <v>210</v>
      </c>
      <c r="C183" s="601">
        <v>181600</v>
      </c>
      <c r="D183" s="602">
        <v>29</v>
      </c>
      <c r="E183" s="602"/>
      <c r="F183" s="603" t="s">
        <v>781</v>
      </c>
      <c r="G183" s="603"/>
      <c r="H183" s="598" t="str">
        <f t="shared" si="2"/>
        <v>Yes</v>
      </c>
      <c r="L183" s="632" t="s">
        <v>355</v>
      </c>
      <c r="M183" s="633" t="s">
        <v>356</v>
      </c>
      <c r="N183" s="634">
        <v>6197</v>
      </c>
      <c r="O183" s="635"/>
      <c r="P183" s="635"/>
      <c r="Q183" s="638" t="s">
        <v>782</v>
      </c>
      <c r="R183" s="636"/>
      <c r="S183" s="644" t="str">
        <f t="shared" si="4"/>
        <v>N</v>
      </c>
    </row>
    <row r="184" spans="1:19">
      <c r="A184" s="599" t="s">
        <v>157</v>
      </c>
      <c r="B184" s="600" t="s">
        <v>158</v>
      </c>
      <c r="C184" s="601">
        <v>19787</v>
      </c>
      <c r="D184" s="602"/>
      <c r="E184" s="602"/>
      <c r="F184" s="603" t="s">
        <v>781</v>
      </c>
      <c r="G184" s="603"/>
      <c r="H184" s="598" t="str">
        <f t="shared" si="2"/>
        <v>Yes</v>
      </c>
      <c r="L184" s="632" t="s">
        <v>4</v>
      </c>
      <c r="M184" s="633" t="s">
        <v>5</v>
      </c>
      <c r="N184" s="634">
        <v>248407</v>
      </c>
      <c r="O184" s="635"/>
      <c r="P184" s="635"/>
      <c r="Q184" s="636" t="s">
        <v>781</v>
      </c>
      <c r="R184" s="636"/>
      <c r="S184" s="644" t="str">
        <f t="shared" si="4"/>
        <v>Y</v>
      </c>
    </row>
    <row r="185" spans="1:19">
      <c r="A185" s="599" t="s">
        <v>541</v>
      </c>
      <c r="B185" s="600" t="s">
        <v>542</v>
      </c>
      <c r="C185" s="601">
        <v>0</v>
      </c>
      <c r="D185" s="602"/>
      <c r="E185" s="602"/>
      <c r="F185" s="603"/>
      <c r="G185" s="603"/>
      <c r="H185" s="598" t="str">
        <f t="shared" si="2"/>
        <v>NA</v>
      </c>
      <c r="L185" s="632" t="s">
        <v>86</v>
      </c>
      <c r="M185" s="633" t="s">
        <v>87</v>
      </c>
      <c r="N185" s="634">
        <v>2058</v>
      </c>
      <c r="O185" s="635"/>
      <c r="P185" s="635"/>
      <c r="Q185" s="636" t="s">
        <v>781</v>
      </c>
      <c r="R185" s="636" t="s">
        <v>1290</v>
      </c>
      <c r="S185" s="644" t="str">
        <f t="shared" si="4"/>
        <v>C</v>
      </c>
    </row>
    <row r="186" spans="1:19">
      <c r="A186" s="599" t="s">
        <v>155</v>
      </c>
      <c r="B186" s="600" t="s">
        <v>156</v>
      </c>
      <c r="C186" s="601">
        <v>0</v>
      </c>
      <c r="D186" s="602"/>
      <c r="E186" s="602"/>
      <c r="F186" s="603"/>
      <c r="G186" s="603"/>
      <c r="H186" s="598" t="str">
        <f t="shared" si="2"/>
        <v>NA</v>
      </c>
      <c r="L186" s="632" t="s">
        <v>527</v>
      </c>
      <c r="M186" s="633" t="s">
        <v>528</v>
      </c>
      <c r="N186" s="634">
        <v>0</v>
      </c>
      <c r="O186" s="635"/>
      <c r="P186" s="635"/>
      <c r="Q186" s="636"/>
      <c r="R186" s="636"/>
      <c r="S186" s="644" t="str">
        <f t="shared" si="4"/>
        <v>NA</v>
      </c>
    </row>
    <row r="187" spans="1:19">
      <c r="A187" s="599" t="s">
        <v>153</v>
      </c>
      <c r="B187" s="600" t="s">
        <v>154</v>
      </c>
      <c r="C187" s="601">
        <v>9763</v>
      </c>
      <c r="D187" s="602"/>
      <c r="E187" s="602"/>
      <c r="F187" s="603" t="s">
        <v>782</v>
      </c>
      <c r="G187" s="603"/>
      <c r="H187" s="598" t="str">
        <f t="shared" si="2"/>
        <v>No</v>
      </c>
      <c r="L187" s="632" t="s">
        <v>104</v>
      </c>
      <c r="M187" s="633" t="s">
        <v>105</v>
      </c>
      <c r="N187" s="634">
        <v>959966</v>
      </c>
      <c r="O187" s="635"/>
      <c r="P187" s="635"/>
      <c r="Q187" s="636" t="s">
        <v>781</v>
      </c>
      <c r="R187" s="636"/>
      <c r="S187" s="644" t="str">
        <f t="shared" si="4"/>
        <v>Y</v>
      </c>
    </row>
    <row r="188" spans="1:19">
      <c r="A188" s="599" t="s">
        <v>287</v>
      </c>
      <c r="B188" s="600" t="s">
        <v>288</v>
      </c>
      <c r="C188" s="601">
        <v>0</v>
      </c>
      <c r="D188" s="602"/>
      <c r="E188" s="602"/>
      <c r="F188" s="603"/>
      <c r="G188" s="603"/>
      <c r="H188" s="598" t="str">
        <f t="shared" si="2"/>
        <v>NA</v>
      </c>
      <c r="L188" s="632" t="s">
        <v>317</v>
      </c>
      <c r="M188" s="633" t="s">
        <v>318</v>
      </c>
      <c r="N188" s="634">
        <v>6639</v>
      </c>
      <c r="O188" s="635"/>
      <c r="P188" s="635"/>
      <c r="Q188" s="636" t="s">
        <v>781</v>
      </c>
      <c r="R188" s="636" t="s">
        <v>1290</v>
      </c>
      <c r="S188" s="644" t="str">
        <f t="shared" si="4"/>
        <v>C</v>
      </c>
    </row>
    <row r="189" spans="1:19">
      <c r="A189" s="599" t="s">
        <v>313</v>
      </c>
      <c r="B189" s="600" t="s">
        <v>314</v>
      </c>
      <c r="C189" s="601">
        <v>15152</v>
      </c>
      <c r="D189" s="602"/>
      <c r="E189" s="602"/>
      <c r="F189" s="603" t="s">
        <v>781</v>
      </c>
      <c r="G189" s="603"/>
      <c r="H189" s="598" t="str">
        <f t="shared" si="2"/>
        <v>Yes</v>
      </c>
      <c r="L189" s="632" t="s">
        <v>16</v>
      </c>
      <c r="M189" s="654" t="s">
        <v>17</v>
      </c>
      <c r="N189" s="655">
        <v>6926</v>
      </c>
      <c r="O189" s="656"/>
      <c r="P189" s="656"/>
      <c r="Q189" s="657" t="s">
        <v>781</v>
      </c>
      <c r="R189" s="657" t="s">
        <v>604</v>
      </c>
      <c r="S189" s="644" t="str">
        <f t="shared" si="4"/>
        <v>C</v>
      </c>
    </row>
    <row r="190" spans="1:19">
      <c r="A190" s="599" t="s">
        <v>478</v>
      </c>
      <c r="B190" s="600" t="s">
        <v>479</v>
      </c>
      <c r="C190" s="601">
        <v>35096</v>
      </c>
      <c r="D190" s="602">
        <v>1</v>
      </c>
      <c r="E190" s="602"/>
      <c r="F190" s="603" t="s">
        <v>781</v>
      </c>
      <c r="G190" s="603"/>
      <c r="H190" s="598" t="str">
        <f t="shared" si="2"/>
        <v>Yes</v>
      </c>
      <c r="L190" s="632" t="s">
        <v>272</v>
      </c>
      <c r="M190" s="633" t="s">
        <v>273</v>
      </c>
      <c r="N190" s="634">
        <v>0</v>
      </c>
      <c r="O190" s="635"/>
      <c r="P190" s="635"/>
      <c r="Q190" s="636"/>
      <c r="R190" s="636"/>
      <c r="S190" s="644" t="str">
        <f t="shared" si="4"/>
        <v>NA</v>
      </c>
    </row>
    <row r="191" spans="1:19">
      <c r="A191" s="599" t="s">
        <v>311</v>
      </c>
      <c r="B191" s="600" t="s">
        <v>312</v>
      </c>
      <c r="C191" s="601">
        <v>14476</v>
      </c>
      <c r="D191" s="602"/>
      <c r="E191" s="602"/>
      <c r="F191" s="603" t="s">
        <v>781</v>
      </c>
      <c r="G191" s="603"/>
      <c r="H191" s="598" t="str">
        <f t="shared" si="2"/>
        <v>Yes</v>
      </c>
      <c r="L191" s="632" t="s">
        <v>359</v>
      </c>
      <c r="M191" s="633" t="s">
        <v>360</v>
      </c>
      <c r="N191" s="634">
        <v>14086</v>
      </c>
      <c r="O191" s="635"/>
      <c r="P191" s="635"/>
      <c r="Q191" s="636" t="s">
        <v>781</v>
      </c>
      <c r="R191" s="636"/>
      <c r="S191" s="644" t="str">
        <f t="shared" si="4"/>
        <v>Y</v>
      </c>
    </row>
    <row r="192" spans="1:19">
      <c r="A192" s="599" t="s">
        <v>270</v>
      </c>
      <c r="B192" s="600" t="s">
        <v>271</v>
      </c>
      <c r="C192" s="601">
        <v>3306</v>
      </c>
      <c r="D192" s="602"/>
      <c r="E192" s="602"/>
      <c r="F192" s="615" t="s">
        <v>782</v>
      </c>
      <c r="G192" s="603"/>
      <c r="H192" s="598" t="str">
        <f t="shared" si="2"/>
        <v>No</v>
      </c>
      <c r="L192" s="632" t="s">
        <v>303</v>
      </c>
      <c r="M192" s="633" t="s">
        <v>304</v>
      </c>
      <c r="N192" s="634">
        <v>0</v>
      </c>
      <c r="O192" s="635"/>
      <c r="P192" s="635"/>
      <c r="Q192" s="636"/>
      <c r="R192" s="636"/>
      <c r="S192" s="644" t="str">
        <f t="shared" si="4"/>
        <v>NA</v>
      </c>
    </row>
    <row r="193" spans="1:19">
      <c r="A193" s="599" t="s">
        <v>448</v>
      </c>
      <c r="B193" s="600" t="s">
        <v>449</v>
      </c>
      <c r="C193" s="601">
        <v>0</v>
      </c>
      <c r="D193" s="602"/>
      <c r="E193" s="602"/>
      <c r="F193" s="603"/>
      <c r="G193" s="603"/>
      <c r="H193" s="598" t="str">
        <f t="shared" si="2"/>
        <v>NA</v>
      </c>
      <c r="L193" s="632" t="s">
        <v>112</v>
      </c>
      <c r="M193" s="633" t="s">
        <v>113</v>
      </c>
      <c r="N193" s="634">
        <v>365</v>
      </c>
      <c r="O193" s="635"/>
      <c r="P193" s="635"/>
      <c r="Q193" s="636" t="s">
        <v>781</v>
      </c>
      <c r="R193" s="636" t="s">
        <v>604</v>
      </c>
      <c r="S193" s="644" t="str">
        <f t="shared" si="4"/>
        <v>C</v>
      </c>
    </row>
    <row r="194" spans="1:19">
      <c r="A194" s="599" t="s">
        <v>424</v>
      </c>
      <c r="B194" s="600" t="s">
        <v>425</v>
      </c>
      <c r="C194" s="601">
        <v>0</v>
      </c>
      <c r="D194" s="602"/>
      <c r="E194" s="602"/>
      <c r="F194" s="603"/>
      <c r="G194" s="603"/>
      <c r="H194" s="598" t="str">
        <f t="shared" si="2"/>
        <v>NA</v>
      </c>
      <c r="L194" s="632" t="s">
        <v>39</v>
      </c>
      <c r="M194" s="633" t="s">
        <v>40</v>
      </c>
      <c r="N194" s="634">
        <v>4842</v>
      </c>
      <c r="O194" s="635"/>
      <c r="P194" s="635"/>
      <c r="Q194" s="638" t="s">
        <v>782</v>
      </c>
      <c r="R194" s="636"/>
      <c r="S194" s="644" t="str">
        <f t="shared" si="4"/>
        <v>N</v>
      </c>
    </row>
    <row r="195" spans="1:19">
      <c r="A195" s="599" t="s">
        <v>98</v>
      </c>
      <c r="B195" s="600" t="s">
        <v>99</v>
      </c>
      <c r="C195" s="601">
        <v>0</v>
      </c>
      <c r="D195" s="602"/>
      <c r="E195" s="602"/>
      <c r="F195" s="603"/>
      <c r="G195" s="603"/>
      <c r="H195" s="598" t="str">
        <f t="shared" si="2"/>
        <v>NA</v>
      </c>
      <c r="L195" s="632" t="s">
        <v>171</v>
      </c>
      <c r="M195" s="633" t="s">
        <v>172</v>
      </c>
      <c r="N195" s="634">
        <v>2291</v>
      </c>
      <c r="O195" s="635"/>
      <c r="P195" s="635"/>
      <c r="Q195" s="638" t="s">
        <v>782</v>
      </c>
      <c r="R195" s="636"/>
      <c r="S195" s="644" t="str">
        <f t="shared" si="4"/>
        <v>N</v>
      </c>
    </row>
    <row r="196" spans="1:19">
      <c r="A196" s="599" t="s">
        <v>82</v>
      </c>
      <c r="B196" s="600" t="s">
        <v>83</v>
      </c>
      <c r="C196" s="601">
        <v>18772</v>
      </c>
      <c r="D196" s="602"/>
      <c r="E196" s="602"/>
      <c r="F196" s="603" t="s">
        <v>781</v>
      </c>
      <c r="G196" s="603"/>
      <c r="H196" s="598" t="str">
        <f t="shared" si="2"/>
        <v>Yes</v>
      </c>
      <c r="L196" s="632" t="s">
        <v>502</v>
      </c>
      <c r="M196" s="633" t="s">
        <v>503</v>
      </c>
      <c r="N196" s="634">
        <v>17418</v>
      </c>
      <c r="O196" s="635"/>
      <c r="P196" s="635"/>
      <c r="Q196" s="636" t="s">
        <v>781</v>
      </c>
      <c r="R196" s="636"/>
      <c r="S196" s="644" t="str">
        <f t="shared" si="4"/>
        <v>Y</v>
      </c>
    </row>
    <row r="197" spans="1:19">
      <c r="A197" s="599" t="s">
        <v>323</v>
      </c>
      <c r="B197" s="600" t="s">
        <v>324</v>
      </c>
      <c r="C197" s="601">
        <v>16559</v>
      </c>
      <c r="D197" s="602"/>
      <c r="E197" s="602"/>
      <c r="F197" s="603" t="s">
        <v>781</v>
      </c>
      <c r="G197" s="603"/>
      <c r="H197" s="598" t="str">
        <f t="shared" si="2"/>
        <v>Yes</v>
      </c>
      <c r="L197" s="632" t="s">
        <v>21</v>
      </c>
      <c r="M197" s="633" t="s">
        <v>22</v>
      </c>
      <c r="N197" s="634">
        <v>96801</v>
      </c>
      <c r="O197" s="635"/>
      <c r="P197" s="635"/>
      <c r="Q197" s="636" t="s">
        <v>781</v>
      </c>
      <c r="R197" s="636"/>
      <c r="S197" s="644" t="str">
        <f t="shared" si="4"/>
        <v>Y</v>
      </c>
    </row>
    <row r="198" spans="1:19">
      <c r="A198" s="599" t="s">
        <v>355</v>
      </c>
      <c r="B198" s="600" t="s">
        <v>356</v>
      </c>
      <c r="C198" s="601">
        <v>6197</v>
      </c>
      <c r="D198" s="602"/>
      <c r="E198" s="602"/>
      <c r="F198" s="603" t="s">
        <v>781</v>
      </c>
      <c r="G198" s="603"/>
      <c r="H198" s="598" t="str">
        <f t="shared" si="2"/>
        <v>Yes</v>
      </c>
      <c r="L198" s="632" t="s">
        <v>523</v>
      </c>
      <c r="M198" s="633" t="s">
        <v>524</v>
      </c>
      <c r="N198" s="634">
        <v>17704</v>
      </c>
      <c r="O198" s="635"/>
      <c r="P198" s="635"/>
      <c r="Q198" s="636" t="s">
        <v>781</v>
      </c>
      <c r="R198" s="636"/>
      <c r="S198" s="644" t="str">
        <f t="shared" si="4"/>
        <v>Y</v>
      </c>
    </row>
    <row r="199" spans="1:19">
      <c r="A199" s="599" t="s">
        <v>4</v>
      </c>
      <c r="B199" s="600" t="s">
        <v>5</v>
      </c>
      <c r="C199" s="601">
        <v>248407</v>
      </c>
      <c r="D199" s="602"/>
      <c r="E199" s="602"/>
      <c r="F199" s="603" t="s">
        <v>781</v>
      </c>
      <c r="G199" s="603"/>
      <c r="H199" s="598" t="str">
        <f t="shared" si="2"/>
        <v>Yes</v>
      </c>
      <c r="L199" s="632" t="s">
        <v>343</v>
      </c>
      <c r="M199" s="633" t="s">
        <v>344</v>
      </c>
      <c r="N199" s="634">
        <v>116848</v>
      </c>
      <c r="O199" s="635"/>
      <c r="P199" s="635">
        <v>1</v>
      </c>
      <c r="Q199" s="636" t="s">
        <v>781</v>
      </c>
      <c r="R199" s="636"/>
      <c r="S199" s="644" t="str">
        <f t="shared" si="4"/>
        <v>Y</v>
      </c>
    </row>
    <row r="200" spans="1:19">
      <c r="A200" s="599" t="s">
        <v>527</v>
      </c>
      <c r="B200" s="600" t="s">
        <v>528</v>
      </c>
      <c r="C200" s="601">
        <v>0</v>
      </c>
      <c r="D200" s="602"/>
      <c r="E200" s="602"/>
      <c r="F200" s="603"/>
      <c r="G200" s="603"/>
      <c r="H200" s="598" t="str">
        <f t="shared" si="2"/>
        <v>NA</v>
      </c>
      <c r="L200" s="632" t="s">
        <v>163</v>
      </c>
      <c r="M200" s="633" t="s">
        <v>164</v>
      </c>
      <c r="N200" s="634">
        <v>0</v>
      </c>
      <c r="O200" s="635"/>
      <c r="P200" s="635"/>
      <c r="Q200" s="636"/>
      <c r="R200" s="636"/>
      <c r="S200" s="644" t="str">
        <f t="shared" si="4"/>
        <v>NA</v>
      </c>
    </row>
    <row r="201" spans="1:19">
      <c r="A201" s="599" t="s">
        <v>104</v>
      </c>
      <c r="B201" s="600" t="s">
        <v>105</v>
      </c>
      <c r="C201" s="601">
        <v>959966</v>
      </c>
      <c r="D201" s="602"/>
      <c r="E201" s="602"/>
      <c r="F201" s="603" t="s">
        <v>781</v>
      </c>
      <c r="G201" s="603"/>
      <c r="H201" s="598" t="str">
        <f t="shared" si="2"/>
        <v>Yes</v>
      </c>
      <c r="L201" s="632" t="s">
        <v>167</v>
      </c>
      <c r="M201" s="633" t="s">
        <v>168</v>
      </c>
      <c r="N201" s="634">
        <v>0</v>
      </c>
      <c r="O201" s="635"/>
      <c r="P201" s="635"/>
      <c r="Q201" s="636"/>
      <c r="R201" s="636"/>
      <c r="S201" s="644" t="str">
        <f t="shared" si="4"/>
        <v>NA</v>
      </c>
    </row>
    <row r="202" spans="1:19">
      <c r="A202" s="599" t="s">
        <v>272</v>
      </c>
      <c r="B202" s="600" t="s">
        <v>273</v>
      </c>
      <c r="C202" s="601">
        <v>0</v>
      </c>
      <c r="D202" s="602"/>
      <c r="E202" s="602"/>
      <c r="F202" s="603"/>
      <c r="G202" s="603"/>
      <c r="H202" s="598" t="str">
        <f t="shared" si="2"/>
        <v>NA</v>
      </c>
      <c r="L202" s="632" t="s">
        <v>47</v>
      </c>
      <c r="M202" s="633" t="s">
        <v>48</v>
      </c>
      <c r="N202" s="634">
        <v>15881</v>
      </c>
      <c r="O202" s="635"/>
      <c r="P202" s="635"/>
      <c r="Q202" s="636" t="s">
        <v>781</v>
      </c>
      <c r="R202" s="636"/>
      <c r="S202" s="644" t="str">
        <f t="shared" si="4"/>
        <v>Y</v>
      </c>
    </row>
    <row r="203" spans="1:19">
      <c r="A203" s="599" t="s">
        <v>359</v>
      </c>
      <c r="B203" s="600" t="s">
        <v>360</v>
      </c>
      <c r="C203" s="601">
        <v>14086</v>
      </c>
      <c r="D203" s="602"/>
      <c r="E203" s="602"/>
      <c r="F203" s="603" t="s">
        <v>781</v>
      </c>
      <c r="G203" s="603"/>
      <c r="H203" s="598" t="str">
        <f t="shared" si="2"/>
        <v>Yes</v>
      </c>
      <c r="L203" s="632" t="s">
        <v>145</v>
      </c>
      <c r="M203" s="633" t="s">
        <v>146</v>
      </c>
      <c r="N203" s="634">
        <v>12679</v>
      </c>
      <c r="O203" s="635">
        <v>20</v>
      </c>
      <c r="P203" s="635"/>
      <c r="Q203" s="636" t="s">
        <v>781</v>
      </c>
      <c r="R203" s="636"/>
      <c r="S203" s="644" t="str">
        <f t="shared" si="4"/>
        <v>Y</v>
      </c>
    </row>
    <row r="204" spans="1:19">
      <c r="A204" s="599" t="s">
        <v>303</v>
      </c>
      <c r="B204" s="600" t="s">
        <v>304</v>
      </c>
      <c r="C204" s="601">
        <v>0</v>
      </c>
      <c r="D204" s="602"/>
      <c r="E204" s="602"/>
      <c r="F204" s="603"/>
      <c r="G204" s="603"/>
      <c r="H204" s="598" t="str">
        <f t="shared" si="2"/>
        <v>NA</v>
      </c>
      <c r="L204" s="632" t="s">
        <v>116</v>
      </c>
      <c r="M204" s="633" t="s">
        <v>117</v>
      </c>
      <c r="N204" s="634">
        <v>162074</v>
      </c>
      <c r="O204" s="635"/>
      <c r="P204" s="635"/>
      <c r="Q204" s="636" t="s">
        <v>781</v>
      </c>
      <c r="R204" s="636"/>
      <c r="S204" s="644" t="str">
        <f t="shared" si="4"/>
        <v>Y</v>
      </c>
    </row>
    <row r="205" spans="1:19">
      <c r="A205" s="599" t="s">
        <v>39</v>
      </c>
      <c r="B205" s="600" t="s">
        <v>40</v>
      </c>
      <c r="C205" s="601">
        <v>4842</v>
      </c>
      <c r="D205" s="602"/>
      <c r="E205" s="602"/>
      <c r="F205" s="603" t="s">
        <v>781</v>
      </c>
      <c r="G205" s="603"/>
      <c r="H205" s="598" t="str">
        <f t="shared" si="2"/>
        <v>Yes</v>
      </c>
      <c r="L205" s="632" t="s">
        <v>480</v>
      </c>
      <c r="M205" s="633" t="s">
        <v>481</v>
      </c>
      <c r="N205" s="634">
        <v>0</v>
      </c>
      <c r="O205" s="635"/>
      <c r="P205" s="635"/>
      <c r="Q205" s="636"/>
      <c r="R205" s="636"/>
      <c r="S205" s="644" t="str">
        <f t="shared" si="4"/>
        <v>NA</v>
      </c>
    </row>
    <row r="206" spans="1:19">
      <c r="A206" s="599" t="s">
        <v>171</v>
      </c>
      <c r="B206" s="600" t="s">
        <v>172</v>
      </c>
      <c r="C206" s="601">
        <v>2291</v>
      </c>
      <c r="D206" s="602"/>
      <c r="E206" s="602"/>
      <c r="F206" s="603"/>
      <c r="G206" s="603"/>
      <c r="H206" s="598" t="str">
        <f t="shared" si="2"/>
        <v>NA</v>
      </c>
      <c r="L206" s="632" t="s">
        <v>327</v>
      </c>
      <c r="M206" s="633" t="s">
        <v>328</v>
      </c>
      <c r="N206" s="634">
        <v>9971</v>
      </c>
      <c r="O206" s="635"/>
      <c r="P206" s="635"/>
      <c r="Q206" s="636" t="s">
        <v>781</v>
      </c>
      <c r="R206" s="636" t="s">
        <v>1295</v>
      </c>
      <c r="S206" s="644" t="str">
        <f t="shared" si="4"/>
        <v>C</v>
      </c>
    </row>
    <row r="207" spans="1:19">
      <c r="A207" s="599" t="s">
        <v>502</v>
      </c>
      <c r="B207" s="600" t="s">
        <v>503</v>
      </c>
      <c r="C207" s="601">
        <v>17418</v>
      </c>
      <c r="D207" s="602"/>
      <c r="E207" s="602"/>
      <c r="F207" s="603" t="s">
        <v>781</v>
      </c>
      <c r="G207" s="603"/>
      <c r="H207" s="598" t="str">
        <f t="shared" si="2"/>
        <v>Yes</v>
      </c>
      <c r="L207" s="632" t="s">
        <v>282</v>
      </c>
      <c r="M207" s="633" t="s">
        <v>665</v>
      </c>
      <c r="N207" s="634">
        <v>4217</v>
      </c>
      <c r="O207" s="635"/>
      <c r="P207" s="635"/>
      <c r="Q207" s="636" t="s">
        <v>782</v>
      </c>
      <c r="R207" s="636"/>
      <c r="S207" s="644" t="str">
        <f t="shared" si="4"/>
        <v>N</v>
      </c>
    </row>
    <row r="208" spans="1:19">
      <c r="A208" s="599" t="s">
        <v>21</v>
      </c>
      <c r="B208" s="600" t="s">
        <v>22</v>
      </c>
      <c r="C208" s="601">
        <v>96801</v>
      </c>
      <c r="D208" s="602"/>
      <c r="E208" s="602"/>
      <c r="F208" s="603" t="s">
        <v>781</v>
      </c>
      <c r="G208" s="603"/>
      <c r="H208" s="598" t="str">
        <f t="shared" si="2"/>
        <v>Yes</v>
      </c>
      <c r="L208" s="632" t="s">
        <v>185</v>
      </c>
      <c r="M208" s="633" t="s">
        <v>186</v>
      </c>
      <c r="N208" s="634">
        <v>394780</v>
      </c>
      <c r="O208" s="635"/>
      <c r="P208" s="635">
        <v>3</v>
      </c>
      <c r="Q208" s="636" t="s">
        <v>781</v>
      </c>
      <c r="R208" s="636"/>
      <c r="S208" s="644" t="str">
        <f t="shared" si="4"/>
        <v>Y</v>
      </c>
    </row>
    <row r="209" spans="1:19">
      <c r="A209" s="599" t="s">
        <v>523</v>
      </c>
      <c r="B209" s="600" t="s">
        <v>524</v>
      </c>
      <c r="C209" s="601">
        <v>17704</v>
      </c>
      <c r="D209" s="602"/>
      <c r="E209" s="602"/>
      <c r="F209" s="603" t="s">
        <v>781</v>
      </c>
      <c r="G209" s="603"/>
      <c r="H209" s="598" t="str">
        <f t="shared" si="2"/>
        <v>Yes</v>
      </c>
      <c r="L209" s="632" t="s">
        <v>102</v>
      </c>
      <c r="M209" s="633" t="s">
        <v>103</v>
      </c>
      <c r="N209" s="634">
        <v>0</v>
      </c>
      <c r="O209" s="635"/>
      <c r="P209" s="635"/>
      <c r="Q209" s="636"/>
      <c r="R209" s="636"/>
      <c r="S209" s="644" t="str">
        <f t="shared" si="4"/>
        <v>NA</v>
      </c>
    </row>
    <row r="210" spans="1:19">
      <c r="A210" s="599" t="s">
        <v>343</v>
      </c>
      <c r="B210" s="600" t="s">
        <v>344</v>
      </c>
      <c r="C210" s="601">
        <v>116848</v>
      </c>
      <c r="D210" s="602"/>
      <c r="E210" s="602">
        <v>1</v>
      </c>
      <c r="F210" s="603" t="s">
        <v>781</v>
      </c>
      <c r="G210" s="603"/>
      <c r="H210" s="598" t="str">
        <f t="shared" si="2"/>
        <v>Yes</v>
      </c>
      <c r="L210" s="632" t="s">
        <v>23</v>
      </c>
      <c r="M210" s="633" t="s">
        <v>24</v>
      </c>
      <c r="N210" s="634">
        <v>54258</v>
      </c>
      <c r="O210" s="635"/>
      <c r="P210" s="635"/>
      <c r="Q210" s="636" t="s">
        <v>781</v>
      </c>
      <c r="R210" s="636"/>
      <c r="S210" s="644" t="str">
        <f t="shared" si="4"/>
        <v>Y</v>
      </c>
    </row>
    <row r="211" spans="1:19">
      <c r="A211" s="599" t="s">
        <v>163</v>
      </c>
      <c r="B211" s="600" t="s">
        <v>164</v>
      </c>
      <c r="C211" s="601">
        <v>0</v>
      </c>
      <c r="D211" s="602"/>
      <c r="E211" s="602"/>
      <c r="F211" s="603"/>
      <c r="G211" s="603"/>
      <c r="H211" s="598" t="str">
        <f t="shared" si="2"/>
        <v>NA</v>
      </c>
      <c r="L211" s="632" t="s">
        <v>64</v>
      </c>
      <c r="M211" s="633" t="s">
        <v>65</v>
      </c>
      <c r="N211" s="634">
        <v>10753</v>
      </c>
      <c r="O211" s="635"/>
      <c r="P211" s="635"/>
      <c r="Q211" s="636" t="s">
        <v>781</v>
      </c>
      <c r="R211" s="636" t="s">
        <v>1298</v>
      </c>
      <c r="S211" s="644" t="str">
        <f t="shared" si="4"/>
        <v>C</v>
      </c>
    </row>
    <row r="212" spans="1:19">
      <c r="A212" s="599" t="s">
        <v>167</v>
      </c>
      <c r="B212" s="600" t="s">
        <v>168</v>
      </c>
      <c r="C212" s="601">
        <v>0</v>
      </c>
      <c r="D212" s="602"/>
      <c r="E212" s="602"/>
      <c r="F212" s="603"/>
      <c r="G212" s="603"/>
      <c r="H212" s="598" t="str">
        <f t="shared" si="2"/>
        <v>NA</v>
      </c>
      <c r="L212" s="632" t="s">
        <v>8</v>
      </c>
      <c r="M212" s="633" t="s">
        <v>9</v>
      </c>
      <c r="N212" s="634">
        <v>0</v>
      </c>
      <c r="O212" s="635"/>
      <c r="P212" s="635"/>
      <c r="Q212" s="636"/>
      <c r="R212" s="636"/>
      <c r="S212" s="644" t="str">
        <f t="shared" si="4"/>
        <v>NA</v>
      </c>
    </row>
    <row r="213" spans="1:19">
      <c r="A213" s="599" t="s">
        <v>47</v>
      </c>
      <c r="B213" s="600" t="s">
        <v>48</v>
      </c>
      <c r="C213" s="601">
        <v>15881</v>
      </c>
      <c r="D213" s="602"/>
      <c r="E213" s="602"/>
      <c r="F213" s="603" t="s">
        <v>781</v>
      </c>
      <c r="G213" s="603"/>
      <c r="H213" s="598" t="str">
        <f t="shared" si="2"/>
        <v>Yes</v>
      </c>
      <c r="L213" s="632" t="s">
        <v>446</v>
      </c>
      <c r="M213" s="633" t="s">
        <v>447</v>
      </c>
      <c r="N213" s="634">
        <v>1666</v>
      </c>
      <c r="O213" s="635"/>
      <c r="P213" s="635"/>
      <c r="Q213" s="636" t="s">
        <v>782</v>
      </c>
      <c r="R213" s="636"/>
      <c r="S213" s="644" t="str">
        <f t="shared" si="4"/>
        <v>N</v>
      </c>
    </row>
    <row r="214" spans="1:19">
      <c r="A214" s="599" t="s">
        <v>145</v>
      </c>
      <c r="B214" s="600" t="s">
        <v>146</v>
      </c>
      <c r="C214" s="601">
        <v>12679</v>
      </c>
      <c r="D214" s="602">
        <v>20</v>
      </c>
      <c r="E214" s="602"/>
      <c r="F214" s="603" t="s">
        <v>781</v>
      </c>
      <c r="G214" s="603"/>
      <c r="H214" s="598" t="str">
        <f t="shared" si="2"/>
        <v>Yes</v>
      </c>
      <c r="L214" s="632" t="s">
        <v>193</v>
      </c>
      <c r="M214" s="633" t="s">
        <v>194</v>
      </c>
      <c r="N214" s="634">
        <v>9034</v>
      </c>
      <c r="O214" s="635"/>
      <c r="P214" s="635"/>
      <c r="Q214" s="636" t="s">
        <v>781</v>
      </c>
      <c r="R214" s="631" t="s">
        <v>1308</v>
      </c>
      <c r="S214" s="644" t="str">
        <f t="shared" si="4"/>
        <v>C</v>
      </c>
    </row>
    <row r="215" spans="1:19">
      <c r="A215" s="599" t="s">
        <v>116</v>
      </c>
      <c r="B215" s="600" t="s">
        <v>117</v>
      </c>
      <c r="C215" s="601">
        <v>162074</v>
      </c>
      <c r="D215" s="602"/>
      <c r="E215" s="602"/>
      <c r="F215" s="603" t="s">
        <v>781</v>
      </c>
      <c r="G215" s="603"/>
      <c r="H215" s="598" t="str">
        <f t="shared" si="2"/>
        <v>Yes</v>
      </c>
      <c r="L215" s="632" t="s">
        <v>484</v>
      </c>
      <c r="M215" s="633" t="s">
        <v>485</v>
      </c>
      <c r="N215" s="634">
        <v>21635</v>
      </c>
      <c r="O215" s="635">
        <v>10</v>
      </c>
      <c r="P215" s="635"/>
      <c r="Q215" s="636" t="s">
        <v>781</v>
      </c>
      <c r="R215" s="636"/>
      <c r="S215" s="644" t="str">
        <f t="shared" si="4"/>
        <v>Y</v>
      </c>
    </row>
    <row r="216" spans="1:19">
      <c r="A216" s="599" t="s">
        <v>480</v>
      </c>
      <c r="B216" s="600" t="s">
        <v>481</v>
      </c>
      <c r="C216" s="601">
        <v>0</v>
      </c>
      <c r="D216" s="602"/>
      <c r="E216" s="602"/>
      <c r="F216" s="603"/>
      <c r="G216" s="603"/>
      <c r="H216" s="598" t="str">
        <f t="shared" si="2"/>
        <v>NA</v>
      </c>
      <c r="L216" s="632" t="s">
        <v>244</v>
      </c>
      <c r="M216" s="633" t="s">
        <v>245</v>
      </c>
      <c r="N216" s="634">
        <v>1797</v>
      </c>
      <c r="O216" s="635"/>
      <c r="P216" s="635"/>
      <c r="Q216" s="638" t="s">
        <v>782</v>
      </c>
      <c r="R216" s="636"/>
      <c r="S216" s="644" t="str">
        <f t="shared" si="4"/>
        <v>N</v>
      </c>
    </row>
    <row r="217" spans="1:19">
      <c r="A217" s="599" t="s">
        <v>282</v>
      </c>
      <c r="B217" s="600" t="s">
        <v>665</v>
      </c>
      <c r="C217" s="601">
        <v>4217</v>
      </c>
      <c r="D217" s="602"/>
      <c r="E217" s="602"/>
      <c r="F217" s="603" t="s">
        <v>782</v>
      </c>
      <c r="G217" s="603"/>
      <c r="H217" s="598" t="str">
        <f t="shared" si="2"/>
        <v>No</v>
      </c>
      <c r="L217" s="632" t="s">
        <v>537</v>
      </c>
      <c r="M217" s="633" t="s">
        <v>538</v>
      </c>
      <c r="N217" s="634">
        <v>0</v>
      </c>
      <c r="O217" s="635"/>
      <c r="P217" s="635"/>
      <c r="Q217" s="636"/>
      <c r="R217" s="636"/>
      <c r="S217" s="644" t="str">
        <f t="shared" si="4"/>
        <v>NA</v>
      </c>
    </row>
    <row r="218" spans="1:19">
      <c r="A218" s="599" t="s">
        <v>185</v>
      </c>
      <c r="B218" s="600" t="s">
        <v>186</v>
      </c>
      <c r="C218" s="601">
        <v>394780</v>
      </c>
      <c r="D218" s="602"/>
      <c r="E218" s="602">
        <v>3</v>
      </c>
      <c r="F218" s="603" t="s">
        <v>781</v>
      </c>
      <c r="G218" s="603"/>
      <c r="H218" s="598" t="str">
        <f t="shared" si="2"/>
        <v>Yes</v>
      </c>
      <c r="L218" s="632" t="s">
        <v>123</v>
      </c>
      <c r="M218" s="633" t="s">
        <v>124</v>
      </c>
      <c r="N218" s="634">
        <v>116094</v>
      </c>
      <c r="O218" s="635">
        <v>2</v>
      </c>
      <c r="P218" s="635"/>
      <c r="Q218" s="636" t="s">
        <v>781</v>
      </c>
      <c r="R218" s="636"/>
      <c r="S218" s="644" t="str">
        <f t="shared" si="4"/>
        <v>Y</v>
      </c>
    </row>
    <row r="219" spans="1:19">
      <c r="A219" s="599" t="s">
        <v>102</v>
      </c>
      <c r="B219" s="600" t="s">
        <v>103</v>
      </c>
      <c r="C219" s="601">
        <v>0</v>
      </c>
      <c r="D219" s="602"/>
      <c r="E219" s="602"/>
      <c r="F219" s="603"/>
      <c r="G219" s="603"/>
      <c r="H219" s="598" t="str">
        <f t="shared" si="2"/>
        <v>NA</v>
      </c>
      <c r="L219" s="632" t="s">
        <v>375</v>
      </c>
      <c r="M219" s="633" t="s">
        <v>614</v>
      </c>
      <c r="N219" s="634">
        <v>8566</v>
      </c>
      <c r="O219" s="635"/>
      <c r="P219" s="635"/>
      <c r="Q219" s="636" t="s">
        <v>781</v>
      </c>
      <c r="R219" s="636" t="s">
        <v>1296</v>
      </c>
      <c r="S219" s="644" t="str">
        <f t="shared" si="4"/>
        <v>C</v>
      </c>
    </row>
    <row r="220" spans="1:19">
      <c r="A220" s="599" t="s">
        <v>23</v>
      </c>
      <c r="B220" s="600" t="s">
        <v>24</v>
      </c>
      <c r="C220" s="601">
        <v>54258</v>
      </c>
      <c r="D220" s="602"/>
      <c r="E220" s="602"/>
      <c r="F220" s="603" t="s">
        <v>781</v>
      </c>
      <c r="G220" s="603"/>
      <c r="H220" s="598" t="str">
        <f t="shared" si="2"/>
        <v>Yes</v>
      </c>
      <c r="L220" s="632" t="s">
        <v>149</v>
      </c>
      <c r="M220" s="633" t="s">
        <v>150</v>
      </c>
      <c r="N220" s="634">
        <v>0</v>
      </c>
      <c r="O220" s="635"/>
      <c r="P220" s="635"/>
      <c r="Q220" s="636"/>
      <c r="R220" s="636"/>
      <c r="S220" s="644" t="str">
        <f t="shared" si="4"/>
        <v>NA</v>
      </c>
    </row>
    <row r="221" spans="1:19">
      <c r="A221" s="599" t="s">
        <v>8</v>
      </c>
      <c r="B221" s="600" t="s">
        <v>9</v>
      </c>
      <c r="C221" s="601">
        <v>0</v>
      </c>
      <c r="D221" s="602"/>
      <c r="E221" s="602"/>
      <c r="F221" s="603"/>
      <c r="G221" s="603"/>
      <c r="H221" s="598" t="str">
        <f t="shared" ref="H221:H284" si="5">IF(ISBLANK(F221),"NA",F221)</f>
        <v>NA</v>
      </c>
      <c r="L221" s="632" t="s">
        <v>173</v>
      </c>
      <c r="M221" s="633" t="s">
        <v>174</v>
      </c>
      <c r="N221" s="634">
        <v>1022790</v>
      </c>
      <c r="O221" s="635">
        <v>15</v>
      </c>
      <c r="P221" s="635">
        <v>15</v>
      </c>
      <c r="Q221" s="636" t="s">
        <v>781</v>
      </c>
      <c r="R221" s="636"/>
      <c r="S221" s="644" t="str">
        <f t="shared" si="4"/>
        <v>Y</v>
      </c>
    </row>
    <row r="222" spans="1:19">
      <c r="A222" s="599" t="s">
        <v>446</v>
      </c>
      <c r="B222" s="600" t="s">
        <v>447</v>
      </c>
      <c r="C222" s="601">
        <v>1666</v>
      </c>
      <c r="D222" s="602"/>
      <c r="E222" s="602"/>
      <c r="F222" s="603" t="s">
        <v>781</v>
      </c>
      <c r="G222" s="603"/>
      <c r="H222" s="598" t="str">
        <f t="shared" si="5"/>
        <v>Yes</v>
      </c>
      <c r="L222" s="632" t="s">
        <v>379</v>
      </c>
      <c r="M222" s="633" t="s">
        <v>615</v>
      </c>
      <c r="N222" s="634">
        <v>37647</v>
      </c>
      <c r="O222" s="635"/>
      <c r="P222" s="635"/>
      <c r="Q222" s="636" t="s">
        <v>781</v>
      </c>
      <c r="R222" s="636"/>
      <c r="S222" s="644" t="str">
        <f t="shared" si="4"/>
        <v>Y</v>
      </c>
    </row>
    <row r="223" spans="1:19">
      <c r="A223" s="599" t="s">
        <v>193</v>
      </c>
      <c r="B223" s="600" t="s">
        <v>194</v>
      </c>
      <c r="C223" s="601">
        <v>9034</v>
      </c>
      <c r="D223" s="602"/>
      <c r="E223" s="602"/>
      <c r="F223" s="603" t="s">
        <v>781</v>
      </c>
      <c r="G223" s="603"/>
      <c r="H223" s="598" t="str">
        <f t="shared" si="5"/>
        <v>Yes</v>
      </c>
      <c r="L223" s="640" t="s">
        <v>551</v>
      </c>
      <c r="M223" s="641" t="s">
        <v>552</v>
      </c>
      <c r="N223" s="634">
        <v>37075</v>
      </c>
      <c r="O223" s="635"/>
      <c r="P223" s="635"/>
      <c r="Q223" s="636" t="s">
        <v>781</v>
      </c>
      <c r="R223" s="636"/>
      <c r="S223" s="644" t="str">
        <f t="shared" si="4"/>
        <v>Y</v>
      </c>
    </row>
    <row r="224" spans="1:19">
      <c r="A224" s="599" t="s">
        <v>484</v>
      </c>
      <c r="B224" s="600" t="s">
        <v>485</v>
      </c>
      <c r="C224" s="601">
        <v>21635</v>
      </c>
      <c r="D224" s="602">
        <v>10</v>
      </c>
      <c r="E224" s="602"/>
      <c r="F224" s="603" t="s">
        <v>781</v>
      </c>
      <c r="G224" s="603"/>
      <c r="H224" s="598" t="str">
        <f t="shared" si="5"/>
        <v>Yes</v>
      </c>
      <c r="L224" s="632" t="s">
        <v>340</v>
      </c>
      <c r="M224" s="633" t="s">
        <v>341</v>
      </c>
      <c r="N224" s="634">
        <v>0</v>
      </c>
      <c r="O224" s="635"/>
      <c r="P224" s="635"/>
      <c r="Q224" s="636"/>
      <c r="R224" s="636"/>
      <c r="S224" s="644" t="str">
        <f t="shared" si="4"/>
        <v>NA</v>
      </c>
    </row>
    <row r="225" spans="1:19">
      <c r="A225" s="599" t="s">
        <v>244</v>
      </c>
      <c r="B225" s="600" t="s">
        <v>245</v>
      </c>
      <c r="C225" s="601">
        <v>1797</v>
      </c>
      <c r="D225" s="602"/>
      <c r="E225" s="602"/>
      <c r="F225" s="603"/>
      <c r="G225" s="603"/>
      <c r="H225" s="598" t="str">
        <f t="shared" si="5"/>
        <v>NA</v>
      </c>
      <c r="L225" s="632" t="s">
        <v>43</v>
      </c>
      <c r="M225" s="633" t="s">
        <v>44</v>
      </c>
      <c r="N225" s="634">
        <v>6900</v>
      </c>
      <c r="O225" s="635"/>
      <c r="P225" s="635"/>
      <c r="Q225" s="638" t="s">
        <v>782</v>
      </c>
      <c r="R225" s="636"/>
      <c r="S225" s="644" t="str">
        <f t="shared" si="4"/>
        <v>N</v>
      </c>
    </row>
    <row r="226" spans="1:19">
      <c r="A226" s="599" t="s">
        <v>537</v>
      </c>
      <c r="B226" s="600" t="s">
        <v>538</v>
      </c>
      <c r="C226" s="601">
        <v>0</v>
      </c>
      <c r="D226" s="602"/>
      <c r="E226" s="602"/>
      <c r="F226" s="603"/>
      <c r="G226" s="603"/>
      <c r="H226" s="598" t="str">
        <f t="shared" si="5"/>
        <v>NA</v>
      </c>
      <c r="L226" s="632" t="s">
        <v>371</v>
      </c>
      <c r="M226" s="633" t="s">
        <v>670</v>
      </c>
      <c r="N226" s="634">
        <v>0</v>
      </c>
      <c r="O226" s="635"/>
      <c r="P226" s="635"/>
      <c r="Q226" s="636"/>
      <c r="R226" s="636"/>
      <c r="S226" s="644" t="str">
        <f t="shared" si="4"/>
        <v>NA</v>
      </c>
    </row>
    <row r="227" spans="1:19">
      <c r="A227" s="599" t="s">
        <v>123</v>
      </c>
      <c r="B227" s="600" t="s">
        <v>124</v>
      </c>
      <c r="C227" s="601">
        <v>116094</v>
      </c>
      <c r="D227" s="602">
        <v>2</v>
      </c>
      <c r="E227" s="602"/>
      <c r="F227" s="603" t="s">
        <v>781</v>
      </c>
      <c r="G227" s="603"/>
      <c r="H227" s="598" t="str">
        <f t="shared" si="5"/>
        <v>Yes</v>
      </c>
      <c r="L227" s="632" t="s">
        <v>299</v>
      </c>
      <c r="M227" s="633" t="s">
        <v>300</v>
      </c>
      <c r="N227" s="634">
        <v>62018</v>
      </c>
      <c r="O227" s="635"/>
      <c r="P227" s="635"/>
      <c r="Q227" s="636" t="s">
        <v>781</v>
      </c>
      <c r="R227" s="636"/>
      <c r="S227" s="644" t="str">
        <f t="shared" si="4"/>
        <v>Y</v>
      </c>
    </row>
    <row r="228" spans="1:19">
      <c r="A228" s="599" t="s">
        <v>149</v>
      </c>
      <c r="B228" s="600" t="s">
        <v>150</v>
      </c>
      <c r="C228" s="601">
        <v>0</v>
      </c>
      <c r="D228" s="602"/>
      <c r="E228" s="602"/>
      <c r="F228" s="603"/>
      <c r="G228" s="603"/>
      <c r="H228" s="598" t="str">
        <f t="shared" si="5"/>
        <v>NA</v>
      </c>
      <c r="L228" s="632" t="s">
        <v>203</v>
      </c>
      <c r="M228" s="633" t="s">
        <v>204</v>
      </c>
      <c r="N228" s="634">
        <v>104923</v>
      </c>
      <c r="O228" s="635"/>
      <c r="P228" s="635">
        <v>4</v>
      </c>
      <c r="Q228" s="636" t="s">
        <v>781</v>
      </c>
      <c r="R228" s="636"/>
      <c r="S228" s="644" t="str">
        <f t="shared" si="4"/>
        <v>Y</v>
      </c>
    </row>
    <row r="229" spans="1:19">
      <c r="A229" s="599" t="s">
        <v>173</v>
      </c>
      <c r="B229" s="600" t="s">
        <v>174</v>
      </c>
      <c r="C229" s="601">
        <v>1022790</v>
      </c>
      <c r="D229" s="602">
        <v>15</v>
      </c>
      <c r="E229" s="602">
        <v>15</v>
      </c>
      <c r="F229" s="603" t="s">
        <v>781</v>
      </c>
      <c r="G229" s="603"/>
      <c r="H229" s="598" t="str">
        <f t="shared" si="5"/>
        <v>Yes</v>
      </c>
      <c r="L229" s="632" t="s">
        <v>387</v>
      </c>
      <c r="M229" s="633" t="s">
        <v>388</v>
      </c>
      <c r="N229" s="634">
        <v>0</v>
      </c>
      <c r="O229" s="635"/>
      <c r="P229" s="635"/>
      <c r="Q229" s="636"/>
      <c r="R229" s="636"/>
      <c r="S229" s="644" t="str">
        <f t="shared" si="4"/>
        <v>NA</v>
      </c>
    </row>
    <row r="230" spans="1:19">
      <c r="A230" s="599" t="s">
        <v>379</v>
      </c>
      <c r="B230" s="600" t="s">
        <v>615</v>
      </c>
      <c r="C230" s="601">
        <v>37647</v>
      </c>
      <c r="D230" s="602"/>
      <c r="E230" s="602"/>
      <c r="F230" s="603" t="s">
        <v>781</v>
      </c>
      <c r="G230" s="603"/>
      <c r="H230" s="598" t="str">
        <f t="shared" si="5"/>
        <v>Yes</v>
      </c>
      <c r="L230" s="632" t="s">
        <v>187</v>
      </c>
      <c r="M230" s="633" t="s">
        <v>188</v>
      </c>
      <c r="N230" s="634">
        <v>0</v>
      </c>
      <c r="O230" s="635"/>
      <c r="P230" s="635"/>
      <c r="Q230" s="636"/>
      <c r="R230" s="636"/>
      <c r="S230" s="644" t="str">
        <f t="shared" si="4"/>
        <v>NA</v>
      </c>
    </row>
    <row r="231" spans="1:19">
      <c r="A231" s="613" t="s">
        <v>551</v>
      </c>
      <c r="B231" s="614" t="s">
        <v>552</v>
      </c>
      <c r="C231" s="601">
        <v>37075</v>
      </c>
      <c r="D231" s="602"/>
      <c r="E231" s="602"/>
      <c r="F231" s="603" t="s">
        <v>781</v>
      </c>
      <c r="G231" s="603"/>
      <c r="H231" s="598" t="str">
        <f t="shared" si="5"/>
        <v>Yes</v>
      </c>
      <c r="L231" s="632" t="s">
        <v>411</v>
      </c>
      <c r="M231" s="633" t="s">
        <v>412</v>
      </c>
      <c r="N231" s="634">
        <v>46474</v>
      </c>
      <c r="O231" s="635"/>
      <c r="P231" s="635"/>
      <c r="Q231" s="636" t="s">
        <v>781</v>
      </c>
      <c r="R231" s="636"/>
      <c r="S231" s="644" t="str">
        <f t="shared" si="4"/>
        <v>Y</v>
      </c>
    </row>
    <row r="232" spans="1:19">
      <c r="A232" s="599" t="s">
        <v>340</v>
      </c>
      <c r="B232" s="600" t="s">
        <v>341</v>
      </c>
      <c r="C232" s="601">
        <v>0</v>
      </c>
      <c r="D232" s="602"/>
      <c r="E232" s="602"/>
      <c r="F232" s="603"/>
      <c r="G232" s="603"/>
      <c r="H232" s="598" t="str">
        <f t="shared" si="5"/>
        <v>NA</v>
      </c>
      <c r="L232" s="632" t="s">
        <v>199</v>
      </c>
      <c r="M232" s="633" t="s">
        <v>200</v>
      </c>
      <c r="N232" s="634">
        <v>19840</v>
      </c>
      <c r="O232" s="635">
        <v>8</v>
      </c>
      <c r="P232" s="635"/>
      <c r="Q232" s="636" t="s">
        <v>781</v>
      </c>
      <c r="R232" s="636"/>
      <c r="S232" s="644" t="str">
        <f t="shared" si="4"/>
        <v>Y</v>
      </c>
    </row>
    <row r="233" spans="1:19">
      <c r="A233" s="599" t="s">
        <v>43</v>
      </c>
      <c r="B233" s="600" t="s">
        <v>44</v>
      </c>
      <c r="C233" s="601">
        <v>6900</v>
      </c>
      <c r="D233" s="602"/>
      <c r="E233" s="602"/>
      <c r="F233" s="615" t="s">
        <v>782</v>
      </c>
      <c r="G233" s="603"/>
      <c r="H233" s="598" t="str">
        <f t="shared" si="5"/>
        <v>No</v>
      </c>
      <c r="L233" s="632" t="s">
        <v>121</v>
      </c>
      <c r="M233" s="633" t="s">
        <v>122</v>
      </c>
      <c r="N233" s="634">
        <v>14919</v>
      </c>
      <c r="O233" s="635"/>
      <c r="P233" s="635"/>
      <c r="Q233" s="636" t="s">
        <v>781</v>
      </c>
      <c r="R233" s="636"/>
      <c r="S233" s="644" t="str">
        <f t="shared" si="4"/>
        <v>Y</v>
      </c>
    </row>
    <row r="234" spans="1:19">
      <c r="A234" s="599" t="s">
        <v>371</v>
      </c>
      <c r="B234" s="600" t="s">
        <v>670</v>
      </c>
      <c r="C234" s="601">
        <v>0</v>
      </c>
      <c r="D234" s="602"/>
      <c r="E234" s="602"/>
      <c r="F234" s="603"/>
      <c r="G234" s="603"/>
      <c r="H234" s="598" t="str">
        <f t="shared" si="5"/>
        <v>NA</v>
      </c>
      <c r="L234" s="632" t="s">
        <v>329</v>
      </c>
      <c r="M234" s="633" t="s">
        <v>330</v>
      </c>
      <c r="N234" s="634">
        <v>13122</v>
      </c>
      <c r="O234" s="635"/>
      <c r="P234" s="635"/>
      <c r="Q234" s="636" t="s">
        <v>781</v>
      </c>
      <c r="R234" s="636"/>
      <c r="S234" s="644" t="str">
        <f t="shared" si="4"/>
        <v>Y</v>
      </c>
    </row>
    <row r="235" spans="1:19">
      <c r="A235" s="599" t="s">
        <v>299</v>
      </c>
      <c r="B235" s="600" t="s">
        <v>300</v>
      </c>
      <c r="C235" s="601">
        <v>62018</v>
      </c>
      <c r="D235" s="602"/>
      <c r="E235" s="602"/>
      <c r="F235" s="603" t="s">
        <v>781</v>
      </c>
      <c r="G235" s="603"/>
      <c r="H235" s="598" t="str">
        <f t="shared" si="5"/>
        <v>Yes</v>
      </c>
      <c r="L235" s="632" t="s">
        <v>218</v>
      </c>
      <c r="M235" s="633" t="s">
        <v>219</v>
      </c>
      <c r="N235" s="634">
        <v>12940</v>
      </c>
      <c r="O235" s="635"/>
      <c r="P235" s="635"/>
      <c r="Q235" s="636" t="s">
        <v>781</v>
      </c>
      <c r="R235" s="636"/>
      <c r="S235" s="644" t="str">
        <f t="shared" si="4"/>
        <v>Y</v>
      </c>
    </row>
    <row r="236" spans="1:19">
      <c r="A236" s="599" t="s">
        <v>203</v>
      </c>
      <c r="B236" s="600" t="s">
        <v>204</v>
      </c>
      <c r="C236" s="601">
        <v>104923</v>
      </c>
      <c r="D236" s="602"/>
      <c r="E236" s="602">
        <v>4</v>
      </c>
      <c r="F236" s="603" t="s">
        <v>781</v>
      </c>
      <c r="G236" s="603"/>
      <c r="H236" s="598" t="str">
        <f t="shared" si="5"/>
        <v>Yes</v>
      </c>
      <c r="L236" s="632" t="s">
        <v>161</v>
      </c>
      <c r="M236" s="633" t="s">
        <v>162</v>
      </c>
      <c r="N236" s="634">
        <v>1797</v>
      </c>
      <c r="O236" s="635"/>
      <c r="P236" s="635"/>
      <c r="Q236" s="638" t="s">
        <v>782</v>
      </c>
      <c r="R236" s="636"/>
      <c r="S236" s="644" t="str">
        <f t="shared" si="4"/>
        <v>N</v>
      </c>
    </row>
    <row r="237" spans="1:19">
      <c r="A237" s="599" t="s">
        <v>387</v>
      </c>
      <c r="B237" s="600" t="s">
        <v>388</v>
      </c>
      <c r="C237" s="601">
        <v>0</v>
      </c>
      <c r="D237" s="602"/>
      <c r="E237" s="602"/>
      <c r="F237" s="603"/>
      <c r="G237" s="603"/>
      <c r="H237" s="598" t="str">
        <f t="shared" si="5"/>
        <v>NA</v>
      </c>
      <c r="L237" s="632" t="s">
        <v>295</v>
      </c>
      <c r="M237" s="633" t="s">
        <v>296</v>
      </c>
      <c r="N237" s="634">
        <v>521</v>
      </c>
      <c r="O237" s="635"/>
      <c r="P237" s="635"/>
      <c r="Q237" s="636" t="s">
        <v>782</v>
      </c>
      <c r="R237" s="636"/>
      <c r="S237" s="644" t="str">
        <f t="shared" si="4"/>
        <v>N</v>
      </c>
    </row>
    <row r="238" spans="1:19">
      <c r="A238" s="599" t="s">
        <v>187</v>
      </c>
      <c r="B238" s="600" t="s">
        <v>188</v>
      </c>
      <c r="C238" s="601">
        <v>0</v>
      </c>
      <c r="D238" s="602"/>
      <c r="E238" s="602"/>
      <c r="F238" s="603"/>
      <c r="G238" s="603"/>
      <c r="H238" s="598" t="str">
        <f t="shared" si="5"/>
        <v>NA</v>
      </c>
      <c r="L238" s="632" t="s">
        <v>422</v>
      </c>
      <c r="M238" s="633" t="s">
        <v>423</v>
      </c>
      <c r="N238" s="634">
        <v>239867</v>
      </c>
      <c r="O238" s="635"/>
      <c r="P238" s="635"/>
      <c r="Q238" s="636" t="s">
        <v>781</v>
      </c>
      <c r="R238" s="636"/>
      <c r="S238" s="644" t="str">
        <f t="shared" si="4"/>
        <v>Y</v>
      </c>
    </row>
    <row r="239" spans="1:19">
      <c r="A239" s="599" t="s">
        <v>411</v>
      </c>
      <c r="B239" s="600" t="s">
        <v>412</v>
      </c>
      <c r="C239" s="601">
        <v>46474</v>
      </c>
      <c r="D239" s="602"/>
      <c r="E239" s="602"/>
      <c r="F239" s="603" t="s">
        <v>781</v>
      </c>
      <c r="G239" s="603"/>
      <c r="H239" s="598" t="str">
        <f t="shared" si="5"/>
        <v>Yes</v>
      </c>
      <c r="L239" s="632" t="s">
        <v>280</v>
      </c>
      <c r="M239" s="633" t="s">
        <v>281</v>
      </c>
      <c r="N239" s="634">
        <v>0</v>
      </c>
      <c r="O239" s="635"/>
      <c r="P239" s="635"/>
      <c r="Q239" s="636"/>
      <c r="R239" s="636"/>
      <c r="S239" s="644" t="str">
        <f t="shared" si="4"/>
        <v>NA</v>
      </c>
    </row>
    <row r="240" spans="1:19">
      <c r="A240" s="599" t="s">
        <v>199</v>
      </c>
      <c r="B240" s="600" t="s">
        <v>200</v>
      </c>
      <c r="C240" s="601">
        <v>19840</v>
      </c>
      <c r="D240" s="602">
        <v>8</v>
      </c>
      <c r="E240" s="602"/>
      <c r="F240" s="603" t="s">
        <v>781</v>
      </c>
      <c r="G240" s="603"/>
      <c r="H240" s="598" t="str">
        <f t="shared" si="5"/>
        <v>Yes</v>
      </c>
      <c r="L240" s="632" t="s">
        <v>539</v>
      </c>
      <c r="M240" s="633" t="s">
        <v>540</v>
      </c>
      <c r="N240" s="634">
        <v>0</v>
      </c>
      <c r="O240" s="635"/>
      <c r="P240" s="635"/>
      <c r="Q240" s="636"/>
      <c r="R240" s="636"/>
      <c r="S240" s="644" t="str">
        <f t="shared" ref="S240:S296" si="6">IF(Q240="Yes",IF(R240=0,"Y","C"),IF(Q240="No","N","NA"))</f>
        <v>NA</v>
      </c>
    </row>
    <row r="241" spans="1:19">
      <c r="A241" s="599" t="s">
        <v>121</v>
      </c>
      <c r="B241" s="600" t="s">
        <v>122</v>
      </c>
      <c r="C241" s="601">
        <v>14919</v>
      </c>
      <c r="D241" s="602"/>
      <c r="E241" s="602"/>
      <c r="F241" s="603" t="s">
        <v>781</v>
      </c>
      <c r="G241" s="603"/>
      <c r="H241" s="598" t="str">
        <f t="shared" si="5"/>
        <v>Yes</v>
      </c>
      <c r="L241" s="632" t="s">
        <v>421</v>
      </c>
      <c r="M241" s="633" t="s">
        <v>673</v>
      </c>
      <c r="N241" s="634">
        <v>16064</v>
      </c>
      <c r="O241" s="635"/>
      <c r="P241" s="635"/>
      <c r="Q241" s="636" t="s">
        <v>781</v>
      </c>
      <c r="R241" s="636"/>
      <c r="S241" s="644" t="str">
        <f t="shared" si="6"/>
        <v>Y</v>
      </c>
    </row>
    <row r="242" spans="1:19">
      <c r="A242" s="599" t="s">
        <v>329</v>
      </c>
      <c r="B242" s="600" t="s">
        <v>330</v>
      </c>
      <c r="C242" s="601">
        <v>13122</v>
      </c>
      <c r="D242" s="602"/>
      <c r="E242" s="602"/>
      <c r="F242" s="603" t="s">
        <v>781</v>
      </c>
      <c r="G242" s="603"/>
      <c r="H242" s="598" t="str">
        <f t="shared" si="5"/>
        <v>Yes</v>
      </c>
      <c r="L242" s="632" t="s">
        <v>108</v>
      </c>
      <c r="M242" s="633" t="s">
        <v>109</v>
      </c>
      <c r="N242" s="634">
        <v>0</v>
      </c>
      <c r="O242" s="635"/>
      <c r="P242" s="635"/>
      <c r="Q242" s="636"/>
      <c r="R242" s="636"/>
      <c r="S242" s="644" t="str">
        <f t="shared" si="6"/>
        <v>NA</v>
      </c>
    </row>
    <row r="243" spans="1:19">
      <c r="A243" s="599" t="s">
        <v>218</v>
      </c>
      <c r="B243" s="600" t="s">
        <v>219</v>
      </c>
      <c r="C243" s="601">
        <v>12940</v>
      </c>
      <c r="D243" s="602"/>
      <c r="E243" s="602"/>
      <c r="F243" s="603" t="s">
        <v>781</v>
      </c>
      <c r="G243" s="603"/>
      <c r="H243" s="598" t="str">
        <f t="shared" si="5"/>
        <v>Yes</v>
      </c>
      <c r="L243" s="632" t="s">
        <v>68</v>
      </c>
      <c r="M243" s="633" t="s">
        <v>69</v>
      </c>
      <c r="N243" s="634">
        <v>0</v>
      </c>
      <c r="O243" s="635"/>
      <c r="P243" s="635"/>
      <c r="Q243" s="636"/>
      <c r="R243" s="636"/>
      <c r="S243" s="644" t="str">
        <f t="shared" si="6"/>
        <v>NA</v>
      </c>
    </row>
    <row r="244" spans="1:19">
      <c r="A244" s="599" t="s">
        <v>161</v>
      </c>
      <c r="B244" s="600" t="s">
        <v>162</v>
      </c>
      <c r="C244" s="601">
        <v>1797</v>
      </c>
      <c r="D244" s="602"/>
      <c r="E244" s="602"/>
      <c r="F244" s="615" t="s">
        <v>782</v>
      </c>
      <c r="G244" s="603"/>
      <c r="H244" s="598" t="str">
        <f t="shared" si="5"/>
        <v>No</v>
      </c>
      <c r="L244" s="632" t="s">
        <v>27</v>
      </c>
      <c r="M244" s="633" t="s">
        <v>28</v>
      </c>
      <c r="N244" s="634">
        <v>0</v>
      </c>
      <c r="O244" s="635"/>
      <c r="P244" s="635"/>
      <c r="Q244" s="636"/>
      <c r="R244" s="636"/>
      <c r="S244" s="644" t="str">
        <f t="shared" si="6"/>
        <v>NA</v>
      </c>
    </row>
    <row r="245" spans="1:19">
      <c r="A245" s="599" t="s">
        <v>295</v>
      </c>
      <c r="B245" s="600" t="s">
        <v>296</v>
      </c>
      <c r="C245" s="601">
        <v>521</v>
      </c>
      <c r="D245" s="602"/>
      <c r="E245" s="602"/>
      <c r="F245" s="603" t="s">
        <v>782</v>
      </c>
      <c r="G245" s="603"/>
      <c r="H245" s="598" t="str">
        <f t="shared" si="5"/>
        <v>No</v>
      </c>
      <c r="L245" s="632" t="s">
        <v>342</v>
      </c>
      <c r="M245" s="633" t="s">
        <v>617</v>
      </c>
      <c r="N245" s="634">
        <v>9738</v>
      </c>
      <c r="O245" s="635"/>
      <c r="P245" s="635"/>
      <c r="Q245" s="636" t="s">
        <v>781</v>
      </c>
      <c r="R245" s="636" t="s">
        <v>1297</v>
      </c>
      <c r="S245" s="644" t="str">
        <f t="shared" si="6"/>
        <v>C</v>
      </c>
    </row>
    <row r="246" spans="1:19">
      <c r="A246" s="599" t="s">
        <v>422</v>
      </c>
      <c r="B246" s="600" t="s">
        <v>423</v>
      </c>
      <c r="C246" s="601">
        <v>239867</v>
      </c>
      <c r="D246" s="602"/>
      <c r="E246" s="602"/>
      <c r="F246" s="603" t="s">
        <v>781</v>
      </c>
      <c r="G246" s="603"/>
      <c r="H246" s="598" t="str">
        <f t="shared" si="5"/>
        <v>Yes</v>
      </c>
      <c r="L246" s="632" t="s">
        <v>531</v>
      </c>
      <c r="M246" s="633" t="s">
        <v>532</v>
      </c>
      <c r="N246" s="634">
        <v>0</v>
      </c>
      <c r="O246" s="635"/>
      <c r="P246" s="635"/>
      <c r="Q246" s="636"/>
      <c r="R246" s="636"/>
      <c r="S246" s="644" t="str">
        <f t="shared" si="6"/>
        <v>NA</v>
      </c>
    </row>
    <row r="247" spans="1:19">
      <c r="A247" s="599" t="s">
        <v>280</v>
      </c>
      <c r="B247" s="600" t="s">
        <v>281</v>
      </c>
      <c r="C247" s="601">
        <v>0</v>
      </c>
      <c r="D247" s="602"/>
      <c r="E247" s="602"/>
      <c r="F247" s="603"/>
      <c r="G247" s="603"/>
      <c r="H247" s="598" t="str">
        <f t="shared" si="5"/>
        <v>NA</v>
      </c>
      <c r="L247" s="632" t="s">
        <v>393</v>
      </c>
      <c r="M247" s="633" t="s">
        <v>394</v>
      </c>
      <c r="N247" s="634">
        <v>4686</v>
      </c>
      <c r="O247" s="635"/>
      <c r="P247" s="635"/>
      <c r="Q247" s="636" t="s">
        <v>782</v>
      </c>
      <c r="R247" s="636"/>
      <c r="S247" s="644" t="str">
        <f t="shared" si="6"/>
        <v>N</v>
      </c>
    </row>
    <row r="248" spans="1:19">
      <c r="A248" s="599" t="s">
        <v>539</v>
      </c>
      <c r="B248" s="600" t="s">
        <v>540</v>
      </c>
      <c r="C248" s="601">
        <v>0</v>
      </c>
      <c r="D248" s="602"/>
      <c r="E248" s="602"/>
      <c r="F248" s="603"/>
      <c r="G248" s="603"/>
      <c r="H248" s="598" t="str">
        <f t="shared" si="5"/>
        <v>NA</v>
      </c>
      <c r="L248" s="632" t="s">
        <v>415</v>
      </c>
      <c r="M248" s="633" t="s">
        <v>416</v>
      </c>
      <c r="N248" s="634">
        <v>21531</v>
      </c>
      <c r="O248" s="635"/>
      <c r="P248" s="635"/>
      <c r="Q248" s="636" t="s">
        <v>781</v>
      </c>
      <c r="R248" s="636"/>
      <c r="S248" s="644" t="str">
        <f t="shared" si="6"/>
        <v>Y</v>
      </c>
    </row>
    <row r="249" spans="1:19">
      <c r="A249" s="599" t="s">
        <v>421</v>
      </c>
      <c r="B249" s="600" t="s">
        <v>673</v>
      </c>
      <c r="C249" s="601">
        <v>16064</v>
      </c>
      <c r="D249" s="602"/>
      <c r="E249" s="602"/>
      <c r="F249" s="603" t="s">
        <v>781</v>
      </c>
      <c r="G249" s="603"/>
      <c r="H249" s="598" t="str">
        <f t="shared" si="5"/>
        <v>Yes</v>
      </c>
      <c r="L249" s="632" t="s">
        <v>460</v>
      </c>
      <c r="M249" s="633" t="s">
        <v>461</v>
      </c>
      <c r="N249" s="634">
        <v>0</v>
      </c>
      <c r="O249" s="635"/>
      <c r="P249" s="635"/>
      <c r="Q249" s="636"/>
      <c r="R249" s="636"/>
      <c r="S249" s="644" t="str">
        <f t="shared" si="6"/>
        <v>NA</v>
      </c>
    </row>
    <row r="250" spans="1:19">
      <c r="A250" s="599" t="s">
        <v>108</v>
      </c>
      <c r="B250" s="600" t="s">
        <v>109</v>
      </c>
      <c r="C250" s="601">
        <v>0</v>
      </c>
      <c r="D250" s="602"/>
      <c r="E250" s="602"/>
      <c r="F250" s="603"/>
      <c r="G250" s="603"/>
      <c r="H250" s="598" t="str">
        <f t="shared" si="5"/>
        <v>NA</v>
      </c>
      <c r="L250" s="632" t="s">
        <v>351</v>
      </c>
      <c r="M250" s="633" t="s">
        <v>352</v>
      </c>
      <c r="N250" s="634">
        <v>46917</v>
      </c>
      <c r="O250" s="635">
        <v>12</v>
      </c>
      <c r="P250" s="635"/>
      <c r="Q250" s="636" t="s">
        <v>781</v>
      </c>
      <c r="R250" s="636"/>
      <c r="S250" s="644" t="str">
        <f t="shared" si="6"/>
        <v>Y</v>
      </c>
    </row>
    <row r="251" spans="1:19">
      <c r="A251" s="599" t="s">
        <v>68</v>
      </c>
      <c r="B251" s="600" t="s">
        <v>69</v>
      </c>
      <c r="C251" s="601">
        <v>0</v>
      </c>
      <c r="D251" s="602"/>
      <c r="E251" s="602"/>
      <c r="F251" s="603"/>
      <c r="G251" s="603"/>
      <c r="H251" s="598" t="str">
        <f t="shared" si="5"/>
        <v>NA</v>
      </c>
      <c r="L251" s="632" t="s">
        <v>557</v>
      </c>
      <c r="M251" s="633" t="s">
        <v>558</v>
      </c>
      <c r="N251" s="634">
        <v>349582</v>
      </c>
      <c r="O251" s="635"/>
      <c r="P251" s="635"/>
      <c r="Q251" s="636" t="s">
        <v>781</v>
      </c>
      <c r="R251" s="636"/>
      <c r="S251" s="644" t="str">
        <f t="shared" si="6"/>
        <v>Y</v>
      </c>
    </row>
    <row r="252" spans="1:19">
      <c r="A252" s="599" t="s">
        <v>27</v>
      </c>
      <c r="B252" s="600" t="s">
        <v>28</v>
      </c>
      <c r="C252" s="601">
        <v>0</v>
      </c>
      <c r="D252" s="602"/>
      <c r="E252" s="602"/>
      <c r="F252" s="603"/>
      <c r="G252" s="603"/>
      <c r="H252" s="598" t="str">
        <f t="shared" si="5"/>
        <v>NA</v>
      </c>
      <c r="L252" s="632" t="s">
        <v>345</v>
      </c>
      <c r="M252" s="633" t="s">
        <v>346</v>
      </c>
      <c r="N252" s="634">
        <v>403659</v>
      </c>
      <c r="O252" s="635"/>
      <c r="P252" s="635"/>
      <c r="Q252" s="636" t="s">
        <v>781</v>
      </c>
      <c r="R252" s="636"/>
      <c r="S252" s="644" t="str">
        <f t="shared" si="6"/>
        <v>Y</v>
      </c>
    </row>
    <row r="253" spans="1:19">
      <c r="A253" s="599" t="s">
        <v>531</v>
      </c>
      <c r="B253" s="600" t="s">
        <v>532</v>
      </c>
      <c r="C253" s="601">
        <v>0</v>
      </c>
      <c r="D253" s="602"/>
      <c r="E253" s="602"/>
      <c r="F253" s="603"/>
      <c r="G253" s="603"/>
      <c r="H253" s="598" t="str">
        <f t="shared" si="5"/>
        <v>NA</v>
      </c>
      <c r="L253" s="632" t="s">
        <v>143</v>
      </c>
      <c r="M253" s="633" t="s">
        <v>144</v>
      </c>
      <c r="N253" s="634">
        <v>0</v>
      </c>
      <c r="O253" s="635"/>
      <c r="P253" s="635"/>
      <c r="Q253" s="636"/>
      <c r="R253" s="636"/>
      <c r="S253" s="644" t="str">
        <f t="shared" si="6"/>
        <v>NA</v>
      </c>
    </row>
    <row r="254" spans="1:19">
      <c r="A254" s="599" t="s">
        <v>393</v>
      </c>
      <c r="B254" s="600" t="s">
        <v>394</v>
      </c>
      <c r="C254" s="601">
        <v>4686</v>
      </c>
      <c r="D254" s="602"/>
      <c r="E254" s="602"/>
      <c r="F254" s="603" t="s">
        <v>782</v>
      </c>
      <c r="G254" s="603"/>
      <c r="H254" s="598" t="str">
        <f t="shared" si="5"/>
        <v>No</v>
      </c>
      <c r="L254" s="632" t="s">
        <v>197</v>
      </c>
      <c r="M254" s="633" t="s">
        <v>198</v>
      </c>
      <c r="N254" s="634">
        <v>18537</v>
      </c>
      <c r="O254" s="635"/>
      <c r="P254" s="635">
        <v>16</v>
      </c>
      <c r="Q254" s="636" t="s">
        <v>781</v>
      </c>
      <c r="R254" s="636"/>
      <c r="S254" s="644" t="str">
        <f t="shared" si="6"/>
        <v>Y</v>
      </c>
    </row>
    <row r="255" spans="1:19">
      <c r="A255" s="599" t="s">
        <v>415</v>
      </c>
      <c r="B255" s="600" t="s">
        <v>416</v>
      </c>
      <c r="C255" s="601">
        <v>21531</v>
      </c>
      <c r="D255" s="602"/>
      <c r="E255" s="602"/>
      <c r="F255" s="603" t="s">
        <v>781</v>
      </c>
      <c r="G255" s="603"/>
      <c r="H255" s="598" t="str">
        <f t="shared" si="5"/>
        <v>Yes</v>
      </c>
      <c r="L255" s="632" t="s">
        <v>521</v>
      </c>
      <c r="M255" s="633" t="s">
        <v>522</v>
      </c>
      <c r="N255" s="634">
        <v>0</v>
      </c>
      <c r="O255" s="635"/>
      <c r="P255" s="635"/>
      <c r="Q255" s="636"/>
      <c r="R255" s="636"/>
      <c r="S255" s="644" t="str">
        <f t="shared" si="6"/>
        <v>NA</v>
      </c>
    </row>
    <row r="256" spans="1:19">
      <c r="A256" s="599" t="s">
        <v>460</v>
      </c>
      <c r="B256" s="600" t="s">
        <v>461</v>
      </c>
      <c r="C256" s="601">
        <v>0</v>
      </c>
      <c r="D256" s="602"/>
      <c r="E256" s="602"/>
      <c r="F256" s="603"/>
      <c r="G256" s="603"/>
      <c r="H256" s="598" t="str">
        <f t="shared" si="5"/>
        <v>NA</v>
      </c>
      <c r="L256" s="632" t="s">
        <v>486</v>
      </c>
      <c r="M256" s="633" t="s">
        <v>487</v>
      </c>
      <c r="N256" s="634">
        <v>1875</v>
      </c>
      <c r="O256" s="635"/>
      <c r="P256" s="635"/>
      <c r="Q256" s="636" t="s">
        <v>781</v>
      </c>
      <c r="R256" s="636" t="s">
        <v>1294</v>
      </c>
      <c r="S256" s="644" t="str">
        <f t="shared" si="6"/>
        <v>C</v>
      </c>
    </row>
    <row r="257" spans="1:19">
      <c r="A257" s="599" t="s">
        <v>351</v>
      </c>
      <c r="B257" s="600" t="s">
        <v>352</v>
      </c>
      <c r="C257" s="601">
        <v>46917</v>
      </c>
      <c r="D257" s="602">
        <v>12</v>
      </c>
      <c r="E257" s="602"/>
      <c r="F257" s="603" t="s">
        <v>781</v>
      </c>
      <c r="G257" s="603"/>
      <c r="H257" s="598" t="str">
        <f t="shared" si="5"/>
        <v>Yes</v>
      </c>
      <c r="L257" s="632" t="s">
        <v>224</v>
      </c>
      <c r="M257" s="633" t="s">
        <v>225</v>
      </c>
      <c r="N257" s="634">
        <v>0</v>
      </c>
      <c r="O257" s="635"/>
      <c r="P257" s="635"/>
      <c r="Q257" s="636"/>
      <c r="R257" s="636"/>
      <c r="S257" s="644" t="str">
        <f t="shared" si="6"/>
        <v>NA</v>
      </c>
    </row>
    <row r="258" spans="1:19">
      <c r="A258" s="599" t="s">
        <v>557</v>
      </c>
      <c r="B258" s="600" t="s">
        <v>558</v>
      </c>
      <c r="C258" s="601">
        <v>349582</v>
      </c>
      <c r="D258" s="602"/>
      <c r="E258" s="602"/>
      <c r="F258" s="603" t="s">
        <v>781</v>
      </c>
      <c r="G258" s="603"/>
      <c r="H258" s="598" t="str">
        <f t="shared" si="5"/>
        <v>Yes</v>
      </c>
      <c r="L258" s="632" t="s">
        <v>268</v>
      </c>
      <c r="M258" s="633" t="s">
        <v>269</v>
      </c>
      <c r="N258" s="634">
        <v>3827</v>
      </c>
      <c r="O258" s="635"/>
      <c r="P258" s="635"/>
      <c r="Q258" s="638" t="s">
        <v>782</v>
      </c>
      <c r="R258" s="636"/>
      <c r="S258" s="644" t="str">
        <f t="shared" si="6"/>
        <v>N</v>
      </c>
    </row>
    <row r="259" spans="1:19">
      <c r="A259" s="599" t="s">
        <v>345</v>
      </c>
      <c r="B259" s="600" t="s">
        <v>346</v>
      </c>
      <c r="C259" s="601">
        <v>403659</v>
      </c>
      <c r="D259" s="602"/>
      <c r="E259" s="602"/>
      <c r="F259" s="603" t="s">
        <v>781</v>
      </c>
      <c r="G259" s="603"/>
      <c r="H259" s="598" t="str">
        <f t="shared" si="5"/>
        <v>Yes</v>
      </c>
      <c r="L259" s="632" t="s">
        <v>321</v>
      </c>
      <c r="M259" s="633" t="s">
        <v>322</v>
      </c>
      <c r="N259" s="634">
        <v>29550</v>
      </c>
      <c r="O259" s="635"/>
      <c r="P259" s="635"/>
      <c r="Q259" s="636" t="s">
        <v>781</v>
      </c>
      <c r="R259" s="636"/>
      <c r="S259" s="644" t="str">
        <f t="shared" si="6"/>
        <v>Y</v>
      </c>
    </row>
    <row r="260" spans="1:19">
      <c r="A260" s="599" t="s">
        <v>143</v>
      </c>
      <c r="B260" s="600" t="s">
        <v>144</v>
      </c>
      <c r="C260" s="601">
        <v>0</v>
      </c>
      <c r="D260" s="602"/>
      <c r="E260" s="602"/>
      <c r="F260" s="603"/>
      <c r="G260" s="603"/>
      <c r="H260" s="598" t="str">
        <f t="shared" si="5"/>
        <v>NA</v>
      </c>
      <c r="L260" s="632" t="s">
        <v>559</v>
      </c>
      <c r="M260" s="633" t="s">
        <v>560</v>
      </c>
      <c r="N260" s="634">
        <v>240831</v>
      </c>
      <c r="O260" s="635">
        <v>193</v>
      </c>
      <c r="P260" s="635"/>
      <c r="Q260" s="636" t="s">
        <v>781</v>
      </c>
      <c r="R260" s="636"/>
      <c r="S260" s="644" t="str">
        <f t="shared" si="6"/>
        <v>Y</v>
      </c>
    </row>
    <row r="261" spans="1:19">
      <c r="A261" s="599" t="s">
        <v>197</v>
      </c>
      <c r="B261" s="600" t="s">
        <v>198</v>
      </c>
      <c r="C261" s="601">
        <v>18537</v>
      </c>
      <c r="D261" s="602"/>
      <c r="E261" s="602">
        <v>16</v>
      </c>
      <c r="F261" s="603" t="s">
        <v>781</v>
      </c>
      <c r="G261" s="603"/>
      <c r="H261" s="598" t="str">
        <f t="shared" si="5"/>
        <v>Yes</v>
      </c>
      <c r="L261" s="632" t="s">
        <v>496</v>
      </c>
      <c r="M261" s="633" t="s">
        <v>497</v>
      </c>
      <c r="N261" s="634">
        <v>5571</v>
      </c>
      <c r="O261" s="635">
        <v>1</v>
      </c>
      <c r="P261" s="635"/>
      <c r="Q261" s="636" t="s">
        <v>781</v>
      </c>
      <c r="R261" s="636" t="s">
        <v>1292</v>
      </c>
      <c r="S261" s="644" t="str">
        <f t="shared" si="6"/>
        <v>C</v>
      </c>
    </row>
    <row r="262" spans="1:19">
      <c r="A262" s="599" t="s">
        <v>521</v>
      </c>
      <c r="B262" s="600" t="s">
        <v>522</v>
      </c>
      <c r="C262" s="601">
        <v>0</v>
      </c>
      <c r="D262" s="602"/>
      <c r="E262" s="602"/>
      <c r="F262" s="603"/>
      <c r="G262" s="603"/>
      <c r="H262" s="598" t="str">
        <f t="shared" si="5"/>
        <v>NA</v>
      </c>
      <c r="L262" s="632" t="s">
        <v>72</v>
      </c>
      <c r="M262" s="633" t="s">
        <v>73</v>
      </c>
      <c r="N262" s="634">
        <v>0</v>
      </c>
      <c r="O262" s="635"/>
      <c r="P262" s="635"/>
      <c r="Q262" s="636"/>
      <c r="R262" s="636"/>
      <c r="S262" s="644" t="str">
        <f t="shared" si="6"/>
        <v>NA</v>
      </c>
    </row>
    <row r="263" spans="1:19">
      <c r="A263" s="599" t="s">
        <v>224</v>
      </c>
      <c r="B263" s="600" t="s">
        <v>225</v>
      </c>
      <c r="C263" s="601">
        <v>0</v>
      </c>
      <c r="D263" s="602"/>
      <c r="E263" s="602"/>
      <c r="F263" s="603"/>
      <c r="G263" s="603"/>
      <c r="H263" s="598" t="str">
        <f t="shared" si="5"/>
        <v>NA</v>
      </c>
      <c r="L263" s="632" t="s">
        <v>238</v>
      </c>
      <c r="M263" s="633" t="s">
        <v>239</v>
      </c>
      <c r="N263" s="634">
        <v>0</v>
      </c>
      <c r="O263" s="635"/>
      <c r="P263" s="635"/>
      <c r="Q263" s="636"/>
      <c r="R263" s="636"/>
      <c r="S263" s="644" t="str">
        <f t="shared" si="6"/>
        <v>NA</v>
      </c>
    </row>
    <row r="264" spans="1:19">
      <c r="A264" s="599" t="s">
        <v>268</v>
      </c>
      <c r="B264" s="600" t="s">
        <v>269</v>
      </c>
      <c r="C264" s="601">
        <v>3827</v>
      </c>
      <c r="D264" s="602"/>
      <c r="E264" s="602"/>
      <c r="F264" s="615" t="s">
        <v>782</v>
      </c>
      <c r="G264" s="603"/>
      <c r="H264" s="598" t="str">
        <f t="shared" si="5"/>
        <v>No</v>
      </c>
      <c r="L264" s="632" t="s">
        <v>191</v>
      </c>
      <c r="M264" s="633" t="s">
        <v>192</v>
      </c>
      <c r="N264" s="634">
        <v>186286</v>
      </c>
      <c r="O264" s="635"/>
      <c r="P264" s="635"/>
      <c r="Q264" s="636" t="s">
        <v>781</v>
      </c>
      <c r="R264" s="636"/>
      <c r="S264" s="644" t="str">
        <f t="shared" si="6"/>
        <v>Y</v>
      </c>
    </row>
    <row r="265" spans="1:19">
      <c r="A265" s="599" t="s">
        <v>321</v>
      </c>
      <c r="B265" s="600" t="s">
        <v>322</v>
      </c>
      <c r="C265" s="601">
        <v>29550</v>
      </c>
      <c r="D265" s="602"/>
      <c r="E265" s="602"/>
      <c r="F265" s="603" t="s">
        <v>781</v>
      </c>
      <c r="G265" s="603"/>
      <c r="H265" s="598" t="str">
        <f t="shared" si="5"/>
        <v>Yes</v>
      </c>
      <c r="L265" s="632" t="s">
        <v>476</v>
      </c>
      <c r="M265" s="633" t="s">
        <v>477</v>
      </c>
      <c r="N265" s="634">
        <v>17184</v>
      </c>
      <c r="O265" s="635"/>
      <c r="P265" s="635"/>
      <c r="Q265" s="636" t="s">
        <v>781</v>
      </c>
      <c r="R265" s="636"/>
      <c r="S265" s="644" t="str">
        <f t="shared" si="6"/>
        <v>Y</v>
      </c>
    </row>
    <row r="266" spans="1:19">
      <c r="A266" s="599" t="s">
        <v>559</v>
      </c>
      <c r="B266" s="600" t="s">
        <v>560</v>
      </c>
      <c r="C266" s="601">
        <v>240831</v>
      </c>
      <c r="D266" s="602">
        <v>193</v>
      </c>
      <c r="E266" s="602"/>
      <c r="F266" s="603" t="s">
        <v>781</v>
      </c>
      <c r="G266" s="603"/>
      <c r="H266" s="598" t="str">
        <f t="shared" si="5"/>
        <v>Yes</v>
      </c>
      <c r="L266" s="632" t="s">
        <v>543</v>
      </c>
      <c r="M266" s="633" t="s">
        <v>544</v>
      </c>
      <c r="N266" s="634">
        <v>30644</v>
      </c>
      <c r="O266" s="635"/>
      <c r="P266" s="635"/>
      <c r="Q266" s="636" t="s">
        <v>781</v>
      </c>
      <c r="R266" s="636"/>
      <c r="S266" s="644" t="str">
        <f t="shared" si="6"/>
        <v>Y</v>
      </c>
    </row>
    <row r="267" spans="1:19">
      <c r="A267" s="599" t="s">
        <v>72</v>
      </c>
      <c r="B267" s="600" t="s">
        <v>73</v>
      </c>
      <c r="C267" s="601">
        <v>0</v>
      </c>
      <c r="D267" s="602"/>
      <c r="E267" s="602"/>
      <c r="F267" s="603"/>
      <c r="G267" s="603"/>
      <c r="H267" s="598" t="str">
        <f t="shared" si="5"/>
        <v>NA</v>
      </c>
      <c r="L267" s="640" t="s">
        <v>349</v>
      </c>
      <c r="M267" s="641" t="s">
        <v>350</v>
      </c>
      <c r="N267" s="634">
        <v>26009</v>
      </c>
      <c r="O267" s="635"/>
      <c r="P267" s="635"/>
      <c r="Q267" s="636" t="s">
        <v>781</v>
      </c>
      <c r="R267" s="636"/>
      <c r="S267" s="644" t="str">
        <f t="shared" si="6"/>
        <v>Y</v>
      </c>
    </row>
    <row r="268" spans="1:19">
      <c r="A268" s="599" t="s">
        <v>238</v>
      </c>
      <c r="B268" s="600" t="s">
        <v>239</v>
      </c>
      <c r="C268" s="601">
        <v>0</v>
      </c>
      <c r="D268" s="602"/>
      <c r="E268" s="602"/>
      <c r="F268" s="603"/>
      <c r="G268" s="603"/>
      <c r="H268" s="598" t="str">
        <f t="shared" si="5"/>
        <v>NA</v>
      </c>
      <c r="L268" s="632" t="s">
        <v>454</v>
      </c>
      <c r="M268" s="633" t="s">
        <v>455</v>
      </c>
      <c r="N268" s="634">
        <v>0</v>
      </c>
      <c r="O268" s="635"/>
      <c r="P268" s="635"/>
      <c r="Q268" s="636"/>
      <c r="R268" s="636"/>
      <c r="S268" s="644" t="str">
        <f t="shared" si="6"/>
        <v>NA</v>
      </c>
    </row>
    <row r="269" spans="1:19">
      <c r="A269" s="599" t="s">
        <v>191</v>
      </c>
      <c r="B269" s="600" t="s">
        <v>192</v>
      </c>
      <c r="C269" s="601">
        <v>186286</v>
      </c>
      <c r="D269" s="602"/>
      <c r="E269" s="602"/>
      <c r="F269" s="603" t="s">
        <v>781</v>
      </c>
      <c r="G269" s="603"/>
      <c r="H269" s="598" t="str">
        <f t="shared" si="5"/>
        <v>Yes</v>
      </c>
      <c r="L269" s="632" t="s">
        <v>49</v>
      </c>
      <c r="M269" s="633" t="s">
        <v>50</v>
      </c>
      <c r="N269" s="634">
        <v>415453</v>
      </c>
      <c r="O269" s="635">
        <v>71</v>
      </c>
      <c r="P269" s="635"/>
      <c r="Q269" s="636" t="s">
        <v>781</v>
      </c>
      <c r="R269" s="636"/>
      <c r="S269" s="644" t="str">
        <f t="shared" si="6"/>
        <v>Y</v>
      </c>
    </row>
    <row r="270" spans="1:19">
      <c r="A270" s="599" t="s">
        <v>476</v>
      </c>
      <c r="B270" s="600" t="s">
        <v>477</v>
      </c>
      <c r="C270" s="601">
        <v>17184</v>
      </c>
      <c r="D270" s="602"/>
      <c r="E270" s="602"/>
      <c r="F270" s="603" t="s">
        <v>781</v>
      </c>
      <c r="G270" s="603"/>
      <c r="H270" s="598" t="str">
        <f t="shared" si="5"/>
        <v>Yes</v>
      </c>
      <c r="L270" s="640" t="s">
        <v>183</v>
      </c>
      <c r="M270" s="641" t="s">
        <v>184</v>
      </c>
      <c r="N270" s="634">
        <v>5156</v>
      </c>
      <c r="O270" s="635"/>
      <c r="P270" s="635"/>
      <c r="Q270" s="636" t="s">
        <v>781</v>
      </c>
      <c r="R270" s="636" t="s">
        <v>1297</v>
      </c>
      <c r="S270" s="644" t="str">
        <f t="shared" si="6"/>
        <v>C</v>
      </c>
    </row>
    <row r="271" spans="1:19">
      <c r="A271" s="599" t="s">
        <v>543</v>
      </c>
      <c r="B271" s="600" t="s">
        <v>544</v>
      </c>
      <c r="C271" s="601">
        <v>30644</v>
      </c>
      <c r="D271" s="602"/>
      <c r="E271" s="602"/>
      <c r="F271" s="603" t="s">
        <v>781</v>
      </c>
      <c r="G271" s="603"/>
      <c r="H271" s="598" t="str">
        <f t="shared" si="5"/>
        <v>Yes</v>
      </c>
      <c r="L271" s="632" t="s">
        <v>488</v>
      </c>
      <c r="M271" s="633" t="s">
        <v>489</v>
      </c>
      <c r="N271" s="634">
        <v>2734</v>
      </c>
      <c r="O271" s="635"/>
      <c r="P271" s="635"/>
      <c r="Q271" s="636" t="s">
        <v>781</v>
      </c>
      <c r="R271" s="636" t="s">
        <v>1294</v>
      </c>
      <c r="S271" s="644" t="str">
        <f t="shared" si="6"/>
        <v>C</v>
      </c>
    </row>
    <row r="272" spans="1:19">
      <c r="A272" s="613" t="s">
        <v>349</v>
      </c>
      <c r="B272" s="614" t="s">
        <v>350</v>
      </c>
      <c r="C272" s="601">
        <v>26009</v>
      </c>
      <c r="D272" s="602"/>
      <c r="E272" s="602"/>
      <c r="F272" s="603" t="s">
        <v>781</v>
      </c>
      <c r="G272" s="603"/>
      <c r="H272" s="598" t="str">
        <f t="shared" si="5"/>
        <v>Yes</v>
      </c>
      <c r="L272" s="632" t="s">
        <v>114</v>
      </c>
      <c r="M272" s="633" t="s">
        <v>115</v>
      </c>
      <c r="N272" s="634">
        <v>214015</v>
      </c>
      <c r="O272" s="635"/>
      <c r="P272" s="635"/>
      <c r="Q272" s="636" t="s">
        <v>781</v>
      </c>
      <c r="R272" s="636"/>
      <c r="S272" s="644" t="str">
        <f t="shared" si="6"/>
        <v>Y</v>
      </c>
    </row>
    <row r="273" spans="1:19">
      <c r="A273" s="599" t="s">
        <v>454</v>
      </c>
      <c r="B273" s="600" t="s">
        <v>455</v>
      </c>
      <c r="C273" s="601">
        <v>0</v>
      </c>
      <c r="D273" s="602"/>
      <c r="E273" s="602"/>
      <c r="F273" s="603"/>
      <c r="G273" s="603"/>
      <c r="H273" s="598" t="str">
        <f t="shared" si="5"/>
        <v>NA</v>
      </c>
      <c r="L273" s="632" t="s">
        <v>500</v>
      </c>
      <c r="M273" s="633" t="s">
        <v>501</v>
      </c>
      <c r="N273" s="634">
        <v>0</v>
      </c>
      <c r="O273" s="635"/>
      <c r="P273" s="635"/>
      <c r="Q273" s="636"/>
      <c r="R273" s="636"/>
      <c r="S273" s="644" t="str">
        <f t="shared" si="6"/>
        <v>NA</v>
      </c>
    </row>
    <row r="274" spans="1:19">
      <c r="A274" s="599" t="s">
        <v>49</v>
      </c>
      <c r="B274" s="600" t="s">
        <v>50</v>
      </c>
      <c r="C274" s="601">
        <v>415453</v>
      </c>
      <c r="D274" s="602">
        <v>71</v>
      </c>
      <c r="E274" s="602"/>
      <c r="F274" s="603" t="s">
        <v>781</v>
      </c>
      <c r="G274" s="603"/>
      <c r="H274" s="598" t="str">
        <f t="shared" si="5"/>
        <v>Yes</v>
      </c>
      <c r="L274" s="632" t="s">
        <v>492</v>
      </c>
      <c r="M274" s="633" t="s">
        <v>493</v>
      </c>
      <c r="N274" s="634">
        <v>137781</v>
      </c>
      <c r="O274" s="635"/>
      <c r="P274" s="635"/>
      <c r="Q274" s="636" t="s">
        <v>781</v>
      </c>
      <c r="R274" s="636"/>
      <c r="S274" s="644" t="str">
        <f t="shared" si="6"/>
        <v>Y</v>
      </c>
    </row>
    <row r="275" spans="1:19">
      <c r="A275" s="613" t="s">
        <v>183</v>
      </c>
      <c r="B275" s="614" t="s">
        <v>184</v>
      </c>
      <c r="C275" s="601">
        <v>5156</v>
      </c>
      <c r="D275" s="602"/>
      <c r="E275" s="602"/>
      <c r="F275" s="603" t="s">
        <v>781</v>
      </c>
      <c r="G275" s="603"/>
      <c r="H275" s="598" t="str">
        <f t="shared" si="5"/>
        <v>Yes</v>
      </c>
      <c r="L275" s="632" t="s">
        <v>567</v>
      </c>
      <c r="M275" s="633" t="s">
        <v>568</v>
      </c>
      <c r="N275" s="634">
        <v>218075</v>
      </c>
      <c r="O275" s="635">
        <v>265</v>
      </c>
      <c r="P275" s="635"/>
      <c r="Q275" s="636" t="s">
        <v>781</v>
      </c>
      <c r="R275" s="636"/>
      <c r="S275" s="644" t="str">
        <f t="shared" si="6"/>
        <v>Y</v>
      </c>
    </row>
    <row r="276" spans="1:19">
      <c r="A276" s="599" t="s">
        <v>114</v>
      </c>
      <c r="B276" s="600" t="s">
        <v>115</v>
      </c>
      <c r="C276" s="601">
        <v>214015</v>
      </c>
      <c r="D276" s="602"/>
      <c r="E276" s="602"/>
      <c r="F276" s="603" t="s">
        <v>781</v>
      </c>
      <c r="G276" s="603"/>
      <c r="H276" s="598" t="str">
        <f t="shared" si="5"/>
        <v>Yes</v>
      </c>
      <c r="L276" s="632" t="s">
        <v>118</v>
      </c>
      <c r="M276" s="633" t="s">
        <v>119</v>
      </c>
      <c r="N276" s="634">
        <v>60482</v>
      </c>
      <c r="O276" s="635"/>
      <c r="P276" s="635"/>
      <c r="Q276" s="636" t="s">
        <v>781</v>
      </c>
      <c r="R276" s="636"/>
      <c r="S276" s="644" t="str">
        <f t="shared" si="6"/>
        <v>Y</v>
      </c>
    </row>
    <row r="277" spans="1:19">
      <c r="A277" s="599" t="s">
        <v>500</v>
      </c>
      <c r="B277" s="600" t="s">
        <v>501</v>
      </c>
      <c r="C277" s="601">
        <v>0</v>
      </c>
      <c r="D277" s="602"/>
      <c r="E277" s="602"/>
      <c r="F277" s="603"/>
      <c r="G277" s="603"/>
      <c r="H277" s="598" t="str">
        <f t="shared" si="5"/>
        <v>NA</v>
      </c>
      <c r="L277" s="632" t="s">
        <v>56</v>
      </c>
      <c r="M277" s="633" t="s">
        <v>57</v>
      </c>
      <c r="N277" s="634">
        <v>9477</v>
      </c>
      <c r="O277" s="635"/>
      <c r="P277" s="635"/>
      <c r="Q277" s="636" t="s">
        <v>781</v>
      </c>
      <c r="R277" s="636" t="s">
        <v>1298</v>
      </c>
      <c r="S277" s="644" t="str">
        <f t="shared" si="6"/>
        <v>C</v>
      </c>
    </row>
    <row r="278" spans="1:19">
      <c r="A278" s="599" t="s">
        <v>492</v>
      </c>
      <c r="B278" s="600" t="s">
        <v>493</v>
      </c>
      <c r="C278" s="601">
        <v>137781</v>
      </c>
      <c r="D278" s="602"/>
      <c r="E278" s="602"/>
      <c r="F278" s="603" t="s">
        <v>781</v>
      </c>
      <c r="G278" s="603"/>
      <c r="H278" s="598" t="str">
        <f t="shared" si="5"/>
        <v>Yes</v>
      </c>
      <c r="L278" s="632" t="s">
        <v>0</v>
      </c>
      <c r="M278" s="633" t="s">
        <v>1</v>
      </c>
      <c r="N278" s="634">
        <v>0</v>
      </c>
      <c r="O278" s="635"/>
      <c r="P278" s="635"/>
      <c r="Q278" s="636"/>
      <c r="R278" s="636"/>
      <c r="S278" s="644" t="str">
        <f t="shared" si="6"/>
        <v>NA</v>
      </c>
    </row>
    <row r="279" spans="1:19">
      <c r="A279" s="599" t="s">
        <v>567</v>
      </c>
      <c r="B279" s="600" t="s">
        <v>568</v>
      </c>
      <c r="C279" s="601">
        <v>218075</v>
      </c>
      <c r="D279" s="602">
        <v>265</v>
      </c>
      <c r="E279" s="602"/>
      <c r="F279" s="603" t="s">
        <v>781</v>
      </c>
      <c r="G279" s="603"/>
      <c r="H279" s="598" t="str">
        <f t="shared" si="5"/>
        <v>Yes</v>
      </c>
      <c r="L279" s="632" t="s">
        <v>92</v>
      </c>
      <c r="M279" s="633" t="s">
        <v>93</v>
      </c>
      <c r="N279" s="634">
        <v>2030</v>
      </c>
      <c r="O279" s="635"/>
      <c r="P279" s="635"/>
      <c r="Q279" s="636" t="s">
        <v>781</v>
      </c>
      <c r="R279" s="636" t="s">
        <v>1290</v>
      </c>
      <c r="S279" s="644" t="str">
        <f t="shared" si="6"/>
        <v>C</v>
      </c>
    </row>
    <row r="280" spans="1:19">
      <c r="A280" s="599" t="s">
        <v>118</v>
      </c>
      <c r="B280" s="600" t="s">
        <v>119</v>
      </c>
      <c r="C280" s="601">
        <v>60482</v>
      </c>
      <c r="D280" s="602"/>
      <c r="E280" s="602"/>
      <c r="F280" s="603" t="s">
        <v>781</v>
      </c>
      <c r="G280" s="603"/>
      <c r="H280" s="598" t="str">
        <f t="shared" si="5"/>
        <v>Yes</v>
      </c>
      <c r="L280" s="632" t="s">
        <v>452</v>
      </c>
      <c r="M280" s="633" t="s">
        <v>453</v>
      </c>
      <c r="N280" s="634">
        <v>0</v>
      </c>
      <c r="O280" s="635">
        <v>90</v>
      </c>
      <c r="P280" s="635"/>
      <c r="Q280" s="636" t="s">
        <v>781</v>
      </c>
      <c r="R280" s="636"/>
      <c r="S280" s="644" t="str">
        <f t="shared" si="6"/>
        <v>Y</v>
      </c>
    </row>
    <row r="281" spans="1:19">
      <c r="A281" s="599" t="s">
        <v>0</v>
      </c>
      <c r="B281" s="600" t="s">
        <v>1</v>
      </c>
      <c r="C281" s="601">
        <v>0</v>
      </c>
      <c r="D281" s="602"/>
      <c r="E281" s="602"/>
      <c r="F281" s="603"/>
      <c r="G281" s="603"/>
      <c r="H281" s="598" t="str">
        <f t="shared" si="5"/>
        <v>NA</v>
      </c>
      <c r="L281" s="632" t="s">
        <v>37</v>
      </c>
      <c r="M281" s="633" t="s">
        <v>38</v>
      </c>
      <c r="N281" s="634">
        <v>267309</v>
      </c>
      <c r="O281" s="635"/>
      <c r="P281" s="635">
        <v>13</v>
      </c>
      <c r="Q281" s="636" t="s">
        <v>781</v>
      </c>
      <c r="R281" s="636"/>
      <c r="S281" s="644" t="str">
        <f t="shared" si="6"/>
        <v>Y</v>
      </c>
    </row>
    <row r="282" spans="1:19">
      <c r="A282" s="599" t="s">
        <v>452</v>
      </c>
      <c r="B282" s="600" t="s">
        <v>453</v>
      </c>
      <c r="C282" s="601">
        <v>0</v>
      </c>
      <c r="D282" s="602"/>
      <c r="E282" s="602"/>
      <c r="F282" s="603"/>
      <c r="G282" s="603"/>
      <c r="H282" s="598" t="str">
        <f t="shared" si="5"/>
        <v>NA</v>
      </c>
      <c r="L282" s="632" t="s">
        <v>443</v>
      </c>
      <c r="M282" s="633" t="s">
        <v>675</v>
      </c>
      <c r="N282" s="634">
        <v>18954</v>
      </c>
      <c r="O282" s="635"/>
      <c r="P282" s="635"/>
      <c r="Q282" s="636" t="s">
        <v>781</v>
      </c>
      <c r="R282" s="636"/>
      <c r="S282" s="644" t="str">
        <f t="shared" si="6"/>
        <v>Y</v>
      </c>
    </row>
    <row r="283" spans="1:19">
      <c r="A283" s="599" t="s">
        <v>37</v>
      </c>
      <c r="B283" s="600" t="s">
        <v>38</v>
      </c>
      <c r="C283" s="601">
        <v>267309</v>
      </c>
      <c r="D283" s="602"/>
      <c r="E283" s="602">
        <v>13</v>
      </c>
      <c r="F283" s="603" t="s">
        <v>781</v>
      </c>
      <c r="G283" s="603"/>
      <c r="H283" s="598" t="str">
        <f t="shared" si="5"/>
        <v>Yes</v>
      </c>
      <c r="L283" s="632" t="s">
        <v>569</v>
      </c>
      <c r="M283" s="633" t="s">
        <v>570</v>
      </c>
      <c r="N283" s="634">
        <v>40148</v>
      </c>
      <c r="O283" s="635"/>
      <c r="P283" s="635"/>
      <c r="Q283" s="636" t="s">
        <v>781</v>
      </c>
      <c r="R283" s="636"/>
      <c r="S283" s="644" t="str">
        <f t="shared" si="6"/>
        <v>Y</v>
      </c>
    </row>
    <row r="284" spans="1:19">
      <c r="A284" s="618" t="s">
        <v>443</v>
      </c>
      <c r="B284" s="619" t="s">
        <v>675</v>
      </c>
      <c r="C284" s="601">
        <v>18954</v>
      </c>
      <c r="D284" s="602"/>
      <c r="E284" s="602"/>
      <c r="F284" s="603" t="s">
        <v>781</v>
      </c>
      <c r="G284" s="603"/>
      <c r="H284" s="598" t="str">
        <f t="shared" si="5"/>
        <v>Yes</v>
      </c>
      <c r="L284" s="632" t="s">
        <v>276</v>
      </c>
      <c r="M284" s="633" t="s">
        <v>277</v>
      </c>
      <c r="N284" s="634">
        <v>0</v>
      </c>
      <c r="O284" s="635"/>
      <c r="P284" s="635"/>
      <c r="Q284" s="636"/>
      <c r="R284" s="636"/>
      <c r="S284" s="644" t="str">
        <f t="shared" si="6"/>
        <v>NA</v>
      </c>
    </row>
    <row r="285" spans="1:19">
      <c r="A285" s="599" t="s">
        <v>276</v>
      </c>
      <c r="B285" s="600" t="s">
        <v>277</v>
      </c>
      <c r="C285" s="601">
        <v>0</v>
      </c>
      <c r="D285" s="602"/>
      <c r="E285" s="602"/>
      <c r="F285" s="603"/>
      <c r="G285" s="603"/>
      <c r="H285" s="598" t="str">
        <f t="shared" ref="H285:H296" si="7">IF(ISBLANK(F285),"NA",F285)</f>
        <v>NA</v>
      </c>
      <c r="L285" s="632" t="s">
        <v>367</v>
      </c>
      <c r="M285" s="633" t="s">
        <v>368</v>
      </c>
      <c r="N285" s="634">
        <v>9738</v>
      </c>
      <c r="O285" s="635"/>
      <c r="P285" s="635"/>
      <c r="Q285" s="636" t="s">
        <v>782</v>
      </c>
      <c r="R285" s="631"/>
      <c r="S285" s="644" t="str">
        <f t="shared" si="6"/>
        <v>N</v>
      </c>
    </row>
    <row r="286" spans="1:19">
      <c r="A286" s="599" t="s">
        <v>248</v>
      </c>
      <c r="B286" s="600" t="s">
        <v>249</v>
      </c>
      <c r="C286" s="601">
        <v>35460</v>
      </c>
      <c r="D286" s="602">
        <v>3</v>
      </c>
      <c r="E286" s="602"/>
      <c r="F286" s="603" t="s">
        <v>781</v>
      </c>
      <c r="G286" s="603"/>
      <c r="H286" s="598" t="str">
        <f t="shared" si="7"/>
        <v>Yes</v>
      </c>
      <c r="L286" s="632" t="s">
        <v>248</v>
      </c>
      <c r="M286" s="633" t="s">
        <v>249</v>
      </c>
      <c r="N286" s="634">
        <v>35460</v>
      </c>
      <c r="O286" s="635">
        <v>3</v>
      </c>
      <c r="P286" s="635"/>
      <c r="Q286" s="636" t="s">
        <v>781</v>
      </c>
      <c r="R286" s="636"/>
      <c r="S286" s="644" t="str">
        <f t="shared" si="6"/>
        <v>Y</v>
      </c>
    </row>
    <row r="287" spans="1:19">
      <c r="A287" s="599" t="s">
        <v>289</v>
      </c>
      <c r="B287" s="600" t="s">
        <v>290</v>
      </c>
      <c r="C287" s="601">
        <v>0</v>
      </c>
      <c r="D287" s="602"/>
      <c r="E287" s="602"/>
      <c r="F287" s="603"/>
      <c r="G287" s="603"/>
      <c r="H287" s="598" t="str">
        <f t="shared" si="7"/>
        <v>NA</v>
      </c>
      <c r="L287" s="632" t="s">
        <v>289</v>
      </c>
      <c r="M287" s="633" t="s">
        <v>290</v>
      </c>
      <c r="N287" s="634">
        <v>0</v>
      </c>
      <c r="O287" s="635"/>
      <c r="P287" s="635"/>
      <c r="Q287" s="636"/>
      <c r="R287" s="636"/>
      <c r="S287" s="644" t="str">
        <f t="shared" si="6"/>
        <v>NA</v>
      </c>
    </row>
    <row r="288" spans="1:19">
      <c r="A288" s="599" t="s">
        <v>332</v>
      </c>
      <c r="B288" s="600" t="s">
        <v>333</v>
      </c>
      <c r="C288" s="601">
        <v>1197</v>
      </c>
      <c r="D288" s="602"/>
      <c r="E288" s="602"/>
      <c r="F288" s="603"/>
      <c r="G288" s="603"/>
      <c r="H288" s="598" t="str">
        <f t="shared" si="7"/>
        <v>NA</v>
      </c>
      <c r="L288" s="632" t="s">
        <v>332</v>
      </c>
      <c r="M288" s="633" t="s">
        <v>333</v>
      </c>
      <c r="N288" s="634">
        <v>1197</v>
      </c>
      <c r="O288" s="635"/>
      <c r="P288" s="635"/>
      <c r="Q288" s="638" t="s">
        <v>782</v>
      </c>
      <c r="R288" s="636"/>
      <c r="S288" s="644" t="str">
        <f t="shared" si="6"/>
        <v>N</v>
      </c>
    </row>
    <row r="289" spans="1:19">
      <c r="A289" s="599" t="s">
        <v>129</v>
      </c>
      <c r="B289" s="600" t="s">
        <v>130</v>
      </c>
      <c r="C289" s="601">
        <v>0</v>
      </c>
      <c r="D289" s="602"/>
      <c r="E289" s="602"/>
      <c r="F289" s="603"/>
      <c r="G289" s="603"/>
      <c r="H289" s="598" t="str">
        <f t="shared" si="7"/>
        <v>NA</v>
      </c>
      <c r="L289" s="632" t="s">
        <v>129</v>
      </c>
      <c r="M289" s="633" t="s">
        <v>130</v>
      </c>
      <c r="N289" s="634">
        <v>0</v>
      </c>
      <c r="O289" s="635"/>
      <c r="P289" s="635"/>
      <c r="Q289" s="636"/>
      <c r="R289" s="636"/>
      <c r="S289" s="644" t="str">
        <f t="shared" si="6"/>
        <v>NA</v>
      </c>
    </row>
    <row r="290" spans="1:19">
      <c r="A290" s="599" t="s">
        <v>264</v>
      </c>
      <c r="B290" s="600" t="s">
        <v>265</v>
      </c>
      <c r="C290" s="601">
        <v>13175</v>
      </c>
      <c r="D290" s="602">
        <v>5</v>
      </c>
      <c r="E290" s="602"/>
      <c r="F290" s="603" t="s">
        <v>781</v>
      </c>
      <c r="G290" s="603"/>
      <c r="H290" s="598" t="str">
        <f t="shared" si="7"/>
        <v>Yes</v>
      </c>
      <c r="L290" s="632" t="s">
        <v>264</v>
      </c>
      <c r="M290" s="633" t="s">
        <v>265</v>
      </c>
      <c r="N290" s="634">
        <v>13175</v>
      </c>
      <c r="O290" s="635">
        <v>5</v>
      </c>
      <c r="P290" s="635"/>
      <c r="Q290" s="636" t="s">
        <v>781</v>
      </c>
      <c r="R290" s="636"/>
      <c r="S290" s="644" t="str">
        <f t="shared" si="6"/>
        <v>Y</v>
      </c>
    </row>
    <row r="291" spans="1:19">
      <c r="A291" s="599" t="s">
        <v>151</v>
      </c>
      <c r="B291" s="600" t="s">
        <v>152</v>
      </c>
      <c r="C291" s="601">
        <v>0</v>
      </c>
      <c r="D291" s="602"/>
      <c r="E291" s="602"/>
      <c r="F291" s="603"/>
      <c r="G291" s="603"/>
      <c r="H291" s="598" t="str">
        <f t="shared" si="7"/>
        <v>NA</v>
      </c>
      <c r="L291" s="632" t="s">
        <v>151</v>
      </c>
      <c r="M291" s="633" t="s">
        <v>152</v>
      </c>
      <c r="N291" s="634">
        <v>0</v>
      </c>
      <c r="O291" s="635"/>
      <c r="P291" s="635"/>
      <c r="Q291" s="636"/>
      <c r="R291" s="636"/>
      <c r="S291" s="644" t="str">
        <f t="shared" si="6"/>
        <v>NA</v>
      </c>
    </row>
    <row r="292" spans="1:19">
      <c r="A292" s="599" t="s">
        <v>232</v>
      </c>
      <c r="B292" s="600" t="s">
        <v>233</v>
      </c>
      <c r="C292" s="601">
        <v>0</v>
      </c>
      <c r="D292" s="602"/>
      <c r="E292" s="602"/>
      <c r="F292" s="603"/>
      <c r="G292" s="603"/>
      <c r="H292" s="598" t="str">
        <f t="shared" si="7"/>
        <v>NA</v>
      </c>
      <c r="L292" s="632" t="s">
        <v>232</v>
      </c>
      <c r="M292" s="633" t="s">
        <v>233</v>
      </c>
      <c r="N292" s="634">
        <v>0</v>
      </c>
      <c r="O292" s="635"/>
      <c r="P292" s="635"/>
      <c r="Q292" s="636"/>
      <c r="R292" s="636"/>
      <c r="S292" s="644" t="str">
        <f t="shared" si="6"/>
        <v>NA</v>
      </c>
    </row>
    <row r="293" spans="1:19">
      <c r="A293" s="599" t="s">
        <v>78</v>
      </c>
      <c r="B293" s="600" t="s">
        <v>79</v>
      </c>
      <c r="C293" s="601">
        <v>20465</v>
      </c>
      <c r="D293" s="602"/>
      <c r="E293" s="602"/>
      <c r="F293" s="603" t="s">
        <v>781</v>
      </c>
      <c r="G293" s="603"/>
      <c r="H293" s="598" t="str">
        <f t="shared" si="7"/>
        <v>Yes</v>
      </c>
      <c r="L293" s="632" t="s">
        <v>78</v>
      </c>
      <c r="M293" s="633" t="s">
        <v>79</v>
      </c>
      <c r="N293" s="634">
        <v>20465</v>
      </c>
      <c r="O293" s="635"/>
      <c r="P293" s="635"/>
      <c r="Q293" s="636" t="s">
        <v>781</v>
      </c>
      <c r="R293" s="636"/>
      <c r="S293" s="644" t="str">
        <f t="shared" si="6"/>
        <v>Y</v>
      </c>
    </row>
    <row r="294" spans="1:19">
      <c r="A294" s="599" t="s">
        <v>547</v>
      </c>
      <c r="B294" s="600" t="s">
        <v>548</v>
      </c>
      <c r="C294" s="601">
        <v>741160</v>
      </c>
      <c r="D294" s="602">
        <v>7</v>
      </c>
      <c r="E294" s="602"/>
      <c r="F294" s="603" t="s">
        <v>781</v>
      </c>
      <c r="G294" s="603"/>
      <c r="H294" s="598" t="str">
        <f t="shared" si="7"/>
        <v>Yes</v>
      </c>
      <c r="L294" s="632" t="s">
        <v>547</v>
      </c>
      <c r="M294" s="633" t="s">
        <v>548</v>
      </c>
      <c r="N294" s="634">
        <v>741160</v>
      </c>
      <c r="O294" s="635">
        <v>7</v>
      </c>
      <c r="P294" s="635"/>
      <c r="Q294" s="636" t="s">
        <v>781</v>
      </c>
      <c r="R294" s="636"/>
      <c r="S294" s="644" t="str">
        <f t="shared" si="6"/>
        <v>Y</v>
      </c>
    </row>
    <row r="295" spans="1:19">
      <c r="A295" s="599" t="s">
        <v>472</v>
      </c>
      <c r="B295" s="600" t="s">
        <v>473</v>
      </c>
      <c r="C295" s="601">
        <v>14268</v>
      </c>
      <c r="D295" s="602"/>
      <c r="E295" s="602"/>
      <c r="F295" s="603" t="s">
        <v>781</v>
      </c>
      <c r="G295" s="603"/>
      <c r="H295" s="598" t="str">
        <f t="shared" si="7"/>
        <v>Yes</v>
      </c>
      <c r="L295" s="632" t="s">
        <v>472</v>
      </c>
      <c r="M295" s="633" t="s">
        <v>473</v>
      </c>
      <c r="N295" s="634">
        <v>14268</v>
      </c>
      <c r="O295" s="635"/>
      <c r="P295" s="635"/>
      <c r="Q295" s="636" t="s">
        <v>782</v>
      </c>
      <c r="R295" s="636"/>
      <c r="S295" s="644" t="str">
        <f t="shared" si="6"/>
        <v>N</v>
      </c>
    </row>
    <row r="296" spans="1:19">
      <c r="A296" s="599" t="s">
        <v>565</v>
      </c>
      <c r="B296" s="600" t="s">
        <v>566</v>
      </c>
      <c r="C296" s="601">
        <v>22182</v>
      </c>
      <c r="D296" s="602"/>
      <c r="E296" s="602"/>
      <c r="F296" s="603" t="s">
        <v>781</v>
      </c>
      <c r="G296" s="603"/>
      <c r="H296" s="598" t="str">
        <f t="shared" si="7"/>
        <v>Yes</v>
      </c>
      <c r="L296" s="632" t="s">
        <v>565</v>
      </c>
      <c r="M296" s="633" t="s">
        <v>566</v>
      </c>
      <c r="N296" s="634">
        <v>22182</v>
      </c>
      <c r="O296" s="635"/>
      <c r="P296" s="635"/>
      <c r="Q296" s="636" t="s">
        <v>781</v>
      </c>
      <c r="R296" s="636"/>
      <c r="S296" s="644" t="str">
        <f t="shared" si="6"/>
        <v>Y</v>
      </c>
    </row>
    <row r="297" spans="1:19">
      <c r="B297" s="603"/>
      <c r="C297" s="603"/>
      <c r="D297" s="602">
        <f>SUM(D2:D296)</f>
        <v>941</v>
      </c>
      <c r="E297" s="602">
        <f>SUM(E2:E296)</f>
        <v>112</v>
      </c>
      <c r="F297" s="603"/>
      <c r="G297" s="603"/>
      <c r="S297" s="644"/>
    </row>
  </sheetData>
  <mergeCells count="1">
    <mergeCell ref="J1:K1"/>
  </mergeCells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">
    <tabColor rgb="FF00B0F0"/>
  </sheetPr>
  <dimension ref="A1:P300"/>
  <sheetViews>
    <sheetView workbookViewId="0">
      <selection activeCell="O94" sqref="O94"/>
    </sheetView>
  </sheetViews>
  <sheetFormatPr defaultColWidth="21.42578125" defaultRowHeight="12.75"/>
  <cols>
    <col min="1" max="1" width="8.42578125" style="158" customWidth="1"/>
    <col min="2" max="2" width="11.85546875" style="158" customWidth="1"/>
    <col min="3" max="3" width="23.42578125" style="158" bestFit="1" customWidth="1"/>
    <col min="4" max="4" width="15" style="158" customWidth="1"/>
    <col min="5" max="5" width="7.42578125" style="158" customWidth="1"/>
    <col min="6" max="6" width="12.5703125" style="158" customWidth="1"/>
    <col min="7" max="7" width="8.5703125" style="240" customWidth="1"/>
    <col min="8" max="8" width="12.5703125" style="158" customWidth="1"/>
    <col min="9" max="9" width="11.5703125" style="158" customWidth="1"/>
    <col min="10" max="10" width="13.42578125" style="158" customWidth="1"/>
    <col min="11" max="11" width="12" style="158" customWidth="1"/>
    <col min="12" max="12" width="6.5703125" style="158" bestFit="1" customWidth="1"/>
    <col min="13" max="13" width="13.42578125" style="158" bestFit="1" customWidth="1"/>
    <col min="14" max="14" width="2.42578125" style="158" bestFit="1" customWidth="1"/>
    <col min="15" max="16384" width="21.42578125" style="158"/>
  </cols>
  <sheetData>
    <row r="1" spans="1:16" s="225" customFormat="1" ht="21">
      <c r="B1" s="239">
        <v>1</v>
      </c>
      <c r="C1" s="239">
        <v>2</v>
      </c>
      <c r="D1" s="239">
        <v>3</v>
      </c>
      <c r="E1" s="239">
        <v>4</v>
      </c>
      <c r="F1" s="239">
        <v>5</v>
      </c>
      <c r="G1" s="239">
        <v>6</v>
      </c>
      <c r="H1" s="898" t="s">
        <v>776</v>
      </c>
      <c r="I1" s="897" t="s">
        <v>777</v>
      </c>
      <c r="J1" s="897" t="s">
        <v>778</v>
      </c>
      <c r="K1" s="897" t="s">
        <v>779</v>
      </c>
      <c r="L1" s="899" t="s">
        <v>1275</v>
      </c>
      <c r="M1" s="899"/>
      <c r="N1" s="899"/>
      <c r="O1" s="899"/>
      <c r="P1" s="899"/>
    </row>
    <row r="2" spans="1:16" ht="25.5" customHeight="1">
      <c r="D2" s="269" t="s">
        <v>872</v>
      </c>
      <c r="H2" s="898"/>
      <c r="I2" s="897"/>
      <c r="J2" s="897"/>
      <c r="K2" s="897"/>
      <c r="L2" s="899"/>
      <c r="M2" s="899"/>
      <c r="N2" s="899"/>
      <c r="O2" s="899"/>
      <c r="P2" s="899"/>
    </row>
    <row r="3" spans="1:16" s="226" customFormat="1" ht="31.5">
      <c r="A3" s="226" t="s">
        <v>591</v>
      </c>
      <c r="B3" s="226" t="s">
        <v>592</v>
      </c>
      <c r="C3" s="227" t="s">
        <v>593</v>
      </c>
      <c r="D3" s="228"/>
      <c r="E3" s="227" t="s">
        <v>755</v>
      </c>
      <c r="F3" s="227" t="s">
        <v>756</v>
      </c>
      <c r="G3" s="241"/>
      <c r="H3" s="226">
        <f>SUM(H4:H298)</f>
        <v>31</v>
      </c>
      <c r="J3" s="383" t="s">
        <v>808</v>
      </c>
    </row>
    <row r="4" spans="1:16">
      <c r="A4" s="158" t="s">
        <v>594</v>
      </c>
      <c r="B4" s="402" t="s">
        <v>132</v>
      </c>
      <c r="C4" s="400" t="s">
        <v>133</v>
      </c>
      <c r="D4" s="229">
        <f>VLOOKUP(B4,'Allocation 2011-12'!$B$9:$O$318,9,FALSE)</f>
        <v>43817</v>
      </c>
      <c r="E4" s="382" t="str">
        <f>IF(VLOOKUP(B4,'Participation info Aug 11'!$B$2:$H$296,7,FALSE)="No","No","Yes")</f>
        <v>Yes</v>
      </c>
      <c r="F4" s="229" t="str">
        <f>VLOOKUP(B4,'Participation info Aug 11'!$B$2:$I$296,8,FALSE)</f>
        <v>N</v>
      </c>
      <c r="G4" s="158" t="str">
        <f>IF(AND($E4="yes",$D4&gt;0),IF(AND($D4&lt;10000,$F4="N"),"NC","Y"),IF(D4=0,"N/A","N"))</f>
        <v>Y</v>
      </c>
      <c r="H4" s="158" t="str">
        <f t="shared" ref="H4:H39" si="0">IF(AND(D4&gt;0,D4&lt;10000,F4="N"),1,"")</f>
        <v/>
      </c>
      <c r="I4" s="158">
        <f>VLOOKUP($B4,Enrollment_old!$B$8:$H$302,3,FALSE)</f>
        <v>320.86</v>
      </c>
      <c r="J4" s="158">
        <f>VLOOKUP($B4,Enrollment_old!$B$8:$H$302,5,FALSE)</f>
        <v>28</v>
      </c>
      <c r="K4" s="158">
        <f>I4+J4</f>
        <v>348.86</v>
      </c>
      <c r="P4" s="158" t="str">
        <f>IF(AND($E4="yes",$D4&gt;0),IF(AND($D4&lt;10000,$F4="N"),"N","Y"),"N")</f>
        <v>Y</v>
      </c>
    </row>
    <row r="5" spans="1:16">
      <c r="A5" s="158" t="s">
        <v>594</v>
      </c>
      <c r="B5" s="402" t="s">
        <v>262</v>
      </c>
      <c r="C5" s="400" t="s">
        <v>263</v>
      </c>
      <c r="D5" s="229">
        <f>VLOOKUP(B5,'Allocation 2011-12'!$B$9:$O$318,9,FALSE)</f>
        <v>0</v>
      </c>
      <c r="E5" s="382" t="str">
        <f>IF(VLOOKUP(B5,'Participation info Aug 11'!$B$2:$H$296,7,FALSE)="No","No","Yes")</f>
        <v>Yes</v>
      </c>
      <c r="F5" s="229" t="str">
        <f>VLOOKUP(B5,'Participation info Aug 11'!$B$2:$I$296,8,FALSE)</f>
        <v>N</v>
      </c>
      <c r="G5" s="158" t="str">
        <f t="shared" ref="G5:G68" si="1">IF(AND($E5="yes",$D5&gt;0),IF(AND($D5&lt;10000,$F5="N"),"NC","Y"),IF(D5=0,"N/A","N"))</f>
        <v>N/A</v>
      </c>
      <c r="H5" s="158" t="str">
        <f t="shared" si="0"/>
        <v/>
      </c>
      <c r="I5" s="158">
        <f>VLOOKUP($B5,Enrollment_old!$B$8:$H$302,3,FALSE)</f>
        <v>0</v>
      </c>
      <c r="J5" s="158">
        <f>VLOOKUP($B5,Enrollment_old!$B$8:$H$302,5,FALSE)</f>
        <v>0</v>
      </c>
      <c r="K5" s="158">
        <f t="shared" ref="K5:K68" si="2">I5+J5</f>
        <v>0</v>
      </c>
      <c r="P5" s="158" t="str">
        <f t="shared" ref="P5:P67" si="3">IF(AND(E5="yes",D5&gt;0),IF(AND(D5&lt;10000,F5="N"),"N","Y"),"N")</f>
        <v>N</v>
      </c>
    </row>
    <row r="6" spans="1:16">
      <c r="A6" s="158" t="s">
        <v>603</v>
      </c>
      <c r="B6" s="402" t="s">
        <v>283</v>
      </c>
      <c r="C6" s="400" t="s">
        <v>284</v>
      </c>
      <c r="D6" s="229">
        <f>VLOOKUP(B6,'Allocation 2011-12'!$B$9:$O$318,9,FALSE)</f>
        <v>0</v>
      </c>
      <c r="E6" s="382" t="str">
        <f>IF(VLOOKUP(B6,'Participation info Aug 11'!$B$2:$H$296,7,FALSE)="No","No","Yes")</f>
        <v>Yes</v>
      </c>
      <c r="F6" s="229" t="str">
        <f>VLOOKUP(B6,'Participation info Aug 11'!$B$2:$I$296,8,FALSE)</f>
        <v>N</v>
      </c>
      <c r="G6" s="158" t="str">
        <f t="shared" si="1"/>
        <v>N/A</v>
      </c>
      <c r="H6" s="158" t="str">
        <f t="shared" si="0"/>
        <v/>
      </c>
      <c r="I6" s="158">
        <f>VLOOKUP($B6,Enrollment_old!$B$8:$H$302,3,FALSE)</f>
        <v>0</v>
      </c>
      <c r="J6" s="158">
        <f>VLOOKUP($B6,Enrollment_old!$B$8:$H$302,5,FALSE)</f>
        <v>0</v>
      </c>
      <c r="K6" s="158">
        <f t="shared" si="2"/>
        <v>0</v>
      </c>
      <c r="P6" s="158" t="str">
        <f t="shared" si="3"/>
        <v>N</v>
      </c>
    </row>
    <row r="7" spans="1:16">
      <c r="A7" s="158" t="s">
        <v>595</v>
      </c>
      <c r="B7" s="402" t="s">
        <v>380</v>
      </c>
      <c r="C7" s="400" t="s">
        <v>381</v>
      </c>
      <c r="D7" s="229">
        <f>VLOOKUP(B7,'Allocation 2011-12'!$B$9:$O$318,9,FALSE)</f>
        <v>9771</v>
      </c>
      <c r="E7" s="382" t="str">
        <f>IF(VLOOKUP(B7,'Participation info Aug 11'!$B$2:$H$296,7,FALSE)="No","No","Yes")</f>
        <v>No</v>
      </c>
      <c r="F7" s="229" t="str">
        <f>VLOOKUP(B7,'Participation info Aug 11'!$B$2:$I$296,8,FALSE)</f>
        <v>N</v>
      </c>
      <c r="G7" s="158" t="str">
        <f t="shared" si="1"/>
        <v>N</v>
      </c>
      <c r="H7" s="158">
        <f t="shared" si="0"/>
        <v>1</v>
      </c>
      <c r="I7" s="158">
        <f>VLOOKUP($B7,Enrollment_old!$B$8:$H$302,3,FALSE)</f>
        <v>54</v>
      </c>
      <c r="J7" s="158">
        <f>VLOOKUP($B7,Enrollment_old!$B$8:$H$302,5,FALSE)</f>
        <v>0</v>
      </c>
      <c r="K7" s="158">
        <f t="shared" si="2"/>
        <v>54</v>
      </c>
      <c r="P7" s="158" t="str">
        <f t="shared" si="3"/>
        <v>N</v>
      </c>
    </row>
    <row r="8" spans="1:16">
      <c r="A8" s="158" t="s">
        <v>595</v>
      </c>
      <c r="B8" s="402" t="s">
        <v>403</v>
      </c>
      <c r="C8" s="400" t="s">
        <v>404</v>
      </c>
      <c r="D8" s="229">
        <f>VLOOKUP(B8,'Allocation 2011-12'!$B$9:$O$318,9,FALSE)</f>
        <v>30302</v>
      </c>
      <c r="E8" s="382" t="str">
        <f>IF(VLOOKUP(B8,'Participation info Aug 11'!$B$2:$H$296,7,FALSE)="No","No","Yes")</f>
        <v>Yes</v>
      </c>
      <c r="F8" s="229" t="str">
        <f>VLOOKUP(B8,'Participation info Aug 11'!$B$2:$I$296,8,FALSE)</f>
        <v>N</v>
      </c>
      <c r="G8" s="158" t="str">
        <f t="shared" si="1"/>
        <v>Y</v>
      </c>
      <c r="H8" s="158" t="str">
        <f t="shared" si="0"/>
        <v/>
      </c>
      <c r="I8" s="158">
        <f>VLOOKUP($B8,Enrollment_old!$B$8:$H$302,3,FALSE)</f>
        <v>194.43</v>
      </c>
      <c r="J8" s="158">
        <f>VLOOKUP($B8,Enrollment_old!$B$8:$H$302,5,FALSE)</f>
        <v>58</v>
      </c>
      <c r="K8" s="158">
        <f t="shared" si="2"/>
        <v>252.43</v>
      </c>
      <c r="P8" s="158" t="str">
        <f t="shared" si="3"/>
        <v>Y</v>
      </c>
    </row>
    <row r="9" spans="1:16">
      <c r="A9" s="158" t="s">
        <v>596</v>
      </c>
      <c r="B9" s="402" t="s">
        <v>12</v>
      </c>
      <c r="C9" s="400" t="s">
        <v>13</v>
      </c>
      <c r="D9" s="229">
        <f>VLOOKUP(B9,'Allocation 2011-12'!$B$9:$O$318,9,FALSE)</f>
        <v>0</v>
      </c>
      <c r="E9" s="382" t="str">
        <f>IF(VLOOKUP(B9,'Participation info Aug 11'!$B$2:$H$296,7,FALSE)="No","No","Yes")</f>
        <v>Yes</v>
      </c>
      <c r="F9" s="229" t="str">
        <f>VLOOKUP(B9,'Participation info Aug 11'!$B$2:$I$296,8,FALSE)</f>
        <v>N</v>
      </c>
      <c r="G9" s="158" t="str">
        <f t="shared" si="1"/>
        <v>N/A</v>
      </c>
      <c r="H9" s="158" t="str">
        <f t="shared" si="0"/>
        <v/>
      </c>
      <c r="I9" s="158">
        <f>VLOOKUP($B9,Enrollment_old!$B$8:$H$302,3,FALSE)</f>
        <v>0</v>
      </c>
      <c r="J9" s="158">
        <f>VLOOKUP($B9,Enrollment_old!$B$8:$H$302,5,FALSE)</f>
        <v>0</v>
      </c>
      <c r="K9" s="158">
        <f t="shared" si="2"/>
        <v>0</v>
      </c>
      <c r="P9" s="158" t="str">
        <f t="shared" si="3"/>
        <v>N</v>
      </c>
    </row>
    <row r="10" spans="1:16">
      <c r="A10" s="158" t="s">
        <v>597</v>
      </c>
      <c r="B10" s="402" t="s">
        <v>195</v>
      </c>
      <c r="C10" s="400" t="s">
        <v>196</v>
      </c>
      <c r="D10" s="229">
        <f>VLOOKUP(B10,'Allocation 2011-12'!$B$9:$O$318,9,FALSE)</f>
        <v>314879</v>
      </c>
      <c r="E10" s="382" t="str">
        <f>IF(VLOOKUP(B10,'Participation info Aug 11'!$B$2:$H$296,7,FALSE)="No","No","Yes")</f>
        <v>Yes</v>
      </c>
      <c r="F10" s="229" t="str">
        <f>VLOOKUP(B10,'Participation info Aug 11'!$B$2:$I$296,8,FALSE)</f>
        <v>N</v>
      </c>
      <c r="G10" s="158" t="str">
        <f t="shared" si="1"/>
        <v>Y</v>
      </c>
      <c r="H10" s="158" t="str">
        <f t="shared" si="0"/>
        <v/>
      </c>
      <c r="I10" s="158">
        <f>VLOOKUP($B10,Enrollment_old!$B$8:$H$302,3,FALSE)</f>
        <v>2130.14</v>
      </c>
      <c r="J10" s="158">
        <f>VLOOKUP($B10,Enrollment_old!$B$8:$H$302,5,FALSE)</f>
        <v>37</v>
      </c>
      <c r="K10" s="158">
        <f t="shared" si="2"/>
        <v>2167.14</v>
      </c>
      <c r="P10" s="158" t="str">
        <f t="shared" si="3"/>
        <v>Y</v>
      </c>
    </row>
    <row r="11" spans="1:16">
      <c r="A11" s="158" t="s">
        <v>597</v>
      </c>
      <c r="B11" s="402" t="s">
        <v>213</v>
      </c>
      <c r="C11" s="400" t="s">
        <v>598</v>
      </c>
      <c r="D11" s="229">
        <f>VLOOKUP(B11,'Allocation 2011-12'!$B$9:$O$318,9,FALSE)</f>
        <v>5639</v>
      </c>
      <c r="E11" s="382" t="str">
        <f>IF(VLOOKUP(B11,'Participation info Aug 11'!$B$2:$H$296,7,FALSE)="No","No","Yes")</f>
        <v>No</v>
      </c>
      <c r="F11" s="229" t="str">
        <f>VLOOKUP(B11,'Participation info Aug 11'!$B$2:$I$296,8,FALSE)</f>
        <v>N</v>
      </c>
      <c r="G11" s="158" t="str">
        <f t="shared" si="1"/>
        <v>N</v>
      </c>
      <c r="H11" s="158">
        <f t="shared" si="0"/>
        <v>1</v>
      </c>
      <c r="I11" s="158">
        <f>VLOOKUP($B11,Enrollment_old!$B$8:$H$302,3,FALSE)</f>
        <v>26.86</v>
      </c>
      <c r="J11" s="158">
        <f>VLOOKUP($B11,Enrollment_old!$B$8:$H$302,5,FALSE)</f>
        <v>0</v>
      </c>
      <c r="K11" s="158">
        <f t="shared" si="2"/>
        <v>26.86</v>
      </c>
      <c r="P11" s="158" t="str">
        <f t="shared" si="3"/>
        <v>N</v>
      </c>
    </row>
    <row r="12" spans="1:16">
      <c r="A12" s="158" t="s">
        <v>599</v>
      </c>
      <c r="B12" s="402" t="s">
        <v>62</v>
      </c>
      <c r="C12" s="400" t="s">
        <v>63</v>
      </c>
      <c r="D12" s="229">
        <f>VLOOKUP(B12,'Allocation 2011-12'!$B$9:$O$318,9,FALSE)</f>
        <v>120671</v>
      </c>
      <c r="E12" s="382" t="str">
        <f>IF(VLOOKUP(B12,'Participation info Aug 11'!$B$2:$H$296,7,FALSE)="No","No","Yes")</f>
        <v>Yes</v>
      </c>
      <c r="F12" s="229" t="str">
        <f>VLOOKUP(B12,'Participation info Aug 11'!$B$2:$I$296,8,FALSE)</f>
        <v>N</v>
      </c>
      <c r="G12" s="158" t="str">
        <f t="shared" si="1"/>
        <v>Y</v>
      </c>
      <c r="H12" s="158" t="str">
        <f t="shared" si="0"/>
        <v/>
      </c>
      <c r="I12" s="158">
        <f>VLOOKUP($B12,Enrollment_old!$B$8:$H$302,3,FALSE)</f>
        <v>724.14</v>
      </c>
      <c r="J12" s="158">
        <f>VLOOKUP($B12,Enrollment_old!$B$8:$H$302,5,FALSE)</f>
        <v>11</v>
      </c>
      <c r="K12" s="158">
        <f t="shared" si="2"/>
        <v>735.14</v>
      </c>
      <c r="P12" s="158" t="str">
        <f t="shared" si="3"/>
        <v>Y</v>
      </c>
    </row>
    <row r="13" spans="1:16">
      <c r="A13" s="158" t="s">
        <v>597</v>
      </c>
      <c r="B13" s="402" t="s">
        <v>189</v>
      </c>
      <c r="C13" s="400" t="s">
        <v>190</v>
      </c>
      <c r="D13" s="229">
        <f>VLOOKUP(B13,'Allocation 2011-12'!$B$9:$O$318,9,FALSE)</f>
        <v>299125</v>
      </c>
      <c r="E13" s="382" t="str">
        <f>IF(VLOOKUP(B13,'Participation info Aug 11'!$B$2:$H$296,7,FALSE)="No","No","Yes")</f>
        <v>Yes</v>
      </c>
      <c r="F13" s="229" t="str">
        <f>VLOOKUP(B13,'Participation info Aug 11'!$B$2:$I$296,8,FALSE)</f>
        <v>N</v>
      </c>
      <c r="G13" s="158" t="str">
        <f t="shared" si="1"/>
        <v>Y</v>
      </c>
      <c r="H13" s="158" t="str">
        <f t="shared" si="0"/>
        <v/>
      </c>
      <c r="I13" s="158">
        <f>VLOOKUP($B13,Enrollment_old!$B$8:$H$302,3,FALSE)</f>
        <v>1901</v>
      </c>
      <c r="J13" s="158">
        <f>VLOOKUP($B13,Enrollment_old!$B$8:$H$302,5,FALSE)</f>
        <v>0</v>
      </c>
      <c r="K13" s="158">
        <f t="shared" si="2"/>
        <v>1901</v>
      </c>
      <c r="P13" s="158" t="str">
        <f t="shared" si="3"/>
        <v>Y</v>
      </c>
    </row>
    <row r="14" spans="1:16">
      <c r="A14" s="158" t="s">
        <v>595</v>
      </c>
      <c r="B14" s="402" t="s">
        <v>504</v>
      </c>
      <c r="C14" s="400" t="s">
        <v>505</v>
      </c>
      <c r="D14" s="229">
        <f>VLOOKUP(B14,'Allocation 2011-12'!$B$9:$O$318,9,FALSE)</f>
        <v>105993</v>
      </c>
      <c r="E14" s="382" t="str">
        <f>IF(VLOOKUP(B14,'Participation info Aug 11'!$B$2:$H$296,7,FALSE)="No","No","Yes")</f>
        <v>Yes</v>
      </c>
      <c r="F14" s="229" t="str">
        <f>VLOOKUP(B14,'Participation info Aug 11'!$B$2:$I$296,8,FALSE)</f>
        <v>N</v>
      </c>
      <c r="G14" s="158" t="str">
        <f t="shared" si="1"/>
        <v>Y</v>
      </c>
      <c r="H14" s="158" t="str">
        <f t="shared" si="0"/>
        <v/>
      </c>
      <c r="I14" s="158">
        <f>VLOOKUP($B14,Enrollment_old!$B$8:$H$302,3,FALSE)</f>
        <v>639.14</v>
      </c>
      <c r="J14" s="158">
        <f>VLOOKUP($B14,Enrollment_old!$B$8:$H$302,5,FALSE)</f>
        <v>0</v>
      </c>
      <c r="K14" s="158">
        <f t="shared" si="2"/>
        <v>639.14</v>
      </c>
      <c r="P14" s="158" t="str">
        <f t="shared" si="3"/>
        <v>Y</v>
      </c>
    </row>
    <row r="15" spans="1:16">
      <c r="A15" s="158" t="s">
        <v>603</v>
      </c>
      <c r="B15" s="402" t="s">
        <v>2</v>
      </c>
      <c r="C15" s="400" t="s">
        <v>3</v>
      </c>
      <c r="D15" s="229">
        <f>VLOOKUP(B15,'Allocation 2011-12'!$B$9:$O$318,9,FALSE)</f>
        <v>0</v>
      </c>
      <c r="E15" s="382" t="str">
        <f>IF(VLOOKUP(B15,'Participation info Aug 11'!$B$2:$H$296,7,FALSE)="No","No","Yes")</f>
        <v>Yes</v>
      </c>
      <c r="F15" s="229" t="str">
        <f>VLOOKUP(B15,'Participation info Aug 11'!$B$2:$I$296,8,FALSE)</f>
        <v>N</v>
      </c>
      <c r="G15" s="158" t="str">
        <f t="shared" si="1"/>
        <v>N/A</v>
      </c>
      <c r="H15" s="158" t="str">
        <f t="shared" si="0"/>
        <v/>
      </c>
      <c r="I15" s="158">
        <f>VLOOKUP($B15,Enrollment_old!$B$8:$H$302,3,FALSE)</f>
        <v>0</v>
      </c>
      <c r="J15" s="158">
        <f>VLOOKUP($B15,Enrollment_old!$B$8:$H$302,5,FALSE)</f>
        <v>0</v>
      </c>
      <c r="K15" s="158">
        <f t="shared" si="2"/>
        <v>0</v>
      </c>
      <c r="P15" s="158" t="str">
        <f t="shared" si="3"/>
        <v>N</v>
      </c>
    </row>
    <row r="16" spans="1:16">
      <c r="A16" s="158" t="s">
        <v>597</v>
      </c>
      <c r="B16" s="402" t="s">
        <v>363</v>
      </c>
      <c r="C16" s="400" t="s">
        <v>364</v>
      </c>
      <c r="D16" s="229">
        <f>VLOOKUP(B16,'Allocation 2011-12'!$B$9:$O$318,9,FALSE)</f>
        <v>45883</v>
      </c>
      <c r="E16" s="382" t="str">
        <f>IF(VLOOKUP(B16,'Participation info Aug 11'!$B$2:$H$296,7,FALSE)="No","No","Yes")</f>
        <v>Yes</v>
      </c>
      <c r="F16" s="229" t="str">
        <f>VLOOKUP(B16,'Participation info Aug 11'!$B$2:$I$296,8,FALSE)</f>
        <v>N</v>
      </c>
      <c r="G16" s="158" t="str">
        <f t="shared" si="1"/>
        <v>Y</v>
      </c>
      <c r="H16" s="158" t="str">
        <f t="shared" si="0"/>
        <v/>
      </c>
      <c r="I16" s="158">
        <f>VLOOKUP($B16,Enrollment_old!$B$8:$H$302,3,FALSE)</f>
        <v>277.29000000000002</v>
      </c>
      <c r="J16" s="158">
        <f>VLOOKUP($B16,Enrollment_old!$B$8:$H$302,5,FALSE)</f>
        <v>0</v>
      </c>
      <c r="K16" s="158">
        <f t="shared" si="2"/>
        <v>277.29000000000002</v>
      </c>
      <c r="P16" s="158" t="str">
        <f t="shared" si="3"/>
        <v>Y</v>
      </c>
    </row>
    <row r="17" spans="1:16">
      <c r="A17" s="158" t="s">
        <v>605</v>
      </c>
      <c r="B17" s="402" t="s">
        <v>234</v>
      </c>
      <c r="C17" s="400" t="s">
        <v>235</v>
      </c>
      <c r="D17" s="229">
        <f>VLOOKUP(B17,'Allocation 2011-12'!$B$9:$O$318,9,FALSE)</f>
        <v>0</v>
      </c>
      <c r="E17" s="382" t="str">
        <f>IF(VLOOKUP(B17,'Participation info Aug 11'!$B$2:$H$296,7,FALSE)="No","No","Yes")</f>
        <v>Yes</v>
      </c>
      <c r="F17" s="229" t="str">
        <f>VLOOKUP(B17,'Participation info Aug 11'!$B$2:$I$296,8,FALSE)</f>
        <v>N</v>
      </c>
      <c r="G17" s="158" t="str">
        <f t="shared" si="1"/>
        <v>N/A</v>
      </c>
      <c r="H17" s="158" t="str">
        <f t="shared" si="0"/>
        <v/>
      </c>
      <c r="I17" s="158">
        <f>VLOOKUP($B17,Enrollment_old!$B$8:$H$302,3,FALSE)</f>
        <v>0</v>
      </c>
      <c r="J17" s="158">
        <f>VLOOKUP($B17,Enrollment_old!$B$8:$H$302,5,FALSE)</f>
        <v>0</v>
      </c>
      <c r="K17" s="158">
        <f t="shared" si="2"/>
        <v>0</v>
      </c>
      <c r="P17" s="158" t="str">
        <f t="shared" si="3"/>
        <v>N</v>
      </c>
    </row>
    <row r="18" spans="1:16">
      <c r="A18" s="158" t="s">
        <v>595</v>
      </c>
      <c r="B18" s="402" t="s">
        <v>508</v>
      </c>
      <c r="C18" s="400" t="s">
        <v>509</v>
      </c>
      <c r="D18" s="229">
        <f>VLOOKUP(B18,'Allocation 2011-12'!$B$9:$O$318,9,FALSE)</f>
        <v>15538</v>
      </c>
      <c r="E18" s="382" t="str">
        <f>IF(VLOOKUP(B18,'Participation info Aug 11'!$B$2:$H$296,7,FALSE)="No","No","Yes")</f>
        <v>Yes</v>
      </c>
      <c r="F18" s="229" t="str">
        <f>VLOOKUP(B18,'Participation info Aug 11'!$B$2:$I$296,8,FALSE)</f>
        <v>N</v>
      </c>
      <c r="G18" s="158" t="str">
        <f t="shared" si="1"/>
        <v>Y</v>
      </c>
      <c r="H18" s="158" t="str">
        <f t="shared" si="0"/>
        <v/>
      </c>
      <c r="I18" s="158">
        <f>VLOOKUP($B18,Enrollment_old!$B$8:$H$302,3,FALSE)</f>
        <v>81.709999999999994</v>
      </c>
      <c r="J18" s="158">
        <f>VLOOKUP($B18,Enrollment_old!$B$8:$H$302,5,FALSE)</f>
        <v>1</v>
      </c>
      <c r="K18" s="158">
        <f t="shared" si="2"/>
        <v>82.71</v>
      </c>
      <c r="P18" s="158" t="str">
        <f t="shared" si="3"/>
        <v>Y</v>
      </c>
    </row>
    <row r="19" spans="1:16">
      <c r="A19" s="158" t="s">
        <v>594</v>
      </c>
      <c r="B19" s="402" t="s">
        <v>266</v>
      </c>
      <c r="C19" s="400" t="s">
        <v>267</v>
      </c>
      <c r="D19" s="229">
        <f>VLOOKUP(B19,'Allocation 2011-12'!$B$9:$O$318,9,FALSE)</f>
        <v>0</v>
      </c>
      <c r="E19" s="382" t="str">
        <f>IF(VLOOKUP(B19,'Participation info Aug 11'!$B$2:$H$296,7,FALSE)="No","No","Yes")</f>
        <v>Yes</v>
      </c>
      <c r="F19" s="229" t="str">
        <f>VLOOKUP(B19,'Participation info Aug 11'!$B$2:$I$296,8,FALSE)</f>
        <v>N</v>
      </c>
      <c r="G19" s="158" t="str">
        <f t="shared" si="1"/>
        <v>N/A</v>
      </c>
      <c r="H19" s="158" t="str">
        <f t="shared" si="0"/>
        <v/>
      </c>
      <c r="I19" s="158">
        <f>VLOOKUP($B19,Enrollment_old!$B$8:$H$302,3,FALSE)</f>
        <v>0</v>
      </c>
      <c r="J19" s="158">
        <f>VLOOKUP($B19,Enrollment_old!$B$8:$H$302,5,FALSE)</f>
        <v>0</v>
      </c>
      <c r="K19" s="158">
        <f t="shared" si="2"/>
        <v>0</v>
      </c>
      <c r="P19" s="158" t="str">
        <f t="shared" si="3"/>
        <v>N</v>
      </c>
    </row>
    <row r="20" spans="1:16">
      <c r="A20" s="158" t="s">
        <v>600</v>
      </c>
      <c r="B20" s="402" t="s">
        <v>211</v>
      </c>
      <c r="C20" s="400" t="s">
        <v>212</v>
      </c>
      <c r="D20" s="229">
        <f>VLOOKUP(B20,'Allocation 2011-12'!$B$9:$O$318,9,FALSE)</f>
        <v>21802</v>
      </c>
      <c r="E20" s="382" t="str">
        <f>IF(VLOOKUP(B20,'Participation info Aug 11'!$B$2:$H$296,7,FALSE)="No","No","Yes")</f>
        <v>Yes</v>
      </c>
      <c r="F20" s="229" t="str">
        <f>VLOOKUP(B20,'Participation info Aug 11'!$B$2:$I$296,8,FALSE)</f>
        <v>N</v>
      </c>
      <c r="G20" s="158" t="str">
        <f t="shared" si="1"/>
        <v>Y</v>
      </c>
      <c r="H20" s="158" t="str">
        <f t="shared" si="0"/>
        <v/>
      </c>
      <c r="I20" s="158">
        <f>VLOOKUP($B20,Enrollment_old!$B$8:$H$302,3,FALSE)</f>
        <v>178.57</v>
      </c>
      <c r="J20" s="158">
        <f>VLOOKUP($B20,Enrollment_old!$B$8:$H$302,5,FALSE)</f>
        <v>1</v>
      </c>
      <c r="K20" s="158">
        <f t="shared" si="2"/>
        <v>179.57</v>
      </c>
      <c r="P20" s="158" t="str">
        <f t="shared" si="3"/>
        <v>Y</v>
      </c>
    </row>
    <row r="21" spans="1:16">
      <c r="A21" s="158" t="s">
        <v>601</v>
      </c>
      <c r="B21" s="402" t="s">
        <v>315</v>
      </c>
      <c r="C21" s="400" t="s">
        <v>316</v>
      </c>
      <c r="D21" s="229">
        <f>VLOOKUP(B21,'Allocation 2011-12'!$B$9:$O$318,9,FALSE)</f>
        <v>66802</v>
      </c>
      <c r="E21" s="382" t="str">
        <f>IF(VLOOKUP(B21,'Participation info Aug 11'!$B$2:$H$296,7,FALSE)="No","No","Yes")</f>
        <v>Yes</v>
      </c>
      <c r="F21" s="229" t="str">
        <f>VLOOKUP(B21,'Participation info Aug 11'!$B$2:$I$296,8,FALSE)</f>
        <v>N</v>
      </c>
      <c r="G21" s="158" t="str">
        <f t="shared" si="1"/>
        <v>Y</v>
      </c>
      <c r="H21" s="158" t="str">
        <f t="shared" si="0"/>
        <v/>
      </c>
      <c r="I21" s="158">
        <f>VLOOKUP($B21,Enrollment_old!$B$8:$H$302,3,FALSE)</f>
        <v>446.86</v>
      </c>
      <c r="J21" s="158">
        <f>VLOOKUP($B21,Enrollment_old!$B$8:$H$302,5,FALSE)</f>
        <v>0</v>
      </c>
      <c r="K21" s="158">
        <f t="shared" si="2"/>
        <v>446.86</v>
      </c>
      <c r="P21" s="158" t="str">
        <f t="shared" si="3"/>
        <v>Y</v>
      </c>
    </row>
    <row r="22" spans="1:16">
      <c r="A22" s="158" t="s">
        <v>601</v>
      </c>
      <c r="B22" s="402" t="s">
        <v>84</v>
      </c>
      <c r="C22" s="400" t="s">
        <v>85</v>
      </c>
      <c r="D22" s="229">
        <f>VLOOKUP(B22,'Allocation 2011-12'!$B$9:$O$318,9,FALSE)</f>
        <v>53502</v>
      </c>
      <c r="E22" s="382" t="str">
        <f>IF(VLOOKUP(B22,'Participation info Aug 11'!$B$2:$H$296,7,FALSE)="No","No","Yes")</f>
        <v>Yes</v>
      </c>
      <c r="F22" s="229" t="str">
        <f>VLOOKUP(B22,'Participation info Aug 11'!$B$2:$I$296,8,FALSE)</f>
        <v>N</v>
      </c>
      <c r="G22" s="158" t="str">
        <f t="shared" si="1"/>
        <v>Y</v>
      </c>
      <c r="H22" s="158" t="str">
        <f t="shared" si="0"/>
        <v/>
      </c>
      <c r="I22" s="158">
        <f>VLOOKUP($B22,Enrollment_old!$B$8:$H$302,3,FALSE)</f>
        <v>322.43</v>
      </c>
      <c r="J22" s="158">
        <f>VLOOKUP($B22,Enrollment_old!$B$8:$H$302,5,FALSE)</f>
        <v>0</v>
      </c>
      <c r="K22" s="158">
        <f t="shared" si="2"/>
        <v>322.43</v>
      </c>
      <c r="P22" s="158" t="str">
        <f t="shared" si="3"/>
        <v>Y</v>
      </c>
    </row>
    <row r="23" spans="1:16">
      <c r="A23" s="158" t="s">
        <v>600</v>
      </c>
      <c r="B23" s="402" t="s">
        <v>165</v>
      </c>
      <c r="C23" s="400" t="s">
        <v>166</v>
      </c>
      <c r="D23" s="229">
        <f>VLOOKUP(B23,'Allocation 2011-12'!$B$9:$O$318,9,FALSE)</f>
        <v>0</v>
      </c>
      <c r="E23" s="382" t="str">
        <f>IF(VLOOKUP(B23,'Participation info Aug 11'!$B$2:$H$296,7,FALSE)="No","No","Yes")</f>
        <v>Yes</v>
      </c>
      <c r="F23" s="229" t="str">
        <f>VLOOKUP(B23,'Participation info Aug 11'!$B$2:$I$296,8,FALSE)</f>
        <v>N</v>
      </c>
      <c r="G23" s="158" t="str">
        <f t="shared" si="1"/>
        <v>N/A</v>
      </c>
      <c r="H23" s="158" t="str">
        <f t="shared" si="0"/>
        <v/>
      </c>
      <c r="I23" s="158">
        <f>VLOOKUP($B23,Enrollment_old!$B$8:$H$302,3,FALSE)</f>
        <v>0</v>
      </c>
      <c r="J23" s="158">
        <f>VLOOKUP($B23,Enrollment_old!$B$8:$H$302,5,FALSE)</f>
        <v>0</v>
      </c>
      <c r="K23" s="158">
        <f t="shared" si="2"/>
        <v>0</v>
      </c>
      <c r="P23" s="158" t="str">
        <f t="shared" si="3"/>
        <v>N</v>
      </c>
    </row>
    <row r="24" spans="1:16">
      <c r="A24" s="158" t="s">
        <v>595</v>
      </c>
      <c r="B24" s="402" t="s">
        <v>378</v>
      </c>
      <c r="C24" s="400" t="s">
        <v>602</v>
      </c>
      <c r="D24" s="229">
        <f>VLOOKUP(B24,'Allocation 2011-12'!$B$9:$O$318,9,FALSE)</f>
        <v>108984</v>
      </c>
      <c r="E24" s="382" t="str">
        <f>IF(VLOOKUP(B24,'Participation info Aug 11'!$B$2:$H$296,7,FALSE)="No","No","Yes")</f>
        <v>Yes</v>
      </c>
      <c r="F24" s="229" t="str">
        <f>VLOOKUP(B24,'Participation info Aug 11'!$B$2:$I$296,8,FALSE)</f>
        <v>N</v>
      </c>
      <c r="G24" s="158" t="str">
        <f t="shared" si="1"/>
        <v>Y</v>
      </c>
      <c r="H24" s="158" t="str">
        <f t="shared" si="0"/>
        <v/>
      </c>
      <c r="I24" s="158">
        <f>VLOOKUP($B24,Enrollment_old!$B$8:$H$302,3,FALSE)</f>
        <v>701.29</v>
      </c>
      <c r="J24" s="158">
        <f>VLOOKUP($B24,Enrollment_old!$B$8:$H$302,5,FALSE)</f>
        <v>0</v>
      </c>
      <c r="K24" s="158">
        <f t="shared" si="2"/>
        <v>701.29</v>
      </c>
      <c r="P24" s="158" t="str">
        <f t="shared" si="3"/>
        <v>Y</v>
      </c>
    </row>
    <row r="25" spans="1:16">
      <c r="A25" s="158" t="s">
        <v>599</v>
      </c>
      <c r="B25" s="402" t="s">
        <v>60</v>
      </c>
      <c r="C25" s="400" t="s">
        <v>61</v>
      </c>
      <c r="D25" s="229">
        <f>VLOOKUP(B25,'Allocation 2011-12'!$B$9:$O$318,9,FALSE)</f>
        <v>18531</v>
      </c>
      <c r="E25" s="382" t="str">
        <f>IF(VLOOKUP(B25,'Participation info Aug 11'!$B$2:$H$296,7,FALSE)="No","No","Yes")</f>
        <v>Yes</v>
      </c>
      <c r="F25" s="229" t="str">
        <f>VLOOKUP(B25,'Participation info Aug 11'!$B$2:$I$296,8,FALSE)</f>
        <v>N</v>
      </c>
      <c r="G25" s="158" t="str">
        <f t="shared" si="1"/>
        <v>Y</v>
      </c>
      <c r="H25" s="158" t="str">
        <f t="shared" si="0"/>
        <v/>
      </c>
      <c r="I25" s="158">
        <f>VLOOKUP($B25,Enrollment_old!$B$8:$H$302,3,FALSE)</f>
        <v>118.86</v>
      </c>
      <c r="J25" s="158">
        <f>VLOOKUP($B25,Enrollment_old!$B$8:$H$302,5,FALSE)</f>
        <v>0</v>
      </c>
      <c r="K25" s="158">
        <f t="shared" si="2"/>
        <v>118.86</v>
      </c>
      <c r="P25" s="158" t="str">
        <f t="shared" si="3"/>
        <v>Y</v>
      </c>
    </row>
    <row r="26" spans="1:16" ht="13.5" customHeight="1">
      <c r="A26" s="158" t="s">
        <v>600</v>
      </c>
      <c r="B26" s="402" t="s">
        <v>45</v>
      </c>
      <c r="C26" s="400" t="s">
        <v>46</v>
      </c>
      <c r="D26" s="229">
        <f>VLOOKUP(B26,'Allocation 2011-12'!$B$9:$O$318,9,FALSE)</f>
        <v>0</v>
      </c>
      <c r="E26" s="382" t="str">
        <f>IF(VLOOKUP(B26,'Participation info Aug 11'!$B$2:$H$296,7,FALSE)="No","No","Yes")</f>
        <v>Yes</v>
      </c>
      <c r="F26" s="229" t="str">
        <f>VLOOKUP(B26,'Participation info Aug 11'!$B$2:$I$296,8,FALSE)</f>
        <v>N</v>
      </c>
      <c r="G26" s="158" t="str">
        <f t="shared" si="1"/>
        <v>N/A</v>
      </c>
      <c r="H26" s="158" t="str">
        <f t="shared" si="0"/>
        <v/>
      </c>
      <c r="I26" s="158">
        <f>VLOOKUP($B26,Enrollment_old!$B$8:$H$302,3,FALSE)</f>
        <v>0</v>
      </c>
      <c r="J26" s="158">
        <f>VLOOKUP($B26,Enrollment_old!$B$8:$H$302,5,FALSE)</f>
        <v>0</v>
      </c>
      <c r="K26" s="158">
        <f t="shared" si="2"/>
        <v>0</v>
      </c>
      <c r="P26" s="158" t="str">
        <f t="shared" si="3"/>
        <v>N</v>
      </c>
    </row>
    <row r="27" spans="1:16">
      <c r="A27" s="158" t="s">
        <v>597</v>
      </c>
      <c r="B27" s="402" t="s">
        <v>347</v>
      </c>
      <c r="C27" s="400" t="s">
        <v>348</v>
      </c>
      <c r="D27" s="229">
        <f>VLOOKUP(B27,'Allocation 2011-12'!$B$9:$O$318,9,FALSE)</f>
        <v>0</v>
      </c>
      <c r="E27" s="382" t="str">
        <f>IF(VLOOKUP(B27,'Participation info Aug 11'!$B$2:$H$296,7,FALSE)="No","No","Yes")</f>
        <v>Yes</v>
      </c>
      <c r="F27" s="229" t="str">
        <f>VLOOKUP(B27,'Participation info Aug 11'!$B$2:$I$296,8,FALSE)</f>
        <v>N</v>
      </c>
      <c r="G27" s="158" t="str">
        <f t="shared" si="1"/>
        <v>N/A</v>
      </c>
      <c r="H27" s="158" t="str">
        <f t="shared" si="0"/>
        <v/>
      </c>
      <c r="I27" s="158">
        <f>VLOOKUP($B27,Enrollment_old!$B$8:$H$302,3,FALSE)</f>
        <v>0</v>
      </c>
      <c r="J27" s="158">
        <f>VLOOKUP($B27,Enrollment_old!$B$8:$H$302,5,FALSE)</f>
        <v>0</v>
      </c>
      <c r="K27" s="158">
        <f t="shared" si="2"/>
        <v>0</v>
      </c>
      <c r="P27" s="158" t="str">
        <f t="shared" si="3"/>
        <v>N</v>
      </c>
    </row>
    <row r="28" spans="1:16">
      <c r="A28" s="158" t="s">
        <v>601</v>
      </c>
      <c r="B28" s="402" t="s">
        <v>35</v>
      </c>
      <c r="C28" s="400" t="s">
        <v>36</v>
      </c>
      <c r="D28" s="229">
        <f>VLOOKUP(B28,'Allocation 2011-12'!$B$9:$O$318,9,FALSE)</f>
        <v>29355</v>
      </c>
      <c r="E28" s="382" t="str">
        <f>IF(VLOOKUP(B28,'Participation info Aug 11'!$B$2:$H$296,7,FALSE)="No","No","Yes")</f>
        <v>Yes</v>
      </c>
      <c r="F28" s="229" t="str">
        <f>VLOOKUP(B28,'Participation info Aug 11'!$B$2:$I$296,8,FALSE)</f>
        <v>N</v>
      </c>
      <c r="G28" s="158" t="str">
        <f t="shared" si="1"/>
        <v>Y</v>
      </c>
      <c r="H28" s="158" t="str">
        <f t="shared" si="0"/>
        <v/>
      </c>
      <c r="I28" s="158">
        <f>VLOOKUP($B28,Enrollment_old!$B$8:$H$302,3,FALSE)</f>
        <v>170.57</v>
      </c>
      <c r="J28" s="158">
        <f>VLOOKUP($B28,Enrollment_old!$B$8:$H$302,5,FALSE)</f>
        <v>0</v>
      </c>
      <c r="K28" s="158">
        <f t="shared" si="2"/>
        <v>170.57</v>
      </c>
      <c r="P28" s="158" t="str">
        <f t="shared" si="3"/>
        <v>Y</v>
      </c>
    </row>
    <row r="29" spans="1:16">
      <c r="A29" s="158" t="s">
        <v>601</v>
      </c>
      <c r="B29" s="402" t="s">
        <v>33</v>
      </c>
      <c r="C29" s="400" t="s">
        <v>34</v>
      </c>
      <c r="D29" s="229">
        <f>VLOOKUP(B29,'Allocation 2011-12'!$B$9:$O$318,9,FALSE)</f>
        <v>38824</v>
      </c>
      <c r="E29" s="382" t="str">
        <f>IF(VLOOKUP(B29,'Participation info Aug 11'!$B$2:$H$296,7,FALSE)="No","No","Yes")</f>
        <v>Yes</v>
      </c>
      <c r="F29" s="229" t="str">
        <f>VLOOKUP(B29,'Participation info Aug 11'!$B$2:$I$296,8,FALSE)</f>
        <v>N</v>
      </c>
      <c r="G29" s="158" t="str">
        <f t="shared" si="1"/>
        <v>Y</v>
      </c>
      <c r="H29" s="158" t="str">
        <f t="shared" si="0"/>
        <v/>
      </c>
      <c r="I29" s="158">
        <f>VLOOKUP($B29,Enrollment_old!$B$8:$H$302,3,FALSE)</f>
        <v>245</v>
      </c>
      <c r="J29" s="158">
        <f>VLOOKUP($B29,Enrollment_old!$B$8:$H$302,5,FALSE)</f>
        <v>3</v>
      </c>
      <c r="K29" s="158">
        <f t="shared" si="2"/>
        <v>248</v>
      </c>
      <c r="P29" s="158" t="str">
        <f t="shared" si="3"/>
        <v>Y</v>
      </c>
    </row>
    <row r="30" spans="1:16">
      <c r="A30" s="158" t="s">
        <v>599</v>
      </c>
      <c r="B30" s="402" t="s">
        <v>74</v>
      </c>
      <c r="C30" s="400" t="s">
        <v>75</v>
      </c>
      <c r="D30" s="229">
        <f>VLOOKUP(B30,'Allocation 2011-12'!$B$9:$O$318,9,FALSE)</f>
        <v>5079</v>
      </c>
      <c r="E30" s="382" t="str">
        <f>IF(VLOOKUP(B30,'Participation info Aug 11'!$B$2:$H$296,7,FALSE)="No","No","Yes")</f>
        <v>Yes</v>
      </c>
      <c r="F30" s="229" t="str">
        <f>VLOOKUP(B30,'Participation info Aug 11'!$B$2:$I$296,8,FALSE)</f>
        <v>N</v>
      </c>
      <c r="G30" s="158" t="str">
        <f t="shared" si="1"/>
        <v>NC</v>
      </c>
      <c r="H30" s="158">
        <f t="shared" si="0"/>
        <v>1</v>
      </c>
      <c r="I30" s="158">
        <f>VLOOKUP($B30,Enrollment_old!$B$8:$H$302,3,FALSE)</f>
        <v>22</v>
      </c>
      <c r="J30" s="158">
        <f>VLOOKUP($B30,Enrollment_old!$B$8:$H$302,5,FALSE)</f>
        <v>0</v>
      </c>
      <c r="K30" s="158">
        <f t="shared" si="2"/>
        <v>22</v>
      </c>
      <c r="M30" s="158" t="b">
        <f>AND(E30="Yes",D30&gt;0)</f>
        <v>1</v>
      </c>
      <c r="O30" s="158" t="b">
        <f>AND(D30&lt;10000,F30="N")</f>
        <v>1</v>
      </c>
      <c r="P30" s="158" t="str">
        <f t="shared" si="3"/>
        <v>N</v>
      </c>
    </row>
    <row r="31" spans="1:16">
      <c r="A31" s="158" t="s">
        <v>599</v>
      </c>
      <c r="B31" s="402" t="s">
        <v>236</v>
      </c>
      <c r="C31" s="400" t="s">
        <v>237</v>
      </c>
      <c r="D31" s="229">
        <f>VLOOKUP(B31,'Allocation 2011-12'!$B$9:$O$318,9,FALSE)</f>
        <v>0</v>
      </c>
      <c r="E31" s="382" t="str">
        <f>IF(VLOOKUP(B31,'Participation info Aug 11'!$B$2:$H$296,7,FALSE)="No","No","Yes")</f>
        <v>Yes</v>
      </c>
      <c r="F31" s="229" t="str">
        <f>VLOOKUP(B31,'Participation info Aug 11'!$B$2:$I$296,8,FALSE)</f>
        <v>N</v>
      </c>
      <c r="G31" s="158" t="str">
        <f t="shared" si="1"/>
        <v>N/A</v>
      </c>
      <c r="H31" s="158" t="str">
        <f t="shared" si="0"/>
        <v/>
      </c>
      <c r="I31" s="158">
        <f>VLOOKUP($B31,Enrollment_old!$B$8:$H$302,3,FALSE)</f>
        <v>0</v>
      </c>
      <c r="J31" s="158">
        <f>VLOOKUP($B31,Enrollment_old!$B$8:$H$302,5,FALSE)</f>
        <v>0</v>
      </c>
      <c r="K31" s="158">
        <f t="shared" si="2"/>
        <v>0</v>
      </c>
      <c r="P31" s="158" t="str">
        <f t="shared" si="3"/>
        <v>N</v>
      </c>
    </row>
    <row r="32" spans="1:16">
      <c r="A32" s="158" t="s">
        <v>600</v>
      </c>
      <c r="B32" s="402" t="s">
        <v>216</v>
      </c>
      <c r="C32" s="400" t="s">
        <v>217</v>
      </c>
      <c r="D32" s="229">
        <f>VLOOKUP(B32,'Allocation 2011-12'!$B$9:$O$318,9,FALSE)</f>
        <v>39771</v>
      </c>
      <c r="E32" s="382" t="str">
        <f>IF(VLOOKUP(B32,'Participation info Aug 11'!$B$2:$H$296,7,FALSE)="No","No","Yes")</f>
        <v>Yes</v>
      </c>
      <c r="F32" s="229" t="str">
        <f>VLOOKUP(B32,'Participation info Aug 11'!$B$2:$I$296,8,FALSE)</f>
        <v>N</v>
      </c>
      <c r="G32" s="158" t="str">
        <f t="shared" si="1"/>
        <v>Y</v>
      </c>
      <c r="H32" s="158" t="str">
        <f t="shared" si="0"/>
        <v/>
      </c>
      <c r="I32" s="158">
        <f>VLOOKUP($B32,Enrollment_old!$B$8:$H$302,3,FALSE)</f>
        <v>250.86</v>
      </c>
      <c r="J32" s="158">
        <f>VLOOKUP($B32,Enrollment_old!$B$8:$H$302,5,FALSE)</f>
        <v>3</v>
      </c>
      <c r="K32" s="158">
        <f t="shared" si="2"/>
        <v>253.86</v>
      </c>
      <c r="P32" s="158" t="str">
        <f t="shared" si="3"/>
        <v>Y</v>
      </c>
    </row>
    <row r="33" spans="1:16">
      <c r="A33" s="158" t="s">
        <v>603</v>
      </c>
      <c r="B33" s="402" t="s">
        <v>434</v>
      </c>
      <c r="C33" s="400" t="s">
        <v>435</v>
      </c>
      <c r="D33" s="229">
        <f>VLOOKUP(B33,'Allocation 2011-12'!$B$9:$O$318,9,FALSE)</f>
        <v>41171</v>
      </c>
      <c r="E33" s="382" t="str">
        <f>IF(VLOOKUP(B33,'Participation info Aug 11'!$B$2:$H$296,7,FALSE)="No","No","Yes")</f>
        <v>Yes</v>
      </c>
      <c r="F33" s="229" t="str">
        <f>VLOOKUP(B33,'Participation info Aug 11'!$B$2:$I$296,8,FALSE)</f>
        <v>N</v>
      </c>
      <c r="G33" s="158" t="str">
        <f t="shared" si="1"/>
        <v>Y</v>
      </c>
      <c r="H33" s="158" t="str">
        <f t="shared" si="0"/>
        <v/>
      </c>
      <c r="I33" s="158">
        <f>VLOOKUP($B33,Enrollment_old!$B$8:$H$302,3,FALSE)</f>
        <v>336.86</v>
      </c>
      <c r="J33" s="158">
        <f>VLOOKUP($B33,Enrollment_old!$B$8:$H$302,5,FALSE)</f>
        <v>0</v>
      </c>
      <c r="K33" s="158">
        <f t="shared" si="2"/>
        <v>336.86</v>
      </c>
      <c r="P33" s="158" t="str">
        <f t="shared" si="3"/>
        <v>Y</v>
      </c>
    </row>
    <row r="34" spans="1:16">
      <c r="A34" s="158" t="s">
        <v>594</v>
      </c>
      <c r="B34" s="402" t="s">
        <v>278</v>
      </c>
      <c r="C34" s="400" t="s">
        <v>279</v>
      </c>
      <c r="D34" s="229">
        <f>VLOOKUP(B34,'Allocation 2011-12'!$B$9:$O$318,9,FALSE)</f>
        <v>53373</v>
      </c>
      <c r="E34" s="382" t="str">
        <f>IF(VLOOKUP(B34,'Participation info Aug 11'!$B$2:$H$296,7,FALSE)="No","No","Yes")</f>
        <v>Yes</v>
      </c>
      <c r="F34" s="229" t="str">
        <f>VLOOKUP(B34,'Participation info Aug 11'!$B$2:$I$296,8,FALSE)</f>
        <v>N</v>
      </c>
      <c r="G34" s="158" t="str">
        <f t="shared" si="1"/>
        <v>Y</v>
      </c>
      <c r="H34" s="158" t="str">
        <f t="shared" si="0"/>
        <v/>
      </c>
      <c r="I34" s="158">
        <f>VLOOKUP($B34,Enrollment_old!$B$8:$H$302,3,FALSE)</f>
        <v>315.43</v>
      </c>
      <c r="J34" s="158">
        <f>VLOOKUP($B34,Enrollment_old!$B$8:$H$302,5,FALSE)</f>
        <v>0</v>
      </c>
      <c r="K34" s="158">
        <f t="shared" si="2"/>
        <v>315.43</v>
      </c>
      <c r="P34" s="158" t="str">
        <f t="shared" si="3"/>
        <v>Y</v>
      </c>
    </row>
    <row r="35" spans="1:16">
      <c r="A35" s="158" t="s">
        <v>594</v>
      </c>
      <c r="B35" s="402" t="s">
        <v>274</v>
      </c>
      <c r="C35" s="400" t="s">
        <v>275</v>
      </c>
      <c r="D35" s="229">
        <f>VLOOKUP(B35,'Allocation 2011-12'!$B$9:$O$318,9,FALSE)</f>
        <v>10976</v>
      </c>
      <c r="E35" s="382" t="str">
        <f>IF(VLOOKUP(B35,'Participation info Aug 11'!$B$2:$H$296,7,FALSE)="No","No","Yes")</f>
        <v>Yes</v>
      </c>
      <c r="F35" s="229" t="str">
        <f>VLOOKUP(B35,'Participation info Aug 11'!$B$2:$I$296,8,FALSE)</f>
        <v>N</v>
      </c>
      <c r="G35" s="158" t="str">
        <f t="shared" si="1"/>
        <v>Y</v>
      </c>
      <c r="H35" s="158" t="str">
        <f t="shared" si="0"/>
        <v/>
      </c>
      <c r="I35" s="158">
        <f>VLOOKUP($B35,Enrollment_old!$B$8:$H$302,3,FALSE)</f>
        <v>103.43</v>
      </c>
      <c r="J35" s="158">
        <f>VLOOKUP($B35,Enrollment_old!$B$8:$H$302,5,FALSE)</f>
        <v>0</v>
      </c>
      <c r="K35" s="158">
        <f t="shared" si="2"/>
        <v>103.43</v>
      </c>
      <c r="P35" s="158" t="str">
        <f t="shared" si="3"/>
        <v>Y</v>
      </c>
    </row>
    <row r="36" spans="1:16">
      <c r="A36" s="158" t="s">
        <v>603</v>
      </c>
      <c r="B36" s="402" t="s">
        <v>438</v>
      </c>
      <c r="C36" s="400" t="s">
        <v>439</v>
      </c>
      <c r="D36" s="229">
        <f>VLOOKUP(B36,'Allocation 2011-12'!$B$9:$O$318,9,FALSE)</f>
        <v>13366</v>
      </c>
      <c r="E36" s="382" t="str">
        <f>IF(VLOOKUP(B36,'Participation info Aug 11'!$B$2:$H$296,7,FALSE)="No","No","Yes")</f>
        <v>Yes</v>
      </c>
      <c r="F36" s="229" t="str">
        <f>VLOOKUP(B36,'Participation info Aug 11'!$B$2:$I$296,8,FALSE)</f>
        <v>N</v>
      </c>
      <c r="G36" s="158" t="str">
        <f t="shared" si="1"/>
        <v>Y</v>
      </c>
      <c r="H36" s="158" t="str">
        <f t="shared" si="0"/>
        <v/>
      </c>
      <c r="I36" s="158">
        <f>VLOOKUP($B36,Enrollment_old!$B$8:$H$302,3,FALSE)</f>
        <v>96.71</v>
      </c>
      <c r="J36" s="158">
        <f>VLOOKUP($B36,Enrollment_old!$B$8:$H$302,5,FALSE)</f>
        <v>0</v>
      </c>
      <c r="K36" s="158">
        <f t="shared" si="2"/>
        <v>96.71</v>
      </c>
      <c r="P36" s="158" t="str">
        <f t="shared" si="3"/>
        <v>Y</v>
      </c>
    </row>
    <row r="37" spans="1:16">
      <c r="A37" s="158" t="s">
        <v>603</v>
      </c>
      <c r="B37" s="402" t="s">
        <v>450</v>
      </c>
      <c r="C37" s="400" t="s">
        <v>451</v>
      </c>
      <c r="D37" s="229">
        <f>VLOOKUP(B37,'Allocation 2011-12'!$B$9:$O$318,9,FALSE)</f>
        <v>517</v>
      </c>
      <c r="E37" s="382" t="str">
        <f>IF(VLOOKUP(B37,'Participation info Aug 11'!$B$2:$H$296,7,FALSE)="No","No","Yes")</f>
        <v>Yes</v>
      </c>
      <c r="F37" s="229" t="str">
        <f>VLOOKUP(B37,'Participation info Aug 11'!$B$2:$I$296,8,FALSE)</f>
        <v>N</v>
      </c>
      <c r="G37" s="158" t="str">
        <f t="shared" si="1"/>
        <v>NC</v>
      </c>
      <c r="H37" s="158">
        <f t="shared" si="0"/>
        <v>1</v>
      </c>
      <c r="I37" s="158">
        <f>VLOOKUP($B37,Enrollment_old!$B$8:$H$302,3,FALSE)</f>
        <v>5.14</v>
      </c>
      <c r="J37" s="158">
        <f>VLOOKUP($B37,Enrollment_old!$B$8:$H$302,5,FALSE)</f>
        <v>0</v>
      </c>
      <c r="K37" s="158">
        <f t="shared" si="2"/>
        <v>5.14</v>
      </c>
      <c r="P37" s="158" t="str">
        <f t="shared" si="3"/>
        <v>N</v>
      </c>
    </row>
    <row r="38" spans="1:16">
      <c r="A38" s="158" t="s">
        <v>600</v>
      </c>
      <c r="B38" s="402" t="s">
        <v>169</v>
      </c>
      <c r="C38" s="400" t="s">
        <v>170</v>
      </c>
      <c r="D38" s="229">
        <f>VLOOKUP(B38,'Allocation 2011-12'!$B$9:$O$318,9,FALSE)</f>
        <v>2281</v>
      </c>
      <c r="E38" s="382" t="str">
        <f>IF(VLOOKUP(B38,'Participation info Aug 11'!$B$2:$H$296,7,FALSE)="No","No","Yes")</f>
        <v>Yes</v>
      </c>
      <c r="F38" s="229" t="str">
        <f>VLOOKUP(B38,'Participation info Aug 11'!$B$2:$I$296,8,FALSE)</f>
        <v>N</v>
      </c>
      <c r="G38" s="158" t="str">
        <f t="shared" si="1"/>
        <v>NC</v>
      </c>
      <c r="H38" s="158">
        <f t="shared" si="0"/>
        <v>1</v>
      </c>
      <c r="I38" s="158">
        <f>VLOOKUP($B38,Enrollment_old!$B$8:$H$302,3,FALSE)</f>
        <v>12</v>
      </c>
      <c r="J38" s="158">
        <f>VLOOKUP($B38,Enrollment_old!$B$8:$H$302,5,FALSE)</f>
        <v>0</v>
      </c>
      <c r="K38" s="158">
        <f t="shared" si="2"/>
        <v>12</v>
      </c>
      <c r="P38" s="158" t="str">
        <f t="shared" si="3"/>
        <v>N</v>
      </c>
    </row>
    <row r="39" spans="1:16">
      <c r="A39" s="158" t="s">
        <v>596</v>
      </c>
      <c r="B39" s="402" t="s">
        <v>10</v>
      </c>
      <c r="C39" s="400" t="s">
        <v>11</v>
      </c>
      <c r="D39" s="229">
        <f>VLOOKUP(B39,'Allocation 2011-12'!$B$9:$O$318,9,FALSE)</f>
        <v>2992</v>
      </c>
      <c r="E39" s="382" t="str">
        <f>IF(VLOOKUP(B39,'Participation info Aug 11'!$B$2:$H$296,7,FALSE)="No","No","Yes")</f>
        <v>Yes</v>
      </c>
      <c r="F39" s="229" t="str">
        <f>VLOOKUP(B39,'Participation info Aug 11'!$B$2:$I$296,8,FALSE)</f>
        <v>N</v>
      </c>
      <c r="G39" s="158" t="str">
        <f t="shared" si="1"/>
        <v>NC</v>
      </c>
      <c r="H39" s="158">
        <f t="shared" si="0"/>
        <v>1</v>
      </c>
      <c r="I39" s="158">
        <f>VLOOKUP($B39,Enrollment_old!$B$8:$H$302,3,FALSE)</f>
        <v>33.14</v>
      </c>
      <c r="J39" s="158">
        <f>VLOOKUP($B39,Enrollment_old!$B$8:$H$302,5,FALSE)</f>
        <v>0</v>
      </c>
      <c r="K39" s="158">
        <f t="shared" si="2"/>
        <v>33.14</v>
      </c>
      <c r="P39" s="158" t="str">
        <f t="shared" si="3"/>
        <v>N</v>
      </c>
    </row>
    <row r="40" spans="1:16">
      <c r="A40" s="158" t="s">
        <v>605</v>
      </c>
      <c r="B40" s="402" t="s">
        <v>230</v>
      </c>
      <c r="C40" s="400" t="s">
        <v>231</v>
      </c>
      <c r="D40" s="229">
        <f>VLOOKUP(B40,'Allocation 2011-12'!$B$9:$O$318,9,FALSE)</f>
        <v>3616</v>
      </c>
      <c r="E40" s="382" t="str">
        <f>IF(VLOOKUP(B40,'Participation info Aug 11'!$B$2:$H$296,7,FALSE)="No","No","Yes")</f>
        <v>Yes</v>
      </c>
      <c r="F40" s="229" t="str">
        <f>VLOOKUP(B40,'Participation info Aug 11'!$B$2:$I$296,8,FALSE)</f>
        <v>ESD 105</v>
      </c>
      <c r="G40" s="158" t="str">
        <f t="shared" si="1"/>
        <v>Y</v>
      </c>
      <c r="H40" s="158" t="str">
        <f>IF(AND(D40&gt;0,D40&lt;10000,F40="N"),1,"")</f>
        <v/>
      </c>
      <c r="I40" s="158">
        <f>VLOOKUP($B40,Enrollment_old!$B$8:$H$302,3,FALSE)</f>
        <v>15.29</v>
      </c>
      <c r="J40" s="158">
        <f>VLOOKUP($B40,Enrollment_old!$B$8:$H$302,5,FALSE)</f>
        <v>3</v>
      </c>
      <c r="K40" s="158">
        <f t="shared" si="2"/>
        <v>18.29</v>
      </c>
      <c r="P40" s="158" t="str">
        <f t="shared" si="3"/>
        <v>Y</v>
      </c>
    </row>
    <row r="41" spans="1:16">
      <c r="A41" s="158" t="s">
        <v>597</v>
      </c>
      <c r="B41" s="402" t="s">
        <v>357</v>
      </c>
      <c r="C41" s="400" t="s">
        <v>358</v>
      </c>
      <c r="D41" s="229">
        <f>VLOOKUP(B41,'Allocation 2011-12'!$B$9:$O$318,9,FALSE)</f>
        <v>208283</v>
      </c>
      <c r="E41" s="382" t="str">
        <f>IF(VLOOKUP(B41,'Participation info Aug 11'!$B$2:$H$296,7,FALSE)="No","No","Yes")</f>
        <v>Yes</v>
      </c>
      <c r="F41" s="229" t="str">
        <f>VLOOKUP(B41,'Participation info Aug 11'!$B$2:$I$296,8,FALSE)</f>
        <v>N</v>
      </c>
      <c r="G41" s="158" t="str">
        <f t="shared" si="1"/>
        <v>Y</v>
      </c>
      <c r="H41" s="158" t="str">
        <f t="shared" ref="H41:H104" si="4">IF(AND(D41&gt;0,D41&lt;10000,F41="N"),1,"")</f>
        <v/>
      </c>
      <c r="I41" s="158">
        <f>VLOOKUP($B41,Enrollment_old!$B$8:$H$302,3,FALSE)</f>
        <v>1340.57</v>
      </c>
      <c r="J41" s="158">
        <f>VLOOKUP($B41,Enrollment_old!$B$8:$H$302,5,FALSE)</f>
        <v>0</v>
      </c>
      <c r="K41" s="158">
        <f t="shared" si="2"/>
        <v>1340.57</v>
      </c>
      <c r="P41" s="158" t="str">
        <f t="shared" si="3"/>
        <v>Y</v>
      </c>
    </row>
    <row r="42" spans="1:16">
      <c r="A42" s="158" t="s">
        <v>603</v>
      </c>
      <c r="B42" s="402" t="s">
        <v>525</v>
      </c>
      <c r="C42" s="400" t="s">
        <v>526</v>
      </c>
      <c r="D42" s="229">
        <f>VLOOKUP(B42,'Allocation 2011-12'!$B$9:$O$318,9,FALSE)</f>
        <v>0</v>
      </c>
      <c r="E42" s="382" t="str">
        <f>IF(VLOOKUP(B42,'Participation info Aug 11'!$B$2:$H$296,7,FALSE)="No","No","Yes")</f>
        <v>Yes</v>
      </c>
      <c r="F42" s="229" t="str">
        <f>VLOOKUP(B42,'Participation info Aug 11'!$B$2:$I$296,8,FALSE)</f>
        <v>N</v>
      </c>
      <c r="G42" s="158" t="str">
        <f t="shared" si="1"/>
        <v>N/A</v>
      </c>
      <c r="H42" s="158" t="str">
        <f t="shared" si="4"/>
        <v/>
      </c>
      <c r="I42" s="158">
        <f>VLOOKUP($B42,Enrollment_old!$B$8:$H$302,3,FALSE)</f>
        <v>0</v>
      </c>
      <c r="J42" s="158">
        <f>VLOOKUP($B42,Enrollment_old!$B$8:$H$302,5,FALSE)</f>
        <v>0</v>
      </c>
      <c r="K42" s="158">
        <f t="shared" si="2"/>
        <v>0</v>
      </c>
      <c r="P42" s="158" t="str">
        <f t="shared" si="3"/>
        <v>N</v>
      </c>
    </row>
    <row r="43" spans="1:16">
      <c r="A43" s="158" t="s">
        <v>596</v>
      </c>
      <c r="B43" s="402" t="s">
        <v>494</v>
      </c>
      <c r="C43" s="400" t="s">
        <v>495</v>
      </c>
      <c r="D43" s="229">
        <f>VLOOKUP(B43,'Allocation 2011-12'!$B$9:$O$318,9,FALSE)</f>
        <v>29550</v>
      </c>
      <c r="E43" s="382" t="str">
        <f>IF(VLOOKUP(B43,'Participation info Aug 11'!$B$2:$H$296,7,FALSE)="No","No","Yes")</f>
        <v>Yes</v>
      </c>
      <c r="F43" s="229" t="str">
        <f>VLOOKUP(B43,'Participation info Aug 11'!$B$2:$I$296,8,FALSE)</f>
        <v>N</v>
      </c>
      <c r="G43" s="158" t="str">
        <f t="shared" si="1"/>
        <v>Y</v>
      </c>
      <c r="H43" s="158" t="str">
        <f t="shared" si="4"/>
        <v/>
      </c>
      <c r="I43" s="158">
        <f>VLOOKUP($B43,Enrollment_old!$B$8:$H$302,3,FALSE)</f>
        <v>188.43</v>
      </c>
      <c r="J43" s="158">
        <f>VLOOKUP($B43,Enrollment_old!$B$8:$H$302,5,FALSE)</f>
        <v>0</v>
      </c>
      <c r="K43" s="158">
        <f t="shared" si="2"/>
        <v>188.43</v>
      </c>
      <c r="P43" s="158" t="str">
        <f t="shared" si="3"/>
        <v>Y</v>
      </c>
    </row>
    <row r="44" spans="1:16">
      <c r="A44" s="158" t="s">
        <v>603</v>
      </c>
      <c r="B44" s="402" t="s">
        <v>533</v>
      </c>
      <c r="C44" s="400" t="s">
        <v>534</v>
      </c>
      <c r="D44" s="229">
        <f>VLOOKUP(B44,'Allocation 2011-12'!$B$9:$O$318,9,FALSE)</f>
        <v>0</v>
      </c>
      <c r="E44" s="382" t="str">
        <f>IF(VLOOKUP(B44,'Participation info Aug 11'!$B$2:$H$296,7,FALSE)="No","No","Yes")</f>
        <v>Yes</v>
      </c>
      <c r="F44" s="229" t="str">
        <f>VLOOKUP(B44,'Participation info Aug 11'!$B$2:$I$296,8,FALSE)</f>
        <v>N</v>
      </c>
      <c r="G44" s="158" t="str">
        <f t="shared" si="1"/>
        <v>N/A</v>
      </c>
      <c r="H44" s="158" t="str">
        <f t="shared" si="4"/>
        <v/>
      </c>
      <c r="I44" s="158">
        <f>VLOOKUP($B44,Enrollment_old!$B$8:$H$302,3,FALSE)</f>
        <v>0</v>
      </c>
      <c r="J44" s="158">
        <f>VLOOKUP($B44,Enrollment_old!$B$8:$H$302,5,FALSE)</f>
        <v>0</v>
      </c>
      <c r="K44" s="158">
        <f t="shared" si="2"/>
        <v>0</v>
      </c>
      <c r="P44" s="158" t="str">
        <f t="shared" si="3"/>
        <v>N</v>
      </c>
    </row>
    <row r="45" spans="1:16">
      <c r="A45" s="158" t="s">
        <v>603</v>
      </c>
      <c r="B45" s="402" t="s">
        <v>464</v>
      </c>
      <c r="C45" s="400" t="s">
        <v>465</v>
      </c>
      <c r="D45" s="229">
        <f>VLOOKUP(B45,'Allocation 2011-12'!$B$9:$O$318,9,FALSE)</f>
        <v>0</v>
      </c>
      <c r="E45" s="382" t="str">
        <f>IF(VLOOKUP(B45,'Participation info Aug 11'!$B$2:$H$296,7,FALSE)="No","No","Yes")</f>
        <v>Yes</v>
      </c>
      <c r="F45" s="229" t="str">
        <f>VLOOKUP(B45,'Participation info Aug 11'!$B$2:$I$296,8,FALSE)</f>
        <v>N</v>
      </c>
      <c r="G45" s="158" t="str">
        <f t="shared" si="1"/>
        <v>N/A</v>
      </c>
      <c r="H45" s="158" t="str">
        <f t="shared" si="4"/>
        <v/>
      </c>
      <c r="I45" s="158">
        <f>VLOOKUP($B45,Enrollment_old!$B$8:$H$302,3,FALSE)</f>
        <v>0</v>
      </c>
      <c r="J45" s="158">
        <f>VLOOKUP($B45,Enrollment_old!$B$8:$H$302,5,FALSE)</f>
        <v>0</v>
      </c>
      <c r="K45" s="158">
        <f t="shared" si="2"/>
        <v>0</v>
      </c>
      <c r="P45" s="158" t="str">
        <f t="shared" si="3"/>
        <v>N</v>
      </c>
    </row>
    <row r="46" spans="1:16">
      <c r="A46" s="158" t="s">
        <v>596</v>
      </c>
      <c r="B46" s="402" t="s">
        <v>498</v>
      </c>
      <c r="C46" s="400" t="s">
        <v>499</v>
      </c>
      <c r="D46" s="229">
        <f>VLOOKUP(B46,'Allocation 2011-12'!$B$9:$O$318,9,FALSE)</f>
        <v>15667</v>
      </c>
      <c r="E46" s="382" t="str">
        <f>IF(VLOOKUP(B46,'Participation info Aug 11'!$B$2:$H$296,7,FALSE)="No","No","Yes")</f>
        <v>Yes</v>
      </c>
      <c r="F46" s="229" t="str">
        <f>VLOOKUP(B46,'Participation info Aug 11'!$B$2:$I$296,8,FALSE)</f>
        <v>N</v>
      </c>
      <c r="G46" s="158" t="str">
        <f t="shared" si="1"/>
        <v>Y</v>
      </c>
      <c r="H46" s="158" t="str">
        <f t="shared" si="4"/>
        <v/>
      </c>
      <c r="I46" s="158">
        <f>VLOOKUP($B46,Enrollment_old!$B$8:$H$302,3,FALSE)</f>
        <v>109.86</v>
      </c>
      <c r="J46" s="158">
        <f>VLOOKUP($B46,Enrollment_old!$B$8:$H$302,5,FALSE)</f>
        <v>0</v>
      </c>
      <c r="K46" s="158">
        <f t="shared" si="2"/>
        <v>109.86</v>
      </c>
      <c r="P46" s="158" t="str">
        <f t="shared" si="3"/>
        <v>Y</v>
      </c>
    </row>
    <row r="47" spans="1:16">
      <c r="A47" s="158" t="s">
        <v>603</v>
      </c>
      <c r="B47" s="402" t="s">
        <v>456</v>
      </c>
      <c r="C47" s="400" t="s">
        <v>457</v>
      </c>
      <c r="D47" s="229">
        <f>VLOOKUP(B47,'Allocation 2011-12'!$B$9:$O$318,9,FALSE)</f>
        <v>11535</v>
      </c>
      <c r="E47" s="382" t="str">
        <f>IF(VLOOKUP(B47,'Participation info Aug 11'!$B$2:$H$296,7,FALSE)="No","No","Yes")</f>
        <v>No</v>
      </c>
      <c r="F47" s="229" t="str">
        <f>VLOOKUP(B47,'Participation info Aug 11'!$B$2:$I$296,8,FALSE)</f>
        <v>N</v>
      </c>
      <c r="G47" s="158" t="str">
        <f t="shared" si="1"/>
        <v>N</v>
      </c>
      <c r="H47" s="158" t="str">
        <f t="shared" si="4"/>
        <v/>
      </c>
      <c r="I47" s="158">
        <f>VLOOKUP($B47,Enrollment_old!$B$8:$H$302,3,FALSE)</f>
        <v>31.71</v>
      </c>
      <c r="J47" s="158">
        <f>VLOOKUP($B47,Enrollment_old!$B$8:$H$302,5,FALSE)</f>
        <v>0</v>
      </c>
      <c r="K47" s="158">
        <f t="shared" si="2"/>
        <v>31.71</v>
      </c>
      <c r="P47" s="158" t="str">
        <f t="shared" si="3"/>
        <v>N</v>
      </c>
    </row>
    <row r="48" spans="1:16">
      <c r="A48" s="158" t="s">
        <v>595</v>
      </c>
      <c r="B48" s="402" t="s">
        <v>376</v>
      </c>
      <c r="C48" s="400" t="s">
        <v>377</v>
      </c>
      <c r="D48" s="229">
        <f>VLOOKUP(B48,'Allocation 2011-12'!$B$9:$O$318,9,FALSE)</f>
        <v>0</v>
      </c>
      <c r="E48" s="382" t="str">
        <f>IF(VLOOKUP(B48,'Participation info Aug 11'!$B$2:$H$296,7,FALSE)="No","No","Yes")</f>
        <v>Yes</v>
      </c>
      <c r="F48" s="229" t="str">
        <f>VLOOKUP(B48,'Participation info Aug 11'!$B$2:$I$296,8,FALSE)</f>
        <v>N</v>
      </c>
      <c r="G48" s="158" t="str">
        <f t="shared" si="1"/>
        <v>N/A</v>
      </c>
      <c r="H48" s="158" t="str">
        <f t="shared" si="4"/>
        <v/>
      </c>
      <c r="I48" s="158">
        <f>VLOOKUP($B48,Enrollment_old!$B$8:$H$302,3,FALSE)</f>
        <v>0</v>
      </c>
      <c r="J48" s="158">
        <f>VLOOKUP($B48,Enrollment_old!$B$8:$H$302,5,FALSE)</f>
        <v>0</v>
      </c>
      <c r="K48" s="158">
        <f t="shared" si="2"/>
        <v>0</v>
      </c>
      <c r="P48" s="158" t="str">
        <f t="shared" si="3"/>
        <v>N</v>
      </c>
    </row>
    <row r="49" spans="1:16">
      <c r="A49" s="158" t="s">
        <v>595</v>
      </c>
      <c r="B49" s="402" t="s">
        <v>384</v>
      </c>
      <c r="C49" s="400" t="s">
        <v>385</v>
      </c>
      <c r="D49" s="229">
        <f>VLOOKUP(B49,'Allocation 2011-12'!$B$9:$O$318,9,FALSE)</f>
        <v>3724</v>
      </c>
      <c r="E49" s="382" t="str">
        <f>IF(VLOOKUP(B49,'Participation info Aug 11'!$B$2:$H$296,7,FALSE)="No","No","Yes")</f>
        <v>Yes</v>
      </c>
      <c r="F49" s="229" t="str">
        <f>VLOOKUP(B49,'Participation info Aug 11'!$B$2:$I$296,8,FALSE)</f>
        <v>Quinault</v>
      </c>
      <c r="G49" s="158" t="str">
        <f t="shared" si="1"/>
        <v>Y</v>
      </c>
      <c r="H49" s="158" t="str">
        <f t="shared" si="4"/>
        <v/>
      </c>
      <c r="I49" s="158">
        <f>VLOOKUP($B49,Enrollment_old!$B$8:$H$302,3,FALSE)</f>
        <v>28.71</v>
      </c>
      <c r="J49" s="158">
        <f>VLOOKUP($B49,Enrollment_old!$B$8:$H$302,5,FALSE)</f>
        <v>0</v>
      </c>
      <c r="K49" s="158">
        <f t="shared" si="2"/>
        <v>28.71</v>
      </c>
      <c r="P49" s="158" t="str">
        <f t="shared" si="3"/>
        <v>Y</v>
      </c>
    </row>
    <row r="50" spans="1:16">
      <c r="A50" s="158" t="s">
        <v>594</v>
      </c>
      <c r="B50" s="402" t="s">
        <v>147</v>
      </c>
      <c r="C50" s="400" t="s">
        <v>148</v>
      </c>
      <c r="D50" s="229">
        <f>VLOOKUP(B50,'Allocation 2011-12'!$B$9:$O$318,9,FALSE)</f>
        <v>0</v>
      </c>
      <c r="E50" s="382" t="str">
        <f>IF(VLOOKUP(B50,'Participation info Aug 11'!$B$2:$H$296,7,FALSE)="No","No","Yes")</f>
        <v>Yes</v>
      </c>
      <c r="F50" s="229" t="str">
        <f>VLOOKUP(B50,'Participation info Aug 11'!$B$2:$I$296,8,FALSE)</f>
        <v>N</v>
      </c>
      <c r="G50" s="158" t="str">
        <f t="shared" si="1"/>
        <v>N/A</v>
      </c>
      <c r="H50" s="158" t="str">
        <f t="shared" si="4"/>
        <v/>
      </c>
      <c r="I50" s="158">
        <f>VLOOKUP($B50,Enrollment_old!$B$8:$H$302,3,FALSE)</f>
        <v>3.29</v>
      </c>
      <c r="J50" s="158">
        <f>VLOOKUP($B50,Enrollment_old!$B$8:$H$302,5,FALSE)</f>
        <v>0</v>
      </c>
      <c r="K50" s="158">
        <f t="shared" si="2"/>
        <v>3.29</v>
      </c>
      <c r="P50" s="158" t="str">
        <f t="shared" si="3"/>
        <v>N</v>
      </c>
    </row>
    <row r="51" spans="1:16">
      <c r="A51" s="158" t="s">
        <v>601</v>
      </c>
      <c r="B51" s="402" t="s">
        <v>120</v>
      </c>
      <c r="C51" s="400" t="s">
        <v>654</v>
      </c>
      <c r="D51" s="229">
        <f>VLOOKUP(B51,'Allocation 2011-12'!$B$9:$O$318,9,FALSE)</f>
        <v>0</v>
      </c>
      <c r="E51" s="382" t="str">
        <f>IF(VLOOKUP(B51,'Participation info Aug 11'!$B$2:$H$296,7,FALSE)="No","No","Yes")</f>
        <v>Yes</v>
      </c>
      <c r="F51" s="229" t="str">
        <f>VLOOKUP(B51,'Participation info Aug 11'!$B$2:$I$296,8,FALSE)</f>
        <v>N</v>
      </c>
      <c r="G51" s="158" t="str">
        <f t="shared" si="1"/>
        <v>N/A</v>
      </c>
      <c r="H51" s="158" t="str">
        <f t="shared" si="4"/>
        <v/>
      </c>
      <c r="I51" s="158">
        <f>VLOOKUP($B51,Enrollment_old!$B$8:$H$302,3,FALSE)</f>
        <v>0</v>
      </c>
      <c r="J51" s="158">
        <f>VLOOKUP($B51,Enrollment_old!$B$8:$H$302,5,FALSE)</f>
        <v>0</v>
      </c>
      <c r="K51" s="158">
        <f t="shared" si="2"/>
        <v>0</v>
      </c>
      <c r="P51" s="158" t="str">
        <f t="shared" si="3"/>
        <v>N</v>
      </c>
    </row>
    <row r="52" spans="1:16">
      <c r="A52" s="158" t="s">
        <v>595</v>
      </c>
      <c r="B52" s="402" t="s">
        <v>159</v>
      </c>
      <c r="C52" s="400" t="s">
        <v>160</v>
      </c>
      <c r="D52" s="229">
        <f>VLOOKUP(B52,'Allocation 2011-12'!$B$9:$O$318,9,FALSE)</f>
        <v>5876</v>
      </c>
      <c r="E52" s="382" t="str">
        <f>IF(VLOOKUP(B52,'Participation info Aug 11'!$B$2:$H$296,7,FALSE)="No","No","Yes")</f>
        <v>Yes</v>
      </c>
      <c r="F52" s="229" t="str">
        <f>VLOOKUP(B52,'Participation info Aug 11'!$B$2:$I$296,8,FALSE)</f>
        <v>Quinault</v>
      </c>
      <c r="G52" s="158" t="str">
        <f t="shared" si="1"/>
        <v>Y</v>
      </c>
      <c r="H52" s="158" t="str">
        <f t="shared" si="4"/>
        <v/>
      </c>
      <c r="I52" s="158">
        <f>VLOOKUP($B52,Enrollment_old!$B$8:$H$302,3,FALSE)</f>
        <v>24</v>
      </c>
      <c r="J52" s="158">
        <f>VLOOKUP($B52,Enrollment_old!$B$8:$H$302,5,FALSE)</f>
        <v>0</v>
      </c>
      <c r="K52" s="158">
        <f t="shared" si="2"/>
        <v>24</v>
      </c>
      <c r="P52" s="158" t="str">
        <f t="shared" si="3"/>
        <v>Y</v>
      </c>
    </row>
    <row r="53" spans="1:16">
      <c r="A53" s="158" t="s">
        <v>600</v>
      </c>
      <c r="B53" s="402" t="s">
        <v>41</v>
      </c>
      <c r="C53" s="400" t="s">
        <v>42</v>
      </c>
      <c r="D53" s="229">
        <f>VLOOKUP(B53,'Allocation 2011-12'!$B$9:$O$318,9,FALSE)</f>
        <v>0</v>
      </c>
      <c r="E53" s="382" t="str">
        <f>IF(VLOOKUP(B53,'Participation info Aug 11'!$B$2:$H$296,7,FALSE)="No","No","Yes")</f>
        <v>Yes</v>
      </c>
      <c r="F53" s="229" t="str">
        <f>VLOOKUP(B53,'Participation info Aug 11'!$B$2:$I$296,8,FALSE)</f>
        <v>N</v>
      </c>
      <c r="G53" s="158" t="str">
        <f t="shared" si="1"/>
        <v>N/A</v>
      </c>
      <c r="H53" s="158" t="str">
        <f t="shared" si="4"/>
        <v/>
      </c>
      <c r="I53" s="158">
        <f>VLOOKUP($B53,Enrollment_old!$B$8:$H$302,3,FALSE)</f>
        <v>0</v>
      </c>
      <c r="J53" s="158">
        <f>VLOOKUP($B53,Enrollment_old!$B$8:$H$302,5,FALSE)</f>
        <v>0</v>
      </c>
      <c r="K53" s="158">
        <f t="shared" si="2"/>
        <v>0</v>
      </c>
      <c r="P53" s="158" t="str">
        <f t="shared" si="3"/>
        <v>N</v>
      </c>
    </row>
    <row r="54" spans="1:16">
      <c r="A54" s="158" t="s">
        <v>603</v>
      </c>
      <c r="B54" s="402" t="s">
        <v>285</v>
      </c>
      <c r="C54" s="400" t="s">
        <v>286</v>
      </c>
      <c r="D54" s="229">
        <f>VLOOKUP(B54,'Allocation 2011-12'!$B$9:$O$318,9,FALSE)</f>
        <v>0</v>
      </c>
      <c r="E54" s="382" t="str">
        <f>IF(VLOOKUP(B54,'Participation info Aug 11'!$B$2:$H$296,7,FALSE)="No","No","Yes")</f>
        <v>Yes</v>
      </c>
      <c r="F54" s="229" t="str">
        <f>VLOOKUP(B54,'Participation info Aug 11'!$B$2:$I$296,8,FALSE)</f>
        <v>N</v>
      </c>
      <c r="G54" s="158" t="str">
        <f t="shared" si="1"/>
        <v>N/A</v>
      </c>
      <c r="H54" s="158" t="str">
        <f t="shared" si="4"/>
        <v/>
      </c>
      <c r="I54" s="158">
        <f>VLOOKUP($B54,Enrollment_old!$B$8:$H$302,3,FALSE)</f>
        <v>0</v>
      </c>
      <c r="J54" s="158">
        <f>VLOOKUP($B54,Enrollment_old!$B$8:$H$302,5,FALSE)</f>
        <v>0</v>
      </c>
      <c r="K54" s="158">
        <f t="shared" si="2"/>
        <v>0</v>
      </c>
      <c r="P54" s="158" t="str">
        <f t="shared" si="3"/>
        <v>N</v>
      </c>
    </row>
    <row r="55" spans="1:16">
      <c r="A55" s="158" t="s">
        <v>603</v>
      </c>
      <c r="B55" s="402" t="s">
        <v>96</v>
      </c>
      <c r="C55" s="400" t="s">
        <v>97</v>
      </c>
      <c r="D55" s="229">
        <f>VLOOKUP(B55,'Allocation 2011-12'!$B$9:$O$318,9,FALSE)</f>
        <v>0</v>
      </c>
      <c r="E55" s="382" t="str">
        <f>IF(VLOOKUP(B55,'Participation info Aug 11'!$B$2:$H$296,7,FALSE)="No","No","Yes")</f>
        <v>Yes</v>
      </c>
      <c r="F55" s="229" t="str">
        <f>VLOOKUP(B55,'Participation info Aug 11'!$B$2:$I$296,8,FALSE)</f>
        <v>N</v>
      </c>
      <c r="G55" s="158" t="str">
        <f t="shared" si="1"/>
        <v>N/A</v>
      </c>
      <c r="H55" s="158" t="str">
        <f t="shared" si="4"/>
        <v/>
      </c>
      <c r="I55" s="158">
        <f>VLOOKUP($B55,Enrollment_old!$B$8:$H$302,3,FALSE)</f>
        <v>0</v>
      </c>
      <c r="J55" s="158">
        <f>VLOOKUP($B55,Enrollment_old!$B$8:$H$302,5,FALSE)</f>
        <v>0</v>
      </c>
      <c r="K55" s="158">
        <f t="shared" si="2"/>
        <v>0</v>
      </c>
      <c r="P55" s="158" t="str">
        <f t="shared" si="3"/>
        <v>N</v>
      </c>
    </row>
    <row r="56" spans="1:16">
      <c r="A56" s="158" t="s">
        <v>603</v>
      </c>
      <c r="B56" s="402" t="s">
        <v>338</v>
      </c>
      <c r="C56" s="400" t="s">
        <v>339</v>
      </c>
      <c r="D56" s="229">
        <f>VLOOKUP(B56,'Allocation 2011-12'!$B$9:$O$318,9,FALSE)</f>
        <v>0</v>
      </c>
      <c r="E56" s="382" t="str">
        <f>IF(VLOOKUP(B56,'Participation info Aug 11'!$B$2:$H$296,7,FALSE)="No","No","Yes")</f>
        <v>Yes</v>
      </c>
      <c r="F56" s="229" t="str">
        <f>VLOOKUP(B56,'Participation info Aug 11'!$B$2:$I$296,8,FALSE)</f>
        <v>N</v>
      </c>
      <c r="G56" s="158" t="str">
        <f t="shared" si="1"/>
        <v>N/A</v>
      </c>
      <c r="H56" s="158" t="str">
        <f t="shared" si="4"/>
        <v/>
      </c>
      <c r="I56" s="158">
        <f>VLOOKUP($B56,Enrollment_old!$B$8:$H$302,3,FALSE)</f>
        <v>0</v>
      </c>
      <c r="J56" s="158">
        <f>VLOOKUP($B56,Enrollment_old!$B$8:$H$302,5,FALSE)</f>
        <v>0</v>
      </c>
      <c r="K56" s="158">
        <f t="shared" si="2"/>
        <v>0</v>
      </c>
      <c r="P56" s="158" t="str">
        <f t="shared" si="3"/>
        <v>N</v>
      </c>
    </row>
    <row r="57" spans="1:16">
      <c r="A57" s="158" t="s">
        <v>605</v>
      </c>
      <c r="B57" s="402" t="s">
        <v>220</v>
      </c>
      <c r="C57" s="400" t="s">
        <v>221</v>
      </c>
      <c r="D57" s="229">
        <f>VLOOKUP(B57,'Allocation 2011-12'!$B$9:$O$318,9,FALSE)</f>
        <v>0</v>
      </c>
      <c r="E57" s="382" t="str">
        <f>IF(VLOOKUP(B57,'Participation info Aug 11'!$B$2:$H$296,7,FALSE)="No","No","Yes")</f>
        <v>Yes</v>
      </c>
      <c r="F57" s="229" t="str">
        <f>VLOOKUP(B57,'Participation info Aug 11'!$B$2:$I$296,8,FALSE)</f>
        <v>N</v>
      </c>
      <c r="G57" s="158" t="str">
        <f t="shared" si="1"/>
        <v>N/A</v>
      </c>
      <c r="H57" s="158" t="str">
        <f t="shared" si="4"/>
        <v/>
      </c>
      <c r="I57" s="158">
        <f>VLOOKUP($B57,Enrollment_old!$B$8:$H$302,3,FALSE)</f>
        <v>0</v>
      </c>
      <c r="J57" s="158">
        <f>VLOOKUP($B57,Enrollment_old!$B$8:$H$302,5,FALSE)</f>
        <v>0</v>
      </c>
      <c r="K57" s="158">
        <f t="shared" si="2"/>
        <v>0</v>
      </c>
      <c r="P57" s="158" t="str">
        <f t="shared" si="3"/>
        <v>N</v>
      </c>
    </row>
    <row r="58" spans="1:16">
      <c r="A58" s="158" t="s">
        <v>595</v>
      </c>
      <c r="B58" s="402" t="s">
        <v>417</v>
      </c>
      <c r="C58" s="400" t="s">
        <v>418</v>
      </c>
      <c r="D58" s="229">
        <f>VLOOKUP(B58,'Allocation 2011-12'!$B$9:$O$318,9,FALSE)</f>
        <v>0</v>
      </c>
      <c r="E58" s="382" t="str">
        <f>IF(VLOOKUP(B58,'Participation info Aug 11'!$B$2:$H$296,7,FALSE)="No","No","Yes")</f>
        <v>Yes</v>
      </c>
      <c r="F58" s="229" t="str">
        <f>VLOOKUP(B58,'Participation info Aug 11'!$B$2:$I$296,8,FALSE)</f>
        <v>N</v>
      </c>
      <c r="G58" s="158" t="str">
        <f t="shared" si="1"/>
        <v>N/A</v>
      </c>
      <c r="H58" s="158" t="str">
        <f t="shared" si="4"/>
        <v/>
      </c>
      <c r="I58" s="158">
        <f>VLOOKUP($B58,Enrollment_old!$B$8:$H$302,3,FALSE)</f>
        <v>0</v>
      </c>
      <c r="J58" s="158">
        <f>VLOOKUP($B58,Enrollment_old!$B$8:$H$302,5,FALSE)</f>
        <v>0</v>
      </c>
      <c r="K58" s="158">
        <f t="shared" si="2"/>
        <v>0</v>
      </c>
      <c r="P58" s="158" t="str">
        <f t="shared" si="3"/>
        <v>N</v>
      </c>
    </row>
    <row r="59" spans="1:16">
      <c r="A59" s="158" t="s">
        <v>603</v>
      </c>
      <c r="B59" s="402" t="s">
        <v>293</v>
      </c>
      <c r="C59" s="400" t="s">
        <v>294</v>
      </c>
      <c r="D59" s="229">
        <f>VLOOKUP(B59,'Allocation 2011-12'!$B$9:$O$318,9,FALSE)</f>
        <v>0</v>
      </c>
      <c r="E59" s="382" t="str">
        <f>IF(VLOOKUP(B59,'Participation info Aug 11'!$B$2:$H$296,7,FALSE)="No","No","Yes")</f>
        <v>Yes</v>
      </c>
      <c r="F59" s="229" t="str">
        <f>VLOOKUP(B59,'Participation info Aug 11'!$B$2:$I$296,8,FALSE)</f>
        <v>N</v>
      </c>
      <c r="G59" s="158" t="str">
        <f t="shared" si="1"/>
        <v>N/A</v>
      </c>
      <c r="H59" s="158" t="str">
        <f t="shared" si="4"/>
        <v/>
      </c>
      <c r="I59" s="158">
        <f>VLOOKUP($B59,Enrollment_old!$B$8:$H$302,3,FALSE)</f>
        <v>0</v>
      </c>
      <c r="J59" s="158">
        <f>VLOOKUP($B59,Enrollment_old!$B$8:$H$302,5,FALSE)</f>
        <v>0</v>
      </c>
      <c r="K59" s="158">
        <f t="shared" si="2"/>
        <v>0</v>
      </c>
      <c r="P59" s="158" t="str">
        <f t="shared" si="3"/>
        <v>N</v>
      </c>
    </row>
    <row r="60" spans="1:16">
      <c r="A60" s="158" t="s">
        <v>596</v>
      </c>
      <c r="B60" s="402" t="s">
        <v>66</v>
      </c>
      <c r="C60" s="401" t="s">
        <v>758</v>
      </c>
      <c r="D60" s="229">
        <f>VLOOKUP(B60,'Allocation 2011-12'!$B$9:$O$318,9,FALSE)</f>
        <v>0</v>
      </c>
      <c r="E60" s="382" t="str">
        <f>IF(VLOOKUP(B60,'Participation info Aug 11'!$B$2:$H$296,7,FALSE)="No","No","Yes")</f>
        <v>Yes</v>
      </c>
      <c r="F60" s="229" t="str">
        <f>VLOOKUP(B60,'Participation info Aug 11'!$B$2:$I$296,8,FALSE)</f>
        <v>N</v>
      </c>
      <c r="G60" s="158" t="str">
        <f t="shared" si="1"/>
        <v>N/A</v>
      </c>
      <c r="H60" s="158" t="str">
        <f t="shared" si="4"/>
        <v/>
      </c>
      <c r="I60" s="158">
        <f>VLOOKUP($B60,Enrollment_old!$B$8:$H$302,3,FALSE)</f>
        <v>1</v>
      </c>
      <c r="J60" s="158">
        <f>VLOOKUP($B60,Enrollment_old!$B$8:$H$302,5,FALSE)</f>
        <v>0</v>
      </c>
      <c r="K60" s="158">
        <f t="shared" si="2"/>
        <v>1</v>
      </c>
      <c r="P60" s="158" t="str">
        <f t="shared" si="3"/>
        <v>N</v>
      </c>
    </row>
    <row r="61" spans="1:16">
      <c r="A61" s="158" t="s">
        <v>603</v>
      </c>
      <c r="B61" s="402" t="s">
        <v>444</v>
      </c>
      <c r="C61" s="400" t="s">
        <v>445</v>
      </c>
      <c r="D61" s="229">
        <f>VLOOKUP(B61,'Allocation 2011-12'!$B$9:$O$318,9,FALSE)</f>
        <v>797</v>
      </c>
      <c r="E61" s="382" t="str">
        <f>IF(VLOOKUP(B61,'Participation info Aug 11'!$B$2:$H$296,7,FALSE)="No","No","Yes")</f>
        <v>Yes</v>
      </c>
      <c r="F61" s="229" t="str">
        <f>VLOOKUP(B61,'Participation info Aug 11'!$B$2:$I$296,8,FALSE)</f>
        <v>N</v>
      </c>
      <c r="G61" s="158" t="str">
        <f t="shared" si="1"/>
        <v>NC</v>
      </c>
      <c r="H61" s="158">
        <f t="shared" si="4"/>
        <v>1</v>
      </c>
      <c r="I61" s="158">
        <f>VLOOKUP($B61,Enrollment_old!$B$8:$H$302,3,FALSE)</f>
        <v>7.43</v>
      </c>
      <c r="J61" s="158">
        <f>VLOOKUP($B61,Enrollment_old!$B$8:$H$302,5,FALSE)</f>
        <v>0</v>
      </c>
      <c r="K61" s="158">
        <f t="shared" si="2"/>
        <v>7.43</v>
      </c>
      <c r="P61" s="158" t="str">
        <f t="shared" si="3"/>
        <v>N</v>
      </c>
    </row>
    <row r="62" spans="1:16">
      <c r="A62" s="158" t="s">
        <v>597</v>
      </c>
      <c r="B62" s="402" t="s">
        <v>353</v>
      </c>
      <c r="C62" s="400" t="s">
        <v>354</v>
      </c>
      <c r="D62" s="229">
        <f>VLOOKUP(B62,'Allocation 2011-12'!$B$9:$O$318,9,FALSE)</f>
        <v>3099</v>
      </c>
      <c r="E62" s="382" t="str">
        <f>IF(VLOOKUP(B62,'Participation info Aug 11'!$B$2:$H$296,7,FALSE)="No","No","Yes")</f>
        <v>Yes</v>
      </c>
      <c r="F62" s="229" t="str">
        <f>VLOOKUP(B62,'Participation info Aug 11'!$B$2:$I$296,8,FALSE)</f>
        <v>Quinault</v>
      </c>
      <c r="G62" s="158" t="str">
        <f t="shared" si="1"/>
        <v>Y</v>
      </c>
      <c r="H62" s="158" t="str">
        <f t="shared" si="4"/>
        <v/>
      </c>
      <c r="I62" s="158">
        <f>VLOOKUP($B62,Enrollment_old!$B$8:$H$302,3,FALSE)</f>
        <v>26.57</v>
      </c>
      <c r="J62" s="158">
        <f>VLOOKUP($B62,Enrollment_old!$B$8:$H$302,5,FALSE)</f>
        <v>0</v>
      </c>
      <c r="K62" s="158">
        <f t="shared" si="2"/>
        <v>26.57</v>
      </c>
      <c r="P62" s="158" t="str">
        <f t="shared" si="3"/>
        <v>Y</v>
      </c>
    </row>
    <row r="63" spans="1:16">
      <c r="A63" s="158" t="s">
        <v>596</v>
      </c>
      <c r="B63" s="402" t="s">
        <v>490</v>
      </c>
      <c r="C63" s="400" t="s">
        <v>491</v>
      </c>
      <c r="D63" s="229">
        <f>VLOOKUP(B63,'Allocation 2011-12'!$B$9:$O$318,9,FALSE)</f>
        <v>0</v>
      </c>
      <c r="E63" s="382" t="str">
        <f>IF(VLOOKUP(B63,'Participation info Aug 11'!$B$2:$H$296,7,FALSE)="No","No","Yes")</f>
        <v>Yes</v>
      </c>
      <c r="F63" s="229" t="str">
        <f>VLOOKUP(B63,'Participation info Aug 11'!$B$2:$I$296,8,FALSE)</f>
        <v>N</v>
      </c>
      <c r="G63" s="158" t="str">
        <f t="shared" si="1"/>
        <v>N/A</v>
      </c>
      <c r="H63" s="158" t="str">
        <f t="shared" si="4"/>
        <v/>
      </c>
      <c r="I63" s="158">
        <f>VLOOKUP($B63,Enrollment_old!$B$8:$H$302,3,FALSE)</f>
        <v>0</v>
      </c>
      <c r="J63" s="158">
        <f>VLOOKUP($B63,Enrollment_old!$B$8:$H$302,5,FALSE)</f>
        <v>0</v>
      </c>
      <c r="K63" s="158">
        <f t="shared" si="2"/>
        <v>0</v>
      </c>
      <c r="P63" s="158" t="str">
        <f t="shared" si="3"/>
        <v>N</v>
      </c>
    </row>
    <row r="64" spans="1:16">
      <c r="A64" s="158" t="s">
        <v>603</v>
      </c>
      <c r="B64" s="402" t="s">
        <v>440</v>
      </c>
      <c r="C64" s="400" t="s">
        <v>606</v>
      </c>
      <c r="D64" s="229">
        <f>VLOOKUP(B64,'Allocation 2011-12'!$B$9:$O$318,9,FALSE)</f>
        <v>21952</v>
      </c>
      <c r="E64" s="382" t="str">
        <f>IF(VLOOKUP(B64,'Participation info Aug 11'!$B$2:$H$296,7,FALSE)="No","No","Yes")</f>
        <v>Yes</v>
      </c>
      <c r="F64" s="229" t="str">
        <f>VLOOKUP(B64,'Participation info Aug 11'!$B$2:$I$296,8,FALSE)</f>
        <v>N</v>
      </c>
      <c r="G64" s="158" t="str">
        <f t="shared" si="1"/>
        <v>Y</v>
      </c>
      <c r="H64" s="158" t="str">
        <f t="shared" si="4"/>
        <v/>
      </c>
      <c r="I64" s="158">
        <f>VLOOKUP($B64,Enrollment_old!$B$8:$H$302,3,FALSE)</f>
        <v>119.71</v>
      </c>
      <c r="J64" s="158">
        <f>VLOOKUP($B64,Enrollment_old!$B$8:$H$302,5,FALSE)</f>
        <v>0</v>
      </c>
      <c r="K64" s="158">
        <f t="shared" si="2"/>
        <v>119.71</v>
      </c>
      <c r="P64" s="158" t="str">
        <f t="shared" si="3"/>
        <v>Y</v>
      </c>
    </row>
    <row r="65" spans="1:16">
      <c r="A65" s="158" t="s">
        <v>605</v>
      </c>
      <c r="B65" s="402" t="s">
        <v>549</v>
      </c>
      <c r="C65" s="400" t="s">
        <v>550</v>
      </c>
      <c r="D65" s="229">
        <f>VLOOKUP(B65,'Allocation 2011-12'!$B$9:$O$318,9,FALSE)</f>
        <v>42936</v>
      </c>
      <c r="E65" s="382" t="str">
        <f>IF(VLOOKUP(B65,'Participation info Aug 11'!$B$2:$H$296,7,FALSE)="No","No","Yes")</f>
        <v>Yes</v>
      </c>
      <c r="F65" s="229" t="str">
        <f>VLOOKUP(B65,'Participation info Aug 11'!$B$2:$I$296,8,FALSE)</f>
        <v>N</v>
      </c>
      <c r="G65" s="158" t="str">
        <f t="shared" si="1"/>
        <v>Y</v>
      </c>
      <c r="H65" s="158" t="str">
        <f t="shared" si="4"/>
        <v/>
      </c>
      <c r="I65" s="158">
        <f>VLOOKUP($B65,Enrollment_old!$B$8:$H$302,3,FALSE)</f>
        <v>350.86</v>
      </c>
      <c r="J65" s="158">
        <f>VLOOKUP($B65,Enrollment_old!$B$8:$H$302,5,FALSE)</f>
        <v>0</v>
      </c>
      <c r="K65" s="158">
        <f t="shared" si="2"/>
        <v>350.86</v>
      </c>
      <c r="P65" s="158" t="str">
        <f t="shared" si="3"/>
        <v>Y</v>
      </c>
    </row>
    <row r="66" spans="1:16">
      <c r="A66" s="158" t="s">
        <v>601</v>
      </c>
      <c r="B66" s="402" t="s">
        <v>88</v>
      </c>
      <c r="C66" s="400" t="s">
        <v>89</v>
      </c>
      <c r="D66" s="229">
        <f>VLOOKUP(B66,'Allocation 2011-12'!$B$9:$O$318,9,FALSE)</f>
        <v>157085</v>
      </c>
      <c r="E66" s="382" t="str">
        <f>IF(VLOOKUP(B66,'Participation info Aug 11'!$B$2:$H$296,7,FALSE)="No","No","Yes")</f>
        <v>Yes</v>
      </c>
      <c r="F66" s="229" t="str">
        <f>VLOOKUP(B66,'Participation info Aug 11'!$B$2:$I$296,8,FALSE)</f>
        <v>N</v>
      </c>
      <c r="G66" s="158" t="str">
        <f t="shared" si="1"/>
        <v>Y</v>
      </c>
      <c r="H66" s="158" t="str">
        <f t="shared" si="4"/>
        <v/>
      </c>
      <c r="I66" s="158">
        <f>VLOOKUP($B66,Enrollment_old!$B$8:$H$302,3,FALSE)</f>
        <v>1037.8599999999999</v>
      </c>
      <c r="J66" s="158">
        <f>VLOOKUP($B66,Enrollment_old!$B$8:$H$302,5,FALSE)</f>
        <v>0</v>
      </c>
      <c r="K66" s="158">
        <f t="shared" si="2"/>
        <v>1037.8599999999999</v>
      </c>
      <c r="P66" s="158" t="str">
        <f t="shared" si="3"/>
        <v>Y</v>
      </c>
    </row>
    <row r="67" spans="1:16">
      <c r="A67" s="158" t="s">
        <v>605</v>
      </c>
      <c r="B67" s="402" t="s">
        <v>222</v>
      </c>
      <c r="C67" s="400" t="s">
        <v>223</v>
      </c>
      <c r="D67" s="229">
        <f>VLOOKUP(B67,'Allocation 2011-12'!$B$9:$O$318,9,FALSE)</f>
        <v>1033</v>
      </c>
      <c r="E67" s="382" t="str">
        <f>IF(VLOOKUP(B67,'Participation info Aug 11'!$B$2:$H$296,7,FALSE)="No","No","Yes")</f>
        <v>Yes</v>
      </c>
      <c r="F67" s="229" t="str">
        <f>VLOOKUP(B67,'Participation info Aug 11'!$B$2:$I$296,8,FALSE)</f>
        <v>ESD 105</v>
      </c>
      <c r="G67" s="158" t="str">
        <f t="shared" si="1"/>
        <v>Y</v>
      </c>
      <c r="H67" s="158" t="str">
        <f t="shared" si="4"/>
        <v/>
      </c>
      <c r="I67" s="158">
        <f>VLOOKUP($B67,Enrollment_old!$B$8:$H$302,3,FALSE)</f>
        <v>13.57</v>
      </c>
      <c r="J67" s="158">
        <f>VLOOKUP($B67,Enrollment_old!$B$8:$H$302,5,FALSE)</f>
        <v>0</v>
      </c>
      <c r="K67" s="158">
        <f t="shared" si="2"/>
        <v>13.57</v>
      </c>
      <c r="P67" s="158" t="str">
        <f t="shared" si="3"/>
        <v>Y</v>
      </c>
    </row>
    <row r="68" spans="1:16">
      <c r="A68" s="158" t="s">
        <v>597</v>
      </c>
      <c r="B68" s="402" t="s">
        <v>365</v>
      </c>
      <c r="C68" s="400" t="s">
        <v>366</v>
      </c>
      <c r="D68" s="229">
        <f>VLOOKUP(B68,'Allocation 2011-12'!$B$9:$O$318,9,FALSE)</f>
        <v>2109</v>
      </c>
      <c r="E68" s="382" t="str">
        <f>IF(VLOOKUP(B68,'Participation info Aug 11'!$B$2:$H$296,7,FALSE)="No","No","Yes")</f>
        <v>Yes</v>
      </c>
      <c r="F68" s="229" t="str">
        <f>VLOOKUP(B68,'Participation info Aug 11'!$B$2:$I$296,8,FALSE)</f>
        <v>N</v>
      </c>
      <c r="G68" s="158" t="str">
        <f t="shared" si="1"/>
        <v>NC</v>
      </c>
      <c r="H68" s="158">
        <f t="shared" si="4"/>
        <v>1</v>
      </c>
      <c r="I68" s="158">
        <f>VLOOKUP($B68,Enrollment_old!$B$8:$H$302,3,FALSE)</f>
        <v>7</v>
      </c>
      <c r="J68" s="158">
        <f>VLOOKUP($B68,Enrollment_old!$B$8:$H$302,5,FALSE)</f>
        <v>0</v>
      </c>
      <c r="K68" s="158">
        <f t="shared" si="2"/>
        <v>7</v>
      </c>
      <c r="P68" s="158" t="str">
        <f t="shared" ref="P68:P131" si="5">IF(AND(E68="yes",D68&gt;0),IF(AND(D68&lt;10000,F68="N"),"N","Y"),"N")</f>
        <v>N</v>
      </c>
    </row>
    <row r="69" spans="1:16">
      <c r="A69" s="158" t="s">
        <v>595</v>
      </c>
      <c r="B69" s="402" t="s">
        <v>401</v>
      </c>
      <c r="C69" s="400" t="s">
        <v>402</v>
      </c>
      <c r="D69" s="229">
        <f>VLOOKUP(B69,'Allocation 2011-12'!$B$9:$O$318,9,FALSE)</f>
        <v>338357</v>
      </c>
      <c r="E69" s="382" t="str">
        <f>IF(VLOOKUP(B69,'Participation info Aug 11'!$B$2:$H$296,7,FALSE)="No","No","Yes")</f>
        <v>Yes</v>
      </c>
      <c r="F69" s="229" t="str">
        <f>VLOOKUP(B69,'Participation info Aug 11'!$B$2:$I$296,8,FALSE)</f>
        <v>N</v>
      </c>
      <c r="G69" s="158" t="str">
        <f t="shared" ref="G69:G132" si="6">IF(AND($E69="yes",$D69&gt;0),IF(AND($D69&lt;10000,$F69="N"),"NC","Y"),IF(D69=0,"N/A","N"))</f>
        <v>Y</v>
      </c>
      <c r="H69" s="158" t="str">
        <f t="shared" si="4"/>
        <v/>
      </c>
      <c r="I69" s="158">
        <f>VLOOKUP($B69,Enrollment_old!$B$8:$H$302,3,FALSE)</f>
        <v>2230</v>
      </c>
      <c r="J69" s="158">
        <f>VLOOKUP($B69,Enrollment_old!$B$8:$H$302,5,FALSE)</f>
        <v>0</v>
      </c>
      <c r="K69" s="158">
        <f t="shared" ref="K69:K132" si="7">I69+J69</f>
        <v>2230</v>
      </c>
      <c r="P69" s="158" t="str">
        <f t="shared" si="5"/>
        <v>Y</v>
      </c>
    </row>
    <row r="70" spans="1:16">
      <c r="A70" s="158" t="s">
        <v>605</v>
      </c>
      <c r="B70" s="402" t="s">
        <v>226</v>
      </c>
      <c r="C70" s="400" t="s">
        <v>227</v>
      </c>
      <c r="D70" s="229">
        <f>VLOOKUP(B70,'Allocation 2011-12'!$B$9:$O$318,9,FALSE)</f>
        <v>36586</v>
      </c>
      <c r="E70" s="382" t="str">
        <f>IF(VLOOKUP(B70,'Participation info Aug 11'!$B$2:$H$296,7,FALSE)="No","No","Yes")</f>
        <v>Yes</v>
      </c>
      <c r="F70" s="229" t="str">
        <f>VLOOKUP(B70,'Participation info Aug 11'!$B$2:$I$296,8,FALSE)</f>
        <v>N</v>
      </c>
      <c r="G70" s="158" t="str">
        <f t="shared" si="6"/>
        <v>Y</v>
      </c>
      <c r="H70" s="158" t="str">
        <f t="shared" si="4"/>
        <v/>
      </c>
      <c r="I70" s="158">
        <f>VLOOKUP($B70,Enrollment_old!$B$8:$H$302,3,FALSE)</f>
        <v>231.86</v>
      </c>
      <c r="J70" s="158">
        <f>VLOOKUP($B70,Enrollment_old!$B$8:$H$302,5,FALSE)</f>
        <v>39</v>
      </c>
      <c r="K70" s="158">
        <f t="shared" si="7"/>
        <v>270.86</v>
      </c>
      <c r="P70" s="158" t="str">
        <f t="shared" si="5"/>
        <v>Y</v>
      </c>
    </row>
    <row r="71" spans="1:16">
      <c r="A71" s="158" t="s">
        <v>594</v>
      </c>
      <c r="B71" s="402" t="s">
        <v>141</v>
      </c>
      <c r="C71" s="400" t="s">
        <v>142</v>
      </c>
      <c r="D71" s="229">
        <f>VLOOKUP(B71,'Allocation 2011-12'!$B$9:$O$318,9,FALSE)</f>
        <v>16571</v>
      </c>
      <c r="E71" s="382" t="str">
        <f>IF(VLOOKUP(B71,'Participation info Aug 11'!$B$2:$H$296,7,FALSE)="No","No","Yes")</f>
        <v>Yes</v>
      </c>
      <c r="F71" s="229" t="str">
        <f>VLOOKUP(B71,'Participation info Aug 11'!$B$2:$I$296,8,FALSE)</f>
        <v>N</v>
      </c>
      <c r="G71" s="158" t="str">
        <f t="shared" si="6"/>
        <v>Y</v>
      </c>
      <c r="H71" s="158" t="str">
        <f t="shared" si="4"/>
        <v/>
      </c>
      <c r="I71" s="158">
        <f>VLOOKUP($B71,Enrollment_old!$B$8:$H$302,3,FALSE)</f>
        <v>104.29</v>
      </c>
      <c r="J71" s="158">
        <f>VLOOKUP($B71,Enrollment_old!$B$8:$H$302,5,FALSE)</f>
        <v>0</v>
      </c>
      <c r="K71" s="158">
        <f t="shared" si="7"/>
        <v>104.29</v>
      </c>
      <c r="P71" s="158" t="str">
        <f t="shared" si="5"/>
        <v>Y</v>
      </c>
    </row>
    <row r="72" spans="1:16">
      <c r="A72" s="158" t="s">
        <v>603</v>
      </c>
      <c r="B72" s="402" t="s">
        <v>535</v>
      </c>
      <c r="C72" s="400" t="s">
        <v>536</v>
      </c>
      <c r="D72" s="229">
        <f>VLOOKUP(B72,'Allocation 2011-12'!$B$9:$O$318,9,FALSE)</f>
        <v>0</v>
      </c>
      <c r="E72" s="382" t="str">
        <f>IF(VLOOKUP(B72,'Participation info Aug 11'!$B$2:$H$296,7,FALSE)="No","No","Yes")</f>
        <v>Yes</v>
      </c>
      <c r="F72" s="229" t="str">
        <f>VLOOKUP(B72,'Participation info Aug 11'!$B$2:$I$296,8,FALSE)</f>
        <v>N</v>
      </c>
      <c r="G72" s="158" t="str">
        <f t="shared" si="6"/>
        <v>N/A</v>
      </c>
      <c r="H72" s="158" t="str">
        <f t="shared" si="4"/>
        <v/>
      </c>
      <c r="I72" s="158">
        <f>VLOOKUP($B72,Enrollment_old!$B$8:$H$302,3,FALSE)</f>
        <v>0</v>
      </c>
      <c r="J72" s="158">
        <f>VLOOKUP($B72,Enrollment_old!$B$8:$H$302,5,FALSE)</f>
        <v>0</v>
      </c>
      <c r="K72" s="158">
        <f t="shared" si="7"/>
        <v>0</v>
      </c>
      <c r="P72" s="158" t="str">
        <f t="shared" si="5"/>
        <v>N</v>
      </c>
    </row>
    <row r="73" spans="1:16">
      <c r="A73" s="158" t="s">
        <v>601</v>
      </c>
      <c r="B73" s="402" t="s">
        <v>29</v>
      </c>
      <c r="C73" s="400" t="s">
        <v>30</v>
      </c>
      <c r="D73" s="229">
        <f>VLOOKUP(B73,'Allocation 2011-12'!$B$9:$O$318,9,FALSE)</f>
        <v>8287</v>
      </c>
      <c r="E73" s="382" t="str">
        <f>IF(VLOOKUP(B73,'Participation info Aug 11'!$B$2:$H$296,7,FALSE)="No","No","Yes")</f>
        <v>Yes</v>
      </c>
      <c r="F73" s="229" t="str">
        <f>VLOOKUP(B73,'Participation info Aug 11'!$B$2:$I$296,8,FALSE)</f>
        <v>Entiate- Lead</v>
      </c>
      <c r="G73" s="158" t="str">
        <f t="shared" si="6"/>
        <v>Y</v>
      </c>
      <c r="H73" s="158" t="str">
        <f t="shared" si="4"/>
        <v/>
      </c>
      <c r="I73" s="158">
        <f>VLOOKUP($B73,Enrollment_old!$B$8:$H$302,3,FALSE)</f>
        <v>48.29</v>
      </c>
      <c r="J73" s="158">
        <f>VLOOKUP($B73,Enrollment_old!$B$8:$H$302,5,FALSE)</f>
        <v>0</v>
      </c>
      <c r="K73" s="158">
        <f t="shared" si="7"/>
        <v>48.29</v>
      </c>
      <c r="P73" s="158" t="str">
        <f t="shared" si="5"/>
        <v>Y</v>
      </c>
    </row>
    <row r="74" spans="1:16">
      <c r="A74" s="158" t="s">
        <v>597</v>
      </c>
      <c r="B74" s="402" t="s">
        <v>177</v>
      </c>
      <c r="C74" s="400" t="s">
        <v>178</v>
      </c>
      <c r="D74" s="229">
        <f>VLOOKUP(B74,'Allocation 2011-12'!$B$9:$O$318,9,FALSE)</f>
        <v>30324</v>
      </c>
      <c r="E74" s="382" t="str">
        <f>IF(VLOOKUP(B74,'Participation info Aug 11'!$B$2:$H$296,7,FALSE)="No","No","Yes")</f>
        <v>Yes</v>
      </c>
      <c r="F74" s="229" t="str">
        <f>VLOOKUP(B74,'Participation info Aug 11'!$B$2:$I$296,8,FALSE)</f>
        <v>N</v>
      </c>
      <c r="G74" s="158" t="str">
        <f t="shared" si="6"/>
        <v>Y</v>
      </c>
      <c r="H74" s="158" t="str">
        <f t="shared" si="4"/>
        <v/>
      </c>
      <c r="I74" s="158">
        <f>VLOOKUP($B74,Enrollment_old!$B$8:$H$302,3,FALSE)</f>
        <v>204.43</v>
      </c>
      <c r="J74" s="158">
        <f>VLOOKUP($B74,Enrollment_old!$B$8:$H$302,5,FALSE)</f>
        <v>0</v>
      </c>
      <c r="K74" s="158">
        <f t="shared" si="7"/>
        <v>204.43</v>
      </c>
      <c r="P74" s="158" t="str">
        <f t="shared" si="5"/>
        <v>Y</v>
      </c>
    </row>
    <row r="75" spans="1:16">
      <c r="A75" s="158" t="s">
        <v>601</v>
      </c>
      <c r="B75" s="402" t="s">
        <v>127</v>
      </c>
      <c r="C75" s="400" t="s">
        <v>128</v>
      </c>
      <c r="D75" s="229">
        <f>VLOOKUP(B75,'Allocation 2011-12'!$B$9:$O$318,9,FALSE)</f>
        <v>32649</v>
      </c>
      <c r="E75" s="382" t="str">
        <f>IF(VLOOKUP(B75,'Participation info Aug 11'!$B$2:$H$296,7,FALSE)="No","No","Yes")</f>
        <v>Yes</v>
      </c>
      <c r="F75" s="229" t="str">
        <f>VLOOKUP(B75,'Participation info Aug 11'!$B$2:$I$296,8,FALSE)</f>
        <v>N</v>
      </c>
      <c r="G75" s="158" t="str">
        <f t="shared" si="6"/>
        <v>Y</v>
      </c>
      <c r="H75" s="158" t="str">
        <f t="shared" si="4"/>
        <v/>
      </c>
      <c r="I75" s="158">
        <f>VLOOKUP($B75,Enrollment_old!$B$8:$H$302,3,FALSE)</f>
        <v>226.43</v>
      </c>
      <c r="J75" s="158">
        <f>VLOOKUP($B75,Enrollment_old!$B$8:$H$302,5,FALSE)</f>
        <v>0</v>
      </c>
      <c r="K75" s="158">
        <f t="shared" si="7"/>
        <v>226.43</v>
      </c>
      <c r="P75" s="158" t="str">
        <f t="shared" si="5"/>
        <v>Y</v>
      </c>
    </row>
    <row r="76" spans="1:16">
      <c r="A76" s="158" t="s">
        <v>594</v>
      </c>
      <c r="B76" s="402" t="s">
        <v>256</v>
      </c>
      <c r="C76" s="400" t="s">
        <v>257</v>
      </c>
      <c r="D76" s="229">
        <f>VLOOKUP(B76,'Allocation 2011-12'!$B$9:$O$318,9,FALSE)</f>
        <v>0</v>
      </c>
      <c r="E76" s="382" t="str">
        <f>IF(VLOOKUP(B76,'Participation info Aug 11'!$B$2:$H$296,7,FALSE)="No","No","Yes")</f>
        <v>Yes</v>
      </c>
      <c r="F76" s="229" t="str">
        <f>VLOOKUP(B76,'Participation info Aug 11'!$B$2:$I$296,8,FALSE)</f>
        <v>N</v>
      </c>
      <c r="G76" s="158" t="str">
        <f t="shared" si="6"/>
        <v>N/A</v>
      </c>
      <c r="H76" s="158" t="str">
        <f t="shared" si="4"/>
        <v/>
      </c>
      <c r="I76" s="158">
        <f>VLOOKUP($B76,Enrollment_old!$B$8:$H$302,3,FALSE)</f>
        <v>0</v>
      </c>
      <c r="J76" s="158">
        <f>VLOOKUP($B76,Enrollment_old!$B$8:$H$302,5,FALSE)</f>
        <v>0</v>
      </c>
      <c r="K76" s="158">
        <f t="shared" si="7"/>
        <v>0</v>
      </c>
      <c r="P76" s="158" t="str">
        <f t="shared" si="5"/>
        <v>N</v>
      </c>
    </row>
    <row r="77" spans="1:16">
      <c r="A77" s="158" t="s">
        <v>595</v>
      </c>
      <c r="B77" s="402" t="s">
        <v>395</v>
      </c>
      <c r="C77" s="400" t="s">
        <v>396</v>
      </c>
      <c r="D77" s="229">
        <f>VLOOKUP(B77,'Allocation 2011-12'!$B$9:$O$318,9,FALSE)</f>
        <v>303472</v>
      </c>
      <c r="E77" s="382" t="str">
        <f>IF(VLOOKUP(B77,'Participation info Aug 11'!$B$2:$H$296,7,FALSE)="No","No","Yes")</f>
        <v>Yes</v>
      </c>
      <c r="F77" s="229" t="str">
        <f>VLOOKUP(B77,'Participation info Aug 11'!$B$2:$I$296,8,FALSE)</f>
        <v>N</v>
      </c>
      <c r="G77" s="158" t="str">
        <f t="shared" si="6"/>
        <v>Y</v>
      </c>
      <c r="H77" s="158" t="str">
        <f t="shared" si="4"/>
        <v/>
      </c>
      <c r="I77" s="158">
        <f>VLOOKUP($B77,Enrollment_old!$B$8:$H$302,3,FALSE)</f>
        <v>2016.57</v>
      </c>
      <c r="J77" s="158">
        <f>VLOOKUP($B77,Enrollment_old!$B$8:$H$302,5,FALSE)</f>
        <v>115</v>
      </c>
      <c r="K77" s="158">
        <f t="shared" si="7"/>
        <v>2131.5699999999997</v>
      </c>
      <c r="P77" s="158" t="str">
        <f t="shared" si="5"/>
        <v>Y</v>
      </c>
    </row>
    <row r="78" spans="1:16">
      <c r="A78" s="158" t="s">
        <v>599</v>
      </c>
      <c r="B78" s="402" t="s">
        <v>58</v>
      </c>
      <c r="C78" s="400" t="s">
        <v>59</v>
      </c>
      <c r="D78" s="229">
        <f>VLOOKUP(B78,'Allocation 2011-12'!$B$9:$O$318,9,FALSE)</f>
        <v>376645</v>
      </c>
      <c r="E78" s="382" t="str">
        <f>IF(VLOOKUP(B78,'Participation info Aug 11'!$B$2:$H$296,7,FALSE)="No","No","Yes")</f>
        <v>Yes</v>
      </c>
      <c r="F78" s="229" t="str">
        <f>VLOOKUP(B78,'Participation info Aug 11'!$B$2:$I$296,8,FALSE)</f>
        <v>N</v>
      </c>
      <c r="G78" s="158" t="str">
        <f t="shared" si="6"/>
        <v>Y</v>
      </c>
      <c r="H78" s="158" t="str">
        <f t="shared" si="4"/>
        <v/>
      </c>
      <c r="I78" s="158">
        <f>VLOOKUP($B78,Enrollment_old!$B$8:$H$302,3,FALSE)</f>
        <v>2839.14</v>
      </c>
      <c r="J78" s="158">
        <f>VLOOKUP($B78,Enrollment_old!$B$8:$H$302,5,FALSE)</f>
        <v>112</v>
      </c>
      <c r="K78" s="158">
        <f t="shared" si="7"/>
        <v>2951.14</v>
      </c>
      <c r="P78" s="158" t="str">
        <f t="shared" si="5"/>
        <v>Y</v>
      </c>
    </row>
    <row r="79" spans="1:16">
      <c r="A79" s="158" t="s">
        <v>603</v>
      </c>
      <c r="B79" s="402" t="s">
        <v>462</v>
      </c>
      <c r="C79" s="400" t="s">
        <v>463</v>
      </c>
      <c r="D79" s="229">
        <f>VLOOKUP(B79,'Allocation 2011-12'!$B$9:$O$318,9,FALSE)</f>
        <v>0</v>
      </c>
      <c r="E79" s="382" t="str">
        <f>IF(VLOOKUP(B79,'Participation info Aug 11'!$B$2:$H$296,7,FALSE)="No","No","Yes")</f>
        <v>Yes</v>
      </c>
      <c r="F79" s="229" t="str">
        <f>VLOOKUP(B79,'Participation info Aug 11'!$B$2:$I$296,8,FALSE)</f>
        <v>N</v>
      </c>
      <c r="G79" s="158" t="str">
        <f t="shared" si="6"/>
        <v>N/A</v>
      </c>
      <c r="H79" s="158" t="str">
        <f t="shared" si="4"/>
        <v/>
      </c>
      <c r="I79" s="158">
        <f>VLOOKUP($B79,Enrollment_old!$B$8:$H$302,3,FALSE)</f>
        <v>0</v>
      </c>
      <c r="J79" s="158">
        <f>VLOOKUP($B79,Enrollment_old!$B$8:$H$302,5,FALSE)</f>
        <v>0</v>
      </c>
      <c r="K79" s="158">
        <f t="shared" si="7"/>
        <v>0</v>
      </c>
      <c r="P79" s="158" t="str">
        <f t="shared" si="5"/>
        <v>N</v>
      </c>
    </row>
    <row r="80" spans="1:16">
      <c r="A80" s="158" t="s">
        <v>597</v>
      </c>
      <c r="B80" s="402" t="s">
        <v>175</v>
      </c>
      <c r="C80" s="400" t="s">
        <v>176</v>
      </c>
      <c r="D80" s="229">
        <f>VLOOKUP(B80,'Allocation 2011-12'!$B$9:$O$318,9,FALSE)</f>
        <v>519847</v>
      </c>
      <c r="E80" s="382" t="str">
        <f>IF(VLOOKUP(B80,'Participation info Aug 11'!$B$2:$H$296,7,FALSE)="No","No","Yes")</f>
        <v>Yes</v>
      </c>
      <c r="F80" s="229" t="str">
        <f>VLOOKUP(B80,'Participation info Aug 11'!$B$2:$I$296,8,FALSE)</f>
        <v>N</v>
      </c>
      <c r="G80" s="158" t="str">
        <f t="shared" si="6"/>
        <v>Y</v>
      </c>
      <c r="H80" s="158" t="str">
        <f t="shared" si="4"/>
        <v/>
      </c>
      <c r="I80" s="158">
        <f>VLOOKUP($B80,Enrollment_old!$B$8:$H$302,3,FALSE)</f>
        <v>3389</v>
      </c>
      <c r="J80" s="158">
        <f>VLOOKUP($B80,Enrollment_old!$B$8:$H$302,5,FALSE)</f>
        <v>0</v>
      </c>
      <c r="K80" s="158">
        <f t="shared" si="7"/>
        <v>3389</v>
      </c>
      <c r="P80" s="158" t="str">
        <f t="shared" si="5"/>
        <v>Y</v>
      </c>
    </row>
    <row r="81" spans="1:16">
      <c r="A81" s="158" t="s">
        <v>595</v>
      </c>
      <c r="B81" s="402" t="s">
        <v>506</v>
      </c>
      <c r="C81" s="400" t="s">
        <v>507</v>
      </c>
      <c r="D81" s="229">
        <f>VLOOKUP(B81,'Allocation 2011-12'!$B$9:$O$318,9,FALSE)</f>
        <v>40589</v>
      </c>
      <c r="E81" s="382" t="str">
        <f>IF(VLOOKUP(B81,'Participation info Aug 11'!$B$2:$H$296,7,FALSE)="No","No","Yes")</f>
        <v>Yes</v>
      </c>
      <c r="F81" s="229" t="str">
        <f>VLOOKUP(B81,'Participation info Aug 11'!$B$2:$I$296,8,FALSE)</f>
        <v>N</v>
      </c>
      <c r="G81" s="158" t="str">
        <f t="shared" si="6"/>
        <v>Y</v>
      </c>
      <c r="H81" s="158" t="str">
        <f t="shared" si="4"/>
        <v/>
      </c>
      <c r="I81" s="158">
        <f>VLOOKUP($B81,Enrollment_old!$B$8:$H$302,3,FALSE)</f>
        <v>233.71</v>
      </c>
      <c r="J81" s="158">
        <f>VLOOKUP($B81,Enrollment_old!$B$8:$H$302,5,FALSE)</f>
        <v>0</v>
      </c>
      <c r="K81" s="158">
        <f t="shared" si="7"/>
        <v>233.71</v>
      </c>
      <c r="P81" s="158" t="str">
        <f t="shared" si="5"/>
        <v>Y</v>
      </c>
    </row>
    <row r="82" spans="1:16">
      <c r="A82" s="158" t="s">
        <v>597</v>
      </c>
      <c r="B82" s="402" t="s">
        <v>369</v>
      </c>
      <c r="C82" s="400" t="s">
        <v>370</v>
      </c>
      <c r="D82" s="229">
        <f>VLOOKUP(B82,'Allocation 2011-12'!$B$9:$O$318,9,FALSE)</f>
        <v>62133</v>
      </c>
      <c r="E82" s="382" t="str">
        <f>IF(VLOOKUP(B82,'Participation info Aug 11'!$B$2:$H$296,7,FALSE)="No","No","Yes")</f>
        <v>Yes</v>
      </c>
      <c r="F82" s="229" t="str">
        <f>VLOOKUP(B82,'Participation info Aug 11'!$B$2:$I$296,8,FALSE)</f>
        <v>N</v>
      </c>
      <c r="G82" s="158" t="str">
        <f t="shared" si="6"/>
        <v>Y</v>
      </c>
      <c r="H82" s="158" t="str">
        <f t="shared" si="4"/>
        <v/>
      </c>
      <c r="I82" s="158">
        <f>VLOOKUP($B82,Enrollment_old!$B$8:$H$302,3,FALSE)</f>
        <v>372.57</v>
      </c>
      <c r="J82" s="158">
        <f>VLOOKUP($B82,Enrollment_old!$B$8:$H$302,5,FALSE)</f>
        <v>0</v>
      </c>
      <c r="K82" s="158">
        <f t="shared" si="7"/>
        <v>372.57</v>
      </c>
      <c r="P82" s="158" t="str">
        <f t="shared" si="5"/>
        <v>Y</v>
      </c>
    </row>
    <row r="83" spans="1:16">
      <c r="A83" s="158" t="s">
        <v>596</v>
      </c>
      <c r="B83" s="402" t="s">
        <v>19</v>
      </c>
      <c r="C83" s="400" t="s">
        <v>20</v>
      </c>
      <c r="D83" s="229">
        <f>VLOOKUP(B83,'Allocation 2011-12'!$B$9:$O$318,9,FALSE)</f>
        <v>22124</v>
      </c>
      <c r="E83" s="382" t="str">
        <f>IF(VLOOKUP(B83,'Participation info Aug 11'!$B$2:$H$296,7,FALSE)="No","No","Yes")</f>
        <v>Yes</v>
      </c>
      <c r="F83" s="229" t="str">
        <f>VLOOKUP(B83,'Participation info Aug 11'!$B$2:$I$296,8,FALSE)</f>
        <v>N</v>
      </c>
      <c r="G83" s="158" t="str">
        <f t="shared" si="6"/>
        <v>Y</v>
      </c>
      <c r="H83" s="158" t="str">
        <f t="shared" si="4"/>
        <v/>
      </c>
      <c r="I83" s="158">
        <f>VLOOKUP($B83,Enrollment_old!$B$8:$H$302,3,FALSE)</f>
        <v>127.86</v>
      </c>
      <c r="J83" s="158">
        <f>VLOOKUP($B83,Enrollment_old!$B$8:$H$302,5,FALSE)</f>
        <v>1</v>
      </c>
      <c r="K83" s="158">
        <f t="shared" si="7"/>
        <v>128.86000000000001</v>
      </c>
      <c r="P83" s="158" t="str">
        <f t="shared" si="5"/>
        <v>Y</v>
      </c>
    </row>
    <row r="84" spans="1:16">
      <c r="A84" s="158" t="s">
        <v>597</v>
      </c>
      <c r="B84" s="402" t="s">
        <v>361</v>
      </c>
      <c r="C84" s="400" t="s">
        <v>362</v>
      </c>
      <c r="D84" s="229">
        <f>VLOOKUP(B84,'Allocation 2011-12'!$B$9:$O$318,9,FALSE)</f>
        <v>99795</v>
      </c>
      <c r="E84" s="382" t="str">
        <f>IF(VLOOKUP(B84,'Participation info Aug 11'!$B$2:$H$296,7,FALSE)="No","No","Yes")</f>
        <v>Yes</v>
      </c>
      <c r="F84" s="229" t="str">
        <f>VLOOKUP(B84,'Participation info Aug 11'!$B$2:$I$296,8,FALSE)</f>
        <v>N</v>
      </c>
      <c r="G84" s="158" t="str">
        <f t="shared" si="6"/>
        <v>Y</v>
      </c>
      <c r="H84" s="158" t="str">
        <f t="shared" si="4"/>
        <v/>
      </c>
      <c r="I84" s="158">
        <f>VLOOKUP($B84,Enrollment_old!$B$8:$H$302,3,FALSE)</f>
        <v>582.29</v>
      </c>
      <c r="J84" s="158">
        <f>VLOOKUP($B84,Enrollment_old!$B$8:$H$302,5,FALSE)</f>
        <v>2</v>
      </c>
      <c r="K84" s="158">
        <f t="shared" si="7"/>
        <v>584.29</v>
      </c>
      <c r="P84" s="158" t="str">
        <f t="shared" si="5"/>
        <v>Y</v>
      </c>
    </row>
    <row r="85" spans="1:16">
      <c r="A85" s="158" t="s">
        <v>603</v>
      </c>
      <c r="B85" s="402" t="s">
        <v>436</v>
      </c>
      <c r="C85" s="400" t="s">
        <v>437</v>
      </c>
      <c r="D85" s="229">
        <f>VLOOKUP(B85,'Allocation 2011-12'!$B$9:$O$318,9,FALSE)</f>
        <v>0</v>
      </c>
      <c r="E85" s="382" t="str">
        <f>IF(VLOOKUP(B85,'Participation info Aug 11'!$B$2:$H$296,7,FALSE)="No","No","Yes")</f>
        <v>Yes</v>
      </c>
      <c r="F85" s="229" t="str">
        <f>VLOOKUP(B85,'Participation info Aug 11'!$B$2:$I$296,8,FALSE)</f>
        <v>N</v>
      </c>
      <c r="G85" s="158" t="str">
        <f t="shared" si="6"/>
        <v>N/A</v>
      </c>
      <c r="H85" s="158" t="str">
        <f t="shared" si="4"/>
        <v/>
      </c>
      <c r="I85" s="158">
        <f>VLOOKUP($B85,Enrollment_old!$B$8:$H$302,3,FALSE)</f>
        <v>0</v>
      </c>
      <c r="J85" s="158">
        <f>VLOOKUP($B85,Enrollment_old!$B$8:$H$302,5,FALSE)</f>
        <v>0</v>
      </c>
      <c r="K85" s="158">
        <f t="shared" si="7"/>
        <v>0</v>
      </c>
      <c r="P85" s="158" t="str">
        <f t="shared" si="5"/>
        <v>N</v>
      </c>
    </row>
    <row r="86" spans="1:16">
      <c r="A86" s="158" t="s">
        <v>603</v>
      </c>
      <c r="B86" s="402" t="s">
        <v>529</v>
      </c>
      <c r="C86" s="400" t="s">
        <v>530</v>
      </c>
      <c r="D86" s="229">
        <f>VLOOKUP(B86,'Allocation 2011-12'!$B$9:$O$318,9,FALSE)</f>
        <v>0</v>
      </c>
      <c r="E86" s="382" t="str">
        <f>IF(VLOOKUP(B86,'Participation info Aug 11'!$B$2:$H$296,7,FALSE)="No","No","Yes")</f>
        <v>Yes</v>
      </c>
      <c r="F86" s="229" t="str">
        <f>VLOOKUP(B86,'Participation info Aug 11'!$B$2:$I$296,8,FALSE)</f>
        <v>N</v>
      </c>
      <c r="G86" s="158" t="str">
        <f t="shared" si="6"/>
        <v>N/A</v>
      </c>
      <c r="H86" s="158" t="str">
        <f t="shared" si="4"/>
        <v/>
      </c>
      <c r="I86" s="158">
        <f>VLOOKUP($B86,Enrollment_old!$B$8:$H$302,3,FALSE)</f>
        <v>0</v>
      </c>
      <c r="J86" s="158">
        <f>VLOOKUP($B86,Enrollment_old!$B$8:$H$302,5,FALSE)</f>
        <v>0</v>
      </c>
      <c r="K86" s="158">
        <f t="shared" si="7"/>
        <v>0</v>
      </c>
      <c r="P86" s="158" t="str">
        <f t="shared" si="5"/>
        <v>N</v>
      </c>
    </row>
    <row r="87" spans="1:16">
      <c r="A87" s="158" t="s">
        <v>599</v>
      </c>
      <c r="B87" s="402" t="s">
        <v>240</v>
      </c>
      <c r="C87" s="400" t="s">
        <v>241</v>
      </c>
      <c r="D87" s="229">
        <f>VLOOKUP(B87,'Allocation 2011-12'!$B$9:$O$318,9,FALSE)</f>
        <v>0</v>
      </c>
      <c r="E87" s="382" t="str">
        <f>IF(VLOOKUP(B87,'Participation info Aug 11'!$B$2:$H$296,7,FALSE)="No","No","Yes")</f>
        <v>Yes</v>
      </c>
      <c r="F87" s="229" t="str">
        <f>VLOOKUP(B87,'Participation info Aug 11'!$B$2:$I$296,8,FALSE)</f>
        <v>N</v>
      </c>
      <c r="G87" s="158" t="str">
        <f t="shared" si="6"/>
        <v>N/A</v>
      </c>
      <c r="H87" s="158" t="str">
        <f t="shared" si="4"/>
        <v/>
      </c>
      <c r="I87" s="158">
        <f>VLOOKUP($B87,Enrollment_old!$B$8:$H$302,3,FALSE)</f>
        <v>0</v>
      </c>
      <c r="J87" s="158">
        <f>VLOOKUP($B87,Enrollment_old!$B$8:$H$302,5,FALSE)</f>
        <v>0</v>
      </c>
      <c r="K87" s="158">
        <f t="shared" si="7"/>
        <v>0</v>
      </c>
      <c r="P87" s="158" t="str">
        <f t="shared" si="5"/>
        <v>N</v>
      </c>
    </row>
    <row r="88" spans="1:16">
      <c r="A88" s="158" t="s">
        <v>605</v>
      </c>
      <c r="B88" s="402" t="s">
        <v>246</v>
      </c>
      <c r="C88" s="400" t="s">
        <v>247</v>
      </c>
      <c r="D88" s="229">
        <f>VLOOKUP(B88,'Allocation 2011-12'!$B$9:$O$318,9,FALSE)</f>
        <v>5360</v>
      </c>
      <c r="E88" s="382" t="str">
        <f>IF(VLOOKUP(B88,'Participation info Aug 11'!$B$2:$H$296,7,FALSE)="No","No","Yes")</f>
        <v>Yes</v>
      </c>
      <c r="F88" s="229" t="str">
        <f>VLOOKUP(B88,'Participation info Aug 11'!$B$2:$I$296,8,FALSE)</f>
        <v>ESD 105</v>
      </c>
      <c r="G88" s="158" t="str">
        <f t="shared" si="6"/>
        <v>Y</v>
      </c>
      <c r="H88" s="158" t="str">
        <f t="shared" si="4"/>
        <v/>
      </c>
      <c r="I88" s="158">
        <f>VLOOKUP($B88,Enrollment_old!$B$8:$H$302,3,FALSE)</f>
        <v>29</v>
      </c>
      <c r="J88" s="158">
        <f>VLOOKUP($B88,Enrollment_old!$B$8:$H$302,5,FALSE)</f>
        <v>0</v>
      </c>
      <c r="K88" s="158">
        <f t="shared" si="7"/>
        <v>29</v>
      </c>
      <c r="P88" s="158" t="str">
        <f t="shared" si="5"/>
        <v>Y</v>
      </c>
    </row>
    <row r="89" spans="1:16">
      <c r="A89" s="158" t="s">
        <v>601</v>
      </c>
      <c r="B89" s="402" t="s">
        <v>131</v>
      </c>
      <c r="C89" s="400" t="s">
        <v>655</v>
      </c>
      <c r="D89" s="229">
        <f>VLOOKUP(B89,'Allocation 2011-12'!$B$9:$O$318,9,FALSE)</f>
        <v>0</v>
      </c>
      <c r="E89" s="382" t="str">
        <f>IF(VLOOKUP(B89,'Participation info Aug 11'!$B$2:$H$296,7,FALSE)="No","No","Yes")</f>
        <v>Yes</v>
      </c>
      <c r="F89" s="229" t="str">
        <f>VLOOKUP(B89,'Participation info Aug 11'!$B$2:$I$296,8,FALSE)</f>
        <v>N</v>
      </c>
      <c r="G89" s="158" t="str">
        <f t="shared" si="6"/>
        <v>N/A</v>
      </c>
      <c r="H89" s="158" t="str">
        <f t="shared" si="4"/>
        <v/>
      </c>
      <c r="I89" s="158">
        <f>VLOOKUP($B89,Enrollment_old!$B$8:$H$302,3,FALSE)</f>
        <v>0</v>
      </c>
      <c r="J89" s="158">
        <f>VLOOKUP($B89,Enrollment_old!$B$8:$H$302,5,FALSE)</f>
        <v>0</v>
      </c>
      <c r="K89" s="158">
        <f t="shared" si="7"/>
        <v>0</v>
      </c>
      <c r="P89" s="158" t="str">
        <f t="shared" si="5"/>
        <v>N</v>
      </c>
    </row>
    <row r="90" spans="1:16">
      <c r="A90" s="158" t="s">
        <v>605</v>
      </c>
      <c r="B90" s="402" t="s">
        <v>555</v>
      </c>
      <c r="C90" s="400" t="s">
        <v>556</v>
      </c>
      <c r="D90" s="229">
        <f>VLOOKUP(B90,'Allocation 2011-12'!$B$9:$O$318,9,FALSE)</f>
        <v>195349</v>
      </c>
      <c r="E90" s="382" t="str">
        <f>IF(VLOOKUP(B90,'Participation info Aug 11'!$B$2:$H$296,7,FALSE)="No","No","Yes")</f>
        <v>Yes</v>
      </c>
      <c r="F90" s="229" t="str">
        <f>VLOOKUP(B90,'Participation info Aug 11'!$B$2:$I$296,8,FALSE)</f>
        <v>N</v>
      </c>
      <c r="G90" s="158" t="str">
        <f t="shared" si="6"/>
        <v>Y</v>
      </c>
      <c r="H90" s="158" t="str">
        <f t="shared" si="4"/>
        <v/>
      </c>
      <c r="I90" s="158">
        <f>VLOOKUP($B90,Enrollment_old!$B$8:$H$302,3,FALSE)</f>
        <v>1201.43</v>
      </c>
      <c r="J90" s="158">
        <f>VLOOKUP($B90,Enrollment_old!$B$8:$H$302,5,FALSE)</f>
        <v>0</v>
      </c>
      <c r="K90" s="158">
        <f t="shared" si="7"/>
        <v>1201.43</v>
      </c>
      <c r="P90" s="158" t="str">
        <f t="shared" si="5"/>
        <v>Y</v>
      </c>
    </row>
    <row r="91" spans="1:16">
      <c r="A91" s="158" t="s">
        <v>605</v>
      </c>
      <c r="B91" s="402" t="s">
        <v>563</v>
      </c>
      <c r="C91" s="400" t="s">
        <v>564</v>
      </c>
      <c r="D91" s="229">
        <f>VLOOKUP(B91,'Allocation 2011-12'!$B$9:$O$318,9,FALSE)</f>
        <v>98567</v>
      </c>
      <c r="E91" s="382" t="str">
        <f>IF(VLOOKUP(B91,'Participation info Aug 11'!$B$2:$H$296,7,FALSE)="No","No","Yes")</f>
        <v>Yes</v>
      </c>
      <c r="F91" s="229" t="str">
        <f>VLOOKUP(B91,'Participation info Aug 11'!$B$2:$I$296,8,FALSE)</f>
        <v>N</v>
      </c>
      <c r="G91" s="158" t="str">
        <f t="shared" si="6"/>
        <v>Y</v>
      </c>
      <c r="H91" s="158" t="str">
        <f t="shared" si="4"/>
        <v/>
      </c>
      <c r="I91" s="158">
        <f>VLOOKUP($B91,Enrollment_old!$B$8:$H$302,3,FALSE)</f>
        <v>571.42999999999995</v>
      </c>
      <c r="J91" s="158">
        <f>VLOOKUP($B91,Enrollment_old!$B$8:$H$302,5,FALSE)</f>
        <v>22</v>
      </c>
      <c r="K91" s="158">
        <f t="shared" si="7"/>
        <v>593.42999999999995</v>
      </c>
      <c r="P91" s="158" t="str">
        <f t="shared" si="5"/>
        <v>Y</v>
      </c>
    </row>
    <row r="92" spans="1:16">
      <c r="A92" s="158" t="s">
        <v>595</v>
      </c>
      <c r="B92" s="402" t="s">
        <v>419</v>
      </c>
      <c r="C92" s="400" t="s">
        <v>420</v>
      </c>
      <c r="D92" s="229">
        <f>VLOOKUP(B92,'Allocation 2011-12'!$B$9:$O$318,9,FALSE)</f>
        <v>4628</v>
      </c>
      <c r="E92" s="382" t="str">
        <f>IF(VLOOKUP(B92,'Participation info Aug 11'!$B$2:$H$296,7,FALSE)="No","No","Yes")</f>
        <v>Yes</v>
      </c>
      <c r="F92" s="229" t="str">
        <f>VLOOKUP(B92,'Participation info Aug 11'!$B$2:$I$296,8,FALSE)</f>
        <v>Quinault</v>
      </c>
      <c r="G92" s="158" t="str">
        <f t="shared" si="6"/>
        <v>Y</v>
      </c>
      <c r="H92" s="158" t="str">
        <f t="shared" si="4"/>
        <v/>
      </c>
      <c r="I92" s="158">
        <f>VLOOKUP($B92,Enrollment_old!$B$8:$H$302,3,FALSE)</f>
        <v>33.57</v>
      </c>
      <c r="J92" s="158">
        <f>VLOOKUP($B92,Enrollment_old!$B$8:$H$302,5,FALSE)</f>
        <v>0</v>
      </c>
      <c r="K92" s="158">
        <f t="shared" si="7"/>
        <v>33.57</v>
      </c>
      <c r="P92" s="158" t="str">
        <f t="shared" si="5"/>
        <v>Y</v>
      </c>
    </row>
    <row r="93" spans="1:16">
      <c r="A93" s="158" t="s">
        <v>594</v>
      </c>
      <c r="B93" s="402" t="s">
        <v>297</v>
      </c>
      <c r="C93" s="400" t="s">
        <v>298</v>
      </c>
      <c r="D93" s="229">
        <f>VLOOKUP(B93,'Allocation 2011-12'!$B$9:$O$318,9,FALSE)</f>
        <v>0</v>
      </c>
      <c r="E93" s="382" t="str">
        <f>IF(VLOOKUP(B93,'Participation info Aug 11'!$B$2:$H$296,7,FALSE)="No","No","Yes")</f>
        <v>Yes</v>
      </c>
      <c r="F93" s="229" t="str">
        <f>VLOOKUP(B93,'Participation info Aug 11'!$B$2:$I$296,8,FALSE)</f>
        <v>N</v>
      </c>
      <c r="G93" s="158" t="str">
        <f t="shared" si="6"/>
        <v>N/A</v>
      </c>
      <c r="H93" s="158" t="str">
        <f t="shared" si="4"/>
        <v/>
      </c>
      <c r="I93" s="158">
        <f>VLOOKUP($B93,Enrollment_old!$B$8:$H$302,3,FALSE)</f>
        <v>0</v>
      </c>
      <c r="J93" s="158">
        <f>VLOOKUP($B93,Enrollment_old!$B$8:$H$302,5,FALSE)</f>
        <v>0</v>
      </c>
      <c r="K93" s="158">
        <f t="shared" si="7"/>
        <v>0</v>
      </c>
      <c r="P93" s="158" t="str">
        <f t="shared" si="5"/>
        <v>N</v>
      </c>
    </row>
    <row r="94" spans="1:16">
      <c r="A94" s="158" t="s">
        <v>603</v>
      </c>
      <c r="B94" s="402" t="s">
        <v>426</v>
      </c>
      <c r="C94" s="400" t="s">
        <v>427</v>
      </c>
      <c r="D94" s="229">
        <f>VLOOKUP(B94,'Allocation 2011-12'!$B$9:$O$318,9,FALSE)</f>
        <v>0</v>
      </c>
      <c r="E94" s="382" t="str">
        <f>IF(VLOOKUP(B94,'Participation info Aug 11'!$B$2:$H$296,7,FALSE)="No","No","Yes")</f>
        <v>Yes</v>
      </c>
      <c r="F94" s="229" t="str">
        <f>VLOOKUP(B94,'Participation info Aug 11'!$B$2:$I$296,8,FALSE)</f>
        <v>N</v>
      </c>
      <c r="G94" s="158" t="str">
        <f t="shared" si="6"/>
        <v>N/A</v>
      </c>
      <c r="H94" s="158" t="str">
        <f t="shared" si="4"/>
        <v/>
      </c>
      <c r="I94" s="158">
        <f>VLOOKUP($B94,Enrollment_old!$B$8:$H$302,3,FALSE)</f>
        <v>0</v>
      </c>
      <c r="J94" s="158">
        <f>VLOOKUP($B94,Enrollment_old!$B$8:$H$302,5,FALSE)</f>
        <v>0</v>
      </c>
      <c r="K94" s="158">
        <f t="shared" si="7"/>
        <v>0</v>
      </c>
      <c r="P94" s="158" t="str">
        <f t="shared" si="5"/>
        <v>N</v>
      </c>
    </row>
    <row r="95" spans="1:16">
      <c r="A95" s="158" t="s">
        <v>599</v>
      </c>
      <c r="B95" s="402" t="s">
        <v>54</v>
      </c>
      <c r="C95" s="400" t="s">
        <v>55</v>
      </c>
      <c r="D95" s="229">
        <f>VLOOKUP(B95,'Allocation 2011-12'!$B$9:$O$318,9,FALSE)</f>
        <v>0</v>
      </c>
      <c r="E95" s="382" t="str">
        <f>IF(VLOOKUP(B95,'Participation info Aug 11'!$B$2:$H$296,7,FALSE)="No","No","Yes")</f>
        <v>Yes</v>
      </c>
      <c r="F95" s="229" t="str">
        <f>VLOOKUP(B95,'Participation info Aug 11'!$B$2:$I$296,8,FALSE)</f>
        <v>N</v>
      </c>
      <c r="G95" s="158" t="str">
        <f t="shared" si="6"/>
        <v>N/A</v>
      </c>
      <c r="H95" s="158" t="str">
        <f t="shared" si="4"/>
        <v/>
      </c>
      <c r="I95" s="158">
        <f>VLOOKUP($B95,Enrollment_old!$B$8:$H$302,3,FALSE)</f>
        <v>0</v>
      </c>
      <c r="J95" s="158">
        <f>VLOOKUP($B95,Enrollment_old!$B$8:$H$302,5,FALSE)</f>
        <v>0</v>
      </c>
      <c r="K95" s="158">
        <f t="shared" si="7"/>
        <v>0</v>
      </c>
      <c r="P95" s="158" t="str">
        <f t="shared" si="5"/>
        <v>N</v>
      </c>
    </row>
    <row r="96" spans="1:16">
      <c r="A96" s="158" t="s">
        <v>594</v>
      </c>
      <c r="B96" s="402" t="s">
        <v>482</v>
      </c>
      <c r="C96" s="400" t="s">
        <v>483</v>
      </c>
      <c r="D96" s="229">
        <f>VLOOKUP(B96,'Allocation 2011-12'!$B$9:$O$318,9,FALSE)</f>
        <v>0</v>
      </c>
      <c r="E96" s="382" t="str">
        <f>IF(VLOOKUP(B96,'Participation info Aug 11'!$B$2:$H$296,7,FALSE)="No","No","Yes")</f>
        <v>Yes</v>
      </c>
      <c r="F96" s="229" t="str">
        <f>VLOOKUP(B96,'Participation info Aug 11'!$B$2:$I$296,8,FALSE)</f>
        <v>N</v>
      </c>
      <c r="G96" s="158" t="str">
        <f t="shared" si="6"/>
        <v>N/A</v>
      </c>
      <c r="H96" s="158" t="str">
        <f t="shared" si="4"/>
        <v/>
      </c>
      <c r="I96" s="158">
        <f>VLOOKUP($B96,Enrollment_old!$B$8:$H$302,3,FALSE)</f>
        <v>5</v>
      </c>
      <c r="J96" s="158">
        <f>VLOOKUP($B96,Enrollment_old!$B$8:$H$302,5,FALSE)</f>
        <v>0</v>
      </c>
      <c r="K96" s="158">
        <f t="shared" si="7"/>
        <v>5</v>
      </c>
      <c r="P96" s="158" t="str">
        <f t="shared" si="5"/>
        <v>N</v>
      </c>
    </row>
    <row r="97" spans="1:16">
      <c r="A97" s="158" t="s">
        <v>603</v>
      </c>
      <c r="B97" s="402" t="s">
        <v>291</v>
      </c>
      <c r="C97" s="400" t="s">
        <v>292</v>
      </c>
      <c r="D97" s="229">
        <f>VLOOKUP(B97,'Allocation 2011-12'!$B$9:$O$318,9,FALSE)</f>
        <v>0</v>
      </c>
      <c r="E97" s="382" t="str">
        <f>IF(VLOOKUP(B97,'Participation info Aug 11'!$B$2:$H$296,7,FALSE)="No","No","Yes")</f>
        <v>Yes</v>
      </c>
      <c r="F97" s="229" t="str">
        <f>VLOOKUP(B97,'Participation info Aug 11'!$B$2:$I$296,8,FALSE)</f>
        <v>N</v>
      </c>
      <c r="G97" s="158" t="str">
        <f t="shared" si="6"/>
        <v>N/A</v>
      </c>
      <c r="H97" s="158" t="str">
        <f t="shared" si="4"/>
        <v/>
      </c>
      <c r="I97" s="158">
        <f>VLOOKUP($B97,Enrollment_old!$B$8:$H$302,3,FALSE)</f>
        <v>0</v>
      </c>
      <c r="J97" s="158">
        <f>VLOOKUP($B97,Enrollment_old!$B$8:$H$302,5,FALSE)</f>
        <v>0</v>
      </c>
      <c r="K97" s="158">
        <f t="shared" si="7"/>
        <v>0</v>
      </c>
      <c r="P97" s="158" t="str">
        <f t="shared" si="5"/>
        <v>N</v>
      </c>
    </row>
    <row r="98" spans="1:16">
      <c r="A98" s="158" t="s">
        <v>605</v>
      </c>
      <c r="B98" s="402" t="s">
        <v>561</v>
      </c>
      <c r="C98" s="400" t="s">
        <v>562</v>
      </c>
      <c r="D98" s="229">
        <f>VLOOKUP(B98,'Allocation 2011-12'!$B$9:$O$318,9,FALSE)</f>
        <v>45711</v>
      </c>
      <c r="E98" s="382" t="str">
        <f>IF(VLOOKUP(B98,'Participation info Aug 11'!$B$2:$H$296,7,FALSE)="No","No","Yes")</f>
        <v>Yes</v>
      </c>
      <c r="F98" s="229" t="str">
        <f>VLOOKUP(B98,'Participation info Aug 11'!$B$2:$I$296,8,FALSE)</f>
        <v>N</v>
      </c>
      <c r="G98" s="158" t="str">
        <f t="shared" si="6"/>
        <v>Y</v>
      </c>
      <c r="H98" s="158" t="str">
        <f t="shared" si="4"/>
        <v/>
      </c>
      <c r="I98" s="158">
        <f>VLOOKUP($B98,Enrollment_old!$B$8:$H$302,3,FALSE)</f>
        <v>292.29000000000002</v>
      </c>
      <c r="J98" s="158">
        <f>VLOOKUP($B98,Enrollment_old!$B$8:$H$302,5,FALSE)</f>
        <v>0</v>
      </c>
      <c r="K98" s="158">
        <f t="shared" si="7"/>
        <v>292.29000000000002</v>
      </c>
      <c r="P98" s="158" t="str">
        <f t="shared" si="5"/>
        <v>Y</v>
      </c>
    </row>
    <row r="99" spans="1:16">
      <c r="A99" s="158" t="s">
        <v>597</v>
      </c>
      <c r="B99" s="402" t="s">
        <v>181</v>
      </c>
      <c r="C99" s="400" t="s">
        <v>182</v>
      </c>
      <c r="D99" s="229">
        <f>VLOOKUP(B99,'Allocation 2011-12'!$B$9:$O$318,9,FALSE)</f>
        <v>618779</v>
      </c>
      <c r="E99" s="382" t="str">
        <f>IF(VLOOKUP(B99,'Participation info Aug 11'!$B$2:$H$296,7,FALSE)="No","No","Yes")</f>
        <v>Yes</v>
      </c>
      <c r="F99" s="229" t="str">
        <f>VLOOKUP(B99,'Participation info Aug 11'!$B$2:$I$296,8,FALSE)</f>
        <v>N</v>
      </c>
      <c r="G99" s="158" t="str">
        <f t="shared" si="6"/>
        <v>Y</v>
      </c>
      <c r="H99" s="158" t="str">
        <f t="shared" si="4"/>
        <v/>
      </c>
      <c r="I99" s="158">
        <f>VLOOKUP($B99,Enrollment_old!$B$8:$H$302,3,FALSE)</f>
        <v>4408</v>
      </c>
      <c r="J99" s="158">
        <f>VLOOKUP($B99,Enrollment_old!$B$8:$H$302,5,FALSE)</f>
        <v>0</v>
      </c>
      <c r="K99" s="158">
        <f t="shared" si="7"/>
        <v>4408</v>
      </c>
      <c r="P99" s="158" t="str">
        <f t="shared" si="5"/>
        <v>Y</v>
      </c>
    </row>
    <row r="100" spans="1:16">
      <c r="A100" s="158" t="s">
        <v>599</v>
      </c>
      <c r="B100" s="402" t="s">
        <v>51</v>
      </c>
      <c r="C100" s="400" t="s">
        <v>52</v>
      </c>
      <c r="D100" s="229">
        <f>VLOOKUP(B100,'Allocation 2011-12'!$B$9:$O$318,9,FALSE)</f>
        <v>4132</v>
      </c>
      <c r="E100" s="382" t="str">
        <f>IF(VLOOKUP(B100,'Participation info Aug 11'!$B$2:$H$296,7,FALSE)="No","No","Yes")</f>
        <v>Yes</v>
      </c>
      <c r="F100" s="229" t="str">
        <f>VLOOKUP(B100,'Participation info Aug 11'!$B$2:$I$296,8,FALSE)</f>
        <v>Washougal</v>
      </c>
      <c r="G100" s="158" t="str">
        <f t="shared" si="6"/>
        <v>Y</v>
      </c>
      <c r="H100" s="158" t="str">
        <f t="shared" si="4"/>
        <v/>
      </c>
      <c r="I100" s="158">
        <f>VLOOKUP($B100,Enrollment_old!$B$8:$H$302,3,FALSE)</f>
        <v>13.57</v>
      </c>
      <c r="J100" s="158">
        <f>VLOOKUP($B100,Enrollment_old!$B$8:$H$302,5,FALSE)</f>
        <v>0</v>
      </c>
      <c r="K100" s="158">
        <f t="shared" si="7"/>
        <v>13.57</v>
      </c>
      <c r="P100" s="158" t="str">
        <f t="shared" si="5"/>
        <v>Y</v>
      </c>
    </row>
    <row r="101" spans="1:16">
      <c r="A101" s="158" t="s">
        <v>594</v>
      </c>
      <c r="B101" s="402" t="s">
        <v>307</v>
      </c>
      <c r="C101" s="400" t="s">
        <v>308</v>
      </c>
      <c r="D101" s="229">
        <f>VLOOKUP(B101,'Allocation 2011-12'!$B$9:$O$318,9,FALSE)</f>
        <v>0</v>
      </c>
      <c r="E101" s="382" t="str">
        <f>IF(VLOOKUP(B101,'Participation info Aug 11'!$B$2:$H$296,7,FALSE)="No","No","Yes")</f>
        <v>Yes</v>
      </c>
      <c r="F101" s="229" t="str">
        <f>VLOOKUP(B101,'Participation info Aug 11'!$B$2:$I$296,8,FALSE)</f>
        <v>N</v>
      </c>
      <c r="G101" s="158" t="str">
        <f t="shared" si="6"/>
        <v>N/A</v>
      </c>
      <c r="H101" s="158" t="str">
        <f t="shared" si="4"/>
        <v/>
      </c>
      <c r="I101" s="158">
        <f>VLOOKUP($B101,Enrollment_old!$B$8:$H$302,3,FALSE)</f>
        <v>0</v>
      </c>
      <c r="J101" s="158">
        <f>VLOOKUP($B101,Enrollment_old!$B$8:$H$302,5,FALSE)</f>
        <v>0</v>
      </c>
      <c r="K101" s="158">
        <f t="shared" si="7"/>
        <v>0</v>
      </c>
      <c r="P101" s="158" t="str">
        <f t="shared" si="5"/>
        <v>N</v>
      </c>
    </row>
    <row r="102" spans="1:16">
      <c r="A102" s="158" t="s">
        <v>594</v>
      </c>
      <c r="B102" s="402" t="s">
        <v>134</v>
      </c>
      <c r="C102" s="400" t="s">
        <v>135</v>
      </c>
      <c r="D102" s="229">
        <f>VLOOKUP(B102,'Allocation 2011-12'!$B$9:$O$318,9,FALSE)</f>
        <v>6909</v>
      </c>
      <c r="E102" s="382" t="str">
        <f>IF(VLOOKUP(B102,'Participation info Aug 11'!$B$2:$H$296,7,FALSE)="No","No","Yes")</f>
        <v>No</v>
      </c>
      <c r="F102" s="229" t="str">
        <f>VLOOKUP(B102,'Participation info Aug 11'!$B$2:$I$296,8,FALSE)</f>
        <v>N</v>
      </c>
      <c r="G102" s="158" t="str">
        <f t="shared" si="6"/>
        <v>N</v>
      </c>
      <c r="H102" s="158">
        <f t="shared" si="4"/>
        <v>1</v>
      </c>
      <c r="I102" s="158">
        <f>VLOOKUP($B102,Enrollment_old!$B$8:$H$302,3,FALSE)</f>
        <v>48.14</v>
      </c>
      <c r="J102" s="158">
        <f>VLOOKUP($B102,Enrollment_old!$B$8:$H$302,5,FALSE)</f>
        <v>0</v>
      </c>
      <c r="K102" s="158">
        <f t="shared" si="7"/>
        <v>48.14</v>
      </c>
      <c r="P102" s="158" t="str">
        <f t="shared" si="5"/>
        <v>N</v>
      </c>
    </row>
    <row r="103" spans="1:16">
      <c r="A103" s="158" t="s">
        <v>603</v>
      </c>
      <c r="B103" s="402" t="s">
        <v>100</v>
      </c>
      <c r="C103" s="400" t="s">
        <v>101</v>
      </c>
      <c r="D103" s="229">
        <f>VLOOKUP(B103,'Allocation 2011-12'!$B$9:$O$318,9,FALSE)</f>
        <v>5682</v>
      </c>
      <c r="E103" s="382" t="str">
        <f>IF(VLOOKUP(B103,'Participation info Aug 11'!$B$2:$H$296,7,FALSE)="No","No","Yes")</f>
        <v>Yes</v>
      </c>
      <c r="F103" s="229" t="str">
        <f>VLOOKUP(B103,'Participation info Aug 11'!$B$2:$I$296,8,FALSE)</f>
        <v>N</v>
      </c>
      <c r="G103" s="158" t="str">
        <f t="shared" si="6"/>
        <v>NC</v>
      </c>
      <c r="H103" s="158">
        <f t="shared" si="4"/>
        <v>1</v>
      </c>
      <c r="I103" s="158">
        <f>VLOOKUP($B103,Enrollment_old!$B$8:$H$302,3,FALSE)</f>
        <v>0</v>
      </c>
      <c r="J103" s="158">
        <f>VLOOKUP($B103,Enrollment_old!$B$8:$H$302,5,FALSE)</f>
        <v>0</v>
      </c>
      <c r="K103" s="158">
        <f t="shared" si="7"/>
        <v>0</v>
      </c>
      <c r="P103" s="158" t="str">
        <f t="shared" si="5"/>
        <v>N</v>
      </c>
    </row>
    <row r="104" spans="1:16">
      <c r="A104" s="158" t="s">
        <v>595</v>
      </c>
      <c r="B104" s="402" t="s">
        <v>407</v>
      </c>
      <c r="C104" s="400" t="s">
        <v>408</v>
      </c>
      <c r="D104" s="229">
        <f>VLOOKUP(B104,'Allocation 2011-12'!$B$9:$O$318,9,FALSE)</f>
        <v>0</v>
      </c>
      <c r="E104" s="382" t="str">
        <f>IF(VLOOKUP(B104,'Participation info Aug 11'!$B$2:$H$296,7,FALSE)="No","No","Yes")</f>
        <v>Yes</v>
      </c>
      <c r="F104" s="229" t="str">
        <f>VLOOKUP(B104,'Participation info Aug 11'!$B$2:$I$296,8,FALSE)</f>
        <v>N</v>
      </c>
      <c r="G104" s="158" t="str">
        <f t="shared" si="6"/>
        <v>N/A</v>
      </c>
      <c r="H104" s="158" t="str">
        <f t="shared" si="4"/>
        <v/>
      </c>
      <c r="I104" s="158">
        <f>VLOOKUP($B104,Enrollment_old!$B$8:$H$302,3,FALSE)</f>
        <v>0</v>
      </c>
      <c r="J104" s="158">
        <f>VLOOKUP($B104,Enrollment_old!$B$8:$H$302,5,FALSE)</f>
        <v>0</v>
      </c>
      <c r="K104" s="158">
        <f t="shared" si="7"/>
        <v>0</v>
      </c>
      <c r="P104" s="158" t="str">
        <f t="shared" si="5"/>
        <v>N</v>
      </c>
    </row>
    <row r="105" spans="1:16">
      <c r="A105" s="158" t="s">
        <v>597</v>
      </c>
      <c r="B105" s="402" t="s">
        <v>201</v>
      </c>
      <c r="C105" s="400" t="s">
        <v>202</v>
      </c>
      <c r="D105" s="229">
        <f>VLOOKUP(B105,'Allocation 2011-12'!$B$9:$O$318,9,FALSE)</f>
        <v>118432</v>
      </c>
      <c r="E105" s="382" t="str">
        <f>IF(VLOOKUP(B105,'Participation info Aug 11'!$B$2:$H$296,7,FALSE)="No","No","Yes")</f>
        <v>Yes</v>
      </c>
      <c r="F105" s="229" t="str">
        <f>VLOOKUP(B105,'Participation info Aug 11'!$B$2:$I$296,8,FALSE)</f>
        <v>N</v>
      </c>
      <c r="G105" s="158" t="str">
        <f t="shared" si="6"/>
        <v>Y</v>
      </c>
      <c r="H105" s="158" t="str">
        <f t="shared" ref="H105:H168" si="8">IF(AND(D105&gt;0,D105&lt;10000,F105="N"),1,"")</f>
        <v/>
      </c>
      <c r="I105" s="158">
        <f>VLOOKUP($B105,Enrollment_old!$B$8:$H$302,3,FALSE)</f>
        <v>850.29</v>
      </c>
      <c r="J105" s="158">
        <f>VLOOKUP($B105,Enrollment_old!$B$8:$H$302,5,FALSE)</f>
        <v>8</v>
      </c>
      <c r="K105" s="158">
        <f t="shared" si="7"/>
        <v>858.29</v>
      </c>
      <c r="P105" s="158" t="str">
        <f t="shared" si="5"/>
        <v>Y</v>
      </c>
    </row>
    <row r="106" spans="1:16">
      <c r="A106" s="158" t="s">
        <v>596</v>
      </c>
      <c r="B106" s="402" t="s">
        <v>110</v>
      </c>
      <c r="C106" s="400" t="s">
        <v>111</v>
      </c>
      <c r="D106" s="229">
        <f>VLOOKUP(B106,'Allocation 2011-12'!$B$9:$O$318,9,FALSE)</f>
        <v>0</v>
      </c>
      <c r="E106" s="382" t="str">
        <f>IF(VLOOKUP(B106,'Participation info Aug 11'!$B$2:$H$296,7,FALSE)="No","No","Yes")</f>
        <v>Yes</v>
      </c>
      <c r="F106" s="229" t="str">
        <f>VLOOKUP(B106,'Participation info Aug 11'!$B$2:$I$296,8,FALSE)</f>
        <v>N</v>
      </c>
      <c r="G106" s="158" t="str">
        <f t="shared" si="6"/>
        <v>N/A</v>
      </c>
      <c r="H106" s="158" t="str">
        <f t="shared" si="8"/>
        <v/>
      </c>
      <c r="I106" s="158">
        <f>VLOOKUP($B106,Enrollment_old!$B$8:$H$302,3,FALSE)</f>
        <v>0</v>
      </c>
      <c r="J106" s="158">
        <f>VLOOKUP($B106,Enrollment_old!$B$8:$H$302,5,FALSE)</f>
        <v>0</v>
      </c>
      <c r="K106" s="158">
        <f t="shared" si="7"/>
        <v>0</v>
      </c>
      <c r="P106" s="158" t="str">
        <f t="shared" si="5"/>
        <v>N</v>
      </c>
    </row>
    <row r="107" spans="1:16">
      <c r="A107" s="158" t="s">
        <v>599</v>
      </c>
      <c r="B107" s="402" t="s">
        <v>76</v>
      </c>
      <c r="C107" s="400" t="s">
        <v>77</v>
      </c>
      <c r="D107" s="229">
        <f>VLOOKUP(B107,'Allocation 2011-12'!$B$9:$O$318,9,FALSE)</f>
        <v>0</v>
      </c>
      <c r="E107" s="382" t="str">
        <f>IF(VLOOKUP(B107,'Participation info Aug 11'!$B$2:$H$296,7,FALSE)="No","No","Yes")</f>
        <v>Yes</v>
      </c>
      <c r="F107" s="229" t="str">
        <f>VLOOKUP(B107,'Participation info Aug 11'!$B$2:$I$296,8,FALSE)</f>
        <v>N</v>
      </c>
      <c r="G107" s="158" t="str">
        <f t="shared" si="6"/>
        <v>N/A</v>
      </c>
      <c r="H107" s="158" t="str">
        <f t="shared" si="8"/>
        <v/>
      </c>
      <c r="I107" s="158">
        <f>VLOOKUP($B107,Enrollment_old!$B$8:$H$302,3,FALSE)</f>
        <v>0</v>
      </c>
      <c r="J107" s="158">
        <f>VLOOKUP($B107,Enrollment_old!$B$8:$H$302,5,FALSE)</f>
        <v>0</v>
      </c>
      <c r="K107" s="158">
        <f t="shared" si="7"/>
        <v>0</v>
      </c>
      <c r="P107" s="158" t="str">
        <f t="shared" si="5"/>
        <v>N</v>
      </c>
    </row>
    <row r="108" spans="1:16">
      <c r="A108" s="158" t="s">
        <v>603</v>
      </c>
      <c r="B108" s="402" t="s">
        <v>94</v>
      </c>
      <c r="C108" s="400" t="s">
        <v>95</v>
      </c>
      <c r="D108" s="229">
        <f>VLOOKUP(B108,'Allocation 2011-12'!$B$9:$O$318,9,FALSE)</f>
        <v>0</v>
      </c>
      <c r="E108" s="382" t="str">
        <f>IF(VLOOKUP(B108,'Participation info Aug 11'!$B$2:$H$296,7,FALSE)="No","No","Yes")</f>
        <v>Yes</v>
      </c>
      <c r="F108" s="229" t="str">
        <f>VLOOKUP(B108,'Participation info Aug 11'!$B$2:$I$296,8,FALSE)</f>
        <v>N</v>
      </c>
      <c r="G108" s="158" t="str">
        <f t="shared" si="6"/>
        <v>N/A</v>
      </c>
      <c r="H108" s="158" t="str">
        <f t="shared" si="8"/>
        <v/>
      </c>
      <c r="I108" s="158">
        <f>VLOOKUP($B108,Enrollment_old!$B$8:$H$302,3,FALSE)</f>
        <v>0</v>
      </c>
      <c r="J108" s="158">
        <f>VLOOKUP($B108,Enrollment_old!$B$8:$H$302,5,FALSE)</f>
        <v>0</v>
      </c>
      <c r="K108" s="158">
        <f t="shared" si="7"/>
        <v>0</v>
      </c>
      <c r="P108" s="158" t="str">
        <f t="shared" si="5"/>
        <v>N</v>
      </c>
    </row>
    <row r="109" spans="1:16">
      <c r="A109" s="158" t="s">
        <v>599</v>
      </c>
      <c r="B109" s="402" t="s">
        <v>80</v>
      </c>
      <c r="C109" s="400" t="s">
        <v>81</v>
      </c>
      <c r="D109" s="229">
        <f>VLOOKUP(B109,'Allocation 2011-12'!$B$9:$O$318,9,FALSE)</f>
        <v>35467</v>
      </c>
      <c r="E109" s="382" t="str">
        <f>IF(VLOOKUP(B109,'Participation info Aug 11'!$B$2:$H$296,7,FALSE)="No","No","Yes")</f>
        <v>Yes</v>
      </c>
      <c r="F109" s="229" t="str">
        <f>VLOOKUP(B109,'Participation info Aug 11'!$B$2:$I$296,8,FALSE)</f>
        <v>N</v>
      </c>
      <c r="G109" s="158" t="str">
        <f t="shared" si="6"/>
        <v>Y</v>
      </c>
      <c r="H109" s="158" t="str">
        <f t="shared" si="8"/>
        <v/>
      </c>
      <c r="I109" s="158">
        <f>VLOOKUP($B109,Enrollment_old!$B$8:$H$302,3,FALSE)</f>
        <v>224.57</v>
      </c>
      <c r="J109" s="158">
        <f>VLOOKUP($B109,Enrollment_old!$B$8:$H$302,5,FALSE)</f>
        <v>11</v>
      </c>
      <c r="K109" s="158">
        <f t="shared" si="7"/>
        <v>235.57</v>
      </c>
      <c r="P109" s="158" t="str">
        <f t="shared" si="5"/>
        <v>Y</v>
      </c>
    </row>
    <row r="110" spans="1:16">
      <c r="A110" s="158" t="s">
        <v>596</v>
      </c>
      <c r="B110" s="402" t="s">
        <v>14</v>
      </c>
      <c r="C110" s="400" t="s">
        <v>15</v>
      </c>
      <c r="D110" s="229">
        <f>VLOOKUP(B110,'Allocation 2011-12'!$B$9:$O$318,9,FALSE)</f>
        <v>336205</v>
      </c>
      <c r="E110" s="382" t="str">
        <f>IF(VLOOKUP(B110,'Participation info Aug 11'!$B$2:$H$296,7,FALSE)="No","No","Yes")</f>
        <v>Yes</v>
      </c>
      <c r="F110" s="229" t="str">
        <f>VLOOKUP(B110,'Participation info Aug 11'!$B$2:$I$296,8,FALSE)</f>
        <v>N</v>
      </c>
      <c r="G110" s="158" t="str">
        <f t="shared" si="6"/>
        <v>Y</v>
      </c>
      <c r="H110" s="158" t="str">
        <f t="shared" si="8"/>
        <v/>
      </c>
      <c r="I110" s="158">
        <f>VLOOKUP($B110,Enrollment_old!$B$8:$H$302,3,FALSE)</f>
        <v>2259.4299999999998</v>
      </c>
      <c r="J110" s="158">
        <f>VLOOKUP($B110,Enrollment_old!$B$8:$H$302,5,FALSE)</f>
        <v>0</v>
      </c>
      <c r="K110" s="158">
        <f t="shared" si="7"/>
        <v>2259.4299999999998</v>
      </c>
      <c r="P110" s="158" t="str">
        <f t="shared" si="5"/>
        <v>Y</v>
      </c>
    </row>
    <row r="111" spans="1:16">
      <c r="A111" s="158" t="s">
        <v>597</v>
      </c>
      <c r="B111" s="402" t="s">
        <v>207</v>
      </c>
      <c r="C111" s="400" t="s">
        <v>208</v>
      </c>
      <c r="D111" s="229">
        <f>VLOOKUP(B111,'Allocation 2011-12'!$B$9:$O$318,9,FALSE)</f>
        <v>757270</v>
      </c>
      <c r="E111" s="382" t="str">
        <f>IF(VLOOKUP(B111,'Participation info Aug 11'!$B$2:$H$296,7,FALSE)="No","No","Yes")</f>
        <v>Yes</v>
      </c>
      <c r="F111" s="229" t="str">
        <f>VLOOKUP(B111,'Participation info Aug 11'!$B$2:$I$296,8,FALSE)</f>
        <v>N</v>
      </c>
      <c r="G111" s="158" t="str">
        <f t="shared" si="6"/>
        <v>Y</v>
      </c>
      <c r="H111" s="158" t="str">
        <f t="shared" si="8"/>
        <v/>
      </c>
      <c r="I111" s="158">
        <f>VLOOKUP($B111,Enrollment_old!$B$8:$H$302,3,FALSE)</f>
        <v>4863.1400000000003</v>
      </c>
      <c r="J111" s="158">
        <f>VLOOKUP($B111,Enrollment_old!$B$8:$H$302,5,FALSE)</f>
        <v>16</v>
      </c>
      <c r="K111" s="158">
        <f t="shared" si="7"/>
        <v>4879.1400000000003</v>
      </c>
      <c r="P111" s="158" t="str">
        <f t="shared" si="5"/>
        <v>Y</v>
      </c>
    </row>
    <row r="112" spans="1:16">
      <c r="A112" s="158" t="s">
        <v>603</v>
      </c>
      <c r="B112" s="402" t="s">
        <v>470</v>
      </c>
      <c r="C112" s="400" t="s">
        <v>471</v>
      </c>
      <c r="D112" s="229">
        <f>VLOOKUP(B112,'Allocation 2011-12'!$B$9:$O$318,9,FALSE)</f>
        <v>0</v>
      </c>
      <c r="E112" s="382" t="str">
        <f>IF(VLOOKUP(B112,'Participation info Aug 11'!$B$2:$H$296,7,FALSE)="No","No","Yes")</f>
        <v>Yes</v>
      </c>
      <c r="F112" s="229" t="str">
        <f>VLOOKUP(B112,'Participation info Aug 11'!$B$2:$I$296,8,FALSE)</f>
        <v>N</v>
      </c>
      <c r="G112" s="158" t="str">
        <f t="shared" si="6"/>
        <v>N/A</v>
      </c>
      <c r="H112" s="158" t="str">
        <f t="shared" si="8"/>
        <v/>
      </c>
      <c r="I112" s="158">
        <f>VLOOKUP($B112,Enrollment_old!$B$8:$H$302,3,FALSE)</f>
        <v>0</v>
      </c>
      <c r="J112" s="158">
        <f>VLOOKUP($B112,Enrollment_old!$B$8:$H$302,5,FALSE)</f>
        <v>0</v>
      </c>
      <c r="K112" s="158">
        <f t="shared" si="7"/>
        <v>0</v>
      </c>
      <c r="P112" s="158" t="str">
        <f t="shared" si="5"/>
        <v>N</v>
      </c>
    </row>
    <row r="113" spans="1:16">
      <c r="A113" s="158" t="s">
        <v>596</v>
      </c>
      <c r="B113" s="402" t="s">
        <v>18</v>
      </c>
      <c r="C113" s="400" t="s">
        <v>608</v>
      </c>
      <c r="D113" s="229">
        <f>VLOOKUP(B113,'Allocation 2011-12'!$B$9:$O$318,9,FALSE)</f>
        <v>36393</v>
      </c>
      <c r="E113" s="382" t="str">
        <f>IF(VLOOKUP(B113,'Participation info Aug 11'!$B$2:$H$296,7,FALSE)="No","No","Yes")</f>
        <v>Yes</v>
      </c>
      <c r="F113" s="229" t="str">
        <f>VLOOKUP(B113,'Participation info Aug 11'!$B$2:$I$296,8,FALSE)</f>
        <v>N</v>
      </c>
      <c r="G113" s="158" t="str">
        <f t="shared" si="6"/>
        <v>Y</v>
      </c>
      <c r="H113" s="158" t="str">
        <f t="shared" si="8"/>
        <v/>
      </c>
      <c r="I113" s="158">
        <f>VLOOKUP($B113,Enrollment_old!$B$8:$H$302,3,FALSE)</f>
        <v>230</v>
      </c>
      <c r="J113" s="158">
        <f>VLOOKUP($B113,Enrollment_old!$B$8:$H$302,5,FALSE)</f>
        <v>0</v>
      </c>
      <c r="K113" s="158">
        <f t="shared" si="7"/>
        <v>230</v>
      </c>
      <c r="P113" s="158" t="str">
        <f t="shared" si="5"/>
        <v>Y</v>
      </c>
    </row>
    <row r="114" spans="1:16">
      <c r="A114" s="158" t="s">
        <v>605</v>
      </c>
      <c r="B114" s="402" t="s">
        <v>228</v>
      </c>
      <c r="C114" s="400" t="s">
        <v>229</v>
      </c>
      <c r="D114" s="229">
        <f>VLOOKUP(B114,'Allocation 2011-12'!$B$9:$O$318,9,FALSE)</f>
        <v>9320</v>
      </c>
      <c r="E114" s="382" t="str">
        <f>IF(VLOOKUP(B114,'Participation info Aug 11'!$B$2:$H$296,7,FALSE)="No","No","Yes")</f>
        <v>Yes</v>
      </c>
      <c r="F114" s="229" t="str">
        <f>VLOOKUP(B114,'Participation info Aug 11'!$B$2:$I$296,8,FALSE)</f>
        <v>ESD 105</v>
      </c>
      <c r="G114" s="158" t="str">
        <f t="shared" si="6"/>
        <v>Y</v>
      </c>
      <c r="H114" s="158" t="str">
        <f t="shared" si="8"/>
        <v/>
      </c>
      <c r="I114" s="158">
        <f>VLOOKUP($B114,Enrollment_old!$B$8:$H$302,3,FALSE)</f>
        <v>55.86</v>
      </c>
      <c r="J114" s="158">
        <f>VLOOKUP($B114,Enrollment_old!$B$8:$H$302,5,FALSE)</f>
        <v>0</v>
      </c>
      <c r="K114" s="158">
        <f t="shared" si="7"/>
        <v>55.86</v>
      </c>
      <c r="P114" s="158" t="str">
        <f t="shared" si="5"/>
        <v>Y</v>
      </c>
    </row>
    <row r="115" spans="1:16">
      <c r="A115" s="158" t="s">
        <v>599</v>
      </c>
      <c r="B115" s="402" t="s">
        <v>242</v>
      </c>
      <c r="C115" s="400" t="s">
        <v>243</v>
      </c>
      <c r="D115" s="229">
        <f>VLOOKUP(B115,'Allocation 2011-12'!$B$9:$O$318,9,FALSE)</f>
        <v>0</v>
      </c>
      <c r="E115" s="382" t="str">
        <f>IF(VLOOKUP(B115,'Participation info Aug 11'!$B$2:$H$296,7,FALSE)="No","No","Yes")</f>
        <v>Yes</v>
      </c>
      <c r="F115" s="229" t="str">
        <f>VLOOKUP(B115,'Participation info Aug 11'!$B$2:$I$296,8,FALSE)</f>
        <v>N</v>
      </c>
      <c r="G115" s="158" t="str">
        <f t="shared" si="6"/>
        <v>N/A</v>
      </c>
      <c r="H115" s="158" t="str">
        <f t="shared" si="8"/>
        <v/>
      </c>
      <c r="I115" s="158">
        <f>VLOOKUP($B115,Enrollment_old!$B$8:$H$302,3,FALSE)</f>
        <v>0</v>
      </c>
      <c r="J115" s="158">
        <f>VLOOKUP($B115,Enrollment_old!$B$8:$H$302,5,FALSE)</f>
        <v>0</v>
      </c>
      <c r="K115" s="158">
        <f t="shared" si="7"/>
        <v>0</v>
      </c>
      <c r="P115" s="158" t="str">
        <f t="shared" si="5"/>
        <v>N</v>
      </c>
    </row>
    <row r="116" spans="1:16">
      <c r="A116" s="158" t="s">
        <v>595</v>
      </c>
      <c r="B116" s="402" t="s">
        <v>382</v>
      </c>
      <c r="C116" s="400" t="s">
        <v>383</v>
      </c>
      <c r="D116" s="229">
        <f>VLOOKUP(B116,'Allocation 2011-12'!$B$9:$O$318,9,FALSE)</f>
        <v>1377</v>
      </c>
      <c r="E116" s="382" t="str">
        <f>IF(VLOOKUP(B116,'Participation info Aug 11'!$B$2:$H$296,7,FALSE)="No","No","Yes")</f>
        <v>No</v>
      </c>
      <c r="F116" s="229" t="str">
        <f>VLOOKUP(B116,'Participation info Aug 11'!$B$2:$I$296,8,FALSE)</f>
        <v>N</v>
      </c>
      <c r="G116" s="158" t="str">
        <f t="shared" si="6"/>
        <v>N</v>
      </c>
      <c r="H116" s="158">
        <f t="shared" si="8"/>
        <v>1</v>
      </c>
      <c r="I116" s="158">
        <f>VLOOKUP($B116,Enrollment_old!$B$8:$H$302,3,FALSE)</f>
        <v>0</v>
      </c>
      <c r="J116" s="158">
        <f>VLOOKUP($B116,Enrollment_old!$B$8:$H$302,5,FALSE)</f>
        <v>0</v>
      </c>
      <c r="K116" s="158">
        <f t="shared" si="7"/>
        <v>0</v>
      </c>
      <c r="P116" s="158" t="str">
        <f t="shared" si="5"/>
        <v>N</v>
      </c>
    </row>
    <row r="117" spans="1:16">
      <c r="A117" s="158" t="s">
        <v>599</v>
      </c>
      <c r="B117" s="402" t="s">
        <v>53</v>
      </c>
      <c r="C117" s="400" t="s">
        <v>609</v>
      </c>
      <c r="D117" s="229">
        <f>VLOOKUP(B117,'Allocation 2011-12'!$B$9:$O$318,9,FALSE)</f>
        <v>2755</v>
      </c>
      <c r="E117" s="382" t="str">
        <f>IF(VLOOKUP(B117,'Participation info Aug 11'!$B$2:$H$296,7,FALSE)="No","No","Yes")</f>
        <v>No</v>
      </c>
      <c r="F117" s="229" t="str">
        <f>VLOOKUP(B117,'Participation info Aug 11'!$B$2:$I$296,8,FALSE)</f>
        <v>N</v>
      </c>
      <c r="G117" s="158" t="str">
        <f t="shared" si="6"/>
        <v>N</v>
      </c>
      <c r="H117" s="158">
        <f t="shared" si="8"/>
        <v>1</v>
      </c>
      <c r="I117" s="158">
        <f>VLOOKUP($B117,Enrollment_old!$B$8:$H$302,3,FALSE)</f>
        <v>25.57</v>
      </c>
      <c r="J117" s="158">
        <f>VLOOKUP($B117,Enrollment_old!$B$8:$H$302,5,FALSE)</f>
        <v>0</v>
      </c>
      <c r="K117" s="158">
        <f t="shared" si="7"/>
        <v>25.57</v>
      </c>
      <c r="P117" s="158" t="str">
        <f t="shared" si="5"/>
        <v>N</v>
      </c>
    </row>
    <row r="118" spans="1:16">
      <c r="A118" s="158" t="s">
        <v>603</v>
      </c>
      <c r="B118" s="402" t="s">
        <v>518</v>
      </c>
      <c r="C118" s="400" t="s">
        <v>645</v>
      </c>
      <c r="D118" s="229">
        <f>VLOOKUP(B118,'Allocation 2011-12'!$B$9:$O$318,9,FALSE)</f>
        <v>0</v>
      </c>
      <c r="E118" s="382" t="str">
        <f>IF(VLOOKUP(B118,'Participation info Aug 11'!$B$2:$H$296,7,FALSE)="No","No","Yes")</f>
        <v>Yes</v>
      </c>
      <c r="F118" s="229" t="str">
        <f>VLOOKUP(B118,'Participation info Aug 11'!$B$2:$I$296,8,FALSE)</f>
        <v>N</v>
      </c>
      <c r="G118" s="158" t="str">
        <f t="shared" si="6"/>
        <v>N/A</v>
      </c>
      <c r="H118" s="158" t="str">
        <f t="shared" si="8"/>
        <v/>
      </c>
      <c r="I118" s="158">
        <f>VLOOKUP($B118,Enrollment_old!$B$8:$H$302,3,FALSE)</f>
        <v>0</v>
      </c>
      <c r="J118" s="158">
        <f>VLOOKUP($B118,Enrollment_old!$B$8:$H$302,5,FALSE)</f>
        <v>0</v>
      </c>
      <c r="K118" s="158">
        <f t="shared" si="7"/>
        <v>0</v>
      </c>
      <c r="P118" s="158" t="str">
        <f t="shared" si="5"/>
        <v>N</v>
      </c>
    </row>
    <row r="119" spans="1:16">
      <c r="A119" s="158" t="s">
        <v>601</v>
      </c>
      <c r="B119" s="402" t="s">
        <v>31</v>
      </c>
      <c r="C119" s="400" t="s">
        <v>32</v>
      </c>
      <c r="D119" s="229">
        <f>VLOOKUP(B119,'Allocation 2011-12'!$B$9:$O$318,9,FALSE)</f>
        <v>52684</v>
      </c>
      <c r="E119" s="382" t="str">
        <f>IF(VLOOKUP(B119,'Participation info Aug 11'!$B$2:$H$296,7,FALSE)="No","No","Yes")</f>
        <v>Yes</v>
      </c>
      <c r="F119" s="229" t="str">
        <f>VLOOKUP(B119,'Participation info Aug 11'!$B$2:$I$296,8,FALSE)</f>
        <v>N</v>
      </c>
      <c r="G119" s="158" t="str">
        <f t="shared" si="6"/>
        <v>Y</v>
      </c>
      <c r="H119" s="158" t="str">
        <f t="shared" si="8"/>
        <v/>
      </c>
      <c r="I119" s="158">
        <f>VLOOKUP($B119,Enrollment_old!$B$8:$H$302,3,FALSE)</f>
        <v>367.29</v>
      </c>
      <c r="J119" s="158">
        <f>VLOOKUP($B119,Enrollment_old!$B$8:$H$302,5,FALSE)</f>
        <v>0</v>
      </c>
      <c r="K119" s="158">
        <f t="shared" si="7"/>
        <v>367.29</v>
      </c>
      <c r="P119" s="158" t="str">
        <f t="shared" si="5"/>
        <v>Y</v>
      </c>
    </row>
    <row r="120" spans="1:16">
      <c r="A120" s="158" t="s">
        <v>595</v>
      </c>
      <c r="B120" s="402" t="s">
        <v>397</v>
      </c>
      <c r="C120" s="400" t="s">
        <v>398</v>
      </c>
      <c r="D120" s="229">
        <f>VLOOKUP(B120,'Allocation 2011-12'!$B$9:$O$318,9,FALSE)</f>
        <v>45045</v>
      </c>
      <c r="E120" s="382" t="str">
        <f>IF(VLOOKUP(B120,'Participation info Aug 11'!$B$2:$H$296,7,FALSE)="No","No","Yes")</f>
        <v>Yes</v>
      </c>
      <c r="F120" s="229" t="str">
        <f>VLOOKUP(B120,'Participation info Aug 11'!$B$2:$I$296,8,FALSE)</f>
        <v>N</v>
      </c>
      <c r="G120" s="158" t="str">
        <f t="shared" si="6"/>
        <v>Y</v>
      </c>
      <c r="H120" s="158" t="str">
        <f t="shared" si="8"/>
        <v/>
      </c>
      <c r="I120" s="158">
        <f>VLOOKUP($B120,Enrollment_old!$B$8:$H$302,3,FALSE)</f>
        <v>289.43</v>
      </c>
      <c r="J120" s="158">
        <f>VLOOKUP($B120,Enrollment_old!$B$8:$H$302,5,FALSE)</f>
        <v>0</v>
      </c>
      <c r="K120" s="158">
        <f t="shared" si="7"/>
        <v>289.43</v>
      </c>
      <c r="P120" s="158" t="str">
        <f t="shared" si="5"/>
        <v>Y</v>
      </c>
    </row>
    <row r="121" spans="1:16">
      <c r="A121" s="158" t="s">
        <v>597</v>
      </c>
      <c r="B121" s="402" t="s">
        <v>205</v>
      </c>
      <c r="C121" s="400" t="s">
        <v>206</v>
      </c>
      <c r="D121" s="229">
        <f>VLOOKUP(B121,'Allocation 2011-12'!$B$9:$O$318,9,FALSE)</f>
        <v>240177</v>
      </c>
      <c r="E121" s="382" t="str">
        <f>IF(VLOOKUP(B121,'Participation info Aug 11'!$B$2:$H$296,7,FALSE)="No","No","Yes")</f>
        <v>Yes</v>
      </c>
      <c r="F121" s="229" t="str">
        <f>VLOOKUP(B121,'Participation info Aug 11'!$B$2:$I$296,8,FALSE)</f>
        <v>N</v>
      </c>
      <c r="G121" s="158" t="str">
        <f t="shared" si="6"/>
        <v>Y</v>
      </c>
      <c r="H121" s="158" t="str">
        <f t="shared" si="8"/>
        <v/>
      </c>
      <c r="I121" s="158">
        <f>VLOOKUP($B121,Enrollment_old!$B$8:$H$302,3,FALSE)</f>
        <v>1752.14</v>
      </c>
      <c r="J121" s="158">
        <f>VLOOKUP($B121,Enrollment_old!$B$8:$H$302,5,FALSE)</f>
        <v>9</v>
      </c>
      <c r="K121" s="158">
        <f t="shared" si="7"/>
        <v>1761.14</v>
      </c>
      <c r="P121" s="158" t="str">
        <f t="shared" si="5"/>
        <v>Y</v>
      </c>
    </row>
    <row r="122" spans="1:16">
      <c r="A122" s="158" t="s">
        <v>595</v>
      </c>
      <c r="B122" s="402" t="s">
        <v>413</v>
      </c>
      <c r="C122" s="400" t="s">
        <v>414</v>
      </c>
      <c r="D122" s="229">
        <f>VLOOKUP(B122,'Allocation 2011-12'!$B$9:$O$318,9,FALSE)</f>
        <v>12181</v>
      </c>
      <c r="E122" s="382" t="str">
        <f>IF(VLOOKUP(B122,'Participation info Aug 11'!$B$2:$H$296,7,FALSE)="No","No","Yes")</f>
        <v>Yes</v>
      </c>
      <c r="F122" s="229" t="str">
        <f>VLOOKUP(B122,'Participation info Aug 11'!$B$2:$I$296,8,FALSE)</f>
        <v>N</v>
      </c>
      <c r="G122" s="158" t="str">
        <f t="shared" si="6"/>
        <v>Y</v>
      </c>
      <c r="H122" s="158" t="str">
        <f t="shared" si="8"/>
        <v/>
      </c>
      <c r="I122" s="158">
        <f>VLOOKUP($B122,Enrollment_old!$B$8:$H$302,3,FALSE)</f>
        <v>105</v>
      </c>
      <c r="J122" s="158">
        <f>VLOOKUP($B122,Enrollment_old!$B$8:$H$302,5,FALSE)</f>
        <v>0</v>
      </c>
      <c r="K122" s="158">
        <f t="shared" si="7"/>
        <v>105</v>
      </c>
      <c r="P122" s="158" t="str">
        <f t="shared" si="5"/>
        <v>Y</v>
      </c>
    </row>
    <row r="123" spans="1:16">
      <c r="A123" s="158" t="s">
        <v>603</v>
      </c>
      <c r="B123" s="402" t="s">
        <v>519</v>
      </c>
      <c r="C123" s="400" t="s">
        <v>520</v>
      </c>
      <c r="D123" s="229">
        <f>VLOOKUP(B123,'Allocation 2011-12'!$B$9:$O$318,9,FALSE)</f>
        <v>0</v>
      </c>
      <c r="E123" s="382" t="str">
        <f>IF(VLOOKUP(B123,'Participation info Aug 11'!$B$2:$H$296,7,FALSE)="No","No","Yes")</f>
        <v>Yes</v>
      </c>
      <c r="F123" s="229" t="str">
        <f>VLOOKUP(B123,'Participation info Aug 11'!$B$2:$I$296,8,FALSE)</f>
        <v>N</v>
      </c>
      <c r="G123" s="158" t="str">
        <f t="shared" si="6"/>
        <v>N/A</v>
      </c>
      <c r="H123" s="158" t="str">
        <f t="shared" si="8"/>
        <v/>
      </c>
      <c r="I123" s="158">
        <f>VLOOKUP($B123,Enrollment_old!$B$8:$H$302,3,FALSE)</f>
        <v>0</v>
      </c>
      <c r="J123" s="158">
        <f>VLOOKUP($B123,Enrollment_old!$B$8:$H$302,5,FALSE)</f>
        <v>0</v>
      </c>
      <c r="K123" s="158">
        <f t="shared" si="7"/>
        <v>0</v>
      </c>
      <c r="P123" s="158" t="str">
        <f t="shared" si="5"/>
        <v>N</v>
      </c>
    </row>
    <row r="124" spans="1:16">
      <c r="A124" s="158" t="s">
        <v>603</v>
      </c>
      <c r="B124" s="402" t="s">
        <v>441</v>
      </c>
      <c r="C124" s="400" t="s">
        <v>442</v>
      </c>
      <c r="D124" s="229">
        <f>VLOOKUP(B124,'Allocation 2011-12'!$B$9:$O$318,9,FALSE)</f>
        <v>0</v>
      </c>
      <c r="E124" s="382" t="str">
        <f>IF(VLOOKUP(B124,'Participation info Aug 11'!$B$2:$H$296,7,FALSE)="No","No","Yes")</f>
        <v>Yes</v>
      </c>
      <c r="F124" s="229" t="str">
        <f>VLOOKUP(B124,'Participation info Aug 11'!$B$2:$I$296,8,FALSE)</f>
        <v>N</v>
      </c>
      <c r="G124" s="158" t="str">
        <f t="shared" si="6"/>
        <v>N/A</v>
      </c>
      <c r="H124" s="158" t="str">
        <f t="shared" si="8"/>
        <v/>
      </c>
      <c r="I124" s="158">
        <f>VLOOKUP($B124,Enrollment_old!$B$8:$H$302,3,FALSE)</f>
        <v>0</v>
      </c>
      <c r="J124" s="158">
        <f>VLOOKUP($B124,Enrollment_old!$B$8:$H$302,5,FALSE)</f>
        <v>0</v>
      </c>
      <c r="K124" s="158">
        <f t="shared" si="7"/>
        <v>0</v>
      </c>
      <c r="P124" s="158" t="str">
        <f t="shared" si="5"/>
        <v>N</v>
      </c>
    </row>
    <row r="125" spans="1:16">
      <c r="A125" s="158" t="s">
        <v>603</v>
      </c>
      <c r="B125" s="402" t="s">
        <v>6</v>
      </c>
      <c r="C125" s="400" t="s">
        <v>7</v>
      </c>
      <c r="D125" s="229">
        <f>VLOOKUP(B125,'Allocation 2011-12'!$B$9:$O$318,9,FALSE)</f>
        <v>4154</v>
      </c>
      <c r="E125" s="382" t="str">
        <f>IF(VLOOKUP(B125,'Participation info Aug 11'!$B$2:$H$296,7,FALSE)="No","No","Yes")</f>
        <v>No</v>
      </c>
      <c r="F125" s="229" t="str">
        <f>VLOOKUP(B125,'Participation info Aug 11'!$B$2:$I$296,8,FALSE)</f>
        <v>N</v>
      </c>
      <c r="G125" s="158" t="str">
        <f t="shared" si="6"/>
        <v>N</v>
      </c>
      <c r="H125" s="158">
        <f t="shared" si="8"/>
        <v>1</v>
      </c>
      <c r="I125" s="158">
        <f>VLOOKUP($B125,Enrollment_old!$B$8:$H$302,3,FALSE)</f>
        <v>21.71</v>
      </c>
      <c r="J125" s="158">
        <f>VLOOKUP($B125,Enrollment_old!$B$8:$H$302,5,FALSE)</f>
        <v>0</v>
      </c>
      <c r="K125" s="158">
        <f t="shared" si="7"/>
        <v>21.71</v>
      </c>
      <c r="P125" s="158" t="str">
        <f t="shared" si="5"/>
        <v>N</v>
      </c>
    </row>
    <row r="126" spans="1:16">
      <c r="A126" s="158" t="s">
        <v>599</v>
      </c>
      <c r="B126" s="402" t="s">
        <v>70</v>
      </c>
      <c r="C126" s="400" t="s">
        <v>71</v>
      </c>
      <c r="D126" s="229">
        <f>VLOOKUP(B126,'Allocation 2011-12'!$B$9:$O$318,9,FALSE)</f>
        <v>58818</v>
      </c>
      <c r="E126" s="382" t="str">
        <f>IF(VLOOKUP(B126,'Participation info Aug 11'!$B$2:$H$296,7,FALSE)="No","No","Yes")</f>
        <v>Yes</v>
      </c>
      <c r="F126" s="229" t="str">
        <f>VLOOKUP(B126,'Participation info Aug 11'!$B$2:$I$296,8,FALSE)</f>
        <v>N</v>
      </c>
      <c r="G126" s="158" t="str">
        <f t="shared" si="6"/>
        <v>Y</v>
      </c>
      <c r="H126" s="158" t="str">
        <f t="shared" si="8"/>
        <v/>
      </c>
      <c r="I126" s="158">
        <f>VLOOKUP($B126,Enrollment_old!$B$8:$H$302,3,FALSE)</f>
        <v>362.57</v>
      </c>
      <c r="J126" s="158">
        <f>VLOOKUP($B126,Enrollment_old!$B$8:$H$302,5,FALSE)</f>
        <v>0</v>
      </c>
      <c r="K126" s="158">
        <f t="shared" si="7"/>
        <v>362.57</v>
      </c>
      <c r="P126" s="158" t="str">
        <f t="shared" si="5"/>
        <v>Y</v>
      </c>
    </row>
    <row r="127" spans="1:16">
      <c r="A127" s="158" t="s">
        <v>603</v>
      </c>
      <c r="B127" s="402" t="s">
        <v>458</v>
      </c>
      <c r="C127" s="400" t="s">
        <v>459</v>
      </c>
      <c r="D127" s="229">
        <f>VLOOKUP(B127,'Allocation 2011-12'!$B$9:$O$318,9,FALSE)</f>
        <v>0</v>
      </c>
      <c r="E127" s="382" t="str">
        <f>IF(VLOOKUP(B127,'Participation info Aug 11'!$B$2:$H$296,7,FALSE)="No","No","Yes")</f>
        <v>Yes</v>
      </c>
      <c r="F127" s="229" t="str">
        <f>VLOOKUP(B127,'Participation info Aug 11'!$B$2:$I$296,8,FALSE)</f>
        <v>N</v>
      </c>
      <c r="G127" s="158" t="str">
        <f t="shared" si="6"/>
        <v>N/A</v>
      </c>
      <c r="H127" s="158" t="str">
        <f t="shared" si="8"/>
        <v/>
      </c>
      <c r="I127" s="158">
        <f>VLOOKUP($B127,Enrollment_old!$B$8:$H$302,3,FALSE)</f>
        <v>0</v>
      </c>
      <c r="J127" s="158">
        <f>VLOOKUP($B127,Enrollment_old!$B$8:$H$302,5,FALSE)</f>
        <v>0</v>
      </c>
      <c r="K127" s="158">
        <f t="shared" si="7"/>
        <v>0</v>
      </c>
      <c r="P127" s="158" t="str">
        <f t="shared" si="5"/>
        <v>N</v>
      </c>
    </row>
    <row r="128" spans="1:16">
      <c r="A128" s="158" t="s">
        <v>595</v>
      </c>
      <c r="B128" s="402" t="s">
        <v>373</v>
      </c>
      <c r="C128" s="400" t="s">
        <v>374</v>
      </c>
      <c r="D128" s="229">
        <f>VLOOKUP(B128,'Allocation 2011-12'!$B$9:$O$318,9,FALSE)</f>
        <v>926</v>
      </c>
      <c r="E128" s="382" t="str">
        <f>IF(VLOOKUP(B128,'Participation info Aug 11'!$B$2:$H$296,7,FALSE)="No","No","Yes")</f>
        <v>No</v>
      </c>
      <c r="F128" s="229" t="str">
        <f>VLOOKUP(B128,'Participation info Aug 11'!$B$2:$I$296,8,FALSE)</f>
        <v>N</v>
      </c>
      <c r="G128" s="158" t="str">
        <f t="shared" si="6"/>
        <v>N</v>
      </c>
      <c r="H128" s="158">
        <f t="shared" si="8"/>
        <v>1</v>
      </c>
      <c r="I128" s="158">
        <f>VLOOKUP($B128,Enrollment_old!$B$8:$H$302,3,FALSE)</f>
        <v>16</v>
      </c>
      <c r="J128" s="158">
        <f>VLOOKUP($B128,Enrollment_old!$B$8:$H$302,5,FALSE)</f>
        <v>0</v>
      </c>
      <c r="K128" s="158">
        <f t="shared" si="7"/>
        <v>16</v>
      </c>
      <c r="P128" s="158" t="str">
        <f t="shared" si="5"/>
        <v>N</v>
      </c>
    </row>
    <row r="129" spans="1:16">
      <c r="A129" s="158" t="s">
        <v>599</v>
      </c>
      <c r="B129" s="402" t="s">
        <v>250</v>
      </c>
      <c r="C129" s="400" t="s">
        <v>251</v>
      </c>
      <c r="D129" s="229">
        <f>VLOOKUP(B129,'Allocation 2011-12'!$B$9:$O$318,9,FALSE)</f>
        <v>0</v>
      </c>
      <c r="E129" s="382" t="str">
        <f>IF(VLOOKUP(B129,'Participation info Aug 11'!$B$2:$H$296,7,FALSE)="No","No","Yes")</f>
        <v>Yes</v>
      </c>
      <c r="F129" s="229" t="str">
        <f>VLOOKUP(B129,'Participation info Aug 11'!$B$2:$I$296,8,FALSE)</f>
        <v>N</v>
      </c>
      <c r="G129" s="158" t="str">
        <f t="shared" si="6"/>
        <v>N/A</v>
      </c>
      <c r="H129" s="158" t="str">
        <f t="shared" si="8"/>
        <v/>
      </c>
      <c r="I129" s="158">
        <f>VLOOKUP($B129,Enrollment_old!$B$8:$H$302,3,FALSE)</f>
        <v>0</v>
      </c>
      <c r="J129" s="158">
        <f>VLOOKUP($B129,Enrollment_old!$B$8:$H$302,5,FALSE)</f>
        <v>0</v>
      </c>
      <c r="K129" s="158">
        <f t="shared" si="7"/>
        <v>0</v>
      </c>
      <c r="P129" s="158" t="str">
        <f t="shared" si="5"/>
        <v>N</v>
      </c>
    </row>
    <row r="130" spans="1:16">
      <c r="A130" s="158" t="s">
        <v>595</v>
      </c>
      <c r="B130" s="402" t="s">
        <v>510</v>
      </c>
      <c r="C130" s="400" t="s">
        <v>511</v>
      </c>
      <c r="D130" s="229">
        <f>VLOOKUP(B130,'Allocation 2011-12'!$B$9:$O$318,9,FALSE)</f>
        <v>39837</v>
      </c>
      <c r="E130" s="382" t="str">
        <f>IF(VLOOKUP(B130,'Participation info Aug 11'!$B$2:$H$296,7,FALSE)="No","No","Yes")</f>
        <v>Yes</v>
      </c>
      <c r="F130" s="229" t="str">
        <f>VLOOKUP(B130,'Participation info Aug 11'!$B$2:$I$296,8,FALSE)</f>
        <v>N</v>
      </c>
      <c r="G130" s="158" t="str">
        <f t="shared" si="6"/>
        <v>Y</v>
      </c>
      <c r="H130" s="158" t="str">
        <f t="shared" si="8"/>
        <v/>
      </c>
      <c r="I130" s="158">
        <f>VLOOKUP($B130,Enrollment_old!$B$8:$H$302,3,FALSE)</f>
        <v>241.43</v>
      </c>
      <c r="J130" s="158">
        <f>VLOOKUP($B130,Enrollment_old!$B$8:$H$302,5,FALSE)</f>
        <v>0</v>
      </c>
      <c r="K130" s="158">
        <f t="shared" si="7"/>
        <v>241.43</v>
      </c>
      <c r="P130" s="158" t="str">
        <f t="shared" si="5"/>
        <v>Y</v>
      </c>
    </row>
    <row r="131" spans="1:16">
      <c r="A131" s="158" t="s">
        <v>605</v>
      </c>
      <c r="B131" s="402" t="s">
        <v>553</v>
      </c>
      <c r="C131" s="400" t="s">
        <v>554</v>
      </c>
      <c r="D131" s="229">
        <f>VLOOKUP(B131,'Allocation 2011-12'!$B$9:$O$318,9,FALSE)</f>
        <v>64219</v>
      </c>
      <c r="E131" s="382" t="str">
        <f>IF(VLOOKUP(B131,'Participation info Aug 11'!$B$2:$H$296,7,FALSE)="No","No","Yes")</f>
        <v>Yes</v>
      </c>
      <c r="F131" s="229" t="str">
        <f>VLOOKUP(B131,'Participation info Aug 11'!$B$2:$I$296,8,FALSE)</f>
        <v>N</v>
      </c>
      <c r="G131" s="158" t="str">
        <f t="shared" si="6"/>
        <v>Y</v>
      </c>
      <c r="H131" s="158" t="str">
        <f t="shared" si="8"/>
        <v/>
      </c>
      <c r="I131" s="158">
        <f>VLOOKUP($B131,Enrollment_old!$B$8:$H$302,3,FALSE)</f>
        <v>349.29</v>
      </c>
      <c r="J131" s="158">
        <f>VLOOKUP($B131,Enrollment_old!$B$8:$H$302,5,FALSE)</f>
        <v>0</v>
      </c>
      <c r="K131" s="158">
        <f t="shared" si="7"/>
        <v>349.29</v>
      </c>
      <c r="P131" s="158" t="str">
        <f t="shared" si="5"/>
        <v>Y</v>
      </c>
    </row>
    <row r="132" spans="1:16">
      <c r="A132" s="158" t="s">
        <v>601</v>
      </c>
      <c r="B132" s="402" t="s">
        <v>90</v>
      </c>
      <c r="C132" s="400" t="s">
        <v>91</v>
      </c>
      <c r="D132" s="229">
        <f>VLOOKUP(B132,'Allocation 2011-12'!$B$9:$O$318,9,FALSE)</f>
        <v>0</v>
      </c>
      <c r="E132" s="382" t="str">
        <f>IF(VLOOKUP(B132,'Participation info Aug 11'!$B$2:$H$296,7,FALSE)="No","No","Yes")</f>
        <v>Yes</v>
      </c>
      <c r="F132" s="229" t="str">
        <f>VLOOKUP(B132,'Participation info Aug 11'!$B$2:$I$296,8,FALSE)</f>
        <v>N</v>
      </c>
      <c r="G132" s="158" t="str">
        <f t="shared" si="6"/>
        <v>N/A</v>
      </c>
      <c r="H132" s="158" t="str">
        <f t="shared" si="8"/>
        <v/>
      </c>
      <c r="I132" s="158">
        <f>VLOOKUP($B132,Enrollment_old!$B$8:$H$302,3,FALSE)</f>
        <v>0</v>
      </c>
      <c r="J132" s="158">
        <f>VLOOKUP($B132,Enrollment_old!$B$8:$H$302,5,FALSE)</f>
        <v>4</v>
      </c>
      <c r="K132" s="158">
        <f t="shared" si="7"/>
        <v>4</v>
      </c>
      <c r="P132" s="158" t="str">
        <f t="shared" ref="P132:P195" si="9">IF(AND(E132="yes",D132&gt;0),IF(AND(D132&lt;10000,F132="N"),"N","Y"),"N")</f>
        <v>N</v>
      </c>
    </row>
    <row r="133" spans="1:16">
      <c r="A133" s="158" t="s">
        <v>601</v>
      </c>
      <c r="B133" s="402" t="s">
        <v>25</v>
      </c>
      <c r="C133" s="400" t="s">
        <v>26</v>
      </c>
      <c r="D133" s="229">
        <f>VLOOKUP(B133,'Allocation 2011-12'!$B$9:$O$318,9,FALSE)</f>
        <v>33940</v>
      </c>
      <c r="E133" s="382" t="str">
        <f>IF(VLOOKUP(B133,'Participation info Aug 11'!$B$2:$H$296,7,FALSE)="No","No","Yes")</f>
        <v>Yes</v>
      </c>
      <c r="F133" s="229" t="str">
        <f>VLOOKUP(B133,'Participation info Aug 11'!$B$2:$I$296,8,FALSE)</f>
        <v>N</v>
      </c>
      <c r="G133" s="158" t="str">
        <f t="shared" ref="G133:G196" si="10">IF(AND($E133="yes",$D133&gt;0),IF(AND($D133&lt;10000,$F133="N"),"NC","Y"),IF(D133=0,"N/A","N"))</f>
        <v>Y</v>
      </c>
      <c r="H133" s="158" t="str">
        <f t="shared" si="8"/>
        <v/>
      </c>
      <c r="I133" s="158">
        <f>VLOOKUP($B133,Enrollment_old!$B$8:$H$302,3,FALSE)</f>
        <v>242.14</v>
      </c>
      <c r="J133" s="158">
        <f>VLOOKUP($B133,Enrollment_old!$B$8:$H$302,5,FALSE)</f>
        <v>0</v>
      </c>
      <c r="K133" s="158">
        <f t="shared" ref="K133:K196" si="11">I133+J133</f>
        <v>242.14</v>
      </c>
      <c r="P133" s="158" t="str">
        <f t="shared" si="9"/>
        <v>Y</v>
      </c>
    </row>
    <row r="134" spans="1:16">
      <c r="A134" s="158" t="s">
        <v>594</v>
      </c>
      <c r="B134" s="402" t="s">
        <v>301</v>
      </c>
      <c r="C134" s="400" t="s">
        <v>302</v>
      </c>
      <c r="D134" s="229">
        <f>VLOOKUP(B134,'Allocation 2011-12'!$B$9:$O$318,9,FALSE)</f>
        <v>0</v>
      </c>
      <c r="E134" s="382" t="str">
        <f>IF(VLOOKUP(B134,'Participation info Aug 11'!$B$2:$H$296,7,FALSE)="No","No","Yes")</f>
        <v>Yes</v>
      </c>
      <c r="F134" s="229" t="str">
        <f>VLOOKUP(B134,'Participation info Aug 11'!$B$2:$I$296,8,FALSE)</f>
        <v>N</v>
      </c>
      <c r="G134" s="158" t="str">
        <f t="shared" si="10"/>
        <v>N/A</v>
      </c>
      <c r="H134" s="158" t="str">
        <f t="shared" si="8"/>
        <v/>
      </c>
      <c r="I134" s="158">
        <f>VLOOKUP($B134,Enrollment_old!$B$8:$H$302,3,FALSE)</f>
        <v>0</v>
      </c>
      <c r="J134" s="158">
        <f>VLOOKUP($B134,Enrollment_old!$B$8:$H$302,5,FALSE)</f>
        <v>0</v>
      </c>
      <c r="K134" s="158">
        <f t="shared" si="11"/>
        <v>0</v>
      </c>
      <c r="P134" s="158" t="str">
        <f t="shared" si="9"/>
        <v>N</v>
      </c>
    </row>
    <row r="135" spans="1:16">
      <c r="A135" s="158" t="s">
        <v>603</v>
      </c>
      <c r="B135" s="402" t="s">
        <v>466</v>
      </c>
      <c r="C135" s="400" t="s">
        <v>467</v>
      </c>
      <c r="D135" s="229">
        <f>VLOOKUP(B135,'Allocation 2011-12'!$B$9:$O$318,9,FALSE)</f>
        <v>0</v>
      </c>
      <c r="E135" s="382" t="str">
        <f>IF(VLOOKUP(B135,'Participation info Aug 11'!$B$2:$H$296,7,FALSE)="No","No","Yes")</f>
        <v>Yes</v>
      </c>
      <c r="F135" s="229" t="str">
        <f>VLOOKUP(B135,'Participation info Aug 11'!$B$2:$I$296,8,FALSE)</f>
        <v>N</v>
      </c>
      <c r="G135" s="158" t="str">
        <f t="shared" si="10"/>
        <v>N/A</v>
      </c>
      <c r="H135" s="158" t="str">
        <f t="shared" si="8"/>
        <v/>
      </c>
      <c r="I135" s="158">
        <f>VLOOKUP($B135,Enrollment_old!$B$8:$H$302,3,FALSE)</f>
        <v>0</v>
      </c>
      <c r="J135" s="158">
        <f>VLOOKUP($B135,Enrollment_old!$B$8:$H$302,5,FALSE)</f>
        <v>0</v>
      </c>
      <c r="K135" s="158">
        <f t="shared" si="11"/>
        <v>0</v>
      </c>
      <c r="P135" s="158" t="str">
        <f t="shared" si="9"/>
        <v>N</v>
      </c>
    </row>
    <row r="136" spans="1:16">
      <c r="A136" s="158" t="s">
        <v>595</v>
      </c>
      <c r="B136" s="402" t="s">
        <v>405</v>
      </c>
      <c r="C136" s="400" t="s">
        <v>406</v>
      </c>
      <c r="D136" s="229">
        <f>VLOOKUP(B136,'Allocation 2011-12'!$B$9:$O$318,9,FALSE)</f>
        <v>129365</v>
      </c>
      <c r="E136" s="382" t="str">
        <f>IF(VLOOKUP(B136,'Participation info Aug 11'!$B$2:$H$296,7,FALSE)="No","No","Yes")</f>
        <v>Yes</v>
      </c>
      <c r="F136" s="229" t="str">
        <f>VLOOKUP(B136,'Participation info Aug 11'!$B$2:$I$296,8,FALSE)</f>
        <v>N</v>
      </c>
      <c r="G136" s="158" t="str">
        <f t="shared" si="10"/>
        <v>Y</v>
      </c>
      <c r="H136" s="158" t="str">
        <f t="shared" si="8"/>
        <v/>
      </c>
      <c r="I136" s="158">
        <f>VLOOKUP($B136,Enrollment_old!$B$8:$H$302,3,FALSE)</f>
        <v>834.86</v>
      </c>
      <c r="J136" s="158">
        <f>VLOOKUP($B136,Enrollment_old!$B$8:$H$302,5,FALSE)</f>
        <v>348</v>
      </c>
      <c r="K136" s="158">
        <f t="shared" si="11"/>
        <v>1182.8600000000001</v>
      </c>
      <c r="P136" s="158" t="str">
        <f t="shared" si="9"/>
        <v>Y</v>
      </c>
    </row>
    <row r="137" spans="1:16">
      <c r="A137" s="158" t="s">
        <v>594</v>
      </c>
      <c r="B137" s="402" t="s">
        <v>138</v>
      </c>
      <c r="C137" s="400" t="s">
        <v>656</v>
      </c>
      <c r="D137" s="229">
        <f>VLOOKUP(B137,'Allocation 2011-12'!$B$9:$O$318,9,FALSE)</f>
        <v>0</v>
      </c>
      <c r="E137" s="382" t="str">
        <f>IF(VLOOKUP(B137,'Participation info Aug 11'!$B$2:$H$296,7,FALSE)="No","No","Yes")</f>
        <v>Yes</v>
      </c>
      <c r="F137" s="229" t="str">
        <f>VLOOKUP(B137,'Participation info Aug 11'!$B$2:$I$296,8,FALSE)</f>
        <v>N</v>
      </c>
      <c r="G137" s="158" t="str">
        <f t="shared" si="10"/>
        <v>N/A</v>
      </c>
      <c r="H137" s="158" t="str">
        <f t="shared" si="8"/>
        <v/>
      </c>
      <c r="I137" s="158">
        <f>VLOOKUP($B137,Enrollment_old!$B$8:$H$302,3,FALSE)</f>
        <v>0</v>
      </c>
      <c r="J137" s="158">
        <f>VLOOKUP($B137,Enrollment_old!$B$8:$H$302,5,FALSE)</f>
        <v>0</v>
      </c>
      <c r="K137" s="158">
        <f t="shared" si="11"/>
        <v>0</v>
      </c>
      <c r="P137" s="158" t="str">
        <f t="shared" si="9"/>
        <v>N</v>
      </c>
    </row>
    <row r="138" spans="1:16">
      <c r="A138" s="158" t="s">
        <v>603</v>
      </c>
      <c r="B138" s="402" t="s">
        <v>432</v>
      </c>
      <c r="C138" s="400" t="s">
        <v>433</v>
      </c>
      <c r="D138" s="229">
        <f>VLOOKUP(B138,'Allocation 2011-12'!$B$9:$O$318,9,FALSE)</f>
        <v>33702</v>
      </c>
      <c r="E138" s="382" t="str">
        <f>IF(VLOOKUP(B138,'Participation info Aug 11'!$B$2:$H$296,7,FALSE)="No","No","Yes")</f>
        <v>Yes</v>
      </c>
      <c r="F138" s="229" t="str">
        <f>VLOOKUP(B138,'Participation info Aug 11'!$B$2:$I$296,8,FALSE)</f>
        <v>N</v>
      </c>
      <c r="G138" s="158" t="str">
        <f t="shared" si="10"/>
        <v>Y</v>
      </c>
      <c r="H138" s="158" t="str">
        <f t="shared" si="8"/>
        <v/>
      </c>
      <c r="I138" s="158">
        <f>VLOOKUP($B138,Enrollment_old!$B$8:$H$302,3,FALSE)</f>
        <v>251.14</v>
      </c>
      <c r="J138" s="158">
        <f>VLOOKUP($B138,Enrollment_old!$B$8:$H$302,5,FALSE)</f>
        <v>9</v>
      </c>
      <c r="K138" s="158">
        <f t="shared" si="11"/>
        <v>260.14</v>
      </c>
      <c r="P138" s="158" t="str">
        <f t="shared" si="9"/>
        <v>Y</v>
      </c>
    </row>
    <row r="139" spans="1:16">
      <c r="A139" s="158" t="s">
        <v>603</v>
      </c>
      <c r="B139" s="402" t="s">
        <v>430</v>
      </c>
      <c r="C139" s="400" t="s">
        <v>431</v>
      </c>
      <c r="D139" s="229">
        <f>VLOOKUP(B139,'Allocation 2011-12'!$B$9:$O$318,9,FALSE)</f>
        <v>1377</v>
      </c>
      <c r="E139" s="382" t="str">
        <f>IF(VLOOKUP(B139,'Participation info Aug 11'!$B$2:$H$296,7,FALSE)="No","No","Yes")</f>
        <v>Yes</v>
      </c>
      <c r="F139" s="229" t="str">
        <f>VLOOKUP(B139,'Participation info Aug 11'!$B$2:$I$296,8,FALSE)</f>
        <v>ESD 123</v>
      </c>
      <c r="G139" s="158" t="str">
        <f t="shared" si="10"/>
        <v>Y</v>
      </c>
      <c r="H139" s="158" t="str">
        <f t="shared" si="8"/>
        <v/>
      </c>
      <c r="I139" s="158">
        <f>VLOOKUP($B139,Enrollment_old!$B$8:$H$302,3,FALSE)</f>
        <v>7.43</v>
      </c>
      <c r="J139" s="158">
        <f>VLOOKUP($B139,Enrollment_old!$B$8:$H$302,5,FALSE)</f>
        <v>0</v>
      </c>
      <c r="K139" s="158">
        <f t="shared" si="11"/>
        <v>7.43</v>
      </c>
      <c r="P139" s="158" t="str">
        <f t="shared" si="9"/>
        <v>Y</v>
      </c>
    </row>
    <row r="140" spans="1:16">
      <c r="A140" s="158" t="s">
        <v>597</v>
      </c>
      <c r="B140" s="402" t="s">
        <v>179</v>
      </c>
      <c r="C140" s="400" t="s">
        <v>180</v>
      </c>
      <c r="D140" s="229">
        <f>VLOOKUP(B140,'Allocation 2011-12'!$B$9:$O$318,9,FALSE)</f>
        <v>15776</v>
      </c>
      <c r="E140" s="382" t="str">
        <f>IF(VLOOKUP(B140,'Participation info Aug 11'!$B$2:$H$296,7,FALSE)="No","No","Yes")</f>
        <v>Yes</v>
      </c>
      <c r="F140" s="229" t="str">
        <f>VLOOKUP(B140,'Participation info Aug 11'!$B$2:$I$296,8,FALSE)</f>
        <v>N</v>
      </c>
      <c r="G140" s="158" t="str">
        <f t="shared" si="10"/>
        <v>Y</v>
      </c>
      <c r="H140" s="158" t="str">
        <f t="shared" si="8"/>
        <v/>
      </c>
      <c r="I140" s="158">
        <f>VLOOKUP($B140,Enrollment_old!$B$8:$H$302,3,FALSE)</f>
        <v>83.29</v>
      </c>
      <c r="J140" s="158">
        <f>VLOOKUP($B140,Enrollment_old!$B$8:$H$302,5,FALSE)</f>
        <v>0</v>
      </c>
      <c r="K140" s="158">
        <f t="shared" si="11"/>
        <v>83.29</v>
      </c>
      <c r="P140" s="158" t="str">
        <f t="shared" si="9"/>
        <v>Y</v>
      </c>
    </row>
    <row r="141" spans="1:16">
      <c r="A141" s="158" t="s">
        <v>595</v>
      </c>
      <c r="B141" s="402" t="s">
        <v>512</v>
      </c>
      <c r="C141" s="400" t="s">
        <v>513</v>
      </c>
      <c r="D141" s="229">
        <f>VLOOKUP(B141,'Allocation 2011-12'!$B$9:$O$318,9,FALSE)</f>
        <v>21607</v>
      </c>
      <c r="E141" s="382" t="str">
        <f>IF(VLOOKUP(B141,'Participation info Aug 11'!$B$2:$H$296,7,FALSE)="No","No","Yes")</f>
        <v>Yes</v>
      </c>
      <c r="F141" s="229" t="str">
        <f>VLOOKUP(B141,'Participation info Aug 11'!$B$2:$I$296,8,FALSE)</f>
        <v>N</v>
      </c>
      <c r="G141" s="158" t="str">
        <f t="shared" si="10"/>
        <v>Y</v>
      </c>
      <c r="H141" s="158" t="str">
        <f t="shared" si="8"/>
        <v/>
      </c>
      <c r="I141" s="158">
        <f>VLOOKUP($B141,Enrollment_old!$B$8:$H$302,3,FALSE)</f>
        <v>104.71</v>
      </c>
      <c r="J141" s="158">
        <f>VLOOKUP($B141,Enrollment_old!$B$8:$H$302,5,FALSE)</f>
        <v>0</v>
      </c>
      <c r="K141" s="158">
        <f t="shared" si="11"/>
        <v>104.71</v>
      </c>
      <c r="P141" s="158" t="str">
        <f t="shared" si="9"/>
        <v>Y</v>
      </c>
    </row>
    <row r="142" spans="1:16">
      <c r="A142" s="158" t="s">
        <v>601</v>
      </c>
      <c r="B142" s="402" t="s">
        <v>319</v>
      </c>
      <c r="C142" s="400" t="s">
        <v>320</v>
      </c>
      <c r="D142" s="229">
        <f>VLOOKUP(B142,'Allocation 2011-12'!$B$9:$O$318,9,FALSE)</f>
        <v>1205</v>
      </c>
      <c r="E142" s="382" t="str">
        <f>IF(VLOOKUP(B142,'Participation info Aug 11'!$B$2:$H$296,7,FALSE)="No","No","Yes")</f>
        <v>Yes</v>
      </c>
      <c r="F142" s="229" t="str">
        <f>VLOOKUP(B142,'Participation info Aug 11'!$B$2:$I$296,8,FALSE)</f>
        <v>Entiate</v>
      </c>
      <c r="G142" s="158" t="str">
        <f t="shared" si="10"/>
        <v>Y</v>
      </c>
      <c r="H142" s="158" t="str">
        <f t="shared" si="8"/>
        <v/>
      </c>
      <c r="I142" s="158">
        <f>VLOOKUP($B142,Enrollment_old!$B$8:$H$302,3,FALSE)</f>
        <v>4.29</v>
      </c>
      <c r="J142" s="158">
        <f>VLOOKUP($B142,Enrollment_old!$B$8:$H$302,5,FALSE)</f>
        <v>1</v>
      </c>
      <c r="K142" s="158">
        <f t="shared" si="11"/>
        <v>5.29</v>
      </c>
      <c r="P142" s="158" t="str">
        <f t="shared" si="9"/>
        <v>Y</v>
      </c>
    </row>
    <row r="143" spans="1:16">
      <c r="A143" s="158" t="s">
        <v>599</v>
      </c>
      <c r="B143" s="402" t="s">
        <v>391</v>
      </c>
      <c r="C143" s="400" t="s">
        <v>392</v>
      </c>
      <c r="D143" s="229">
        <f>VLOOKUP(B143,'Allocation 2011-12'!$B$9:$O$318,9,FALSE)</f>
        <v>0</v>
      </c>
      <c r="E143" s="382" t="str">
        <f>IF(VLOOKUP(B143,'Participation info Aug 11'!$B$2:$H$296,7,FALSE)="No","No","Yes")</f>
        <v>Yes</v>
      </c>
      <c r="F143" s="229" t="str">
        <f>VLOOKUP(B143,'Participation info Aug 11'!$B$2:$I$296,8,FALSE)</f>
        <v>N</v>
      </c>
      <c r="G143" s="158" t="str">
        <f t="shared" si="10"/>
        <v>N/A</v>
      </c>
      <c r="H143" s="158" t="str">
        <f t="shared" si="8"/>
        <v/>
      </c>
      <c r="I143" s="158">
        <f>VLOOKUP($B143,Enrollment_old!$B$8:$H$302,3,FALSE)</f>
        <v>0</v>
      </c>
      <c r="J143" s="158">
        <f>VLOOKUP($B143,Enrollment_old!$B$8:$H$302,5,FALSE)</f>
        <v>0</v>
      </c>
      <c r="K143" s="158">
        <f t="shared" si="11"/>
        <v>0</v>
      </c>
      <c r="P143" s="158" t="str">
        <f t="shared" si="9"/>
        <v>N</v>
      </c>
    </row>
    <row r="144" spans="1:16">
      <c r="A144" s="158" t="s">
        <v>595</v>
      </c>
      <c r="B144" s="402" t="s">
        <v>409</v>
      </c>
      <c r="C144" s="400" t="s">
        <v>410</v>
      </c>
      <c r="D144" s="229">
        <f>VLOOKUP(B144,'Allocation 2011-12'!$B$9:$O$318,9,FALSE)</f>
        <v>77606</v>
      </c>
      <c r="E144" s="382" t="str">
        <f>IF(VLOOKUP(B144,'Participation info Aug 11'!$B$2:$H$296,7,FALSE)="No","No","Yes")</f>
        <v>Yes</v>
      </c>
      <c r="F144" s="229" t="str">
        <f>VLOOKUP(B144,'Participation info Aug 11'!$B$2:$I$296,8,FALSE)</f>
        <v>N</v>
      </c>
      <c r="G144" s="158" t="str">
        <f t="shared" si="10"/>
        <v>Y</v>
      </c>
      <c r="H144" s="158" t="str">
        <f t="shared" si="8"/>
        <v/>
      </c>
      <c r="I144" s="158">
        <f>VLOOKUP($B144,Enrollment_old!$B$8:$H$302,3,FALSE)</f>
        <v>525.42999999999995</v>
      </c>
      <c r="J144" s="158">
        <f>VLOOKUP($B144,Enrollment_old!$B$8:$H$302,5,FALSE)</f>
        <v>11</v>
      </c>
      <c r="K144" s="158">
        <f t="shared" si="11"/>
        <v>536.42999999999995</v>
      </c>
      <c r="P144" s="158" t="str">
        <f t="shared" si="9"/>
        <v>Y</v>
      </c>
    </row>
    <row r="145" spans="1:16">
      <c r="A145" s="158" t="s">
        <v>594</v>
      </c>
      <c r="B145" s="402" t="s">
        <v>139</v>
      </c>
      <c r="C145" s="400" t="s">
        <v>140</v>
      </c>
      <c r="D145" s="229">
        <f>VLOOKUP(B145,'Allocation 2011-12'!$B$9:$O$318,9,FALSE)</f>
        <v>3251</v>
      </c>
      <c r="E145" s="382" t="str">
        <f>IF(VLOOKUP(B145,'Participation info Aug 11'!$B$2:$H$296,7,FALSE)="No","No","Yes")</f>
        <v>No</v>
      </c>
      <c r="F145" s="229" t="str">
        <f>VLOOKUP(B145,'Participation info Aug 11'!$B$2:$I$296,8,FALSE)</f>
        <v>N</v>
      </c>
      <c r="G145" s="158" t="str">
        <f t="shared" si="10"/>
        <v>N</v>
      </c>
      <c r="H145" s="158">
        <f t="shared" si="8"/>
        <v>1</v>
      </c>
      <c r="I145" s="158">
        <f>VLOOKUP($B145,Enrollment_old!$B$8:$H$302,3,FALSE)</f>
        <v>17.71</v>
      </c>
      <c r="J145" s="158">
        <f>VLOOKUP($B145,Enrollment_old!$B$8:$H$302,5,FALSE)</f>
        <v>0</v>
      </c>
      <c r="K145" s="158">
        <f t="shared" si="11"/>
        <v>17.71</v>
      </c>
      <c r="P145" s="158" t="str">
        <f t="shared" si="9"/>
        <v>N</v>
      </c>
    </row>
    <row r="146" spans="1:16">
      <c r="A146" s="158" t="s">
        <v>594</v>
      </c>
      <c r="B146" s="402" t="s">
        <v>260</v>
      </c>
      <c r="C146" s="400" t="s">
        <v>261</v>
      </c>
      <c r="D146" s="229">
        <f>VLOOKUP(B146,'Allocation 2011-12'!$B$9:$O$318,9,FALSE)</f>
        <v>0</v>
      </c>
      <c r="E146" s="382" t="str">
        <f>IF(VLOOKUP(B146,'Participation info Aug 11'!$B$2:$H$296,7,FALSE)="No","No","Yes")</f>
        <v>Yes</v>
      </c>
      <c r="F146" s="229" t="str">
        <f>VLOOKUP(B146,'Participation info Aug 11'!$B$2:$I$296,8,FALSE)</f>
        <v>N</v>
      </c>
      <c r="G146" s="158" t="str">
        <f t="shared" si="10"/>
        <v>N/A</v>
      </c>
      <c r="H146" s="158" t="str">
        <f t="shared" si="8"/>
        <v/>
      </c>
      <c r="I146" s="158">
        <f>VLOOKUP($B146,Enrollment_old!$B$8:$H$302,3,FALSE)</f>
        <v>0</v>
      </c>
      <c r="J146" s="158">
        <f>VLOOKUP($B146,Enrollment_old!$B$8:$H$302,5,FALSE)</f>
        <v>0</v>
      </c>
      <c r="K146" s="158">
        <f t="shared" si="11"/>
        <v>0</v>
      </c>
      <c r="P146" s="158" t="str">
        <f t="shared" si="9"/>
        <v>N</v>
      </c>
    </row>
    <row r="147" spans="1:16">
      <c r="A147" s="158" t="s">
        <v>601</v>
      </c>
      <c r="B147" s="402" t="s">
        <v>125</v>
      </c>
      <c r="C147" s="400" t="s">
        <v>126</v>
      </c>
      <c r="D147" s="229">
        <f>VLOOKUP(B147,'Allocation 2011-12'!$B$9:$O$318,9,FALSE)</f>
        <v>115032</v>
      </c>
      <c r="E147" s="382" t="str">
        <f>IF(VLOOKUP(B147,'Participation info Aug 11'!$B$2:$H$296,7,FALSE)="No","No","Yes")</f>
        <v>Yes</v>
      </c>
      <c r="F147" s="229" t="str">
        <f>VLOOKUP(B147,'Participation info Aug 11'!$B$2:$I$296,8,FALSE)</f>
        <v>N</v>
      </c>
      <c r="G147" s="158" t="str">
        <f t="shared" si="10"/>
        <v>Y</v>
      </c>
      <c r="H147" s="158" t="str">
        <f t="shared" si="8"/>
        <v/>
      </c>
      <c r="I147" s="158">
        <f>VLOOKUP($B147,Enrollment_old!$B$8:$H$302,3,FALSE)</f>
        <v>818.43</v>
      </c>
      <c r="J147" s="158">
        <f>VLOOKUP($B147,Enrollment_old!$B$8:$H$302,5,FALSE)</f>
        <v>0</v>
      </c>
      <c r="K147" s="158">
        <f t="shared" si="11"/>
        <v>818.43</v>
      </c>
      <c r="P147" s="158" t="str">
        <f t="shared" si="9"/>
        <v>Y</v>
      </c>
    </row>
    <row r="148" spans="1:16">
      <c r="A148" s="158" t="s">
        <v>594</v>
      </c>
      <c r="B148" s="402" t="s">
        <v>258</v>
      </c>
      <c r="C148" s="400" t="s">
        <v>259</v>
      </c>
      <c r="D148" s="229">
        <f>VLOOKUP(B148,'Allocation 2011-12'!$B$9:$O$318,9,FALSE)</f>
        <v>6499</v>
      </c>
      <c r="E148" s="382" t="str">
        <f>IF(VLOOKUP(B148,'Participation info Aug 11'!$B$2:$H$296,7,FALSE)="No","No","Yes")</f>
        <v>Yes</v>
      </c>
      <c r="F148" s="229" t="str">
        <f>VLOOKUP(B148,'Participation info Aug 11'!$B$2:$I$296,8,FALSE)</f>
        <v>QUINAULT</v>
      </c>
      <c r="G148" s="158" t="str">
        <f t="shared" si="10"/>
        <v>Y</v>
      </c>
      <c r="H148" s="158" t="str">
        <f t="shared" si="8"/>
        <v/>
      </c>
      <c r="I148" s="158">
        <f>VLOOKUP($B148,Enrollment_old!$B$8:$H$302,3,FALSE)</f>
        <v>58.57</v>
      </c>
      <c r="J148" s="158">
        <f>VLOOKUP($B148,Enrollment_old!$B$8:$H$302,5,FALSE)</f>
        <v>2</v>
      </c>
      <c r="K148" s="158">
        <f t="shared" si="11"/>
        <v>60.57</v>
      </c>
      <c r="P148" s="158" t="str">
        <f t="shared" si="9"/>
        <v>Y</v>
      </c>
    </row>
    <row r="149" spans="1:16">
      <c r="A149" s="158" t="s">
        <v>605</v>
      </c>
      <c r="B149" s="402" t="s">
        <v>571</v>
      </c>
      <c r="C149" s="400" t="s">
        <v>572</v>
      </c>
      <c r="D149" s="229">
        <f>VLOOKUP(B149,'Allocation 2011-12'!$B$9:$O$318,9,FALSE)</f>
        <v>46207</v>
      </c>
      <c r="E149" s="382" t="str">
        <f>IF(VLOOKUP(B149,'Participation info Aug 11'!$B$2:$H$296,7,FALSE)="No","No","Yes")</f>
        <v>Yes</v>
      </c>
      <c r="F149" s="229" t="str">
        <f>VLOOKUP(B149,'Participation info Aug 11'!$B$2:$I$296,8,FALSE)</f>
        <v>N</v>
      </c>
      <c r="G149" s="158" t="str">
        <f t="shared" si="10"/>
        <v>Y</v>
      </c>
      <c r="H149" s="158" t="str">
        <f t="shared" si="8"/>
        <v/>
      </c>
      <c r="I149" s="158">
        <f>VLOOKUP($B149,Enrollment_old!$B$8:$H$302,3,FALSE)</f>
        <v>125.43</v>
      </c>
      <c r="J149" s="158">
        <f>VLOOKUP($B149,Enrollment_old!$B$8:$H$302,5,FALSE)</f>
        <v>166</v>
      </c>
      <c r="K149" s="158">
        <f t="shared" si="11"/>
        <v>291.43</v>
      </c>
      <c r="P149" s="158" t="str">
        <f t="shared" si="9"/>
        <v>Y</v>
      </c>
    </row>
    <row r="150" spans="1:16">
      <c r="A150" s="158" t="s">
        <v>595</v>
      </c>
      <c r="B150" s="402" t="s">
        <v>516</v>
      </c>
      <c r="C150" s="400" t="s">
        <v>517</v>
      </c>
      <c r="D150" s="229">
        <f>VLOOKUP(B150,'Allocation 2011-12'!$B$9:$O$318,9,FALSE)</f>
        <v>22296</v>
      </c>
      <c r="E150" s="382" t="str">
        <f>IF(VLOOKUP(B150,'Participation info Aug 11'!$B$2:$H$296,7,FALSE)="No","No","Yes")</f>
        <v>Yes</v>
      </c>
      <c r="F150" s="229" t="str">
        <f>VLOOKUP(B150,'Participation info Aug 11'!$B$2:$I$296,8,FALSE)</f>
        <v>N</v>
      </c>
      <c r="G150" s="158" t="str">
        <f t="shared" si="10"/>
        <v>Y</v>
      </c>
      <c r="H150" s="158" t="str">
        <f t="shared" si="8"/>
        <v/>
      </c>
      <c r="I150" s="158">
        <f>VLOOKUP($B150,Enrollment_old!$B$8:$H$302,3,FALSE)</f>
        <v>93.14</v>
      </c>
      <c r="J150" s="158">
        <f>VLOOKUP($B150,Enrollment_old!$B$8:$H$302,5,FALSE)</f>
        <v>1</v>
      </c>
      <c r="K150" s="158">
        <f t="shared" si="11"/>
        <v>94.14</v>
      </c>
      <c r="P150" s="158" t="str">
        <f t="shared" si="9"/>
        <v>Y</v>
      </c>
    </row>
    <row r="151" spans="1:16">
      <c r="A151" s="158" t="s">
        <v>599</v>
      </c>
      <c r="B151" s="402" t="s">
        <v>389</v>
      </c>
      <c r="C151" s="400" t="s">
        <v>390</v>
      </c>
      <c r="D151" s="229">
        <f>VLOOKUP(B151,'Allocation 2011-12'!$B$9:$O$318,9,FALSE)</f>
        <v>0</v>
      </c>
      <c r="E151" s="382" t="str">
        <f>IF(VLOOKUP(B151,'Participation info Aug 11'!$B$2:$H$296,7,FALSE)="No","No","Yes")</f>
        <v>Yes</v>
      </c>
      <c r="F151" s="229" t="str">
        <f>VLOOKUP(B151,'Participation info Aug 11'!$B$2:$I$296,8,FALSE)</f>
        <v>N</v>
      </c>
      <c r="G151" s="158" t="str">
        <f t="shared" si="10"/>
        <v>N/A</v>
      </c>
      <c r="H151" s="158" t="str">
        <f t="shared" si="8"/>
        <v/>
      </c>
      <c r="I151" s="158">
        <f>VLOOKUP($B151,Enrollment_old!$B$8:$H$302,3,FALSE)</f>
        <v>0</v>
      </c>
      <c r="J151" s="158">
        <f>VLOOKUP($B151,Enrollment_old!$B$8:$H$302,5,FALSE)</f>
        <v>0</v>
      </c>
      <c r="K151" s="158">
        <f t="shared" si="11"/>
        <v>0</v>
      </c>
      <c r="P151" s="158" t="str">
        <f t="shared" si="9"/>
        <v>N</v>
      </c>
    </row>
    <row r="152" spans="1:16">
      <c r="A152" s="158" t="s">
        <v>595</v>
      </c>
      <c r="B152" s="402" t="s">
        <v>386</v>
      </c>
      <c r="C152" s="400" t="s">
        <v>610</v>
      </c>
      <c r="D152" s="229">
        <f>VLOOKUP(B152,'Allocation 2011-12'!$B$9:$O$318,9,FALSE)</f>
        <v>270200</v>
      </c>
      <c r="E152" s="382" t="str">
        <f>IF(VLOOKUP(B152,'Participation info Aug 11'!$B$2:$H$296,7,FALSE)="No","No","Yes")</f>
        <v>Yes</v>
      </c>
      <c r="F152" s="229" t="str">
        <f>VLOOKUP(B152,'Participation info Aug 11'!$B$2:$I$296,8,FALSE)</f>
        <v>N</v>
      </c>
      <c r="G152" s="158" t="str">
        <f t="shared" si="10"/>
        <v>Y</v>
      </c>
      <c r="H152" s="158" t="str">
        <f t="shared" si="8"/>
        <v/>
      </c>
      <c r="I152" s="158">
        <f>VLOOKUP($B152,Enrollment_old!$B$8:$H$302,3,FALSE)</f>
        <v>1590.57</v>
      </c>
      <c r="J152" s="158">
        <f>VLOOKUP($B152,Enrollment_old!$B$8:$H$302,5,FALSE)</f>
        <v>0</v>
      </c>
      <c r="K152" s="158">
        <f t="shared" si="11"/>
        <v>1590.57</v>
      </c>
      <c r="P152" s="158" t="str">
        <f t="shared" si="9"/>
        <v>Y</v>
      </c>
    </row>
    <row r="153" spans="1:16">
      <c r="A153" s="158" t="s">
        <v>595</v>
      </c>
      <c r="B153" s="402" t="s">
        <v>399</v>
      </c>
      <c r="C153" s="400" t="s">
        <v>400</v>
      </c>
      <c r="D153" s="229">
        <f>VLOOKUP(B153,'Allocation 2011-12'!$B$9:$O$318,9,FALSE)</f>
        <v>411917</v>
      </c>
      <c r="E153" s="382" t="str">
        <f>IF(VLOOKUP(B153,'Participation info Aug 11'!$B$2:$H$296,7,FALSE)="No","No","Yes")</f>
        <v>Yes</v>
      </c>
      <c r="F153" s="229" t="str">
        <f>VLOOKUP(B153,'Participation info Aug 11'!$B$2:$I$296,8,FALSE)</f>
        <v>N</v>
      </c>
      <c r="G153" s="158" t="str">
        <f t="shared" si="10"/>
        <v>Y</v>
      </c>
      <c r="H153" s="158" t="str">
        <f t="shared" si="8"/>
        <v/>
      </c>
      <c r="I153" s="158">
        <f>VLOOKUP($B153,Enrollment_old!$B$8:$H$302,3,FALSE)</f>
        <v>2578.14</v>
      </c>
      <c r="J153" s="158">
        <f>VLOOKUP($B153,Enrollment_old!$B$8:$H$302,5,FALSE)</f>
        <v>0</v>
      </c>
      <c r="K153" s="158">
        <f t="shared" si="11"/>
        <v>2578.14</v>
      </c>
      <c r="P153" s="158" t="str">
        <f t="shared" si="9"/>
        <v>Y</v>
      </c>
    </row>
    <row r="154" spans="1:16">
      <c r="A154" s="158" t="s">
        <v>605</v>
      </c>
      <c r="B154" s="402" t="s">
        <v>545</v>
      </c>
      <c r="C154" s="400" t="s">
        <v>546</v>
      </c>
      <c r="D154" s="229">
        <f>VLOOKUP(B154,'Allocation 2011-12'!$B$9:$O$318,9,FALSE)</f>
        <v>11988</v>
      </c>
      <c r="E154" s="382" t="str">
        <f>IF(VLOOKUP(B154,'Participation info Aug 11'!$B$2:$H$296,7,FALSE)="No","No","Yes")</f>
        <v>Yes</v>
      </c>
      <c r="F154" s="229" t="str">
        <f>VLOOKUP(B154,'Participation info Aug 11'!$B$2:$I$296,8,FALSE)</f>
        <v>ESD 105</v>
      </c>
      <c r="G154" s="158" t="str">
        <f t="shared" si="10"/>
        <v>Y</v>
      </c>
      <c r="H154" s="158" t="str">
        <f t="shared" si="8"/>
        <v/>
      </c>
      <c r="I154" s="158">
        <f>VLOOKUP($B154,Enrollment_old!$B$8:$H$302,3,FALSE)</f>
        <v>77</v>
      </c>
      <c r="J154" s="158">
        <f>VLOOKUP($B154,Enrollment_old!$B$8:$H$302,5,FALSE)</f>
        <v>0</v>
      </c>
      <c r="K154" s="158">
        <f t="shared" si="11"/>
        <v>77</v>
      </c>
      <c r="P154" s="158" t="str">
        <f t="shared" si="9"/>
        <v>Y</v>
      </c>
    </row>
    <row r="155" spans="1:16">
      <c r="A155" s="158" t="s">
        <v>594</v>
      </c>
      <c r="B155" s="402" t="s">
        <v>252</v>
      </c>
      <c r="C155" s="400" t="s">
        <v>253</v>
      </c>
      <c r="D155" s="229">
        <f>VLOOKUP(B155,'Allocation 2011-12'!$B$9:$O$318,9,FALSE)</f>
        <v>344</v>
      </c>
      <c r="E155" s="382" t="str">
        <f>IF(VLOOKUP(B155,'Participation info Aug 11'!$B$2:$H$296,7,FALSE)="No","No","Yes")</f>
        <v>Yes</v>
      </c>
      <c r="F155" s="229" t="str">
        <f>VLOOKUP(B155,'Participation info Aug 11'!$B$2:$I$296,8,FALSE)</f>
        <v>N</v>
      </c>
      <c r="G155" s="158" t="str">
        <f t="shared" si="10"/>
        <v>NC</v>
      </c>
      <c r="H155" s="158">
        <f t="shared" si="8"/>
        <v>1</v>
      </c>
      <c r="I155" s="158">
        <f>VLOOKUP($B155,Enrollment_old!$B$8:$H$302,3,FALSE)</f>
        <v>18.29</v>
      </c>
      <c r="J155" s="158">
        <f>VLOOKUP($B155,Enrollment_old!$B$8:$H$302,5,FALSE)</f>
        <v>0</v>
      </c>
      <c r="K155" s="158">
        <f t="shared" si="11"/>
        <v>18.29</v>
      </c>
      <c r="P155" s="158" t="str">
        <f t="shared" si="9"/>
        <v>N</v>
      </c>
    </row>
    <row r="156" spans="1:16">
      <c r="A156" s="158" t="s">
        <v>599</v>
      </c>
      <c r="B156" s="402" t="s">
        <v>331</v>
      </c>
      <c r="C156" s="400" t="s">
        <v>611</v>
      </c>
      <c r="D156" s="229">
        <f>VLOOKUP(B156,'Allocation 2011-12'!$B$9:$O$318,9,FALSE)</f>
        <v>861</v>
      </c>
      <c r="E156" s="382" t="str">
        <f>IF(VLOOKUP(B156,'Participation info Aug 11'!$B$2:$H$296,7,FALSE)="No","No","Yes")</f>
        <v>Yes</v>
      </c>
      <c r="F156" s="229" t="str">
        <f>VLOOKUP(B156,'Participation info Aug 11'!$B$2:$I$296,8,FALSE)</f>
        <v>N</v>
      </c>
      <c r="G156" s="158" t="str">
        <f t="shared" si="10"/>
        <v>NC</v>
      </c>
      <c r="H156" s="158">
        <f t="shared" si="8"/>
        <v>1</v>
      </c>
      <c r="I156" s="158">
        <f>VLOOKUP($B156,Enrollment_old!$B$8:$H$302,3,FALSE)</f>
        <v>11</v>
      </c>
      <c r="J156" s="158">
        <f>VLOOKUP($B156,Enrollment_old!$B$8:$H$302,5,FALSE)</f>
        <v>0</v>
      </c>
      <c r="K156" s="158">
        <f t="shared" si="11"/>
        <v>11</v>
      </c>
      <c r="P156" s="158" t="str">
        <f t="shared" si="9"/>
        <v>N</v>
      </c>
    </row>
    <row r="157" spans="1:16">
      <c r="A157" s="158" t="s">
        <v>601</v>
      </c>
      <c r="B157" s="402" t="s">
        <v>309</v>
      </c>
      <c r="C157" s="400" t="s">
        <v>310</v>
      </c>
      <c r="D157" s="229">
        <f>VLOOKUP(B157,'Allocation 2011-12'!$B$9:$O$318,9,FALSE)</f>
        <v>0</v>
      </c>
      <c r="E157" s="382" t="str">
        <f>IF(VLOOKUP(B157,'Participation info Aug 11'!$B$2:$H$296,7,FALSE)="No","No","Yes")</f>
        <v>Yes</v>
      </c>
      <c r="F157" s="229" t="str">
        <f>VLOOKUP(B157,'Participation info Aug 11'!$B$2:$I$296,8,FALSE)</f>
        <v>N</v>
      </c>
      <c r="G157" s="158" t="str">
        <f t="shared" si="10"/>
        <v>N/A</v>
      </c>
      <c r="H157" s="158" t="str">
        <f t="shared" si="8"/>
        <v/>
      </c>
      <c r="I157" s="158">
        <f>VLOOKUP($B157,Enrollment_old!$B$8:$H$302,3,FALSE)</f>
        <v>0</v>
      </c>
      <c r="J157" s="158">
        <f>VLOOKUP($B157,Enrollment_old!$B$8:$H$302,5,FALSE)</f>
        <v>80</v>
      </c>
      <c r="K157" s="158">
        <f t="shared" si="11"/>
        <v>80</v>
      </c>
      <c r="P157" s="158" t="str">
        <f t="shared" si="9"/>
        <v>N</v>
      </c>
    </row>
    <row r="158" spans="1:16">
      <c r="A158" s="158" t="s">
        <v>603</v>
      </c>
      <c r="B158" s="402" t="s">
        <v>336</v>
      </c>
      <c r="C158" s="400" t="s">
        <v>337</v>
      </c>
      <c r="D158" s="229">
        <f>VLOOKUP(B158,'Allocation 2011-12'!$B$9:$O$318,9,FALSE)</f>
        <v>0</v>
      </c>
      <c r="E158" s="382" t="str">
        <f>IF(VLOOKUP(B158,'Participation info Aug 11'!$B$2:$H$296,7,FALSE)="No","No","Yes")</f>
        <v>Yes</v>
      </c>
      <c r="F158" s="229" t="str">
        <f>VLOOKUP(B158,'Participation info Aug 11'!$B$2:$I$296,8,FALSE)</f>
        <v>N</v>
      </c>
      <c r="G158" s="158" t="str">
        <f t="shared" si="10"/>
        <v>N/A</v>
      </c>
      <c r="H158" s="158" t="str">
        <f t="shared" si="8"/>
        <v/>
      </c>
      <c r="I158" s="158">
        <f>VLOOKUP($B158,Enrollment_old!$B$8:$H$302,3,FALSE)</f>
        <v>0.14000000000000001</v>
      </c>
      <c r="J158" s="158">
        <f>VLOOKUP($B158,Enrollment_old!$B$8:$H$302,5,FALSE)</f>
        <v>0</v>
      </c>
      <c r="K158" s="158">
        <f t="shared" si="11"/>
        <v>0.14000000000000001</v>
      </c>
      <c r="P158" s="158" t="str">
        <f t="shared" si="9"/>
        <v>N</v>
      </c>
    </row>
    <row r="159" spans="1:16">
      <c r="A159" s="158" t="s">
        <v>603</v>
      </c>
      <c r="B159" s="402" t="s">
        <v>428</v>
      </c>
      <c r="C159" s="400" t="s">
        <v>429</v>
      </c>
      <c r="D159" s="229">
        <f>VLOOKUP(B159,'Allocation 2011-12'!$B$9:$O$318,9,FALSE)</f>
        <v>0</v>
      </c>
      <c r="E159" s="382" t="str">
        <f>IF(VLOOKUP(B159,'Participation info Aug 11'!$B$2:$H$296,7,FALSE)="No","No","Yes")</f>
        <v>Yes</v>
      </c>
      <c r="F159" s="229" t="str">
        <f>VLOOKUP(B159,'Participation info Aug 11'!$B$2:$I$296,8,FALSE)</f>
        <v>N</v>
      </c>
      <c r="G159" s="158" t="str">
        <f t="shared" si="10"/>
        <v>N/A</v>
      </c>
      <c r="H159" s="158" t="str">
        <f t="shared" si="8"/>
        <v/>
      </c>
      <c r="I159" s="158">
        <f>VLOOKUP($B159,Enrollment_old!$B$8:$H$302,3,FALSE)</f>
        <v>0</v>
      </c>
      <c r="J159" s="158">
        <f>VLOOKUP($B159,Enrollment_old!$B$8:$H$302,5,FALSE)</f>
        <v>0</v>
      </c>
      <c r="K159" s="158">
        <f t="shared" si="11"/>
        <v>0</v>
      </c>
      <c r="P159" s="158" t="str">
        <f t="shared" si="9"/>
        <v>N</v>
      </c>
    </row>
    <row r="160" spans="1:16">
      <c r="A160" s="158" t="s">
        <v>595</v>
      </c>
      <c r="B160" s="402" t="s">
        <v>514</v>
      </c>
      <c r="C160" s="400" t="s">
        <v>515</v>
      </c>
      <c r="D160" s="229">
        <f>VLOOKUP(B160,'Allocation 2011-12'!$B$9:$O$318,9,FALSE)</f>
        <v>30195</v>
      </c>
      <c r="E160" s="382" t="str">
        <f>IF(VLOOKUP(B160,'Participation info Aug 11'!$B$2:$H$296,7,FALSE)="No","No","Yes")</f>
        <v>Yes</v>
      </c>
      <c r="F160" s="229" t="str">
        <f>VLOOKUP(B160,'Participation info Aug 11'!$B$2:$I$296,8,FALSE)</f>
        <v>N</v>
      </c>
      <c r="G160" s="158" t="str">
        <f t="shared" si="10"/>
        <v>Y</v>
      </c>
      <c r="H160" s="158" t="str">
        <f t="shared" si="8"/>
        <v/>
      </c>
      <c r="I160" s="158">
        <f>VLOOKUP($B160,Enrollment_old!$B$8:$H$302,3,FALSE)</f>
        <v>209.29</v>
      </c>
      <c r="J160" s="158">
        <f>VLOOKUP($B160,Enrollment_old!$B$8:$H$302,5,FALSE)</f>
        <v>0</v>
      </c>
      <c r="K160" s="158">
        <f t="shared" si="11"/>
        <v>209.29</v>
      </c>
      <c r="P160" s="158" t="str">
        <f t="shared" si="9"/>
        <v>Y</v>
      </c>
    </row>
    <row r="161" spans="1:16">
      <c r="A161" s="158" t="s">
        <v>594</v>
      </c>
      <c r="B161" s="402" t="s">
        <v>136</v>
      </c>
      <c r="C161" s="400" t="s">
        <v>137</v>
      </c>
      <c r="D161" s="229">
        <f>VLOOKUP(B161,'Allocation 2011-12'!$B$9:$O$318,9,FALSE)</f>
        <v>0</v>
      </c>
      <c r="E161" s="382" t="str">
        <f>IF(VLOOKUP(B161,'Participation info Aug 11'!$B$2:$H$296,7,FALSE)="No","No","Yes")</f>
        <v>Yes</v>
      </c>
      <c r="F161" s="229" t="str">
        <f>VLOOKUP(B161,'Participation info Aug 11'!$B$2:$I$296,8,FALSE)</f>
        <v>N</v>
      </c>
      <c r="G161" s="158" t="str">
        <f t="shared" si="10"/>
        <v>N/A</v>
      </c>
      <c r="H161" s="158" t="str">
        <f t="shared" si="8"/>
        <v/>
      </c>
      <c r="I161" s="158">
        <f>VLOOKUP($B161,Enrollment_old!$B$8:$H$302,3,FALSE)</f>
        <v>0</v>
      </c>
      <c r="J161" s="158">
        <f>VLOOKUP($B161,Enrollment_old!$B$8:$H$302,5,FALSE)</f>
        <v>0</v>
      </c>
      <c r="K161" s="158">
        <f t="shared" si="11"/>
        <v>0</v>
      </c>
      <c r="P161" s="158" t="str">
        <f t="shared" si="9"/>
        <v>N</v>
      </c>
    </row>
    <row r="162" spans="1:16">
      <c r="A162" s="158" t="s">
        <v>596</v>
      </c>
      <c r="B162" s="402" t="s">
        <v>106</v>
      </c>
      <c r="C162" s="400" t="s">
        <v>107</v>
      </c>
      <c r="D162" s="229">
        <f>VLOOKUP(B162,'Allocation 2011-12'!$B$9:$O$318,9,FALSE)</f>
        <v>123511</v>
      </c>
      <c r="E162" s="382" t="str">
        <f>IF(VLOOKUP(B162,'Participation info Aug 11'!$B$2:$H$296,7,FALSE)="No","No","Yes")</f>
        <v>Yes</v>
      </c>
      <c r="F162" s="229" t="str">
        <f>VLOOKUP(B162,'Participation info Aug 11'!$B$2:$I$296,8,FALSE)</f>
        <v>N</v>
      </c>
      <c r="G162" s="158" t="str">
        <f t="shared" si="10"/>
        <v>Y</v>
      </c>
      <c r="H162" s="158" t="str">
        <f t="shared" si="8"/>
        <v/>
      </c>
      <c r="I162" s="158">
        <f>VLOOKUP($B162,Enrollment_old!$B$8:$H$302,3,FALSE)</f>
        <v>715</v>
      </c>
      <c r="J162" s="158">
        <f>VLOOKUP($B162,Enrollment_old!$B$8:$H$302,5,FALSE)</f>
        <v>0</v>
      </c>
      <c r="K162" s="158">
        <f t="shared" si="11"/>
        <v>715</v>
      </c>
      <c r="P162" s="158" t="str">
        <f t="shared" si="9"/>
        <v>Y</v>
      </c>
    </row>
    <row r="163" spans="1:16">
      <c r="A163" s="158" t="s">
        <v>600</v>
      </c>
      <c r="B163" s="402" t="s">
        <v>214</v>
      </c>
      <c r="C163" s="400" t="s">
        <v>215</v>
      </c>
      <c r="D163" s="229">
        <f>VLOOKUP(B163,'Allocation 2011-12'!$B$9:$O$318,9,FALSE)</f>
        <v>32024</v>
      </c>
      <c r="E163" s="382" t="str">
        <f>IF(VLOOKUP(B163,'Participation info Aug 11'!$B$2:$H$296,7,FALSE)="No","No","Yes")</f>
        <v>Yes</v>
      </c>
      <c r="F163" s="229" t="str">
        <f>VLOOKUP(B163,'Participation info Aug 11'!$B$2:$I$296,8,FALSE)</f>
        <v>N</v>
      </c>
      <c r="G163" s="158" t="str">
        <f t="shared" si="10"/>
        <v>Y</v>
      </c>
      <c r="H163" s="158" t="str">
        <f t="shared" si="8"/>
        <v/>
      </c>
      <c r="I163" s="158">
        <f>VLOOKUP($B163,Enrollment_old!$B$8:$H$302,3,FALSE)</f>
        <v>176.43</v>
      </c>
      <c r="J163" s="158">
        <f>VLOOKUP($B163,Enrollment_old!$B$8:$H$302,5,FALSE)</f>
        <v>2</v>
      </c>
      <c r="K163" s="158">
        <f t="shared" si="11"/>
        <v>178.43</v>
      </c>
      <c r="P163" s="158" t="str">
        <f t="shared" si="9"/>
        <v>Y</v>
      </c>
    </row>
    <row r="164" spans="1:16">
      <c r="A164" s="158" t="s">
        <v>600</v>
      </c>
      <c r="B164" s="402" t="s">
        <v>305</v>
      </c>
      <c r="C164" s="400" t="s">
        <v>306</v>
      </c>
      <c r="D164" s="229">
        <f>VLOOKUP(B164,'Allocation 2011-12'!$B$9:$O$318,9,FALSE)</f>
        <v>16571</v>
      </c>
      <c r="E164" s="382" t="str">
        <f>IF(VLOOKUP(B164,'Participation info Aug 11'!$B$2:$H$296,7,FALSE)="No","No","Yes")</f>
        <v>Yes</v>
      </c>
      <c r="F164" s="229" t="str">
        <f>VLOOKUP(B164,'Participation info Aug 11'!$B$2:$I$296,8,FALSE)</f>
        <v>N</v>
      </c>
      <c r="G164" s="158" t="str">
        <f t="shared" si="10"/>
        <v>Y</v>
      </c>
      <c r="H164" s="158" t="str">
        <f t="shared" si="8"/>
        <v/>
      </c>
      <c r="I164" s="158">
        <f>VLOOKUP($B164,Enrollment_old!$B$8:$H$302,3,FALSE)</f>
        <v>141</v>
      </c>
      <c r="J164" s="158">
        <f>VLOOKUP($B164,Enrollment_old!$B$8:$H$302,5,FALSE)</f>
        <v>0</v>
      </c>
      <c r="K164" s="158">
        <f t="shared" si="11"/>
        <v>141</v>
      </c>
      <c r="P164" s="158" t="str">
        <f t="shared" si="9"/>
        <v>Y</v>
      </c>
    </row>
    <row r="165" spans="1:16">
      <c r="A165" s="158" t="s">
        <v>594</v>
      </c>
      <c r="B165" s="402" t="s">
        <v>334</v>
      </c>
      <c r="C165" s="400" t="s">
        <v>335</v>
      </c>
      <c r="D165" s="229">
        <f>VLOOKUP(B165,'Allocation 2011-12'!$B$9:$O$318,9,FALSE)</f>
        <v>0</v>
      </c>
      <c r="E165" s="382" t="str">
        <f>IF(VLOOKUP(B165,'Participation info Aug 11'!$B$2:$H$296,7,FALSE)="No","No","Yes")</f>
        <v>Yes</v>
      </c>
      <c r="F165" s="229" t="str">
        <f>VLOOKUP(B165,'Participation info Aug 11'!$B$2:$I$296,8,FALSE)</f>
        <v>N</v>
      </c>
      <c r="G165" s="158" t="str">
        <f t="shared" si="10"/>
        <v>N/A</v>
      </c>
      <c r="H165" s="158" t="str">
        <f t="shared" si="8"/>
        <v/>
      </c>
      <c r="I165" s="158">
        <f>VLOOKUP($B165,Enrollment_old!$B$8:$H$302,3,FALSE)</f>
        <v>0</v>
      </c>
      <c r="J165" s="158">
        <f>VLOOKUP($B165,Enrollment_old!$B$8:$H$302,5,FALSE)</f>
        <v>0</v>
      </c>
      <c r="K165" s="158">
        <f t="shared" si="11"/>
        <v>0</v>
      </c>
      <c r="P165" s="158" t="str">
        <f t="shared" si="9"/>
        <v>N</v>
      </c>
    </row>
    <row r="166" spans="1:16">
      <c r="A166" s="158" t="s">
        <v>594</v>
      </c>
      <c r="B166" s="402" t="s">
        <v>474</v>
      </c>
      <c r="C166" s="400" t="s">
        <v>475</v>
      </c>
      <c r="D166" s="229">
        <f>VLOOKUP(B166,'Allocation 2011-12'!$B$9:$O$318,9,FALSE)</f>
        <v>84300</v>
      </c>
      <c r="E166" s="382" t="str">
        <f>IF(VLOOKUP(B166,'Participation info Aug 11'!$B$2:$H$296,7,FALSE)="No","No","Yes")</f>
        <v>Yes</v>
      </c>
      <c r="F166" s="229" t="str">
        <f>VLOOKUP(B166,'Participation info Aug 11'!$B$2:$I$296,8,FALSE)</f>
        <v>N</v>
      </c>
      <c r="G166" s="158" t="str">
        <f t="shared" si="10"/>
        <v>Y</v>
      </c>
      <c r="H166" s="158" t="str">
        <f t="shared" si="8"/>
        <v/>
      </c>
      <c r="I166" s="158">
        <f>VLOOKUP($B166,Enrollment_old!$B$8:$H$302,3,FALSE)</f>
        <v>606.57000000000005</v>
      </c>
      <c r="J166" s="158">
        <f>VLOOKUP($B166,Enrollment_old!$B$8:$H$302,5,FALSE)</f>
        <v>1</v>
      </c>
      <c r="K166" s="158">
        <f t="shared" si="11"/>
        <v>607.57000000000005</v>
      </c>
      <c r="P166" s="158" t="str">
        <f t="shared" si="9"/>
        <v>Y</v>
      </c>
    </row>
    <row r="167" spans="1:16">
      <c r="A167" s="158" t="s">
        <v>603</v>
      </c>
      <c r="B167" s="402" t="s">
        <v>468</v>
      </c>
      <c r="C167" s="400" t="s">
        <v>469</v>
      </c>
      <c r="D167" s="229">
        <f>VLOOKUP(B167,'Allocation 2011-12'!$B$9:$O$318,9,FALSE)</f>
        <v>0</v>
      </c>
      <c r="E167" s="382" t="str">
        <f>IF(VLOOKUP(B167,'Participation info Aug 11'!$B$2:$H$296,7,FALSE)="No","No","Yes")</f>
        <v>Yes</v>
      </c>
      <c r="F167" s="229" t="str">
        <f>VLOOKUP(B167,'Participation info Aug 11'!$B$2:$I$296,8,FALSE)</f>
        <v>N</v>
      </c>
      <c r="G167" s="158" t="str">
        <f t="shared" si="10"/>
        <v>N/A</v>
      </c>
      <c r="H167" s="158" t="str">
        <f t="shared" si="8"/>
        <v/>
      </c>
      <c r="I167" s="158">
        <f>VLOOKUP($B167,Enrollment_old!$B$8:$H$302,3,FALSE)</f>
        <v>0</v>
      </c>
      <c r="J167" s="158">
        <f>VLOOKUP($B167,Enrollment_old!$B$8:$H$302,5,FALSE)</f>
        <v>0</v>
      </c>
      <c r="K167" s="158">
        <f t="shared" si="11"/>
        <v>0</v>
      </c>
      <c r="P167" s="158" t="str">
        <f t="shared" si="9"/>
        <v>N</v>
      </c>
    </row>
    <row r="168" spans="1:16">
      <c r="A168" s="158" t="s">
        <v>597</v>
      </c>
      <c r="B168" s="402" t="s">
        <v>209</v>
      </c>
      <c r="C168" s="400" t="s">
        <v>210</v>
      </c>
      <c r="D168" s="229">
        <f>VLOOKUP(B168,'Allocation 2011-12'!$B$9:$O$318,9,FALSE)</f>
        <v>167157</v>
      </c>
      <c r="E168" s="382" t="str">
        <f>IF(VLOOKUP(B168,'Participation info Aug 11'!$B$2:$H$296,7,FALSE)="No","No","Yes")</f>
        <v>Yes</v>
      </c>
      <c r="F168" s="229" t="str">
        <f>VLOOKUP(B168,'Participation info Aug 11'!$B$2:$I$296,8,FALSE)</f>
        <v>N</v>
      </c>
      <c r="G168" s="158" t="str">
        <f t="shared" si="10"/>
        <v>Y</v>
      </c>
      <c r="H168" s="158" t="str">
        <f t="shared" si="8"/>
        <v/>
      </c>
      <c r="I168" s="158">
        <f>VLOOKUP($B168,Enrollment_old!$B$8:$H$302,3,FALSE)</f>
        <v>1196.43</v>
      </c>
      <c r="J168" s="158">
        <f>VLOOKUP($B168,Enrollment_old!$B$8:$H$302,5,FALSE)</f>
        <v>15</v>
      </c>
      <c r="K168" s="158">
        <f t="shared" si="11"/>
        <v>1211.43</v>
      </c>
      <c r="P168" s="158" t="str">
        <f t="shared" si="9"/>
        <v>Y</v>
      </c>
    </row>
    <row r="169" spans="1:16">
      <c r="A169" s="158" t="s">
        <v>595</v>
      </c>
      <c r="B169" s="402" t="s">
        <v>157</v>
      </c>
      <c r="C169" s="400" t="s">
        <v>158</v>
      </c>
      <c r="D169" s="229">
        <f>VLOOKUP(B169,'Allocation 2011-12'!$B$9:$O$318,9,FALSE)</f>
        <v>18660</v>
      </c>
      <c r="E169" s="382" t="str">
        <f>IF(VLOOKUP(B169,'Participation info Aug 11'!$B$2:$H$296,7,FALSE)="No","No","Yes")</f>
        <v>Yes</v>
      </c>
      <c r="F169" s="229" t="str">
        <f>VLOOKUP(B169,'Participation info Aug 11'!$B$2:$I$296,8,FALSE)</f>
        <v>N</v>
      </c>
      <c r="G169" s="158" t="str">
        <f t="shared" si="10"/>
        <v>Y</v>
      </c>
      <c r="H169" s="158" t="str">
        <f t="shared" ref="H169:H232" si="12">IF(AND(D169&gt;0,D169&lt;10000,F169="N"),1,"")</f>
        <v/>
      </c>
      <c r="I169" s="158">
        <f>VLOOKUP($B169,Enrollment_old!$B$8:$H$302,3,FALSE)</f>
        <v>148.86000000000001</v>
      </c>
      <c r="J169" s="158">
        <f>VLOOKUP($B169,Enrollment_old!$B$8:$H$302,5,FALSE)</f>
        <v>58</v>
      </c>
      <c r="K169" s="158">
        <f t="shared" si="11"/>
        <v>206.86</v>
      </c>
      <c r="P169" s="158" t="str">
        <f t="shared" si="9"/>
        <v>Y</v>
      </c>
    </row>
    <row r="170" spans="1:16">
      <c r="A170" s="158" t="s">
        <v>603</v>
      </c>
      <c r="B170" s="402" t="s">
        <v>541</v>
      </c>
      <c r="C170" s="400" t="s">
        <v>542</v>
      </c>
      <c r="D170" s="229">
        <f>VLOOKUP(B170,'Allocation 2011-12'!$B$9:$O$318,9,FALSE)</f>
        <v>0</v>
      </c>
      <c r="E170" s="382" t="str">
        <f>IF(VLOOKUP(B170,'Participation info Aug 11'!$B$2:$H$296,7,FALSE)="No","No","Yes")</f>
        <v>Yes</v>
      </c>
      <c r="F170" s="229" t="str">
        <f>VLOOKUP(B170,'Participation info Aug 11'!$B$2:$I$296,8,FALSE)</f>
        <v>N</v>
      </c>
      <c r="G170" s="158" t="str">
        <f t="shared" si="10"/>
        <v>N/A</v>
      </c>
      <c r="H170" s="158" t="str">
        <f t="shared" si="12"/>
        <v/>
      </c>
      <c r="I170" s="158">
        <f>VLOOKUP($B170,Enrollment_old!$B$8:$H$302,3,FALSE)</f>
        <v>0</v>
      </c>
      <c r="J170" s="158">
        <f>VLOOKUP($B170,Enrollment_old!$B$8:$H$302,5,FALSE)</f>
        <v>0</v>
      </c>
      <c r="K170" s="158">
        <f t="shared" si="11"/>
        <v>0</v>
      </c>
      <c r="P170" s="158" t="str">
        <f t="shared" si="9"/>
        <v>N</v>
      </c>
    </row>
    <row r="171" spans="1:16">
      <c r="A171" s="158" t="s">
        <v>594</v>
      </c>
      <c r="B171" s="402" t="s">
        <v>155</v>
      </c>
      <c r="C171" s="400" t="s">
        <v>156</v>
      </c>
      <c r="D171" s="229">
        <f>VLOOKUP(B171,'Allocation 2011-12'!$B$9:$O$318,9,FALSE)</f>
        <v>0</v>
      </c>
      <c r="E171" s="382" t="str">
        <f>IF(VLOOKUP(B171,'Participation info Aug 11'!$B$2:$H$296,7,FALSE)="No","No","Yes")</f>
        <v>Yes</v>
      </c>
      <c r="F171" s="229" t="str">
        <f>VLOOKUP(B171,'Participation info Aug 11'!$B$2:$I$296,8,FALSE)</f>
        <v>N</v>
      </c>
      <c r="G171" s="158" t="str">
        <f t="shared" si="10"/>
        <v>N/A</v>
      </c>
      <c r="H171" s="158" t="str">
        <f t="shared" si="12"/>
        <v/>
      </c>
      <c r="I171" s="158">
        <f>VLOOKUP($B171,Enrollment_old!$B$8:$H$302,3,FALSE)</f>
        <v>0</v>
      </c>
      <c r="J171" s="158">
        <f>VLOOKUP($B171,Enrollment_old!$B$8:$H$302,5,FALSE)</f>
        <v>0</v>
      </c>
      <c r="K171" s="158">
        <f t="shared" si="11"/>
        <v>0</v>
      </c>
      <c r="P171" s="158" t="str">
        <f t="shared" si="9"/>
        <v>N</v>
      </c>
    </row>
    <row r="172" spans="1:16">
      <c r="A172" s="158" t="s">
        <v>599</v>
      </c>
      <c r="B172" s="402" t="s">
        <v>325</v>
      </c>
      <c r="C172" s="400" t="s">
        <v>326</v>
      </c>
      <c r="D172" s="229">
        <f>VLOOKUP(B172,'Allocation 2011-12'!$B$9:$O$318,9,FALSE)</f>
        <v>4950</v>
      </c>
      <c r="E172" s="382" t="str">
        <f>IF(VLOOKUP(B172,'Participation info Aug 11'!$B$2:$H$296,7,FALSE)="No","No","Yes")</f>
        <v>Yes</v>
      </c>
      <c r="F172" s="229" t="str">
        <f>VLOOKUP(B172,'Participation info Aug 11'!$B$2:$I$296,8,FALSE)</f>
        <v>Ocean Beach- Lead</v>
      </c>
      <c r="G172" s="158" t="str">
        <f t="shared" si="10"/>
        <v>Y</v>
      </c>
      <c r="H172" s="158" t="str">
        <f t="shared" si="12"/>
        <v/>
      </c>
      <c r="I172" s="158">
        <f>VLOOKUP($B172,Enrollment_old!$B$8:$H$302,3,FALSE)</f>
        <v>53</v>
      </c>
      <c r="J172" s="158">
        <f>VLOOKUP($B172,Enrollment_old!$B$8:$H$302,5,FALSE)</f>
        <v>7</v>
      </c>
      <c r="K172" s="158">
        <f t="shared" si="11"/>
        <v>60</v>
      </c>
      <c r="P172" s="158" t="str">
        <f t="shared" si="9"/>
        <v>Y</v>
      </c>
    </row>
    <row r="173" spans="1:16">
      <c r="A173" s="158" t="s">
        <v>594</v>
      </c>
      <c r="B173" s="402" t="s">
        <v>153</v>
      </c>
      <c r="C173" s="400" t="s">
        <v>154</v>
      </c>
      <c r="D173" s="229">
        <f>VLOOKUP(B173,'Allocation 2011-12'!$B$9:$O$318,9,FALSE)</f>
        <v>7210</v>
      </c>
      <c r="E173" s="382" t="str">
        <f>IF(VLOOKUP(B173,'Participation info Aug 11'!$B$2:$H$296,7,FALSE)="No","No","Yes")</f>
        <v>No</v>
      </c>
      <c r="F173" s="229" t="str">
        <f>VLOOKUP(B173,'Participation info Aug 11'!$B$2:$I$296,8,FALSE)</f>
        <v>N</v>
      </c>
      <c r="G173" s="158" t="str">
        <f t="shared" si="10"/>
        <v>N</v>
      </c>
      <c r="H173" s="158">
        <f t="shared" si="12"/>
        <v>1</v>
      </c>
      <c r="I173" s="158">
        <f>VLOOKUP($B173,Enrollment_old!$B$8:$H$302,3,FALSE)</f>
        <v>56.57</v>
      </c>
      <c r="J173" s="158">
        <f>VLOOKUP($B173,Enrollment_old!$B$8:$H$302,5,FALSE)</f>
        <v>0</v>
      </c>
      <c r="K173" s="158">
        <f t="shared" si="11"/>
        <v>56.57</v>
      </c>
      <c r="P173" s="158" t="str">
        <f t="shared" si="9"/>
        <v>N</v>
      </c>
    </row>
    <row r="174" spans="1:16">
      <c r="A174" s="158" t="s">
        <v>603</v>
      </c>
      <c r="B174" s="402" t="s">
        <v>287</v>
      </c>
      <c r="C174" s="400" t="s">
        <v>288</v>
      </c>
      <c r="D174" s="229">
        <f>VLOOKUP(B174,'Allocation 2011-12'!$B$9:$O$318,9,FALSE)</f>
        <v>0</v>
      </c>
      <c r="E174" s="382" t="str">
        <f>IF(VLOOKUP(B174,'Participation info Aug 11'!$B$2:$H$296,7,FALSE)="No","No","Yes")</f>
        <v>Yes</v>
      </c>
      <c r="F174" s="229" t="str">
        <f>VLOOKUP(B174,'Participation info Aug 11'!$B$2:$I$296,8,FALSE)</f>
        <v>N</v>
      </c>
      <c r="G174" s="158" t="str">
        <f t="shared" si="10"/>
        <v>N/A</v>
      </c>
      <c r="H174" s="158" t="str">
        <f t="shared" si="12"/>
        <v/>
      </c>
      <c r="I174" s="158">
        <f>VLOOKUP($B174,Enrollment_old!$B$8:$H$302,3,FALSE)</f>
        <v>0</v>
      </c>
      <c r="J174" s="158">
        <f>VLOOKUP($B174,Enrollment_old!$B$8:$H$302,5,FALSE)</f>
        <v>0</v>
      </c>
      <c r="K174" s="158">
        <f t="shared" si="11"/>
        <v>0</v>
      </c>
      <c r="P174" s="158" t="str">
        <f t="shared" si="9"/>
        <v>N</v>
      </c>
    </row>
    <row r="175" spans="1:16">
      <c r="A175" s="158" t="s">
        <v>601</v>
      </c>
      <c r="B175" s="402" t="s">
        <v>313</v>
      </c>
      <c r="C175" s="400" t="s">
        <v>314</v>
      </c>
      <c r="D175" s="229">
        <f>VLOOKUP(B175,'Allocation 2011-12'!$B$9:$O$318,9,FALSE)</f>
        <v>15690</v>
      </c>
      <c r="E175" s="382" t="str">
        <f>IF(VLOOKUP(B175,'Participation info Aug 11'!$B$2:$H$296,7,FALSE)="No","No","Yes")</f>
        <v>Yes</v>
      </c>
      <c r="F175" s="229" t="str">
        <f>VLOOKUP(B175,'Participation info Aug 11'!$B$2:$I$296,8,FALSE)</f>
        <v>N</v>
      </c>
      <c r="G175" s="158" t="str">
        <f t="shared" si="10"/>
        <v>Y</v>
      </c>
      <c r="H175" s="158" t="str">
        <f t="shared" si="12"/>
        <v/>
      </c>
      <c r="I175" s="158">
        <f>VLOOKUP($B175,Enrollment_old!$B$8:$H$302,3,FALSE)</f>
        <v>94.57</v>
      </c>
      <c r="J175" s="158">
        <f>VLOOKUP($B175,Enrollment_old!$B$8:$H$302,5,FALSE)</f>
        <v>0</v>
      </c>
      <c r="K175" s="158">
        <f t="shared" si="11"/>
        <v>94.57</v>
      </c>
      <c r="P175" s="158" t="str">
        <f t="shared" si="9"/>
        <v>Y</v>
      </c>
    </row>
    <row r="176" spans="1:16">
      <c r="A176" s="158" t="s">
        <v>594</v>
      </c>
      <c r="B176" s="402" t="s">
        <v>478</v>
      </c>
      <c r="C176" s="400" t="s">
        <v>479</v>
      </c>
      <c r="D176" s="229">
        <f>VLOOKUP(B176,'Allocation 2011-12'!$B$9:$O$318,9,FALSE)</f>
        <v>38459</v>
      </c>
      <c r="E176" s="382" t="str">
        <f>IF(VLOOKUP(B176,'Participation info Aug 11'!$B$2:$H$296,7,FALSE)="No","No","Yes")</f>
        <v>Yes</v>
      </c>
      <c r="F176" s="229" t="str">
        <f>VLOOKUP(B176,'Participation info Aug 11'!$B$2:$I$296,8,FALSE)</f>
        <v>N</v>
      </c>
      <c r="G176" s="158" t="str">
        <f t="shared" si="10"/>
        <v>Y</v>
      </c>
      <c r="H176" s="158" t="str">
        <f t="shared" si="12"/>
        <v/>
      </c>
      <c r="I176" s="158">
        <f>VLOOKUP($B176,Enrollment_old!$B$8:$H$302,3,FALSE)</f>
        <v>191.86</v>
      </c>
      <c r="J176" s="158">
        <f>VLOOKUP($B176,Enrollment_old!$B$8:$H$302,5,FALSE)</f>
        <v>8</v>
      </c>
      <c r="K176" s="158">
        <f t="shared" si="11"/>
        <v>199.86</v>
      </c>
      <c r="P176" s="158" t="str">
        <f t="shared" si="9"/>
        <v>Y</v>
      </c>
    </row>
    <row r="177" spans="1:16">
      <c r="A177" s="158" t="s">
        <v>601</v>
      </c>
      <c r="B177" s="402" t="s">
        <v>311</v>
      </c>
      <c r="C177" s="400" t="s">
        <v>312</v>
      </c>
      <c r="D177" s="229">
        <f>VLOOKUP(B177,'Allocation 2011-12'!$B$9:$O$318,9,FALSE)</f>
        <v>13968</v>
      </c>
      <c r="E177" s="382" t="str">
        <f>IF(VLOOKUP(B177,'Participation info Aug 11'!$B$2:$H$296,7,FALSE)="No","No","Yes")</f>
        <v>Yes</v>
      </c>
      <c r="F177" s="229" t="str">
        <f>VLOOKUP(B177,'Participation info Aug 11'!$B$2:$I$296,8,FALSE)</f>
        <v>N</v>
      </c>
      <c r="G177" s="158" t="str">
        <f t="shared" si="10"/>
        <v>Y</v>
      </c>
      <c r="H177" s="158" t="str">
        <f t="shared" si="12"/>
        <v/>
      </c>
      <c r="I177" s="158">
        <f>VLOOKUP($B177,Enrollment_old!$B$8:$H$302,3,FALSE)</f>
        <v>106.29</v>
      </c>
      <c r="J177" s="158">
        <f>VLOOKUP($B177,Enrollment_old!$B$8:$H$302,5,FALSE)</f>
        <v>0</v>
      </c>
      <c r="K177" s="158">
        <f t="shared" si="11"/>
        <v>106.29</v>
      </c>
      <c r="P177" s="158" t="str">
        <f t="shared" si="9"/>
        <v>Y</v>
      </c>
    </row>
    <row r="178" spans="1:16">
      <c r="A178" s="158" t="s">
        <v>594</v>
      </c>
      <c r="B178" s="402" t="s">
        <v>270</v>
      </c>
      <c r="C178" s="400" t="s">
        <v>271</v>
      </c>
      <c r="D178" s="229">
        <f>VLOOKUP(B178,'Allocation 2011-12'!$B$9:$O$318,9,FALSE)</f>
        <v>3831</v>
      </c>
      <c r="E178" s="382" t="str">
        <f>IF(VLOOKUP(B178,'Participation info Aug 11'!$B$2:$H$296,7,FALSE)="No","No","Yes")</f>
        <v>Yes</v>
      </c>
      <c r="F178" s="229" t="str">
        <f>VLOOKUP(B178,'Participation info Aug 11'!$B$2:$I$296,8,FALSE)</f>
        <v>N</v>
      </c>
      <c r="G178" s="158" t="str">
        <f t="shared" si="10"/>
        <v>NC</v>
      </c>
      <c r="H178" s="158">
        <f t="shared" si="12"/>
        <v>1</v>
      </c>
      <c r="I178" s="158">
        <f>VLOOKUP($B178,Enrollment_old!$B$8:$H$302,3,FALSE)</f>
        <v>25.71</v>
      </c>
      <c r="J178" s="158">
        <f>VLOOKUP($B178,Enrollment_old!$B$8:$H$302,5,FALSE)</f>
        <v>0</v>
      </c>
      <c r="K178" s="158">
        <f t="shared" si="11"/>
        <v>25.71</v>
      </c>
      <c r="P178" s="158" t="str">
        <f t="shared" si="9"/>
        <v>N</v>
      </c>
    </row>
    <row r="179" spans="1:16">
      <c r="A179" s="158" t="s">
        <v>603</v>
      </c>
      <c r="B179" s="402" t="s">
        <v>448</v>
      </c>
      <c r="C179" s="400" t="s">
        <v>449</v>
      </c>
      <c r="D179" s="229">
        <f>VLOOKUP(B179,'Allocation 2011-12'!$B$9:$O$318,9,FALSE)</f>
        <v>0</v>
      </c>
      <c r="E179" s="382" t="str">
        <f>IF(VLOOKUP(B179,'Participation info Aug 11'!$B$2:$H$296,7,FALSE)="No","No","Yes")</f>
        <v>Yes</v>
      </c>
      <c r="F179" s="229" t="str">
        <f>VLOOKUP(B179,'Participation info Aug 11'!$B$2:$I$296,8,FALSE)</f>
        <v>N</v>
      </c>
      <c r="G179" s="158" t="str">
        <f t="shared" si="10"/>
        <v>N/A</v>
      </c>
      <c r="H179" s="158" t="str">
        <f t="shared" si="12"/>
        <v/>
      </c>
      <c r="I179" s="158">
        <f>VLOOKUP($B179,Enrollment_old!$B$8:$H$302,3,FALSE)</f>
        <v>0</v>
      </c>
      <c r="J179" s="158">
        <f>VLOOKUP($B179,Enrollment_old!$B$8:$H$302,5,FALSE)</f>
        <v>0</v>
      </c>
      <c r="K179" s="158">
        <f t="shared" si="11"/>
        <v>0</v>
      </c>
      <c r="P179" s="158" t="str">
        <f t="shared" si="9"/>
        <v>N</v>
      </c>
    </row>
    <row r="180" spans="1:16">
      <c r="A180" s="158" t="s">
        <v>595</v>
      </c>
      <c r="B180" s="402" t="s">
        <v>372</v>
      </c>
      <c r="C180" s="400" t="s">
        <v>613</v>
      </c>
      <c r="D180" s="229">
        <f>VLOOKUP(B180,'Allocation 2011-12'!$B$9:$O$318,9,FALSE)</f>
        <v>2755</v>
      </c>
      <c r="E180" s="382" t="str">
        <f>IF(VLOOKUP(B180,'Participation info Aug 11'!$B$2:$H$296,7,FALSE)="No","No","Yes")</f>
        <v>Yes</v>
      </c>
      <c r="F180" s="229" t="str">
        <f>VLOOKUP(B180,'Participation info Aug 11'!$B$2:$I$296,8,FALSE)</f>
        <v>San Juan</v>
      </c>
      <c r="G180" s="158" t="str">
        <f t="shared" si="10"/>
        <v>Y</v>
      </c>
      <c r="H180" s="158" t="str">
        <f t="shared" si="12"/>
        <v/>
      </c>
      <c r="I180" s="158">
        <f>VLOOKUP($B180,Enrollment_old!$B$8:$H$302,3,FALSE)</f>
        <v>25.14</v>
      </c>
      <c r="J180" s="158">
        <f>VLOOKUP($B180,Enrollment_old!$B$8:$H$302,5,FALSE)</f>
        <v>0</v>
      </c>
      <c r="K180" s="158">
        <f t="shared" si="11"/>
        <v>25.14</v>
      </c>
      <c r="P180" s="158" t="str">
        <f t="shared" si="9"/>
        <v>Y</v>
      </c>
    </row>
    <row r="181" spans="1:16">
      <c r="A181" s="158" t="s">
        <v>603</v>
      </c>
      <c r="B181" s="402" t="s">
        <v>424</v>
      </c>
      <c r="C181" s="400" t="s">
        <v>425</v>
      </c>
      <c r="D181" s="229">
        <f>VLOOKUP(B181,'Allocation 2011-12'!$B$9:$O$318,9,FALSE)</f>
        <v>0</v>
      </c>
      <c r="E181" s="382" t="str">
        <f>IF(VLOOKUP(B181,'Participation info Aug 11'!$B$2:$H$296,7,FALSE)="No","No","Yes")</f>
        <v>Yes</v>
      </c>
      <c r="F181" s="229" t="str">
        <f>VLOOKUP(B181,'Participation info Aug 11'!$B$2:$I$296,8,FALSE)</f>
        <v>N</v>
      </c>
      <c r="G181" s="158" t="str">
        <f t="shared" si="10"/>
        <v>N/A</v>
      </c>
      <c r="H181" s="158" t="str">
        <f t="shared" si="12"/>
        <v/>
      </c>
      <c r="I181" s="158">
        <f>VLOOKUP($B181,Enrollment_old!$B$8:$H$302,3,FALSE)</f>
        <v>0</v>
      </c>
      <c r="J181" s="158">
        <f>VLOOKUP($B181,Enrollment_old!$B$8:$H$302,5,FALSE)</f>
        <v>0</v>
      </c>
      <c r="K181" s="158">
        <f t="shared" si="11"/>
        <v>0</v>
      </c>
      <c r="P181" s="158" t="str">
        <f t="shared" si="9"/>
        <v>N</v>
      </c>
    </row>
    <row r="182" spans="1:16">
      <c r="A182" s="158" t="s">
        <v>603</v>
      </c>
      <c r="B182" s="402" t="s">
        <v>98</v>
      </c>
      <c r="C182" s="400" t="s">
        <v>99</v>
      </c>
      <c r="D182" s="229">
        <f>VLOOKUP(B182,'Allocation 2011-12'!$B$9:$O$318,9,FALSE)</f>
        <v>0</v>
      </c>
      <c r="E182" s="382" t="str">
        <f>IF(VLOOKUP(B182,'Participation info Aug 11'!$B$2:$H$296,7,FALSE)="No","No","Yes")</f>
        <v>Yes</v>
      </c>
      <c r="F182" s="229" t="str">
        <f>VLOOKUP(B182,'Participation info Aug 11'!$B$2:$I$296,8,FALSE)</f>
        <v>N</v>
      </c>
      <c r="G182" s="158" t="str">
        <f t="shared" si="10"/>
        <v>N/A</v>
      </c>
      <c r="H182" s="158" t="str">
        <f t="shared" si="12"/>
        <v/>
      </c>
      <c r="I182" s="158">
        <f>VLOOKUP($B182,Enrollment_old!$B$8:$H$302,3,FALSE)</f>
        <v>0</v>
      </c>
      <c r="J182" s="158">
        <f>VLOOKUP($B182,Enrollment_old!$B$8:$H$302,5,FALSE)</f>
        <v>0</v>
      </c>
      <c r="K182" s="158">
        <f t="shared" si="11"/>
        <v>0</v>
      </c>
      <c r="P182" s="158" t="str">
        <f t="shared" si="9"/>
        <v>N</v>
      </c>
    </row>
    <row r="183" spans="1:16">
      <c r="A183" s="158" t="s">
        <v>601</v>
      </c>
      <c r="B183" s="402" t="s">
        <v>82</v>
      </c>
      <c r="C183" s="400" t="s">
        <v>83</v>
      </c>
      <c r="D183" s="229">
        <f>VLOOKUP(B183,'Allocation 2011-12'!$B$9:$O$318,9,FALSE)</f>
        <v>17906</v>
      </c>
      <c r="E183" s="382" t="str">
        <f>IF(VLOOKUP(B183,'Participation info Aug 11'!$B$2:$H$296,7,FALSE)="No","No","Yes")</f>
        <v>Yes</v>
      </c>
      <c r="F183" s="229" t="str">
        <f>VLOOKUP(B183,'Participation info Aug 11'!$B$2:$I$296,8,FALSE)</f>
        <v>N</v>
      </c>
      <c r="G183" s="158" t="str">
        <f t="shared" si="10"/>
        <v>Y</v>
      </c>
      <c r="H183" s="158" t="str">
        <f t="shared" si="12"/>
        <v/>
      </c>
      <c r="I183" s="158">
        <f>VLOOKUP($B183,Enrollment_old!$B$8:$H$302,3,FALSE)</f>
        <v>104.57</v>
      </c>
      <c r="J183" s="158">
        <f>VLOOKUP($B183,Enrollment_old!$B$8:$H$302,5,FALSE)</f>
        <v>0</v>
      </c>
      <c r="K183" s="158">
        <f t="shared" si="11"/>
        <v>104.57</v>
      </c>
      <c r="P183" s="158" t="str">
        <f t="shared" si="9"/>
        <v>Y</v>
      </c>
    </row>
    <row r="184" spans="1:16">
      <c r="A184" s="158" t="s">
        <v>601</v>
      </c>
      <c r="B184" s="402" t="s">
        <v>323</v>
      </c>
      <c r="C184" s="400" t="s">
        <v>324</v>
      </c>
      <c r="D184" s="229">
        <f>VLOOKUP(B184,'Allocation 2011-12'!$B$9:$O$318,9,FALSE)</f>
        <v>14226</v>
      </c>
      <c r="E184" s="382" t="str">
        <f>IF(VLOOKUP(B184,'Participation info Aug 11'!$B$2:$H$296,7,FALSE)="No","No","Yes")</f>
        <v>Yes</v>
      </c>
      <c r="F184" s="229" t="str">
        <f>VLOOKUP(B184,'Participation info Aug 11'!$B$2:$I$296,8,FALSE)</f>
        <v>N</v>
      </c>
      <c r="G184" s="158" t="str">
        <f t="shared" si="10"/>
        <v>Y</v>
      </c>
      <c r="H184" s="158" t="str">
        <f t="shared" si="12"/>
        <v/>
      </c>
      <c r="I184" s="158">
        <f>VLOOKUP($B184,Enrollment_old!$B$8:$H$302,3,FALSE)</f>
        <v>91.29</v>
      </c>
      <c r="J184" s="158">
        <f>VLOOKUP($B184,Enrollment_old!$B$8:$H$302,5,FALSE)</f>
        <v>0</v>
      </c>
      <c r="K184" s="158">
        <f t="shared" si="11"/>
        <v>91.29</v>
      </c>
      <c r="P184" s="158" t="str">
        <f t="shared" si="9"/>
        <v>Y</v>
      </c>
    </row>
    <row r="185" spans="1:16">
      <c r="A185" s="158" t="s">
        <v>597</v>
      </c>
      <c r="B185" s="402" t="s">
        <v>355</v>
      </c>
      <c r="C185" s="400" t="s">
        <v>356</v>
      </c>
      <c r="D185" s="229">
        <f>VLOOKUP(B185,'Allocation 2011-12'!$B$9:$O$318,9,FALSE)</f>
        <v>6026</v>
      </c>
      <c r="E185" s="382" t="str">
        <f>IF(VLOOKUP(B185,'Participation info Aug 11'!$B$2:$H$296,7,FALSE)="No","No","Yes")</f>
        <v>Yes</v>
      </c>
      <c r="F185" s="229" t="str">
        <f>VLOOKUP(B185,'Participation info Aug 11'!$B$2:$I$296,8,FALSE)</f>
        <v>QUINAULT</v>
      </c>
      <c r="G185" s="158" t="str">
        <f t="shared" si="10"/>
        <v>Y</v>
      </c>
      <c r="H185" s="158" t="str">
        <f t="shared" si="12"/>
        <v/>
      </c>
      <c r="I185" s="158">
        <f>VLOOKUP($B185,Enrollment_old!$B$8:$H$302,3,FALSE)</f>
        <v>38.86</v>
      </c>
      <c r="J185" s="158">
        <f>VLOOKUP($B185,Enrollment_old!$B$8:$H$302,5,FALSE)</f>
        <v>1</v>
      </c>
      <c r="K185" s="158">
        <f t="shared" si="11"/>
        <v>39.86</v>
      </c>
      <c r="P185" s="158" t="str">
        <f t="shared" si="9"/>
        <v>Y</v>
      </c>
    </row>
    <row r="186" spans="1:16">
      <c r="A186" s="158" t="s">
        <v>596</v>
      </c>
      <c r="B186" s="402" t="s">
        <v>4</v>
      </c>
      <c r="C186" s="400" t="s">
        <v>5</v>
      </c>
      <c r="D186" s="229">
        <f>VLOOKUP(B186,'Allocation 2011-12'!$B$9:$O$318,9,FALSE)</f>
        <v>236283</v>
      </c>
      <c r="E186" s="382" t="str">
        <f>IF(VLOOKUP(B186,'Participation info Aug 11'!$B$2:$H$296,7,FALSE)="No","No","Yes")</f>
        <v>Yes</v>
      </c>
      <c r="F186" s="229" t="str">
        <f>VLOOKUP(B186,'Participation info Aug 11'!$B$2:$I$296,8,FALSE)</f>
        <v>N</v>
      </c>
      <c r="G186" s="158" t="str">
        <f t="shared" si="10"/>
        <v>Y</v>
      </c>
      <c r="H186" s="158" t="str">
        <f t="shared" si="12"/>
        <v/>
      </c>
      <c r="I186" s="158">
        <f>VLOOKUP($B186,Enrollment_old!$B$8:$H$302,3,FALSE)</f>
        <v>1538.43</v>
      </c>
      <c r="J186" s="158">
        <f>VLOOKUP($B186,Enrollment_old!$B$8:$H$302,5,FALSE)</f>
        <v>3</v>
      </c>
      <c r="K186" s="158">
        <f t="shared" si="11"/>
        <v>1541.43</v>
      </c>
      <c r="P186" s="158" t="str">
        <f t="shared" si="9"/>
        <v>Y</v>
      </c>
    </row>
    <row r="187" spans="1:16">
      <c r="A187" s="158" t="s">
        <v>601</v>
      </c>
      <c r="B187" s="402" t="s">
        <v>86</v>
      </c>
      <c r="C187" s="400" t="s">
        <v>87</v>
      </c>
      <c r="D187" s="229">
        <f>VLOOKUP(B187,'Allocation 2011-12'!$B$9:$O$318,9,FALSE)</f>
        <v>2433</v>
      </c>
      <c r="E187" s="382" t="str">
        <f>IF(VLOOKUP(B187,'Participation info Aug 11'!$B$2:$H$296,7,FALSE)="No","No","Yes")</f>
        <v>Yes</v>
      </c>
      <c r="F187" s="229" t="str">
        <f>VLOOKUP(B187,'Participation info Aug 11'!$B$2:$I$296,8,FALSE)</f>
        <v>Entiate</v>
      </c>
      <c r="G187" s="158" t="str">
        <f t="shared" si="10"/>
        <v>Y</v>
      </c>
      <c r="H187" s="158" t="str">
        <f t="shared" si="12"/>
        <v/>
      </c>
      <c r="I187" s="158">
        <f>VLOOKUP($B187,Enrollment_old!$B$8:$H$302,3,FALSE)</f>
        <v>10.86</v>
      </c>
      <c r="J187" s="158">
        <f>VLOOKUP($B187,Enrollment_old!$B$8:$H$302,5,FALSE)</f>
        <v>0</v>
      </c>
      <c r="K187" s="158">
        <f t="shared" si="11"/>
        <v>10.86</v>
      </c>
      <c r="P187" s="158" t="str">
        <f t="shared" si="9"/>
        <v>Y</v>
      </c>
    </row>
    <row r="188" spans="1:16">
      <c r="A188" s="158" t="s">
        <v>603</v>
      </c>
      <c r="B188" s="402" t="s">
        <v>527</v>
      </c>
      <c r="C188" s="400" t="s">
        <v>528</v>
      </c>
      <c r="D188" s="229">
        <f>VLOOKUP(B188,'Allocation 2011-12'!$B$9:$O$318,9,FALSE)</f>
        <v>0</v>
      </c>
      <c r="E188" s="382" t="str">
        <f>IF(VLOOKUP(B188,'Participation info Aug 11'!$B$2:$H$296,7,FALSE)="No","No","Yes")</f>
        <v>Yes</v>
      </c>
      <c r="F188" s="229" t="str">
        <f>VLOOKUP(B188,'Participation info Aug 11'!$B$2:$I$296,8,FALSE)</f>
        <v>N</v>
      </c>
      <c r="G188" s="158" t="str">
        <f t="shared" si="10"/>
        <v>N/A</v>
      </c>
      <c r="H188" s="158" t="str">
        <f t="shared" si="12"/>
        <v/>
      </c>
      <c r="I188" s="158">
        <f>VLOOKUP($B188,Enrollment_old!$B$8:$H$302,3,FALSE)</f>
        <v>0</v>
      </c>
      <c r="J188" s="158">
        <f>VLOOKUP($B188,Enrollment_old!$B$8:$H$302,5,FALSE)</f>
        <v>0</v>
      </c>
      <c r="K188" s="158">
        <f t="shared" si="11"/>
        <v>0</v>
      </c>
      <c r="P188" s="158" t="str">
        <f t="shared" si="9"/>
        <v>N</v>
      </c>
    </row>
    <row r="189" spans="1:16">
      <c r="A189" s="158" t="s">
        <v>596</v>
      </c>
      <c r="B189" s="402" t="s">
        <v>104</v>
      </c>
      <c r="C189" s="400" t="s">
        <v>105</v>
      </c>
      <c r="D189" s="229">
        <f>VLOOKUP(B189,'Allocation 2011-12'!$B$9:$O$318,9,FALSE)</f>
        <v>908005</v>
      </c>
      <c r="E189" s="382" t="str">
        <f>IF(VLOOKUP(B189,'Participation info Aug 11'!$B$2:$H$296,7,FALSE)="No","No","Yes")</f>
        <v>Yes</v>
      </c>
      <c r="F189" s="229" t="str">
        <f>VLOOKUP(B189,'Participation info Aug 11'!$B$2:$I$296,8,FALSE)</f>
        <v>N</v>
      </c>
      <c r="G189" s="158" t="str">
        <f t="shared" si="10"/>
        <v>Y</v>
      </c>
      <c r="H189" s="158" t="str">
        <f t="shared" si="12"/>
        <v/>
      </c>
      <c r="I189" s="158">
        <f>VLOOKUP($B189,Enrollment_old!$B$8:$H$302,3,FALSE)</f>
        <v>5808.57</v>
      </c>
      <c r="J189" s="158">
        <f>VLOOKUP($B189,Enrollment_old!$B$8:$H$302,5,FALSE)</f>
        <v>0</v>
      </c>
      <c r="K189" s="158">
        <f t="shared" si="11"/>
        <v>5808.57</v>
      </c>
      <c r="P189" s="158" t="str">
        <f t="shared" si="9"/>
        <v>Y</v>
      </c>
    </row>
    <row r="190" spans="1:16">
      <c r="A190" s="158" t="s">
        <v>601</v>
      </c>
      <c r="B190" s="402" t="s">
        <v>317</v>
      </c>
      <c r="C190" s="400" t="s">
        <v>318</v>
      </c>
      <c r="D190" s="229">
        <f>VLOOKUP(B190,'Allocation 2011-12'!$B$9:$O$318,9,FALSE)</f>
        <v>5231</v>
      </c>
      <c r="E190" s="382" t="str">
        <f>IF(VLOOKUP(B190,'Participation info Aug 11'!$B$2:$H$296,7,FALSE)="No","No","Yes")</f>
        <v>Yes</v>
      </c>
      <c r="F190" s="229" t="str">
        <f>VLOOKUP(B190,'Participation info Aug 11'!$B$2:$I$296,8,FALSE)</f>
        <v>Entiate</v>
      </c>
      <c r="G190" s="158" t="str">
        <f t="shared" si="10"/>
        <v>Y</v>
      </c>
      <c r="H190" s="158" t="str">
        <f t="shared" si="12"/>
        <v/>
      </c>
      <c r="I190" s="158">
        <f>VLOOKUP($B190,Enrollment_old!$B$8:$H$302,3,FALSE)</f>
        <v>33.86</v>
      </c>
      <c r="J190" s="158">
        <f>VLOOKUP($B190,Enrollment_old!$B$8:$H$302,5,FALSE)</f>
        <v>0</v>
      </c>
      <c r="K190" s="158">
        <f t="shared" si="11"/>
        <v>33.86</v>
      </c>
      <c r="P190" s="158" t="str">
        <f t="shared" si="9"/>
        <v>Y</v>
      </c>
    </row>
    <row r="191" spans="1:16">
      <c r="A191" s="158" t="s">
        <v>596</v>
      </c>
      <c r="B191" s="402" t="s">
        <v>16</v>
      </c>
      <c r="C191" s="400" t="s">
        <v>17</v>
      </c>
      <c r="D191" s="229">
        <f>VLOOKUP(B191,'Allocation 2011-12'!$B$9:$O$318,9,FALSE)</f>
        <v>6801</v>
      </c>
      <c r="E191" s="382" t="str">
        <f>IF(VLOOKUP(B191,'Participation info Aug 11'!$B$2:$H$296,7,FALSE)="No","No","Yes")</f>
        <v>Yes</v>
      </c>
      <c r="F191" s="229" t="str">
        <f>VLOOKUP(B191,'Participation info Aug 11'!$B$2:$I$296,8,FALSE)</f>
        <v>ESD 123</v>
      </c>
      <c r="G191" s="158" t="str">
        <f t="shared" si="10"/>
        <v>Y</v>
      </c>
      <c r="H191" s="158" t="str">
        <f t="shared" si="12"/>
        <v/>
      </c>
      <c r="I191" s="158">
        <f>VLOOKUP($B191,Enrollment_old!$B$8:$H$302,3,FALSE)</f>
        <v>37</v>
      </c>
      <c r="J191" s="158">
        <f>VLOOKUP($B191,Enrollment_old!$B$8:$H$302,5,FALSE)</f>
        <v>0</v>
      </c>
      <c r="K191" s="158">
        <f t="shared" si="11"/>
        <v>37</v>
      </c>
      <c r="P191" s="158" t="str">
        <f t="shared" si="9"/>
        <v>Y</v>
      </c>
    </row>
    <row r="192" spans="1:16">
      <c r="A192" s="158" t="s">
        <v>594</v>
      </c>
      <c r="B192" s="402" t="s">
        <v>272</v>
      </c>
      <c r="C192" s="400" t="s">
        <v>273</v>
      </c>
      <c r="D192" s="229">
        <f>VLOOKUP(B192,'Allocation 2011-12'!$B$9:$O$318,9,FALSE)</f>
        <v>0</v>
      </c>
      <c r="E192" s="382" t="str">
        <f>IF(VLOOKUP(B192,'Participation info Aug 11'!$B$2:$H$296,7,FALSE)="No","No","Yes")</f>
        <v>Yes</v>
      </c>
      <c r="F192" s="229" t="str">
        <f>VLOOKUP(B192,'Participation info Aug 11'!$B$2:$I$296,8,FALSE)</f>
        <v>N</v>
      </c>
      <c r="G192" s="158" t="str">
        <f t="shared" si="10"/>
        <v>N/A</v>
      </c>
      <c r="H192" s="158" t="str">
        <f t="shared" si="12"/>
        <v/>
      </c>
      <c r="I192" s="158">
        <f>VLOOKUP($B192,Enrollment_old!$B$8:$H$302,3,FALSE)</f>
        <v>0</v>
      </c>
      <c r="J192" s="158">
        <f>VLOOKUP($B192,Enrollment_old!$B$8:$H$302,5,FALSE)</f>
        <v>0</v>
      </c>
      <c r="K192" s="158">
        <f t="shared" si="11"/>
        <v>0</v>
      </c>
      <c r="P192" s="158" t="str">
        <f t="shared" si="9"/>
        <v>N</v>
      </c>
    </row>
    <row r="193" spans="1:16">
      <c r="A193" s="158" t="s">
        <v>597</v>
      </c>
      <c r="B193" s="402" t="s">
        <v>359</v>
      </c>
      <c r="C193" s="400" t="s">
        <v>360</v>
      </c>
      <c r="D193" s="229">
        <f>VLOOKUP(B193,'Allocation 2011-12'!$B$9:$O$318,9,FALSE)</f>
        <v>8588</v>
      </c>
      <c r="E193" s="382" t="str">
        <f>IF(VLOOKUP(B193,'Participation info Aug 11'!$B$2:$H$296,7,FALSE)="No","No","Yes")</f>
        <v>Yes</v>
      </c>
      <c r="F193" s="229" t="str">
        <f>VLOOKUP(B193,'Participation info Aug 11'!$B$2:$I$296,8,FALSE)</f>
        <v>Snoqualmie Valley</v>
      </c>
      <c r="G193" s="158" t="str">
        <f t="shared" si="10"/>
        <v>Y</v>
      </c>
      <c r="H193" s="158" t="str">
        <f t="shared" si="12"/>
        <v/>
      </c>
      <c r="I193" s="158">
        <f>VLOOKUP($B193,Enrollment_old!$B$8:$H$302,3,FALSE)</f>
        <v>77.569999999999993</v>
      </c>
      <c r="J193" s="158">
        <f>VLOOKUP($B193,Enrollment_old!$B$8:$H$302,5,FALSE)</f>
        <v>0</v>
      </c>
      <c r="K193" s="158">
        <f t="shared" si="11"/>
        <v>77.569999999999993</v>
      </c>
      <c r="P193" s="158" t="str">
        <f t="shared" si="9"/>
        <v>Y</v>
      </c>
    </row>
    <row r="194" spans="1:16">
      <c r="A194" s="158" t="s">
        <v>594</v>
      </c>
      <c r="B194" s="402" t="s">
        <v>303</v>
      </c>
      <c r="C194" s="400" t="s">
        <v>304</v>
      </c>
      <c r="D194" s="229">
        <f>VLOOKUP(B194,'Allocation 2011-12'!$B$9:$O$318,9,FALSE)</f>
        <v>0</v>
      </c>
      <c r="E194" s="382" t="str">
        <f>IF(VLOOKUP(B194,'Participation info Aug 11'!$B$2:$H$296,7,FALSE)="No","No","Yes")</f>
        <v>Yes</v>
      </c>
      <c r="F194" s="229" t="str">
        <f>VLOOKUP(B194,'Participation info Aug 11'!$B$2:$I$296,8,FALSE)</f>
        <v>N</v>
      </c>
      <c r="G194" s="158" t="str">
        <f t="shared" si="10"/>
        <v>N/A</v>
      </c>
      <c r="H194" s="158" t="str">
        <f t="shared" si="12"/>
        <v/>
      </c>
      <c r="I194" s="158">
        <f>VLOOKUP($B194,Enrollment_old!$B$8:$H$302,3,FALSE)</f>
        <v>0</v>
      </c>
      <c r="J194" s="158">
        <f>VLOOKUP($B194,Enrollment_old!$B$8:$H$302,5,FALSE)</f>
        <v>0</v>
      </c>
      <c r="K194" s="158">
        <f t="shared" si="11"/>
        <v>0</v>
      </c>
      <c r="P194" s="158" t="str">
        <f t="shared" si="9"/>
        <v>N</v>
      </c>
    </row>
    <row r="195" spans="1:16">
      <c r="A195" s="158" t="s">
        <v>596</v>
      </c>
      <c r="B195" s="402" t="s">
        <v>112</v>
      </c>
      <c r="C195" s="400" t="s">
        <v>113</v>
      </c>
      <c r="D195" s="229">
        <f>VLOOKUP(B195,'Allocation 2011-12'!$B$9:$O$318,9,FALSE)</f>
        <v>301</v>
      </c>
      <c r="E195" s="382" t="str">
        <f>IF(VLOOKUP(B195,'Participation info Aug 11'!$B$2:$H$296,7,FALSE)="No","No","Yes")</f>
        <v>No</v>
      </c>
      <c r="F195" s="229" t="str">
        <f>VLOOKUP(B195,'Participation info Aug 11'!$B$2:$I$296,8,FALSE)</f>
        <v>N</v>
      </c>
      <c r="G195" s="158" t="str">
        <f t="shared" si="10"/>
        <v>N</v>
      </c>
      <c r="H195" s="158">
        <f t="shared" si="12"/>
        <v>1</v>
      </c>
      <c r="I195" s="158">
        <f>VLOOKUP($B195,Enrollment_old!$B$8:$H$302,3,FALSE)</f>
        <v>3</v>
      </c>
      <c r="J195" s="158">
        <f>VLOOKUP($B195,Enrollment_old!$B$8:$H$302,5,FALSE)</f>
        <v>0</v>
      </c>
      <c r="K195" s="158">
        <f t="shared" si="11"/>
        <v>3</v>
      </c>
      <c r="P195" s="158" t="str">
        <f t="shared" si="9"/>
        <v>N</v>
      </c>
    </row>
    <row r="196" spans="1:16">
      <c r="A196" s="158" t="s">
        <v>600</v>
      </c>
      <c r="B196" s="402" t="s">
        <v>39</v>
      </c>
      <c r="C196" s="400" t="s">
        <v>40</v>
      </c>
      <c r="D196" s="229">
        <f>VLOOKUP(B196,'Allocation 2011-12'!$B$9:$O$318,9,FALSE)</f>
        <v>6780</v>
      </c>
      <c r="E196" s="382" t="str">
        <f>IF(VLOOKUP(B196,'Participation info Aug 11'!$B$2:$H$296,7,FALSE)="No","No","Yes")</f>
        <v>No</v>
      </c>
      <c r="F196" s="229" t="str">
        <f>VLOOKUP(B196,'Participation info Aug 11'!$B$2:$I$296,8,FALSE)</f>
        <v>N</v>
      </c>
      <c r="G196" s="158" t="str">
        <f t="shared" si="10"/>
        <v>N</v>
      </c>
      <c r="H196" s="158">
        <f t="shared" si="12"/>
        <v>1</v>
      </c>
      <c r="I196" s="158">
        <f>VLOOKUP($B196,Enrollment_old!$B$8:$H$302,3,FALSE)</f>
        <v>43.29</v>
      </c>
      <c r="J196" s="158">
        <f>VLOOKUP($B196,Enrollment_old!$B$8:$H$302,5,FALSE)</f>
        <v>0</v>
      </c>
      <c r="K196" s="158">
        <f t="shared" si="11"/>
        <v>43.29</v>
      </c>
      <c r="P196" s="158" t="str">
        <f t="shared" ref="P196:P259" si="13">IF(AND(E196="yes",D196&gt;0),IF(AND(D196&lt;10000,F196="N"),"N","Y"),"N")</f>
        <v>N</v>
      </c>
    </row>
    <row r="197" spans="1:16">
      <c r="A197" s="158" t="s">
        <v>600</v>
      </c>
      <c r="B197" s="402" t="s">
        <v>171</v>
      </c>
      <c r="C197" s="400" t="s">
        <v>172</v>
      </c>
      <c r="D197" s="229">
        <f>VLOOKUP(B197,'Allocation 2011-12'!$B$9:$O$318,9,FALSE)</f>
        <v>2002</v>
      </c>
      <c r="E197" s="382" t="str">
        <f>IF(VLOOKUP(B197,'Participation info Aug 11'!$B$2:$H$296,7,FALSE)="No","No","Yes")</f>
        <v>Yes</v>
      </c>
      <c r="F197" s="229" t="str">
        <f>VLOOKUP(B197,'Participation info Aug 11'!$B$2:$I$296,8,FALSE)</f>
        <v>QUINAULT</v>
      </c>
      <c r="G197" s="158" t="str">
        <f t="shared" ref="G197:G260" si="14">IF(AND($E197="yes",$D197&gt;0),IF(AND($D197&lt;10000,$F197="N"),"NC","Y"),IF(D197=0,"N/A","N"))</f>
        <v>Y</v>
      </c>
      <c r="H197" s="158" t="str">
        <f t="shared" si="12"/>
        <v/>
      </c>
      <c r="I197" s="158">
        <f>VLOOKUP($B197,Enrollment_old!$B$8:$H$302,3,FALSE)</f>
        <v>10.71</v>
      </c>
      <c r="J197" s="158">
        <f>VLOOKUP($B197,Enrollment_old!$B$8:$H$302,5,FALSE)</f>
        <v>0</v>
      </c>
      <c r="K197" s="158">
        <f t="shared" ref="K197:K260" si="15">I197+J197</f>
        <v>10.71</v>
      </c>
      <c r="P197" s="158" t="str">
        <f t="shared" si="13"/>
        <v>Y</v>
      </c>
    </row>
    <row r="198" spans="1:16">
      <c r="A198" s="158" t="s">
        <v>596</v>
      </c>
      <c r="B198" s="402" t="s">
        <v>502</v>
      </c>
      <c r="C198" s="400" t="s">
        <v>503</v>
      </c>
      <c r="D198" s="229">
        <f>VLOOKUP(B198,'Allocation 2011-12'!$B$9:$O$318,9,FALSE)</f>
        <v>9211</v>
      </c>
      <c r="E198" s="382" t="str">
        <f>IF(VLOOKUP(B198,'Participation info Aug 11'!$B$2:$H$296,7,FALSE)="No","No","Yes")</f>
        <v>Yes</v>
      </c>
      <c r="F198" s="229" t="str">
        <f>VLOOKUP(B198,'Participation info Aug 11'!$B$2:$I$296,8,FALSE)</f>
        <v>ESD 123</v>
      </c>
      <c r="G198" s="158" t="str">
        <f t="shared" si="14"/>
        <v>Y</v>
      </c>
      <c r="H198" s="158" t="str">
        <f t="shared" si="12"/>
        <v/>
      </c>
      <c r="I198" s="158">
        <f>VLOOKUP($B198,Enrollment_old!$B$8:$H$302,3,FALSE)</f>
        <v>120.43</v>
      </c>
      <c r="J198" s="158">
        <f>VLOOKUP($B198,Enrollment_old!$B$8:$H$302,5,FALSE)</f>
        <v>0</v>
      </c>
      <c r="K198" s="158">
        <f t="shared" si="15"/>
        <v>120.43</v>
      </c>
      <c r="P198" s="158" t="str">
        <f t="shared" si="13"/>
        <v>Y</v>
      </c>
    </row>
    <row r="199" spans="1:16">
      <c r="A199" s="158" t="s">
        <v>596</v>
      </c>
      <c r="B199" s="402" t="s">
        <v>21</v>
      </c>
      <c r="C199" s="400" t="s">
        <v>22</v>
      </c>
      <c r="D199" s="229">
        <f>VLOOKUP(B199,'Allocation 2011-12'!$B$9:$O$318,9,FALSE)</f>
        <v>100074</v>
      </c>
      <c r="E199" s="382" t="str">
        <f>IF(VLOOKUP(B199,'Participation info Aug 11'!$B$2:$H$296,7,FALSE)="No","No","Yes")</f>
        <v>Yes</v>
      </c>
      <c r="F199" s="229" t="str">
        <f>VLOOKUP(B199,'Participation info Aug 11'!$B$2:$I$296,8,FALSE)</f>
        <v>N</v>
      </c>
      <c r="G199" s="158" t="str">
        <f t="shared" si="14"/>
        <v>Y</v>
      </c>
      <c r="H199" s="158" t="str">
        <f t="shared" si="12"/>
        <v/>
      </c>
      <c r="I199" s="158">
        <f>VLOOKUP($B199,Enrollment_old!$B$8:$H$302,3,FALSE)</f>
        <v>614</v>
      </c>
      <c r="J199" s="158">
        <f>VLOOKUP($B199,Enrollment_old!$B$8:$H$302,5,FALSE)</f>
        <v>0</v>
      </c>
      <c r="K199" s="158">
        <f t="shared" si="15"/>
        <v>614</v>
      </c>
      <c r="P199" s="158" t="str">
        <f t="shared" si="13"/>
        <v>Y</v>
      </c>
    </row>
    <row r="200" spans="1:16">
      <c r="A200" s="158" t="s">
        <v>603</v>
      </c>
      <c r="B200" s="402" t="s">
        <v>523</v>
      </c>
      <c r="C200" s="400" t="s">
        <v>524</v>
      </c>
      <c r="D200" s="229">
        <f>VLOOKUP(B200,'Allocation 2011-12'!$B$9:$O$318,9,FALSE)</f>
        <v>15948</v>
      </c>
      <c r="E200" s="382" t="str">
        <f>IF(VLOOKUP(B200,'Participation info Aug 11'!$B$2:$H$296,7,FALSE)="No","No","Yes")</f>
        <v>Yes</v>
      </c>
      <c r="F200" s="229" t="str">
        <f>VLOOKUP(B200,'Participation info Aug 11'!$B$2:$I$296,8,FALSE)</f>
        <v>N</v>
      </c>
      <c r="G200" s="158" t="str">
        <f t="shared" si="14"/>
        <v>Y</v>
      </c>
      <c r="H200" s="158" t="str">
        <f t="shared" si="12"/>
        <v/>
      </c>
      <c r="I200" s="158">
        <f>VLOOKUP($B200,Enrollment_old!$B$8:$H$302,3,FALSE)</f>
        <v>117.14</v>
      </c>
      <c r="J200" s="158">
        <f>VLOOKUP($B200,Enrollment_old!$B$8:$H$302,5,FALSE)</f>
        <v>0</v>
      </c>
      <c r="K200" s="158">
        <f t="shared" si="15"/>
        <v>117.14</v>
      </c>
      <c r="P200" s="158" t="str">
        <f t="shared" si="13"/>
        <v>Y</v>
      </c>
    </row>
    <row r="201" spans="1:16">
      <c r="A201" s="158" t="s">
        <v>597</v>
      </c>
      <c r="B201" s="402" t="s">
        <v>343</v>
      </c>
      <c r="C201" s="400" t="s">
        <v>344</v>
      </c>
      <c r="D201" s="229">
        <f>VLOOKUP(B201,'Allocation 2011-12'!$B$9:$O$318,9,FALSE)</f>
        <v>109393</v>
      </c>
      <c r="E201" s="382" t="str">
        <f>IF(VLOOKUP(B201,'Participation info Aug 11'!$B$2:$H$296,7,FALSE)="No","No","Yes")</f>
        <v>Yes</v>
      </c>
      <c r="F201" s="229" t="str">
        <f>VLOOKUP(B201,'Participation info Aug 11'!$B$2:$I$296,8,FALSE)</f>
        <v>N</v>
      </c>
      <c r="G201" s="158" t="str">
        <f t="shared" si="14"/>
        <v>Y</v>
      </c>
      <c r="H201" s="158" t="str">
        <f t="shared" si="12"/>
        <v/>
      </c>
      <c r="I201" s="158">
        <f>VLOOKUP($B201,Enrollment_old!$B$8:$H$302,3,FALSE)</f>
        <v>821.57</v>
      </c>
      <c r="J201" s="158">
        <f>VLOOKUP($B201,Enrollment_old!$B$8:$H$302,5,FALSE)</f>
        <v>0</v>
      </c>
      <c r="K201" s="158">
        <f t="shared" si="15"/>
        <v>821.57</v>
      </c>
      <c r="P201" s="158" t="str">
        <f t="shared" si="13"/>
        <v>Y</v>
      </c>
    </row>
    <row r="202" spans="1:16">
      <c r="A202" s="158" t="s">
        <v>600</v>
      </c>
      <c r="B202" s="402" t="s">
        <v>163</v>
      </c>
      <c r="C202" s="400" t="s">
        <v>164</v>
      </c>
      <c r="D202" s="229">
        <f>VLOOKUP(B202,'Allocation 2011-12'!$B$9:$O$318,9,FALSE)</f>
        <v>0</v>
      </c>
      <c r="E202" s="382" t="str">
        <f>IF(VLOOKUP(B202,'Participation info Aug 11'!$B$2:$H$296,7,FALSE)="No","No","Yes")</f>
        <v>Yes</v>
      </c>
      <c r="F202" s="229" t="str">
        <f>VLOOKUP(B202,'Participation info Aug 11'!$B$2:$I$296,8,FALSE)</f>
        <v>N</v>
      </c>
      <c r="G202" s="158" t="str">
        <f t="shared" si="14"/>
        <v>N/A</v>
      </c>
      <c r="H202" s="158" t="str">
        <f t="shared" si="12"/>
        <v/>
      </c>
      <c r="I202" s="158">
        <f>VLOOKUP($B202,Enrollment_old!$B$8:$H$302,3,FALSE)</f>
        <v>0</v>
      </c>
      <c r="J202" s="158">
        <f>VLOOKUP($B202,Enrollment_old!$B$8:$H$302,5,FALSE)</f>
        <v>0</v>
      </c>
      <c r="K202" s="158">
        <f t="shared" si="15"/>
        <v>0</v>
      </c>
      <c r="P202" s="158" t="str">
        <f t="shared" si="13"/>
        <v>N</v>
      </c>
    </row>
    <row r="203" spans="1:16">
      <c r="A203" s="158" t="s">
        <v>600</v>
      </c>
      <c r="B203" s="402" t="s">
        <v>167</v>
      </c>
      <c r="C203" s="400" t="s">
        <v>168</v>
      </c>
      <c r="D203" s="229">
        <f>VLOOKUP(B203,'Allocation 2011-12'!$B$9:$O$318,9,FALSE)</f>
        <v>0</v>
      </c>
      <c r="E203" s="382" t="str">
        <f>IF(VLOOKUP(B203,'Participation info Aug 11'!$B$2:$H$296,7,FALSE)="No","No","Yes")</f>
        <v>Yes</v>
      </c>
      <c r="F203" s="229" t="str">
        <f>VLOOKUP(B203,'Participation info Aug 11'!$B$2:$I$296,8,FALSE)</f>
        <v>N</v>
      </c>
      <c r="G203" s="158" t="str">
        <f t="shared" si="14"/>
        <v>N/A</v>
      </c>
      <c r="H203" s="158" t="str">
        <f t="shared" si="12"/>
        <v/>
      </c>
      <c r="I203" s="158">
        <f>VLOOKUP($B203,Enrollment_old!$B$8:$H$302,3,FALSE)</f>
        <v>0</v>
      </c>
      <c r="J203" s="158">
        <f>VLOOKUP($B203,Enrollment_old!$B$8:$H$302,5,FALSE)</f>
        <v>0</v>
      </c>
      <c r="K203" s="158">
        <f t="shared" si="15"/>
        <v>0</v>
      </c>
      <c r="P203" s="158" t="str">
        <f t="shared" si="13"/>
        <v>N</v>
      </c>
    </row>
    <row r="204" spans="1:16">
      <c r="A204" s="158" t="s">
        <v>600</v>
      </c>
      <c r="B204" s="402" t="s">
        <v>47</v>
      </c>
      <c r="C204" s="400" t="s">
        <v>48</v>
      </c>
      <c r="D204" s="229">
        <f>VLOOKUP(B204,'Allocation 2011-12'!$B$9:$O$318,9,FALSE)</f>
        <v>18594</v>
      </c>
      <c r="E204" s="382" t="str">
        <f>IF(VLOOKUP(B204,'Participation info Aug 11'!$B$2:$H$296,7,FALSE)="No","No","Yes")</f>
        <v>Yes</v>
      </c>
      <c r="F204" s="229" t="str">
        <f>VLOOKUP(B204,'Participation info Aug 11'!$B$2:$I$296,8,FALSE)</f>
        <v>N</v>
      </c>
      <c r="G204" s="158" t="str">
        <f t="shared" si="14"/>
        <v>Y</v>
      </c>
      <c r="H204" s="158" t="str">
        <f t="shared" si="12"/>
        <v/>
      </c>
      <c r="I204" s="158">
        <f>VLOOKUP($B204,Enrollment_old!$B$8:$H$302,3,FALSE)</f>
        <v>92.57</v>
      </c>
      <c r="J204" s="158">
        <f>VLOOKUP($B204,Enrollment_old!$B$8:$H$302,5,FALSE)</f>
        <v>0</v>
      </c>
      <c r="K204" s="158">
        <f t="shared" si="15"/>
        <v>92.57</v>
      </c>
      <c r="P204" s="158" t="str">
        <f t="shared" si="13"/>
        <v>Y</v>
      </c>
    </row>
    <row r="205" spans="1:16">
      <c r="A205" s="158" t="s">
        <v>594</v>
      </c>
      <c r="B205" s="402" t="s">
        <v>145</v>
      </c>
      <c r="C205" s="400" t="s">
        <v>146</v>
      </c>
      <c r="D205" s="229">
        <f>VLOOKUP(B205,'Allocation 2011-12'!$B$9:$O$318,9,FALSE)</f>
        <v>5337</v>
      </c>
      <c r="E205" s="382" t="str">
        <f>IF(VLOOKUP(B205,'Participation info Aug 11'!$B$2:$H$296,7,FALSE)="No","No","Yes")</f>
        <v>Yes</v>
      </c>
      <c r="F205" s="229" t="str">
        <f>VLOOKUP(B205,'Participation info Aug 11'!$B$2:$I$296,8,FALSE)</f>
        <v>Quinalult- Lead</v>
      </c>
      <c r="G205" s="158" t="str">
        <f t="shared" si="14"/>
        <v>Y</v>
      </c>
      <c r="H205" s="158" t="str">
        <f t="shared" si="12"/>
        <v/>
      </c>
      <c r="I205" s="158">
        <f>VLOOKUP($B205,Enrollment_old!$B$8:$H$302,3,FALSE)</f>
        <v>32.86</v>
      </c>
      <c r="J205" s="158">
        <f>VLOOKUP($B205,Enrollment_old!$B$8:$H$302,5,FALSE)</f>
        <v>24</v>
      </c>
      <c r="K205" s="158">
        <f t="shared" si="15"/>
        <v>56.86</v>
      </c>
      <c r="P205" s="158" t="str">
        <f t="shared" si="13"/>
        <v>Y</v>
      </c>
    </row>
    <row r="206" spans="1:16">
      <c r="A206" s="158" t="s">
        <v>601</v>
      </c>
      <c r="B206" s="402" t="s">
        <v>116</v>
      </c>
      <c r="C206" s="400" t="s">
        <v>117</v>
      </c>
      <c r="D206" s="229">
        <f>VLOOKUP(B206,'Allocation 2011-12'!$B$9:$O$318,9,FALSE)</f>
        <v>159731</v>
      </c>
      <c r="E206" s="382" t="str">
        <f>IF(VLOOKUP(B206,'Participation info Aug 11'!$B$2:$H$296,7,FALSE)="No","No","Yes")</f>
        <v>Yes</v>
      </c>
      <c r="F206" s="229" t="str">
        <f>VLOOKUP(B206,'Participation info Aug 11'!$B$2:$I$296,8,FALSE)</f>
        <v>N</v>
      </c>
      <c r="G206" s="158" t="str">
        <f t="shared" si="14"/>
        <v>Y</v>
      </c>
      <c r="H206" s="158" t="str">
        <f t="shared" si="12"/>
        <v/>
      </c>
      <c r="I206" s="158">
        <f>VLOOKUP($B206,Enrollment_old!$B$8:$H$302,3,FALSE)</f>
        <v>1083</v>
      </c>
      <c r="J206" s="158">
        <f>VLOOKUP($B206,Enrollment_old!$B$8:$H$302,5,FALSE)</f>
        <v>0</v>
      </c>
      <c r="K206" s="158">
        <f t="shared" si="15"/>
        <v>1083</v>
      </c>
      <c r="P206" s="158" t="str">
        <f t="shared" si="13"/>
        <v>Y</v>
      </c>
    </row>
    <row r="207" spans="1:16">
      <c r="A207" s="158" t="s">
        <v>594</v>
      </c>
      <c r="B207" s="402" t="s">
        <v>480</v>
      </c>
      <c r="C207" s="400" t="s">
        <v>481</v>
      </c>
      <c r="D207" s="229">
        <f>VLOOKUP(B207,'Allocation 2011-12'!$B$9:$O$318,9,FALSE)</f>
        <v>0</v>
      </c>
      <c r="E207" s="382" t="str">
        <f>IF(VLOOKUP(B207,'Participation info Aug 11'!$B$2:$H$296,7,FALSE)="No","No","Yes")</f>
        <v>Yes</v>
      </c>
      <c r="F207" s="229" t="str">
        <f>VLOOKUP(B207,'Participation info Aug 11'!$B$2:$I$296,8,FALSE)</f>
        <v>N</v>
      </c>
      <c r="G207" s="158" t="str">
        <f t="shared" si="14"/>
        <v>N/A</v>
      </c>
      <c r="H207" s="158" t="str">
        <f t="shared" si="12"/>
        <v/>
      </c>
      <c r="I207" s="158">
        <f>VLOOKUP($B207,Enrollment_old!$B$8:$H$302,3,FALSE)</f>
        <v>0</v>
      </c>
      <c r="J207" s="158">
        <f>VLOOKUP($B207,Enrollment_old!$B$8:$H$302,5,FALSE)</f>
        <v>0</v>
      </c>
      <c r="K207" s="158">
        <f t="shared" si="15"/>
        <v>0</v>
      </c>
      <c r="P207" s="158" t="str">
        <f t="shared" si="13"/>
        <v>N</v>
      </c>
    </row>
    <row r="208" spans="1:16">
      <c r="A208" s="158" t="s">
        <v>594</v>
      </c>
      <c r="B208" s="402" t="s">
        <v>327</v>
      </c>
      <c r="C208" s="400" t="s">
        <v>328</v>
      </c>
      <c r="D208" s="229">
        <f>VLOOKUP(B208,'Allocation 2011-12'!$B$9:$O$318,9,FALSE)</f>
        <v>9750</v>
      </c>
      <c r="E208" s="382" t="str">
        <f>IF(VLOOKUP(B208,'Participation info Aug 11'!$B$2:$H$296,7,FALSE)="No","No","Yes")</f>
        <v>Yes</v>
      </c>
      <c r="F208" s="229" t="str">
        <f>VLOOKUP(B208,'Participation info Aug 11'!$B$2:$I$296,8,FALSE)</f>
        <v>Ocean Beach</v>
      </c>
      <c r="G208" s="158" t="str">
        <f t="shared" si="14"/>
        <v>Y</v>
      </c>
      <c r="H208" s="158" t="str">
        <f t="shared" si="12"/>
        <v/>
      </c>
      <c r="I208" s="158">
        <f>VLOOKUP($B208,Enrollment_old!$B$8:$H$302,3,FALSE)</f>
        <v>70.14</v>
      </c>
      <c r="J208" s="158">
        <f>VLOOKUP($B208,Enrollment_old!$B$8:$H$302,5,FALSE)</f>
        <v>0</v>
      </c>
      <c r="K208" s="158">
        <f t="shared" si="15"/>
        <v>70.14</v>
      </c>
      <c r="P208" s="158" t="str">
        <f t="shared" si="13"/>
        <v>Y</v>
      </c>
    </row>
    <row r="209" spans="1:16">
      <c r="A209" s="158" t="s">
        <v>603</v>
      </c>
      <c r="B209" s="402" t="s">
        <v>282</v>
      </c>
      <c r="C209" s="400" t="s">
        <v>665</v>
      </c>
      <c r="D209" s="229">
        <f>VLOOKUP(B209,'Allocation 2011-12'!$B$9:$O$318,9,FALSE)</f>
        <v>2390</v>
      </c>
      <c r="E209" s="382" t="str">
        <f>IF(VLOOKUP(B209,'Participation info Aug 11'!$B$2:$H$296,7,FALSE)="No","No","Yes")</f>
        <v>Yes</v>
      </c>
      <c r="F209" s="229" t="str">
        <f>VLOOKUP(B209,'Participation info Aug 11'!$B$2:$I$296,8,FALSE)</f>
        <v>ESD 123</v>
      </c>
      <c r="G209" s="158" t="str">
        <f t="shared" si="14"/>
        <v>Y</v>
      </c>
      <c r="H209" s="158" t="str">
        <f t="shared" si="12"/>
        <v/>
      </c>
      <c r="I209" s="158">
        <f>VLOOKUP($B209,Enrollment_old!$B$8:$H$302,3,FALSE)</f>
        <v>26</v>
      </c>
      <c r="J209" s="158">
        <f>VLOOKUP($B209,Enrollment_old!$B$8:$H$302,5,FALSE)</f>
        <v>0</v>
      </c>
      <c r="K209" s="158">
        <f t="shared" si="15"/>
        <v>26</v>
      </c>
      <c r="P209" s="158" t="str">
        <f t="shared" si="13"/>
        <v>Y</v>
      </c>
    </row>
    <row r="210" spans="1:16">
      <c r="A210" s="158" t="s">
        <v>597</v>
      </c>
      <c r="B210" s="402" t="s">
        <v>185</v>
      </c>
      <c r="C210" s="400" t="s">
        <v>186</v>
      </c>
      <c r="D210" s="229">
        <f>VLOOKUP(B210,'Allocation 2011-12'!$B$9:$O$318,9,FALSE)</f>
        <v>360245</v>
      </c>
      <c r="E210" s="382" t="str">
        <f>IF(VLOOKUP(B210,'Participation info Aug 11'!$B$2:$H$296,7,FALSE)="No","No","Yes")</f>
        <v>Yes</v>
      </c>
      <c r="F210" s="229" t="str">
        <f>VLOOKUP(B210,'Participation info Aug 11'!$B$2:$I$296,8,FALSE)</f>
        <v>N</v>
      </c>
      <c r="G210" s="158" t="str">
        <f t="shared" si="14"/>
        <v>Y</v>
      </c>
      <c r="H210" s="158" t="str">
        <f t="shared" si="12"/>
        <v/>
      </c>
      <c r="I210" s="158">
        <f>VLOOKUP($B210,Enrollment_old!$B$8:$H$302,3,FALSE)</f>
        <v>2462.4299999999998</v>
      </c>
      <c r="J210" s="158">
        <f>VLOOKUP($B210,Enrollment_old!$B$8:$H$302,5,FALSE)</f>
        <v>0</v>
      </c>
      <c r="K210" s="158">
        <f t="shared" si="15"/>
        <v>2462.4299999999998</v>
      </c>
      <c r="P210" s="158" t="str">
        <f t="shared" si="13"/>
        <v>Y</v>
      </c>
    </row>
    <row r="211" spans="1:16">
      <c r="A211" s="158" t="s">
        <v>603</v>
      </c>
      <c r="B211" s="402" t="s">
        <v>102</v>
      </c>
      <c r="C211" s="400" t="s">
        <v>103</v>
      </c>
      <c r="D211" s="229">
        <f>VLOOKUP(B211,'Allocation 2011-12'!$B$9:$O$318,9,FALSE)</f>
        <v>0</v>
      </c>
      <c r="E211" s="382" t="str">
        <f>IF(VLOOKUP(B211,'Participation info Aug 11'!$B$2:$H$296,7,FALSE)="No","No","Yes")</f>
        <v>Yes</v>
      </c>
      <c r="F211" s="229" t="str">
        <f>VLOOKUP(B211,'Participation info Aug 11'!$B$2:$I$296,8,FALSE)</f>
        <v>N</v>
      </c>
      <c r="G211" s="158" t="str">
        <f t="shared" si="14"/>
        <v>N/A</v>
      </c>
      <c r="H211" s="158" t="str">
        <f t="shared" si="12"/>
        <v/>
      </c>
      <c r="I211" s="158">
        <f>VLOOKUP($B211,Enrollment_old!$B$8:$H$302,3,FALSE)</f>
        <v>0</v>
      </c>
      <c r="J211" s="158">
        <f>VLOOKUP($B211,Enrollment_old!$B$8:$H$302,5,FALSE)</f>
        <v>0</v>
      </c>
      <c r="K211" s="158">
        <f t="shared" si="15"/>
        <v>0</v>
      </c>
      <c r="P211" s="158" t="str">
        <f t="shared" si="13"/>
        <v>N</v>
      </c>
    </row>
    <row r="212" spans="1:16">
      <c r="A212" s="158" t="s">
        <v>596</v>
      </c>
      <c r="B212" s="402" t="s">
        <v>23</v>
      </c>
      <c r="C212" s="400" t="s">
        <v>24</v>
      </c>
      <c r="D212" s="229">
        <f>VLOOKUP(B212,'Allocation 2011-12'!$B$9:$O$318,9,FALSE)</f>
        <v>46873</v>
      </c>
      <c r="E212" s="382" t="str">
        <f>IF(VLOOKUP(B212,'Participation info Aug 11'!$B$2:$H$296,7,FALSE)="No","No","Yes")</f>
        <v>Yes</v>
      </c>
      <c r="F212" s="229" t="str">
        <f>VLOOKUP(B212,'Participation info Aug 11'!$B$2:$I$296,8,FALSE)</f>
        <v>N</v>
      </c>
      <c r="G212" s="158" t="str">
        <f t="shared" si="14"/>
        <v>Y</v>
      </c>
      <c r="H212" s="158" t="str">
        <f t="shared" si="12"/>
        <v/>
      </c>
      <c r="I212" s="158">
        <f>VLOOKUP($B212,Enrollment_old!$B$8:$H$302,3,FALSE)</f>
        <v>388.86</v>
      </c>
      <c r="J212" s="158">
        <f>VLOOKUP($B212,Enrollment_old!$B$8:$H$302,5,FALSE)</f>
        <v>0</v>
      </c>
      <c r="K212" s="158">
        <f t="shared" si="15"/>
        <v>388.86</v>
      </c>
      <c r="P212" s="158" t="str">
        <f t="shared" si="13"/>
        <v>Y</v>
      </c>
    </row>
    <row r="213" spans="1:16">
      <c r="A213" s="158" t="s">
        <v>599</v>
      </c>
      <c r="B213" s="402" t="s">
        <v>64</v>
      </c>
      <c r="C213" s="400" t="s">
        <v>65</v>
      </c>
      <c r="D213" s="229">
        <f>VLOOKUP(B213,'Allocation 2011-12'!$B$9:$O$318,9,FALSE)</f>
        <v>11277</v>
      </c>
      <c r="E213" s="382" t="str">
        <f>IF(VLOOKUP(B213,'Participation info Aug 11'!$B$2:$H$296,7,FALSE)="No","No","Yes")</f>
        <v>Yes</v>
      </c>
      <c r="F213" s="229" t="str">
        <f>VLOOKUP(B213,'Participation info Aug 11'!$B$2:$I$296,8,FALSE)</f>
        <v>Washougal</v>
      </c>
      <c r="G213" s="158" t="str">
        <f t="shared" si="14"/>
        <v>Y</v>
      </c>
      <c r="H213" s="158" t="str">
        <f t="shared" si="12"/>
        <v/>
      </c>
      <c r="I213" s="158">
        <f>VLOOKUP($B213,Enrollment_old!$B$8:$H$302,3,FALSE)</f>
        <v>66</v>
      </c>
      <c r="J213" s="158">
        <f>VLOOKUP($B213,Enrollment_old!$B$8:$H$302,5,FALSE)</f>
        <v>0</v>
      </c>
      <c r="K213" s="158">
        <f t="shared" si="15"/>
        <v>66</v>
      </c>
      <c r="P213" s="158" t="str">
        <f t="shared" si="13"/>
        <v>Y</v>
      </c>
    </row>
    <row r="214" spans="1:16">
      <c r="A214" s="158" t="s">
        <v>603</v>
      </c>
      <c r="B214" s="402" t="s">
        <v>8</v>
      </c>
      <c r="C214" s="400" t="s">
        <v>9</v>
      </c>
      <c r="D214" s="229">
        <f>VLOOKUP(B214,'Allocation 2011-12'!$B$9:$O$318,9,FALSE)</f>
        <v>0</v>
      </c>
      <c r="E214" s="382" t="str">
        <f>IF(VLOOKUP(B214,'Participation info Aug 11'!$B$2:$H$296,7,FALSE)="No","No","Yes")</f>
        <v>Yes</v>
      </c>
      <c r="F214" s="229" t="str">
        <f>VLOOKUP(B214,'Participation info Aug 11'!$B$2:$I$296,8,FALSE)</f>
        <v>N</v>
      </c>
      <c r="G214" s="158" t="str">
        <f t="shared" si="14"/>
        <v>N/A</v>
      </c>
      <c r="H214" s="158" t="str">
        <f t="shared" si="12"/>
        <v/>
      </c>
      <c r="I214" s="158">
        <f>VLOOKUP($B214,Enrollment_old!$B$8:$H$302,3,FALSE)</f>
        <v>0</v>
      </c>
      <c r="J214" s="158">
        <f>VLOOKUP($B214,Enrollment_old!$B$8:$H$302,5,FALSE)</f>
        <v>0</v>
      </c>
      <c r="K214" s="158">
        <f t="shared" si="15"/>
        <v>0</v>
      </c>
      <c r="P214" s="158" t="str">
        <f t="shared" si="13"/>
        <v>N</v>
      </c>
    </row>
    <row r="215" spans="1:16">
      <c r="A215" s="158" t="s">
        <v>603</v>
      </c>
      <c r="B215" s="402" t="s">
        <v>446</v>
      </c>
      <c r="C215" s="400" t="s">
        <v>447</v>
      </c>
      <c r="D215" s="229">
        <f>VLOOKUP(B215,'Allocation 2011-12'!$B$9:$O$318,9,FALSE)</f>
        <v>1291</v>
      </c>
      <c r="E215" s="382" t="str">
        <f>IF(VLOOKUP(B215,'Participation info Aug 11'!$B$2:$H$296,7,FALSE)="No","No","Yes")</f>
        <v>Yes</v>
      </c>
      <c r="F215" s="229" t="str">
        <f>VLOOKUP(B215,'Participation info Aug 11'!$B$2:$I$296,8,FALSE)</f>
        <v>N</v>
      </c>
      <c r="G215" s="158" t="str">
        <f t="shared" si="14"/>
        <v>NC</v>
      </c>
      <c r="H215" s="158">
        <f t="shared" si="12"/>
        <v>1</v>
      </c>
      <c r="I215" s="158">
        <f>VLOOKUP($B215,Enrollment_old!$B$8:$H$302,3,FALSE)</f>
        <v>13.43</v>
      </c>
      <c r="J215" s="158">
        <f>VLOOKUP($B215,Enrollment_old!$B$8:$H$302,5,FALSE)</f>
        <v>0</v>
      </c>
      <c r="K215" s="158">
        <f t="shared" si="15"/>
        <v>13.43</v>
      </c>
      <c r="P215" s="158" t="str">
        <f t="shared" si="13"/>
        <v>N</v>
      </c>
    </row>
    <row r="216" spans="1:16">
      <c r="A216" s="158" t="s">
        <v>597</v>
      </c>
      <c r="B216" s="402" t="s">
        <v>193</v>
      </c>
      <c r="C216" s="400" t="s">
        <v>194</v>
      </c>
      <c r="D216" s="229">
        <f>VLOOKUP(B216,'Allocation 2011-12'!$B$9:$O$318,9,FALSE)</f>
        <v>10933</v>
      </c>
      <c r="E216" s="382" t="str">
        <f>IF(VLOOKUP(B216,'Participation info Aug 11'!$B$2:$H$296,7,FALSE)="No","No","Yes")</f>
        <v>Yes</v>
      </c>
      <c r="F216" s="229" t="str">
        <f>VLOOKUP(B216,'Participation info Aug 11'!$B$2:$I$296,8,FALSE)</f>
        <v>N</v>
      </c>
      <c r="G216" s="158" t="str">
        <f t="shared" si="14"/>
        <v>Y</v>
      </c>
      <c r="H216" s="158" t="str">
        <f t="shared" si="12"/>
        <v/>
      </c>
      <c r="I216" s="158">
        <f>VLOOKUP($B216,Enrollment_old!$B$8:$H$302,3,FALSE)</f>
        <v>88.29</v>
      </c>
      <c r="J216" s="158">
        <f>VLOOKUP($B216,Enrollment_old!$B$8:$H$302,5,FALSE)</f>
        <v>0</v>
      </c>
      <c r="K216" s="158">
        <f t="shared" si="15"/>
        <v>88.29</v>
      </c>
      <c r="P216" s="158" t="str">
        <f t="shared" si="13"/>
        <v>Y</v>
      </c>
    </row>
    <row r="217" spans="1:16">
      <c r="A217" s="158" t="s">
        <v>594</v>
      </c>
      <c r="B217" s="402" t="s">
        <v>484</v>
      </c>
      <c r="C217" s="400" t="s">
        <v>485</v>
      </c>
      <c r="D217" s="229">
        <f>VLOOKUP(B217,'Allocation 2011-12'!$B$9:$O$318,9,FALSE)</f>
        <v>20747</v>
      </c>
      <c r="E217" s="382" t="str">
        <f>IF(VLOOKUP(B217,'Participation info Aug 11'!$B$2:$H$296,7,FALSE)="No","No","Yes")</f>
        <v>Yes</v>
      </c>
      <c r="F217" s="229" t="str">
        <f>VLOOKUP(B217,'Participation info Aug 11'!$B$2:$I$296,8,FALSE)</f>
        <v>N</v>
      </c>
      <c r="G217" s="158" t="str">
        <f t="shared" si="14"/>
        <v>Y</v>
      </c>
      <c r="H217" s="158" t="str">
        <f t="shared" si="12"/>
        <v/>
      </c>
      <c r="I217" s="158">
        <f>VLOOKUP($B217,Enrollment_old!$B$8:$H$302,3,FALSE)</f>
        <v>123.14</v>
      </c>
      <c r="J217" s="158">
        <f>VLOOKUP($B217,Enrollment_old!$B$8:$H$302,5,FALSE)</f>
        <v>1</v>
      </c>
      <c r="K217" s="158">
        <f t="shared" si="15"/>
        <v>124.14</v>
      </c>
      <c r="P217" s="158" t="str">
        <f t="shared" si="13"/>
        <v>Y</v>
      </c>
    </row>
    <row r="218" spans="1:16">
      <c r="A218" s="158" t="s">
        <v>599</v>
      </c>
      <c r="B218" s="402" t="s">
        <v>244</v>
      </c>
      <c r="C218" s="400" t="s">
        <v>245</v>
      </c>
      <c r="D218" s="229">
        <f>VLOOKUP(B218,'Allocation 2011-12'!$B$9:$O$318,9,FALSE)</f>
        <v>2131</v>
      </c>
      <c r="E218" s="382" t="str">
        <f>IF(VLOOKUP(B218,'Participation info Aug 11'!$B$2:$H$296,7,FALSE)="No","No","Yes")</f>
        <v>No</v>
      </c>
      <c r="F218" s="229" t="str">
        <f>VLOOKUP(B218,'Participation info Aug 11'!$B$2:$I$296,8,FALSE)</f>
        <v>N</v>
      </c>
      <c r="G218" s="158" t="str">
        <f t="shared" si="14"/>
        <v>N</v>
      </c>
      <c r="H218" s="158">
        <f t="shared" si="12"/>
        <v>1</v>
      </c>
      <c r="I218" s="158">
        <f>VLOOKUP($B218,Enrollment_old!$B$8:$H$302,3,FALSE)</f>
        <v>11.14</v>
      </c>
      <c r="J218" s="158">
        <f>VLOOKUP($B218,Enrollment_old!$B$8:$H$302,5,FALSE)</f>
        <v>0</v>
      </c>
      <c r="K218" s="158">
        <f t="shared" si="15"/>
        <v>11.14</v>
      </c>
      <c r="P218" s="158" t="str">
        <f t="shared" si="13"/>
        <v>N</v>
      </c>
    </row>
    <row r="219" spans="1:16">
      <c r="A219" s="158" t="s">
        <v>603</v>
      </c>
      <c r="B219" s="402" t="s">
        <v>537</v>
      </c>
      <c r="C219" s="400" t="s">
        <v>538</v>
      </c>
      <c r="D219" s="229">
        <f>VLOOKUP(B219,'Allocation 2011-12'!$B$9:$O$318,9,FALSE)</f>
        <v>86</v>
      </c>
      <c r="E219" s="382" t="str">
        <f>IF(VLOOKUP(B219,'Participation info Aug 11'!$B$2:$H$296,7,FALSE)="No","No","Yes")</f>
        <v>Yes</v>
      </c>
      <c r="F219" s="229" t="str">
        <f>VLOOKUP(B219,'Participation info Aug 11'!$B$2:$I$296,8,FALSE)</f>
        <v>N</v>
      </c>
      <c r="G219" s="158" t="str">
        <f t="shared" si="14"/>
        <v>NC</v>
      </c>
      <c r="H219" s="158">
        <f t="shared" si="12"/>
        <v>1</v>
      </c>
      <c r="I219" s="158">
        <f>VLOOKUP($B219,Enrollment_old!$B$8:$H$302,3,FALSE)</f>
        <v>0</v>
      </c>
      <c r="J219" s="158">
        <f>VLOOKUP($B219,Enrollment_old!$B$8:$H$302,5,FALSE)</f>
        <v>0</v>
      </c>
      <c r="K219" s="158">
        <f t="shared" si="15"/>
        <v>0</v>
      </c>
      <c r="P219" s="158" t="str">
        <f t="shared" si="13"/>
        <v>N</v>
      </c>
    </row>
    <row r="220" spans="1:16">
      <c r="A220" s="158" t="s">
        <v>605</v>
      </c>
      <c r="B220" s="402" t="s">
        <v>123</v>
      </c>
      <c r="C220" s="400" t="s">
        <v>124</v>
      </c>
      <c r="D220" s="229">
        <f>VLOOKUP(B220,'Allocation 2011-12'!$B$9:$O$318,9,FALSE)</f>
        <v>107951</v>
      </c>
      <c r="E220" s="382" t="str">
        <f>IF(VLOOKUP(B220,'Participation info Aug 11'!$B$2:$H$296,7,FALSE)="No","No","Yes")</f>
        <v>Yes</v>
      </c>
      <c r="F220" s="229" t="str">
        <f>VLOOKUP(B220,'Participation info Aug 11'!$B$2:$I$296,8,FALSE)</f>
        <v>N</v>
      </c>
      <c r="G220" s="158" t="str">
        <f t="shared" si="14"/>
        <v>Y</v>
      </c>
      <c r="H220" s="158" t="str">
        <f t="shared" si="12"/>
        <v/>
      </c>
      <c r="I220" s="158">
        <f>VLOOKUP($B220,Enrollment_old!$B$8:$H$302,3,FALSE)</f>
        <v>713.43</v>
      </c>
      <c r="J220" s="158">
        <f>VLOOKUP($B220,Enrollment_old!$B$8:$H$302,5,FALSE)</f>
        <v>0</v>
      </c>
      <c r="K220" s="158">
        <f t="shared" si="15"/>
        <v>713.43</v>
      </c>
      <c r="P220" s="158" t="str">
        <f t="shared" si="13"/>
        <v>Y</v>
      </c>
    </row>
    <row r="221" spans="1:16">
      <c r="A221" s="158" t="s">
        <v>595</v>
      </c>
      <c r="B221" s="402" t="s">
        <v>375</v>
      </c>
      <c r="C221" s="400" t="s">
        <v>614</v>
      </c>
      <c r="D221" s="229">
        <f>VLOOKUP(B221,'Allocation 2011-12'!$B$9:$O$318,9,FALSE)</f>
        <v>8781</v>
      </c>
      <c r="E221" s="382" t="str">
        <f>IF(VLOOKUP(B221,'Participation info Aug 11'!$B$2:$H$296,7,FALSE)="No","No","Yes")</f>
        <v>Yes</v>
      </c>
      <c r="F221" s="229" t="str">
        <f>VLOOKUP(B221,'Participation info Aug 11'!$B$2:$I$296,8,FALSE)</f>
        <v>San Juan - Lead</v>
      </c>
      <c r="G221" s="158" t="str">
        <f t="shared" si="14"/>
        <v>Y</v>
      </c>
      <c r="H221" s="158" t="str">
        <f t="shared" si="12"/>
        <v/>
      </c>
      <c r="I221" s="158">
        <f>VLOOKUP($B221,Enrollment_old!$B$8:$H$302,3,FALSE)</f>
        <v>32.57</v>
      </c>
      <c r="J221" s="158">
        <f>VLOOKUP($B221,Enrollment_old!$B$8:$H$302,5,FALSE)</f>
        <v>1</v>
      </c>
      <c r="K221" s="158">
        <f t="shared" si="15"/>
        <v>33.57</v>
      </c>
      <c r="P221" s="158" t="str">
        <f t="shared" si="13"/>
        <v>Y</v>
      </c>
    </row>
    <row r="222" spans="1:16">
      <c r="A222" s="158" t="s">
        <v>594</v>
      </c>
      <c r="B222" s="402" t="s">
        <v>149</v>
      </c>
      <c r="C222" s="400" t="s">
        <v>150</v>
      </c>
      <c r="D222" s="229">
        <f>VLOOKUP(B222,'Allocation 2011-12'!$B$9:$O$318,9,FALSE)</f>
        <v>0</v>
      </c>
      <c r="E222" s="382" t="str">
        <f>IF(VLOOKUP(B222,'Participation info Aug 11'!$B$2:$H$296,7,FALSE)="No","No","Yes")</f>
        <v>Yes</v>
      </c>
      <c r="F222" s="229" t="str">
        <f>VLOOKUP(B222,'Participation info Aug 11'!$B$2:$I$296,8,FALSE)</f>
        <v>N</v>
      </c>
      <c r="G222" s="158" t="str">
        <f t="shared" si="14"/>
        <v>N/A</v>
      </c>
      <c r="H222" s="158" t="str">
        <f t="shared" si="12"/>
        <v/>
      </c>
      <c r="I222" s="158">
        <f>VLOOKUP($B222,Enrollment_old!$B$8:$H$302,3,FALSE)</f>
        <v>0</v>
      </c>
      <c r="J222" s="158">
        <f>VLOOKUP($B222,Enrollment_old!$B$8:$H$302,5,FALSE)</f>
        <v>0</v>
      </c>
      <c r="K222" s="158">
        <f t="shared" si="15"/>
        <v>0</v>
      </c>
      <c r="P222" s="158" t="str">
        <f t="shared" si="13"/>
        <v>N</v>
      </c>
    </row>
    <row r="223" spans="1:16">
      <c r="A223" s="158" t="s">
        <v>597</v>
      </c>
      <c r="B223" s="402" t="s">
        <v>173</v>
      </c>
      <c r="C223" s="400" t="s">
        <v>174</v>
      </c>
      <c r="D223" s="229">
        <f>VLOOKUP(B223,'Allocation 2011-12'!$B$9:$O$318,9,FALSE)</f>
        <v>995168</v>
      </c>
      <c r="E223" s="382" t="str">
        <f>IF(VLOOKUP(B223,'Participation info Aug 11'!$B$2:$H$296,7,FALSE)="No","No","Yes")</f>
        <v>Yes</v>
      </c>
      <c r="F223" s="229" t="str">
        <f>VLOOKUP(B223,'Participation info Aug 11'!$B$2:$I$296,8,FALSE)</f>
        <v>N</v>
      </c>
      <c r="G223" s="158" t="str">
        <f t="shared" si="14"/>
        <v>Y</v>
      </c>
      <c r="H223" s="158" t="str">
        <f t="shared" si="12"/>
        <v/>
      </c>
      <c r="I223" s="158">
        <f>VLOOKUP($B223,Enrollment_old!$B$8:$H$302,3,FALSE)</f>
        <v>5754.14</v>
      </c>
      <c r="J223" s="158">
        <f>VLOOKUP($B223,Enrollment_old!$B$8:$H$302,5,FALSE)</f>
        <v>147</v>
      </c>
      <c r="K223" s="158">
        <f t="shared" si="15"/>
        <v>5901.14</v>
      </c>
      <c r="P223" s="158" t="str">
        <f t="shared" si="13"/>
        <v>Y</v>
      </c>
    </row>
    <row r="224" spans="1:16">
      <c r="A224" s="158" t="s">
        <v>595</v>
      </c>
      <c r="B224" s="402" t="s">
        <v>379</v>
      </c>
      <c r="C224" s="400" t="s">
        <v>615</v>
      </c>
      <c r="D224" s="229">
        <f>VLOOKUP(B224,'Allocation 2011-12'!$B$9:$O$318,9,FALSE)</f>
        <v>34758</v>
      </c>
      <c r="E224" s="382" t="str">
        <f>IF(VLOOKUP(B224,'Participation info Aug 11'!$B$2:$H$296,7,FALSE)="No","No","Yes")</f>
        <v>Yes</v>
      </c>
      <c r="F224" s="229" t="str">
        <f>VLOOKUP(B224,'Participation info Aug 11'!$B$2:$I$296,8,FALSE)</f>
        <v>N</v>
      </c>
      <c r="G224" s="158" t="str">
        <f t="shared" si="14"/>
        <v>Y</v>
      </c>
      <c r="H224" s="158" t="str">
        <f t="shared" si="12"/>
        <v/>
      </c>
      <c r="I224" s="158">
        <f>VLOOKUP($B224,Enrollment_old!$B$8:$H$302,3,FALSE)</f>
        <v>251.71</v>
      </c>
      <c r="J224" s="158">
        <f>VLOOKUP($B224,Enrollment_old!$B$8:$H$302,5,FALSE)</f>
        <v>0</v>
      </c>
      <c r="K224" s="158">
        <f t="shared" si="15"/>
        <v>251.71</v>
      </c>
      <c r="P224" s="158" t="str">
        <f t="shared" si="13"/>
        <v>Y</v>
      </c>
    </row>
    <row r="225" spans="1:16">
      <c r="A225" s="158" t="s">
        <v>605</v>
      </c>
      <c r="B225" s="402" t="s">
        <v>551</v>
      </c>
      <c r="C225" s="400" t="s">
        <v>552</v>
      </c>
      <c r="D225" s="229">
        <f>VLOOKUP(B225,'Allocation 2011-12'!$B$9:$O$318,9,FALSE)</f>
        <v>38373</v>
      </c>
      <c r="E225" s="382" t="str">
        <f>IF(VLOOKUP(B225,'Participation info Aug 11'!$B$2:$H$296,7,FALSE)="No","No","Yes")</f>
        <v>Yes</v>
      </c>
      <c r="F225" s="229" t="str">
        <f>VLOOKUP(B225,'Participation info Aug 11'!$B$2:$I$296,8,FALSE)</f>
        <v>N</v>
      </c>
      <c r="G225" s="158" t="str">
        <f t="shared" si="14"/>
        <v>Y</v>
      </c>
      <c r="H225" s="158" t="str">
        <f t="shared" si="12"/>
        <v/>
      </c>
      <c r="I225" s="158">
        <f>VLOOKUP($B225,Enrollment_old!$B$8:$H$302,3,FALSE)</f>
        <v>185.29</v>
      </c>
      <c r="J225" s="158">
        <f>VLOOKUP($B225,Enrollment_old!$B$8:$H$302,5,FALSE)</f>
        <v>0</v>
      </c>
      <c r="K225" s="158">
        <f t="shared" si="15"/>
        <v>185.29</v>
      </c>
      <c r="P225" s="158" t="str">
        <f t="shared" si="13"/>
        <v>Y</v>
      </c>
    </row>
    <row r="226" spans="1:16">
      <c r="A226" s="158" t="s">
        <v>603</v>
      </c>
      <c r="B226" s="402" t="s">
        <v>340</v>
      </c>
      <c r="C226" s="400" t="s">
        <v>341</v>
      </c>
      <c r="D226" s="229">
        <f>VLOOKUP(B226,'Allocation 2011-12'!$B$9:$O$318,9,FALSE)</f>
        <v>0</v>
      </c>
      <c r="E226" s="382" t="str">
        <f>IF(VLOOKUP(B226,'Participation info Aug 11'!$B$2:$H$296,7,FALSE)="No","No","Yes")</f>
        <v>Yes</v>
      </c>
      <c r="F226" s="229" t="str">
        <f>VLOOKUP(B226,'Participation info Aug 11'!$B$2:$I$296,8,FALSE)</f>
        <v>N</v>
      </c>
      <c r="G226" s="158" t="str">
        <f t="shared" si="14"/>
        <v>N/A</v>
      </c>
      <c r="H226" s="158" t="str">
        <f t="shared" si="12"/>
        <v/>
      </c>
      <c r="I226" s="158">
        <f>VLOOKUP($B226,Enrollment_old!$B$8:$H$302,3,FALSE)</f>
        <v>0</v>
      </c>
      <c r="J226" s="158">
        <f>VLOOKUP($B226,Enrollment_old!$B$8:$H$302,5,FALSE)</f>
        <v>0</v>
      </c>
      <c r="K226" s="158">
        <f t="shared" si="15"/>
        <v>0</v>
      </c>
      <c r="P226" s="158" t="str">
        <f t="shared" si="13"/>
        <v>N</v>
      </c>
    </row>
    <row r="227" spans="1:16">
      <c r="A227" s="158" t="s">
        <v>600</v>
      </c>
      <c r="B227" s="402" t="s">
        <v>43</v>
      </c>
      <c r="C227" s="400" t="s">
        <v>44</v>
      </c>
      <c r="D227" s="229">
        <f>VLOOKUP(B227,'Allocation 2011-12'!$B$9:$O$318,9,FALSE)</f>
        <v>6436</v>
      </c>
      <c r="E227" s="382" t="str">
        <f>IF(VLOOKUP(B227,'Participation info Aug 11'!$B$2:$H$296,7,FALSE)="No","No","Yes")</f>
        <v>No</v>
      </c>
      <c r="F227" s="229" t="str">
        <f>VLOOKUP(B227,'Participation info Aug 11'!$B$2:$I$296,8,FALSE)</f>
        <v>N</v>
      </c>
      <c r="G227" s="158" t="str">
        <f t="shared" si="14"/>
        <v>N</v>
      </c>
      <c r="H227" s="158">
        <f t="shared" si="12"/>
        <v>1</v>
      </c>
      <c r="I227" s="158">
        <f>VLOOKUP($B227,Enrollment_old!$B$8:$H$302,3,FALSE)</f>
        <v>38.86</v>
      </c>
      <c r="J227" s="158">
        <f>VLOOKUP($B227,Enrollment_old!$B$8:$H$302,5,FALSE)</f>
        <v>0</v>
      </c>
      <c r="K227" s="158">
        <f t="shared" si="15"/>
        <v>38.86</v>
      </c>
      <c r="P227" s="158" t="str">
        <f t="shared" si="13"/>
        <v>N</v>
      </c>
    </row>
    <row r="228" spans="1:16">
      <c r="A228" s="158" t="s">
        <v>595</v>
      </c>
      <c r="B228" s="402" t="s">
        <v>371</v>
      </c>
      <c r="C228" s="400" t="s">
        <v>670</v>
      </c>
      <c r="D228" s="229">
        <f>VLOOKUP(B228,'Allocation 2011-12'!$B$9:$O$318,9,FALSE)</f>
        <v>0</v>
      </c>
      <c r="E228" s="382" t="str">
        <f>IF(VLOOKUP(B228,'Participation info Aug 11'!$B$2:$H$296,7,FALSE)="No","No","Yes")</f>
        <v>Yes</v>
      </c>
      <c r="F228" s="229" t="str">
        <f>VLOOKUP(B228,'Participation info Aug 11'!$B$2:$I$296,8,FALSE)</f>
        <v>N</v>
      </c>
      <c r="G228" s="158" t="str">
        <f t="shared" si="14"/>
        <v>N/A</v>
      </c>
      <c r="H228" s="158" t="str">
        <f t="shared" si="12"/>
        <v/>
      </c>
      <c r="I228" s="158">
        <f>VLOOKUP($B228,Enrollment_old!$B$8:$H$302,3,FALSE)</f>
        <v>0</v>
      </c>
      <c r="J228" s="158">
        <f>VLOOKUP($B228,Enrollment_old!$B$8:$H$302,5,FALSE)</f>
        <v>0</v>
      </c>
      <c r="K228" s="158">
        <f t="shared" si="15"/>
        <v>0</v>
      </c>
      <c r="P228" s="158" t="str">
        <f t="shared" si="13"/>
        <v>N</v>
      </c>
    </row>
    <row r="229" spans="1:16">
      <c r="A229" s="158" t="s">
        <v>594</v>
      </c>
      <c r="B229" s="402" t="s">
        <v>299</v>
      </c>
      <c r="C229" s="400" t="s">
        <v>300</v>
      </c>
      <c r="D229" s="229">
        <f>VLOOKUP(B229,'Allocation 2011-12'!$B$9:$O$318,9,FALSE)</f>
        <v>53459</v>
      </c>
      <c r="E229" s="382" t="str">
        <f>IF(VLOOKUP(B229,'Participation info Aug 11'!$B$2:$H$296,7,FALSE)="No","No","Yes")</f>
        <v>Yes</v>
      </c>
      <c r="F229" s="229" t="str">
        <f>VLOOKUP(B229,'Participation info Aug 11'!$B$2:$I$296,8,FALSE)</f>
        <v>N</v>
      </c>
      <c r="G229" s="158" t="str">
        <f t="shared" si="14"/>
        <v>Y</v>
      </c>
      <c r="H229" s="158" t="str">
        <f t="shared" si="12"/>
        <v/>
      </c>
      <c r="I229" s="158">
        <f>VLOOKUP($B229,Enrollment_old!$B$8:$H$302,3,FALSE)</f>
        <v>390</v>
      </c>
      <c r="J229" s="158">
        <f>VLOOKUP($B229,Enrollment_old!$B$8:$H$302,5,FALSE)</f>
        <v>0</v>
      </c>
      <c r="K229" s="158">
        <f t="shared" si="15"/>
        <v>390</v>
      </c>
      <c r="P229" s="158" t="str">
        <f t="shared" si="13"/>
        <v>Y</v>
      </c>
    </row>
    <row r="230" spans="1:16">
      <c r="A230" s="158" t="s">
        <v>597</v>
      </c>
      <c r="B230" s="402" t="s">
        <v>203</v>
      </c>
      <c r="C230" s="400" t="s">
        <v>204</v>
      </c>
      <c r="D230" s="229">
        <f>VLOOKUP(B230,'Allocation 2011-12'!$B$9:$O$318,9,FALSE)</f>
        <v>99494</v>
      </c>
      <c r="E230" s="382" t="str">
        <f>IF(VLOOKUP(B230,'Participation info Aug 11'!$B$2:$H$296,7,FALSE)="No","No","Yes")</f>
        <v>Yes</v>
      </c>
      <c r="F230" s="229" t="str">
        <f>VLOOKUP(B230,'Participation info Aug 11'!$B$2:$I$296,8,FALSE)</f>
        <v>N</v>
      </c>
      <c r="G230" s="158" t="str">
        <f t="shared" si="14"/>
        <v>Y</v>
      </c>
      <c r="H230" s="158" t="str">
        <f t="shared" si="12"/>
        <v/>
      </c>
      <c r="I230" s="158">
        <f>VLOOKUP($B230,Enrollment_old!$B$8:$H$302,3,FALSE)</f>
        <v>562.71</v>
      </c>
      <c r="J230" s="158">
        <f>VLOOKUP($B230,Enrollment_old!$B$8:$H$302,5,FALSE)</f>
        <v>1</v>
      </c>
      <c r="K230" s="158">
        <f t="shared" si="15"/>
        <v>563.71</v>
      </c>
      <c r="P230" s="158" t="str">
        <f t="shared" si="13"/>
        <v>Y</v>
      </c>
    </row>
    <row r="231" spans="1:16">
      <c r="A231" s="158" t="s">
        <v>599</v>
      </c>
      <c r="B231" s="402" t="s">
        <v>387</v>
      </c>
      <c r="C231" s="400" t="s">
        <v>388</v>
      </c>
      <c r="D231" s="229">
        <f>VLOOKUP(B231,'Allocation 2011-12'!$B$9:$O$318,9,FALSE)</f>
        <v>0</v>
      </c>
      <c r="E231" s="382" t="str">
        <f>IF(VLOOKUP(B231,'Participation info Aug 11'!$B$2:$H$296,7,FALSE)="No","No","Yes")</f>
        <v>Yes</v>
      </c>
      <c r="F231" s="229" t="str">
        <f>VLOOKUP(B231,'Participation info Aug 11'!$B$2:$I$296,8,FALSE)</f>
        <v>N</v>
      </c>
      <c r="G231" s="158" t="str">
        <f t="shared" si="14"/>
        <v>N/A</v>
      </c>
      <c r="H231" s="158" t="str">
        <f t="shared" si="12"/>
        <v/>
      </c>
      <c r="I231" s="158">
        <f>VLOOKUP($B231,Enrollment_old!$B$8:$H$302,3,FALSE)</f>
        <v>0</v>
      </c>
      <c r="J231" s="158">
        <f>VLOOKUP($B231,Enrollment_old!$B$8:$H$302,5,FALSE)</f>
        <v>0</v>
      </c>
      <c r="K231" s="158">
        <f t="shared" si="15"/>
        <v>0</v>
      </c>
      <c r="P231" s="158" t="str">
        <f t="shared" si="13"/>
        <v>N</v>
      </c>
    </row>
    <row r="232" spans="1:16">
      <c r="A232" s="158" t="s">
        <v>597</v>
      </c>
      <c r="B232" s="402" t="s">
        <v>187</v>
      </c>
      <c r="C232" s="400" t="s">
        <v>188</v>
      </c>
      <c r="D232" s="229">
        <f>VLOOKUP(B232,'Allocation 2011-12'!$B$9:$O$318,9,FALSE)</f>
        <v>0</v>
      </c>
      <c r="E232" s="382" t="str">
        <f>IF(VLOOKUP(B232,'Participation info Aug 11'!$B$2:$H$296,7,FALSE)="No","No","Yes")</f>
        <v>Yes</v>
      </c>
      <c r="F232" s="229" t="str">
        <f>VLOOKUP(B232,'Participation info Aug 11'!$B$2:$I$296,8,FALSE)</f>
        <v>N</v>
      </c>
      <c r="G232" s="158" t="str">
        <f t="shared" si="14"/>
        <v>N/A</v>
      </c>
      <c r="H232" s="158" t="str">
        <f t="shared" si="12"/>
        <v/>
      </c>
      <c r="I232" s="158">
        <f>VLOOKUP($B232,Enrollment_old!$B$8:$H$302,3,FALSE)</f>
        <v>0</v>
      </c>
      <c r="J232" s="158">
        <f>VLOOKUP($B232,Enrollment_old!$B$8:$H$302,5,FALSE)</f>
        <v>0</v>
      </c>
      <c r="K232" s="158">
        <f t="shared" si="15"/>
        <v>0</v>
      </c>
      <c r="P232" s="158" t="str">
        <f t="shared" si="13"/>
        <v>N</v>
      </c>
    </row>
    <row r="233" spans="1:16">
      <c r="A233" s="158" t="s">
        <v>595</v>
      </c>
      <c r="B233" s="402" t="s">
        <v>411</v>
      </c>
      <c r="C233" s="400" t="s">
        <v>412</v>
      </c>
      <c r="D233" s="229">
        <f>VLOOKUP(B233,'Allocation 2011-12'!$B$9:$O$318,9,FALSE)</f>
        <v>47412</v>
      </c>
      <c r="E233" s="382" t="str">
        <f>IF(VLOOKUP(B233,'Participation info Aug 11'!$B$2:$H$296,7,FALSE)="No","No","Yes")</f>
        <v>Yes</v>
      </c>
      <c r="F233" s="229" t="str">
        <f>VLOOKUP(B233,'Participation info Aug 11'!$B$2:$I$296,8,FALSE)</f>
        <v>N</v>
      </c>
      <c r="G233" s="158" t="str">
        <f t="shared" si="14"/>
        <v>Y</v>
      </c>
      <c r="H233" s="158" t="str">
        <f t="shared" ref="H233:H296" si="16">IF(AND(D233&gt;0,D233&lt;10000,F233="N"),1,"")</f>
        <v/>
      </c>
      <c r="I233" s="158">
        <f>VLOOKUP($B233,Enrollment_old!$B$8:$H$302,3,FALSE)</f>
        <v>310.70999999999998</v>
      </c>
      <c r="J233" s="158">
        <f>VLOOKUP($B233,Enrollment_old!$B$8:$H$302,5,FALSE)</f>
        <v>1</v>
      </c>
      <c r="K233" s="158">
        <f t="shared" si="15"/>
        <v>311.70999999999998</v>
      </c>
      <c r="P233" s="158" t="str">
        <f t="shared" si="13"/>
        <v>Y</v>
      </c>
    </row>
    <row r="234" spans="1:16">
      <c r="A234" s="158" t="s">
        <v>597</v>
      </c>
      <c r="B234" s="402" t="s">
        <v>199</v>
      </c>
      <c r="C234" s="400" t="s">
        <v>200</v>
      </c>
      <c r="D234" s="229">
        <f>VLOOKUP(B234,'Allocation 2011-12'!$B$9:$O$318,9,FALSE)</f>
        <v>20382</v>
      </c>
      <c r="E234" s="382" t="str">
        <f>IF(VLOOKUP(B234,'Participation info Aug 11'!$B$2:$H$296,7,FALSE)="No","No","Yes")</f>
        <v>Yes</v>
      </c>
      <c r="F234" s="229" t="str">
        <f>VLOOKUP(B234,'Participation info Aug 11'!$B$2:$I$296,8,FALSE)</f>
        <v>Snoqualmie - Lead</v>
      </c>
      <c r="G234" s="158" t="str">
        <f t="shared" si="14"/>
        <v>Y</v>
      </c>
      <c r="H234" s="158" t="str">
        <f t="shared" si="16"/>
        <v/>
      </c>
      <c r="I234" s="158">
        <f>VLOOKUP($B234,Enrollment_old!$B$8:$H$302,3,FALSE)</f>
        <v>114.14</v>
      </c>
      <c r="J234" s="158">
        <f>VLOOKUP($B234,Enrollment_old!$B$8:$H$302,5,FALSE)</f>
        <v>15</v>
      </c>
      <c r="K234" s="158">
        <f t="shared" si="15"/>
        <v>129.13999999999999</v>
      </c>
      <c r="P234" s="158" t="str">
        <f t="shared" si="13"/>
        <v>Y</v>
      </c>
    </row>
    <row r="235" spans="1:16">
      <c r="A235" s="158" t="s">
        <v>601</v>
      </c>
      <c r="B235" s="402" t="s">
        <v>121</v>
      </c>
      <c r="C235" s="400" t="s">
        <v>122</v>
      </c>
      <c r="D235" s="229">
        <f>VLOOKUP(B235,'Allocation 2011-12'!$B$9:$O$318,9,FALSE)</f>
        <v>14161</v>
      </c>
      <c r="E235" s="382" t="str">
        <f>IF(VLOOKUP(B235,'Participation info Aug 11'!$B$2:$H$296,7,FALSE)="No","No","Yes")</f>
        <v>Yes</v>
      </c>
      <c r="F235" s="229" t="str">
        <f>VLOOKUP(B235,'Participation info Aug 11'!$B$2:$I$296,8,FALSE)</f>
        <v>N</v>
      </c>
      <c r="G235" s="158" t="str">
        <f t="shared" si="14"/>
        <v>Y</v>
      </c>
      <c r="H235" s="158" t="str">
        <f t="shared" si="16"/>
        <v/>
      </c>
      <c r="I235" s="158">
        <f>VLOOKUP($B235,Enrollment_old!$B$8:$H$302,3,FALSE)</f>
        <v>74.290000000000006</v>
      </c>
      <c r="J235" s="158">
        <f>VLOOKUP($B235,Enrollment_old!$B$8:$H$302,5,FALSE)</f>
        <v>0</v>
      </c>
      <c r="K235" s="158">
        <f t="shared" si="15"/>
        <v>74.290000000000006</v>
      </c>
      <c r="P235" s="158" t="str">
        <f t="shared" si="13"/>
        <v>Y</v>
      </c>
    </row>
    <row r="236" spans="1:16">
      <c r="A236" s="158" t="s">
        <v>594</v>
      </c>
      <c r="B236" s="402" t="s">
        <v>329</v>
      </c>
      <c r="C236" s="400" t="s">
        <v>330</v>
      </c>
      <c r="D236" s="229">
        <f>VLOOKUP(B236,'Allocation 2011-12'!$B$9:$O$318,9,FALSE)</f>
        <v>11300</v>
      </c>
      <c r="E236" s="382" t="str">
        <f>IF(VLOOKUP(B236,'Participation info Aug 11'!$B$2:$H$296,7,FALSE)="No","No","Yes")</f>
        <v>Yes</v>
      </c>
      <c r="F236" s="229" t="str">
        <f>VLOOKUP(B236,'Participation info Aug 11'!$B$2:$I$296,8,FALSE)</f>
        <v>N</v>
      </c>
      <c r="G236" s="158" t="str">
        <f t="shared" si="14"/>
        <v>Y</v>
      </c>
      <c r="H236" s="158" t="str">
        <f t="shared" si="16"/>
        <v/>
      </c>
      <c r="I236" s="158">
        <f>VLOOKUP($B236,Enrollment_old!$B$8:$H$302,3,FALSE)</f>
        <v>86.71</v>
      </c>
      <c r="J236" s="158">
        <f>VLOOKUP($B236,Enrollment_old!$B$8:$H$302,5,FALSE)</f>
        <v>2</v>
      </c>
      <c r="K236" s="158">
        <f t="shared" si="15"/>
        <v>88.71</v>
      </c>
      <c r="P236" s="158" t="str">
        <f t="shared" si="13"/>
        <v>Y</v>
      </c>
    </row>
    <row r="237" spans="1:16">
      <c r="A237" s="158" t="s">
        <v>600</v>
      </c>
      <c r="B237" s="402" t="s">
        <v>218</v>
      </c>
      <c r="C237" s="400" t="s">
        <v>219</v>
      </c>
      <c r="D237" s="229">
        <f>VLOOKUP(B237,'Allocation 2011-12'!$B$9:$O$318,9,FALSE)</f>
        <v>16723</v>
      </c>
      <c r="E237" s="382" t="str">
        <f>IF(VLOOKUP(B237,'Participation info Aug 11'!$B$2:$H$296,7,FALSE)="No","No","Yes")</f>
        <v>Yes</v>
      </c>
      <c r="F237" s="229" t="str">
        <f>VLOOKUP(B237,'Participation info Aug 11'!$B$2:$I$296,8,FALSE)</f>
        <v>N</v>
      </c>
      <c r="G237" s="158" t="str">
        <f t="shared" si="14"/>
        <v>Y</v>
      </c>
      <c r="H237" s="158" t="str">
        <f t="shared" si="16"/>
        <v/>
      </c>
      <c r="I237" s="158">
        <f>VLOOKUP($B237,Enrollment_old!$B$8:$H$302,3,FALSE)</f>
        <v>73.569999999999993</v>
      </c>
      <c r="J237" s="158">
        <f>VLOOKUP($B237,Enrollment_old!$B$8:$H$302,5,FALSE)</f>
        <v>0</v>
      </c>
      <c r="K237" s="158">
        <f t="shared" si="15"/>
        <v>73.569999999999993</v>
      </c>
      <c r="P237" s="158" t="str">
        <f t="shared" si="13"/>
        <v>Y</v>
      </c>
    </row>
    <row r="238" spans="1:16">
      <c r="A238" s="158" t="s">
        <v>595</v>
      </c>
      <c r="B238" s="402" t="s">
        <v>161</v>
      </c>
      <c r="C238" s="400" t="s">
        <v>162</v>
      </c>
      <c r="D238" s="229">
        <f>VLOOKUP(B238,'Allocation 2011-12'!$B$9:$O$318,9,FALSE)</f>
        <v>2131</v>
      </c>
      <c r="E238" s="382" t="str">
        <f>IF(VLOOKUP(B238,'Participation info Aug 11'!$B$2:$H$296,7,FALSE)="No","No","Yes")</f>
        <v>Yes</v>
      </c>
      <c r="F238" s="229" t="str">
        <f>VLOOKUP(B238,'Participation info Aug 11'!$B$2:$I$296,8,FALSE)</f>
        <v>N</v>
      </c>
      <c r="G238" s="158" t="str">
        <f t="shared" si="14"/>
        <v>NC</v>
      </c>
      <c r="H238" s="158">
        <f t="shared" si="16"/>
        <v>1</v>
      </c>
      <c r="I238" s="158">
        <f>VLOOKUP($B238,Enrollment_old!$B$8:$H$302,3,FALSE)</f>
        <v>8</v>
      </c>
      <c r="J238" s="158">
        <f>VLOOKUP($B238,Enrollment_old!$B$8:$H$302,5,FALSE)</f>
        <v>0</v>
      </c>
      <c r="K238" s="158">
        <f t="shared" si="15"/>
        <v>8</v>
      </c>
      <c r="P238" s="158" t="str">
        <f t="shared" si="13"/>
        <v>N</v>
      </c>
    </row>
    <row r="239" spans="1:16">
      <c r="A239" s="158" t="s">
        <v>594</v>
      </c>
      <c r="B239" s="402" t="s">
        <v>295</v>
      </c>
      <c r="C239" s="400" t="s">
        <v>296</v>
      </c>
      <c r="D239" s="229">
        <f>VLOOKUP(B239,'Allocation 2011-12'!$B$9:$O$318,9,FALSE)</f>
        <v>517</v>
      </c>
      <c r="E239" s="382" t="str">
        <f>IF(VLOOKUP(B239,'Participation info Aug 11'!$B$2:$H$296,7,FALSE)="No","No","Yes")</f>
        <v>Yes</v>
      </c>
      <c r="F239" s="229" t="str">
        <f>VLOOKUP(B239,'Participation info Aug 11'!$B$2:$I$296,8,FALSE)</f>
        <v>N</v>
      </c>
      <c r="G239" s="158" t="str">
        <f t="shared" si="14"/>
        <v>NC</v>
      </c>
      <c r="H239" s="158">
        <f t="shared" si="16"/>
        <v>1</v>
      </c>
      <c r="I239" s="158">
        <f>VLOOKUP($B239,Enrollment_old!$B$8:$H$302,3,FALSE)</f>
        <v>2.29</v>
      </c>
      <c r="J239" s="158">
        <f>VLOOKUP($B239,Enrollment_old!$B$8:$H$302,5,FALSE)</f>
        <v>0</v>
      </c>
      <c r="K239" s="158">
        <f t="shared" si="15"/>
        <v>2.29</v>
      </c>
      <c r="P239" s="158" t="str">
        <f t="shared" si="13"/>
        <v>N</v>
      </c>
    </row>
    <row r="240" spans="1:16">
      <c r="A240" s="158" t="s">
        <v>603</v>
      </c>
      <c r="B240" s="402" t="s">
        <v>422</v>
      </c>
      <c r="C240" s="400" t="s">
        <v>423</v>
      </c>
      <c r="D240" s="229">
        <f>VLOOKUP(B240,'Allocation 2011-12'!$B$9:$O$318,9,FALSE)</f>
        <v>228062</v>
      </c>
      <c r="E240" s="382" t="str">
        <f>IF(VLOOKUP(B240,'Participation info Aug 11'!$B$2:$H$296,7,FALSE)="No","No","Yes")</f>
        <v>Yes</v>
      </c>
      <c r="F240" s="229" t="str">
        <f>VLOOKUP(B240,'Participation info Aug 11'!$B$2:$I$296,8,FALSE)</f>
        <v>N</v>
      </c>
      <c r="G240" s="158" t="str">
        <f t="shared" si="14"/>
        <v>Y</v>
      </c>
      <c r="H240" s="158" t="str">
        <f t="shared" si="16"/>
        <v/>
      </c>
      <c r="I240" s="158">
        <f>VLOOKUP($B240,Enrollment_old!$B$8:$H$302,3,FALSE)</f>
        <v>1431</v>
      </c>
      <c r="J240" s="158">
        <f>VLOOKUP($B240,Enrollment_old!$B$8:$H$302,5,FALSE)</f>
        <v>0</v>
      </c>
      <c r="K240" s="158">
        <f t="shared" si="15"/>
        <v>1431</v>
      </c>
      <c r="P240" s="158" t="str">
        <f t="shared" si="13"/>
        <v>Y</v>
      </c>
    </row>
    <row r="241" spans="1:16">
      <c r="A241" s="158" t="s">
        <v>603</v>
      </c>
      <c r="B241" s="402" t="s">
        <v>280</v>
      </c>
      <c r="C241" s="400" t="s">
        <v>281</v>
      </c>
      <c r="D241" s="229">
        <f>VLOOKUP(B241,'Allocation 2011-12'!$B$9:$O$318,9,FALSE)</f>
        <v>0</v>
      </c>
      <c r="E241" s="382" t="str">
        <f>IF(VLOOKUP(B241,'Participation info Aug 11'!$B$2:$H$296,7,FALSE)="No","No","Yes")</f>
        <v>Yes</v>
      </c>
      <c r="F241" s="229" t="str">
        <f>VLOOKUP(B241,'Participation info Aug 11'!$B$2:$I$296,8,FALSE)</f>
        <v>N</v>
      </c>
      <c r="G241" s="158" t="str">
        <f t="shared" si="14"/>
        <v>N/A</v>
      </c>
      <c r="H241" s="158" t="str">
        <f t="shared" si="16"/>
        <v/>
      </c>
      <c r="I241" s="158">
        <f>VLOOKUP($B241,Enrollment_old!$B$8:$H$302,3,FALSE)</f>
        <v>0</v>
      </c>
      <c r="J241" s="158">
        <f>VLOOKUP($B241,Enrollment_old!$B$8:$H$302,5,FALSE)</f>
        <v>0</v>
      </c>
      <c r="K241" s="158">
        <f t="shared" si="15"/>
        <v>0</v>
      </c>
      <c r="P241" s="158" t="str">
        <f t="shared" si="13"/>
        <v>N</v>
      </c>
    </row>
    <row r="242" spans="1:16">
      <c r="A242" s="158" t="s">
        <v>603</v>
      </c>
      <c r="B242" s="402" t="s">
        <v>539</v>
      </c>
      <c r="C242" s="400" t="s">
        <v>540</v>
      </c>
      <c r="D242" s="229">
        <f>VLOOKUP(B242,'Allocation 2011-12'!$B$9:$O$318,9,FALSE)</f>
        <v>0</v>
      </c>
      <c r="E242" s="382" t="str">
        <f>IF(VLOOKUP(B242,'Participation info Aug 11'!$B$2:$H$296,7,FALSE)="No","No","Yes")</f>
        <v>Yes</v>
      </c>
      <c r="F242" s="229" t="str">
        <f>VLOOKUP(B242,'Participation info Aug 11'!$B$2:$I$296,8,FALSE)</f>
        <v>N</v>
      </c>
      <c r="G242" s="158" t="str">
        <f t="shared" si="14"/>
        <v>N/A</v>
      </c>
      <c r="H242" s="158" t="str">
        <f t="shared" si="16"/>
        <v/>
      </c>
      <c r="I242" s="158">
        <f>VLOOKUP($B242,Enrollment_old!$B$8:$H$302,3,FALSE)</f>
        <v>0</v>
      </c>
      <c r="J242" s="158">
        <f>VLOOKUP($B242,Enrollment_old!$B$8:$H$302,5,FALSE)</f>
        <v>0</v>
      </c>
      <c r="K242" s="158">
        <f t="shared" si="15"/>
        <v>0</v>
      </c>
      <c r="P242" s="158" t="str">
        <f t="shared" si="13"/>
        <v>N</v>
      </c>
    </row>
    <row r="243" spans="1:16">
      <c r="A243" s="158" t="s">
        <v>595</v>
      </c>
      <c r="B243" s="402" t="s">
        <v>421</v>
      </c>
      <c r="C243" s="400" t="s">
        <v>616</v>
      </c>
      <c r="D243" s="229">
        <f>VLOOKUP(B243,'Allocation 2011-12'!$B$9:$O$318,9,FALSE)</f>
        <v>15022</v>
      </c>
      <c r="E243" s="382" t="str">
        <f>IF(VLOOKUP(B243,'Participation info Aug 11'!$B$2:$H$296,7,FALSE)="No","No","Yes")</f>
        <v>Yes</v>
      </c>
      <c r="F243" s="229" t="str">
        <f>VLOOKUP(B243,'Participation info Aug 11'!$B$2:$I$296,8,FALSE)</f>
        <v>N</v>
      </c>
      <c r="G243" s="158" t="str">
        <f t="shared" si="14"/>
        <v>Y</v>
      </c>
      <c r="H243" s="158" t="str">
        <f t="shared" si="16"/>
        <v/>
      </c>
      <c r="I243" s="158">
        <f>VLOOKUP($B243,Enrollment_old!$B$8:$H$302,3,FALSE)</f>
        <v>81.86</v>
      </c>
      <c r="J243" s="158">
        <f>VLOOKUP($B243,Enrollment_old!$B$8:$H$302,5,FALSE)</f>
        <v>12</v>
      </c>
      <c r="K243" s="158">
        <f t="shared" si="15"/>
        <v>93.86</v>
      </c>
      <c r="P243" s="158" t="str">
        <f t="shared" si="13"/>
        <v>Y</v>
      </c>
    </row>
    <row r="244" spans="1:16">
      <c r="A244" s="158" t="s">
        <v>596</v>
      </c>
      <c r="B244" s="402" t="s">
        <v>108</v>
      </c>
      <c r="C244" s="400" t="s">
        <v>109</v>
      </c>
      <c r="D244" s="229">
        <f>VLOOKUP(B244,'Allocation 2011-12'!$B$9:$O$318,9,FALSE)</f>
        <v>0</v>
      </c>
      <c r="E244" s="382" t="str">
        <f>IF(VLOOKUP(B244,'Participation info Aug 11'!$B$2:$H$296,7,FALSE)="No","No","Yes")</f>
        <v>Yes</v>
      </c>
      <c r="F244" s="229" t="str">
        <f>VLOOKUP(B244,'Participation info Aug 11'!$B$2:$I$296,8,FALSE)</f>
        <v>N</v>
      </c>
      <c r="G244" s="158" t="str">
        <f t="shared" si="14"/>
        <v>N/A</v>
      </c>
      <c r="H244" s="158" t="str">
        <f t="shared" si="16"/>
        <v/>
      </c>
      <c r="I244" s="158">
        <f>VLOOKUP($B244,Enrollment_old!$B$8:$H$302,3,FALSE)</f>
        <v>0</v>
      </c>
      <c r="J244" s="158">
        <f>VLOOKUP($B244,Enrollment_old!$B$8:$H$302,5,FALSE)</f>
        <v>0</v>
      </c>
      <c r="K244" s="158">
        <f t="shared" si="15"/>
        <v>0</v>
      </c>
      <c r="P244" s="158" t="str">
        <f t="shared" si="13"/>
        <v>N</v>
      </c>
    </row>
    <row r="245" spans="1:16">
      <c r="A245" s="158" t="s">
        <v>596</v>
      </c>
      <c r="B245" s="402" t="s">
        <v>68</v>
      </c>
      <c r="C245" s="400" t="s">
        <v>69</v>
      </c>
      <c r="D245" s="229">
        <f>VLOOKUP(B245,'Allocation 2011-12'!$B$9:$O$318,9,FALSE)</f>
        <v>0</v>
      </c>
      <c r="E245" s="382" t="str">
        <f>IF(VLOOKUP(B245,'Participation info Aug 11'!$B$2:$H$296,7,FALSE)="No","No","Yes")</f>
        <v>Yes</v>
      </c>
      <c r="F245" s="229" t="str">
        <f>VLOOKUP(B245,'Participation info Aug 11'!$B$2:$I$296,8,FALSE)</f>
        <v>N</v>
      </c>
      <c r="G245" s="158" t="str">
        <f t="shared" si="14"/>
        <v>N/A</v>
      </c>
      <c r="H245" s="158" t="str">
        <f t="shared" si="16"/>
        <v/>
      </c>
      <c r="I245" s="158">
        <f>VLOOKUP($B245,Enrollment_old!$B$8:$H$302,3,FALSE)</f>
        <v>0</v>
      </c>
      <c r="J245" s="158">
        <f>VLOOKUP($B245,Enrollment_old!$B$8:$H$302,5,FALSE)</f>
        <v>0</v>
      </c>
      <c r="K245" s="158">
        <f t="shared" si="15"/>
        <v>0</v>
      </c>
      <c r="P245" s="158" t="str">
        <f t="shared" si="13"/>
        <v>N</v>
      </c>
    </row>
    <row r="246" spans="1:16">
      <c r="A246" s="158" t="s">
        <v>601</v>
      </c>
      <c r="B246" s="402" t="s">
        <v>27</v>
      </c>
      <c r="C246" s="400" t="s">
        <v>28</v>
      </c>
      <c r="D246" s="229">
        <f>VLOOKUP(B246,'Allocation 2011-12'!$B$9:$O$318,9,FALSE)</f>
        <v>0</v>
      </c>
      <c r="E246" s="382" t="str">
        <f>IF(VLOOKUP(B246,'Participation info Aug 11'!$B$2:$H$296,7,FALSE)="No","No","Yes")</f>
        <v>Yes</v>
      </c>
      <c r="F246" s="229" t="str">
        <f>VLOOKUP(B246,'Participation info Aug 11'!$B$2:$I$296,8,FALSE)</f>
        <v>N</v>
      </c>
      <c r="G246" s="158" t="str">
        <f t="shared" si="14"/>
        <v>N/A</v>
      </c>
      <c r="H246" s="158" t="str">
        <f t="shared" si="16"/>
        <v/>
      </c>
      <c r="I246" s="158">
        <f>VLOOKUP($B246,Enrollment_old!$B$8:$H$302,3,FALSE)</f>
        <v>0</v>
      </c>
      <c r="J246" s="158">
        <f>VLOOKUP($B246,Enrollment_old!$B$8:$H$302,5,FALSE)</f>
        <v>0</v>
      </c>
      <c r="K246" s="158">
        <f t="shared" si="15"/>
        <v>0</v>
      </c>
      <c r="P246" s="158" t="str">
        <f t="shared" si="13"/>
        <v>N</v>
      </c>
    </row>
    <row r="247" spans="1:16">
      <c r="A247" s="158" t="s">
        <v>597</v>
      </c>
      <c r="B247" s="402" t="s">
        <v>342</v>
      </c>
      <c r="C247" s="400" t="s">
        <v>617</v>
      </c>
      <c r="D247" s="229">
        <f>VLOOKUP(B247,'Allocation 2011-12'!$B$9:$O$318,9,FALSE)</f>
        <v>11084</v>
      </c>
      <c r="E247" s="382" t="str">
        <f>IF(VLOOKUP(B247,'Participation info Aug 11'!$B$2:$H$296,7,FALSE)="No","No","Yes")</f>
        <v>Yes</v>
      </c>
      <c r="F247" s="229" t="str">
        <f>VLOOKUP(B247,'Participation info Aug 11'!$B$2:$I$296,8,FALSE)</f>
        <v>N</v>
      </c>
      <c r="G247" s="158" t="str">
        <f t="shared" si="14"/>
        <v>Y</v>
      </c>
      <c r="H247" s="158" t="str">
        <f t="shared" si="16"/>
        <v/>
      </c>
      <c r="I247" s="158">
        <f>VLOOKUP($B247,Enrollment_old!$B$8:$H$302,3,FALSE)</f>
        <v>69.569999999999993</v>
      </c>
      <c r="J247" s="158">
        <f>VLOOKUP($B247,Enrollment_old!$B$8:$H$302,5,FALSE)</f>
        <v>0</v>
      </c>
      <c r="K247" s="158">
        <f t="shared" si="15"/>
        <v>69.569999999999993</v>
      </c>
      <c r="P247" s="158" t="str">
        <f t="shared" si="13"/>
        <v>Y</v>
      </c>
    </row>
    <row r="248" spans="1:16">
      <c r="A248" s="158" t="s">
        <v>603</v>
      </c>
      <c r="B248" s="402" t="s">
        <v>531</v>
      </c>
      <c r="C248" s="400" t="s">
        <v>532</v>
      </c>
      <c r="D248" s="229">
        <f>VLOOKUP(B248,'Allocation 2011-12'!$B$9:$O$318,9,FALSE)</f>
        <v>0</v>
      </c>
      <c r="E248" s="382" t="str">
        <f>IF(VLOOKUP(B248,'Participation info Aug 11'!$B$2:$H$296,7,FALSE)="No","No","Yes")</f>
        <v>Yes</v>
      </c>
      <c r="F248" s="229" t="str">
        <f>VLOOKUP(B248,'Participation info Aug 11'!$B$2:$I$296,8,FALSE)</f>
        <v>N</v>
      </c>
      <c r="G248" s="158" t="str">
        <f t="shared" si="14"/>
        <v>N/A</v>
      </c>
      <c r="H248" s="158" t="str">
        <f t="shared" si="16"/>
        <v/>
      </c>
      <c r="I248" s="158">
        <f>VLOOKUP($B248,Enrollment_old!$B$8:$H$302,3,FALSE)</f>
        <v>0</v>
      </c>
      <c r="J248" s="158">
        <f>VLOOKUP($B248,Enrollment_old!$B$8:$H$302,5,FALSE)</f>
        <v>0</v>
      </c>
      <c r="K248" s="158">
        <f t="shared" si="15"/>
        <v>0</v>
      </c>
      <c r="P248" s="158" t="str">
        <f t="shared" si="13"/>
        <v>N</v>
      </c>
    </row>
    <row r="249" spans="1:16">
      <c r="A249" s="158" t="s">
        <v>599</v>
      </c>
      <c r="B249" s="402" t="s">
        <v>393</v>
      </c>
      <c r="C249" s="400" t="s">
        <v>394</v>
      </c>
      <c r="D249" s="229">
        <f>VLOOKUP(B249,'Allocation 2011-12'!$B$9:$O$318,9,FALSE)</f>
        <v>4821</v>
      </c>
      <c r="E249" s="382" t="str">
        <f>IF(VLOOKUP(B249,'Participation info Aug 11'!$B$2:$H$296,7,FALSE)="No","No","Yes")</f>
        <v>No</v>
      </c>
      <c r="F249" s="229" t="str">
        <f>VLOOKUP(B249,'Participation info Aug 11'!$B$2:$I$296,8,FALSE)</f>
        <v>N</v>
      </c>
      <c r="G249" s="158" t="str">
        <f t="shared" si="14"/>
        <v>N</v>
      </c>
      <c r="H249" s="158">
        <f t="shared" si="16"/>
        <v>1</v>
      </c>
      <c r="I249" s="158">
        <f>VLOOKUP($B249,Enrollment_old!$B$8:$H$302,3,FALSE)</f>
        <v>23.57</v>
      </c>
      <c r="J249" s="158">
        <f>VLOOKUP($B249,Enrollment_old!$B$8:$H$302,5,FALSE)</f>
        <v>0</v>
      </c>
      <c r="K249" s="158">
        <f t="shared" si="15"/>
        <v>23.57</v>
      </c>
      <c r="P249" s="158" t="str">
        <f t="shared" si="13"/>
        <v>N</v>
      </c>
    </row>
    <row r="250" spans="1:16">
      <c r="A250" s="158" t="s">
        <v>595</v>
      </c>
      <c r="B250" s="402" t="s">
        <v>415</v>
      </c>
      <c r="C250" s="400" t="s">
        <v>416</v>
      </c>
      <c r="D250" s="229">
        <f>VLOOKUP(B250,'Allocation 2011-12'!$B$9:$O$318,9,FALSE)</f>
        <v>19929</v>
      </c>
      <c r="E250" s="382" t="str">
        <f>IF(VLOOKUP(B250,'Participation info Aug 11'!$B$2:$H$296,7,FALSE)="No","No","Yes")</f>
        <v>Yes</v>
      </c>
      <c r="F250" s="229" t="str">
        <f>VLOOKUP(B250,'Participation info Aug 11'!$B$2:$I$296,8,FALSE)</f>
        <v>N</v>
      </c>
      <c r="G250" s="158" t="str">
        <f t="shared" si="14"/>
        <v>Y</v>
      </c>
      <c r="H250" s="158" t="str">
        <f t="shared" si="16"/>
        <v/>
      </c>
      <c r="I250" s="158">
        <f>VLOOKUP($B250,Enrollment_old!$B$8:$H$302,3,FALSE)</f>
        <v>130</v>
      </c>
      <c r="J250" s="158">
        <f>VLOOKUP($B250,Enrollment_old!$B$8:$H$302,5,FALSE)</f>
        <v>0</v>
      </c>
      <c r="K250" s="158">
        <f t="shared" si="15"/>
        <v>130</v>
      </c>
      <c r="P250" s="158" t="str">
        <f t="shared" si="13"/>
        <v>Y</v>
      </c>
    </row>
    <row r="251" spans="1:16">
      <c r="A251" s="158" t="s">
        <v>603</v>
      </c>
      <c r="B251" s="402" t="s">
        <v>460</v>
      </c>
      <c r="C251" s="400" t="s">
        <v>461</v>
      </c>
      <c r="D251" s="229">
        <f>VLOOKUP(B251,'Allocation 2011-12'!$B$9:$O$318,9,FALSE)</f>
        <v>0</v>
      </c>
      <c r="E251" s="382" t="str">
        <f>IF(VLOOKUP(B251,'Participation info Aug 11'!$B$2:$H$296,7,FALSE)="No","No","Yes")</f>
        <v>Yes</v>
      </c>
      <c r="F251" s="229" t="str">
        <f>VLOOKUP(B251,'Participation info Aug 11'!$B$2:$I$296,8,FALSE)</f>
        <v>N</v>
      </c>
      <c r="G251" s="158" t="str">
        <f t="shared" si="14"/>
        <v>N/A</v>
      </c>
      <c r="H251" s="158" t="str">
        <f t="shared" si="16"/>
        <v/>
      </c>
      <c r="I251" s="158">
        <f>VLOOKUP($B251,Enrollment_old!$B$8:$H$302,3,FALSE)</f>
        <v>0</v>
      </c>
      <c r="J251" s="158">
        <f>VLOOKUP($B251,Enrollment_old!$B$8:$H$302,5,FALSE)</f>
        <v>0</v>
      </c>
      <c r="K251" s="158">
        <f t="shared" si="15"/>
        <v>0</v>
      </c>
      <c r="P251" s="158" t="str">
        <f t="shared" si="13"/>
        <v>N</v>
      </c>
    </row>
    <row r="252" spans="1:16">
      <c r="A252" s="158" t="s">
        <v>597</v>
      </c>
      <c r="B252" s="402" t="s">
        <v>351</v>
      </c>
      <c r="C252" s="400" t="s">
        <v>352</v>
      </c>
      <c r="D252" s="229">
        <f>VLOOKUP(B252,'Allocation 2011-12'!$B$9:$O$318,9,FALSE)</f>
        <v>44227</v>
      </c>
      <c r="E252" s="382" t="str">
        <f>IF(VLOOKUP(B252,'Participation info Aug 11'!$B$2:$H$296,7,FALSE)="No","No","Yes")</f>
        <v>Yes</v>
      </c>
      <c r="F252" s="229" t="str">
        <f>VLOOKUP(B252,'Participation info Aug 11'!$B$2:$I$296,8,FALSE)</f>
        <v>N</v>
      </c>
      <c r="G252" s="158" t="str">
        <f t="shared" si="14"/>
        <v>Y</v>
      </c>
      <c r="H252" s="158" t="str">
        <f t="shared" si="16"/>
        <v/>
      </c>
      <c r="I252" s="158">
        <f>VLOOKUP($B252,Enrollment_old!$B$8:$H$302,3,FALSE)</f>
        <v>292</v>
      </c>
      <c r="J252" s="158">
        <f>VLOOKUP($B252,Enrollment_old!$B$8:$H$302,5,FALSE)</f>
        <v>7</v>
      </c>
      <c r="K252" s="158">
        <f t="shared" si="15"/>
        <v>299</v>
      </c>
      <c r="P252" s="158" t="str">
        <f t="shared" si="13"/>
        <v>Y</v>
      </c>
    </row>
    <row r="253" spans="1:16">
      <c r="A253" s="158" t="s">
        <v>605</v>
      </c>
      <c r="B253" s="402" t="s">
        <v>557</v>
      </c>
      <c r="C253" s="400" t="s">
        <v>558</v>
      </c>
      <c r="D253" s="229">
        <f>VLOOKUP(B253,'Allocation 2011-12'!$B$9:$O$318,9,FALSE)</f>
        <v>329146</v>
      </c>
      <c r="E253" s="382" t="str">
        <f>IF(VLOOKUP(B253,'Participation info Aug 11'!$B$2:$H$296,7,FALSE)="No","No","Yes")</f>
        <v>Yes</v>
      </c>
      <c r="F253" s="229" t="str">
        <f>VLOOKUP(B253,'Participation info Aug 11'!$B$2:$I$296,8,FALSE)</f>
        <v>N</v>
      </c>
      <c r="G253" s="158" t="str">
        <f t="shared" si="14"/>
        <v>Y</v>
      </c>
      <c r="H253" s="158" t="str">
        <f t="shared" si="16"/>
        <v/>
      </c>
      <c r="I253" s="158">
        <f>VLOOKUP($B253,Enrollment_old!$B$8:$H$302,3,FALSE)</f>
        <v>2104.71</v>
      </c>
      <c r="J253" s="158">
        <f>VLOOKUP($B253,Enrollment_old!$B$8:$H$302,5,FALSE)</f>
        <v>0</v>
      </c>
      <c r="K253" s="158">
        <f t="shared" si="15"/>
        <v>2104.71</v>
      </c>
      <c r="P253" s="158" t="str">
        <f t="shared" si="13"/>
        <v>Y</v>
      </c>
    </row>
    <row r="254" spans="1:16">
      <c r="A254" s="158" t="s">
        <v>597</v>
      </c>
      <c r="B254" s="402" t="s">
        <v>345</v>
      </c>
      <c r="C254" s="400" t="s">
        <v>346</v>
      </c>
      <c r="D254" s="229">
        <f>VLOOKUP(B254,'Allocation 2011-12'!$B$9:$O$318,9,FALSE)</f>
        <v>381787</v>
      </c>
      <c r="E254" s="382" t="str">
        <f>IF(VLOOKUP(B254,'Participation info Aug 11'!$B$2:$H$296,7,FALSE)="No","No","Yes")</f>
        <v>Yes</v>
      </c>
      <c r="F254" s="229" t="str">
        <f>VLOOKUP(B254,'Participation info Aug 11'!$B$2:$I$296,8,FALSE)</f>
        <v>N</v>
      </c>
      <c r="G254" s="158" t="str">
        <f t="shared" si="14"/>
        <v>Y</v>
      </c>
      <c r="H254" s="158" t="str">
        <f t="shared" si="16"/>
        <v/>
      </c>
      <c r="I254" s="158">
        <f>VLOOKUP($B254,Enrollment_old!$B$8:$H$302,3,FALSE)</f>
        <v>2558.71</v>
      </c>
      <c r="J254" s="158">
        <f>VLOOKUP($B254,Enrollment_old!$B$8:$H$302,5,FALSE)</f>
        <v>3</v>
      </c>
      <c r="K254" s="158">
        <f t="shared" si="15"/>
        <v>2561.71</v>
      </c>
      <c r="P254" s="158" t="str">
        <f t="shared" si="13"/>
        <v>Y</v>
      </c>
    </row>
    <row r="255" spans="1:16">
      <c r="A255" s="158" t="s">
        <v>594</v>
      </c>
      <c r="B255" s="402" t="s">
        <v>143</v>
      </c>
      <c r="C255" s="400" t="s">
        <v>144</v>
      </c>
      <c r="D255" s="229">
        <f>VLOOKUP(B255,'Allocation 2011-12'!$B$9:$O$318,9,FALSE)</f>
        <v>0</v>
      </c>
      <c r="E255" s="382" t="str">
        <f>IF(VLOOKUP(B255,'Participation info Aug 11'!$B$2:$H$296,7,FALSE)="No","No","Yes")</f>
        <v>Yes</v>
      </c>
      <c r="F255" s="229" t="str">
        <f>VLOOKUP(B255,'Participation info Aug 11'!$B$2:$I$296,8,FALSE)</f>
        <v>N</v>
      </c>
      <c r="G255" s="158" t="str">
        <f t="shared" si="14"/>
        <v>N/A</v>
      </c>
      <c r="H255" s="158" t="str">
        <f t="shared" si="16"/>
        <v/>
      </c>
      <c r="I255" s="158">
        <f>VLOOKUP($B255,Enrollment_old!$B$8:$H$302,3,FALSE)</f>
        <v>0</v>
      </c>
      <c r="J255" s="158">
        <f>VLOOKUP($B255,Enrollment_old!$B$8:$H$302,5,FALSE)</f>
        <v>0</v>
      </c>
      <c r="K255" s="158">
        <f t="shared" si="15"/>
        <v>0</v>
      </c>
      <c r="P255" s="158" t="str">
        <f t="shared" si="13"/>
        <v>N</v>
      </c>
    </row>
    <row r="256" spans="1:16">
      <c r="A256" s="158" t="s">
        <v>597</v>
      </c>
      <c r="B256" s="402" t="s">
        <v>197</v>
      </c>
      <c r="C256" s="400" t="s">
        <v>198</v>
      </c>
      <c r="D256" s="229">
        <f>VLOOKUP(B256,'Allocation 2011-12'!$B$9:$O$318,9,FALSE)</f>
        <v>21607</v>
      </c>
      <c r="E256" s="382" t="str">
        <f>IF(VLOOKUP(B256,'Participation info Aug 11'!$B$2:$H$296,7,FALSE)="No","No","Yes")</f>
        <v>Yes</v>
      </c>
      <c r="F256" s="229" t="str">
        <f>VLOOKUP(B256,'Participation info Aug 11'!$B$2:$I$296,8,FALSE)</f>
        <v>N</v>
      </c>
      <c r="G256" s="158" t="str">
        <f t="shared" si="14"/>
        <v>Y</v>
      </c>
      <c r="H256" s="158" t="str">
        <f t="shared" si="16"/>
        <v/>
      </c>
      <c r="I256" s="158">
        <f>VLOOKUP($B256,Enrollment_old!$B$8:$H$302,3,FALSE)</f>
        <v>135.71</v>
      </c>
      <c r="J256" s="158">
        <f>VLOOKUP($B256,Enrollment_old!$B$8:$H$302,5,FALSE)</f>
        <v>0</v>
      </c>
      <c r="K256" s="158">
        <f t="shared" si="15"/>
        <v>135.71</v>
      </c>
      <c r="P256" s="158" t="str">
        <f t="shared" si="13"/>
        <v>Y</v>
      </c>
    </row>
    <row r="257" spans="1:16">
      <c r="A257" s="158" t="s">
        <v>603</v>
      </c>
      <c r="B257" s="402" t="s">
        <v>521</v>
      </c>
      <c r="C257" s="400" t="s">
        <v>522</v>
      </c>
      <c r="D257" s="229">
        <f>VLOOKUP(B257,'Allocation 2011-12'!$B$9:$O$318,9,FALSE)</f>
        <v>0</v>
      </c>
      <c r="E257" s="382" t="str">
        <f>IF(VLOOKUP(B257,'Participation info Aug 11'!$B$2:$H$296,7,FALSE)="No","No","Yes")</f>
        <v>Yes</v>
      </c>
      <c r="F257" s="229" t="str">
        <f>VLOOKUP(B257,'Participation info Aug 11'!$B$2:$I$296,8,FALSE)</f>
        <v>N</v>
      </c>
      <c r="G257" s="158" t="str">
        <f t="shared" si="14"/>
        <v>N/A</v>
      </c>
      <c r="H257" s="158" t="str">
        <f t="shared" si="16"/>
        <v/>
      </c>
      <c r="I257" s="158">
        <f>VLOOKUP($B257,Enrollment_old!$B$8:$H$302,3,FALSE)</f>
        <v>0</v>
      </c>
      <c r="J257" s="158">
        <f>VLOOKUP($B257,Enrollment_old!$B$8:$H$302,5,FALSE)</f>
        <v>0</v>
      </c>
      <c r="K257" s="158">
        <f t="shared" si="15"/>
        <v>0</v>
      </c>
      <c r="P257" s="158" t="str">
        <f t="shared" si="13"/>
        <v>N</v>
      </c>
    </row>
    <row r="258" spans="1:16">
      <c r="A258" s="158" t="s">
        <v>594</v>
      </c>
      <c r="B258" s="402" t="s">
        <v>486</v>
      </c>
      <c r="C258" s="400" t="s">
        <v>487</v>
      </c>
      <c r="D258" s="229">
        <f>VLOOKUP(B258,'Allocation 2011-12'!$B$9:$O$318,9,FALSE)</f>
        <v>2218</v>
      </c>
      <c r="E258" s="382" t="str">
        <f>IF(VLOOKUP(B258,'Participation info Aug 11'!$B$2:$H$296,7,FALSE)="No","No","Yes")</f>
        <v>Yes</v>
      </c>
      <c r="F258" s="229" t="str">
        <f>VLOOKUP(B258,'Participation info Aug 11'!$B$2:$I$296,8,FALSE)</f>
        <v>QUINAULT</v>
      </c>
      <c r="G258" s="158" t="str">
        <f t="shared" si="14"/>
        <v>Y</v>
      </c>
      <c r="H258" s="158" t="str">
        <f t="shared" si="16"/>
        <v/>
      </c>
      <c r="I258" s="158">
        <f>VLOOKUP($B258,Enrollment_old!$B$8:$H$302,3,FALSE)</f>
        <v>13.14</v>
      </c>
      <c r="J258" s="158">
        <f>VLOOKUP($B258,Enrollment_old!$B$8:$H$302,5,FALSE)</f>
        <v>0</v>
      </c>
      <c r="K258" s="158">
        <f t="shared" si="15"/>
        <v>13.14</v>
      </c>
      <c r="P258" s="158" t="str">
        <f t="shared" si="13"/>
        <v>Y</v>
      </c>
    </row>
    <row r="259" spans="1:16">
      <c r="A259" s="158" t="s">
        <v>605</v>
      </c>
      <c r="B259" s="402" t="s">
        <v>224</v>
      </c>
      <c r="C259" s="400" t="s">
        <v>225</v>
      </c>
      <c r="D259" s="229">
        <f>VLOOKUP(B259,'Allocation 2011-12'!$B$9:$O$318,9,FALSE)</f>
        <v>0</v>
      </c>
      <c r="E259" s="382" t="str">
        <f>IF(VLOOKUP(B259,'Participation info Aug 11'!$B$2:$H$296,7,FALSE)="No","No","Yes")</f>
        <v>Yes</v>
      </c>
      <c r="F259" s="229" t="str">
        <f>VLOOKUP(B259,'Participation info Aug 11'!$B$2:$I$296,8,FALSE)</f>
        <v>N</v>
      </c>
      <c r="G259" s="158" t="str">
        <f t="shared" si="14"/>
        <v>N/A</v>
      </c>
      <c r="H259" s="158" t="str">
        <f t="shared" si="16"/>
        <v/>
      </c>
      <c r="I259" s="158">
        <f>VLOOKUP($B259,Enrollment_old!$B$8:$H$302,3,FALSE)</f>
        <v>0</v>
      </c>
      <c r="J259" s="158">
        <f>VLOOKUP($B259,Enrollment_old!$B$8:$H$302,5,FALSE)</f>
        <v>0</v>
      </c>
      <c r="K259" s="158">
        <f t="shared" si="15"/>
        <v>0</v>
      </c>
      <c r="P259" s="158" t="str">
        <f t="shared" si="13"/>
        <v>N</v>
      </c>
    </row>
    <row r="260" spans="1:16">
      <c r="A260" s="158" t="s">
        <v>594</v>
      </c>
      <c r="B260" s="402" t="s">
        <v>268</v>
      </c>
      <c r="C260" s="400" t="s">
        <v>269</v>
      </c>
      <c r="D260" s="229">
        <f>VLOOKUP(B260,'Allocation 2011-12'!$B$9:$O$318,9,FALSE)</f>
        <v>3529</v>
      </c>
      <c r="E260" s="382" t="str">
        <f>IF(VLOOKUP(B260,'Participation info Aug 11'!$B$2:$H$296,7,FALSE)="No","No","Yes")</f>
        <v>No</v>
      </c>
      <c r="F260" s="229" t="str">
        <f>VLOOKUP(B260,'Participation info Aug 11'!$B$2:$I$296,8,FALSE)</f>
        <v>N</v>
      </c>
      <c r="G260" s="158" t="str">
        <f t="shared" si="14"/>
        <v>N</v>
      </c>
      <c r="H260" s="158">
        <f t="shared" si="16"/>
        <v>1</v>
      </c>
      <c r="I260" s="158">
        <f>VLOOKUP($B260,Enrollment_old!$B$8:$H$302,3,FALSE)</f>
        <v>16.14</v>
      </c>
      <c r="J260" s="158">
        <f>VLOOKUP($B260,Enrollment_old!$B$8:$H$302,5,FALSE)</f>
        <v>0</v>
      </c>
      <c r="K260" s="158">
        <f t="shared" si="15"/>
        <v>16.14</v>
      </c>
      <c r="P260" s="158" t="str">
        <f t="shared" ref="P260:P298" si="17">IF(AND(E260="yes",D260&gt;0),IF(AND(D260&lt;10000,F260="N"),"N","Y"),"N")</f>
        <v>N</v>
      </c>
    </row>
    <row r="261" spans="1:16">
      <c r="A261" s="158" t="s">
        <v>601</v>
      </c>
      <c r="B261" s="402" t="s">
        <v>321</v>
      </c>
      <c r="C261" s="400" t="s">
        <v>322</v>
      </c>
      <c r="D261" s="229">
        <f>VLOOKUP(B261,'Allocation 2011-12'!$B$9:$O$318,9,FALSE)</f>
        <v>23093</v>
      </c>
      <c r="E261" s="382" t="str">
        <f>IF(VLOOKUP(B261,'Participation info Aug 11'!$B$2:$H$296,7,FALSE)="No","No","Yes")</f>
        <v>Yes</v>
      </c>
      <c r="F261" s="229" t="str">
        <f>VLOOKUP(B261,'Participation info Aug 11'!$B$2:$I$296,8,FALSE)</f>
        <v>N</v>
      </c>
      <c r="G261" s="158" t="str">
        <f t="shared" ref="G261:G298" si="18">IF(AND($E261="yes",$D261&gt;0),IF(AND($D261&lt;10000,$F261="N"),"NC","Y"),IF(D261=0,"N/A","N"))</f>
        <v>Y</v>
      </c>
      <c r="H261" s="158" t="str">
        <f t="shared" si="16"/>
        <v/>
      </c>
      <c r="I261" s="158">
        <f>VLOOKUP($B261,Enrollment_old!$B$8:$H$302,3,FALSE)</f>
        <v>172.71</v>
      </c>
      <c r="J261" s="158">
        <f>VLOOKUP($B261,Enrollment_old!$B$8:$H$302,5,FALSE)</f>
        <v>0</v>
      </c>
      <c r="K261" s="158">
        <f t="shared" ref="K261:K298" si="19">I261+J261</f>
        <v>172.71</v>
      </c>
      <c r="P261" s="158" t="str">
        <f t="shared" si="17"/>
        <v>Y</v>
      </c>
    </row>
    <row r="262" spans="1:16">
      <c r="A262" s="158" t="s">
        <v>605</v>
      </c>
      <c r="B262" s="402" t="s">
        <v>559</v>
      </c>
      <c r="C262" s="400" t="s">
        <v>560</v>
      </c>
      <c r="D262" s="229">
        <f>VLOOKUP(B262,'Allocation 2011-12'!$B$9:$O$318,9,FALSE)</f>
        <v>234217</v>
      </c>
      <c r="E262" s="382" t="str">
        <f>IF(VLOOKUP(B262,'Participation info Aug 11'!$B$2:$H$296,7,FALSE)="No","No","Yes")</f>
        <v>Yes</v>
      </c>
      <c r="F262" s="229" t="str">
        <f>VLOOKUP(B262,'Participation info Aug 11'!$B$2:$I$296,8,FALSE)</f>
        <v>N</v>
      </c>
      <c r="G262" s="158" t="str">
        <f t="shared" si="18"/>
        <v>Y</v>
      </c>
      <c r="H262" s="158" t="str">
        <f t="shared" si="16"/>
        <v/>
      </c>
      <c r="I262" s="158">
        <f>VLOOKUP($B262,Enrollment_old!$B$8:$H$302,3,FALSE)</f>
        <v>1113.1400000000001</v>
      </c>
      <c r="J262" s="158">
        <f>VLOOKUP($B262,Enrollment_old!$B$8:$H$302,5,FALSE)</f>
        <v>237</v>
      </c>
      <c r="K262" s="158">
        <f t="shared" si="19"/>
        <v>1350.14</v>
      </c>
      <c r="P262" s="158" t="str">
        <f t="shared" si="17"/>
        <v>Y</v>
      </c>
    </row>
    <row r="263" spans="1:16">
      <c r="A263" s="158" t="s">
        <v>596</v>
      </c>
      <c r="B263" s="402" t="s">
        <v>496</v>
      </c>
      <c r="C263" s="400" t="s">
        <v>497</v>
      </c>
      <c r="D263" s="229">
        <f>VLOOKUP(B263,'Allocation 2011-12'!$B$9:$O$318,9,FALSE)</f>
        <v>3960</v>
      </c>
      <c r="E263" s="382" t="str">
        <f>IF(VLOOKUP(B263,'Participation info Aug 11'!$B$2:$H$296,7,FALSE)="No","No","Yes")</f>
        <v>Yes</v>
      </c>
      <c r="F263" s="229" t="str">
        <f>VLOOKUP(B263,'Participation info Aug 11'!$B$2:$I$296,8,FALSE)</f>
        <v>ESD 123</v>
      </c>
      <c r="G263" s="158" t="str">
        <f t="shared" si="18"/>
        <v>Y</v>
      </c>
      <c r="H263" s="158" t="str">
        <f t="shared" si="16"/>
        <v/>
      </c>
      <c r="I263" s="158">
        <f>VLOOKUP($B263,Enrollment_old!$B$8:$H$302,3,FALSE)</f>
        <v>29</v>
      </c>
      <c r="J263" s="158">
        <f>VLOOKUP($B263,Enrollment_old!$B$8:$H$302,5,FALSE)</f>
        <v>2</v>
      </c>
      <c r="K263" s="158">
        <f t="shared" si="19"/>
        <v>31</v>
      </c>
      <c r="P263" s="158" t="str">
        <f t="shared" si="17"/>
        <v>Y</v>
      </c>
    </row>
    <row r="264" spans="1:16">
      <c r="A264" s="158" t="s">
        <v>599</v>
      </c>
      <c r="B264" s="402" t="s">
        <v>72</v>
      </c>
      <c r="C264" s="400" t="s">
        <v>73</v>
      </c>
      <c r="D264" s="229">
        <f>VLOOKUP(B264,'Allocation 2011-12'!$B$9:$O$318,9,FALSE)</f>
        <v>0</v>
      </c>
      <c r="E264" s="382" t="str">
        <f>IF(VLOOKUP(B264,'Participation info Aug 11'!$B$2:$H$296,7,FALSE)="No","No","Yes")</f>
        <v>Yes</v>
      </c>
      <c r="F264" s="229" t="str">
        <f>VLOOKUP(B264,'Participation info Aug 11'!$B$2:$I$296,8,FALSE)</f>
        <v>N</v>
      </c>
      <c r="G264" s="158" t="str">
        <f t="shared" si="18"/>
        <v>N/A</v>
      </c>
      <c r="H264" s="158" t="str">
        <f t="shared" si="16"/>
        <v/>
      </c>
      <c r="I264" s="158">
        <f>VLOOKUP($B264,Enrollment_old!$B$8:$H$302,3,FALSE)</f>
        <v>0</v>
      </c>
      <c r="J264" s="158">
        <f>VLOOKUP($B264,Enrollment_old!$B$8:$H$302,5,FALSE)</f>
        <v>0</v>
      </c>
      <c r="K264" s="158">
        <f t="shared" si="19"/>
        <v>0</v>
      </c>
      <c r="P264" s="158" t="str">
        <f t="shared" si="17"/>
        <v>N</v>
      </c>
    </row>
    <row r="265" spans="1:16">
      <c r="A265" s="158" t="s">
        <v>599</v>
      </c>
      <c r="B265" s="402" t="s">
        <v>238</v>
      </c>
      <c r="C265" s="400" t="s">
        <v>239</v>
      </c>
      <c r="D265" s="229">
        <f>VLOOKUP(B265,'Allocation 2011-12'!$B$9:$O$318,9,FALSE)</f>
        <v>0</v>
      </c>
      <c r="E265" s="382" t="str">
        <f>IF(VLOOKUP(B265,'Participation info Aug 11'!$B$2:$H$296,7,FALSE)="No","No","Yes")</f>
        <v>Yes</v>
      </c>
      <c r="F265" s="229" t="str">
        <f>VLOOKUP(B265,'Participation info Aug 11'!$B$2:$I$296,8,FALSE)</f>
        <v>N</v>
      </c>
      <c r="G265" s="158" t="str">
        <f t="shared" si="18"/>
        <v>N/A</v>
      </c>
      <c r="H265" s="158" t="str">
        <f t="shared" si="16"/>
        <v/>
      </c>
      <c r="I265" s="158">
        <f>VLOOKUP($B265,Enrollment_old!$B$8:$H$302,3,FALSE)</f>
        <v>0</v>
      </c>
      <c r="J265" s="158">
        <f>VLOOKUP($B265,Enrollment_old!$B$8:$H$302,5,FALSE)</f>
        <v>0</v>
      </c>
      <c r="K265" s="158">
        <f t="shared" si="19"/>
        <v>0</v>
      </c>
      <c r="P265" s="158" t="str">
        <f t="shared" si="17"/>
        <v>N</v>
      </c>
    </row>
    <row r="266" spans="1:16">
      <c r="A266" s="158" t="s">
        <v>597</v>
      </c>
      <c r="B266" s="402" t="s">
        <v>191</v>
      </c>
      <c r="C266" s="400" t="s">
        <v>192</v>
      </c>
      <c r="D266" s="229">
        <f>VLOOKUP(B266,'Allocation 2011-12'!$B$9:$O$318,9,FALSE)</f>
        <v>184480</v>
      </c>
      <c r="E266" s="382" t="str">
        <f>IF(VLOOKUP(B266,'Participation info Aug 11'!$B$2:$H$296,7,FALSE)="No","No","Yes")</f>
        <v>Yes</v>
      </c>
      <c r="F266" s="229" t="str">
        <f>VLOOKUP(B266,'Participation info Aug 11'!$B$2:$I$296,8,FALSE)</f>
        <v>N</v>
      </c>
      <c r="G266" s="158" t="str">
        <f t="shared" si="18"/>
        <v>Y</v>
      </c>
      <c r="H266" s="158" t="str">
        <f t="shared" si="16"/>
        <v/>
      </c>
      <c r="I266" s="158">
        <f>VLOOKUP($B266,Enrollment_old!$B$8:$H$302,3,FALSE)</f>
        <v>1146.71</v>
      </c>
      <c r="J266" s="158">
        <f>VLOOKUP($B266,Enrollment_old!$B$8:$H$302,5,FALSE)</f>
        <v>0</v>
      </c>
      <c r="K266" s="158">
        <f t="shared" si="19"/>
        <v>1146.71</v>
      </c>
      <c r="P266" s="158" t="str">
        <f t="shared" si="17"/>
        <v>Y</v>
      </c>
    </row>
    <row r="267" spans="1:16">
      <c r="A267" s="158" t="s">
        <v>594</v>
      </c>
      <c r="B267" s="402" t="s">
        <v>476</v>
      </c>
      <c r="C267" s="400" t="s">
        <v>477</v>
      </c>
      <c r="D267" s="229">
        <f>VLOOKUP(B267,'Allocation 2011-12'!$B$9:$O$318,9,FALSE)</f>
        <v>15883</v>
      </c>
      <c r="E267" s="382" t="str">
        <f>IF(VLOOKUP(B267,'Participation info Aug 11'!$B$2:$H$296,7,FALSE)="No","No","Yes")</f>
        <v>Yes</v>
      </c>
      <c r="F267" s="229" t="str">
        <f>VLOOKUP(B267,'Participation info Aug 11'!$B$2:$I$296,8,FALSE)</f>
        <v>N</v>
      </c>
      <c r="G267" s="158" t="str">
        <f t="shared" si="18"/>
        <v>Y</v>
      </c>
      <c r="H267" s="158" t="str">
        <f t="shared" si="16"/>
        <v/>
      </c>
      <c r="I267" s="158">
        <f>VLOOKUP($B267,Enrollment_old!$B$8:$H$302,3,FALSE)</f>
        <v>87.86</v>
      </c>
      <c r="J267" s="158">
        <f>VLOOKUP($B267,Enrollment_old!$B$8:$H$302,5,FALSE)</f>
        <v>0</v>
      </c>
      <c r="K267" s="158">
        <f t="shared" si="19"/>
        <v>87.86</v>
      </c>
      <c r="P267" s="158" t="str">
        <f t="shared" si="17"/>
        <v>Y</v>
      </c>
    </row>
    <row r="268" spans="1:16">
      <c r="A268" s="158" t="s">
        <v>605</v>
      </c>
      <c r="B268" s="402" t="s">
        <v>543</v>
      </c>
      <c r="C268" s="400" t="s">
        <v>544</v>
      </c>
      <c r="D268" s="229">
        <f>VLOOKUP(B268,'Allocation 2011-12'!$B$9:$O$318,9,FALSE)</f>
        <v>26945</v>
      </c>
      <c r="E268" s="382" t="str">
        <f>IF(VLOOKUP(B268,'Participation info Aug 11'!$B$2:$H$296,7,FALSE)="No","No","Yes")</f>
        <v>Yes</v>
      </c>
      <c r="F268" s="229" t="str">
        <f>VLOOKUP(B268,'Participation info Aug 11'!$B$2:$I$296,8,FALSE)</f>
        <v>N</v>
      </c>
      <c r="G268" s="158" t="str">
        <f t="shared" si="18"/>
        <v>Y</v>
      </c>
      <c r="H268" s="158" t="str">
        <f t="shared" si="16"/>
        <v/>
      </c>
      <c r="I268" s="158">
        <f>VLOOKUP($B268,Enrollment_old!$B$8:$H$302,3,FALSE)</f>
        <v>168.86</v>
      </c>
      <c r="J268" s="158">
        <f>VLOOKUP($B268,Enrollment_old!$B$8:$H$302,5,FALSE)</f>
        <v>3</v>
      </c>
      <c r="K268" s="158">
        <f t="shared" si="19"/>
        <v>171.86</v>
      </c>
      <c r="P268" s="158" t="str">
        <f t="shared" si="17"/>
        <v>Y</v>
      </c>
    </row>
    <row r="269" spans="1:16">
      <c r="A269" s="158" t="s">
        <v>597</v>
      </c>
      <c r="B269" s="402" t="s">
        <v>349</v>
      </c>
      <c r="C269" s="400" t="s">
        <v>350</v>
      </c>
      <c r="D269" s="229">
        <f>VLOOKUP(B269,'Allocation 2011-12'!$B$9:$O$318,9,FALSE)</f>
        <v>22899</v>
      </c>
      <c r="E269" s="382" t="str">
        <f>IF(VLOOKUP(B269,'Participation info Aug 11'!$B$2:$H$296,7,FALSE)="No","No","Yes")</f>
        <v>Yes</v>
      </c>
      <c r="F269" s="229" t="str">
        <f>VLOOKUP(B269,'Participation info Aug 11'!$B$2:$I$296,8,FALSE)</f>
        <v>N</v>
      </c>
      <c r="G269" s="158" t="str">
        <f t="shared" si="18"/>
        <v>Y</v>
      </c>
      <c r="H269" s="158" t="str">
        <f t="shared" si="16"/>
        <v/>
      </c>
      <c r="I269" s="158">
        <f>VLOOKUP($B269,Enrollment_old!$B$8:$H$302,3,FALSE)</f>
        <v>183</v>
      </c>
      <c r="J269" s="158">
        <f>VLOOKUP($B269,Enrollment_old!$B$8:$H$302,5,FALSE)</f>
        <v>0</v>
      </c>
      <c r="K269" s="158">
        <f t="shared" si="19"/>
        <v>183</v>
      </c>
      <c r="P269" s="158" t="str">
        <f t="shared" si="17"/>
        <v>Y</v>
      </c>
    </row>
    <row r="270" spans="1:16">
      <c r="A270" s="158" t="s">
        <v>603</v>
      </c>
      <c r="B270" s="402" t="s">
        <v>454</v>
      </c>
      <c r="C270" s="400" t="s">
        <v>455</v>
      </c>
      <c r="D270" s="229">
        <f>VLOOKUP(B270,'Allocation 2011-12'!$B$9:$O$318,9,FALSE)</f>
        <v>0</v>
      </c>
      <c r="E270" s="382" t="str">
        <f>IF(VLOOKUP(B270,'Participation info Aug 11'!$B$2:$H$296,7,FALSE)="No","No","Yes")</f>
        <v>Yes</v>
      </c>
      <c r="F270" s="229" t="str">
        <f>VLOOKUP(B270,'Participation info Aug 11'!$B$2:$I$296,8,FALSE)</f>
        <v>N</v>
      </c>
      <c r="G270" s="158" t="str">
        <f t="shared" si="18"/>
        <v>N/A</v>
      </c>
      <c r="H270" s="158" t="str">
        <f t="shared" si="16"/>
        <v/>
      </c>
      <c r="I270" s="158">
        <f>VLOOKUP($B270,Enrollment_old!$B$8:$H$302,3,FALSE)</f>
        <v>0</v>
      </c>
      <c r="J270" s="158">
        <f>VLOOKUP($B270,Enrollment_old!$B$8:$H$302,5,FALSE)</f>
        <v>0</v>
      </c>
      <c r="K270" s="158">
        <f t="shared" si="19"/>
        <v>0</v>
      </c>
      <c r="P270" s="158" t="str">
        <f t="shared" si="17"/>
        <v>N</v>
      </c>
    </row>
    <row r="271" spans="1:16">
      <c r="A271" s="158" t="s">
        <v>599</v>
      </c>
      <c r="B271" s="402" t="s">
        <v>49</v>
      </c>
      <c r="C271" s="400" t="s">
        <v>50</v>
      </c>
      <c r="D271" s="229">
        <f>VLOOKUP(B271,'Allocation 2011-12'!$B$9:$O$318,9,FALSE)</f>
        <v>352475</v>
      </c>
      <c r="E271" s="382" t="str">
        <f>IF(VLOOKUP(B271,'Participation info Aug 11'!$B$2:$H$296,7,FALSE)="No","No","Yes")</f>
        <v>Yes</v>
      </c>
      <c r="F271" s="229" t="str">
        <f>VLOOKUP(B271,'Participation info Aug 11'!$B$2:$I$296,8,FALSE)</f>
        <v>N</v>
      </c>
      <c r="G271" s="158" t="str">
        <f t="shared" si="18"/>
        <v>Y</v>
      </c>
      <c r="H271" s="158" t="str">
        <f t="shared" si="16"/>
        <v/>
      </c>
      <c r="I271" s="158">
        <f>VLOOKUP($B271,Enrollment_old!$B$8:$H$302,3,FALSE)</f>
        <v>2561.4299999999998</v>
      </c>
      <c r="J271" s="158">
        <f>VLOOKUP($B271,Enrollment_old!$B$8:$H$302,5,FALSE)</f>
        <v>118</v>
      </c>
      <c r="K271" s="158">
        <f t="shared" si="19"/>
        <v>2679.43</v>
      </c>
      <c r="P271" s="158" t="str">
        <f t="shared" si="17"/>
        <v>Y</v>
      </c>
    </row>
    <row r="272" spans="1:16">
      <c r="A272" s="158" t="s">
        <v>597</v>
      </c>
      <c r="B272" s="402" t="s">
        <v>183</v>
      </c>
      <c r="C272" s="400" t="s">
        <v>184</v>
      </c>
      <c r="D272" s="229">
        <f>VLOOKUP(B272,'Allocation 2011-12'!$B$9:$O$318,9,FALSE)</f>
        <v>4499</v>
      </c>
      <c r="E272" s="382" t="str">
        <f>IF(VLOOKUP(B272,'Participation info Aug 11'!$B$2:$H$296,7,FALSE)="No","No","Yes")</f>
        <v>Yes</v>
      </c>
      <c r="F272" s="229" t="str">
        <f>VLOOKUP(B272,'Participation info Aug 11'!$B$2:$I$296,8,FALSE)</f>
        <v>QUINAULT</v>
      </c>
      <c r="G272" s="158" t="str">
        <f t="shared" si="18"/>
        <v>Y</v>
      </c>
      <c r="H272" s="158" t="str">
        <f t="shared" si="16"/>
        <v/>
      </c>
      <c r="I272" s="158">
        <f>VLOOKUP($B272,Enrollment_old!$B$8:$H$302,3,FALSE)</f>
        <v>39.43</v>
      </c>
      <c r="J272" s="158">
        <f>VLOOKUP($B272,Enrollment_old!$B$8:$H$302,5,FALSE)</f>
        <v>0</v>
      </c>
      <c r="K272" s="158">
        <f t="shared" si="19"/>
        <v>39.43</v>
      </c>
      <c r="P272" s="158" t="str">
        <f t="shared" si="17"/>
        <v>Y</v>
      </c>
    </row>
    <row r="273" spans="1:16">
      <c r="A273" s="158" t="s">
        <v>599</v>
      </c>
      <c r="B273" s="402" t="s">
        <v>488</v>
      </c>
      <c r="C273" s="400" t="s">
        <v>489</v>
      </c>
      <c r="D273" s="229">
        <f>VLOOKUP(B273,'Allocation 2011-12'!$B$9:$O$318,9,FALSE)</f>
        <v>3853</v>
      </c>
      <c r="E273" s="382" t="str">
        <f>IF(VLOOKUP(B273,'Participation info Aug 11'!$B$2:$H$296,7,FALSE)="No","No","Yes")</f>
        <v>Yes</v>
      </c>
      <c r="F273" s="229" t="str">
        <f>VLOOKUP(B273,'Participation info Aug 11'!$B$2:$I$296,8,FALSE)</f>
        <v>QUINAULT</v>
      </c>
      <c r="G273" s="158" t="str">
        <f t="shared" si="18"/>
        <v>Y</v>
      </c>
      <c r="H273" s="158" t="str">
        <f t="shared" si="16"/>
        <v/>
      </c>
      <c r="I273" s="158">
        <f>VLOOKUP($B273,Enrollment_old!$B$8:$H$302,3,FALSE)</f>
        <v>14</v>
      </c>
      <c r="J273" s="158">
        <f>VLOOKUP($B273,Enrollment_old!$B$8:$H$302,5,FALSE)</f>
        <v>0</v>
      </c>
      <c r="K273" s="158">
        <f t="shared" si="19"/>
        <v>14</v>
      </c>
      <c r="P273" s="158" t="str">
        <f t="shared" si="17"/>
        <v>Y</v>
      </c>
    </row>
    <row r="274" spans="1:16">
      <c r="A274" s="158" t="s">
        <v>605</v>
      </c>
      <c r="B274" s="402" t="s">
        <v>114</v>
      </c>
      <c r="C274" s="400" t="s">
        <v>115</v>
      </c>
      <c r="D274" s="229">
        <f>VLOOKUP(B274,'Allocation 2011-12'!$B$9:$O$318,9,FALSE)</f>
        <v>213040</v>
      </c>
      <c r="E274" s="382" t="str">
        <f>IF(VLOOKUP(B274,'Participation info Aug 11'!$B$2:$H$296,7,FALSE)="No","No","Yes")</f>
        <v>Yes</v>
      </c>
      <c r="F274" s="229" t="str">
        <f>VLOOKUP(B274,'Participation info Aug 11'!$B$2:$I$296,8,FALSE)</f>
        <v>N</v>
      </c>
      <c r="G274" s="158" t="str">
        <f t="shared" si="18"/>
        <v>Y</v>
      </c>
      <c r="H274" s="158" t="str">
        <f t="shared" si="16"/>
        <v/>
      </c>
      <c r="I274" s="158">
        <f>VLOOKUP($B274,Enrollment_old!$B$8:$H$302,3,FALSE)</f>
        <v>1320.29</v>
      </c>
      <c r="J274" s="158">
        <f>VLOOKUP($B274,Enrollment_old!$B$8:$H$302,5,FALSE)</f>
        <v>0</v>
      </c>
      <c r="K274" s="158">
        <f t="shared" si="19"/>
        <v>1320.29</v>
      </c>
      <c r="P274" s="158" t="str">
        <f t="shared" si="17"/>
        <v>Y</v>
      </c>
    </row>
    <row r="275" spans="1:16">
      <c r="A275" s="158" t="s">
        <v>596</v>
      </c>
      <c r="B275" s="402" t="s">
        <v>500</v>
      </c>
      <c r="C275" s="400" t="s">
        <v>501</v>
      </c>
      <c r="D275" s="229">
        <f>VLOOKUP(B275,'Allocation 2011-12'!$B$9:$O$318,9,FALSE)</f>
        <v>0</v>
      </c>
      <c r="E275" s="382" t="str">
        <f>IF(VLOOKUP(B275,'Participation info Aug 11'!$B$2:$H$296,7,FALSE)="No","No","Yes")</f>
        <v>Yes</v>
      </c>
      <c r="F275" s="229" t="str">
        <f>VLOOKUP(B275,'Participation info Aug 11'!$B$2:$I$296,8,FALSE)</f>
        <v>N</v>
      </c>
      <c r="G275" s="158" t="str">
        <f t="shared" si="18"/>
        <v>N/A</v>
      </c>
      <c r="H275" s="158" t="str">
        <f t="shared" si="16"/>
        <v/>
      </c>
      <c r="I275" s="158">
        <f>VLOOKUP($B275,Enrollment_old!$B$8:$H$302,3,FALSE)</f>
        <v>0</v>
      </c>
      <c r="J275" s="158">
        <f>VLOOKUP($B275,Enrollment_old!$B$8:$H$302,5,FALSE)</f>
        <v>0</v>
      </c>
      <c r="K275" s="158">
        <f t="shared" si="19"/>
        <v>0</v>
      </c>
      <c r="P275" s="158" t="str">
        <f t="shared" si="17"/>
        <v>N</v>
      </c>
    </row>
    <row r="276" spans="1:16">
      <c r="A276" s="158" t="s">
        <v>596</v>
      </c>
      <c r="B276" s="402" t="s">
        <v>492</v>
      </c>
      <c r="C276" s="400" t="s">
        <v>493</v>
      </c>
      <c r="D276" s="229">
        <f>VLOOKUP(B276,'Allocation 2011-12'!$B$9:$O$318,9,FALSE)</f>
        <v>138855</v>
      </c>
      <c r="E276" s="382" t="str">
        <f>IF(VLOOKUP(B276,'Participation info Aug 11'!$B$2:$H$296,7,FALSE)="No","No","Yes")</f>
        <v>Yes</v>
      </c>
      <c r="F276" s="229" t="str">
        <f>VLOOKUP(B276,'Participation info Aug 11'!$B$2:$I$296,8,FALSE)</f>
        <v>N</v>
      </c>
      <c r="G276" s="158" t="str">
        <f t="shared" si="18"/>
        <v>Y</v>
      </c>
      <c r="H276" s="158" t="str">
        <f t="shared" si="16"/>
        <v/>
      </c>
      <c r="I276" s="158">
        <f>VLOOKUP($B276,Enrollment_old!$B$8:$H$302,3,FALSE)</f>
        <v>777.14</v>
      </c>
      <c r="J276" s="158">
        <f>VLOOKUP($B276,Enrollment_old!$B$8:$H$302,5,FALSE)</f>
        <v>0</v>
      </c>
      <c r="K276" s="158">
        <f t="shared" si="19"/>
        <v>777.14</v>
      </c>
      <c r="P276" s="158" t="str">
        <f t="shared" si="17"/>
        <v>Y</v>
      </c>
    </row>
    <row r="277" spans="1:16">
      <c r="A277" s="158" t="s">
        <v>605</v>
      </c>
      <c r="B277" s="402" t="s">
        <v>567</v>
      </c>
      <c r="C277" s="400" t="s">
        <v>568</v>
      </c>
      <c r="D277" s="229">
        <f>VLOOKUP(B277,'Allocation 2011-12'!$B$9:$O$318,9,FALSE)</f>
        <v>191949</v>
      </c>
      <c r="E277" s="382" t="str">
        <f>IF(VLOOKUP(B277,'Participation info Aug 11'!$B$2:$H$296,7,FALSE)="No","No","Yes")</f>
        <v>Yes</v>
      </c>
      <c r="F277" s="229" t="str">
        <f>VLOOKUP(B277,'Participation info Aug 11'!$B$2:$I$296,8,FALSE)</f>
        <v>N</v>
      </c>
      <c r="G277" s="158" t="str">
        <f t="shared" si="18"/>
        <v>Y</v>
      </c>
      <c r="H277" s="158" t="str">
        <f t="shared" si="16"/>
        <v/>
      </c>
      <c r="I277" s="158">
        <f>VLOOKUP($B277,Enrollment_old!$B$8:$H$302,3,FALSE)</f>
        <v>983.14</v>
      </c>
      <c r="J277" s="158">
        <f>VLOOKUP($B277,Enrollment_old!$B$8:$H$302,5,FALSE)</f>
        <v>471</v>
      </c>
      <c r="K277" s="158">
        <f t="shared" si="19"/>
        <v>1454.1399999999999</v>
      </c>
      <c r="P277" s="158" t="str">
        <f t="shared" si="17"/>
        <v>Y</v>
      </c>
    </row>
    <row r="278" spans="1:16">
      <c r="A278" s="158" t="s">
        <v>601</v>
      </c>
      <c r="B278" s="402" t="s">
        <v>118</v>
      </c>
      <c r="C278" s="400" t="s">
        <v>119</v>
      </c>
      <c r="D278" s="229">
        <f>VLOOKUP(B278,'Allocation 2011-12'!$B$9:$O$318,9,FALSE)</f>
        <v>58732</v>
      </c>
      <c r="E278" s="382" t="str">
        <f>IF(VLOOKUP(B278,'Participation info Aug 11'!$B$2:$H$296,7,FALSE)="No","No","Yes")</f>
        <v>Yes</v>
      </c>
      <c r="F278" s="229" t="str">
        <f>VLOOKUP(B278,'Participation info Aug 11'!$B$2:$I$296,8,FALSE)</f>
        <v>N</v>
      </c>
      <c r="G278" s="158" t="str">
        <f t="shared" si="18"/>
        <v>Y</v>
      </c>
      <c r="H278" s="158" t="str">
        <f t="shared" si="16"/>
        <v/>
      </c>
      <c r="I278" s="158">
        <f>VLOOKUP($B278,Enrollment_old!$B$8:$H$302,3,FALSE)</f>
        <v>334.57</v>
      </c>
      <c r="J278" s="158">
        <f>VLOOKUP($B278,Enrollment_old!$B$8:$H$302,5,FALSE)</f>
        <v>0</v>
      </c>
      <c r="K278" s="158">
        <f t="shared" si="19"/>
        <v>334.57</v>
      </c>
      <c r="P278" s="158" t="str">
        <f t="shared" si="17"/>
        <v>Y</v>
      </c>
    </row>
    <row r="279" spans="1:16">
      <c r="A279" s="158" t="s">
        <v>599</v>
      </c>
      <c r="B279" s="402" t="s">
        <v>56</v>
      </c>
      <c r="C279" s="400" t="s">
        <v>57</v>
      </c>
      <c r="D279" s="229">
        <f>VLOOKUP(B279,'Allocation 2011-12'!$B$9:$O$318,9,FALSE)</f>
        <v>9340</v>
      </c>
      <c r="E279" s="382" t="str">
        <f>IF(VLOOKUP(B279,'Participation info Aug 11'!$B$2:$H$296,7,FALSE)="No","No","Yes")</f>
        <v>Yes</v>
      </c>
      <c r="F279" s="229" t="str">
        <f>VLOOKUP(B279,'Participation info Aug 11'!$B$2:$I$296,8,FALSE)</f>
        <v>Washougal -Lead</v>
      </c>
      <c r="G279" s="158" t="str">
        <f t="shared" si="18"/>
        <v>Y</v>
      </c>
      <c r="H279" s="158" t="str">
        <f t="shared" si="16"/>
        <v/>
      </c>
      <c r="I279" s="158">
        <f>VLOOKUP($B279,Enrollment_old!$B$8:$H$302,3,FALSE)</f>
        <v>64.290000000000006</v>
      </c>
      <c r="J279" s="158">
        <f>VLOOKUP($B279,Enrollment_old!$B$8:$H$302,5,FALSE)</f>
        <v>0</v>
      </c>
      <c r="K279" s="158">
        <f t="shared" si="19"/>
        <v>64.290000000000006</v>
      </c>
      <c r="P279" s="158" t="str">
        <f t="shared" si="17"/>
        <v>Y</v>
      </c>
    </row>
    <row r="280" spans="1:16">
      <c r="A280" s="158" t="s">
        <v>603</v>
      </c>
      <c r="B280" s="402" t="s">
        <v>0</v>
      </c>
      <c r="C280" s="400" t="s">
        <v>1</v>
      </c>
      <c r="D280" s="229">
        <f>VLOOKUP(B280,'Allocation 2011-12'!$B$9:$O$318,9,FALSE)</f>
        <v>0</v>
      </c>
      <c r="E280" s="382" t="str">
        <f>IF(VLOOKUP(B280,'Participation info Aug 11'!$B$2:$H$296,7,FALSE)="No","No","Yes")</f>
        <v>Yes</v>
      </c>
      <c r="F280" s="229" t="str">
        <f>VLOOKUP(B280,'Participation info Aug 11'!$B$2:$I$296,8,FALSE)</f>
        <v>N</v>
      </c>
      <c r="G280" s="158" t="str">
        <f t="shared" si="18"/>
        <v>N/A</v>
      </c>
      <c r="H280" s="158" t="str">
        <f t="shared" si="16"/>
        <v/>
      </c>
      <c r="I280" s="158">
        <f>VLOOKUP($B280,Enrollment_old!$B$8:$H$302,3,FALSE)</f>
        <v>0</v>
      </c>
      <c r="J280" s="158">
        <f>VLOOKUP($B280,Enrollment_old!$B$8:$H$302,5,FALSE)</f>
        <v>0</v>
      </c>
      <c r="K280" s="158">
        <f t="shared" si="19"/>
        <v>0</v>
      </c>
      <c r="P280" s="158" t="str">
        <f t="shared" si="17"/>
        <v>N</v>
      </c>
    </row>
    <row r="281" spans="1:16">
      <c r="A281" s="158" t="s">
        <v>601</v>
      </c>
      <c r="B281" s="402" t="s">
        <v>92</v>
      </c>
      <c r="C281" s="400" t="s">
        <v>93</v>
      </c>
      <c r="D281" s="229">
        <f>VLOOKUP(B281,'Allocation 2011-12'!$B$9:$O$318,9,FALSE)</f>
        <v>3078</v>
      </c>
      <c r="E281" s="382" t="str">
        <f>IF(VLOOKUP(B281,'Participation info Aug 11'!$B$2:$H$296,7,FALSE)="No","No","Yes")</f>
        <v>Yes</v>
      </c>
      <c r="F281" s="229" t="str">
        <f>VLOOKUP(B281,'Participation info Aug 11'!$B$2:$I$296,8,FALSE)</f>
        <v>Entiate</v>
      </c>
      <c r="G281" s="158" t="str">
        <f t="shared" si="18"/>
        <v>Y</v>
      </c>
      <c r="H281" s="158" t="str">
        <f t="shared" si="16"/>
        <v/>
      </c>
      <c r="I281" s="158">
        <f>VLOOKUP($B281,Enrollment_old!$B$8:$H$302,3,FALSE)</f>
        <v>17.29</v>
      </c>
      <c r="J281" s="158">
        <f>VLOOKUP($B281,Enrollment_old!$B$8:$H$302,5,FALSE)</f>
        <v>0</v>
      </c>
      <c r="K281" s="158">
        <f t="shared" si="19"/>
        <v>17.29</v>
      </c>
      <c r="P281" s="158" t="str">
        <f t="shared" si="17"/>
        <v>Y</v>
      </c>
    </row>
    <row r="282" spans="1:16">
      <c r="A282" s="158" t="s">
        <v>603</v>
      </c>
      <c r="B282" s="402" t="s">
        <v>452</v>
      </c>
      <c r="C282" s="400" t="s">
        <v>453</v>
      </c>
      <c r="D282" s="229">
        <f>VLOOKUP(B282,'Allocation 2011-12'!$B$9:$O$318,9,FALSE)</f>
        <v>0</v>
      </c>
      <c r="E282" s="382" t="str">
        <f>IF(VLOOKUP(B282,'Participation info Aug 11'!$B$2:$H$296,7,FALSE)="No","No","Yes")</f>
        <v>Yes</v>
      </c>
      <c r="F282" s="229" t="str">
        <f>VLOOKUP(B282,'Participation info Aug 11'!$B$2:$I$296,8,FALSE)</f>
        <v>N</v>
      </c>
      <c r="G282" s="158" t="str">
        <f t="shared" si="18"/>
        <v>N/A</v>
      </c>
      <c r="H282" s="158" t="str">
        <f t="shared" si="16"/>
        <v/>
      </c>
      <c r="I282" s="158">
        <f>VLOOKUP($B282,Enrollment_old!$B$8:$H$302,3,FALSE)</f>
        <v>0</v>
      </c>
      <c r="J282" s="158">
        <f>VLOOKUP($B282,Enrollment_old!$B$8:$H$302,5,FALSE)</f>
        <v>160</v>
      </c>
      <c r="K282" s="158">
        <f t="shared" si="19"/>
        <v>160</v>
      </c>
      <c r="P282" s="158" t="str">
        <f t="shared" si="17"/>
        <v>N</v>
      </c>
    </row>
    <row r="283" spans="1:16">
      <c r="A283" s="158" t="s">
        <v>601</v>
      </c>
      <c r="B283" s="402" t="s">
        <v>37</v>
      </c>
      <c r="C283" s="400" t="s">
        <v>38</v>
      </c>
      <c r="D283" s="229">
        <f>VLOOKUP(B283,'Allocation 2011-12'!$B$9:$O$318,9,FALSE)</f>
        <v>272955</v>
      </c>
      <c r="E283" s="382" t="str">
        <f>IF(VLOOKUP(B283,'Participation info Aug 11'!$B$2:$H$296,7,FALSE)="No","No","Yes")</f>
        <v>Yes</v>
      </c>
      <c r="F283" s="229" t="str">
        <f>VLOOKUP(B283,'Participation info Aug 11'!$B$2:$I$296,8,FALSE)</f>
        <v>N</v>
      </c>
      <c r="G283" s="158" t="str">
        <f t="shared" si="18"/>
        <v>Y</v>
      </c>
      <c r="H283" s="158" t="str">
        <f t="shared" si="16"/>
        <v/>
      </c>
      <c r="I283" s="158">
        <f>VLOOKUP($B283,Enrollment_old!$B$8:$H$302,3,FALSE)</f>
        <v>1666.86</v>
      </c>
      <c r="J283" s="158">
        <f>VLOOKUP($B283,Enrollment_old!$B$8:$H$302,5,FALSE)</f>
        <v>19</v>
      </c>
      <c r="K283" s="158">
        <f t="shared" si="19"/>
        <v>1685.86</v>
      </c>
      <c r="P283" s="158" t="str">
        <f t="shared" si="17"/>
        <v>Y</v>
      </c>
    </row>
    <row r="284" spans="1:16">
      <c r="A284" s="158" t="s">
        <v>603</v>
      </c>
      <c r="B284" s="402" t="s">
        <v>443</v>
      </c>
      <c r="C284" s="400" t="s">
        <v>618</v>
      </c>
      <c r="D284" s="229">
        <f>VLOOKUP(B284,'Allocation 2011-12'!$B$9:$O$318,9,FALSE)</f>
        <v>19262</v>
      </c>
      <c r="E284" s="382" t="str">
        <f>IF(VLOOKUP(B284,'Participation info Aug 11'!$B$2:$H$296,7,FALSE)="No","No","Yes")</f>
        <v>Yes</v>
      </c>
      <c r="F284" s="229" t="str">
        <f>VLOOKUP(B284,'Participation info Aug 11'!$B$2:$I$296,8,FALSE)</f>
        <v>N</v>
      </c>
      <c r="G284" s="158" t="str">
        <f t="shared" si="18"/>
        <v>Y</v>
      </c>
      <c r="H284" s="158" t="str">
        <f t="shared" si="16"/>
        <v/>
      </c>
      <c r="I284" s="158">
        <f>VLOOKUP($B284,Enrollment_old!$B$8:$H$302,3,FALSE)</f>
        <v>107.14</v>
      </c>
      <c r="J284" s="158">
        <f>VLOOKUP($B284,Enrollment_old!$B$8:$H$302,5,FALSE)</f>
        <v>1</v>
      </c>
      <c r="K284" s="158">
        <f t="shared" si="19"/>
        <v>108.14</v>
      </c>
      <c r="P284" s="158" t="str">
        <f t="shared" si="17"/>
        <v>Y</v>
      </c>
    </row>
    <row r="285" spans="1:16">
      <c r="A285" s="158" t="s">
        <v>605</v>
      </c>
      <c r="B285" s="402" t="s">
        <v>569</v>
      </c>
      <c r="C285" s="400" t="s">
        <v>570</v>
      </c>
      <c r="D285" s="229">
        <f>VLOOKUP(B285,'Allocation 2011-12'!$B$9:$O$318,9,FALSE)</f>
        <v>17067</v>
      </c>
      <c r="E285" s="382" t="str">
        <f>IF(VLOOKUP(B285,'Participation info Aug 11'!$B$2:$H$296,7,FALSE)="No","No","Yes")</f>
        <v>Yes</v>
      </c>
      <c r="F285" s="229" t="str">
        <f>VLOOKUP(B285,'Participation info Aug 11'!$B$2:$I$296,8,FALSE)</f>
        <v>ESD 105</v>
      </c>
      <c r="G285" s="158" t="str">
        <f t="shared" si="18"/>
        <v>Y</v>
      </c>
      <c r="H285" s="158" t="str">
        <f t="shared" si="16"/>
        <v/>
      </c>
      <c r="I285" s="158">
        <f>VLOOKUP($B285,Enrollment_old!$B$8:$H$302,3,FALSE)</f>
        <v>339.43</v>
      </c>
      <c r="J285" s="158">
        <f>VLOOKUP($B285,Enrollment_old!$B$8:$H$302,5,FALSE)</f>
        <v>86</v>
      </c>
      <c r="K285" s="158">
        <f t="shared" si="19"/>
        <v>425.43</v>
      </c>
      <c r="P285" s="158" t="str">
        <f t="shared" si="17"/>
        <v>Y</v>
      </c>
    </row>
    <row r="286" spans="1:16">
      <c r="A286" s="158" t="s">
        <v>594</v>
      </c>
      <c r="B286" s="402" t="s">
        <v>276</v>
      </c>
      <c r="C286" s="400" t="s">
        <v>277</v>
      </c>
      <c r="D286" s="229">
        <f>VLOOKUP(B286,'Allocation 2011-12'!$B$9:$O$318,9,FALSE)</f>
        <v>0</v>
      </c>
      <c r="E286" s="382" t="str">
        <f>IF(VLOOKUP(B286,'Participation info Aug 11'!$B$2:$H$296,7,FALSE)="No","No","Yes")</f>
        <v>Yes</v>
      </c>
      <c r="F286" s="229" t="str">
        <f>VLOOKUP(B286,'Participation info Aug 11'!$B$2:$I$296,8,FALSE)</f>
        <v>N</v>
      </c>
      <c r="G286" s="158" t="str">
        <f t="shared" si="18"/>
        <v>N/A</v>
      </c>
      <c r="H286" s="158" t="str">
        <f t="shared" si="16"/>
        <v/>
      </c>
      <c r="I286" s="158">
        <f>VLOOKUP($B286,Enrollment_old!$B$8:$H$302,3,FALSE)</f>
        <v>0</v>
      </c>
      <c r="J286" s="158">
        <f>VLOOKUP($B286,Enrollment_old!$B$8:$H$302,5,FALSE)</f>
        <v>0</v>
      </c>
      <c r="K286" s="158">
        <f t="shared" si="19"/>
        <v>0</v>
      </c>
      <c r="P286" s="158" t="str">
        <f t="shared" si="17"/>
        <v>N</v>
      </c>
    </row>
    <row r="287" spans="1:16">
      <c r="A287" s="158" t="s">
        <v>597</v>
      </c>
      <c r="B287" s="402" t="s">
        <v>367</v>
      </c>
      <c r="C287" s="400" t="s">
        <v>368</v>
      </c>
      <c r="D287" s="229">
        <f>VLOOKUP(B287,'Allocation 2011-12'!$B$9:$O$318,9,FALSE)</f>
        <v>6909</v>
      </c>
      <c r="E287" s="382" t="str">
        <f>IF(VLOOKUP(B287,'Participation info Aug 11'!$B$2:$H$296,7,FALSE)="No","No","Yes")</f>
        <v>No</v>
      </c>
      <c r="F287" s="229" t="str">
        <f>VLOOKUP(B287,'Participation info Aug 11'!$B$2:$I$296,8,FALSE)</f>
        <v>N</v>
      </c>
      <c r="G287" s="158" t="str">
        <f t="shared" si="18"/>
        <v>N</v>
      </c>
      <c r="H287" s="158">
        <f t="shared" si="16"/>
        <v>1</v>
      </c>
      <c r="I287" s="158">
        <f>VLOOKUP($B287,Enrollment_old!$B$8:$H$302,3,FALSE)</f>
        <v>64.430000000000007</v>
      </c>
      <c r="J287" s="158">
        <f>VLOOKUP($B287,Enrollment_old!$B$8:$H$302,5,FALSE)</f>
        <v>0</v>
      </c>
      <c r="K287" s="158">
        <f t="shared" si="19"/>
        <v>64.430000000000007</v>
      </c>
      <c r="P287" s="158" t="str">
        <f t="shared" si="17"/>
        <v>N</v>
      </c>
    </row>
    <row r="288" spans="1:16">
      <c r="A288" s="158" t="s">
        <v>599</v>
      </c>
      <c r="B288" s="402" t="s">
        <v>248</v>
      </c>
      <c r="C288" s="400" t="s">
        <v>249</v>
      </c>
      <c r="D288" s="229">
        <f>VLOOKUP(B288,'Allocation 2011-12'!$B$9:$O$318,9,FALSE)</f>
        <v>32110</v>
      </c>
      <c r="E288" s="382" t="str">
        <f>IF(VLOOKUP(B288,'Participation info Aug 11'!$B$2:$H$296,7,FALSE)="No","No","Yes")</f>
        <v>Yes</v>
      </c>
      <c r="F288" s="229" t="str">
        <f>VLOOKUP(B288,'Participation info Aug 11'!$B$2:$I$296,8,FALSE)</f>
        <v>N</v>
      </c>
      <c r="G288" s="158" t="str">
        <f t="shared" si="18"/>
        <v>Y</v>
      </c>
      <c r="H288" s="158" t="str">
        <f t="shared" si="16"/>
        <v/>
      </c>
      <c r="I288" s="158">
        <f>VLOOKUP($B288,Enrollment_old!$B$8:$H$302,3,FALSE)</f>
        <v>192.86</v>
      </c>
      <c r="J288" s="158">
        <f>VLOOKUP($B288,Enrollment_old!$B$8:$H$302,5,FALSE)</f>
        <v>3</v>
      </c>
      <c r="K288" s="158">
        <f t="shared" si="19"/>
        <v>195.86</v>
      </c>
      <c r="P288" s="158" t="str">
        <f t="shared" si="17"/>
        <v>Y</v>
      </c>
    </row>
    <row r="289" spans="1:16">
      <c r="A289" s="158" t="s">
        <v>603</v>
      </c>
      <c r="B289" s="402" t="s">
        <v>289</v>
      </c>
      <c r="C289" s="400" t="s">
        <v>290</v>
      </c>
      <c r="D289" s="229">
        <f>VLOOKUP(B289,'Allocation 2011-12'!$B$9:$O$318,9,FALSE)</f>
        <v>0</v>
      </c>
      <c r="E289" s="382" t="str">
        <f>IF(VLOOKUP(B289,'Participation info Aug 11'!$B$2:$H$296,7,FALSE)="No","No","Yes")</f>
        <v>Yes</v>
      </c>
      <c r="F289" s="229" t="str">
        <f>VLOOKUP(B289,'Participation info Aug 11'!$B$2:$I$296,8,FALSE)</f>
        <v>N</v>
      </c>
      <c r="G289" s="158" t="str">
        <f t="shared" si="18"/>
        <v>N/A</v>
      </c>
      <c r="H289" s="158" t="str">
        <f t="shared" si="16"/>
        <v/>
      </c>
      <c r="I289" s="158">
        <f>VLOOKUP($B289,Enrollment_old!$B$8:$H$302,3,FALSE)</f>
        <v>0</v>
      </c>
      <c r="J289" s="158">
        <f>VLOOKUP($B289,Enrollment_old!$B$8:$H$302,5,FALSE)</f>
        <v>0</v>
      </c>
      <c r="K289" s="158">
        <f t="shared" si="19"/>
        <v>0</v>
      </c>
      <c r="P289" s="158" t="str">
        <f t="shared" si="17"/>
        <v>N</v>
      </c>
    </row>
    <row r="290" spans="1:16">
      <c r="A290" s="158" t="s">
        <v>594</v>
      </c>
      <c r="B290" s="402" t="s">
        <v>332</v>
      </c>
      <c r="C290" s="400" t="s">
        <v>333</v>
      </c>
      <c r="D290" s="229">
        <f>VLOOKUP(B290,'Allocation 2011-12'!$B$9:$O$318,9,FALSE)</f>
        <v>1744</v>
      </c>
      <c r="E290" s="382" t="str">
        <f>IF(VLOOKUP(B290,'Participation info Aug 11'!$B$2:$H$296,7,FALSE)="No","No","Yes")</f>
        <v>Yes</v>
      </c>
      <c r="F290" s="229" t="str">
        <f>VLOOKUP(B290,'Participation info Aug 11'!$B$2:$I$296,8,FALSE)</f>
        <v>N</v>
      </c>
      <c r="G290" s="158" t="str">
        <f t="shared" si="18"/>
        <v>NC</v>
      </c>
      <c r="H290" s="158">
        <f t="shared" si="16"/>
        <v>1</v>
      </c>
      <c r="I290" s="158">
        <f>VLOOKUP($B290,Enrollment_old!$B$8:$H$302,3,FALSE)</f>
        <v>6.86</v>
      </c>
      <c r="J290" s="158">
        <f>VLOOKUP($B290,Enrollment_old!$B$8:$H$302,5,FALSE)</f>
        <v>0</v>
      </c>
      <c r="K290" s="158">
        <f t="shared" si="19"/>
        <v>6.86</v>
      </c>
      <c r="P290" s="158" t="str">
        <f t="shared" si="17"/>
        <v>N</v>
      </c>
    </row>
    <row r="291" spans="1:16">
      <c r="A291" s="158" t="s">
        <v>601</v>
      </c>
      <c r="B291" s="402" t="s">
        <v>129</v>
      </c>
      <c r="C291" s="400" t="s">
        <v>130</v>
      </c>
      <c r="D291" s="229">
        <f>VLOOKUP(B291,'Allocation 2011-12'!$B$9:$O$318,9,FALSE)</f>
        <v>0</v>
      </c>
      <c r="E291" s="382" t="str">
        <f>IF(VLOOKUP(B291,'Participation info Aug 11'!$B$2:$H$296,7,FALSE)="No","No","Yes")</f>
        <v>Yes</v>
      </c>
      <c r="F291" s="229" t="str">
        <f>VLOOKUP(B291,'Participation info Aug 11'!$B$2:$I$296,8,FALSE)</f>
        <v>N</v>
      </c>
      <c r="G291" s="158" t="str">
        <f t="shared" si="18"/>
        <v>N/A</v>
      </c>
      <c r="H291" s="158" t="str">
        <f t="shared" si="16"/>
        <v/>
      </c>
      <c r="I291" s="158">
        <f>VLOOKUP($B291,Enrollment_old!$B$8:$H$302,3,FALSE)</f>
        <v>0</v>
      </c>
      <c r="J291" s="158">
        <f>VLOOKUP($B291,Enrollment_old!$B$8:$H$302,5,FALSE)</f>
        <v>0</v>
      </c>
      <c r="K291" s="158">
        <f t="shared" si="19"/>
        <v>0</v>
      </c>
      <c r="P291" s="158" t="str">
        <f t="shared" si="17"/>
        <v>N</v>
      </c>
    </row>
    <row r="292" spans="1:16">
      <c r="A292" s="158" t="s">
        <v>594</v>
      </c>
      <c r="B292" s="402" t="s">
        <v>264</v>
      </c>
      <c r="C292" s="400" t="s">
        <v>265</v>
      </c>
      <c r="D292" s="229">
        <f>VLOOKUP(B292,'Allocation 2011-12'!$B$9:$O$318,9,FALSE)</f>
        <v>10525</v>
      </c>
      <c r="E292" s="382" t="str">
        <f>IF(VLOOKUP(B292,'Participation info Aug 11'!$B$2:$H$296,7,FALSE)="No","No","Yes")</f>
        <v>Yes</v>
      </c>
      <c r="F292" s="229" t="str">
        <f>VLOOKUP(B292,'Participation info Aug 11'!$B$2:$I$296,8,FALSE)</f>
        <v>N</v>
      </c>
      <c r="G292" s="158" t="str">
        <f t="shared" si="18"/>
        <v>Y</v>
      </c>
      <c r="H292" s="158" t="str">
        <f t="shared" si="16"/>
        <v/>
      </c>
      <c r="I292" s="158">
        <f>VLOOKUP($B292,Enrollment_old!$B$8:$H$302,3,FALSE)</f>
        <v>72.290000000000006</v>
      </c>
      <c r="J292" s="158">
        <f>VLOOKUP($B292,Enrollment_old!$B$8:$H$302,5,FALSE)</f>
        <v>11</v>
      </c>
      <c r="K292" s="158">
        <f t="shared" si="19"/>
        <v>83.29</v>
      </c>
      <c r="P292" s="158" t="str">
        <f t="shared" si="17"/>
        <v>Y</v>
      </c>
    </row>
    <row r="293" spans="1:16">
      <c r="A293" s="158" t="s">
        <v>594</v>
      </c>
      <c r="B293" s="402" t="s">
        <v>151</v>
      </c>
      <c r="C293" s="400" t="s">
        <v>152</v>
      </c>
      <c r="D293" s="229">
        <f>VLOOKUP(B293,'Allocation 2011-12'!$B$9:$O$318,9,FALSE)</f>
        <v>0</v>
      </c>
      <c r="E293" s="382" t="str">
        <f>IF(VLOOKUP(B293,'Participation info Aug 11'!$B$2:$H$296,7,FALSE)="No","No","Yes")</f>
        <v>Yes</v>
      </c>
      <c r="F293" s="229" t="str">
        <f>VLOOKUP(B293,'Participation info Aug 11'!$B$2:$I$296,8,FALSE)</f>
        <v>N</v>
      </c>
      <c r="G293" s="158" t="str">
        <f t="shared" si="18"/>
        <v>N/A</v>
      </c>
      <c r="H293" s="158" t="str">
        <f t="shared" si="16"/>
        <v/>
      </c>
      <c r="I293" s="158">
        <f>VLOOKUP($B293,Enrollment_old!$B$8:$H$302,3,FALSE)</f>
        <v>0</v>
      </c>
      <c r="J293" s="158">
        <f>VLOOKUP($B293,Enrollment_old!$B$8:$H$302,5,FALSE)</f>
        <v>0</v>
      </c>
      <c r="K293" s="158">
        <f t="shared" si="19"/>
        <v>0</v>
      </c>
      <c r="P293" s="158" t="str">
        <f t="shared" si="17"/>
        <v>N</v>
      </c>
    </row>
    <row r="294" spans="1:16">
      <c r="A294" s="158" t="s">
        <v>599</v>
      </c>
      <c r="B294" s="402" t="s">
        <v>232</v>
      </c>
      <c r="C294" s="400" t="s">
        <v>233</v>
      </c>
      <c r="D294" s="229">
        <f>VLOOKUP(B294,'Allocation 2011-12'!$B$9:$O$318,9,FALSE)</f>
        <v>0</v>
      </c>
      <c r="E294" s="382" t="str">
        <f>IF(VLOOKUP(B294,'Participation info Aug 11'!$B$2:$H$296,7,FALSE)="No","No","Yes")</f>
        <v>Yes</v>
      </c>
      <c r="F294" s="229" t="str">
        <f>VLOOKUP(B294,'Participation info Aug 11'!$B$2:$I$296,8,FALSE)</f>
        <v>N</v>
      </c>
      <c r="G294" s="158" t="str">
        <f t="shared" si="18"/>
        <v>N/A</v>
      </c>
      <c r="H294" s="158" t="str">
        <f t="shared" si="16"/>
        <v/>
      </c>
      <c r="I294" s="158">
        <f>VLOOKUP($B294,Enrollment_old!$B$8:$H$302,3,FALSE)</f>
        <v>0</v>
      </c>
      <c r="J294" s="158">
        <f>VLOOKUP($B294,Enrollment_old!$B$8:$H$302,5,FALSE)</f>
        <v>0</v>
      </c>
      <c r="K294" s="158">
        <f t="shared" si="19"/>
        <v>0</v>
      </c>
      <c r="P294" s="158" t="str">
        <f t="shared" si="17"/>
        <v>N</v>
      </c>
    </row>
    <row r="295" spans="1:16">
      <c r="A295" s="158" t="s">
        <v>599</v>
      </c>
      <c r="B295" s="402" t="s">
        <v>78</v>
      </c>
      <c r="C295" s="400" t="s">
        <v>79</v>
      </c>
      <c r="D295" s="229">
        <f>VLOOKUP(B295,'Allocation 2011-12'!$B$9:$O$318,9,FALSE)</f>
        <v>21070</v>
      </c>
      <c r="E295" s="382" t="str">
        <f>IF(VLOOKUP(B295,'Participation info Aug 11'!$B$2:$H$296,7,FALSE)="No","No","Yes")</f>
        <v>Yes</v>
      </c>
      <c r="F295" s="229" t="str">
        <f>VLOOKUP(B295,'Participation info Aug 11'!$B$2:$I$296,8,FALSE)</f>
        <v>N</v>
      </c>
      <c r="G295" s="158" t="str">
        <f t="shared" si="18"/>
        <v>Y</v>
      </c>
      <c r="H295" s="158" t="str">
        <f t="shared" si="16"/>
        <v/>
      </c>
      <c r="I295" s="158">
        <f>VLOOKUP($B295,Enrollment_old!$B$8:$H$302,3,FALSE)</f>
        <v>141.13999999999999</v>
      </c>
      <c r="J295" s="158">
        <f>VLOOKUP($B295,Enrollment_old!$B$8:$H$302,5,FALSE)</f>
        <v>0</v>
      </c>
      <c r="K295" s="158">
        <f t="shared" si="19"/>
        <v>141.13999999999999</v>
      </c>
      <c r="P295" s="158" t="str">
        <f t="shared" si="17"/>
        <v>Y</v>
      </c>
    </row>
    <row r="296" spans="1:16">
      <c r="A296" s="158" t="s">
        <v>605</v>
      </c>
      <c r="B296" s="402" t="s">
        <v>547</v>
      </c>
      <c r="C296" s="400" t="s">
        <v>548</v>
      </c>
      <c r="D296" s="229">
        <f>VLOOKUP(B296,'Allocation 2011-12'!$B$9:$O$318,9,FALSE)</f>
        <v>710526</v>
      </c>
      <c r="E296" s="382" t="str">
        <f>IF(VLOOKUP(B296,'Participation info Aug 11'!$B$2:$H$296,7,FALSE)="No","No","Yes")</f>
        <v>No</v>
      </c>
      <c r="F296" s="229" t="str">
        <f>VLOOKUP(B296,'Participation info Aug 11'!$B$2:$I$296,8,FALSE)</f>
        <v>N</v>
      </c>
      <c r="G296" s="158" t="str">
        <f t="shared" si="18"/>
        <v>N</v>
      </c>
      <c r="H296" s="158" t="str">
        <f t="shared" si="16"/>
        <v/>
      </c>
      <c r="I296" s="158">
        <f>VLOOKUP($B296,Enrollment_old!$B$8:$H$302,3,FALSE)</f>
        <v>5011.1400000000003</v>
      </c>
      <c r="J296" s="158">
        <f>VLOOKUP($B296,Enrollment_old!$B$8:$H$302,5,FALSE)</f>
        <v>33</v>
      </c>
      <c r="K296" s="158">
        <f t="shared" si="19"/>
        <v>5044.1400000000003</v>
      </c>
      <c r="P296" s="158" t="str">
        <f t="shared" si="17"/>
        <v>N</v>
      </c>
    </row>
    <row r="297" spans="1:16">
      <c r="A297" s="158" t="s">
        <v>594</v>
      </c>
      <c r="B297" s="402" t="s">
        <v>472</v>
      </c>
      <c r="C297" s="400" t="s">
        <v>619</v>
      </c>
      <c r="D297" s="229">
        <f>VLOOKUP(B297,'Allocation 2011-12'!$B$9:$O$318,9,FALSE)</f>
        <v>13085</v>
      </c>
      <c r="E297" s="382" t="str">
        <f>IF(VLOOKUP(B297,'Participation info Aug 11'!$B$2:$H$296,7,FALSE)="No","No","Yes")</f>
        <v>Yes</v>
      </c>
      <c r="F297" s="229" t="str">
        <f>VLOOKUP(B297,'Participation info Aug 11'!$B$2:$I$296,8,FALSE)</f>
        <v>N</v>
      </c>
      <c r="G297" s="158" t="str">
        <f t="shared" si="18"/>
        <v>Y</v>
      </c>
      <c r="H297" s="158" t="str">
        <f t="shared" ref="H297:H298" si="20">IF(AND(D297&gt;0,D297&lt;10000,F297="N"),1,"")</f>
        <v/>
      </c>
      <c r="I297" s="158">
        <f>VLOOKUP($B297,Enrollment_old!$B$8:$H$302,3,FALSE)</f>
        <v>98.43</v>
      </c>
      <c r="J297" s="158">
        <f>VLOOKUP($B297,Enrollment_old!$B$8:$H$302,5,FALSE)</f>
        <v>0</v>
      </c>
      <c r="K297" s="158">
        <f t="shared" si="19"/>
        <v>98.43</v>
      </c>
      <c r="P297" s="158" t="str">
        <f t="shared" si="17"/>
        <v>Y</v>
      </c>
    </row>
    <row r="298" spans="1:16">
      <c r="A298" s="158" t="s">
        <v>605</v>
      </c>
      <c r="B298" s="402" t="s">
        <v>565</v>
      </c>
      <c r="C298" s="400" t="s">
        <v>566</v>
      </c>
      <c r="D298" s="229">
        <f>VLOOKUP(B298,'Allocation 2011-12'!$B$9:$O$318,9,FALSE)</f>
        <v>25180</v>
      </c>
      <c r="E298" s="382" t="str">
        <f>IF(VLOOKUP(B298,'Participation info Aug 11'!$B$2:$H$296,7,FALSE)="No","No","Yes")</f>
        <v>Yes</v>
      </c>
      <c r="F298" s="229" t="str">
        <f>VLOOKUP(B298,'Participation info Aug 11'!$B$2:$I$296,8,FALSE)</f>
        <v>N</v>
      </c>
      <c r="G298" s="158" t="str">
        <f t="shared" si="18"/>
        <v>Y</v>
      </c>
      <c r="H298" s="158" t="str">
        <f t="shared" si="20"/>
        <v/>
      </c>
      <c r="I298" s="158">
        <f>VLOOKUP($B298,Enrollment_old!$B$8:$H$302,3,FALSE)</f>
        <v>130.29</v>
      </c>
      <c r="J298" s="158">
        <f>VLOOKUP($B298,Enrollment_old!$B$8:$H$302,5,FALSE)</f>
        <v>0</v>
      </c>
      <c r="K298" s="158">
        <f t="shared" si="19"/>
        <v>130.29</v>
      </c>
      <c r="P298" s="158" t="str">
        <f t="shared" si="17"/>
        <v>Y</v>
      </c>
    </row>
    <row r="299" spans="1:16">
      <c r="C299" s="230"/>
      <c r="D299" s="229" t="e">
        <f>VLOOKUP(B299,'Allocation 2010-11'!$B$9:$O$318,14,FALSE)</f>
        <v>#N/A</v>
      </c>
      <c r="G299" s="240">
        <f>COUNTIF(G4:G298,"Y")</f>
        <v>160</v>
      </c>
      <c r="I299" s="158">
        <f>SUM(I4:I298)</f>
        <v>101653.16999999998</v>
      </c>
      <c r="J299" s="158">
        <f>SUM(J4:J298)</f>
        <v>2555</v>
      </c>
      <c r="K299" s="158">
        <f>SUM(K4:K298)</f>
        <v>104208.17</v>
      </c>
    </row>
    <row r="300" spans="1:16">
      <c r="C300" s="230"/>
    </row>
  </sheetData>
  <mergeCells count="5">
    <mergeCell ref="I1:I2"/>
    <mergeCell ref="J1:J2"/>
    <mergeCell ref="K1:K2"/>
    <mergeCell ref="H1:H2"/>
    <mergeCell ref="L1:P2"/>
  </mergeCells>
  <conditionalFormatting sqref="D4:D299">
    <cfRule type="expression" dxfId="5" priority="2" stopIfTrue="1">
      <formula>AND(D4&gt;0,D4&lt;10000,F4="No")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>
    <tabColor theme="8" tint="-0.249977111117893"/>
  </sheetPr>
  <dimension ref="B2:N20"/>
  <sheetViews>
    <sheetView tabSelected="1" workbookViewId="0">
      <selection activeCell="B7" sqref="B7"/>
    </sheetView>
  </sheetViews>
  <sheetFormatPr defaultRowHeight="12.75"/>
  <cols>
    <col min="2" max="2" width="30.42578125" bestFit="1" customWidth="1"/>
    <col min="3" max="3" width="18.5703125" customWidth="1"/>
    <col min="4" max="4" width="14.140625" customWidth="1"/>
    <col min="5" max="6" width="14.42578125" hidden="1" customWidth="1"/>
    <col min="7" max="9" width="12.42578125" hidden="1" customWidth="1"/>
    <col min="10" max="10" width="9.140625" hidden="1" customWidth="1"/>
    <col min="11" max="11" width="11" hidden="1" customWidth="1"/>
    <col min="12" max="12" width="10.85546875" hidden="1" customWidth="1"/>
    <col min="13" max="13" width="0" hidden="1" customWidth="1"/>
  </cols>
  <sheetData>
    <row r="2" spans="2:14" ht="15.75">
      <c r="B2" s="816" t="s">
        <v>1804</v>
      </c>
    </row>
    <row r="5" spans="2:14">
      <c r="B5" s="821" t="str">
        <f>VLOOKUP(C5,'ccddd 1 col'!C:D,2,0)</f>
        <v>14005</v>
      </c>
      <c r="C5" s="817" t="s">
        <v>1429</v>
      </c>
      <c r="D5" s="59" t="s">
        <v>1723</v>
      </c>
    </row>
    <row r="7" spans="2:14">
      <c r="C7" s="474" t="s">
        <v>1803</v>
      </c>
      <c r="D7" s="474" t="s">
        <v>1795</v>
      </c>
      <c r="E7" s="474" t="s">
        <v>1772</v>
      </c>
      <c r="F7" s="474" t="s">
        <v>1724</v>
      </c>
      <c r="G7" s="474" t="s">
        <v>1710</v>
      </c>
      <c r="H7" s="474" t="s">
        <v>1276</v>
      </c>
      <c r="I7" s="474" t="s">
        <v>886</v>
      </c>
      <c r="J7" s="474" t="s">
        <v>866</v>
      </c>
      <c r="K7" s="474" t="s">
        <v>802</v>
      </c>
      <c r="L7" s="474" t="s">
        <v>754</v>
      </c>
      <c r="M7" s="474" t="s">
        <v>742</v>
      </c>
    </row>
    <row r="8" spans="2:14">
      <c r="C8" s="818"/>
      <c r="D8" s="818"/>
      <c r="E8" s="818"/>
      <c r="F8" s="818"/>
      <c r="G8" s="818"/>
      <c r="H8" s="474"/>
      <c r="I8" s="474"/>
      <c r="J8" s="474"/>
      <c r="K8" s="474"/>
      <c r="L8" s="474"/>
      <c r="M8" s="474"/>
    </row>
    <row r="9" spans="2:14">
      <c r="B9" s="863" t="s">
        <v>790</v>
      </c>
      <c r="C9">
        <f>VLOOKUP($B$5,'Allocation 2022-23'!$B:$O,3,FALSE)</f>
        <v>453.5</v>
      </c>
      <c r="D9">
        <f>VLOOKUP($B$5,'Allocation 2021-22'!$B:$O,3,FALSE)</f>
        <v>436.83000000000004</v>
      </c>
      <c r="E9">
        <f>IFERROR(VLOOKUP($B$5,'Allocation 2020-21'!$B:$O,3,FALSE),0)</f>
        <v>459.32666666666665</v>
      </c>
      <c r="F9">
        <f>VLOOKUP($B$5,'Allocation 2018-19'!$B$9:$O$321,3,FALSE)</f>
        <v>456.92777777777781</v>
      </c>
      <c r="G9">
        <f>VLOOKUP($B$5,'Allocation 2017-18'!$B$9:$O$321,3,FALSE)</f>
        <v>454.13</v>
      </c>
      <c r="H9">
        <f>VLOOKUP($B$5,'Allocation 2012-13'!$B$9:$O$317,3,FALSE)</f>
        <v>343.89</v>
      </c>
      <c r="I9">
        <f>VLOOKUP($B$5,'Allocation 2011-12 Revised'!$B$9:$O$317,3,FALSE)</f>
        <v>254.5</v>
      </c>
      <c r="J9">
        <f>VLOOKUP($B$5,'Allocation 2010-11'!$B$9:$O$317,3,FALSE)</f>
        <v>257.5</v>
      </c>
      <c r="K9">
        <f>VLOOKUP($B$5,'Allocation 2009-10'!$B$9:$O$317,3,FALSE)</f>
        <v>261.38</v>
      </c>
      <c r="L9">
        <f>VLOOKUP($B$5,'Allocation 2008-09'!$B$9:$O$317,3,FALSE)</f>
        <v>262.75</v>
      </c>
      <c r="M9">
        <f>VLOOKUP($B$5,'Allocation 2007-08'!$B$8:$O$316,3,FALSE)</f>
        <v>279.25</v>
      </c>
      <c r="N9" s="302"/>
    </row>
    <row r="10" spans="2:14">
      <c r="B10" s="159"/>
      <c r="N10" s="302"/>
    </row>
    <row r="11" spans="2:14">
      <c r="B11" s="863" t="s">
        <v>791</v>
      </c>
      <c r="C11" s="301">
        <f>VLOOKUP($B$5,'Allocation 2022-23'!$B:$O,4,FALSE)</f>
        <v>62704</v>
      </c>
      <c r="D11" s="301">
        <f>VLOOKUP($B$5,'Allocation 2021-22'!$B:$O,4,FALSE)</f>
        <v>59085</v>
      </c>
      <c r="E11" s="301">
        <f>IFERROR(VLOOKUP($B$5,'Allocation 2019-20'!$B$9:$O$321,4,FALSE),0)</f>
        <v>55905</v>
      </c>
      <c r="F11" s="301">
        <f>VLOOKUP($B$5,'Allocation 2018-19'!$B$9:$O$321,4,FALSE)</f>
        <v>55329</v>
      </c>
      <c r="G11" s="301">
        <f>VLOOKUP($B$5,'Allocation 2017-18'!$B$9:$O$321,4,FALSE)</f>
        <v>55252</v>
      </c>
      <c r="H11" s="301">
        <f>VLOOKUP($B$5,'Allocation 2012-13'!$B$9:$O$317,4,FALSE)</f>
        <v>57956</v>
      </c>
      <c r="I11" s="301">
        <f>VLOOKUP($B$5,'Allocation 2011-12 Revised'!$B$9:$O$317,4,FALSE)</f>
        <v>43817</v>
      </c>
      <c r="J11" s="301">
        <f>VLOOKUP($B$5,'Allocation 2010-11'!$B$9:$O$317,4,FALSE)</f>
        <v>45163</v>
      </c>
      <c r="K11" s="301">
        <f>VLOOKUP($B$5,'Allocation 2009-10'!$B$9:$O$317,4,FALSE)</f>
        <v>47955</v>
      </c>
      <c r="L11" s="301">
        <f>VLOOKUP($B$5,'Allocation 2008-09'!$B$9:$O$317,4,FALSE)</f>
        <v>43246</v>
      </c>
      <c r="M11" s="301">
        <f>VLOOKUP($B$5,'Allocation 2007-08'!$B$8:$O$316,4,FALSE)</f>
        <v>42284</v>
      </c>
      <c r="N11" s="302"/>
    </row>
    <row r="12" spans="2:14">
      <c r="B12" s="159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2"/>
    </row>
    <row r="13" spans="2:14">
      <c r="B13" s="159" t="s">
        <v>792</v>
      </c>
      <c r="C13" s="301">
        <f>VLOOKUP($B$5,'Allocation 2022-23'!$B:$O,5,FALSE)</f>
        <v>0</v>
      </c>
      <c r="D13" s="301">
        <f>VLOOKUP($B$5,'Allocation 2021-22'!$B:$O,5,FALSE)</f>
        <v>0</v>
      </c>
      <c r="E13" s="301">
        <f>IFERROR(VLOOKUP($B$5,'Allocation 2019-20'!$B$9:$O$321,5,FALSE),0)</f>
        <v>0</v>
      </c>
      <c r="F13" s="301">
        <f>VLOOKUP($B$5,'Allocation 2018-19'!$B$9:$O$321,5,FALSE)</f>
        <v>0</v>
      </c>
      <c r="G13" s="301">
        <f>VLOOKUP($B$5,'Allocation 2017-18'!$B$9:$O$321,5,FALSE)</f>
        <v>0</v>
      </c>
      <c r="H13" s="301">
        <f>VLOOKUP($B$5,'Allocation 2012-13'!$B$9:$O$317,5,FALSE)</f>
        <v>0</v>
      </c>
      <c r="I13" s="301">
        <f>VLOOKUP($B$5,'Allocation 2011-12 Revised'!$B$9:$O$317,5,FALSE)</f>
        <v>0</v>
      </c>
      <c r="J13" s="301">
        <f>VLOOKUP($B$5,'Allocation 2010-11'!$B$9:$O$317,5,FALSE)</f>
        <v>0</v>
      </c>
      <c r="K13" s="301">
        <f>VLOOKUP($B$5,'Allocation 2009-10'!$B$9:$O$317,5,FALSE)</f>
        <v>0</v>
      </c>
      <c r="L13" s="301">
        <f>VLOOKUP($B$5,'Allocation 2008-09'!$B$9:$O$317,5,FALSE)</f>
        <v>0</v>
      </c>
      <c r="M13" s="301">
        <f>VLOOKUP($B$5,'Allocation 2007-08'!$B$8:$O$316,5,FALSE)</f>
        <v>0</v>
      </c>
      <c r="N13" s="302"/>
    </row>
    <row r="14" spans="2:14">
      <c r="B14" s="159" t="s">
        <v>793</v>
      </c>
      <c r="C14" s="301">
        <f>VLOOKUP($B$5,'Allocation 2022-23'!$B:$O,6,FALSE)</f>
        <v>0</v>
      </c>
      <c r="D14" s="301">
        <f>VLOOKUP($B$5,'Allocation 2021-22'!$B:$O,6,FALSE)</f>
        <v>0</v>
      </c>
      <c r="E14" s="301">
        <f>IFERROR(VLOOKUP($B$5,'Allocation 2019-20'!$B$9:$O$321,6,FALSE),0)</f>
        <v>0</v>
      </c>
      <c r="F14" s="301">
        <f>VLOOKUP($B$5,'Allocation 2018-19'!$B$9:$O$321,6,FALSE)</f>
        <v>0</v>
      </c>
      <c r="G14" s="301">
        <f>VLOOKUP($B$5,'Allocation 2017-18'!$B$9:$O$321,6,FALSE)</f>
        <v>0</v>
      </c>
      <c r="H14" s="301">
        <f>VLOOKUP($B$5,'Allocation 2012-13'!$B$9:$O$317,6,FALSE)</f>
        <v>0</v>
      </c>
      <c r="I14" s="301">
        <f>VLOOKUP($B$5,'Allocation 2011-12 Revised'!$B$9:$O$317,6,FALSE)</f>
        <v>0</v>
      </c>
      <c r="J14" s="301">
        <f>VLOOKUP($B$5,'Allocation 2010-11'!$B$9:$O$317,6,FALSE)</f>
        <v>0</v>
      </c>
      <c r="K14" s="301">
        <f>VLOOKUP($B$5,'Allocation 2009-10'!$B$9:$O$317,6,FALSE)</f>
        <v>0</v>
      </c>
      <c r="L14" s="301">
        <f>VLOOKUP($B$5,'Allocation 2008-09'!$B$9:$O$317,6,FALSE)</f>
        <v>0</v>
      </c>
      <c r="M14" s="301">
        <f>VLOOKUP($B$5,'Allocation 2007-08'!$B$8:$O$316,6,FALSE)</f>
        <v>0</v>
      </c>
      <c r="N14" s="302"/>
    </row>
    <row r="15" spans="2:14">
      <c r="B15" s="819" t="s">
        <v>794</v>
      </c>
      <c r="C15" s="820">
        <f>VLOOKUP($B$5,'Allocation 2022-23'!$B:$O,13,FALSE)</f>
        <v>612</v>
      </c>
      <c r="D15" s="820">
        <f>VLOOKUP($B$5,'Allocation 2021-22'!$B:$O,13,FALSE)</f>
        <v>881</v>
      </c>
      <c r="E15" s="820">
        <f>IFERROR(VLOOKUP($B$5,'Allocation 2019-20'!$B$9:$O$321,13,FALSE),0)</f>
        <v>745</v>
      </c>
      <c r="F15" s="820">
        <f>VLOOKUP($B$5,'Allocation 2018-19'!$B$9:$O$321,13,FALSE)</f>
        <v>751</v>
      </c>
      <c r="G15" s="820">
        <f>VLOOKUP($B$5,'Allocation 2017-18'!$B$9:$O$321,13,FALSE)</f>
        <v>864</v>
      </c>
      <c r="H15" s="301">
        <f>VLOOKUP($B$5,'Allocation 2012-13'!$B$9:$O$317,13,FALSE)</f>
        <v>786</v>
      </c>
      <c r="I15" s="301">
        <f>VLOOKUP($B$5,'Allocation 2011-12 Revised'!$B$9:$O$317,13,FALSE)</f>
        <v>360</v>
      </c>
      <c r="J15" s="301">
        <f>VLOOKUP($B$5,'Allocation 2010-11'!$B$9:$O$317,13,FALSE)</f>
        <v>202</v>
      </c>
      <c r="K15" s="301">
        <f>VLOOKUP($B$5,'Allocation 2009-10'!$B$9:$O$317,13,FALSE)</f>
        <v>103</v>
      </c>
      <c r="L15" s="301">
        <f>VLOOKUP($B$5,'Allocation 2008-09'!$B$9:$O$317,13,FALSE)</f>
        <v>703</v>
      </c>
      <c r="M15" s="301">
        <f>VLOOKUP($B$5,'Allocation 2007-08'!$B$8:$O$316,13,FALSE)</f>
        <v>751</v>
      </c>
      <c r="N15" s="302"/>
    </row>
    <row r="16" spans="2:14">
      <c r="B16" s="159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2"/>
    </row>
    <row r="17" spans="2:14">
      <c r="B17" s="59" t="s">
        <v>795</v>
      </c>
      <c r="C17" s="864">
        <f>VLOOKUP($B$5,'Allocation 2022-23'!$B:$W,20,FALSE)</f>
        <v>63316</v>
      </c>
      <c r="D17" s="864">
        <f>VLOOKUP($B$5,'Allocation 2021-22'!$B:$W,20,FALSE)</f>
        <v>59966</v>
      </c>
      <c r="E17" s="864">
        <f>IFERROR(VLOOKUP($B$5,'Allocation 2019-20'!$B$9:$W$321,20,FALSE),0)</f>
        <v>56650</v>
      </c>
      <c r="F17" s="301">
        <f>VLOOKUP($B$5,'Allocation 2018-19'!$B$9:$W$321,20,FALSE)</f>
        <v>56080</v>
      </c>
      <c r="G17" s="301">
        <f>VLOOKUP($B$5,'Allocation 2017-18'!$B$9:$W$321,20,FALSE)</f>
        <v>56116</v>
      </c>
      <c r="H17" s="301">
        <f>VLOOKUP($B$5,'Allocation 2012-13'!$B$9:$O$317,14,FALSE)</f>
        <v>58742</v>
      </c>
      <c r="I17" s="301">
        <f>VLOOKUP($B$5,'Allocation 2011-12 Revised'!$B$9:$O$317,14,FALSE)</f>
        <v>44177</v>
      </c>
      <c r="J17" s="301">
        <f>VLOOKUP($B$5,'Allocation 2010-11'!$B$9:$O$317,14,FALSE)</f>
        <v>45365</v>
      </c>
      <c r="K17" s="301">
        <f>VLOOKUP($B$5,'Allocation 2009-10'!$B$9:$O$317,14,FALSE)</f>
        <v>48058</v>
      </c>
      <c r="L17" s="301">
        <f>VLOOKUP($B$5,'Allocation 2008-09'!$B$9:$O$317,14,FALSE)</f>
        <v>43949</v>
      </c>
      <c r="M17" s="301">
        <f>VLOOKUP($B$5,'Allocation 2007-08'!$B$8:$O$316,14,FALSE)</f>
        <v>43035</v>
      </c>
      <c r="N17" s="302"/>
    </row>
    <row r="18" spans="2:14">
      <c r="B18" s="59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2"/>
    </row>
    <row r="19" spans="2:14">
      <c r="B19" s="590" t="s">
        <v>1281</v>
      </c>
      <c r="C19" s="591">
        <f>C17-D17</f>
        <v>3350</v>
      </c>
      <c r="D19" s="591">
        <f>D17-E17</f>
        <v>3316</v>
      </c>
      <c r="E19" s="591"/>
      <c r="F19" s="827">
        <f>F17-G17</f>
        <v>-36</v>
      </c>
      <c r="G19" s="591"/>
      <c r="H19" s="591">
        <f t="shared" ref="H19" si="0">H17-I17</f>
        <v>14565</v>
      </c>
      <c r="I19" s="591">
        <f t="shared" ref="I19" si="1">I17-J17</f>
        <v>-1188</v>
      </c>
      <c r="J19" s="591">
        <f t="shared" ref="J19" si="2">J17-K17</f>
        <v>-2693</v>
      </c>
      <c r="K19" s="591">
        <f t="shared" ref="K19" si="3">K17-L17</f>
        <v>4109</v>
      </c>
      <c r="L19" s="591">
        <f>L17-M17</f>
        <v>914</v>
      </c>
    </row>
    <row r="20" spans="2:14">
      <c r="B20" s="590" t="s">
        <v>1282</v>
      </c>
      <c r="C20" s="302">
        <f>IFERROR(C19/C17,0)</f>
        <v>5.2909217259460482E-2</v>
      </c>
      <c r="D20" s="302">
        <f>IFERROR(D19/D17,0)</f>
        <v>5.5298002201247372E-2</v>
      </c>
      <c r="E20" s="302"/>
      <c r="F20" s="826">
        <f>IFERROR(F19/F17,0)</f>
        <v>-6.4194008559201137E-4</v>
      </c>
      <c r="G20" s="302"/>
      <c r="H20" s="302">
        <f t="shared" ref="H20" si="4">H19/I17</f>
        <v>0.32969644837811529</v>
      </c>
      <c r="I20" s="302">
        <f t="shared" ref="I20" si="5">I19/J17</f>
        <v>-2.6187589551416292E-2</v>
      </c>
      <c r="J20" s="302">
        <f t="shared" ref="J20" si="6">J19/K17</f>
        <v>-5.603645594906155E-2</v>
      </c>
      <c r="K20" s="302">
        <f t="shared" ref="K20" si="7">K19/L17</f>
        <v>9.3494732530888081E-2</v>
      </c>
      <c r="L20" s="302">
        <f>L19/M17</f>
        <v>2.1238526780527477E-2</v>
      </c>
    </row>
  </sheetData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'ccddd 1 col'!$C$2:$C$318</xm:f>
          </x14:formula1>
          <xm:sqref>C5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1">
    <pageSetUpPr fitToPage="1"/>
  </sheetPr>
  <dimension ref="A1:L309"/>
  <sheetViews>
    <sheetView workbookViewId="0">
      <selection activeCell="C9" sqref="C9"/>
    </sheetView>
  </sheetViews>
  <sheetFormatPr defaultRowHeight="15"/>
  <cols>
    <col min="2" max="2" width="25.5703125" customWidth="1"/>
    <col min="3" max="3" width="17.42578125" customWidth="1"/>
    <col min="4" max="4" width="13.42578125" style="482" customWidth="1"/>
    <col min="5" max="5" width="11.42578125" style="470" customWidth="1"/>
    <col min="6" max="6" width="11.42578125" style="471" customWidth="1"/>
    <col min="7" max="7" width="19.42578125" style="489" customWidth="1"/>
  </cols>
  <sheetData>
    <row r="1" spans="1:12" s="480" customFormat="1" ht="30">
      <c r="A1" s="101" t="s">
        <v>709</v>
      </c>
      <c r="B1" s="101" t="s">
        <v>578</v>
      </c>
      <c r="C1" s="477" t="s">
        <v>710</v>
      </c>
      <c r="D1" s="478" t="s">
        <v>876</v>
      </c>
      <c r="E1" s="460" t="s">
        <v>870</v>
      </c>
      <c r="F1" s="460" t="s">
        <v>745</v>
      </c>
      <c r="G1" s="479" t="s">
        <v>756</v>
      </c>
      <c r="I1" s="900" t="s">
        <v>897</v>
      </c>
      <c r="J1" s="900"/>
      <c r="K1" s="900"/>
      <c r="L1" s="900"/>
    </row>
    <row r="2" spans="1:12">
      <c r="A2" s="63" t="s">
        <v>132</v>
      </c>
      <c r="B2" s="63" t="s">
        <v>133</v>
      </c>
      <c r="C2" s="481">
        <v>43346</v>
      </c>
      <c r="E2" s="463"/>
      <c r="F2" s="464">
        <v>10</v>
      </c>
      <c r="G2" s="483"/>
    </row>
    <row r="3" spans="1:12">
      <c r="A3" s="63" t="s">
        <v>262</v>
      </c>
      <c r="B3" s="63" t="s">
        <v>263</v>
      </c>
      <c r="C3" s="481">
        <v>0</v>
      </c>
      <c r="E3" s="463"/>
      <c r="F3" s="464"/>
      <c r="G3" s="483"/>
    </row>
    <row r="4" spans="1:12">
      <c r="A4" s="63" t="s">
        <v>283</v>
      </c>
      <c r="B4" s="63" t="s">
        <v>284</v>
      </c>
      <c r="C4" s="481">
        <v>0</v>
      </c>
      <c r="E4" s="463"/>
      <c r="F4" s="464"/>
      <c r="G4" s="483"/>
    </row>
    <row r="5" spans="1:12">
      <c r="A5" s="484" t="s">
        <v>380</v>
      </c>
      <c r="B5" s="484" t="s">
        <v>381</v>
      </c>
      <c r="C5" s="481">
        <v>9086</v>
      </c>
      <c r="E5" s="463"/>
      <c r="F5" s="464"/>
      <c r="G5" s="485" t="s">
        <v>877</v>
      </c>
    </row>
    <row r="6" spans="1:12">
      <c r="A6" s="63" t="s">
        <v>403</v>
      </c>
      <c r="B6" s="63" t="s">
        <v>404</v>
      </c>
      <c r="C6" s="481">
        <v>29314</v>
      </c>
      <c r="E6" s="463"/>
      <c r="F6" s="464"/>
      <c r="G6" s="483"/>
    </row>
    <row r="7" spans="1:12">
      <c r="A7" s="63" t="s">
        <v>12</v>
      </c>
      <c r="B7" s="63" t="s">
        <v>13</v>
      </c>
      <c r="C7" s="481">
        <v>0</v>
      </c>
      <c r="E7" s="463"/>
      <c r="F7" s="464"/>
      <c r="G7" s="483"/>
    </row>
    <row r="8" spans="1:12">
      <c r="A8" s="63" t="s">
        <v>195</v>
      </c>
      <c r="B8" s="63" t="s">
        <v>196</v>
      </c>
      <c r="C8" s="481">
        <v>304997</v>
      </c>
      <c r="E8" s="463"/>
      <c r="F8" s="464"/>
      <c r="G8" s="483"/>
    </row>
    <row r="9" spans="1:12">
      <c r="A9" s="63" t="s">
        <v>213</v>
      </c>
      <c r="B9" s="63" t="s">
        <v>598</v>
      </c>
      <c r="C9" s="481">
        <v>5648</v>
      </c>
      <c r="E9" s="463"/>
      <c r="F9" s="464"/>
      <c r="G9" s="485" t="s">
        <v>877</v>
      </c>
    </row>
    <row r="10" spans="1:12">
      <c r="A10" s="65" t="s">
        <v>666</v>
      </c>
      <c r="B10" s="63" t="s">
        <v>667</v>
      </c>
      <c r="C10" s="481">
        <v>0</v>
      </c>
      <c r="E10" s="463"/>
      <c r="F10" s="464"/>
      <c r="G10" s="483"/>
    </row>
    <row r="11" spans="1:12">
      <c r="A11" s="63" t="s">
        <v>62</v>
      </c>
      <c r="B11" s="63" t="s">
        <v>63</v>
      </c>
      <c r="C11" s="481">
        <v>116202</v>
      </c>
      <c r="E11" s="463"/>
      <c r="F11" s="464">
        <v>20</v>
      </c>
      <c r="G11" s="483"/>
    </row>
    <row r="12" spans="1:12">
      <c r="A12" s="63" t="s">
        <v>189</v>
      </c>
      <c r="B12" s="63" t="s">
        <v>190</v>
      </c>
      <c r="C12" s="481">
        <v>289848</v>
      </c>
      <c r="E12" s="463"/>
      <c r="F12" s="464"/>
      <c r="G12" s="483"/>
    </row>
    <row r="13" spans="1:12">
      <c r="A13" s="63" t="s">
        <v>504</v>
      </c>
      <c r="B13" s="63" t="s">
        <v>505</v>
      </c>
      <c r="C13" s="481">
        <v>98317</v>
      </c>
      <c r="E13" s="463"/>
      <c r="F13" s="464"/>
      <c r="G13" s="483"/>
    </row>
    <row r="14" spans="1:12">
      <c r="A14" s="63" t="s">
        <v>2</v>
      </c>
      <c r="B14" s="63" t="s">
        <v>3</v>
      </c>
      <c r="C14" s="481">
        <v>0</v>
      </c>
      <c r="E14" s="463"/>
      <c r="F14" s="464"/>
      <c r="G14" s="483"/>
    </row>
    <row r="15" spans="1:12">
      <c r="A15" s="63" t="s">
        <v>363</v>
      </c>
      <c r="B15" s="63" t="s">
        <v>364</v>
      </c>
      <c r="C15" s="481">
        <v>46586</v>
      </c>
      <c r="E15" s="463"/>
      <c r="F15" s="464"/>
      <c r="G15" s="483"/>
    </row>
    <row r="16" spans="1:12">
      <c r="A16" s="63" t="s">
        <v>234</v>
      </c>
      <c r="B16" s="63" t="s">
        <v>235</v>
      </c>
      <c r="C16" s="481">
        <v>0</v>
      </c>
      <c r="E16" s="463"/>
      <c r="F16" s="464"/>
      <c r="G16" s="483"/>
    </row>
    <row r="17" spans="1:7">
      <c r="A17" s="63" t="s">
        <v>508</v>
      </c>
      <c r="B17" s="63" t="s">
        <v>509</v>
      </c>
      <c r="C17" s="481">
        <v>15587</v>
      </c>
      <c r="E17" s="463"/>
      <c r="F17" s="464"/>
      <c r="G17" s="483"/>
    </row>
    <row r="18" spans="1:7">
      <c r="A18" s="63" t="s">
        <v>266</v>
      </c>
      <c r="B18" s="63" t="s">
        <v>267</v>
      </c>
      <c r="C18" s="481">
        <v>0</v>
      </c>
      <c r="E18" s="463"/>
      <c r="F18" s="464"/>
      <c r="G18" s="483"/>
    </row>
    <row r="19" spans="1:7">
      <c r="A19" s="63" t="s">
        <v>211</v>
      </c>
      <c r="B19" s="63" t="s">
        <v>212</v>
      </c>
      <c r="C19" s="481">
        <v>21871</v>
      </c>
      <c r="E19" s="463"/>
      <c r="F19" s="464"/>
      <c r="G19" s="483"/>
    </row>
    <row r="20" spans="1:7">
      <c r="A20" s="63" t="s">
        <v>315</v>
      </c>
      <c r="B20" s="63" t="s">
        <v>316</v>
      </c>
      <c r="C20" s="481">
        <v>70273</v>
      </c>
      <c r="E20" s="463"/>
      <c r="F20" s="464"/>
      <c r="G20" s="483"/>
    </row>
    <row r="21" spans="1:7">
      <c r="A21" s="63" t="s">
        <v>84</v>
      </c>
      <c r="B21" s="63" t="s">
        <v>85</v>
      </c>
      <c r="C21" s="481">
        <v>57992</v>
      </c>
      <c r="E21" s="463"/>
      <c r="F21" s="464"/>
      <c r="G21" s="483"/>
    </row>
    <row r="22" spans="1:7">
      <c r="A22" s="63" t="s">
        <v>165</v>
      </c>
      <c r="B22" s="63" t="s">
        <v>166</v>
      </c>
      <c r="C22" s="481">
        <v>0</v>
      </c>
      <c r="E22" s="463"/>
      <c r="F22" s="464"/>
      <c r="G22" s="483"/>
    </row>
    <row r="23" spans="1:7">
      <c r="A23" s="63" t="s">
        <v>378</v>
      </c>
      <c r="B23" s="63" t="s">
        <v>602</v>
      </c>
      <c r="C23" s="481">
        <v>104753</v>
      </c>
      <c r="E23" s="463"/>
      <c r="F23" s="464"/>
      <c r="G23" s="483"/>
    </row>
    <row r="24" spans="1:7">
      <c r="A24" s="63" t="s">
        <v>60</v>
      </c>
      <c r="B24" s="63" t="s">
        <v>61</v>
      </c>
      <c r="C24" s="481">
        <v>15281</v>
      </c>
      <c r="E24" s="463"/>
      <c r="F24" s="464"/>
      <c r="G24" s="483"/>
    </row>
    <row r="25" spans="1:7">
      <c r="A25" s="63" t="s">
        <v>45</v>
      </c>
      <c r="B25" s="63" t="s">
        <v>46</v>
      </c>
      <c r="C25" s="481">
        <v>24367</v>
      </c>
      <c r="E25" s="463"/>
      <c r="F25" s="464"/>
      <c r="G25" s="483"/>
    </row>
    <row r="26" spans="1:7">
      <c r="A26" s="63" t="s">
        <v>347</v>
      </c>
      <c r="B26" s="63" t="s">
        <v>348</v>
      </c>
      <c r="C26" s="481">
        <v>0</v>
      </c>
      <c r="E26" s="463"/>
      <c r="F26" s="464"/>
      <c r="G26" s="483"/>
    </row>
    <row r="27" spans="1:7">
      <c r="A27" s="63" t="s">
        <v>35</v>
      </c>
      <c r="B27" s="63" t="s">
        <v>36</v>
      </c>
      <c r="C27" s="481">
        <v>29139</v>
      </c>
      <c r="E27" s="463"/>
      <c r="F27" s="464"/>
      <c r="G27" s="483"/>
    </row>
    <row r="28" spans="1:7">
      <c r="A28" s="63" t="s">
        <v>33</v>
      </c>
      <c r="B28" s="63" t="s">
        <v>34</v>
      </c>
      <c r="C28" s="481">
        <v>36078</v>
      </c>
      <c r="E28" s="463"/>
      <c r="F28" s="464"/>
      <c r="G28" s="485" t="s">
        <v>878</v>
      </c>
    </row>
    <row r="29" spans="1:7">
      <c r="A29" s="63" t="s">
        <v>74</v>
      </c>
      <c r="B29" s="63" t="s">
        <v>75</v>
      </c>
      <c r="C29" s="481">
        <v>5627</v>
      </c>
      <c r="E29" s="463"/>
      <c r="F29" s="464"/>
      <c r="G29" s="485" t="s">
        <v>877</v>
      </c>
    </row>
    <row r="30" spans="1:7">
      <c r="A30" s="63" t="s">
        <v>236</v>
      </c>
      <c r="B30" s="63" t="s">
        <v>237</v>
      </c>
      <c r="C30" s="481">
        <v>0</v>
      </c>
      <c r="E30" s="463"/>
      <c r="F30" s="464"/>
      <c r="G30" s="483"/>
    </row>
    <row r="31" spans="1:7">
      <c r="A31" s="63" t="s">
        <v>216</v>
      </c>
      <c r="B31" s="63" t="s">
        <v>217</v>
      </c>
      <c r="C31" s="481">
        <v>37129</v>
      </c>
      <c r="E31" s="463"/>
      <c r="F31" s="464"/>
      <c r="G31" s="483"/>
    </row>
    <row r="32" spans="1:7">
      <c r="A32" s="63" t="s">
        <v>434</v>
      </c>
      <c r="B32" s="63" t="s">
        <v>435</v>
      </c>
      <c r="C32" s="481">
        <v>40631</v>
      </c>
      <c r="E32" s="463"/>
      <c r="F32" s="464"/>
      <c r="G32" s="483"/>
    </row>
    <row r="33" spans="1:7">
      <c r="A33" s="63" t="s">
        <v>278</v>
      </c>
      <c r="B33" s="63" t="s">
        <v>279</v>
      </c>
      <c r="C33" s="481">
        <v>45404</v>
      </c>
      <c r="E33" s="463"/>
      <c r="F33" s="464"/>
      <c r="G33" s="483"/>
    </row>
    <row r="34" spans="1:7">
      <c r="A34" s="63" t="s">
        <v>274</v>
      </c>
      <c r="B34" s="63" t="s">
        <v>275</v>
      </c>
      <c r="C34" s="481">
        <v>12063</v>
      </c>
      <c r="E34" s="463"/>
      <c r="F34" s="464"/>
      <c r="G34" s="483"/>
    </row>
    <row r="35" spans="1:7">
      <c r="A35" s="63" t="s">
        <v>438</v>
      </c>
      <c r="B35" s="63" t="s">
        <v>439</v>
      </c>
      <c r="C35" s="481">
        <v>13114</v>
      </c>
      <c r="E35" s="463"/>
      <c r="F35" s="464">
        <v>1</v>
      </c>
      <c r="G35" s="483"/>
    </row>
    <row r="36" spans="1:7">
      <c r="A36" s="63" t="s">
        <v>450</v>
      </c>
      <c r="B36" s="63" t="s">
        <v>451</v>
      </c>
      <c r="C36" s="481">
        <v>350</v>
      </c>
      <c r="D36" s="482">
        <v>350</v>
      </c>
      <c r="E36" s="463"/>
      <c r="F36" s="464"/>
      <c r="G36" s="483"/>
    </row>
    <row r="37" spans="1:7">
      <c r="A37" s="63" t="s">
        <v>169</v>
      </c>
      <c r="B37" s="63" t="s">
        <v>170</v>
      </c>
      <c r="C37" s="481">
        <v>1818</v>
      </c>
      <c r="D37" s="482">
        <v>1818</v>
      </c>
      <c r="E37" s="463"/>
      <c r="F37" s="464"/>
      <c r="G37" s="483"/>
    </row>
    <row r="38" spans="1:7">
      <c r="A38" s="63" t="s">
        <v>10</v>
      </c>
      <c r="B38" s="63" t="s">
        <v>11</v>
      </c>
      <c r="C38" s="481">
        <v>3897</v>
      </c>
      <c r="D38" s="482">
        <v>3897</v>
      </c>
      <c r="E38" s="463"/>
      <c r="F38" s="464"/>
      <c r="G38" s="483"/>
    </row>
    <row r="39" spans="1:7">
      <c r="A39" s="63" t="s">
        <v>230</v>
      </c>
      <c r="B39" s="63" t="s">
        <v>231</v>
      </c>
      <c r="C39" s="481">
        <v>2650</v>
      </c>
      <c r="E39" s="463"/>
      <c r="F39" s="464"/>
      <c r="G39" s="485" t="s">
        <v>879</v>
      </c>
    </row>
    <row r="40" spans="1:7">
      <c r="A40" s="63" t="s">
        <v>357</v>
      </c>
      <c r="B40" s="63" t="s">
        <v>358</v>
      </c>
      <c r="C40" s="481">
        <v>194531</v>
      </c>
      <c r="E40" s="463"/>
      <c r="F40" s="464"/>
      <c r="G40" s="483"/>
    </row>
    <row r="41" spans="1:7">
      <c r="A41" s="65" t="s">
        <v>668</v>
      </c>
      <c r="B41" s="63" t="s">
        <v>669</v>
      </c>
      <c r="C41" s="481">
        <v>0</v>
      </c>
      <c r="E41" s="463"/>
      <c r="F41" s="464"/>
      <c r="G41" s="483"/>
    </row>
    <row r="42" spans="1:7">
      <c r="A42" s="63" t="s">
        <v>525</v>
      </c>
      <c r="B42" s="63" t="s">
        <v>526</v>
      </c>
      <c r="C42" s="481">
        <v>0</v>
      </c>
      <c r="E42" s="463"/>
      <c r="F42" s="464"/>
      <c r="G42" s="483"/>
    </row>
    <row r="43" spans="1:7">
      <c r="A43" s="63" t="s">
        <v>494</v>
      </c>
      <c r="B43" s="63" t="s">
        <v>495</v>
      </c>
      <c r="C43" s="481">
        <v>28547</v>
      </c>
      <c r="E43" s="463"/>
      <c r="F43" s="464"/>
      <c r="G43" s="483"/>
    </row>
    <row r="44" spans="1:7">
      <c r="A44" s="63" t="s">
        <v>533</v>
      </c>
      <c r="B44" s="63" t="s">
        <v>534</v>
      </c>
      <c r="C44" s="481">
        <v>0</v>
      </c>
      <c r="E44" s="463"/>
      <c r="F44" s="464"/>
      <c r="G44" s="483"/>
    </row>
    <row r="45" spans="1:7">
      <c r="A45" s="63" t="s">
        <v>464</v>
      </c>
      <c r="B45" s="63" t="s">
        <v>465</v>
      </c>
      <c r="C45" s="481">
        <v>0</v>
      </c>
      <c r="E45" s="463"/>
      <c r="F45" s="464"/>
      <c r="G45" s="483"/>
    </row>
    <row r="46" spans="1:7">
      <c r="A46" s="63" t="s">
        <v>498</v>
      </c>
      <c r="B46" s="63" t="s">
        <v>499</v>
      </c>
      <c r="C46" s="481">
        <v>13552</v>
      </c>
      <c r="E46" s="463"/>
      <c r="F46" s="464"/>
      <c r="G46" s="483"/>
    </row>
    <row r="47" spans="1:7">
      <c r="A47" s="63" t="s">
        <v>456</v>
      </c>
      <c r="B47" s="63" t="s">
        <v>457</v>
      </c>
      <c r="C47" s="481">
        <v>8998</v>
      </c>
      <c r="D47" s="482">
        <v>8998</v>
      </c>
      <c r="E47" s="463"/>
      <c r="F47" s="464"/>
      <c r="G47" s="483"/>
    </row>
    <row r="48" spans="1:7">
      <c r="A48" s="63" t="s">
        <v>376</v>
      </c>
      <c r="B48" s="63" t="s">
        <v>377</v>
      </c>
      <c r="C48" s="481">
        <v>0</v>
      </c>
      <c r="E48" s="463"/>
      <c r="F48" s="464"/>
      <c r="G48" s="483"/>
    </row>
    <row r="49" spans="1:7">
      <c r="A49" s="63" t="s">
        <v>384</v>
      </c>
      <c r="B49" s="63" t="s">
        <v>385</v>
      </c>
      <c r="C49" s="481">
        <v>3175</v>
      </c>
      <c r="E49" s="463"/>
      <c r="F49" s="464"/>
      <c r="G49" s="485" t="s">
        <v>877</v>
      </c>
    </row>
    <row r="50" spans="1:7">
      <c r="A50" s="63" t="s">
        <v>147</v>
      </c>
      <c r="B50" s="63" t="s">
        <v>148</v>
      </c>
      <c r="C50" s="481">
        <v>0</v>
      </c>
      <c r="E50" s="463"/>
      <c r="F50" s="464"/>
      <c r="G50" s="483"/>
    </row>
    <row r="51" spans="1:7">
      <c r="A51" s="63" t="s">
        <v>120</v>
      </c>
      <c r="B51" s="63" t="s">
        <v>654</v>
      </c>
      <c r="C51" s="481">
        <v>0</v>
      </c>
      <c r="E51" s="463"/>
      <c r="F51" s="464"/>
      <c r="G51" s="483"/>
    </row>
    <row r="52" spans="1:7">
      <c r="A52" s="63" t="s">
        <v>159</v>
      </c>
      <c r="B52" s="63" t="s">
        <v>160</v>
      </c>
      <c r="C52" s="481">
        <v>4860</v>
      </c>
      <c r="E52" s="463"/>
      <c r="F52" s="464"/>
      <c r="G52" s="485" t="s">
        <v>877</v>
      </c>
    </row>
    <row r="53" spans="1:7">
      <c r="A53" s="63" t="s">
        <v>41</v>
      </c>
      <c r="B53" s="63" t="s">
        <v>42</v>
      </c>
      <c r="C53" s="481">
        <v>0</v>
      </c>
      <c r="E53" s="463"/>
      <c r="F53" s="464"/>
      <c r="G53" s="483"/>
    </row>
    <row r="54" spans="1:7">
      <c r="A54" s="63" t="s">
        <v>285</v>
      </c>
      <c r="B54" s="63" t="s">
        <v>286</v>
      </c>
      <c r="C54" s="481">
        <v>0</v>
      </c>
      <c r="E54" s="463"/>
      <c r="F54" s="464"/>
      <c r="G54" s="483"/>
    </row>
    <row r="55" spans="1:7">
      <c r="A55" s="63" t="s">
        <v>96</v>
      </c>
      <c r="B55" s="63" t="s">
        <v>97</v>
      </c>
      <c r="C55" s="481">
        <v>0</v>
      </c>
      <c r="E55" s="463"/>
      <c r="F55" s="464"/>
      <c r="G55" s="483"/>
    </row>
    <row r="56" spans="1:7">
      <c r="A56" s="63" t="s">
        <v>338</v>
      </c>
      <c r="B56" s="63" t="s">
        <v>339</v>
      </c>
      <c r="C56" s="481">
        <v>0</v>
      </c>
      <c r="E56" s="463"/>
      <c r="F56" s="464"/>
      <c r="G56" s="483"/>
    </row>
    <row r="57" spans="1:7">
      <c r="A57" s="63" t="s">
        <v>220</v>
      </c>
      <c r="B57" s="63" t="s">
        <v>221</v>
      </c>
      <c r="C57" s="481">
        <v>0</v>
      </c>
      <c r="E57" s="463"/>
      <c r="F57" s="464"/>
      <c r="G57" s="483"/>
    </row>
    <row r="58" spans="1:7">
      <c r="A58" s="63" t="s">
        <v>417</v>
      </c>
      <c r="B58" s="63" t="s">
        <v>418</v>
      </c>
      <c r="C58" s="481">
        <v>0</v>
      </c>
      <c r="E58" s="463"/>
      <c r="F58" s="464"/>
      <c r="G58" s="483"/>
    </row>
    <row r="59" spans="1:7">
      <c r="A59" s="63" t="s">
        <v>293</v>
      </c>
      <c r="B59" s="63" t="s">
        <v>294</v>
      </c>
      <c r="C59" s="481">
        <v>0</v>
      </c>
      <c r="E59" s="463"/>
      <c r="F59" s="464"/>
      <c r="G59" s="483"/>
    </row>
    <row r="60" spans="1:7">
      <c r="A60" s="63" t="s">
        <v>66</v>
      </c>
      <c r="B60" s="63" t="s">
        <v>67</v>
      </c>
      <c r="C60" s="481">
        <v>0</v>
      </c>
      <c r="E60" s="463"/>
      <c r="F60" s="464"/>
      <c r="G60" s="483"/>
    </row>
    <row r="61" spans="1:7">
      <c r="A61" s="63" t="s">
        <v>444</v>
      </c>
      <c r="B61" s="63" t="s">
        <v>445</v>
      </c>
      <c r="C61" s="481">
        <v>701</v>
      </c>
      <c r="D61" s="482">
        <v>701</v>
      </c>
      <c r="E61" s="463"/>
      <c r="F61" s="464"/>
      <c r="G61" s="483"/>
    </row>
    <row r="62" spans="1:7">
      <c r="A62" s="63" t="s">
        <v>353</v>
      </c>
      <c r="B62" s="63" t="s">
        <v>354</v>
      </c>
      <c r="C62" s="481">
        <v>2562</v>
      </c>
      <c r="E62" s="463"/>
      <c r="F62" s="464"/>
      <c r="G62" s="485" t="s">
        <v>880</v>
      </c>
    </row>
    <row r="63" spans="1:7">
      <c r="A63" s="63" t="s">
        <v>490</v>
      </c>
      <c r="B63" s="63" t="s">
        <v>491</v>
      </c>
      <c r="C63" s="481">
        <v>0</v>
      </c>
      <c r="E63" s="463"/>
      <c r="F63" s="464"/>
      <c r="G63" s="483"/>
    </row>
    <row r="64" spans="1:7">
      <c r="A64" s="63" t="s">
        <v>440</v>
      </c>
      <c r="B64" s="63" t="s">
        <v>674</v>
      </c>
      <c r="C64" s="481">
        <v>20578</v>
      </c>
      <c r="E64" s="463"/>
      <c r="F64" s="464"/>
      <c r="G64" s="483"/>
    </row>
    <row r="65" spans="1:7">
      <c r="A65" s="63" t="s">
        <v>549</v>
      </c>
      <c r="B65" s="63" t="s">
        <v>550</v>
      </c>
      <c r="C65" s="481">
        <v>37721</v>
      </c>
      <c r="E65" s="463"/>
      <c r="F65" s="464"/>
      <c r="G65" s="483"/>
    </row>
    <row r="66" spans="1:7">
      <c r="A66" s="63" t="s">
        <v>88</v>
      </c>
      <c r="B66" s="63" t="s">
        <v>89</v>
      </c>
      <c r="C66" s="481">
        <v>146392</v>
      </c>
      <c r="E66" s="463"/>
      <c r="F66" s="464"/>
      <c r="G66" s="483"/>
    </row>
    <row r="67" spans="1:7">
      <c r="A67" s="63" t="s">
        <v>222</v>
      </c>
      <c r="B67" s="63" t="s">
        <v>223</v>
      </c>
      <c r="C67" s="481">
        <v>1161</v>
      </c>
      <c r="E67" s="463"/>
      <c r="F67" s="464"/>
      <c r="G67" s="485" t="s">
        <v>879</v>
      </c>
    </row>
    <row r="68" spans="1:7">
      <c r="A68" s="63" t="s">
        <v>365</v>
      </c>
      <c r="B68" s="63" t="s">
        <v>366</v>
      </c>
      <c r="C68" s="481">
        <v>2277</v>
      </c>
      <c r="D68" s="482">
        <v>2277</v>
      </c>
      <c r="E68" s="463"/>
      <c r="F68" s="464"/>
      <c r="G68" s="483"/>
    </row>
    <row r="69" spans="1:7">
      <c r="A69" s="63" t="s">
        <v>401</v>
      </c>
      <c r="B69" s="63" t="s">
        <v>402</v>
      </c>
      <c r="C69" s="481">
        <v>342718</v>
      </c>
      <c r="E69" s="463"/>
      <c r="F69" s="464">
        <v>9</v>
      </c>
      <c r="G69" s="483"/>
    </row>
    <row r="70" spans="1:7">
      <c r="A70" s="63" t="s">
        <v>226</v>
      </c>
      <c r="B70" s="63" t="s">
        <v>227</v>
      </c>
      <c r="C70" s="481">
        <v>34086</v>
      </c>
      <c r="E70" s="463"/>
      <c r="F70" s="464"/>
      <c r="G70" s="483"/>
    </row>
    <row r="71" spans="1:7">
      <c r="A71" s="63" t="s">
        <v>141</v>
      </c>
      <c r="B71" s="63" t="s">
        <v>142</v>
      </c>
      <c r="D71" s="481">
        <v>14340</v>
      </c>
      <c r="E71" s="463"/>
      <c r="F71" s="464"/>
      <c r="G71" s="483"/>
    </row>
    <row r="72" spans="1:7">
      <c r="A72" s="63" t="s">
        <v>535</v>
      </c>
      <c r="B72" s="63" t="s">
        <v>536</v>
      </c>
      <c r="C72" s="481">
        <v>0</v>
      </c>
      <c r="E72" s="463"/>
      <c r="F72" s="464"/>
      <c r="G72" s="483"/>
    </row>
    <row r="73" spans="1:7">
      <c r="A73" s="63" t="s">
        <v>29</v>
      </c>
      <c r="B73" s="63" t="s">
        <v>30</v>
      </c>
      <c r="C73" s="481">
        <v>7247</v>
      </c>
      <c r="E73" s="463"/>
      <c r="F73" s="464"/>
      <c r="G73" s="485" t="s">
        <v>878</v>
      </c>
    </row>
    <row r="74" spans="1:7">
      <c r="A74" s="63" t="s">
        <v>177</v>
      </c>
      <c r="B74" s="63" t="s">
        <v>178</v>
      </c>
      <c r="C74" s="481">
        <v>27650</v>
      </c>
      <c r="E74" s="463"/>
      <c r="F74" s="464"/>
      <c r="G74" s="483"/>
    </row>
    <row r="75" spans="1:7">
      <c r="A75" s="63" t="s">
        <v>127</v>
      </c>
      <c r="B75" s="63" t="s">
        <v>128</v>
      </c>
      <c r="C75" s="481">
        <v>30955</v>
      </c>
      <c r="E75" s="463"/>
      <c r="F75" s="464"/>
      <c r="G75" s="483"/>
    </row>
    <row r="76" spans="1:7">
      <c r="A76" s="65" t="s">
        <v>676</v>
      </c>
      <c r="B76" s="63" t="s">
        <v>677</v>
      </c>
      <c r="C76" s="481">
        <v>0</v>
      </c>
      <c r="E76" s="463"/>
      <c r="F76" s="464"/>
      <c r="G76" s="483"/>
    </row>
    <row r="77" spans="1:7">
      <c r="A77" s="63" t="s">
        <v>651</v>
      </c>
      <c r="B77" s="63" t="s">
        <v>652</v>
      </c>
      <c r="C77" s="481">
        <v>0</v>
      </c>
      <c r="E77" s="463"/>
      <c r="F77" s="464"/>
      <c r="G77" s="483"/>
    </row>
    <row r="78" spans="1:7">
      <c r="A78" s="63" t="s">
        <v>678</v>
      </c>
      <c r="B78" s="63" t="s">
        <v>679</v>
      </c>
      <c r="C78" s="481">
        <v>0</v>
      </c>
      <c r="E78" s="463"/>
      <c r="F78" s="464"/>
      <c r="G78" s="483"/>
    </row>
    <row r="79" spans="1:7">
      <c r="A79" s="65" t="s">
        <v>663</v>
      </c>
      <c r="B79" s="63" t="s">
        <v>664</v>
      </c>
      <c r="C79" s="481">
        <v>0</v>
      </c>
      <c r="E79" s="463"/>
      <c r="F79" s="464"/>
      <c r="G79" s="483"/>
    </row>
    <row r="80" spans="1:7">
      <c r="A80" s="65" t="s">
        <v>653</v>
      </c>
      <c r="B80" s="63" t="s">
        <v>604</v>
      </c>
      <c r="C80" s="481">
        <v>0</v>
      </c>
      <c r="E80" s="463"/>
      <c r="F80" s="464"/>
      <c r="G80" s="483"/>
    </row>
    <row r="81" spans="1:7">
      <c r="A81" s="63" t="s">
        <v>680</v>
      </c>
      <c r="B81" s="63" t="s">
        <v>604</v>
      </c>
      <c r="C81" s="481">
        <v>0</v>
      </c>
      <c r="E81" s="463"/>
      <c r="F81" s="464"/>
      <c r="G81" s="483"/>
    </row>
    <row r="82" spans="1:7">
      <c r="A82" s="65" t="s">
        <v>649</v>
      </c>
      <c r="B82" s="63" t="s">
        <v>650</v>
      </c>
      <c r="C82" s="481">
        <v>0</v>
      </c>
      <c r="E82" s="463"/>
      <c r="F82" s="464"/>
      <c r="G82" s="483"/>
    </row>
    <row r="83" spans="1:7">
      <c r="A83" s="63" t="s">
        <v>671</v>
      </c>
      <c r="B83" s="63" t="s">
        <v>672</v>
      </c>
      <c r="C83" s="481">
        <v>0</v>
      </c>
      <c r="E83" s="463"/>
      <c r="F83" s="464"/>
      <c r="G83" s="483"/>
    </row>
    <row r="84" spans="1:7">
      <c r="A84" s="63" t="s">
        <v>256</v>
      </c>
      <c r="B84" s="63" t="s">
        <v>257</v>
      </c>
      <c r="C84" s="481">
        <v>0</v>
      </c>
      <c r="E84" s="463"/>
      <c r="F84" s="464"/>
      <c r="G84" s="483"/>
    </row>
    <row r="85" spans="1:7">
      <c r="A85" s="63" t="s">
        <v>395</v>
      </c>
      <c r="B85" s="63" t="s">
        <v>396</v>
      </c>
      <c r="C85" s="481">
        <v>310274</v>
      </c>
      <c r="E85" s="463"/>
      <c r="F85" s="464"/>
      <c r="G85" s="483"/>
    </row>
    <row r="86" spans="1:7">
      <c r="A86" s="63" t="s">
        <v>58</v>
      </c>
      <c r="B86" s="63" t="s">
        <v>59</v>
      </c>
      <c r="C86" s="481">
        <v>354014</v>
      </c>
      <c r="E86" s="463"/>
      <c r="F86" s="464"/>
      <c r="G86" s="483"/>
    </row>
    <row r="87" spans="1:7">
      <c r="A87" s="63" t="s">
        <v>462</v>
      </c>
      <c r="B87" s="63" t="s">
        <v>463</v>
      </c>
      <c r="C87" s="481">
        <v>0</v>
      </c>
      <c r="E87" s="463"/>
      <c r="F87" s="464"/>
      <c r="G87" s="483"/>
    </row>
    <row r="88" spans="1:7">
      <c r="A88" s="63" t="s">
        <v>175</v>
      </c>
      <c r="B88" s="63" t="s">
        <v>176</v>
      </c>
      <c r="C88" s="481">
        <v>501148</v>
      </c>
      <c r="E88" s="463"/>
      <c r="F88" s="464"/>
      <c r="G88" s="483"/>
    </row>
    <row r="89" spans="1:7">
      <c r="A89" s="63" t="s">
        <v>506</v>
      </c>
      <c r="B89" s="63" t="s">
        <v>507</v>
      </c>
      <c r="C89" s="481">
        <v>41004</v>
      </c>
      <c r="E89" s="463"/>
      <c r="F89" s="464"/>
      <c r="G89" s="483"/>
    </row>
    <row r="90" spans="1:7">
      <c r="A90" s="63" t="s">
        <v>369</v>
      </c>
      <c r="B90" s="63" t="s">
        <v>370</v>
      </c>
      <c r="C90" s="481">
        <v>59700</v>
      </c>
      <c r="E90" s="463"/>
      <c r="F90" s="464"/>
      <c r="G90" s="483"/>
    </row>
    <row r="91" spans="1:7">
      <c r="A91" s="63" t="s">
        <v>19</v>
      </c>
      <c r="B91" s="63" t="s">
        <v>20</v>
      </c>
      <c r="C91" s="481">
        <v>21629</v>
      </c>
      <c r="E91" s="463"/>
      <c r="F91" s="464"/>
      <c r="G91" s="483"/>
    </row>
    <row r="92" spans="1:7">
      <c r="A92" s="63" t="s">
        <v>361</v>
      </c>
      <c r="B92" s="63" t="s">
        <v>362</v>
      </c>
      <c r="C92" s="481">
        <v>95865</v>
      </c>
      <c r="E92" s="463"/>
      <c r="F92" s="464"/>
      <c r="G92" s="483"/>
    </row>
    <row r="93" spans="1:7">
      <c r="A93" s="63" t="s">
        <v>436</v>
      </c>
      <c r="B93" s="63" t="s">
        <v>437</v>
      </c>
      <c r="C93" s="481">
        <v>0</v>
      </c>
      <c r="E93" s="463"/>
      <c r="F93" s="464"/>
      <c r="G93" s="483"/>
    </row>
    <row r="94" spans="1:7">
      <c r="A94" s="63" t="s">
        <v>529</v>
      </c>
      <c r="B94" s="63" t="s">
        <v>530</v>
      </c>
      <c r="C94" s="481">
        <v>0</v>
      </c>
      <c r="E94" s="463"/>
      <c r="F94" s="464"/>
      <c r="G94" s="483"/>
    </row>
    <row r="95" spans="1:7">
      <c r="A95" s="63" t="s">
        <v>240</v>
      </c>
      <c r="B95" s="63" t="s">
        <v>241</v>
      </c>
      <c r="C95" s="481">
        <v>0</v>
      </c>
      <c r="E95" s="463"/>
      <c r="F95" s="464"/>
      <c r="G95" s="483"/>
    </row>
    <row r="96" spans="1:7">
      <c r="A96" s="63" t="s">
        <v>246</v>
      </c>
      <c r="B96" s="63" t="s">
        <v>247</v>
      </c>
      <c r="C96" s="481">
        <v>5890</v>
      </c>
      <c r="E96" s="463"/>
      <c r="F96" s="464"/>
      <c r="G96" s="485" t="s">
        <v>879</v>
      </c>
    </row>
    <row r="97" spans="1:7">
      <c r="A97" s="63" t="s">
        <v>131</v>
      </c>
      <c r="B97" s="63" t="s">
        <v>655</v>
      </c>
      <c r="C97" s="481">
        <v>0</v>
      </c>
      <c r="E97" s="463"/>
      <c r="F97" s="464"/>
      <c r="G97" s="483"/>
    </row>
    <row r="98" spans="1:7">
      <c r="A98" s="63" t="s">
        <v>555</v>
      </c>
      <c r="B98" s="63" t="s">
        <v>556</v>
      </c>
      <c r="C98" s="481">
        <v>184811</v>
      </c>
      <c r="E98" s="463"/>
      <c r="F98" s="464"/>
      <c r="G98" s="483"/>
    </row>
    <row r="99" spans="1:7">
      <c r="A99" s="63" t="s">
        <v>563</v>
      </c>
      <c r="B99" s="63" t="s">
        <v>564</v>
      </c>
      <c r="C99" s="481">
        <v>99018</v>
      </c>
      <c r="E99" s="463">
        <v>19</v>
      </c>
      <c r="F99" s="464"/>
      <c r="G99" s="483"/>
    </row>
    <row r="100" spans="1:7">
      <c r="A100" s="63" t="s">
        <v>419</v>
      </c>
      <c r="B100" s="63" t="s">
        <v>420</v>
      </c>
      <c r="C100" s="481">
        <v>4466</v>
      </c>
      <c r="E100" s="463"/>
      <c r="F100" s="464"/>
      <c r="G100" s="485" t="s">
        <v>877</v>
      </c>
    </row>
    <row r="101" spans="1:7">
      <c r="A101" s="63" t="s">
        <v>297</v>
      </c>
      <c r="B101" s="63" t="s">
        <v>298</v>
      </c>
      <c r="C101" s="481">
        <v>0</v>
      </c>
      <c r="E101" s="463"/>
      <c r="F101" s="464"/>
      <c r="G101" s="486"/>
    </row>
    <row r="102" spans="1:7">
      <c r="A102" s="63" t="s">
        <v>426</v>
      </c>
      <c r="B102" s="63" t="s">
        <v>427</v>
      </c>
      <c r="C102" s="481">
        <v>0</v>
      </c>
      <c r="E102" s="463"/>
      <c r="F102" s="464"/>
      <c r="G102" s="486"/>
    </row>
    <row r="103" spans="1:7">
      <c r="A103" s="63" t="s">
        <v>54</v>
      </c>
      <c r="B103" s="63" t="s">
        <v>55</v>
      </c>
      <c r="C103" s="481">
        <v>0</v>
      </c>
      <c r="E103" s="463"/>
      <c r="F103" s="464"/>
      <c r="G103" s="486"/>
    </row>
    <row r="104" spans="1:7">
      <c r="A104" s="63" t="s">
        <v>482</v>
      </c>
      <c r="B104" s="63" t="s">
        <v>483</v>
      </c>
      <c r="C104" s="481">
        <v>0</v>
      </c>
      <c r="E104" s="463"/>
      <c r="F104" s="464"/>
      <c r="G104" s="486"/>
    </row>
    <row r="105" spans="1:7">
      <c r="A105" s="63" t="s">
        <v>291</v>
      </c>
      <c r="B105" s="63" t="s">
        <v>292</v>
      </c>
      <c r="C105" s="481">
        <v>0</v>
      </c>
      <c r="E105" s="463"/>
      <c r="F105" s="464"/>
      <c r="G105" s="486"/>
    </row>
    <row r="106" spans="1:7">
      <c r="A106" s="63" t="s">
        <v>561</v>
      </c>
      <c r="B106" s="63" t="s">
        <v>562</v>
      </c>
      <c r="C106" s="481">
        <v>40829</v>
      </c>
      <c r="E106" s="463"/>
      <c r="F106" s="464"/>
      <c r="G106" s="486"/>
    </row>
    <row r="107" spans="1:7">
      <c r="A107" s="63" t="s">
        <v>181</v>
      </c>
      <c r="B107" s="63" t="s">
        <v>182</v>
      </c>
      <c r="C107" s="481">
        <v>607609</v>
      </c>
      <c r="E107" s="463"/>
      <c r="F107" s="464">
        <v>18</v>
      </c>
      <c r="G107" s="486"/>
    </row>
    <row r="108" spans="1:7">
      <c r="A108" s="63" t="s">
        <v>51</v>
      </c>
      <c r="B108" s="63" t="s">
        <v>52</v>
      </c>
      <c r="C108" s="481">
        <v>4620</v>
      </c>
      <c r="E108" s="463"/>
      <c r="F108" s="464"/>
      <c r="G108" s="485" t="s">
        <v>877</v>
      </c>
    </row>
    <row r="109" spans="1:7">
      <c r="A109" s="63" t="s">
        <v>307</v>
      </c>
      <c r="B109" s="63" t="s">
        <v>308</v>
      </c>
      <c r="C109" s="481">
        <v>0</v>
      </c>
      <c r="E109" s="463"/>
      <c r="F109" s="464"/>
      <c r="G109" s="486"/>
    </row>
    <row r="110" spans="1:7">
      <c r="A110" s="63" t="s">
        <v>134</v>
      </c>
      <c r="B110" s="63" t="s">
        <v>135</v>
      </c>
      <c r="C110" s="481">
        <v>7399</v>
      </c>
      <c r="E110" s="463"/>
      <c r="F110" s="464"/>
      <c r="G110" s="485" t="s">
        <v>877</v>
      </c>
    </row>
    <row r="111" spans="1:7">
      <c r="A111" s="63" t="s">
        <v>100</v>
      </c>
      <c r="B111" s="63" t="s">
        <v>101</v>
      </c>
      <c r="C111" s="481">
        <v>0</v>
      </c>
      <c r="E111" s="463"/>
      <c r="F111" s="464"/>
      <c r="G111" s="483"/>
    </row>
    <row r="112" spans="1:7">
      <c r="A112" s="63" t="s">
        <v>407</v>
      </c>
      <c r="B112" s="63" t="s">
        <v>408</v>
      </c>
      <c r="D112" s="481">
        <v>88</v>
      </c>
      <c r="E112" s="463"/>
      <c r="F112" s="464"/>
      <c r="G112" s="483"/>
    </row>
    <row r="113" spans="1:7">
      <c r="A113" s="63" t="s">
        <v>201</v>
      </c>
      <c r="B113" s="63" t="s">
        <v>202</v>
      </c>
      <c r="C113" s="481">
        <v>109394</v>
      </c>
      <c r="E113" s="463"/>
      <c r="F113" s="464"/>
      <c r="G113" s="483"/>
    </row>
    <row r="114" spans="1:7">
      <c r="A114" s="63" t="s">
        <v>110</v>
      </c>
      <c r="B114" s="63" t="s">
        <v>111</v>
      </c>
      <c r="C114" s="481">
        <v>0</v>
      </c>
      <c r="E114" s="463"/>
      <c r="F114" s="464"/>
      <c r="G114" s="483"/>
    </row>
    <row r="115" spans="1:7">
      <c r="A115" s="63" t="s">
        <v>76</v>
      </c>
      <c r="B115" s="63" t="s">
        <v>77</v>
      </c>
      <c r="C115" s="481">
        <v>0</v>
      </c>
      <c r="E115" s="463"/>
      <c r="F115" s="464"/>
      <c r="G115" s="483"/>
    </row>
    <row r="116" spans="1:7">
      <c r="A116" s="66" t="s">
        <v>94</v>
      </c>
      <c r="B116" s="63" t="s">
        <v>95</v>
      </c>
      <c r="C116" s="481">
        <v>0</v>
      </c>
      <c r="E116" s="463"/>
      <c r="F116" s="464"/>
      <c r="G116" s="483"/>
    </row>
    <row r="117" spans="1:7">
      <c r="A117" s="63" t="s">
        <v>80</v>
      </c>
      <c r="B117" s="63" t="s">
        <v>81</v>
      </c>
      <c r="C117" s="481">
        <v>33824</v>
      </c>
      <c r="E117" s="463"/>
      <c r="F117" s="464"/>
      <c r="G117" s="483"/>
    </row>
    <row r="118" spans="1:7">
      <c r="A118" s="63" t="s">
        <v>14</v>
      </c>
      <c r="B118" s="63" t="s">
        <v>15</v>
      </c>
      <c r="C118" s="481">
        <v>305829</v>
      </c>
      <c r="E118" s="463"/>
      <c r="F118" s="464"/>
      <c r="G118" s="483"/>
    </row>
    <row r="119" spans="1:7">
      <c r="A119" s="63" t="s">
        <v>207</v>
      </c>
      <c r="B119" s="63" t="s">
        <v>208</v>
      </c>
      <c r="C119" s="481">
        <v>708049</v>
      </c>
      <c r="E119" s="463">
        <v>28</v>
      </c>
      <c r="F119" s="464"/>
      <c r="G119" s="483"/>
    </row>
    <row r="120" spans="1:7">
      <c r="A120" s="63" t="s">
        <v>470</v>
      </c>
      <c r="B120" s="63" t="s">
        <v>471</v>
      </c>
      <c r="C120" s="481">
        <v>0</v>
      </c>
      <c r="E120" s="463"/>
      <c r="F120" s="464"/>
      <c r="G120" s="483"/>
    </row>
    <row r="121" spans="1:7">
      <c r="A121" s="63" t="s">
        <v>18</v>
      </c>
      <c r="B121" s="63" t="s">
        <v>608</v>
      </c>
      <c r="C121" s="481">
        <v>36845</v>
      </c>
      <c r="E121" s="463"/>
      <c r="F121" s="464"/>
      <c r="G121" s="483"/>
    </row>
    <row r="122" spans="1:7">
      <c r="A122" s="63" t="s">
        <v>228</v>
      </c>
      <c r="B122" s="63" t="s">
        <v>229</v>
      </c>
      <c r="C122" s="481">
        <v>6634</v>
      </c>
      <c r="E122" s="463"/>
      <c r="F122" s="464"/>
      <c r="G122" s="485" t="s">
        <v>879</v>
      </c>
    </row>
    <row r="123" spans="1:7">
      <c r="A123" s="63" t="s">
        <v>242</v>
      </c>
      <c r="B123" s="63" t="s">
        <v>243</v>
      </c>
      <c r="C123" s="481">
        <v>0</v>
      </c>
      <c r="E123" s="463"/>
      <c r="F123" s="464"/>
      <c r="G123" s="483"/>
    </row>
    <row r="124" spans="1:7">
      <c r="A124" s="63" t="s">
        <v>382</v>
      </c>
      <c r="B124" s="63" t="s">
        <v>383</v>
      </c>
      <c r="C124" s="481">
        <v>1818</v>
      </c>
      <c r="E124" s="463"/>
      <c r="F124" s="464"/>
      <c r="G124" s="485" t="s">
        <v>877</v>
      </c>
    </row>
    <row r="125" spans="1:7">
      <c r="A125" s="63" t="s">
        <v>53</v>
      </c>
      <c r="B125" s="63" t="s">
        <v>609</v>
      </c>
      <c r="C125" s="481">
        <v>3394</v>
      </c>
      <c r="D125" s="482">
        <v>3394</v>
      </c>
      <c r="E125" s="463"/>
      <c r="F125" s="464"/>
      <c r="G125" s="483"/>
    </row>
    <row r="126" spans="1:7">
      <c r="A126" s="63" t="s">
        <v>518</v>
      </c>
      <c r="B126" s="63" t="s">
        <v>645</v>
      </c>
      <c r="C126" s="481">
        <v>0</v>
      </c>
      <c r="E126" s="463"/>
      <c r="F126" s="464"/>
      <c r="G126" s="483"/>
    </row>
    <row r="127" spans="1:7">
      <c r="A127" s="63" t="s">
        <v>31</v>
      </c>
      <c r="B127" s="63" t="s">
        <v>32</v>
      </c>
      <c r="C127" s="481">
        <v>53547</v>
      </c>
      <c r="E127" s="463"/>
      <c r="F127" s="464"/>
      <c r="G127" s="483"/>
    </row>
    <row r="128" spans="1:7">
      <c r="A128" s="63" t="s">
        <v>397</v>
      </c>
      <c r="B128" s="63" t="s">
        <v>398</v>
      </c>
      <c r="C128" s="481">
        <v>43433</v>
      </c>
      <c r="E128" s="463"/>
      <c r="F128" s="464"/>
      <c r="G128" s="483"/>
    </row>
    <row r="129" spans="1:7">
      <c r="A129" s="65" t="s">
        <v>659</v>
      </c>
      <c r="B129" s="63" t="s">
        <v>660</v>
      </c>
      <c r="C129" s="481">
        <v>0</v>
      </c>
      <c r="E129" s="463"/>
      <c r="F129" s="464"/>
      <c r="G129" s="483"/>
    </row>
    <row r="130" spans="1:7">
      <c r="A130" s="63" t="s">
        <v>205</v>
      </c>
      <c r="B130" s="63" t="s">
        <v>206</v>
      </c>
      <c r="C130" s="481">
        <v>224742</v>
      </c>
      <c r="E130" s="463"/>
      <c r="F130" s="464"/>
      <c r="G130" s="483"/>
    </row>
    <row r="131" spans="1:7">
      <c r="A131" s="63" t="s">
        <v>413</v>
      </c>
      <c r="B131" s="63" t="s">
        <v>414</v>
      </c>
      <c r="C131" s="481">
        <v>11450</v>
      </c>
      <c r="E131" s="463"/>
      <c r="F131" s="464"/>
      <c r="G131" s="483"/>
    </row>
    <row r="132" spans="1:7">
      <c r="A132" s="63" t="s">
        <v>519</v>
      </c>
      <c r="B132" s="63" t="s">
        <v>520</v>
      </c>
      <c r="C132" s="481">
        <v>0</v>
      </c>
      <c r="E132" s="463"/>
      <c r="F132" s="464"/>
      <c r="G132" s="483"/>
    </row>
    <row r="133" spans="1:7">
      <c r="A133" s="63" t="s">
        <v>441</v>
      </c>
      <c r="B133" s="63" t="s">
        <v>442</v>
      </c>
      <c r="C133" s="481">
        <v>0</v>
      </c>
      <c r="E133" s="463"/>
      <c r="F133" s="464"/>
      <c r="G133" s="483"/>
    </row>
    <row r="134" spans="1:7">
      <c r="A134" s="63" t="s">
        <v>6</v>
      </c>
      <c r="B134" s="63" t="s">
        <v>7</v>
      </c>
      <c r="C134" s="481">
        <v>4445</v>
      </c>
      <c r="D134" s="482">
        <v>4445</v>
      </c>
      <c r="E134" s="463"/>
      <c r="F134" s="464"/>
      <c r="G134" s="483"/>
    </row>
    <row r="135" spans="1:7">
      <c r="A135" s="63" t="s">
        <v>70</v>
      </c>
      <c r="B135" s="63" t="s">
        <v>71</v>
      </c>
      <c r="C135" s="481">
        <v>54971</v>
      </c>
      <c r="E135" s="463"/>
      <c r="F135" s="464"/>
      <c r="G135" s="483"/>
    </row>
    <row r="136" spans="1:7">
      <c r="A136" s="63" t="s">
        <v>458</v>
      </c>
      <c r="B136" s="63" t="s">
        <v>459</v>
      </c>
      <c r="C136" s="481">
        <v>0</v>
      </c>
      <c r="E136" s="463"/>
      <c r="F136" s="464"/>
      <c r="G136" s="483"/>
    </row>
    <row r="137" spans="1:7">
      <c r="A137" s="63" t="s">
        <v>373</v>
      </c>
      <c r="B137" s="63" t="s">
        <v>374</v>
      </c>
      <c r="C137" s="481">
        <v>592</v>
      </c>
      <c r="E137" s="463"/>
      <c r="F137" s="464"/>
      <c r="G137" s="485" t="s">
        <v>877</v>
      </c>
    </row>
    <row r="138" spans="1:7">
      <c r="A138" s="63" t="s">
        <v>250</v>
      </c>
      <c r="B138" s="63" t="s">
        <v>251</v>
      </c>
      <c r="C138" s="481">
        <v>0</v>
      </c>
      <c r="E138" s="463"/>
      <c r="F138" s="464"/>
      <c r="G138" s="483"/>
    </row>
    <row r="139" spans="1:7">
      <c r="A139" s="63" t="s">
        <v>510</v>
      </c>
      <c r="B139" s="63" t="s">
        <v>511</v>
      </c>
      <c r="C139" s="481">
        <v>41244</v>
      </c>
      <c r="E139" s="463"/>
      <c r="F139" s="464"/>
      <c r="G139" s="483"/>
    </row>
    <row r="140" spans="1:7">
      <c r="A140" s="63" t="s">
        <v>553</v>
      </c>
      <c r="B140" s="63" t="s">
        <v>554</v>
      </c>
      <c r="C140" s="481">
        <v>63903</v>
      </c>
      <c r="E140" s="463"/>
      <c r="F140" s="464"/>
      <c r="G140" s="483"/>
    </row>
    <row r="141" spans="1:7">
      <c r="A141" s="63" t="s">
        <v>90</v>
      </c>
      <c r="B141" s="63" t="s">
        <v>91</v>
      </c>
      <c r="C141" s="481">
        <v>0</v>
      </c>
      <c r="E141" s="463"/>
      <c r="F141" s="464"/>
      <c r="G141" s="483"/>
    </row>
    <row r="142" spans="1:7">
      <c r="A142" s="63" t="s">
        <v>25</v>
      </c>
      <c r="B142" s="63" t="s">
        <v>26</v>
      </c>
      <c r="C142" s="481">
        <v>34808</v>
      </c>
      <c r="E142" s="463"/>
      <c r="F142" s="464"/>
      <c r="G142" s="483"/>
    </row>
    <row r="143" spans="1:7">
      <c r="A143" s="63" t="s">
        <v>301</v>
      </c>
      <c r="B143" s="63" t="s">
        <v>302</v>
      </c>
      <c r="C143" s="481">
        <v>0</v>
      </c>
      <c r="E143" s="463"/>
      <c r="F143" s="464"/>
      <c r="G143" s="483"/>
    </row>
    <row r="144" spans="1:7">
      <c r="A144" s="63" t="s">
        <v>466</v>
      </c>
      <c r="B144" s="63" t="s">
        <v>467</v>
      </c>
      <c r="C144" s="481">
        <v>0</v>
      </c>
      <c r="E144" s="463"/>
      <c r="F144" s="464"/>
      <c r="G144" s="483"/>
    </row>
    <row r="145" spans="1:7">
      <c r="A145" s="63" t="s">
        <v>405</v>
      </c>
      <c r="B145" s="63" t="s">
        <v>406</v>
      </c>
      <c r="C145" s="481">
        <v>129360</v>
      </c>
      <c r="E145" s="463"/>
      <c r="F145" s="464"/>
      <c r="G145" s="483"/>
    </row>
    <row r="146" spans="1:7">
      <c r="A146" s="63" t="s">
        <v>138</v>
      </c>
      <c r="B146" s="63" t="s">
        <v>656</v>
      </c>
      <c r="C146" s="481">
        <v>0</v>
      </c>
      <c r="E146" s="463"/>
      <c r="F146" s="464"/>
      <c r="G146" s="483"/>
    </row>
    <row r="147" spans="1:7">
      <c r="A147" s="63" t="s">
        <v>432</v>
      </c>
      <c r="B147" s="63" t="s">
        <v>433</v>
      </c>
      <c r="C147" s="481">
        <v>25000</v>
      </c>
      <c r="E147" s="463"/>
      <c r="F147" s="464"/>
      <c r="G147" s="483"/>
    </row>
    <row r="148" spans="1:7">
      <c r="A148" s="63" t="s">
        <v>430</v>
      </c>
      <c r="B148" s="63" t="s">
        <v>431</v>
      </c>
      <c r="C148" s="481">
        <v>1818</v>
      </c>
      <c r="D148" s="482">
        <v>1818</v>
      </c>
      <c r="E148" s="463"/>
      <c r="F148" s="464"/>
      <c r="G148" s="483"/>
    </row>
    <row r="149" spans="1:7">
      <c r="A149" s="63" t="s">
        <v>179</v>
      </c>
      <c r="B149" s="63" t="s">
        <v>180</v>
      </c>
      <c r="C149" s="481">
        <v>12939</v>
      </c>
      <c r="E149" s="463"/>
      <c r="F149" s="464"/>
      <c r="G149" s="483"/>
    </row>
    <row r="150" spans="1:7">
      <c r="A150" s="63" t="s">
        <v>512</v>
      </c>
      <c r="B150" s="63" t="s">
        <v>513</v>
      </c>
      <c r="C150" s="481">
        <v>18675</v>
      </c>
      <c r="E150" s="463"/>
      <c r="F150" s="464"/>
      <c r="G150" s="483"/>
    </row>
    <row r="151" spans="1:7">
      <c r="A151" s="63" t="s">
        <v>319</v>
      </c>
      <c r="B151" s="63" t="s">
        <v>320</v>
      </c>
      <c r="D151" s="481">
        <v>986</v>
      </c>
      <c r="E151" s="463"/>
      <c r="F151" s="464"/>
      <c r="G151" s="483"/>
    </row>
    <row r="152" spans="1:7">
      <c r="A152" s="63" t="s">
        <v>391</v>
      </c>
      <c r="B152" s="63" t="s">
        <v>392</v>
      </c>
      <c r="C152" s="481">
        <v>0</v>
      </c>
      <c r="E152" s="463"/>
      <c r="F152" s="464"/>
      <c r="G152" s="483"/>
    </row>
    <row r="153" spans="1:7">
      <c r="A153" s="63" t="s">
        <v>409</v>
      </c>
      <c r="B153" s="63" t="s">
        <v>410</v>
      </c>
      <c r="C153" s="481">
        <v>73776</v>
      </c>
      <c r="E153" s="463"/>
      <c r="F153" s="464"/>
      <c r="G153" s="483"/>
    </row>
    <row r="154" spans="1:7">
      <c r="A154" s="63" t="s">
        <v>139</v>
      </c>
      <c r="B154" s="63" t="s">
        <v>140</v>
      </c>
      <c r="C154" s="481">
        <v>3021</v>
      </c>
      <c r="E154" s="463"/>
      <c r="F154" s="464"/>
      <c r="G154" s="485" t="s">
        <v>877</v>
      </c>
    </row>
    <row r="155" spans="1:7">
      <c r="A155" s="63" t="s">
        <v>260</v>
      </c>
      <c r="B155" s="63" t="s">
        <v>261</v>
      </c>
      <c r="C155" s="481">
        <v>0</v>
      </c>
      <c r="E155" s="463"/>
      <c r="F155" s="464"/>
      <c r="G155" s="486"/>
    </row>
    <row r="156" spans="1:7">
      <c r="A156" s="63" t="s">
        <v>125</v>
      </c>
      <c r="B156" s="63" t="s">
        <v>126</v>
      </c>
      <c r="C156" s="481">
        <v>108694</v>
      </c>
      <c r="E156" s="463"/>
      <c r="F156" s="464"/>
      <c r="G156" s="486"/>
    </row>
    <row r="157" spans="1:7">
      <c r="A157" s="63" t="s">
        <v>258</v>
      </c>
      <c r="B157" s="63" t="s">
        <v>259</v>
      </c>
      <c r="C157" s="481">
        <v>6174</v>
      </c>
      <c r="E157" s="463"/>
      <c r="F157" s="464"/>
      <c r="G157" s="485" t="s">
        <v>877</v>
      </c>
    </row>
    <row r="158" spans="1:7">
      <c r="A158" s="63" t="s">
        <v>571</v>
      </c>
      <c r="B158" s="63" t="s">
        <v>572</v>
      </c>
      <c r="C158" s="481">
        <v>21454</v>
      </c>
      <c r="E158" s="463"/>
      <c r="F158" s="464"/>
      <c r="G158" s="483"/>
    </row>
    <row r="159" spans="1:7">
      <c r="A159" s="63" t="s">
        <v>516</v>
      </c>
      <c r="B159" s="63" t="s">
        <v>517</v>
      </c>
      <c r="C159" s="481">
        <v>23030</v>
      </c>
      <c r="E159" s="463"/>
      <c r="F159" s="464"/>
      <c r="G159" s="483"/>
    </row>
    <row r="160" spans="1:7">
      <c r="A160" s="63" t="s">
        <v>389</v>
      </c>
      <c r="B160" s="63" t="s">
        <v>390</v>
      </c>
      <c r="C160" s="481">
        <v>0</v>
      </c>
      <c r="E160" s="463"/>
      <c r="F160" s="464"/>
      <c r="G160" s="483"/>
    </row>
    <row r="161" spans="1:7">
      <c r="A161" s="63" t="s">
        <v>386</v>
      </c>
      <c r="B161" s="63" t="s">
        <v>610</v>
      </c>
      <c r="C161" s="481">
        <v>254383</v>
      </c>
      <c r="E161" s="463"/>
      <c r="F161" s="464"/>
      <c r="G161" s="483"/>
    </row>
    <row r="162" spans="1:7">
      <c r="A162" s="63" t="s">
        <v>399</v>
      </c>
      <c r="B162" s="63" t="s">
        <v>400</v>
      </c>
      <c r="C162" s="481">
        <v>382319</v>
      </c>
      <c r="E162" s="463"/>
      <c r="F162" s="464"/>
      <c r="G162" s="483"/>
    </row>
    <row r="163" spans="1:7">
      <c r="A163" s="63" t="s">
        <v>545</v>
      </c>
      <c r="B163" s="63" t="s">
        <v>546</v>
      </c>
      <c r="C163" s="481">
        <v>11121</v>
      </c>
      <c r="E163" s="463"/>
      <c r="F163" s="464"/>
      <c r="G163" s="483"/>
    </row>
    <row r="164" spans="1:7">
      <c r="A164" s="63" t="s">
        <v>252</v>
      </c>
      <c r="B164" s="63" t="s">
        <v>253</v>
      </c>
      <c r="D164" s="481">
        <v>219</v>
      </c>
      <c r="E164" s="463"/>
      <c r="F164" s="464"/>
      <c r="G164" s="483"/>
    </row>
    <row r="165" spans="1:7">
      <c r="A165" s="63" t="s">
        <v>331</v>
      </c>
      <c r="B165" s="63" t="s">
        <v>611</v>
      </c>
      <c r="D165" s="481">
        <v>876</v>
      </c>
      <c r="E165" s="463"/>
      <c r="F165" s="464"/>
      <c r="G165" s="483"/>
    </row>
    <row r="166" spans="1:7">
      <c r="A166" s="63" t="s">
        <v>309</v>
      </c>
      <c r="B166" s="63" t="s">
        <v>310</v>
      </c>
      <c r="C166" s="481">
        <v>0</v>
      </c>
      <c r="E166" s="463"/>
      <c r="F166" s="464"/>
      <c r="G166" s="483"/>
    </row>
    <row r="167" spans="1:7">
      <c r="A167" s="63" t="s">
        <v>336</v>
      </c>
      <c r="B167" s="63" t="s">
        <v>337</v>
      </c>
      <c r="C167" s="481">
        <v>0</v>
      </c>
      <c r="E167" s="463"/>
      <c r="F167" s="464"/>
      <c r="G167" s="483"/>
    </row>
    <row r="168" spans="1:7">
      <c r="A168" s="63" t="s">
        <v>428</v>
      </c>
      <c r="B168" s="63" t="s">
        <v>429</v>
      </c>
      <c r="C168" s="481">
        <v>0</v>
      </c>
      <c r="E168" s="463"/>
      <c r="F168" s="464"/>
      <c r="G168" s="483"/>
    </row>
    <row r="169" spans="1:7">
      <c r="A169" s="63" t="s">
        <v>514</v>
      </c>
      <c r="B169" s="63" t="s">
        <v>515</v>
      </c>
      <c r="C169" s="481">
        <v>32554</v>
      </c>
      <c r="E169" s="463"/>
      <c r="F169" s="464"/>
      <c r="G169" s="483"/>
    </row>
    <row r="170" spans="1:7">
      <c r="A170" s="63" t="s">
        <v>136</v>
      </c>
      <c r="B170" s="63" t="s">
        <v>137</v>
      </c>
      <c r="C170" s="481">
        <v>0</v>
      </c>
      <c r="E170" s="463"/>
      <c r="F170" s="464"/>
      <c r="G170" s="483"/>
    </row>
    <row r="171" spans="1:7">
      <c r="A171" s="63" t="s">
        <v>106</v>
      </c>
      <c r="B171" s="63" t="s">
        <v>107</v>
      </c>
      <c r="C171" s="481">
        <v>120997</v>
      </c>
      <c r="E171" s="463"/>
      <c r="F171" s="464"/>
      <c r="G171" s="483"/>
    </row>
    <row r="172" spans="1:7">
      <c r="A172" s="63" t="s">
        <v>214</v>
      </c>
      <c r="B172" s="63" t="s">
        <v>215</v>
      </c>
      <c r="C172" s="481">
        <v>32444</v>
      </c>
      <c r="E172" s="463"/>
      <c r="F172" s="464"/>
      <c r="G172" s="483"/>
    </row>
    <row r="173" spans="1:7">
      <c r="A173" s="63" t="s">
        <v>305</v>
      </c>
      <c r="B173" s="63" t="s">
        <v>306</v>
      </c>
      <c r="C173" s="481">
        <v>14098</v>
      </c>
      <c r="E173" s="463"/>
      <c r="F173" s="464"/>
      <c r="G173" s="483"/>
    </row>
    <row r="174" spans="1:7">
      <c r="A174" s="63" t="s">
        <v>334</v>
      </c>
      <c r="B174" s="63" t="s">
        <v>335</v>
      </c>
      <c r="C174" s="481">
        <v>0</v>
      </c>
      <c r="E174" s="463"/>
      <c r="F174" s="464"/>
      <c r="G174" s="483"/>
    </row>
    <row r="175" spans="1:7">
      <c r="A175" s="63" t="s">
        <v>474</v>
      </c>
      <c r="B175" s="63" t="s">
        <v>475</v>
      </c>
      <c r="C175" s="481">
        <v>71784</v>
      </c>
      <c r="E175" s="463"/>
      <c r="F175" s="464"/>
      <c r="G175" s="483"/>
    </row>
    <row r="176" spans="1:7">
      <c r="A176" s="63" t="s">
        <v>468</v>
      </c>
      <c r="B176" s="63" t="s">
        <v>469</v>
      </c>
      <c r="C176" s="481">
        <v>0</v>
      </c>
      <c r="E176" s="463"/>
      <c r="F176" s="464"/>
      <c r="G176" s="483"/>
    </row>
    <row r="177" spans="1:7">
      <c r="A177" s="63" t="s">
        <v>209</v>
      </c>
      <c r="B177" s="63" t="s">
        <v>210</v>
      </c>
      <c r="C177" s="481">
        <v>156112</v>
      </c>
      <c r="E177" s="463"/>
      <c r="F177" s="464"/>
      <c r="G177" s="483"/>
    </row>
    <row r="178" spans="1:7">
      <c r="A178" s="63" t="s">
        <v>157</v>
      </c>
      <c r="B178" s="63" t="s">
        <v>158</v>
      </c>
      <c r="C178" s="481">
        <v>16048</v>
      </c>
      <c r="E178" s="463"/>
      <c r="F178" s="464"/>
      <c r="G178" s="483"/>
    </row>
    <row r="179" spans="1:7">
      <c r="A179" s="63" t="s">
        <v>541</v>
      </c>
      <c r="B179" s="63" t="s">
        <v>542</v>
      </c>
      <c r="C179" s="481">
        <v>0</v>
      </c>
      <c r="E179" s="463"/>
      <c r="F179" s="464"/>
      <c r="G179" s="483"/>
    </row>
    <row r="180" spans="1:7">
      <c r="A180" s="63" t="s">
        <v>155</v>
      </c>
      <c r="B180" s="63" t="s">
        <v>156</v>
      </c>
      <c r="C180" s="481">
        <v>0</v>
      </c>
      <c r="E180" s="463"/>
      <c r="F180" s="464"/>
      <c r="G180" s="483"/>
    </row>
    <row r="181" spans="1:7">
      <c r="A181" s="63" t="s">
        <v>325</v>
      </c>
      <c r="B181" s="63" t="s">
        <v>326</v>
      </c>
      <c r="C181" s="481">
        <v>4816</v>
      </c>
      <c r="E181" s="463"/>
      <c r="F181" s="464"/>
      <c r="G181" s="485" t="s">
        <v>712</v>
      </c>
    </row>
    <row r="182" spans="1:7">
      <c r="A182" s="63" t="s">
        <v>153</v>
      </c>
      <c r="B182" s="63" t="s">
        <v>154</v>
      </c>
      <c r="C182" s="481">
        <v>7575</v>
      </c>
      <c r="E182" s="463"/>
      <c r="F182" s="464"/>
      <c r="G182" s="485" t="s">
        <v>877</v>
      </c>
    </row>
    <row r="183" spans="1:7">
      <c r="A183" s="63" t="s">
        <v>287</v>
      </c>
      <c r="B183" s="63" t="s">
        <v>288</v>
      </c>
      <c r="C183" s="481">
        <v>0</v>
      </c>
      <c r="E183" s="463"/>
      <c r="F183" s="464"/>
      <c r="G183" s="486"/>
    </row>
    <row r="184" spans="1:7">
      <c r="A184" s="63" t="s">
        <v>313</v>
      </c>
      <c r="B184" s="63" t="s">
        <v>314</v>
      </c>
      <c r="C184" s="481">
        <v>14142</v>
      </c>
      <c r="E184" s="463"/>
      <c r="F184" s="464"/>
      <c r="G184" s="486"/>
    </row>
    <row r="185" spans="1:7">
      <c r="A185" s="63" t="s">
        <v>478</v>
      </c>
      <c r="B185" s="63" t="s">
        <v>479</v>
      </c>
      <c r="C185" s="481">
        <v>36232</v>
      </c>
      <c r="E185" s="463"/>
      <c r="F185" s="464"/>
      <c r="G185" s="486"/>
    </row>
    <row r="186" spans="1:7">
      <c r="A186" s="63" t="s">
        <v>311</v>
      </c>
      <c r="B186" s="63" t="s">
        <v>312</v>
      </c>
      <c r="C186" s="481">
        <v>13091</v>
      </c>
      <c r="E186" s="463"/>
      <c r="F186" s="464"/>
      <c r="G186" s="487" t="s">
        <v>612</v>
      </c>
    </row>
    <row r="187" spans="1:7">
      <c r="A187" s="63" t="s">
        <v>270</v>
      </c>
      <c r="B187" s="63" t="s">
        <v>271</v>
      </c>
      <c r="C187" s="481">
        <v>3876</v>
      </c>
      <c r="E187" s="463"/>
      <c r="F187" s="464"/>
      <c r="G187" s="485" t="s">
        <v>877</v>
      </c>
    </row>
    <row r="188" spans="1:7">
      <c r="A188" s="63" t="s">
        <v>448</v>
      </c>
      <c r="B188" s="63" t="s">
        <v>449</v>
      </c>
      <c r="C188" s="481">
        <v>0</v>
      </c>
      <c r="E188" s="463"/>
      <c r="F188" s="464"/>
      <c r="G188" s="483"/>
    </row>
    <row r="189" spans="1:7">
      <c r="A189" s="63" t="s">
        <v>372</v>
      </c>
      <c r="B189" s="63" t="s">
        <v>613</v>
      </c>
      <c r="C189" s="481">
        <v>3044</v>
      </c>
      <c r="E189" s="463"/>
      <c r="F189" s="464"/>
      <c r="G189" s="485" t="s">
        <v>877</v>
      </c>
    </row>
    <row r="190" spans="1:7">
      <c r="A190" s="63" t="s">
        <v>424</v>
      </c>
      <c r="B190" s="63" t="s">
        <v>425</v>
      </c>
      <c r="C190" s="481">
        <v>0</v>
      </c>
      <c r="E190" s="463"/>
      <c r="F190" s="464"/>
      <c r="G190" s="483"/>
    </row>
    <row r="191" spans="1:7">
      <c r="A191" s="63" t="s">
        <v>98</v>
      </c>
      <c r="B191" s="63" t="s">
        <v>99</v>
      </c>
      <c r="C191" s="481">
        <v>0</v>
      </c>
      <c r="E191" s="463"/>
      <c r="F191" s="464"/>
      <c r="G191" s="483"/>
    </row>
    <row r="192" spans="1:7">
      <c r="A192" s="63" t="s">
        <v>82</v>
      </c>
      <c r="B192" s="63" t="s">
        <v>83</v>
      </c>
      <c r="C192" s="481">
        <v>17274</v>
      </c>
      <c r="E192" s="463"/>
      <c r="F192" s="464"/>
      <c r="G192" s="483"/>
    </row>
    <row r="193" spans="1:7">
      <c r="A193" s="63" t="s">
        <v>323</v>
      </c>
      <c r="B193" s="63" t="s">
        <v>324</v>
      </c>
      <c r="C193" s="481">
        <v>14098</v>
      </c>
      <c r="E193" s="463"/>
      <c r="F193" s="464"/>
      <c r="G193" s="483"/>
    </row>
    <row r="194" spans="1:7">
      <c r="A194" s="63" t="s">
        <v>355</v>
      </c>
      <c r="B194" s="63" t="s">
        <v>356</v>
      </c>
      <c r="C194" s="481">
        <v>4597</v>
      </c>
      <c r="E194" s="463"/>
      <c r="F194" s="464"/>
      <c r="G194" s="485" t="s">
        <v>877</v>
      </c>
    </row>
    <row r="195" spans="1:7">
      <c r="A195" s="63" t="s">
        <v>4</v>
      </c>
      <c r="B195" s="63" t="s">
        <v>5</v>
      </c>
      <c r="C195" s="481">
        <v>230675</v>
      </c>
      <c r="E195" s="463"/>
      <c r="F195" s="464"/>
      <c r="G195" s="483"/>
    </row>
    <row r="196" spans="1:7">
      <c r="A196" s="63" t="s">
        <v>86</v>
      </c>
      <c r="B196" s="63" t="s">
        <v>87</v>
      </c>
      <c r="D196" s="481">
        <v>2212</v>
      </c>
      <c r="E196" s="463"/>
      <c r="F196" s="464"/>
      <c r="G196" s="483"/>
    </row>
    <row r="197" spans="1:7">
      <c r="A197" s="63" t="s">
        <v>527</v>
      </c>
      <c r="B197" s="63" t="s">
        <v>528</v>
      </c>
      <c r="C197" s="481">
        <v>0</v>
      </c>
      <c r="E197" s="463"/>
      <c r="F197" s="464"/>
      <c r="G197" s="483"/>
    </row>
    <row r="198" spans="1:7">
      <c r="A198" s="63" t="s">
        <v>104</v>
      </c>
      <c r="B198" s="63" t="s">
        <v>105</v>
      </c>
      <c r="C198" s="481">
        <v>864795</v>
      </c>
      <c r="E198" s="463"/>
      <c r="F198" s="464"/>
      <c r="G198" s="483"/>
    </row>
    <row r="199" spans="1:7">
      <c r="A199" s="63" t="s">
        <v>317</v>
      </c>
      <c r="B199" s="63" t="s">
        <v>318</v>
      </c>
      <c r="C199" s="481">
        <v>5277</v>
      </c>
      <c r="E199" s="463"/>
      <c r="F199" s="464"/>
      <c r="G199" s="485" t="s">
        <v>612</v>
      </c>
    </row>
    <row r="200" spans="1:7">
      <c r="A200" s="63" t="s">
        <v>16</v>
      </c>
      <c r="B200" s="63" t="s">
        <v>17</v>
      </c>
      <c r="C200" s="481">
        <v>5823</v>
      </c>
      <c r="E200" s="463"/>
      <c r="F200" s="464"/>
      <c r="G200" s="483"/>
    </row>
    <row r="201" spans="1:7">
      <c r="A201" s="63" t="s">
        <v>272</v>
      </c>
      <c r="B201" s="63" t="s">
        <v>273</v>
      </c>
      <c r="C201" s="481">
        <v>0</v>
      </c>
      <c r="E201" s="463"/>
      <c r="F201" s="464"/>
      <c r="G201" s="483"/>
    </row>
    <row r="202" spans="1:7">
      <c r="A202" s="63" t="s">
        <v>359</v>
      </c>
      <c r="B202" s="63" t="s">
        <v>360</v>
      </c>
      <c r="C202" s="481">
        <v>8713</v>
      </c>
      <c r="E202" s="463"/>
      <c r="F202" s="464"/>
      <c r="G202" s="488" t="s">
        <v>881</v>
      </c>
    </row>
    <row r="203" spans="1:7">
      <c r="A203" s="63" t="s">
        <v>303</v>
      </c>
      <c r="B203" s="63" t="s">
        <v>304</v>
      </c>
      <c r="C203" s="481">
        <v>0</v>
      </c>
      <c r="E203" s="463"/>
      <c r="F203" s="464"/>
      <c r="G203" s="483"/>
    </row>
    <row r="204" spans="1:7">
      <c r="A204" s="63" t="s">
        <v>112</v>
      </c>
      <c r="B204" s="63" t="s">
        <v>113</v>
      </c>
      <c r="D204" s="481">
        <v>350</v>
      </c>
      <c r="E204" s="463"/>
      <c r="F204" s="464"/>
      <c r="G204" s="483"/>
    </row>
    <row r="205" spans="1:7">
      <c r="A205" s="63" t="s">
        <v>39</v>
      </c>
      <c r="B205" s="63" t="s">
        <v>40</v>
      </c>
      <c r="D205" s="481">
        <v>8012</v>
      </c>
      <c r="E205" s="463"/>
      <c r="F205" s="464"/>
    </row>
    <row r="206" spans="1:7">
      <c r="A206" s="63" t="s">
        <v>171</v>
      </c>
      <c r="B206" s="63" t="s">
        <v>172</v>
      </c>
      <c r="C206" s="481">
        <v>1949</v>
      </c>
      <c r="E206" s="463"/>
      <c r="F206" s="464"/>
      <c r="G206" s="485" t="s">
        <v>877</v>
      </c>
    </row>
    <row r="207" spans="1:7">
      <c r="A207" s="63" t="s">
        <v>502</v>
      </c>
      <c r="B207" s="63" t="s">
        <v>503</v>
      </c>
      <c r="C207" s="481">
        <v>9676</v>
      </c>
      <c r="E207" s="463"/>
      <c r="F207" s="464"/>
      <c r="G207" s="483" t="s">
        <v>882</v>
      </c>
    </row>
    <row r="208" spans="1:7">
      <c r="A208" s="63" t="s">
        <v>21</v>
      </c>
      <c r="B208" s="63" t="s">
        <v>22</v>
      </c>
      <c r="C208" s="481">
        <v>100506</v>
      </c>
      <c r="E208" s="463"/>
      <c r="F208" s="464"/>
      <c r="G208" s="483"/>
    </row>
    <row r="209" spans="1:7">
      <c r="A209" s="63" t="s">
        <v>657</v>
      </c>
      <c r="B209" s="63" t="s">
        <v>658</v>
      </c>
      <c r="C209" s="481">
        <v>0</v>
      </c>
      <c r="E209" s="463"/>
      <c r="F209" s="464"/>
      <c r="G209" s="483"/>
    </row>
    <row r="210" spans="1:7">
      <c r="A210" s="63" t="s">
        <v>523</v>
      </c>
      <c r="B210" s="63" t="s">
        <v>524</v>
      </c>
      <c r="C210" s="481">
        <v>11582</v>
      </c>
      <c r="E210" s="463"/>
      <c r="F210" s="464"/>
      <c r="G210" s="483"/>
    </row>
    <row r="211" spans="1:7">
      <c r="A211" s="63" t="s">
        <v>343</v>
      </c>
      <c r="B211" s="63" t="s">
        <v>344</v>
      </c>
      <c r="C211" s="481">
        <v>100813</v>
      </c>
      <c r="E211" s="463"/>
      <c r="F211" s="464">
        <v>1</v>
      </c>
      <c r="G211" s="483"/>
    </row>
    <row r="212" spans="1:7">
      <c r="A212" s="63" t="s">
        <v>163</v>
      </c>
      <c r="B212" s="63" t="s">
        <v>164</v>
      </c>
      <c r="C212" s="481">
        <v>0</v>
      </c>
      <c r="E212" s="463"/>
      <c r="F212" s="464"/>
      <c r="G212" s="483"/>
    </row>
    <row r="213" spans="1:7">
      <c r="A213" s="63" t="s">
        <v>167</v>
      </c>
      <c r="B213" s="63" t="s">
        <v>168</v>
      </c>
      <c r="C213" s="481">
        <v>0</v>
      </c>
      <c r="E213" s="463"/>
      <c r="F213" s="464"/>
      <c r="G213" s="483"/>
    </row>
    <row r="214" spans="1:7">
      <c r="A214" s="63" t="s">
        <v>47</v>
      </c>
      <c r="B214" s="63" t="s">
        <v>48</v>
      </c>
      <c r="C214" s="481">
        <v>18806</v>
      </c>
      <c r="E214" s="463"/>
      <c r="F214" s="464"/>
      <c r="G214" s="483"/>
    </row>
    <row r="215" spans="1:7">
      <c r="A215" s="63" t="s">
        <v>145</v>
      </c>
      <c r="B215" s="63" t="s">
        <v>146</v>
      </c>
      <c r="C215" s="481">
        <v>5779</v>
      </c>
      <c r="E215" s="463"/>
      <c r="F215" s="464"/>
      <c r="G215" s="485" t="s">
        <v>877</v>
      </c>
    </row>
    <row r="216" spans="1:7">
      <c r="A216" s="63" t="s">
        <v>116</v>
      </c>
      <c r="B216" s="63" t="s">
        <v>117</v>
      </c>
      <c r="C216" s="481">
        <v>150901</v>
      </c>
      <c r="E216" s="463"/>
      <c r="F216" s="464"/>
      <c r="G216" s="483"/>
    </row>
    <row r="217" spans="1:7">
      <c r="A217" s="63" t="s">
        <v>480</v>
      </c>
      <c r="B217" s="63" t="s">
        <v>481</v>
      </c>
      <c r="C217" s="481">
        <v>0</v>
      </c>
      <c r="E217" s="463"/>
      <c r="F217" s="464"/>
      <c r="G217" s="483"/>
    </row>
    <row r="218" spans="1:7">
      <c r="A218" s="63" t="s">
        <v>327</v>
      </c>
      <c r="B218" s="63" t="s">
        <v>328</v>
      </c>
      <c r="C218" s="481">
        <v>10245</v>
      </c>
      <c r="E218" s="463"/>
      <c r="F218" s="464"/>
      <c r="G218" s="485" t="s">
        <v>712</v>
      </c>
    </row>
    <row r="219" spans="1:7">
      <c r="A219" s="63" t="s">
        <v>282</v>
      </c>
      <c r="B219" s="63" t="s">
        <v>665</v>
      </c>
      <c r="C219" s="481">
        <v>0</v>
      </c>
      <c r="E219" s="463"/>
      <c r="F219" s="464"/>
      <c r="G219" s="483"/>
    </row>
    <row r="220" spans="1:7">
      <c r="A220" s="63" t="s">
        <v>185</v>
      </c>
      <c r="B220" s="63" t="s">
        <v>186</v>
      </c>
      <c r="C220" s="481">
        <v>352809</v>
      </c>
      <c r="E220" s="463"/>
      <c r="F220" s="464"/>
      <c r="G220" s="483"/>
    </row>
    <row r="221" spans="1:7">
      <c r="A221" s="63" t="s">
        <v>102</v>
      </c>
      <c r="B221" s="63" t="s">
        <v>103</v>
      </c>
      <c r="C221" s="481">
        <v>0</v>
      </c>
      <c r="E221" s="463"/>
      <c r="F221" s="464"/>
      <c r="G221" s="483"/>
    </row>
    <row r="222" spans="1:7">
      <c r="A222" s="63" t="s">
        <v>23</v>
      </c>
      <c r="B222" s="63" t="s">
        <v>24</v>
      </c>
      <c r="C222" s="481">
        <v>41880</v>
      </c>
      <c r="E222" s="463"/>
      <c r="F222" s="464"/>
      <c r="G222" s="483"/>
    </row>
    <row r="223" spans="1:7">
      <c r="A223" s="63" t="s">
        <v>64</v>
      </c>
      <c r="B223" s="63" t="s">
        <v>65</v>
      </c>
      <c r="C223" s="481">
        <v>11363</v>
      </c>
      <c r="E223" s="463"/>
      <c r="F223" s="464"/>
      <c r="G223" s="485" t="s">
        <v>883</v>
      </c>
    </row>
    <row r="224" spans="1:7">
      <c r="A224" s="63" t="s">
        <v>8</v>
      </c>
      <c r="B224" s="63" t="s">
        <v>9</v>
      </c>
      <c r="C224" s="481">
        <v>0</v>
      </c>
      <c r="E224" s="463"/>
      <c r="F224" s="464"/>
      <c r="G224" s="483"/>
    </row>
    <row r="225" spans="1:7">
      <c r="A225" s="63" t="s">
        <v>446</v>
      </c>
      <c r="B225" s="63" t="s">
        <v>447</v>
      </c>
      <c r="D225" s="481">
        <v>1751</v>
      </c>
      <c r="E225" s="463"/>
      <c r="F225" s="464"/>
      <c r="G225" s="483"/>
    </row>
    <row r="226" spans="1:7">
      <c r="A226" s="63" t="s">
        <v>193</v>
      </c>
      <c r="B226" s="63" t="s">
        <v>194</v>
      </c>
      <c r="C226" s="481">
        <v>9524</v>
      </c>
      <c r="E226" s="463"/>
      <c r="F226" s="464"/>
      <c r="G226" s="483" t="s">
        <v>877</v>
      </c>
    </row>
    <row r="227" spans="1:7">
      <c r="A227" s="63" t="s">
        <v>484</v>
      </c>
      <c r="B227" s="63" t="s">
        <v>485</v>
      </c>
      <c r="C227" s="481">
        <v>21498</v>
      </c>
      <c r="E227" s="463"/>
      <c r="F227" s="464"/>
      <c r="G227" s="483"/>
    </row>
    <row r="228" spans="1:7">
      <c r="A228" s="63" t="s">
        <v>244</v>
      </c>
      <c r="B228" s="63" t="s">
        <v>245</v>
      </c>
      <c r="D228" s="481">
        <v>1751</v>
      </c>
      <c r="E228" s="463"/>
      <c r="F228" s="464"/>
      <c r="G228" s="483"/>
    </row>
    <row r="229" spans="1:7">
      <c r="A229" s="63" t="s">
        <v>537</v>
      </c>
      <c r="B229" s="63" t="s">
        <v>538</v>
      </c>
      <c r="C229" s="481">
        <v>0</v>
      </c>
      <c r="E229" s="463"/>
      <c r="F229" s="464"/>
      <c r="G229" s="483"/>
    </row>
    <row r="230" spans="1:7">
      <c r="A230" s="63" t="s">
        <v>123</v>
      </c>
      <c r="B230" s="63" t="s">
        <v>124</v>
      </c>
      <c r="C230" s="481">
        <v>103242</v>
      </c>
      <c r="E230" s="463"/>
      <c r="F230" s="464"/>
      <c r="G230" s="483"/>
    </row>
    <row r="231" spans="1:7">
      <c r="A231" s="63" t="s">
        <v>375</v>
      </c>
      <c r="B231" s="63" t="s">
        <v>614</v>
      </c>
      <c r="C231" s="481">
        <v>7160</v>
      </c>
      <c r="E231" s="463"/>
      <c r="F231" s="464"/>
      <c r="G231" s="485" t="s">
        <v>877</v>
      </c>
    </row>
    <row r="232" spans="1:7">
      <c r="A232" s="63" t="s">
        <v>149</v>
      </c>
      <c r="B232" s="63" t="s">
        <v>150</v>
      </c>
      <c r="C232" s="481">
        <v>0</v>
      </c>
      <c r="E232" s="463"/>
      <c r="F232" s="464"/>
      <c r="G232" s="483"/>
    </row>
    <row r="233" spans="1:7">
      <c r="A233" s="63" t="s">
        <v>173</v>
      </c>
      <c r="B233" s="63" t="s">
        <v>174</v>
      </c>
      <c r="C233" s="481">
        <v>954070</v>
      </c>
      <c r="E233" s="463"/>
      <c r="F233" s="464"/>
      <c r="G233" s="483"/>
    </row>
    <row r="234" spans="1:7">
      <c r="A234" s="63" t="s">
        <v>379</v>
      </c>
      <c r="B234" s="63" t="s">
        <v>615</v>
      </c>
      <c r="C234" s="481">
        <v>36472</v>
      </c>
      <c r="E234" s="463"/>
      <c r="F234" s="464"/>
      <c r="G234" s="483"/>
    </row>
    <row r="235" spans="1:7">
      <c r="A235" s="484" t="s">
        <v>551</v>
      </c>
      <c r="B235" s="484" t="s">
        <v>552</v>
      </c>
      <c r="C235" s="481">
        <v>35509</v>
      </c>
      <c r="E235" s="463"/>
      <c r="F235" s="464"/>
      <c r="G235" s="483"/>
    </row>
    <row r="236" spans="1:7">
      <c r="A236" s="63" t="s">
        <v>340</v>
      </c>
      <c r="B236" s="63" t="s">
        <v>341</v>
      </c>
      <c r="C236" s="481">
        <v>0</v>
      </c>
      <c r="E236" s="463"/>
      <c r="F236" s="464"/>
      <c r="G236" s="483"/>
    </row>
    <row r="237" spans="1:7">
      <c r="A237" s="63" t="s">
        <v>43</v>
      </c>
      <c r="B237" s="63" t="s">
        <v>44</v>
      </c>
      <c r="C237" s="481">
        <v>5254</v>
      </c>
      <c r="E237" s="463"/>
      <c r="F237" s="464"/>
      <c r="G237" s="485" t="s">
        <v>877</v>
      </c>
    </row>
    <row r="238" spans="1:7">
      <c r="A238" s="63" t="s">
        <v>371</v>
      </c>
      <c r="B238" s="63" t="s">
        <v>670</v>
      </c>
      <c r="C238" s="481">
        <v>0</v>
      </c>
      <c r="E238" s="463"/>
      <c r="F238" s="464"/>
      <c r="G238" s="483"/>
    </row>
    <row r="239" spans="1:7">
      <c r="A239" s="63" t="s">
        <v>299</v>
      </c>
      <c r="B239" s="63" t="s">
        <v>300</v>
      </c>
      <c r="C239" s="481">
        <v>50176</v>
      </c>
      <c r="E239" s="463"/>
      <c r="F239" s="464"/>
      <c r="G239" s="483"/>
    </row>
    <row r="240" spans="1:7">
      <c r="A240" s="63" t="s">
        <v>203</v>
      </c>
      <c r="B240" s="63" t="s">
        <v>204</v>
      </c>
      <c r="C240" s="481">
        <v>97223</v>
      </c>
      <c r="E240" s="463"/>
      <c r="F240" s="464"/>
      <c r="G240" s="483"/>
    </row>
    <row r="241" spans="1:7">
      <c r="A241" s="63" t="s">
        <v>387</v>
      </c>
      <c r="B241" s="63" t="s">
        <v>388</v>
      </c>
      <c r="C241" s="481">
        <v>0</v>
      </c>
      <c r="E241" s="463"/>
      <c r="F241" s="464"/>
      <c r="G241" s="483"/>
    </row>
    <row r="242" spans="1:7">
      <c r="A242" s="63" t="s">
        <v>187</v>
      </c>
      <c r="B242" s="63" t="s">
        <v>188</v>
      </c>
      <c r="C242" s="481">
        <v>0</v>
      </c>
      <c r="E242" s="463"/>
      <c r="F242" s="464"/>
      <c r="G242" s="483"/>
    </row>
    <row r="243" spans="1:7">
      <c r="A243" s="63" t="s">
        <v>411</v>
      </c>
      <c r="B243" s="63" t="s">
        <v>412</v>
      </c>
      <c r="C243" s="481">
        <v>42908</v>
      </c>
      <c r="E243" s="463"/>
      <c r="F243" s="464"/>
      <c r="G243" s="483"/>
    </row>
    <row r="244" spans="1:7">
      <c r="A244" s="63" t="s">
        <v>199</v>
      </c>
      <c r="B244" s="63" t="s">
        <v>200</v>
      </c>
      <c r="C244" s="481">
        <v>18477</v>
      </c>
      <c r="E244" s="463"/>
      <c r="F244" s="464"/>
      <c r="G244" s="485" t="s">
        <v>881</v>
      </c>
    </row>
    <row r="245" spans="1:7">
      <c r="A245" s="63" t="s">
        <v>121</v>
      </c>
      <c r="B245" s="63" t="s">
        <v>122</v>
      </c>
      <c r="C245" s="481">
        <v>16069</v>
      </c>
      <c r="E245" s="463"/>
      <c r="F245" s="464"/>
      <c r="G245" s="483"/>
    </row>
    <row r="246" spans="1:7">
      <c r="A246" s="63" t="s">
        <v>329</v>
      </c>
      <c r="B246" s="63" t="s">
        <v>330</v>
      </c>
      <c r="C246" s="481">
        <v>13464</v>
      </c>
      <c r="E246" s="463"/>
      <c r="F246" s="464"/>
      <c r="G246" s="483"/>
    </row>
    <row r="247" spans="1:7">
      <c r="A247" s="63" t="s">
        <v>218</v>
      </c>
      <c r="B247" s="63" t="s">
        <v>219</v>
      </c>
      <c r="C247" s="481">
        <v>13771</v>
      </c>
      <c r="E247" s="463"/>
      <c r="F247" s="464"/>
      <c r="G247" s="483"/>
    </row>
    <row r="248" spans="1:7">
      <c r="A248" s="63" t="s">
        <v>161</v>
      </c>
      <c r="B248" s="63" t="s">
        <v>162</v>
      </c>
      <c r="D248" s="481">
        <v>2256</v>
      </c>
      <c r="E248" s="463"/>
      <c r="F248" s="464"/>
      <c r="G248" s="483"/>
    </row>
    <row r="249" spans="1:7">
      <c r="A249" s="63" t="s">
        <v>295</v>
      </c>
      <c r="B249" s="63" t="s">
        <v>296</v>
      </c>
      <c r="C249" s="481">
        <v>175</v>
      </c>
      <c r="E249" s="463"/>
      <c r="F249" s="464"/>
      <c r="G249" s="485" t="s">
        <v>877</v>
      </c>
    </row>
    <row r="250" spans="1:7">
      <c r="A250" s="63" t="s">
        <v>422</v>
      </c>
      <c r="B250" s="63" t="s">
        <v>423</v>
      </c>
      <c r="C250" s="481">
        <v>206156</v>
      </c>
      <c r="E250" s="463"/>
      <c r="F250" s="464"/>
      <c r="G250" s="483"/>
    </row>
    <row r="251" spans="1:7">
      <c r="A251" s="63" t="s">
        <v>280</v>
      </c>
      <c r="B251" s="63" t="s">
        <v>281</v>
      </c>
      <c r="C251" s="481">
        <v>0</v>
      </c>
      <c r="D251" s="490"/>
      <c r="E251" s="463"/>
      <c r="F251" s="464"/>
      <c r="G251" s="483"/>
    </row>
    <row r="252" spans="1:7">
      <c r="A252" s="63" t="s">
        <v>539</v>
      </c>
      <c r="B252" s="63" t="s">
        <v>540</v>
      </c>
      <c r="C252" s="481">
        <v>0</v>
      </c>
      <c r="E252" s="463"/>
      <c r="F252" s="464"/>
      <c r="G252" s="483"/>
    </row>
    <row r="253" spans="1:7">
      <c r="A253" s="63" t="s">
        <v>421</v>
      </c>
      <c r="B253" s="63" t="s">
        <v>673</v>
      </c>
      <c r="C253" s="481">
        <v>14449</v>
      </c>
      <c r="E253" s="463"/>
      <c r="F253" s="464"/>
      <c r="G253" s="483"/>
    </row>
    <row r="254" spans="1:7">
      <c r="A254" s="63" t="s">
        <v>108</v>
      </c>
      <c r="B254" s="63" t="s">
        <v>109</v>
      </c>
      <c r="C254" s="481">
        <v>0</v>
      </c>
      <c r="E254" s="463"/>
      <c r="F254" s="464"/>
      <c r="G254" s="483"/>
    </row>
    <row r="255" spans="1:7">
      <c r="A255" s="63" t="s">
        <v>68</v>
      </c>
      <c r="B255" s="63" t="s">
        <v>69</v>
      </c>
      <c r="C255" s="481">
        <v>0</v>
      </c>
      <c r="E255" s="463"/>
      <c r="F255" s="464"/>
      <c r="G255" s="483"/>
    </row>
    <row r="256" spans="1:7">
      <c r="A256" s="63" t="s">
        <v>27</v>
      </c>
      <c r="B256" s="63" t="s">
        <v>28</v>
      </c>
      <c r="C256" s="481">
        <v>0</v>
      </c>
      <c r="E256" s="463"/>
      <c r="F256" s="464"/>
      <c r="G256" s="483"/>
    </row>
    <row r="257" spans="1:7">
      <c r="A257" s="63" t="s">
        <v>342</v>
      </c>
      <c r="B257" s="63" t="s">
        <v>617</v>
      </c>
      <c r="C257" s="481">
        <v>12939</v>
      </c>
      <c r="E257" s="463"/>
      <c r="F257" s="464"/>
      <c r="G257" s="483"/>
    </row>
    <row r="258" spans="1:7">
      <c r="A258" s="63" t="s">
        <v>531</v>
      </c>
      <c r="B258" s="63" t="s">
        <v>532</v>
      </c>
      <c r="C258" s="481">
        <v>0</v>
      </c>
      <c r="E258" s="463"/>
      <c r="F258" s="464"/>
      <c r="G258" s="483"/>
    </row>
    <row r="259" spans="1:7">
      <c r="A259" s="63" t="s">
        <v>393</v>
      </c>
      <c r="B259" s="63" t="s">
        <v>394</v>
      </c>
      <c r="D259" s="481">
        <v>3525</v>
      </c>
      <c r="E259" s="463"/>
      <c r="F259" s="464"/>
      <c r="G259" s="483"/>
    </row>
    <row r="260" spans="1:7">
      <c r="A260" s="63" t="s">
        <v>415</v>
      </c>
      <c r="B260" s="63" t="s">
        <v>416</v>
      </c>
      <c r="C260" s="481">
        <v>18258</v>
      </c>
      <c r="E260" s="463"/>
      <c r="F260" s="464"/>
      <c r="G260" s="483"/>
    </row>
    <row r="261" spans="1:7">
      <c r="A261" s="63" t="s">
        <v>460</v>
      </c>
      <c r="B261" s="63" t="s">
        <v>461</v>
      </c>
      <c r="C261" s="481">
        <v>0</v>
      </c>
      <c r="E261" s="463"/>
      <c r="F261" s="464"/>
      <c r="G261" s="483"/>
    </row>
    <row r="262" spans="1:7">
      <c r="A262" s="63" t="s">
        <v>351</v>
      </c>
      <c r="B262" s="63" t="s">
        <v>352</v>
      </c>
      <c r="C262" s="481">
        <v>38048</v>
      </c>
      <c r="E262" s="463"/>
      <c r="F262" s="464"/>
      <c r="G262" s="483"/>
    </row>
    <row r="263" spans="1:7">
      <c r="A263" s="63" t="s">
        <v>557</v>
      </c>
      <c r="B263" s="63" t="s">
        <v>558</v>
      </c>
      <c r="C263" s="481">
        <v>295388</v>
      </c>
      <c r="E263" s="463">
        <v>2</v>
      </c>
      <c r="F263" s="464"/>
      <c r="G263" s="483"/>
    </row>
    <row r="264" spans="1:7">
      <c r="A264" s="65" t="s">
        <v>661</v>
      </c>
      <c r="B264" s="63" t="s">
        <v>662</v>
      </c>
      <c r="C264" s="481">
        <v>0</v>
      </c>
      <c r="E264" s="463"/>
      <c r="F264" s="464"/>
      <c r="G264" s="483"/>
    </row>
    <row r="265" spans="1:7">
      <c r="A265" s="63" t="s">
        <v>345</v>
      </c>
      <c r="B265" s="63" t="s">
        <v>346</v>
      </c>
      <c r="C265" s="481">
        <v>353553</v>
      </c>
      <c r="E265" s="463"/>
      <c r="F265" s="464"/>
      <c r="G265" s="483"/>
    </row>
    <row r="266" spans="1:7">
      <c r="A266" s="63" t="s">
        <v>143</v>
      </c>
      <c r="B266" s="63" t="s">
        <v>144</v>
      </c>
      <c r="C266" s="481">
        <v>0</v>
      </c>
      <c r="E266" s="463"/>
      <c r="F266" s="464"/>
      <c r="G266" s="483"/>
    </row>
    <row r="267" spans="1:7">
      <c r="A267" s="63" t="s">
        <v>197</v>
      </c>
      <c r="B267" s="63" t="s">
        <v>198</v>
      </c>
      <c r="C267" s="481">
        <v>20622</v>
      </c>
      <c r="E267" s="463"/>
      <c r="F267" s="464"/>
      <c r="G267" s="483"/>
    </row>
    <row r="268" spans="1:7">
      <c r="A268" s="63" t="s">
        <v>521</v>
      </c>
      <c r="B268" s="63" t="s">
        <v>522</v>
      </c>
      <c r="C268" s="481">
        <v>0</v>
      </c>
      <c r="E268" s="463"/>
      <c r="F268" s="464"/>
      <c r="G268" s="483"/>
    </row>
    <row r="269" spans="1:7">
      <c r="A269" s="63" t="s">
        <v>486</v>
      </c>
      <c r="B269" s="63" t="s">
        <v>487</v>
      </c>
      <c r="C269" s="481">
        <v>2408</v>
      </c>
      <c r="E269" s="463"/>
      <c r="F269" s="464"/>
      <c r="G269" s="485" t="s">
        <v>877</v>
      </c>
    </row>
    <row r="270" spans="1:7">
      <c r="A270" s="63" t="s">
        <v>224</v>
      </c>
      <c r="B270" s="63" t="s">
        <v>225</v>
      </c>
      <c r="C270" s="481">
        <v>0</v>
      </c>
      <c r="E270" s="463"/>
      <c r="F270" s="464"/>
      <c r="G270" s="483"/>
    </row>
    <row r="271" spans="1:7">
      <c r="A271" s="63" t="s">
        <v>268</v>
      </c>
      <c r="B271" s="63" t="s">
        <v>269</v>
      </c>
      <c r="C271" s="481">
        <v>3613</v>
      </c>
      <c r="E271" s="463"/>
      <c r="F271" s="464"/>
      <c r="G271" s="485" t="s">
        <v>877</v>
      </c>
    </row>
    <row r="272" spans="1:7">
      <c r="A272" s="63" t="s">
        <v>321</v>
      </c>
      <c r="B272" s="63" t="s">
        <v>322</v>
      </c>
      <c r="C272" s="481">
        <v>20184</v>
      </c>
      <c r="E272" s="463"/>
      <c r="F272" s="464"/>
      <c r="G272" s="485" t="s">
        <v>612</v>
      </c>
    </row>
    <row r="273" spans="1:7">
      <c r="A273" s="63" t="s">
        <v>559</v>
      </c>
      <c r="B273" s="63" t="s">
        <v>560</v>
      </c>
      <c r="C273" s="481">
        <v>249502</v>
      </c>
      <c r="E273" s="463">
        <v>213</v>
      </c>
      <c r="F273" s="464"/>
      <c r="G273" s="483"/>
    </row>
    <row r="274" spans="1:7">
      <c r="A274" s="63" t="s">
        <v>496</v>
      </c>
      <c r="B274" s="63" t="s">
        <v>497</v>
      </c>
      <c r="C274" s="481">
        <v>2934</v>
      </c>
      <c r="E274" s="463"/>
      <c r="F274" s="464"/>
      <c r="G274" s="485" t="s">
        <v>882</v>
      </c>
    </row>
    <row r="275" spans="1:7">
      <c r="A275" s="63" t="s">
        <v>72</v>
      </c>
      <c r="B275" s="63" t="s">
        <v>73</v>
      </c>
      <c r="C275" s="481">
        <v>0</v>
      </c>
      <c r="E275" s="463"/>
      <c r="F275" s="464"/>
      <c r="G275" s="483"/>
    </row>
    <row r="276" spans="1:7">
      <c r="A276" s="63" t="s">
        <v>238</v>
      </c>
      <c r="B276" s="63" t="s">
        <v>239</v>
      </c>
      <c r="C276" s="481">
        <v>0</v>
      </c>
      <c r="E276" s="463"/>
      <c r="F276" s="464"/>
      <c r="G276" s="483"/>
    </row>
    <row r="277" spans="1:7">
      <c r="A277" s="63" t="s">
        <v>191</v>
      </c>
      <c r="B277" s="63" t="s">
        <v>192</v>
      </c>
      <c r="C277" s="481">
        <v>172946</v>
      </c>
      <c r="E277" s="463"/>
      <c r="F277" s="464"/>
      <c r="G277" s="483"/>
    </row>
    <row r="278" spans="1:7">
      <c r="A278" s="63" t="s">
        <v>476</v>
      </c>
      <c r="B278" s="63" t="s">
        <v>477</v>
      </c>
      <c r="C278" s="481">
        <v>17624</v>
      </c>
      <c r="E278" s="463"/>
      <c r="F278" s="464"/>
      <c r="G278" s="483"/>
    </row>
    <row r="279" spans="1:7">
      <c r="A279" s="63" t="s">
        <v>543</v>
      </c>
      <c r="B279" s="63" t="s">
        <v>544</v>
      </c>
      <c r="C279" s="481">
        <v>25438</v>
      </c>
      <c r="E279" s="463"/>
      <c r="F279" s="464"/>
      <c r="G279" s="483"/>
    </row>
    <row r="280" spans="1:7">
      <c r="A280" s="484" t="s">
        <v>349</v>
      </c>
      <c r="B280" s="484" t="s">
        <v>350</v>
      </c>
      <c r="C280" s="481">
        <v>19244</v>
      </c>
      <c r="E280" s="463"/>
      <c r="F280" s="464"/>
      <c r="G280" s="483"/>
    </row>
    <row r="281" spans="1:7">
      <c r="A281" s="63" t="s">
        <v>454</v>
      </c>
      <c r="B281" s="63" t="s">
        <v>455</v>
      </c>
      <c r="C281" s="481">
        <v>0</v>
      </c>
      <c r="E281" s="463"/>
      <c r="F281" s="464"/>
      <c r="G281" s="483"/>
    </row>
    <row r="282" spans="1:7">
      <c r="A282" s="63" t="s">
        <v>49</v>
      </c>
      <c r="B282" s="63" t="s">
        <v>50</v>
      </c>
      <c r="C282" s="481">
        <v>326605</v>
      </c>
      <c r="E282" s="463"/>
      <c r="F282" s="464"/>
      <c r="G282" s="483"/>
    </row>
    <row r="283" spans="1:7">
      <c r="A283" s="484" t="s">
        <v>183</v>
      </c>
      <c r="B283" s="484" t="s">
        <v>184</v>
      </c>
      <c r="C283" s="481">
        <v>3328</v>
      </c>
      <c r="E283" s="463"/>
      <c r="F283" s="464"/>
      <c r="G283" s="485" t="s">
        <v>877</v>
      </c>
    </row>
    <row r="284" spans="1:7">
      <c r="A284" s="63" t="s">
        <v>488</v>
      </c>
      <c r="B284" s="63" t="s">
        <v>489</v>
      </c>
      <c r="C284" s="481">
        <v>2737</v>
      </c>
      <c r="E284" s="463"/>
      <c r="F284" s="464"/>
      <c r="G284" s="485" t="s">
        <v>877</v>
      </c>
    </row>
    <row r="285" spans="1:7">
      <c r="A285" s="63" t="s">
        <v>114</v>
      </c>
      <c r="B285" s="63" t="s">
        <v>115</v>
      </c>
      <c r="C285" s="481">
        <v>210249</v>
      </c>
      <c r="E285" s="463"/>
      <c r="F285" s="464"/>
      <c r="G285" s="483"/>
    </row>
    <row r="286" spans="1:7">
      <c r="A286" s="63" t="s">
        <v>500</v>
      </c>
      <c r="B286" s="63" t="s">
        <v>501</v>
      </c>
      <c r="C286" s="481">
        <v>0</v>
      </c>
      <c r="E286" s="463"/>
      <c r="F286" s="464"/>
      <c r="G286" s="483"/>
    </row>
    <row r="287" spans="1:7">
      <c r="A287" s="63" t="s">
        <v>492</v>
      </c>
      <c r="B287" s="63" t="s">
        <v>493</v>
      </c>
      <c r="C287" s="481">
        <v>135511</v>
      </c>
      <c r="E287" s="463"/>
      <c r="F287" s="464"/>
      <c r="G287" s="483"/>
    </row>
    <row r="288" spans="1:7">
      <c r="A288" s="63" t="s">
        <v>567</v>
      </c>
      <c r="B288" s="63" t="s">
        <v>568</v>
      </c>
      <c r="C288" s="481">
        <v>175683</v>
      </c>
      <c r="E288" s="463">
        <v>112</v>
      </c>
      <c r="F288" s="464"/>
      <c r="G288" s="483"/>
    </row>
    <row r="289" spans="1:7">
      <c r="A289" s="63" t="s">
        <v>118</v>
      </c>
      <c r="B289" s="63" t="s">
        <v>119</v>
      </c>
      <c r="C289" s="481">
        <v>52015</v>
      </c>
      <c r="E289" s="463"/>
      <c r="F289" s="464"/>
      <c r="G289" s="483"/>
    </row>
    <row r="290" spans="1:7">
      <c r="A290" s="63" t="s">
        <v>56</v>
      </c>
      <c r="B290" s="63" t="s">
        <v>57</v>
      </c>
      <c r="C290" s="481">
        <v>9632</v>
      </c>
      <c r="E290" s="463"/>
      <c r="F290" s="464"/>
      <c r="G290" s="485" t="s">
        <v>854</v>
      </c>
    </row>
    <row r="291" spans="1:7">
      <c r="A291" s="63" t="s">
        <v>0</v>
      </c>
      <c r="B291" s="63" t="s">
        <v>1</v>
      </c>
      <c r="C291" s="481">
        <v>0</v>
      </c>
      <c r="E291" s="463"/>
      <c r="F291" s="464"/>
      <c r="G291" s="483"/>
    </row>
    <row r="292" spans="1:7">
      <c r="A292" s="63" t="s">
        <v>92</v>
      </c>
      <c r="B292" s="63" t="s">
        <v>93</v>
      </c>
      <c r="D292" s="481">
        <v>2431</v>
      </c>
      <c r="E292" s="463"/>
      <c r="F292" s="464"/>
      <c r="G292" s="483"/>
    </row>
    <row r="293" spans="1:7">
      <c r="A293" s="63" t="s">
        <v>452</v>
      </c>
      <c r="B293" s="63" t="s">
        <v>453</v>
      </c>
      <c r="C293" s="481">
        <v>0</v>
      </c>
      <c r="E293" s="463"/>
      <c r="F293" s="464"/>
      <c r="G293" s="483"/>
    </row>
    <row r="294" spans="1:7">
      <c r="A294" s="63" t="s">
        <v>37</v>
      </c>
      <c r="B294" s="63" t="s">
        <v>38</v>
      </c>
      <c r="C294" s="481">
        <v>269293</v>
      </c>
      <c r="E294" s="463"/>
      <c r="F294" s="464"/>
      <c r="G294" s="483"/>
    </row>
    <row r="295" spans="1:7">
      <c r="A295" s="131" t="s">
        <v>443</v>
      </c>
      <c r="B295" s="131" t="s">
        <v>675</v>
      </c>
      <c r="C295" s="481">
        <v>15960</v>
      </c>
      <c r="E295" s="463"/>
      <c r="F295" s="464"/>
      <c r="G295" s="483"/>
    </row>
    <row r="296" spans="1:7">
      <c r="A296" s="63" t="s">
        <v>569</v>
      </c>
      <c r="B296" s="63" t="s">
        <v>570</v>
      </c>
      <c r="C296" s="481">
        <v>11363</v>
      </c>
      <c r="E296" s="463"/>
      <c r="F296" s="464"/>
      <c r="G296" s="485" t="s">
        <v>879</v>
      </c>
    </row>
    <row r="297" spans="1:7">
      <c r="A297" s="63" t="s">
        <v>276</v>
      </c>
      <c r="B297" s="63" t="s">
        <v>277</v>
      </c>
      <c r="C297" s="481">
        <v>0</v>
      </c>
      <c r="E297" s="463"/>
      <c r="F297" s="464"/>
      <c r="G297" s="483"/>
    </row>
    <row r="298" spans="1:7">
      <c r="A298" s="63" t="s">
        <v>367</v>
      </c>
      <c r="B298" s="63" t="s">
        <v>368</v>
      </c>
      <c r="C298" s="481">
        <v>5911</v>
      </c>
      <c r="E298" s="463"/>
      <c r="F298" s="464"/>
      <c r="G298" s="485" t="s">
        <v>877</v>
      </c>
    </row>
    <row r="299" spans="1:7">
      <c r="A299" s="63" t="s">
        <v>248</v>
      </c>
      <c r="B299" s="63" t="s">
        <v>249</v>
      </c>
      <c r="C299" s="481">
        <v>32882</v>
      </c>
      <c r="E299" s="463"/>
      <c r="F299" s="464"/>
      <c r="G299" s="483"/>
    </row>
    <row r="300" spans="1:7">
      <c r="A300" s="63" t="s">
        <v>289</v>
      </c>
      <c r="B300" s="63" t="s">
        <v>290</v>
      </c>
      <c r="C300" s="481">
        <v>0</v>
      </c>
      <c r="E300" s="463"/>
      <c r="F300" s="464"/>
      <c r="G300" s="483"/>
    </row>
    <row r="301" spans="1:7">
      <c r="A301" s="63" t="s">
        <v>332</v>
      </c>
      <c r="B301" s="63" t="s">
        <v>333</v>
      </c>
      <c r="C301" s="481">
        <v>2364</v>
      </c>
      <c r="E301" s="463"/>
      <c r="F301" s="464"/>
      <c r="G301" s="485" t="s">
        <v>877</v>
      </c>
    </row>
    <row r="302" spans="1:7">
      <c r="A302" s="63" t="s">
        <v>129</v>
      </c>
      <c r="B302" s="63" t="s">
        <v>130</v>
      </c>
      <c r="C302" s="481">
        <v>0</v>
      </c>
      <c r="E302" s="463"/>
      <c r="F302" s="464"/>
      <c r="G302" s="483"/>
    </row>
    <row r="303" spans="1:7">
      <c r="A303" s="63" t="s">
        <v>264</v>
      </c>
      <c r="B303" s="63" t="s">
        <v>265</v>
      </c>
      <c r="C303" s="481">
        <v>11296</v>
      </c>
      <c r="E303" s="463"/>
      <c r="F303" s="464"/>
      <c r="G303" s="483"/>
    </row>
    <row r="304" spans="1:7">
      <c r="A304" s="63" t="s">
        <v>151</v>
      </c>
      <c r="B304" s="63" t="s">
        <v>152</v>
      </c>
      <c r="C304" s="481">
        <v>0</v>
      </c>
      <c r="E304" s="463"/>
      <c r="F304" s="464"/>
      <c r="G304" s="483"/>
    </row>
    <row r="305" spans="1:7">
      <c r="A305" s="63" t="s">
        <v>232</v>
      </c>
      <c r="B305" s="63" t="s">
        <v>233</v>
      </c>
      <c r="C305" s="481">
        <v>0</v>
      </c>
      <c r="E305" s="463"/>
      <c r="F305" s="464"/>
      <c r="G305" s="483"/>
    </row>
    <row r="306" spans="1:7">
      <c r="A306" s="63" t="s">
        <v>78</v>
      </c>
      <c r="B306" s="63" t="s">
        <v>79</v>
      </c>
      <c r="C306" s="481">
        <v>18762</v>
      </c>
      <c r="E306" s="463"/>
      <c r="F306" s="464"/>
      <c r="G306" s="483"/>
    </row>
    <row r="307" spans="1:7">
      <c r="A307" s="63" t="s">
        <v>547</v>
      </c>
      <c r="B307" s="63" t="s">
        <v>548</v>
      </c>
      <c r="C307" s="481">
        <v>677400</v>
      </c>
      <c r="E307" s="469">
        <v>61</v>
      </c>
      <c r="F307" s="464"/>
      <c r="G307" s="483"/>
    </row>
    <row r="308" spans="1:7">
      <c r="A308" s="63" t="s">
        <v>472</v>
      </c>
      <c r="B308" s="63" t="s">
        <v>473</v>
      </c>
      <c r="C308" s="481">
        <v>10750</v>
      </c>
      <c r="E308" s="463"/>
      <c r="F308" s="464"/>
      <c r="G308" s="485" t="s">
        <v>877</v>
      </c>
    </row>
    <row r="309" spans="1:7">
      <c r="A309" s="63" t="s">
        <v>565</v>
      </c>
      <c r="B309" s="63" t="s">
        <v>566</v>
      </c>
      <c r="C309" s="481">
        <v>27803</v>
      </c>
      <c r="E309" s="463"/>
      <c r="F309" s="464"/>
      <c r="G309" s="483"/>
    </row>
  </sheetData>
  <mergeCells count="1">
    <mergeCell ref="I1:L1"/>
  </mergeCells>
  <phoneticPr fontId="23" type="noConversion"/>
  <pageMargins left="0.75" right="0.75" top="1" bottom="1" header="0.5" footer="0.5"/>
  <pageSetup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1">
    <tabColor rgb="FF92D050"/>
    <pageSetUpPr fitToPage="1"/>
  </sheetPr>
  <dimension ref="A1:Y306"/>
  <sheetViews>
    <sheetView workbookViewId="0">
      <pane xSplit="3" ySplit="7" topLeftCell="D8" activePane="bottomRight" state="frozen"/>
      <selection pane="topRight" activeCell="E1" sqref="E1"/>
      <selection pane="bottomLeft" activeCell="A8" sqref="A8"/>
      <selection pane="bottomRight" activeCell="M282" sqref="M282"/>
    </sheetView>
  </sheetViews>
  <sheetFormatPr defaultColWidth="16.42578125" defaultRowHeight="12.75"/>
  <cols>
    <col min="1" max="1" width="6.140625" customWidth="1"/>
    <col min="2" max="2" width="9.42578125" customWidth="1"/>
    <col min="3" max="3" width="15.5703125" customWidth="1"/>
    <col min="4" max="4" width="11.42578125" style="128" bestFit="1" customWidth="1"/>
    <col min="5" max="5" width="7.5703125" style="96" customWidth="1"/>
    <col min="6" max="6" width="11.42578125" style="97" customWidth="1"/>
    <col min="7" max="7" width="5.5703125" style="99" customWidth="1"/>
    <col min="8" max="8" width="6" style="59" customWidth="1"/>
    <col min="9" max="9" width="18.5703125" style="245" customWidth="1"/>
    <col min="12" max="12" width="11.42578125" bestFit="1" customWidth="1"/>
    <col min="13" max="13" width="33.140625" bestFit="1" customWidth="1"/>
    <col min="14" max="14" width="12.5703125" customWidth="1"/>
    <col min="15" max="15" width="11.42578125" bestFit="1" customWidth="1"/>
    <col min="16" max="16" width="7.5703125" bestFit="1" customWidth="1"/>
    <col min="17" max="17" width="7.42578125" bestFit="1" customWidth="1"/>
    <col min="18" max="19" width="7.5703125" bestFit="1" customWidth="1"/>
    <col min="20" max="20" width="7" bestFit="1" customWidth="1"/>
    <col min="21" max="21" width="7.42578125" bestFit="1" customWidth="1"/>
    <col min="22" max="22" width="7.5703125" bestFit="1" customWidth="1"/>
    <col min="23" max="23" width="10.140625" bestFit="1" customWidth="1"/>
  </cols>
  <sheetData>
    <row r="1" spans="1:25">
      <c r="D1" s="472">
        <v>41766</v>
      </c>
      <c r="E1" s="473">
        <v>41481</v>
      </c>
      <c r="F1" s="473">
        <v>41766</v>
      </c>
      <c r="G1" s="98"/>
      <c r="H1" s="85"/>
    </row>
    <row r="2" spans="1:25">
      <c r="E2" s="457"/>
      <c r="F2" s="457"/>
      <c r="G2" s="98"/>
      <c r="H2" s="85"/>
    </row>
    <row r="3" spans="1:25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 s="245">
        <v>8</v>
      </c>
    </row>
    <row r="4" spans="1:25" s="126" customFormat="1">
      <c r="A4" s="123"/>
      <c r="B4" s="124"/>
      <c r="C4" s="124"/>
      <c r="D4" s="129" t="s">
        <v>722</v>
      </c>
      <c r="E4" s="124" t="s">
        <v>721</v>
      </c>
      <c r="F4" s="124" t="s">
        <v>721</v>
      </c>
      <c r="G4" s="124" t="s">
        <v>721</v>
      </c>
      <c r="H4" s="125" t="s">
        <v>721</v>
      </c>
      <c r="I4" s="246"/>
      <c r="J4"/>
      <c r="K4"/>
      <c r="L4"/>
    </row>
    <row r="5" spans="1:25" ht="30">
      <c r="C5" s="224"/>
      <c r="D5" s="453" t="s">
        <v>1363</v>
      </c>
      <c r="E5" s="447" t="s">
        <v>864</v>
      </c>
      <c r="F5" s="100"/>
      <c r="I5" s="249" t="s">
        <v>1658</v>
      </c>
      <c r="N5" s="901"/>
      <c r="O5" s="902"/>
      <c r="P5" s="902"/>
      <c r="Q5" s="902"/>
      <c r="R5" s="902"/>
      <c r="S5" s="902"/>
      <c r="T5" s="902"/>
      <c r="U5" s="902"/>
      <c r="V5" s="902"/>
      <c r="W5" s="902"/>
    </row>
    <row r="6" spans="1:25" ht="32.25" customHeight="1">
      <c r="B6" t="s">
        <v>592</v>
      </c>
      <c r="C6" t="s">
        <v>593</v>
      </c>
      <c r="D6" s="130" t="s">
        <v>647</v>
      </c>
      <c r="E6" s="299" t="s">
        <v>745</v>
      </c>
      <c r="F6" s="300" t="s">
        <v>720</v>
      </c>
      <c r="G6" s="99" t="s">
        <v>642</v>
      </c>
      <c r="H6" s="56" t="s">
        <v>643</v>
      </c>
      <c r="I6" s="247" t="s">
        <v>646</v>
      </c>
      <c r="M6" s="222"/>
      <c r="N6" s="222"/>
      <c r="X6" s="159"/>
    </row>
    <row r="7" spans="1:25" ht="15">
      <c r="C7" t="s">
        <v>620</v>
      </c>
      <c r="D7" s="130">
        <f>SUM(D8:D302)</f>
        <v>101653.16999999998</v>
      </c>
      <c r="E7" s="130">
        <f>SUM(E8:E302)</f>
        <v>257</v>
      </c>
      <c r="F7" s="130">
        <f>SUM(F8:F302)</f>
        <v>2555</v>
      </c>
      <c r="G7" s="130"/>
      <c r="H7" s="130"/>
      <c r="I7" s="248">
        <f>SUM(I8:I302)</f>
        <v>104465.16999999998</v>
      </c>
      <c r="M7" s="684" t="s">
        <v>1317</v>
      </c>
      <c r="N7" s="692">
        <v>41366</v>
      </c>
      <c r="O7" s="693">
        <v>41403</v>
      </c>
      <c r="P7" s="268"/>
      <c r="Q7" s="268"/>
      <c r="R7" s="268"/>
      <c r="S7" s="268"/>
      <c r="T7" s="268"/>
      <c r="U7" s="268"/>
      <c r="V7" s="268"/>
      <c r="W7" s="223"/>
      <c r="X7" s="223"/>
      <c r="Y7" s="223"/>
    </row>
    <row r="8" spans="1:25" ht="15">
      <c r="B8" s="127" t="s">
        <v>0</v>
      </c>
      <c r="C8" s="55" t="str">
        <f>VLOOKUP(B8,'ccddd 1 col'!$B$2:$C$313,2,FALSE)</f>
        <v>Washtucna</v>
      </c>
      <c r="D8" s="128">
        <f>VLOOKUP(B8,'Biling Enroll 050714'!$A$4:$C$303,3,FALSE)</f>
        <v>0</v>
      </c>
      <c r="E8" s="454">
        <f>VLOOKUP(B8,'Title III 2013-14'!$A$2:$D$296,4,FALSE)</f>
        <v>0</v>
      </c>
      <c r="F8" s="454">
        <f>IFERROR(VLOOKUP(B8,'Native American 050714'!$A$2:$E$62,5,FALSE),0)</f>
        <v>0</v>
      </c>
      <c r="H8" s="57"/>
      <c r="I8" s="491">
        <f>D8+E8+F8</f>
        <v>0</v>
      </c>
      <c r="L8" s="138" t="s">
        <v>132</v>
      </c>
      <c r="M8" s="686" t="s">
        <v>911</v>
      </c>
      <c r="N8" s="687">
        <v>53</v>
      </c>
      <c r="O8" s="688">
        <v>54</v>
      </c>
      <c r="P8" s="272"/>
      <c r="Q8" s="273"/>
      <c r="R8" s="273"/>
      <c r="S8" s="273"/>
      <c r="T8" s="273"/>
      <c r="U8" s="273"/>
      <c r="V8" s="273"/>
      <c r="W8" s="274"/>
      <c r="X8" s="271"/>
      <c r="Y8" s="221"/>
    </row>
    <row r="9" spans="1:25" ht="15">
      <c r="B9" s="127" t="s">
        <v>2</v>
      </c>
      <c r="C9" s="55" t="str">
        <f>VLOOKUP(B9,'ccddd 1 col'!$B$2:$C$313,2,FALSE)</f>
        <v>Benge</v>
      </c>
      <c r="D9" s="128">
        <f>VLOOKUP(B9,'Biling Enroll 050714'!$A$4:$C$303,3,FALSE)</f>
        <v>0</v>
      </c>
      <c r="E9" s="454">
        <f>VLOOKUP(B9,'Title III 2013-14'!$A$2:$D$296,4,FALSE)</f>
        <v>0</v>
      </c>
      <c r="F9" s="454">
        <f>IFERROR(VLOOKUP(B9,'Native American 050714'!$A$2:$E$62,5,FALSE),0)</f>
        <v>0</v>
      </c>
      <c r="H9" s="57"/>
      <c r="I9" s="491">
        <f t="shared" ref="I9:I72" si="0">D9+E9+F9</f>
        <v>0</v>
      </c>
      <c r="L9" s="138" t="s">
        <v>195</v>
      </c>
      <c r="M9" s="686" t="s">
        <v>916</v>
      </c>
      <c r="N9" s="687">
        <v>47</v>
      </c>
      <c r="O9" s="688">
        <v>48</v>
      </c>
      <c r="P9" s="7"/>
      <c r="Q9" s="271"/>
      <c r="R9" s="271"/>
      <c r="S9" s="271"/>
      <c r="T9" s="271"/>
      <c r="U9" s="271"/>
      <c r="V9" s="271"/>
      <c r="W9" s="275"/>
      <c r="X9" s="271"/>
      <c r="Y9" s="221"/>
    </row>
    <row r="10" spans="1:25" ht="15">
      <c r="B10" s="127" t="s">
        <v>4</v>
      </c>
      <c r="C10" s="55" t="str">
        <f>VLOOKUP(B10,'ccddd 1 col'!$B$2:$C$313,2,FALSE)</f>
        <v>Othello</v>
      </c>
      <c r="D10" s="128">
        <f>VLOOKUP(B10,'Biling Enroll 050714'!$A$4:$C$303,3,FALSE)</f>
        <v>1538.43</v>
      </c>
      <c r="E10" s="454">
        <f>VLOOKUP(B10,'Title III 2013-14'!$A$2:$D$296,4,FALSE)</f>
        <v>0</v>
      </c>
      <c r="F10" s="454">
        <f>IFERROR(VLOOKUP(B10,'Native American 050714'!$A$2:$E$62,5,FALSE),0)</f>
        <v>3</v>
      </c>
      <c r="H10" s="57"/>
      <c r="I10" s="491">
        <f t="shared" si="0"/>
        <v>1541.43</v>
      </c>
      <c r="L10" s="138" t="s">
        <v>62</v>
      </c>
      <c r="M10" s="686" t="s">
        <v>923</v>
      </c>
      <c r="N10" s="687">
        <v>5</v>
      </c>
      <c r="O10" s="688">
        <v>26</v>
      </c>
      <c r="P10" s="7"/>
      <c r="Q10" s="271"/>
      <c r="R10" s="271"/>
      <c r="S10" s="271"/>
      <c r="T10" s="271"/>
      <c r="U10" s="271"/>
      <c r="V10" s="271"/>
      <c r="W10" s="275"/>
      <c r="X10" s="271"/>
      <c r="Y10" s="221"/>
    </row>
    <row r="11" spans="1:25" ht="15">
      <c r="B11" s="127" t="s">
        <v>6</v>
      </c>
      <c r="C11" s="55" t="str">
        <f>VLOOKUP(B11,'ccddd 1 col'!$B$2:$C$313,2,FALSE)</f>
        <v>Lind</v>
      </c>
      <c r="D11" s="128">
        <f>VLOOKUP(B11,'Biling Enroll 050714'!$A$4:$C$303,3,FALSE)</f>
        <v>21.71</v>
      </c>
      <c r="E11" s="454">
        <f>VLOOKUP(B11,'Title III 2013-14'!$A$2:$D$296,4,FALSE)</f>
        <v>0</v>
      </c>
      <c r="F11" s="454">
        <f>IFERROR(VLOOKUP(B11,'Native American 050714'!$A$2:$E$62,5,FALSE),0)</f>
        <v>0</v>
      </c>
      <c r="H11" s="57"/>
      <c r="I11" s="491">
        <f t="shared" si="0"/>
        <v>21.71</v>
      </c>
      <c r="L11" s="696" t="s">
        <v>189</v>
      </c>
      <c r="M11" s="686" t="s">
        <v>926</v>
      </c>
      <c r="N11" s="687">
        <v>15</v>
      </c>
      <c r="O11" s="688">
        <v>15</v>
      </c>
      <c r="P11" s="7"/>
      <c r="Q11" s="271"/>
      <c r="R11" s="271"/>
      <c r="S11" s="271"/>
      <c r="T11" s="271"/>
      <c r="U11" s="271"/>
      <c r="V11" s="271"/>
      <c r="W11" s="275"/>
      <c r="X11" s="271"/>
      <c r="Y11" s="221"/>
    </row>
    <row r="12" spans="1:25" ht="15">
      <c r="B12" s="127" t="s">
        <v>8</v>
      </c>
      <c r="C12" s="55" t="str">
        <f>VLOOKUP(B12,'ccddd 1 col'!$B$2:$C$313,2,FALSE)</f>
        <v>Ritzville</v>
      </c>
      <c r="D12" s="128">
        <f>VLOOKUP(B12,'Biling Enroll 050714'!$A$4:$C$303,3,FALSE)</f>
        <v>0</v>
      </c>
      <c r="E12" s="454">
        <f>VLOOKUP(B12,'Title III 2013-14'!$A$2:$D$296,4,FALSE)</f>
        <v>0</v>
      </c>
      <c r="F12" s="454">
        <f>IFERROR(VLOOKUP(B12,'Native American 050714'!$A$2:$E$62,5,FALSE),0)</f>
        <v>0</v>
      </c>
      <c r="H12" s="57"/>
      <c r="I12" s="491">
        <f t="shared" si="0"/>
        <v>0</v>
      </c>
      <c r="L12" s="696" t="s">
        <v>508</v>
      </c>
      <c r="M12" s="686" t="s">
        <v>1319</v>
      </c>
      <c r="N12" s="687">
        <v>1</v>
      </c>
      <c r="O12" s="688">
        <v>1</v>
      </c>
      <c r="P12" s="7"/>
      <c r="Q12" s="271"/>
      <c r="R12" s="271"/>
      <c r="S12" s="271"/>
      <c r="T12" s="271"/>
      <c r="U12" s="271"/>
      <c r="V12" s="271"/>
      <c r="W12" s="275"/>
      <c r="X12" s="271"/>
      <c r="Y12" s="221"/>
    </row>
    <row r="13" spans="1:25" ht="15">
      <c r="B13" s="127" t="s">
        <v>10</v>
      </c>
      <c r="C13" s="55" t="str">
        <f>VLOOKUP(B13,'ccddd 1 col'!$B$2:$C$313,2,FALSE)</f>
        <v>Clarkston</v>
      </c>
      <c r="D13" s="128">
        <f>VLOOKUP(B13,'Biling Enroll 050714'!$A$4:$C$303,3,FALSE)</f>
        <v>33.14</v>
      </c>
      <c r="E13" s="454">
        <f>VLOOKUP(B13,'Title III 2013-14'!$A$2:$D$296,4,FALSE)</f>
        <v>0</v>
      </c>
      <c r="F13" s="454">
        <f>IFERROR(VLOOKUP(B13,'Native American 050714'!$A$2:$E$62,5,FALSE),0)</f>
        <v>0</v>
      </c>
      <c r="H13" s="57"/>
      <c r="I13" s="491">
        <f t="shared" si="0"/>
        <v>33.14</v>
      </c>
      <c r="L13" s="696" t="s">
        <v>211</v>
      </c>
      <c r="M13" s="686" t="s">
        <v>950</v>
      </c>
      <c r="N13" s="687">
        <v>1</v>
      </c>
      <c r="O13" s="688">
        <v>1</v>
      </c>
      <c r="P13" s="7"/>
      <c r="Q13" s="271"/>
      <c r="R13" s="271"/>
      <c r="S13" s="271"/>
      <c r="T13" s="271"/>
      <c r="U13" s="271"/>
      <c r="V13" s="271"/>
      <c r="W13" s="275"/>
      <c r="X13" s="271"/>
      <c r="Y13" s="221"/>
    </row>
    <row r="14" spans="1:25" ht="15">
      <c r="B14" s="127" t="s">
        <v>12</v>
      </c>
      <c r="C14" s="55" t="str">
        <f>VLOOKUP(B14,'ccddd 1 col'!$B$2:$C$313,2,FALSE)</f>
        <v>Asotin-Anatone</v>
      </c>
      <c r="D14" s="128">
        <f>VLOOKUP(B14,'Biling Enroll 050714'!$A$4:$C$303,3,FALSE)</f>
        <v>0</v>
      </c>
      <c r="E14" s="454">
        <f>VLOOKUP(B14,'Title III 2013-14'!$A$2:$D$296,4,FALSE)</f>
        <v>0</v>
      </c>
      <c r="F14" s="454">
        <f>IFERROR(VLOOKUP(B14,'Native American 050714'!$A$2:$E$62,5,FALSE),0)</f>
        <v>0</v>
      </c>
      <c r="H14" s="57"/>
      <c r="I14" s="491">
        <f t="shared" si="0"/>
        <v>0</v>
      </c>
      <c r="L14" s="696" t="s">
        <v>33</v>
      </c>
      <c r="M14" s="686" t="s">
        <v>1320</v>
      </c>
      <c r="N14" s="687">
        <v>3</v>
      </c>
      <c r="O14" s="688">
        <v>3</v>
      </c>
      <c r="P14" s="7"/>
      <c r="Q14" s="271"/>
      <c r="R14" s="271"/>
      <c r="S14" s="271"/>
      <c r="T14" s="271"/>
      <c r="U14" s="271"/>
      <c r="V14" s="271"/>
      <c r="W14" s="275"/>
      <c r="X14" s="271"/>
      <c r="Y14" s="221"/>
    </row>
    <row r="15" spans="1:25" ht="15">
      <c r="B15" s="127" t="s">
        <v>14</v>
      </c>
      <c r="C15" s="55" t="str">
        <f>VLOOKUP(B15,'ccddd 1 col'!$B$2:$C$313,2,FALSE)</f>
        <v>Kennewick</v>
      </c>
      <c r="D15" s="128">
        <f>VLOOKUP(B15,'Biling Enroll 050714'!$A$4:$C$303,3,FALSE)</f>
        <v>2259.4299999999998</v>
      </c>
      <c r="E15" s="454">
        <f>VLOOKUP(B15,'Title III 2013-14'!$A$2:$D$296,4,FALSE)</f>
        <v>0</v>
      </c>
      <c r="F15" s="454">
        <f>IFERROR(VLOOKUP(B15,'Native American 050714'!$A$2:$E$62,5,FALSE),0)</f>
        <v>0</v>
      </c>
      <c r="H15" s="57"/>
      <c r="I15" s="491">
        <f t="shared" si="0"/>
        <v>2259.4299999999998</v>
      </c>
      <c r="L15" s="696" t="s">
        <v>216</v>
      </c>
      <c r="M15" s="686" t="s">
        <v>957</v>
      </c>
      <c r="N15" s="687">
        <v>1</v>
      </c>
      <c r="O15" s="688">
        <v>1</v>
      </c>
      <c r="P15" s="7"/>
      <c r="Q15" s="271"/>
      <c r="R15" s="271"/>
      <c r="S15" s="271"/>
      <c r="T15" s="271"/>
      <c r="U15" s="271"/>
      <c r="V15" s="271"/>
      <c r="W15" s="275"/>
      <c r="X15" s="271"/>
      <c r="Y15" s="221"/>
    </row>
    <row r="16" spans="1:25" ht="15">
      <c r="B16" s="127" t="s">
        <v>16</v>
      </c>
      <c r="C16" s="55" t="str">
        <f>VLOOKUP(B16,'ccddd 1 col'!$B$2:$C$313,2,FALSE)</f>
        <v>Paterson</v>
      </c>
      <c r="D16" s="128">
        <f>VLOOKUP(B16,'Biling Enroll 050714'!$A$4:$C$303,3,FALSE)</f>
        <v>37</v>
      </c>
      <c r="E16" s="454">
        <f>VLOOKUP(B16,'Title III 2013-14'!$A$2:$D$296,4,FALSE)</f>
        <v>0</v>
      </c>
      <c r="F16" s="454">
        <f>IFERROR(VLOOKUP(B16,'Native American 050714'!$A$2:$E$62,5,FALSE),0)</f>
        <v>0</v>
      </c>
      <c r="H16" s="57"/>
      <c r="I16" s="491">
        <f t="shared" si="0"/>
        <v>37</v>
      </c>
      <c r="L16" s="696" t="s">
        <v>438</v>
      </c>
      <c r="M16" s="686" t="s">
        <v>1321</v>
      </c>
      <c r="N16" s="687">
        <v>2</v>
      </c>
      <c r="O16" s="688">
        <v>2</v>
      </c>
      <c r="P16" s="7"/>
      <c r="Q16" s="271"/>
      <c r="R16" s="271"/>
      <c r="S16" s="271"/>
      <c r="T16" s="271"/>
      <c r="U16" s="271"/>
      <c r="V16" s="271"/>
      <c r="W16" s="275"/>
      <c r="X16" s="271"/>
      <c r="Y16" s="221"/>
    </row>
    <row r="17" spans="2:25" ht="15">
      <c r="B17" s="127" t="s">
        <v>18</v>
      </c>
      <c r="C17" s="55" t="str">
        <f>VLOOKUP(B17,'ccddd 1 col'!$B$2:$C$313,2,FALSE)</f>
        <v>Kiona Benton</v>
      </c>
      <c r="D17" s="128">
        <f>VLOOKUP(B17,'Biling Enroll 050714'!$A$4:$C$303,3,FALSE)</f>
        <v>230</v>
      </c>
      <c r="E17" s="454">
        <f>VLOOKUP(B17,'Title III 2013-14'!$A$2:$D$296,4,FALSE)</f>
        <v>0</v>
      </c>
      <c r="F17" s="454">
        <f>IFERROR(VLOOKUP(B17,'Native American 050714'!$A$2:$E$62,5,FALSE),0)</f>
        <v>0</v>
      </c>
      <c r="H17" s="57"/>
      <c r="I17" s="491">
        <f t="shared" si="0"/>
        <v>230</v>
      </c>
      <c r="L17" s="696" t="s">
        <v>230</v>
      </c>
      <c r="M17" s="686" t="s">
        <v>1322</v>
      </c>
      <c r="N17" s="687">
        <v>2</v>
      </c>
      <c r="O17" s="688">
        <v>2</v>
      </c>
      <c r="P17" s="7"/>
      <c r="Q17" s="271"/>
      <c r="R17" s="271"/>
      <c r="S17" s="271"/>
      <c r="T17" s="271"/>
      <c r="U17" s="271"/>
      <c r="V17" s="271"/>
      <c r="W17" s="275"/>
      <c r="X17" s="271"/>
      <c r="Y17" s="221"/>
    </row>
    <row r="18" spans="2:25" ht="15">
      <c r="B18" s="127" t="s">
        <v>19</v>
      </c>
      <c r="C18" s="55" t="str">
        <f>VLOOKUP(B18,'ccddd 1 col'!$B$2:$C$313,2,FALSE)</f>
        <v>Finley</v>
      </c>
      <c r="D18" s="128">
        <f>VLOOKUP(B18,'Biling Enroll 050714'!$A$4:$C$303,3,FALSE)</f>
        <v>127.86</v>
      </c>
      <c r="E18" s="454">
        <f>VLOOKUP(B18,'Title III 2013-14'!$A$2:$D$296,4,FALSE)</f>
        <v>0</v>
      </c>
      <c r="F18" s="454">
        <f>IFERROR(VLOOKUP(B18,'Native American 050714'!$A$2:$E$62,5,FALSE),0)</f>
        <v>1</v>
      </c>
      <c r="H18" s="57"/>
      <c r="I18" s="491">
        <f t="shared" si="0"/>
        <v>128.86000000000001</v>
      </c>
      <c r="L18" s="696" t="s">
        <v>395</v>
      </c>
      <c r="M18" s="686" t="s">
        <v>992</v>
      </c>
      <c r="N18" s="687">
        <v>70</v>
      </c>
      <c r="O18" s="688">
        <v>76</v>
      </c>
      <c r="P18" s="7"/>
      <c r="Q18" s="271"/>
      <c r="R18" s="271"/>
      <c r="S18" s="271"/>
      <c r="T18" s="271"/>
      <c r="U18" s="271"/>
      <c r="V18" s="271"/>
      <c r="W18" s="275"/>
      <c r="X18" s="271"/>
      <c r="Y18" s="221"/>
    </row>
    <row r="19" spans="2:25" ht="15">
      <c r="B19" s="127" t="s">
        <v>21</v>
      </c>
      <c r="C19" s="55" t="str">
        <f>VLOOKUP(B19,'ccddd 1 col'!$B$2:$C$313,2,FALSE)</f>
        <v>Prosser</v>
      </c>
      <c r="D19" s="128">
        <f>VLOOKUP(B19,'Biling Enroll 050714'!$A$4:$C$303,3,FALSE)</f>
        <v>614</v>
      </c>
      <c r="E19" s="454">
        <f>VLOOKUP(B19,'Title III 2013-14'!$A$2:$D$296,4,FALSE)</f>
        <v>0</v>
      </c>
      <c r="F19" s="454">
        <f>IFERROR(VLOOKUP(B19,'Native American 050714'!$A$2:$E$62,5,FALSE),0)</f>
        <v>0</v>
      </c>
      <c r="H19" s="57"/>
      <c r="I19" s="491">
        <f t="shared" si="0"/>
        <v>614</v>
      </c>
      <c r="L19" s="696" t="s">
        <v>58</v>
      </c>
      <c r="M19" s="686" t="s">
        <v>999</v>
      </c>
      <c r="N19" s="694">
        <v>139</v>
      </c>
      <c r="O19" s="695">
        <v>228</v>
      </c>
      <c r="P19" s="7"/>
      <c r="Q19" s="271"/>
      <c r="R19" s="271"/>
      <c r="S19" s="271"/>
      <c r="T19" s="271"/>
      <c r="U19" s="271"/>
      <c r="V19" s="271"/>
      <c r="W19" s="275"/>
      <c r="X19" s="271"/>
      <c r="Y19" s="221"/>
    </row>
    <row r="20" spans="2:25" ht="15">
      <c r="B20" s="127" t="s">
        <v>23</v>
      </c>
      <c r="C20" s="55" t="str">
        <f>VLOOKUP(B20,'ccddd 1 col'!$B$2:$C$313,2,FALSE)</f>
        <v>Richland</v>
      </c>
      <c r="D20" s="128">
        <f>VLOOKUP(B20,'Biling Enroll 050714'!$A$4:$C$303,3,FALSE)</f>
        <v>388.86</v>
      </c>
      <c r="E20" s="454">
        <f>VLOOKUP(B20,'Title III 2013-14'!$A$2:$D$296,4,FALSE)</f>
        <v>0</v>
      </c>
      <c r="F20" s="454">
        <f>IFERROR(VLOOKUP(B20,'Native American 050714'!$A$2:$E$62,5,FALSE),0)</f>
        <v>0</v>
      </c>
      <c r="H20" s="57"/>
      <c r="I20" s="491">
        <f t="shared" si="0"/>
        <v>388.86</v>
      </c>
      <c r="L20" s="696" t="s">
        <v>563</v>
      </c>
      <c r="M20" s="686" t="s">
        <v>1324</v>
      </c>
      <c r="N20" s="687">
        <v>22</v>
      </c>
      <c r="O20" s="688">
        <v>23</v>
      </c>
      <c r="P20" s="7"/>
      <c r="Q20" s="271"/>
      <c r="R20" s="271"/>
      <c r="S20" s="271"/>
      <c r="T20" s="271"/>
      <c r="U20" s="271"/>
      <c r="V20" s="271"/>
      <c r="W20" s="275"/>
      <c r="X20" s="271"/>
      <c r="Y20" s="221"/>
    </row>
    <row r="21" spans="2:25" ht="15">
      <c r="B21" s="127" t="s">
        <v>25</v>
      </c>
      <c r="C21" s="55" t="str">
        <f>VLOOKUP(B21,'ccddd 1 col'!$B$2:$C$313,2,FALSE)</f>
        <v>Manson</v>
      </c>
      <c r="D21" s="128">
        <f>VLOOKUP(B21,'Biling Enroll 050714'!$A$4:$C$303,3,FALSE)</f>
        <v>242.14</v>
      </c>
      <c r="E21" s="454">
        <f>VLOOKUP(B21,'Title III 2013-14'!$A$2:$D$296,4,FALSE)</f>
        <v>0</v>
      </c>
      <c r="F21" s="454">
        <f>IFERROR(VLOOKUP(B21,'Native American 050714'!$A$2:$E$62,5,FALSE),0)</f>
        <v>0</v>
      </c>
      <c r="H21" s="57"/>
      <c r="I21" s="491">
        <f t="shared" si="0"/>
        <v>242.14</v>
      </c>
      <c r="L21" s="696" t="s">
        <v>181</v>
      </c>
      <c r="M21" s="686" t="s">
        <v>1020</v>
      </c>
      <c r="N21" s="687">
        <v>56</v>
      </c>
      <c r="O21" s="688">
        <v>56</v>
      </c>
      <c r="P21" s="7"/>
      <c r="Q21" s="271"/>
      <c r="R21" s="271"/>
      <c r="S21" s="271"/>
      <c r="T21" s="271"/>
      <c r="U21" s="271"/>
      <c r="V21" s="271"/>
      <c r="W21" s="275"/>
      <c r="X21" s="271"/>
      <c r="Y21" s="221"/>
    </row>
    <row r="22" spans="2:25" ht="15">
      <c r="B22" s="127" t="s">
        <v>27</v>
      </c>
      <c r="C22" s="55" t="str">
        <f>VLOOKUP(B22,'ccddd 1 col'!$B$2:$C$313,2,FALSE)</f>
        <v>Stehekin</v>
      </c>
      <c r="D22" s="128">
        <f>VLOOKUP(B22,'Biling Enroll 050714'!$A$4:$C$303,3,FALSE)</f>
        <v>0</v>
      </c>
      <c r="E22" s="454">
        <f>VLOOKUP(B22,'Title III 2013-14'!$A$2:$D$296,4,FALSE)</f>
        <v>0</v>
      </c>
      <c r="F22" s="454">
        <f>IFERROR(VLOOKUP(B22,'Native American 050714'!$A$2:$E$62,5,FALSE),0)</f>
        <v>0</v>
      </c>
      <c r="H22" s="57"/>
      <c r="I22" s="491">
        <f t="shared" si="0"/>
        <v>0</v>
      </c>
      <c r="L22" s="696" t="s">
        <v>201</v>
      </c>
      <c r="M22" s="686" t="s">
        <v>1029</v>
      </c>
      <c r="N22" s="687">
        <v>4</v>
      </c>
      <c r="O22" s="688">
        <v>4</v>
      </c>
      <c r="P22" s="7"/>
      <c r="Q22" s="271"/>
      <c r="R22" s="271"/>
      <c r="S22" s="271"/>
      <c r="T22" s="271"/>
      <c r="U22" s="271"/>
      <c r="V22" s="271"/>
      <c r="W22" s="275"/>
      <c r="X22" s="271"/>
      <c r="Y22" s="221"/>
    </row>
    <row r="23" spans="2:25" ht="15">
      <c r="B23" s="127" t="s">
        <v>29</v>
      </c>
      <c r="C23" s="55" t="str">
        <f>VLOOKUP(B23,'ccddd 1 col'!$B$2:$C$313,2,FALSE)</f>
        <v>Entiat</v>
      </c>
      <c r="D23" s="128">
        <f>VLOOKUP(B23,'Biling Enroll 050714'!$A$4:$C$303,3,FALSE)</f>
        <v>48.29</v>
      </c>
      <c r="E23" s="454">
        <f>VLOOKUP(B23,'Title III 2013-14'!$A$2:$D$296,4,FALSE)</f>
        <v>0</v>
      </c>
      <c r="F23" s="454">
        <f>IFERROR(VLOOKUP(B23,'Native American 050714'!$A$2:$E$62,5,FALSE),0)</f>
        <v>0</v>
      </c>
      <c r="H23" s="57"/>
      <c r="I23" s="491">
        <f t="shared" si="0"/>
        <v>48.29</v>
      </c>
      <c r="L23" s="696" t="s">
        <v>80</v>
      </c>
      <c r="M23" s="686" t="s">
        <v>1033</v>
      </c>
      <c r="N23" s="687">
        <v>13</v>
      </c>
      <c r="O23" s="688">
        <v>16</v>
      </c>
      <c r="P23" s="7"/>
      <c r="Q23" s="271"/>
      <c r="R23" s="271"/>
      <c r="S23" s="271"/>
      <c r="T23" s="271"/>
      <c r="U23" s="271"/>
      <c r="V23" s="271"/>
      <c r="W23" s="275"/>
      <c r="X23" s="271"/>
      <c r="Y23" s="221"/>
    </row>
    <row r="24" spans="2:25" ht="15">
      <c r="B24" s="127" t="s">
        <v>31</v>
      </c>
      <c r="C24" s="55" t="str">
        <f>VLOOKUP(B24,'ccddd 1 col'!$B$2:$C$313,2,FALSE)</f>
        <v>Lake Chelan</v>
      </c>
      <c r="D24" s="128">
        <f>VLOOKUP(B24,'Biling Enroll 050714'!$A$4:$C$303,3,FALSE)</f>
        <v>367.29</v>
      </c>
      <c r="E24" s="454">
        <f>VLOOKUP(B24,'Title III 2013-14'!$A$2:$D$296,4,FALSE)</f>
        <v>0</v>
      </c>
      <c r="F24" s="454">
        <f>IFERROR(VLOOKUP(B24,'Native American 050714'!$A$2:$E$62,5,FALSE),0)</f>
        <v>0</v>
      </c>
      <c r="H24" s="57"/>
      <c r="I24" s="491">
        <f t="shared" si="0"/>
        <v>367.29</v>
      </c>
      <c r="L24" s="696" t="s">
        <v>207</v>
      </c>
      <c r="M24" s="686" t="s">
        <v>1040</v>
      </c>
      <c r="N24" s="687">
        <v>14</v>
      </c>
      <c r="O24" s="688">
        <v>15</v>
      </c>
      <c r="P24" s="7"/>
      <c r="Q24" s="271"/>
      <c r="R24" s="271"/>
      <c r="S24" s="271"/>
      <c r="T24" s="271"/>
      <c r="U24" s="271"/>
      <c r="V24" s="271"/>
      <c r="W24" s="275"/>
      <c r="X24" s="271"/>
      <c r="Y24" s="221"/>
    </row>
    <row r="25" spans="2:25" ht="15">
      <c r="B25" s="127" t="s">
        <v>33</v>
      </c>
      <c r="C25" s="55" t="str">
        <f>VLOOKUP(B25,'ccddd 1 col'!$B$2:$C$313,2,FALSE)</f>
        <v>Cashmere</v>
      </c>
      <c r="D25" s="128">
        <f>VLOOKUP(B25,'Biling Enroll 050714'!$A$4:$C$303,3,FALSE)</f>
        <v>245</v>
      </c>
      <c r="E25" s="454">
        <f>VLOOKUP(B25,'Title III 2013-14'!$A$2:$D$296,4,FALSE)</f>
        <v>0</v>
      </c>
      <c r="F25" s="454">
        <f>IFERROR(VLOOKUP(B25,'Native American 050714'!$A$2:$E$62,5,FALSE),0)</f>
        <v>3</v>
      </c>
      <c r="H25" s="57"/>
      <c r="I25" s="491">
        <f t="shared" si="0"/>
        <v>248</v>
      </c>
      <c r="L25" s="696" t="s">
        <v>145</v>
      </c>
      <c r="M25" s="686" t="s">
        <v>1325</v>
      </c>
      <c r="N25" s="687">
        <v>23</v>
      </c>
      <c r="O25" s="688">
        <v>23</v>
      </c>
      <c r="P25" s="7"/>
      <c r="Q25" s="271"/>
      <c r="R25" s="271"/>
      <c r="S25" s="271"/>
      <c r="T25" s="271"/>
      <c r="U25" s="271"/>
      <c r="V25" s="271"/>
      <c r="W25" s="275"/>
      <c r="X25" s="271"/>
      <c r="Y25" s="221"/>
    </row>
    <row r="26" spans="2:25" ht="15">
      <c r="B26" s="127" t="s">
        <v>35</v>
      </c>
      <c r="C26" s="55" t="str">
        <f>VLOOKUP(B26,'ccddd 1 col'!$B$2:$C$313,2,FALSE)</f>
        <v>Cascade</v>
      </c>
      <c r="D26" s="128">
        <f>VLOOKUP(B26,'Biling Enroll 050714'!$A$4:$C$303,3,FALSE)</f>
        <v>170.57</v>
      </c>
      <c r="E26" s="454">
        <f>VLOOKUP(B26,'Title III 2013-14'!$A$2:$D$296,4,FALSE)</f>
        <v>0</v>
      </c>
      <c r="F26" s="454">
        <f>IFERROR(VLOOKUP(B26,'Native American 050714'!$A$2:$E$62,5,FALSE),0)</f>
        <v>0</v>
      </c>
      <c r="H26" s="57"/>
      <c r="I26" s="491">
        <f t="shared" si="0"/>
        <v>170.57</v>
      </c>
      <c r="L26" s="696" t="s">
        <v>90</v>
      </c>
      <c r="M26" s="686" t="s">
        <v>1345</v>
      </c>
      <c r="N26" s="687"/>
      <c r="O26" s="688">
        <v>5</v>
      </c>
      <c r="P26" s="7"/>
      <c r="Q26" s="271"/>
      <c r="R26" s="271"/>
      <c r="S26" s="271"/>
      <c r="T26" s="271"/>
      <c r="U26" s="271"/>
      <c r="V26" s="271"/>
      <c r="W26" s="275"/>
      <c r="X26" s="271"/>
      <c r="Y26" s="221"/>
    </row>
    <row r="27" spans="2:25" ht="15">
      <c r="B27" s="127" t="s">
        <v>37</v>
      </c>
      <c r="C27" s="55" t="str">
        <f>VLOOKUP(B27,'ccddd 1 col'!$B$2:$C$313,2,FALSE)</f>
        <v>Wenatchee</v>
      </c>
      <c r="D27" s="128">
        <f>VLOOKUP(B27,'Biling Enroll 050714'!$A$4:$C$303,3,FALSE)</f>
        <v>1666.86</v>
      </c>
      <c r="E27" s="454">
        <f>VLOOKUP(B27,'Title III 2013-14'!$A$2:$D$296,4,FALSE)</f>
        <v>48</v>
      </c>
      <c r="F27" s="454">
        <f>IFERROR(VLOOKUP(B27,'Native American 050714'!$A$2:$E$62,5,FALSE),0)</f>
        <v>19</v>
      </c>
      <c r="H27" s="57"/>
      <c r="I27" s="491">
        <f t="shared" si="0"/>
        <v>1733.86</v>
      </c>
      <c r="L27" s="696" t="s">
        <v>405</v>
      </c>
      <c r="M27" s="686" t="s">
        <v>1060</v>
      </c>
      <c r="N27" s="694">
        <v>1</v>
      </c>
      <c r="O27" s="695">
        <v>421</v>
      </c>
      <c r="P27" s="7"/>
      <c r="Q27" s="271"/>
      <c r="R27" s="271"/>
      <c r="S27" s="271"/>
      <c r="T27" s="271"/>
      <c r="U27" s="271"/>
      <c r="V27" s="271"/>
      <c r="W27" s="275"/>
      <c r="X27" s="271"/>
      <c r="Y27" s="221"/>
    </row>
    <row r="28" spans="2:25" ht="15">
      <c r="B28" s="127" t="s">
        <v>39</v>
      </c>
      <c r="C28" s="55" t="str">
        <f>VLOOKUP(B28,'ccddd 1 col'!$B$2:$C$313,2,FALSE)</f>
        <v>Port Angeles</v>
      </c>
      <c r="D28" s="128">
        <f>VLOOKUP(B28,'Biling Enroll 050714'!$A$4:$C$303,3,FALSE)</f>
        <v>43.29</v>
      </c>
      <c r="E28" s="454">
        <f>VLOOKUP(B28,'Title III 2013-14'!$A$2:$D$296,4,FALSE)</f>
        <v>0</v>
      </c>
      <c r="F28" s="454">
        <f>IFERROR(VLOOKUP(B28,'Native American 050714'!$A$2:$E$62,5,FALSE),0)</f>
        <v>0</v>
      </c>
      <c r="H28" s="57"/>
      <c r="I28" s="491">
        <f t="shared" si="0"/>
        <v>43.29</v>
      </c>
      <c r="L28" s="696" t="s">
        <v>409</v>
      </c>
      <c r="M28" s="686" t="s">
        <v>1072</v>
      </c>
      <c r="N28" s="687">
        <v>6</v>
      </c>
      <c r="O28" s="688">
        <v>10</v>
      </c>
      <c r="P28" s="7"/>
      <c r="Q28" s="271"/>
      <c r="R28" s="271"/>
      <c r="S28" s="271"/>
      <c r="T28" s="271"/>
      <c r="U28" s="271"/>
      <c r="V28" s="271"/>
      <c r="W28" s="275"/>
      <c r="X28" s="271"/>
      <c r="Y28" s="221"/>
    </row>
    <row r="29" spans="2:25" ht="15">
      <c r="B29" s="127" t="s">
        <v>41</v>
      </c>
      <c r="C29" s="55" t="str">
        <f>VLOOKUP(B29,'ccddd 1 col'!$B$2:$C$313,2,FALSE)</f>
        <v>Crescent</v>
      </c>
      <c r="D29" s="128">
        <f>VLOOKUP(B29,'Biling Enroll 050714'!$A$4:$C$303,3,FALSE)</f>
        <v>0</v>
      </c>
      <c r="E29" s="454">
        <f>VLOOKUP(B29,'Title III 2013-14'!$A$2:$D$296,4,FALSE)</f>
        <v>0</v>
      </c>
      <c r="F29" s="454">
        <f>IFERROR(VLOOKUP(B29,'Native American 050714'!$A$2:$E$62,5,FALSE),0)</f>
        <v>0</v>
      </c>
      <c r="H29" s="57"/>
      <c r="I29" s="491">
        <f t="shared" si="0"/>
        <v>0</v>
      </c>
      <c r="L29" s="696" t="s">
        <v>571</v>
      </c>
      <c r="M29" s="686" t="s">
        <v>1075</v>
      </c>
      <c r="N29" s="687">
        <v>195</v>
      </c>
      <c r="O29" s="688">
        <v>195</v>
      </c>
      <c r="P29" s="7"/>
      <c r="Q29" s="271"/>
      <c r="R29" s="271"/>
      <c r="S29" s="271"/>
      <c r="T29" s="271"/>
      <c r="U29" s="271"/>
      <c r="V29" s="271"/>
      <c r="W29" s="275"/>
      <c r="X29" s="271"/>
      <c r="Y29" s="221"/>
    </row>
    <row r="30" spans="2:25" ht="15">
      <c r="B30" s="127" t="s">
        <v>43</v>
      </c>
      <c r="C30" s="55" t="str">
        <f>VLOOKUP(B30,'ccddd 1 col'!$B$2:$C$313,2,FALSE)</f>
        <v>Sequim</v>
      </c>
      <c r="D30" s="128">
        <f>VLOOKUP(B30,'Biling Enroll 050714'!$A$4:$C$303,3,FALSE)</f>
        <v>38.86</v>
      </c>
      <c r="E30" s="454">
        <f>VLOOKUP(B30,'Title III 2013-14'!$A$2:$D$296,4,FALSE)</f>
        <v>0</v>
      </c>
      <c r="F30" s="454">
        <f>IFERROR(VLOOKUP(B30,'Native American 050714'!$A$2:$E$62,5,FALSE),0)</f>
        <v>0</v>
      </c>
      <c r="H30" s="57"/>
      <c r="I30" s="491">
        <f t="shared" si="0"/>
        <v>38.86</v>
      </c>
      <c r="L30" s="696" t="s">
        <v>309</v>
      </c>
      <c r="M30" s="686" t="s">
        <v>1326</v>
      </c>
      <c r="N30" s="687">
        <v>108</v>
      </c>
      <c r="O30" s="688">
        <v>108</v>
      </c>
      <c r="P30" s="7"/>
      <c r="Q30" s="271"/>
      <c r="R30" s="271"/>
      <c r="S30" s="271"/>
      <c r="T30" s="271"/>
      <c r="U30" s="271"/>
      <c r="V30" s="271"/>
      <c r="W30" s="275"/>
      <c r="X30" s="271"/>
      <c r="Y30" s="221"/>
    </row>
    <row r="31" spans="2:25" ht="15">
      <c r="B31" s="127" t="s">
        <v>45</v>
      </c>
      <c r="C31" s="55" t="str">
        <f>VLOOKUP(B31,'ccddd 1 col'!$B$2:$C$313,2,FALSE)</f>
        <v>Cape Flattery</v>
      </c>
      <c r="D31" s="128">
        <f>VLOOKUP(B31,'Biling Enroll 050714'!$A$4:$C$303,3,FALSE)</f>
        <v>0</v>
      </c>
      <c r="E31" s="454">
        <f>VLOOKUP(B31,'Title III 2013-14'!$A$2:$D$296,4,FALSE)</f>
        <v>0</v>
      </c>
      <c r="F31" s="454">
        <f>IFERROR(VLOOKUP(B31,'Native American 050714'!$A$2:$E$62,5,FALSE),0)</f>
        <v>0</v>
      </c>
      <c r="H31" s="57"/>
      <c r="I31" s="491">
        <f t="shared" si="0"/>
        <v>0</v>
      </c>
      <c r="L31" s="696" t="s">
        <v>214</v>
      </c>
      <c r="M31" s="686" t="s">
        <v>1084</v>
      </c>
      <c r="N31" s="687">
        <v>2</v>
      </c>
      <c r="O31" s="688">
        <v>2</v>
      </c>
      <c r="P31" s="7"/>
      <c r="Q31" s="271"/>
      <c r="R31" s="271"/>
      <c r="S31" s="271"/>
      <c r="T31" s="271"/>
      <c r="U31" s="271"/>
      <c r="V31" s="271"/>
      <c r="W31" s="275"/>
      <c r="X31" s="271"/>
      <c r="Y31" s="221"/>
    </row>
    <row r="32" spans="2:25" ht="15">
      <c r="B32" s="127" t="s">
        <v>47</v>
      </c>
      <c r="C32" s="55" t="str">
        <f>VLOOKUP(B32,'ccddd 1 col'!$B$2:$C$313,2,FALSE)</f>
        <v>Quillayute Valley</v>
      </c>
      <c r="D32" s="128">
        <f>VLOOKUP(B32,'Biling Enroll 050714'!$A$4:$C$303,3,FALSE)</f>
        <v>92.57</v>
      </c>
      <c r="E32" s="454">
        <f>VLOOKUP(B32,'Title III 2013-14'!$A$2:$D$296,4,FALSE)</f>
        <v>0</v>
      </c>
      <c r="F32" s="454">
        <f>IFERROR(VLOOKUP(B32,'Native American 050714'!$A$2:$E$62,5,FALSE),0)</f>
        <v>0</v>
      </c>
      <c r="H32" s="57"/>
      <c r="I32" s="491">
        <f t="shared" si="0"/>
        <v>92.57</v>
      </c>
      <c r="L32" s="696" t="s">
        <v>474</v>
      </c>
      <c r="M32" s="686" t="s">
        <v>1087</v>
      </c>
      <c r="N32" s="687">
        <v>1</v>
      </c>
      <c r="O32" s="688">
        <v>1</v>
      </c>
      <c r="P32" s="7"/>
      <c r="Q32" s="271"/>
      <c r="R32" s="271"/>
      <c r="S32" s="271"/>
      <c r="T32" s="271"/>
      <c r="U32" s="271"/>
      <c r="V32" s="271"/>
      <c r="W32" s="275"/>
      <c r="X32" s="271"/>
      <c r="Y32" s="221"/>
    </row>
    <row r="33" spans="2:25" ht="15">
      <c r="B33" s="127" t="s">
        <v>49</v>
      </c>
      <c r="C33" s="55" t="str">
        <f>VLOOKUP(B33,'ccddd 1 col'!$B$2:$C$313,2,FALSE)</f>
        <v>Vancouver</v>
      </c>
      <c r="D33" s="128">
        <f>VLOOKUP(B33,'Biling Enroll 050714'!$A$4:$C$303,3,FALSE)</f>
        <v>2561.4299999999998</v>
      </c>
      <c r="E33" s="454">
        <f>VLOOKUP(B33,'Title III 2013-14'!$A$2:$D$296,4,FALSE)</f>
        <v>0</v>
      </c>
      <c r="F33" s="454">
        <f>IFERROR(VLOOKUP(B33,'Native American 050714'!$A$2:$E$62,5,FALSE),0)</f>
        <v>118</v>
      </c>
      <c r="H33" s="57"/>
      <c r="I33" s="491">
        <f t="shared" si="0"/>
        <v>2679.43</v>
      </c>
      <c r="L33" s="696" t="s">
        <v>209</v>
      </c>
      <c r="M33" s="686" t="s">
        <v>1091</v>
      </c>
      <c r="N33" s="687">
        <v>19</v>
      </c>
      <c r="O33" s="688">
        <v>19</v>
      </c>
      <c r="P33" s="7"/>
      <c r="Q33" s="271"/>
      <c r="R33" s="271"/>
      <c r="S33" s="271"/>
      <c r="T33" s="271"/>
      <c r="U33" s="271"/>
      <c r="V33" s="271"/>
      <c r="W33" s="275"/>
      <c r="X33" s="271"/>
      <c r="Y33" s="221"/>
    </row>
    <row r="34" spans="2:25" ht="15">
      <c r="B34" s="127" t="s">
        <v>51</v>
      </c>
      <c r="C34" s="55" t="str">
        <f>VLOOKUP(B34,'ccddd 1 col'!$B$2:$C$313,2,FALSE)</f>
        <v>Hockinson</v>
      </c>
      <c r="D34" s="128">
        <f>VLOOKUP(B34,'Biling Enroll 050714'!$A$4:$C$303,3,FALSE)</f>
        <v>13.57</v>
      </c>
      <c r="E34" s="454">
        <f>VLOOKUP(B34,'Title III 2013-14'!$A$2:$D$296,4,FALSE)</f>
        <v>0</v>
      </c>
      <c r="F34" s="454">
        <f>IFERROR(VLOOKUP(B34,'Native American 050714'!$A$2:$E$62,5,FALSE),0)</f>
        <v>0</v>
      </c>
      <c r="H34" s="57"/>
      <c r="I34" s="491">
        <f t="shared" si="0"/>
        <v>13.57</v>
      </c>
      <c r="L34" s="696" t="s">
        <v>478</v>
      </c>
      <c r="M34" s="686" t="s">
        <v>1101</v>
      </c>
      <c r="N34" s="687">
        <v>11</v>
      </c>
      <c r="O34" s="688">
        <v>12</v>
      </c>
      <c r="P34" s="7"/>
      <c r="Q34" s="271"/>
      <c r="R34" s="271"/>
      <c r="S34" s="271"/>
      <c r="T34" s="271"/>
      <c r="U34" s="271"/>
      <c r="V34" s="271"/>
      <c r="W34" s="275"/>
      <c r="X34" s="271"/>
      <c r="Y34" s="221"/>
    </row>
    <row r="35" spans="2:25" ht="15">
      <c r="B35" s="127" t="s">
        <v>53</v>
      </c>
      <c r="C35" s="55" t="str">
        <f>VLOOKUP(B35,'ccddd 1 col'!$B$2:$C$313,2,FALSE)</f>
        <v>Lacenter</v>
      </c>
      <c r="D35" s="128">
        <f>VLOOKUP(B35,'Biling Enroll 050714'!$A$4:$C$303,3,FALSE)</f>
        <v>25.57</v>
      </c>
      <c r="E35" s="454">
        <f>VLOOKUP(B35,'Title III 2013-14'!$A$2:$D$296,4,FALSE)</f>
        <v>0</v>
      </c>
      <c r="F35" s="454">
        <f>IFERROR(VLOOKUP(B35,'Native American 050714'!$A$2:$E$62,5,FALSE),0)</f>
        <v>0</v>
      </c>
      <c r="H35" s="57"/>
      <c r="I35" s="491">
        <f t="shared" si="0"/>
        <v>25.57</v>
      </c>
      <c r="L35" s="696" t="s">
        <v>484</v>
      </c>
      <c r="M35" s="686" t="s">
        <v>1327</v>
      </c>
      <c r="N35" s="687">
        <v>10</v>
      </c>
      <c r="O35" s="688">
        <v>10</v>
      </c>
      <c r="P35" s="7"/>
      <c r="Q35" s="271"/>
      <c r="R35" s="271"/>
      <c r="S35" s="271"/>
      <c r="T35" s="271"/>
      <c r="U35" s="271"/>
      <c r="V35" s="271"/>
      <c r="W35" s="275"/>
      <c r="X35" s="271"/>
      <c r="Y35" s="221"/>
    </row>
    <row r="36" spans="2:25" ht="15">
      <c r="B36" s="127" t="s">
        <v>54</v>
      </c>
      <c r="C36" s="55" t="str">
        <f>VLOOKUP(B36,'ccddd 1 col'!$B$2:$C$313,2,FALSE)</f>
        <v>Green Mountain</v>
      </c>
      <c r="D36" s="128">
        <f>VLOOKUP(B36,'Biling Enroll 050714'!$A$4:$C$303,3,FALSE)</f>
        <v>0</v>
      </c>
      <c r="E36" s="454">
        <f>VLOOKUP(B36,'Title III 2013-14'!$A$2:$D$296,4,FALSE)</f>
        <v>0</v>
      </c>
      <c r="F36" s="454">
        <f>IFERROR(VLOOKUP(B36,'Native American 050714'!$A$2:$E$62,5,FALSE),0)</f>
        <v>0</v>
      </c>
      <c r="H36" s="57"/>
      <c r="I36" s="491">
        <f t="shared" si="0"/>
        <v>0</v>
      </c>
      <c r="L36" s="696" t="s">
        <v>123</v>
      </c>
      <c r="M36" s="686" t="s">
        <v>1328</v>
      </c>
      <c r="N36" s="687">
        <v>1</v>
      </c>
      <c r="O36" s="688">
        <v>1</v>
      </c>
      <c r="P36" s="7"/>
      <c r="Q36" s="271"/>
      <c r="R36" s="271"/>
      <c r="S36" s="271"/>
      <c r="T36" s="271"/>
      <c r="U36" s="271"/>
      <c r="V36" s="271"/>
      <c r="W36" s="275"/>
      <c r="X36" s="271"/>
      <c r="Y36" s="221"/>
    </row>
    <row r="37" spans="2:25" ht="15">
      <c r="B37" s="127" t="s">
        <v>56</v>
      </c>
      <c r="C37" s="55" t="str">
        <f>VLOOKUP(B37,'ccddd 1 col'!$B$2:$C$313,2,FALSE)</f>
        <v>Washougal</v>
      </c>
      <c r="D37" s="128">
        <f>VLOOKUP(B37,'Biling Enroll 050714'!$A$4:$C$303,3,FALSE)</f>
        <v>64.290000000000006</v>
      </c>
      <c r="E37" s="454">
        <f>VLOOKUP(B37,'Title III 2013-14'!$A$2:$D$296,4,FALSE)</f>
        <v>0</v>
      </c>
      <c r="F37" s="454">
        <f>IFERROR(VLOOKUP(B37,'Native American 050714'!$A$2:$E$62,5,FALSE),0)</f>
        <v>0</v>
      </c>
      <c r="H37" s="57"/>
      <c r="I37" s="491">
        <f t="shared" si="0"/>
        <v>64.290000000000006</v>
      </c>
      <c r="L37" s="696" t="s">
        <v>173</v>
      </c>
      <c r="M37" s="686" t="s">
        <v>1142</v>
      </c>
      <c r="N37" s="687">
        <v>148</v>
      </c>
      <c r="O37" s="688">
        <v>148</v>
      </c>
      <c r="P37" s="7"/>
      <c r="Q37" s="271"/>
      <c r="R37" s="271"/>
      <c r="S37" s="271"/>
      <c r="T37" s="271"/>
      <c r="U37" s="271"/>
      <c r="V37" s="271"/>
      <c r="W37" s="275"/>
      <c r="X37" s="271"/>
      <c r="Y37" s="221"/>
    </row>
    <row r="38" spans="2:25" ht="15">
      <c r="B38" s="127" t="s">
        <v>58</v>
      </c>
      <c r="C38" s="55" t="str">
        <f>VLOOKUP(B38,'ccddd 1 col'!$B$2:$C$313,2,FALSE)</f>
        <v>Evergreen (Clark)</v>
      </c>
      <c r="D38" s="128">
        <f>VLOOKUP(B38,'Biling Enroll 050714'!$A$4:$C$303,3,FALSE)</f>
        <v>2839.14</v>
      </c>
      <c r="E38" s="454">
        <f>VLOOKUP(B38,'Title III 2013-14'!$A$2:$D$296,4,FALSE)</f>
        <v>0</v>
      </c>
      <c r="F38" s="454">
        <f>IFERROR(VLOOKUP(B38,'Native American 050714'!$A$2:$E$62,5,FALSE),0)</f>
        <v>112</v>
      </c>
      <c r="H38" s="57"/>
      <c r="I38" s="491">
        <f t="shared" si="0"/>
        <v>2951.14</v>
      </c>
      <c r="L38" s="696" t="s">
        <v>199</v>
      </c>
      <c r="M38" s="686" t="s">
        <v>1329</v>
      </c>
      <c r="N38" s="687">
        <v>7</v>
      </c>
      <c r="O38" s="688">
        <v>7</v>
      </c>
      <c r="P38" s="7"/>
      <c r="Q38" s="271"/>
      <c r="R38" s="271"/>
      <c r="S38" s="271"/>
      <c r="T38" s="271"/>
      <c r="U38" s="271"/>
      <c r="V38" s="271"/>
      <c r="W38" s="275"/>
      <c r="X38" s="271"/>
      <c r="Y38" s="221"/>
    </row>
    <row r="39" spans="2:25" ht="15">
      <c r="B39" s="127" t="s">
        <v>60</v>
      </c>
      <c r="C39" s="55" t="str">
        <f>VLOOKUP(B39,'ccddd 1 col'!$B$2:$C$313,2,FALSE)</f>
        <v>Camas</v>
      </c>
      <c r="D39" s="128">
        <f>VLOOKUP(B39,'Biling Enroll 050714'!$A$4:$C$303,3,FALSE)</f>
        <v>118.86</v>
      </c>
      <c r="E39" s="454">
        <f>VLOOKUP(B39,'Title III 2013-14'!$A$2:$D$296,4,FALSE)</f>
        <v>0</v>
      </c>
      <c r="F39" s="454">
        <f>IFERROR(VLOOKUP(B39,'Native American 050714'!$A$2:$E$62,5,FALSE),0)</f>
        <v>0</v>
      </c>
      <c r="H39" s="57"/>
      <c r="I39" s="491">
        <f t="shared" si="0"/>
        <v>118.86</v>
      </c>
      <c r="L39" s="696" t="s">
        <v>422</v>
      </c>
      <c r="M39" s="686" t="s">
        <v>1202</v>
      </c>
      <c r="N39" s="687">
        <v>2</v>
      </c>
      <c r="O39" s="688">
        <v>2</v>
      </c>
      <c r="P39" s="7"/>
      <c r="Q39" s="271"/>
      <c r="R39" s="271"/>
      <c r="S39" s="271"/>
      <c r="T39" s="271"/>
      <c r="U39" s="271"/>
      <c r="V39" s="271"/>
      <c r="W39" s="275"/>
      <c r="X39" s="271"/>
      <c r="Y39" s="221"/>
    </row>
    <row r="40" spans="2:25" ht="15">
      <c r="B40" s="127" t="s">
        <v>62</v>
      </c>
      <c r="C40" s="55" t="str">
        <f>VLOOKUP(B40,'ccddd 1 col'!$B$2:$C$313,2,FALSE)</f>
        <v>Battle Ground</v>
      </c>
      <c r="D40" s="128">
        <f>VLOOKUP(B40,'Biling Enroll 050714'!$A$4:$C$303,3,FALSE)</f>
        <v>724.14</v>
      </c>
      <c r="E40" s="454">
        <f>VLOOKUP(B40,'Title III 2013-14'!$A$2:$D$296,4,FALSE)</f>
        <v>0</v>
      </c>
      <c r="F40" s="454">
        <f>IFERROR(VLOOKUP(B40,'Native American 050714'!$A$2:$E$62,5,FALSE),0)</f>
        <v>11</v>
      </c>
      <c r="H40" s="57"/>
      <c r="I40" s="491">
        <f t="shared" si="0"/>
        <v>735.14</v>
      </c>
      <c r="L40" s="696" t="s">
        <v>351</v>
      </c>
      <c r="M40" s="686" t="s">
        <v>1330</v>
      </c>
      <c r="N40" s="687">
        <v>11</v>
      </c>
      <c r="O40" s="688">
        <v>11</v>
      </c>
      <c r="P40" s="7"/>
      <c r="Q40" s="271"/>
      <c r="R40" s="271"/>
      <c r="S40" s="271"/>
      <c r="T40" s="271"/>
      <c r="U40" s="271"/>
      <c r="V40" s="271"/>
      <c r="W40" s="275"/>
      <c r="X40" s="271"/>
      <c r="Y40" s="221"/>
    </row>
    <row r="41" spans="2:25" ht="15">
      <c r="B41" s="127" t="s">
        <v>64</v>
      </c>
      <c r="C41" s="55" t="str">
        <f>VLOOKUP(B41,'ccddd 1 col'!$B$2:$C$313,2,FALSE)</f>
        <v>Ridgefield</v>
      </c>
      <c r="D41" s="128">
        <f>VLOOKUP(B41,'Biling Enroll 050714'!$A$4:$C$303,3,FALSE)</f>
        <v>66</v>
      </c>
      <c r="E41" s="454">
        <f>VLOOKUP(B41,'Title III 2013-14'!$A$2:$D$296,4,FALSE)</f>
        <v>0</v>
      </c>
      <c r="F41" s="454">
        <f>IFERROR(VLOOKUP(B41,'Native American 050714'!$A$2:$E$62,5,FALSE),0)</f>
        <v>0</v>
      </c>
      <c r="H41" s="57"/>
      <c r="I41" s="491">
        <f t="shared" si="0"/>
        <v>66</v>
      </c>
      <c r="L41" s="696" t="s">
        <v>345</v>
      </c>
      <c r="M41" s="686" t="s">
        <v>1221</v>
      </c>
      <c r="N41" s="687">
        <v>1</v>
      </c>
      <c r="O41" s="688">
        <v>2</v>
      </c>
      <c r="P41" s="7"/>
      <c r="Q41" s="271"/>
      <c r="R41" s="271"/>
      <c r="S41" s="271"/>
      <c r="T41" s="271"/>
      <c r="U41" s="271"/>
      <c r="V41" s="271"/>
      <c r="W41" s="275"/>
      <c r="X41" s="271"/>
      <c r="Y41" s="221"/>
    </row>
    <row r="42" spans="2:25" ht="15">
      <c r="B42" s="127" t="s">
        <v>66</v>
      </c>
      <c r="C42" s="55" t="str">
        <f>VLOOKUP(B42,'ccddd 1 col'!$B$2:$C$313,2,FALSE)</f>
        <v>Dayton</v>
      </c>
      <c r="D42" s="128">
        <f>VLOOKUP(B42,'Biling Enroll 050714'!$A$4:$C$303,3,FALSE)</f>
        <v>1</v>
      </c>
      <c r="E42" s="454">
        <f>VLOOKUP(B42,'Title III 2013-14'!$A$2:$D$296,4,FALSE)</f>
        <v>0</v>
      </c>
      <c r="F42" s="454">
        <f>IFERROR(VLOOKUP(B42,'Native American 050714'!$A$2:$E$62,5,FALSE),0)</f>
        <v>0</v>
      </c>
      <c r="H42" s="57"/>
      <c r="I42" s="491">
        <f t="shared" si="0"/>
        <v>1</v>
      </c>
      <c r="L42" s="696" t="s">
        <v>559</v>
      </c>
      <c r="M42" s="686" t="s">
        <v>1331</v>
      </c>
      <c r="N42" s="687">
        <v>238</v>
      </c>
      <c r="O42" s="688">
        <v>240</v>
      </c>
      <c r="P42" s="7"/>
      <c r="Q42" s="271"/>
      <c r="R42" s="271"/>
      <c r="S42" s="271"/>
      <c r="T42" s="271"/>
      <c r="U42" s="271"/>
      <c r="V42" s="271"/>
      <c r="W42" s="275"/>
      <c r="X42" s="271"/>
      <c r="Y42" s="221"/>
    </row>
    <row r="43" spans="2:25" ht="15">
      <c r="B43" s="127" t="s">
        <v>68</v>
      </c>
      <c r="C43" s="55" t="str">
        <f>VLOOKUP(B43,'ccddd 1 col'!$B$2:$C$313,2,FALSE)</f>
        <v>Starbuck</v>
      </c>
      <c r="D43" s="128">
        <f>VLOOKUP(B43,'Biling Enroll 050714'!$A$4:$C$303,3,FALSE)</f>
        <v>0</v>
      </c>
      <c r="E43" s="454">
        <f>VLOOKUP(B43,'Title III 2013-14'!$A$2:$D$296,4,FALSE)</f>
        <v>0</v>
      </c>
      <c r="F43" s="454">
        <f>IFERROR(VLOOKUP(B43,'Native American 050714'!$A$2:$E$62,5,FALSE),0)</f>
        <v>0</v>
      </c>
      <c r="H43" s="57"/>
      <c r="I43" s="491">
        <f t="shared" si="0"/>
        <v>0</v>
      </c>
      <c r="L43" s="696" t="s">
        <v>496</v>
      </c>
      <c r="M43" s="686" t="s">
        <v>1332</v>
      </c>
      <c r="N43" s="687">
        <v>2</v>
      </c>
      <c r="O43" s="688">
        <v>2</v>
      </c>
      <c r="P43" s="7"/>
      <c r="Q43" s="271"/>
      <c r="R43" s="271"/>
      <c r="S43" s="271"/>
      <c r="T43" s="271"/>
      <c r="U43" s="271"/>
      <c r="V43" s="271"/>
      <c r="W43" s="275"/>
      <c r="X43" s="271"/>
      <c r="Y43" s="221"/>
    </row>
    <row r="44" spans="2:25" ht="15">
      <c r="B44" s="127" t="s">
        <v>70</v>
      </c>
      <c r="C44" s="55" t="str">
        <f>VLOOKUP(B44,'ccddd 1 col'!$B$2:$C$313,2,FALSE)</f>
        <v>Longview</v>
      </c>
      <c r="D44" s="128">
        <f>VLOOKUP(B44,'Biling Enroll 050714'!$A$4:$C$303,3,FALSE)</f>
        <v>362.57</v>
      </c>
      <c r="E44" s="454">
        <f>VLOOKUP(B44,'Title III 2013-14'!$A$2:$D$296,4,FALSE)</f>
        <v>0</v>
      </c>
      <c r="F44" s="454">
        <f>IFERROR(VLOOKUP(B44,'Native American 050714'!$A$2:$E$62,5,FALSE),0)</f>
        <v>0</v>
      </c>
      <c r="H44" s="57"/>
      <c r="I44" s="491">
        <f t="shared" si="0"/>
        <v>362.57</v>
      </c>
      <c r="L44" s="696" t="s">
        <v>49</v>
      </c>
      <c r="M44" s="686" t="s">
        <v>1234</v>
      </c>
      <c r="N44" s="687">
        <v>102</v>
      </c>
      <c r="O44" s="688">
        <v>118</v>
      </c>
      <c r="P44" s="7"/>
      <c r="Q44" s="271"/>
      <c r="R44" s="271"/>
      <c r="S44" s="271"/>
      <c r="T44" s="271"/>
      <c r="U44" s="271"/>
      <c r="V44" s="271"/>
      <c r="W44" s="275"/>
      <c r="X44" s="271"/>
      <c r="Y44" s="221"/>
    </row>
    <row r="45" spans="2:25" ht="15">
      <c r="B45" s="127" t="s">
        <v>72</v>
      </c>
      <c r="C45" s="55" t="str">
        <f>VLOOKUP(B45,'ccddd 1 col'!$B$2:$C$313,2,FALSE)</f>
        <v>Toutle Lake</v>
      </c>
      <c r="D45" s="128">
        <f>VLOOKUP(B45,'Biling Enroll 050714'!$A$4:$C$303,3,FALSE)</f>
        <v>0</v>
      </c>
      <c r="E45" s="454">
        <f>VLOOKUP(B45,'Title III 2013-14'!$A$2:$D$296,4,FALSE)</f>
        <v>0</v>
      </c>
      <c r="F45" s="454">
        <f>IFERROR(VLOOKUP(B45,'Native American 050714'!$A$2:$E$62,5,FALSE),0)</f>
        <v>0</v>
      </c>
      <c r="H45" s="57"/>
      <c r="I45" s="491">
        <f t="shared" si="0"/>
        <v>0</v>
      </c>
      <c r="L45" s="696" t="s">
        <v>567</v>
      </c>
      <c r="M45" s="686" t="s">
        <v>1333</v>
      </c>
      <c r="N45" s="687">
        <v>367</v>
      </c>
      <c r="O45" s="688">
        <v>367</v>
      </c>
      <c r="P45" s="7"/>
      <c r="Q45" s="271"/>
      <c r="R45" s="271"/>
      <c r="S45" s="271"/>
      <c r="T45" s="271"/>
      <c r="U45" s="271"/>
      <c r="V45" s="271"/>
      <c r="W45" s="275"/>
      <c r="X45" s="271"/>
      <c r="Y45" s="221"/>
    </row>
    <row r="46" spans="2:25" ht="15">
      <c r="B46" s="127" t="s">
        <v>74</v>
      </c>
      <c r="C46" s="55" t="str">
        <f>VLOOKUP(B46,'ccddd 1 col'!$B$2:$C$313,2,FALSE)</f>
        <v>Castle Rock</v>
      </c>
      <c r="D46" s="128">
        <f>VLOOKUP(B46,'Biling Enroll 050714'!$A$4:$C$303,3,FALSE)</f>
        <v>22</v>
      </c>
      <c r="E46" s="454">
        <f>VLOOKUP(B46,'Title III 2013-14'!$A$2:$D$296,4,FALSE)</f>
        <v>0</v>
      </c>
      <c r="F46" s="454">
        <f>IFERROR(VLOOKUP(B46,'Native American 050714'!$A$2:$E$62,5,FALSE),0)</f>
        <v>0</v>
      </c>
      <c r="H46" s="57"/>
      <c r="I46" s="491">
        <f t="shared" si="0"/>
        <v>22</v>
      </c>
      <c r="L46" s="696" t="s">
        <v>452</v>
      </c>
      <c r="M46" s="686" t="s">
        <v>1334</v>
      </c>
      <c r="N46" s="687">
        <v>127</v>
      </c>
      <c r="O46" s="688">
        <v>156</v>
      </c>
      <c r="P46" s="7"/>
      <c r="Q46" s="271"/>
      <c r="R46" s="271"/>
      <c r="S46" s="271"/>
      <c r="T46" s="271"/>
      <c r="U46" s="271"/>
      <c r="V46" s="271"/>
      <c r="W46" s="275"/>
      <c r="X46" s="271"/>
      <c r="Y46" s="221"/>
    </row>
    <row r="47" spans="2:25" ht="15">
      <c r="B47" s="127" t="s">
        <v>76</v>
      </c>
      <c r="C47" s="55" t="str">
        <f>VLOOKUP(B47,'ccddd 1 col'!$B$2:$C$313,2,FALSE)</f>
        <v>Kalama</v>
      </c>
      <c r="D47" s="128">
        <f>VLOOKUP(B47,'Biling Enroll 050714'!$A$4:$C$303,3,FALSE)</f>
        <v>0</v>
      </c>
      <c r="E47" s="454">
        <f>VLOOKUP(B47,'Title III 2013-14'!$A$2:$D$296,4,FALSE)</f>
        <v>0</v>
      </c>
      <c r="F47" s="454">
        <f>IFERROR(VLOOKUP(B47,'Native American 050714'!$A$2:$E$62,5,FALSE),0)</f>
        <v>0</v>
      </c>
      <c r="H47" s="57"/>
      <c r="I47" s="491">
        <f t="shared" si="0"/>
        <v>0</v>
      </c>
      <c r="L47" s="696" t="s">
        <v>248</v>
      </c>
      <c r="M47" s="686" t="s">
        <v>1335</v>
      </c>
      <c r="N47" s="687">
        <v>8</v>
      </c>
      <c r="O47" s="688">
        <v>8</v>
      </c>
      <c r="P47" s="7"/>
      <c r="Q47" s="271"/>
      <c r="R47" s="271"/>
      <c r="S47" s="271"/>
      <c r="T47" s="271"/>
      <c r="U47" s="271"/>
      <c r="V47" s="271"/>
      <c r="W47" s="275"/>
      <c r="X47" s="271"/>
      <c r="Y47" s="221"/>
    </row>
    <row r="48" spans="2:25" ht="15">
      <c r="B48" s="127" t="s">
        <v>78</v>
      </c>
      <c r="C48" s="55" t="e">
        <f>VLOOKUP(B48,'ccddd 1 col'!$B$2:$C$313,2,FALSE)</f>
        <v>#N/A</v>
      </c>
      <c r="D48" s="128">
        <f>VLOOKUP(B48,'Biling Enroll 050714'!$A$4:$C$303,3,FALSE)</f>
        <v>141.13999999999999</v>
      </c>
      <c r="E48" s="454">
        <f>VLOOKUP(B48,'Title III 2013-14'!$A$2:$D$296,4,FALSE)</f>
        <v>0</v>
      </c>
      <c r="F48" s="454">
        <f>IFERROR(VLOOKUP(B48,'Native American 050714'!$A$2:$E$62,5,FALSE),0)</f>
        <v>0</v>
      </c>
      <c r="H48" s="57"/>
      <c r="I48" s="491">
        <f t="shared" si="0"/>
        <v>141.13999999999999</v>
      </c>
      <c r="L48" s="696" t="s">
        <v>264</v>
      </c>
      <c r="M48" s="686" t="s">
        <v>1336</v>
      </c>
      <c r="N48" s="687">
        <v>14</v>
      </c>
      <c r="O48" s="688">
        <v>14</v>
      </c>
      <c r="P48" s="7"/>
      <c r="Q48" s="271"/>
      <c r="R48" s="271"/>
      <c r="S48" s="271"/>
      <c r="T48" s="271"/>
      <c r="U48" s="271"/>
      <c r="V48" s="271"/>
      <c r="W48" s="275"/>
      <c r="X48" s="271"/>
      <c r="Y48" s="221"/>
    </row>
    <row r="49" spans="2:25" ht="15">
      <c r="B49" s="127" t="s">
        <v>80</v>
      </c>
      <c r="C49" s="55" t="str">
        <f>VLOOKUP(B49,'ccddd 1 col'!$B$2:$C$313,2,FALSE)</f>
        <v>Kelso</v>
      </c>
      <c r="D49" s="128">
        <f>VLOOKUP(B49,'Biling Enroll 050714'!$A$4:$C$303,3,FALSE)</f>
        <v>224.57</v>
      </c>
      <c r="E49" s="454">
        <f>VLOOKUP(B49,'Title III 2013-14'!$A$2:$D$296,4,FALSE)</f>
        <v>0</v>
      </c>
      <c r="F49" s="454">
        <f>IFERROR(VLOOKUP(B49,'Native American 050714'!$A$2:$E$62,5,FALSE),0)</f>
        <v>11</v>
      </c>
      <c r="H49" s="57"/>
      <c r="I49" s="491">
        <f t="shared" si="0"/>
        <v>235.57</v>
      </c>
      <c r="L49" s="696" t="s">
        <v>547</v>
      </c>
      <c r="M49" s="686" t="s">
        <v>1246</v>
      </c>
      <c r="N49" s="689">
        <v>38</v>
      </c>
      <c r="O49" s="690">
        <v>48</v>
      </c>
      <c r="P49" s="7"/>
      <c r="Q49" s="271"/>
      <c r="R49" s="271"/>
      <c r="S49" s="271"/>
      <c r="T49" s="271"/>
      <c r="U49" s="271"/>
      <c r="V49" s="271"/>
      <c r="W49" s="275"/>
      <c r="X49" s="271"/>
      <c r="Y49" s="221"/>
    </row>
    <row r="50" spans="2:25" ht="15">
      <c r="B50" s="127" t="s">
        <v>82</v>
      </c>
      <c r="C50" s="55" t="str">
        <f>VLOOKUP(B50,'ccddd 1 col'!$B$2:$C$313,2,FALSE)</f>
        <v>Orondo</v>
      </c>
      <c r="D50" s="128">
        <f>VLOOKUP(B50,'Biling Enroll 050714'!$A$4:$C$303,3,FALSE)</f>
        <v>104.57</v>
      </c>
      <c r="E50" s="454">
        <f>VLOOKUP(B50,'Title III 2013-14'!$A$2:$D$296,4,FALSE)</f>
        <v>0</v>
      </c>
      <c r="F50" s="454">
        <f>IFERROR(VLOOKUP(B50,'Native American 050714'!$A$2:$E$62,5,FALSE),0)</f>
        <v>0</v>
      </c>
      <c r="H50" s="57"/>
      <c r="I50" s="491">
        <f t="shared" si="0"/>
        <v>104.57</v>
      </c>
      <c r="M50" s="685" t="s">
        <v>620</v>
      </c>
      <c r="N50" s="691">
        <v>1890</v>
      </c>
      <c r="O50" s="691">
        <v>2501</v>
      </c>
      <c r="P50" s="7"/>
      <c r="Q50" s="271"/>
      <c r="R50" s="271"/>
      <c r="S50" s="271"/>
      <c r="T50" s="271"/>
      <c r="U50" s="271"/>
      <c r="V50" s="271"/>
      <c r="W50" s="275"/>
      <c r="X50" s="271"/>
      <c r="Y50" s="221"/>
    </row>
    <row r="51" spans="2:25">
      <c r="B51" s="127" t="s">
        <v>84</v>
      </c>
      <c r="C51" s="55" t="str">
        <f>VLOOKUP(B51,'ccddd 1 col'!$B$2:$C$313,2,FALSE)</f>
        <v>Bridgeport</v>
      </c>
      <c r="D51" s="128">
        <f>VLOOKUP(B51,'Biling Enroll 050714'!$A$4:$C$303,3,FALSE)</f>
        <v>322.43</v>
      </c>
      <c r="E51" s="454">
        <f>VLOOKUP(B51,'Title III 2013-14'!$A$2:$D$296,4,FALSE)</f>
        <v>0</v>
      </c>
      <c r="F51" s="454">
        <f>IFERROR(VLOOKUP(B51,'Native American 050714'!$A$2:$E$62,5,FALSE),0)</f>
        <v>0</v>
      </c>
      <c r="H51" s="57"/>
      <c r="I51" s="491">
        <f t="shared" si="0"/>
        <v>322.43</v>
      </c>
      <c r="M51" s="244"/>
      <c r="N51" s="3"/>
      <c r="O51" s="7"/>
      <c r="P51" s="7"/>
      <c r="Q51" s="271"/>
      <c r="R51" s="271"/>
      <c r="S51" s="271"/>
      <c r="T51" s="271"/>
      <c r="U51" s="271"/>
      <c r="V51" s="271"/>
      <c r="W51" s="275"/>
      <c r="X51" s="271"/>
      <c r="Y51" s="221"/>
    </row>
    <row r="52" spans="2:25">
      <c r="B52" s="127" t="s">
        <v>86</v>
      </c>
      <c r="C52" s="55" t="str">
        <f>VLOOKUP(B52,'ccddd 1 col'!$B$2:$C$313,2,FALSE)</f>
        <v>Palisades</v>
      </c>
      <c r="D52" s="128">
        <f>VLOOKUP(B52,'Biling Enroll 050714'!$A$4:$C$303,3,FALSE)</f>
        <v>10.86</v>
      </c>
      <c r="E52" s="454">
        <f>VLOOKUP(B52,'Title III 2013-14'!$A$2:$D$296,4,FALSE)</f>
        <v>0</v>
      </c>
      <c r="F52" s="454">
        <f>IFERROR(VLOOKUP(B52,'Native American 050714'!$A$2:$E$62,5,FALSE),0)</f>
        <v>0</v>
      </c>
      <c r="H52" s="57"/>
      <c r="I52" s="491">
        <f t="shared" si="0"/>
        <v>10.86</v>
      </c>
      <c r="M52" s="244"/>
      <c r="N52" s="3"/>
      <c r="O52" s="7"/>
      <c r="P52" s="7"/>
      <c r="Q52" s="271"/>
      <c r="R52" s="271"/>
      <c r="S52" s="271"/>
      <c r="T52" s="271"/>
      <c r="U52" s="271"/>
      <c r="V52" s="271"/>
      <c r="W52" s="275"/>
      <c r="X52" s="271"/>
      <c r="Y52" s="221"/>
    </row>
    <row r="53" spans="2:25">
      <c r="B53" s="127" t="s">
        <v>88</v>
      </c>
      <c r="C53" s="55" t="str">
        <f>VLOOKUP(B53,'ccddd 1 col'!$B$2:$C$313,2,FALSE)</f>
        <v>Eastmont</v>
      </c>
      <c r="D53" s="128">
        <f>VLOOKUP(B53,'Biling Enroll 050714'!$A$4:$C$303,3,FALSE)</f>
        <v>1037.8599999999999</v>
      </c>
      <c r="E53" s="454">
        <f>VLOOKUP(B53,'Title III 2013-14'!$A$2:$D$296,4,FALSE)</f>
        <v>0</v>
      </c>
      <c r="F53" s="454">
        <f>IFERROR(VLOOKUP(B53,'Native American 050714'!$A$2:$E$62,5,FALSE),0)</f>
        <v>0</v>
      </c>
      <c r="H53" s="57"/>
      <c r="I53" s="491">
        <f t="shared" si="0"/>
        <v>1037.8599999999999</v>
      </c>
      <c r="M53" s="244"/>
      <c r="N53" s="3"/>
      <c r="O53" s="7"/>
      <c r="P53" s="7"/>
      <c r="Q53" s="271"/>
      <c r="R53" s="271"/>
      <c r="S53" s="271"/>
      <c r="T53" s="271"/>
      <c r="U53" s="271"/>
      <c r="V53" s="271"/>
      <c r="W53" s="275"/>
      <c r="X53" s="271"/>
      <c r="Y53" s="221"/>
    </row>
    <row r="54" spans="2:25">
      <c r="B54" s="127" t="s">
        <v>90</v>
      </c>
      <c r="C54" s="55" t="str">
        <f>VLOOKUP(B54,'ccddd 1 col'!$B$2:$C$313,2,FALSE)</f>
        <v>Mansfield</v>
      </c>
      <c r="D54" s="128">
        <f>VLOOKUP(B54,'Biling Enroll 050714'!$A$4:$C$303,3,FALSE)</f>
        <v>0</v>
      </c>
      <c r="E54" s="454">
        <f>VLOOKUP(B54,'Title III 2013-14'!$A$2:$D$296,4,FALSE)</f>
        <v>0</v>
      </c>
      <c r="F54" s="454">
        <f>IFERROR(VLOOKUP(B54,'Native American 050714'!$A$2:$E$62,5,FALSE),0)</f>
        <v>4</v>
      </c>
      <c r="H54" s="57"/>
      <c r="I54" s="491">
        <f t="shared" si="0"/>
        <v>4</v>
      </c>
      <c r="M54" s="244"/>
      <c r="N54" s="3"/>
      <c r="O54" s="7"/>
      <c r="P54" s="7"/>
      <c r="Q54" s="271"/>
      <c r="R54" s="271"/>
      <c r="S54" s="271"/>
      <c r="T54" s="271"/>
      <c r="U54" s="271"/>
      <c r="V54" s="271"/>
      <c r="W54" s="275"/>
      <c r="X54" s="271"/>
      <c r="Y54" s="221"/>
    </row>
    <row r="55" spans="2:25">
      <c r="B55" s="127" t="s">
        <v>92</v>
      </c>
      <c r="C55" s="55" t="str">
        <f>VLOOKUP(B55,'ccddd 1 col'!$B$2:$C$313,2,FALSE)</f>
        <v>Waterville</v>
      </c>
      <c r="D55" s="128">
        <f>VLOOKUP(B55,'Biling Enroll 050714'!$A$4:$C$303,3,FALSE)</f>
        <v>17.29</v>
      </c>
      <c r="E55" s="454">
        <f>VLOOKUP(B55,'Title III 2013-14'!$A$2:$D$296,4,FALSE)</f>
        <v>0</v>
      </c>
      <c r="F55" s="454">
        <f>IFERROR(VLOOKUP(B55,'Native American 050714'!$A$2:$E$62,5,FALSE),0)</f>
        <v>0</v>
      </c>
      <c r="H55" s="57"/>
      <c r="I55" s="491">
        <f t="shared" si="0"/>
        <v>17.29</v>
      </c>
      <c r="M55" s="244"/>
      <c r="N55" s="3"/>
      <c r="O55" s="7"/>
      <c r="P55" s="7"/>
      <c r="Q55" s="271"/>
      <c r="R55" s="271"/>
      <c r="S55" s="271"/>
      <c r="T55" s="271"/>
      <c r="U55" s="271"/>
      <c r="V55" s="271"/>
      <c r="W55" s="275"/>
      <c r="X55" s="271"/>
      <c r="Y55" s="221"/>
    </row>
    <row r="56" spans="2:25">
      <c r="B56" s="127" t="s">
        <v>94</v>
      </c>
      <c r="C56" s="55" t="str">
        <f>VLOOKUP(B56,'ccddd 1 col'!$B$2:$C$313,2,FALSE)</f>
        <v>Keller</v>
      </c>
      <c r="D56" s="128">
        <f>VLOOKUP(B56,'Biling Enroll 050714'!$A$4:$C$303,3,FALSE)</f>
        <v>0</v>
      </c>
      <c r="E56" s="454">
        <f>VLOOKUP(B56,'Title III 2013-14'!$A$2:$D$296,4,FALSE)</f>
        <v>0</v>
      </c>
      <c r="F56" s="454">
        <f>IFERROR(VLOOKUP(B56,'Native American 050714'!$A$2:$E$62,5,FALSE),0)</f>
        <v>0</v>
      </c>
      <c r="H56" s="57"/>
      <c r="I56" s="491">
        <f t="shared" si="0"/>
        <v>0</v>
      </c>
      <c r="M56" s="244"/>
      <c r="N56" s="3"/>
      <c r="O56" s="7"/>
      <c r="P56" s="7"/>
      <c r="Q56" s="271"/>
      <c r="R56" s="271"/>
      <c r="S56" s="271"/>
      <c r="T56" s="271"/>
      <c r="U56" s="271"/>
      <c r="V56" s="271"/>
      <c r="W56" s="275"/>
      <c r="X56" s="271"/>
      <c r="Y56" s="221"/>
    </row>
    <row r="57" spans="2:25">
      <c r="B57" s="127" t="s">
        <v>96</v>
      </c>
      <c r="C57" s="55" t="str">
        <f>VLOOKUP(B57,'ccddd 1 col'!$B$2:$C$313,2,FALSE)</f>
        <v>Curlew</v>
      </c>
      <c r="D57" s="128">
        <f>VLOOKUP(B57,'Biling Enroll 050714'!$A$4:$C$303,3,FALSE)</f>
        <v>0</v>
      </c>
      <c r="E57" s="454">
        <f>VLOOKUP(B57,'Title III 2013-14'!$A$2:$D$296,4,FALSE)</f>
        <v>0</v>
      </c>
      <c r="F57" s="454">
        <f>IFERROR(VLOOKUP(B57,'Native American 050714'!$A$2:$E$62,5,FALSE),0)</f>
        <v>0</v>
      </c>
      <c r="H57" s="57"/>
      <c r="I57" s="491">
        <f t="shared" si="0"/>
        <v>0</v>
      </c>
      <c r="M57" s="244"/>
      <c r="N57" s="3"/>
      <c r="O57" s="7"/>
      <c r="P57" s="7"/>
      <c r="Q57" s="271"/>
      <c r="R57" s="271"/>
      <c r="S57" s="271"/>
      <c r="T57" s="271"/>
      <c r="U57" s="271"/>
      <c r="V57" s="271"/>
      <c r="W57" s="275"/>
      <c r="X57" s="271"/>
      <c r="Y57" s="221"/>
    </row>
    <row r="58" spans="2:25">
      <c r="B58" s="127" t="s">
        <v>98</v>
      </c>
      <c r="C58" s="55" t="str">
        <f>VLOOKUP(B58,'ccddd 1 col'!$B$2:$C$313,2,FALSE)</f>
        <v>Orient</v>
      </c>
      <c r="D58" s="128">
        <f>VLOOKUP(B58,'Biling Enroll 050714'!$A$4:$C$303,3,FALSE)</f>
        <v>0</v>
      </c>
      <c r="E58" s="454">
        <f>VLOOKUP(B58,'Title III 2013-14'!$A$2:$D$296,4,FALSE)</f>
        <v>0</v>
      </c>
      <c r="F58" s="454">
        <f>IFERROR(VLOOKUP(B58,'Native American 050714'!$A$2:$E$62,5,FALSE),0)</f>
        <v>0</v>
      </c>
      <c r="H58" s="57"/>
      <c r="I58" s="491">
        <f t="shared" si="0"/>
        <v>0</v>
      </c>
      <c r="M58" s="244"/>
      <c r="N58" s="3"/>
      <c r="O58" s="7"/>
      <c r="P58" s="7"/>
      <c r="Q58" s="271"/>
      <c r="R58" s="271"/>
      <c r="S58" s="271"/>
      <c r="T58" s="271"/>
      <c r="U58" s="271"/>
      <c r="V58" s="271"/>
      <c r="W58" s="275"/>
      <c r="X58" s="271"/>
      <c r="Y58" s="221"/>
    </row>
    <row r="59" spans="2:25">
      <c r="B59" s="127" t="s">
        <v>100</v>
      </c>
      <c r="C59" s="55" t="str">
        <f>VLOOKUP(B59,'ccddd 1 col'!$B$2:$C$313,2,FALSE)</f>
        <v>Inchelium</v>
      </c>
      <c r="D59" s="128">
        <f>VLOOKUP(B59,'Biling Enroll 050714'!$A$4:$C$303,3,FALSE)</f>
        <v>0</v>
      </c>
      <c r="E59" s="454">
        <f>VLOOKUP(B59,'Title III 2013-14'!$A$2:$D$296,4,FALSE)</f>
        <v>0</v>
      </c>
      <c r="F59" s="454">
        <f>IFERROR(VLOOKUP(B59,'Native American 050714'!$A$2:$E$62,5,FALSE),0)</f>
        <v>0</v>
      </c>
      <c r="H59" s="57"/>
      <c r="I59" s="491">
        <f t="shared" si="0"/>
        <v>0</v>
      </c>
      <c r="M59" s="244"/>
      <c r="N59" s="3"/>
      <c r="O59" s="7"/>
      <c r="P59" s="7"/>
      <c r="Q59" s="271"/>
      <c r="R59" s="271"/>
      <c r="S59" s="271"/>
      <c r="T59" s="271"/>
      <c r="U59" s="271"/>
      <c r="V59" s="271"/>
      <c r="W59" s="275"/>
      <c r="X59" s="271"/>
      <c r="Y59" s="221"/>
    </row>
    <row r="60" spans="2:25">
      <c r="B60" s="127" t="s">
        <v>102</v>
      </c>
      <c r="C60" s="55" t="str">
        <f>VLOOKUP(B60,'ccddd 1 col'!$B$2:$C$313,2,FALSE)</f>
        <v>Republic</v>
      </c>
      <c r="D60" s="128">
        <f>VLOOKUP(B60,'Biling Enroll 050714'!$A$4:$C$303,3,FALSE)</f>
        <v>0</v>
      </c>
      <c r="E60" s="454">
        <f>VLOOKUP(B60,'Title III 2013-14'!$A$2:$D$296,4,FALSE)</f>
        <v>0</v>
      </c>
      <c r="F60" s="454">
        <f>IFERROR(VLOOKUP(B60,'Native American 050714'!$A$2:$E$62,5,FALSE),0)</f>
        <v>0</v>
      </c>
      <c r="H60" s="57"/>
      <c r="I60" s="491">
        <f t="shared" si="0"/>
        <v>0</v>
      </c>
      <c r="M60" s="244"/>
      <c r="N60" s="3"/>
      <c r="O60" s="7"/>
      <c r="P60" s="7"/>
      <c r="Q60" s="271"/>
      <c r="R60" s="271"/>
      <c r="S60" s="271"/>
      <c r="T60" s="271"/>
      <c r="U60" s="271"/>
      <c r="V60" s="271"/>
      <c r="W60" s="275"/>
      <c r="X60" s="271"/>
      <c r="Y60" s="221"/>
    </row>
    <row r="61" spans="2:25">
      <c r="B61" s="127" t="s">
        <v>104</v>
      </c>
      <c r="C61" s="55" t="str">
        <f>VLOOKUP(B61,'ccddd 1 col'!$B$2:$C$313,2,FALSE)</f>
        <v>Pasco</v>
      </c>
      <c r="D61" s="128">
        <f>VLOOKUP(B61,'Biling Enroll 050714'!$A$4:$C$303,3,FALSE)</f>
        <v>5808.57</v>
      </c>
      <c r="E61" s="454">
        <f>VLOOKUP(B61,'Title III 2013-14'!$A$2:$D$296,4,FALSE)</f>
        <v>0</v>
      </c>
      <c r="F61" s="454">
        <f>IFERROR(VLOOKUP(B61,'Native American 050714'!$A$2:$E$62,5,FALSE),0)</f>
        <v>0</v>
      </c>
      <c r="H61" s="57"/>
      <c r="I61" s="491">
        <f t="shared" si="0"/>
        <v>5808.57</v>
      </c>
      <c r="M61" s="244"/>
      <c r="N61" s="3"/>
      <c r="O61" s="7"/>
      <c r="P61" s="7"/>
      <c r="Q61" s="271"/>
      <c r="R61" s="271"/>
      <c r="S61" s="271"/>
      <c r="T61" s="271"/>
      <c r="U61" s="271"/>
      <c r="V61" s="271"/>
      <c r="W61" s="275"/>
      <c r="X61" s="271"/>
      <c r="Y61" s="221"/>
    </row>
    <row r="62" spans="2:25">
      <c r="B62" s="127" t="s">
        <v>106</v>
      </c>
      <c r="C62" s="55" t="str">
        <f>VLOOKUP(B62,'ccddd 1 col'!$B$2:$C$313,2,FALSE)</f>
        <v>North Franklin</v>
      </c>
      <c r="D62" s="128">
        <f>VLOOKUP(B62,'Biling Enroll 050714'!$A$4:$C$303,3,FALSE)</f>
        <v>715</v>
      </c>
      <c r="E62" s="454">
        <f>VLOOKUP(B62,'Title III 2013-14'!$A$2:$D$296,4,FALSE)</f>
        <v>0</v>
      </c>
      <c r="F62" s="454">
        <f>IFERROR(VLOOKUP(B62,'Native American 050714'!$A$2:$E$62,5,FALSE),0)</f>
        <v>0</v>
      </c>
      <c r="H62" s="57"/>
      <c r="I62" s="491">
        <f t="shared" si="0"/>
        <v>715</v>
      </c>
      <c r="M62" s="244"/>
      <c r="N62" s="3"/>
      <c r="O62" s="7"/>
      <c r="P62" s="7"/>
      <c r="Q62" s="271"/>
      <c r="R62" s="271"/>
      <c r="S62" s="271"/>
      <c r="T62" s="271"/>
      <c r="U62" s="271"/>
      <c r="V62" s="271"/>
      <c r="W62" s="275"/>
      <c r="X62" s="271"/>
      <c r="Y62" s="221"/>
    </row>
    <row r="63" spans="2:25">
      <c r="B63" s="127" t="s">
        <v>108</v>
      </c>
      <c r="C63" s="55" t="str">
        <f>VLOOKUP(B63,'ccddd 1 col'!$B$2:$C$313,2,FALSE)</f>
        <v>Star</v>
      </c>
      <c r="D63" s="128">
        <f>VLOOKUP(B63,'Biling Enroll 050714'!$A$4:$C$303,3,FALSE)</f>
        <v>0</v>
      </c>
      <c r="E63" s="454">
        <f>VLOOKUP(B63,'Title III 2013-14'!$A$2:$D$296,4,FALSE)</f>
        <v>0</v>
      </c>
      <c r="F63" s="454">
        <f>IFERROR(VLOOKUP(B63,'Native American 050714'!$A$2:$E$62,5,FALSE),0)</f>
        <v>0</v>
      </c>
      <c r="H63" s="57"/>
      <c r="I63" s="491">
        <f t="shared" si="0"/>
        <v>0</v>
      </c>
      <c r="M63" s="244"/>
      <c r="N63" s="3"/>
      <c r="O63" s="7"/>
      <c r="P63" s="7"/>
      <c r="Q63" s="271"/>
      <c r="R63" s="271"/>
      <c r="S63" s="271"/>
      <c r="T63" s="271"/>
      <c r="U63" s="271"/>
      <c r="V63" s="271"/>
      <c r="W63" s="275"/>
      <c r="X63" s="271"/>
      <c r="Y63" s="221"/>
    </row>
    <row r="64" spans="2:25">
      <c r="B64" s="127" t="s">
        <v>110</v>
      </c>
      <c r="C64" s="55" t="str">
        <f>VLOOKUP(B64,'ccddd 1 col'!$B$2:$C$313,2,FALSE)</f>
        <v>Kahlotus</v>
      </c>
      <c r="D64" s="128">
        <f>VLOOKUP(B64,'Biling Enroll 050714'!$A$4:$C$303,3,FALSE)</f>
        <v>0</v>
      </c>
      <c r="E64" s="454">
        <f>VLOOKUP(B64,'Title III 2013-14'!$A$2:$D$296,4,FALSE)</f>
        <v>0</v>
      </c>
      <c r="F64" s="454">
        <f>IFERROR(VLOOKUP(B64,'Native American 050714'!$A$2:$E$62,5,FALSE),0)</f>
        <v>0</v>
      </c>
      <c r="H64" s="58"/>
      <c r="I64" s="491">
        <f t="shared" si="0"/>
        <v>0</v>
      </c>
      <c r="M64" s="244"/>
      <c r="N64" s="3"/>
      <c r="O64" s="7"/>
      <c r="P64" s="7"/>
      <c r="Q64" s="271"/>
      <c r="R64" s="271"/>
      <c r="S64" s="271"/>
      <c r="T64" s="271"/>
      <c r="U64" s="271"/>
      <c r="V64" s="271"/>
      <c r="W64" s="275"/>
      <c r="X64" s="271"/>
      <c r="Y64" s="221"/>
    </row>
    <row r="65" spans="2:25">
      <c r="B65" s="127" t="s">
        <v>112</v>
      </c>
      <c r="C65" s="55" t="str">
        <f>VLOOKUP(B65,'ccddd 1 col'!$B$2:$C$313,2,FALSE)</f>
        <v>Pomeroy</v>
      </c>
      <c r="D65" s="128">
        <f>VLOOKUP(B65,'Biling Enroll 050714'!$A$4:$C$303,3,FALSE)</f>
        <v>3</v>
      </c>
      <c r="E65" s="454">
        <f>VLOOKUP(B65,'Title III 2013-14'!$A$2:$D$296,4,FALSE)</f>
        <v>0</v>
      </c>
      <c r="F65" s="454">
        <f>IFERROR(VLOOKUP(B65,'Native American 050714'!$A$2:$E$62,5,FALSE),0)</f>
        <v>0</v>
      </c>
      <c r="H65" s="57"/>
      <c r="I65" s="491">
        <f t="shared" si="0"/>
        <v>3</v>
      </c>
      <c r="M65" s="244"/>
      <c r="N65" s="3"/>
      <c r="O65" s="7"/>
      <c r="P65" s="7"/>
      <c r="Q65" s="271"/>
      <c r="R65" s="271"/>
      <c r="S65" s="271"/>
      <c r="T65" s="271"/>
      <c r="U65" s="271"/>
      <c r="V65" s="271"/>
      <c r="W65" s="275"/>
      <c r="X65" s="271"/>
      <c r="Y65" s="221"/>
    </row>
    <row r="66" spans="2:25">
      <c r="B66" s="127" t="s">
        <v>114</v>
      </c>
      <c r="C66" s="55" t="str">
        <f>VLOOKUP(B66,'ccddd 1 col'!$B$2:$C$313,2,FALSE)</f>
        <v>Wahluke</v>
      </c>
      <c r="D66" s="128">
        <f>VLOOKUP(B66,'Biling Enroll 050714'!$A$4:$C$303,3,FALSE)</f>
        <v>1320.29</v>
      </c>
      <c r="E66" s="454">
        <f>VLOOKUP(B66,'Title III 2013-14'!$A$2:$D$296,4,FALSE)</f>
        <v>0</v>
      </c>
      <c r="F66" s="454">
        <f>IFERROR(VLOOKUP(B66,'Native American 050714'!$A$2:$E$62,5,FALSE),0)</f>
        <v>0</v>
      </c>
      <c r="H66" s="57"/>
      <c r="I66" s="491">
        <f t="shared" si="0"/>
        <v>1320.29</v>
      </c>
      <c r="M66" s="244"/>
      <c r="N66" s="3"/>
      <c r="O66" s="7"/>
      <c r="P66" s="7"/>
      <c r="Q66" s="271"/>
      <c r="R66" s="271"/>
      <c r="S66" s="271"/>
      <c r="T66" s="271"/>
      <c r="U66" s="271"/>
      <c r="V66" s="271"/>
      <c r="W66" s="275"/>
      <c r="X66" s="271"/>
      <c r="Y66" s="221"/>
    </row>
    <row r="67" spans="2:25">
      <c r="B67" s="127" t="s">
        <v>116</v>
      </c>
      <c r="C67" s="55" t="str">
        <f>VLOOKUP(B67,'ccddd 1 col'!$B$2:$C$313,2,FALSE)</f>
        <v>Quincy</v>
      </c>
      <c r="D67" s="128">
        <f>VLOOKUP(B67,'Biling Enroll 050714'!$A$4:$C$303,3,FALSE)</f>
        <v>1083</v>
      </c>
      <c r="E67" s="454">
        <f>VLOOKUP(B67,'Title III 2013-14'!$A$2:$D$296,4,FALSE)</f>
        <v>0</v>
      </c>
      <c r="F67" s="454">
        <f>IFERROR(VLOOKUP(B67,'Native American 050714'!$A$2:$E$62,5,FALSE),0)</f>
        <v>0</v>
      </c>
      <c r="H67" s="57"/>
      <c r="I67" s="491">
        <f t="shared" si="0"/>
        <v>1083</v>
      </c>
      <c r="M67" s="244"/>
      <c r="N67" s="3"/>
      <c r="O67" s="7"/>
      <c r="P67" s="7"/>
      <c r="Q67" s="271"/>
      <c r="R67" s="271"/>
      <c r="S67" s="271"/>
      <c r="T67" s="271"/>
      <c r="U67" s="271"/>
      <c r="V67" s="271"/>
      <c r="W67" s="275"/>
      <c r="X67" s="271"/>
      <c r="Y67" s="221"/>
    </row>
    <row r="68" spans="2:25">
      <c r="B68" s="127" t="s">
        <v>118</v>
      </c>
      <c r="C68" s="55" t="str">
        <f>VLOOKUP(B68,'ccddd 1 col'!$B$2:$C$313,2,FALSE)</f>
        <v>Warden</v>
      </c>
      <c r="D68" s="128">
        <f>VLOOKUP(B68,'Biling Enroll 050714'!$A$4:$C$303,3,FALSE)</f>
        <v>334.57</v>
      </c>
      <c r="E68" s="454">
        <f>VLOOKUP(B68,'Title III 2013-14'!$A$2:$D$296,4,FALSE)</f>
        <v>0</v>
      </c>
      <c r="F68" s="454">
        <f>IFERROR(VLOOKUP(B68,'Native American 050714'!$A$2:$E$62,5,FALSE),0)</f>
        <v>0</v>
      </c>
      <c r="H68" s="57"/>
      <c r="I68" s="491">
        <f t="shared" si="0"/>
        <v>334.57</v>
      </c>
      <c r="M68" s="244"/>
      <c r="N68" s="3"/>
      <c r="O68" s="7"/>
      <c r="P68" s="7"/>
      <c r="Q68" s="271"/>
      <c r="R68" s="271"/>
      <c r="S68" s="271"/>
      <c r="T68" s="271"/>
      <c r="U68" s="271"/>
      <c r="V68" s="271"/>
      <c r="W68" s="275"/>
      <c r="X68" s="271"/>
      <c r="Y68" s="221"/>
    </row>
    <row r="69" spans="2:25">
      <c r="B69" s="127" t="s">
        <v>120</v>
      </c>
      <c r="C69" s="55" t="str">
        <f>VLOOKUP(B69,'ccddd 1 col'!$B$2:$C$313,2,FALSE)</f>
        <v>Coulee/Hartline</v>
      </c>
      <c r="D69" s="128">
        <f>VLOOKUP(B69,'Biling Enroll 050714'!$A$4:$C$303,3,FALSE)</f>
        <v>0</v>
      </c>
      <c r="E69" s="454">
        <f>VLOOKUP(B69,'Title III 2013-14'!$A$2:$D$296,4,FALSE)</f>
        <v>0</v>
      </c>
      <c r="F69" s="454">
        <f>IFERROR(VLOOKUP(B69,'Native American 050714'!$A$2:$E$62,5,FALSE),0)</f>
        <v>0</v>
      </c>
      <c r="H69" s="57"/>
      <c r="I69" s="491">
        <f t="shared" si="0"/>
        <v>0</v>
      </c>
      <c r="M69" s="244"/>
      <c r="N69" s="3"/>
      <c r="O69" s="7"/>
      <c r="P69" s="7"/>
      <c r="Q69" s="271"/>
      <c r="R69" s="271"/>
      <c r="S69" s="271"/>
      <c r="T69" s="271"/>
      <c r="U69" s="271"/>
      <c r="V69" s="271"/>
      <c r="W69" s="275"/>
      <c r="X69" s="271"/>
      <c r="Y69" s="221"/>
    </row>
    <row r="70" spans="2:25">
      <c r="B70" s="127" t="s">
        <v>121</v>
      </c>
      <c r="C70" s="55" t="str">
        <f>VLOOKUP(B70,'ccddd 1 col'!$B$2:$C$313,2,FALSE)</f>
        <v>Soap Lake</v>
      </c>
      <c r="D70" s="128">
        <f>VLOOKUP(B70,'Biling Enroll 050714'!$A$4:$C$303,3,FALSE)</f>
        <v>74.290000000000006</v>
      </c>
      <c r="E70" s="454">
        <f>VLOOKUP(B70,'Title III 2013-14'!$A$2:$D$296,4,FALSE)</f>
        <v>0</v>
      </c>
      <c r="F70" s="454">
        <f>IFERROR(VLOOKUP(B70,'Native American 050714'!$A$2:$E$62,5,FALSE),0)</f>
        <v>0</v>
      </c>
      <c r="H70" s="57"/>
      <c r="I70" s="491">
        <f t="shared" si="0"/>
        <v>74.290000000000006</v>
      </c>
      <c r="M70" s="244"/>
      <c r="N70" s="3"/>
      <c r="O70" s="7"/>
      <c r="P70" s="7"/>
      <c r="Q70" s="271"/>
      <c r="R70" s="271"/>
      <c r="S70" s="271"/>
      <c r="T70" s="271"/>
      <c r="U70" s="271"/>
      <c r="V70" s="271"/>
      <c r="W70" s="275"/>
      <c r="X70" s="271"/>
      <c r="Y70" s="221"/>
    </row>
    <row r="71" spans="2:25">
      <c r="B71" s="127" t="s">
        <v>123</v>
      </c>
      <c r="C71" s="55" t="str">
        <f>VLOOKUP(B71,'ccddd 1 col'!$B$2:$C$313,2,FALSE)</f>
        <v>Royal</v>
      </c>
      <c r="D71" s="128">
        <f>VLOOKUP(B71,'Biling Enroll 050714'!$A$4:$C$303,3,FALSE)</f>
        <v>713.43</v>
      </c>
      <c r="E71" s="454">
        <f>VLOOKUP(B71,'Title III 2013-14'!$A$2:$D$296,4,FALSE)</f>
        <v>0</v>
      </c>
      <c r="F71" s="454">
        <f>IFERROR(VLOOKUP(B71,'Native American 050714'!$A$2:$E$62,5,FALSE),0)</f>
        <v>0</v>
      </c>
      <c r="H71" s="57"/>
      <c r="I71" s="491">
        <f t="shared" si="0"/>
        <v>713.43</v>
      </c>
      <c r="M71" s="244"/>
      <c r="N71" s="3"/>
      <c r="O71" s="7"/>
      <c r="P71" s="7"/>
      <c r="Q71" s="271"/>
      <c r="R71" s="271"/>
      <c r="S71" s="271"/>
      <c r="T71" s="271"/>
      <c r="U71" s="271"/>
      <c r="V71" s="271"/>
      <c r="W71" s="275"/>
      <c r="X71" s="271"/>
      <c r="Y71" s="221"/>
    </row>
    <row r="72" spans="2:25">
      <c r="B72" s="127" t="s">
        <v>125</v>
      </c>
      <c r="C72" s="55" t="str">
        <f>VLOOKUP(B72,'ccddd 1 col'!$B$2:$C$313,2,FALSE)</f>
        <v>Moses Lake</v>
      </c>
      <c r="D72" s="128">
        <f>VLOOKUP(B72,'Biling Enroll 050714'!$A$4:$C$303,3,FALSE)</f>
        <v>818.43</v>
      </c>
      <c r="E72" s="454">
        <f>VLOOKUP(B72,'Title III 2013-14'!$A$2:$D$296,4,FALSE)</f>
        <v>0</v>
      </c>
      <c r="F72" s="454">
        <f>IFERROR(VLOOKUP(B72,'Native American 050714'!$A$2:$E$62,5,FALSE),0)</f>
        <v>0</v>
      </c>
      <c r="H72" s="57"/>
      <c r="I72" s="491">
        <f t="shared" si="0"/>
        <v>818.43</v>
      </c>
      <c r="M72" s="244"/>
      <c r="N72" s="3"/>
      <c r="O72" s="7"/>
      <c r="P72" s="7"/>
      <c r="Q72" s="271"/>
      <c r="R72" s="271"/>
      <c r="S72" s="271"/>
      <c r="T72" s="271"/>
      <c r="U72" s="271"/>
      <c r="V72" s="271"/>
      <c r="W72" s="275"/>
      <c r="X72" s="271"/>
      <c r="Y72" s="221"/>
    </row>
    <row r="73" spans="2:25">
      <c r="B73" s="127" t="s">
        <v>127</v>
      </c>
      <c r="C73" s="55" t="str">
        <f>VLOOKUP(B73,'ccddd 1 col'!$B$2:$C$313,2,FALSE)</f>
        <v>Ephrata</v>
      </c>
      <c r="D73" s="128">
        <f>VLOOKUP(B73,'Biling Enroll 050714'!$A$4:$C$303,3,FALSE)</f>
        <v>226.43</v>
      </c>
      <c r="E73" s="454">
        <f>VLOOKUP(B73,'Title III 2013-14'!$A$2:$D$296,4,FALSE)</f>
        <v>0</v>
      </c>
      <c r="F73" s="454">
        <f>IFERROR(VLOOKUP(B73,'Native American 050714'!$A$2:$E$62,5,FALSE),0)</f>
        <v>0</v>
      </c>
      <c r="H73" s="57"/>
      <c r="I73" s="491">
        <f t="shared" ref="I73:I134" si="1">D73+E73+F73</f>
        <v>226.43</v>
      </c>
      <c r="M73" s="244"/>
      <c r="N73" s="3"/>
      <c r="O73" s="7"/>
      <c r="P73" s="7"/>
      <c r="Q73" s="271"/>
      <c r="R73" s="271"/>
      <c r="S73" s="271"/>
      <c r="T73" s="271"/>
      <c r="U73" s="271"/>
      <c r="V73" s="271"/>
      <c r="W73" s="275"/>
      <c r="X73" s="271"/>
      <c r="Y73" s="221"/>
    </row>
    <row r="74" spans="2:25">
      <c r="B74" s="127" t="s">
        <v>129</v>
      </c>
      <c r="C74" s="55" t="str">
        <f>VLOOKUP(B74,'ccddd 1 col'!$B$2:$C$313,2,FALSE)</f>
        <v>Wilson Creek</v>
      </c>
      <c r="D74" s="128">
        <f>VLOOKUP(B74,'Biling Enroll 050714'!$A$4:$C$303,3,FALSE)</f>
        <v>0</v>
      </c>
      <c r="E74" s="454">
        <f>VLOOKUP(B74,'Title III 2013-14'!$A$2:$D$296,4,FALSE)</f>
        <v>0</v>
      </c>
      <c r="F74" s="454">
        <f>IFERROR(VLOOKUP(B74,'Native American 050714'!$A$2:$E$62,5,FALSE),0)</f>
        <v>0</v>
      </c>
      <c r="H74" s="57"/>
      <c r="I74" s="491">
        <f t="shared" si="1"/>
        <v>0</v>
      </c>
      <c r="M74" s="244"/>
      <c r="N74" s="3"/>
      <c r="O74" s="7"/>
      <c r="P74" s="7"/>
      <c r="Q74" s="271"/>
      <c r="R74" s="271"/>
      <c r="S74" s="271"/>
      <c r="T74" s="271"/>
      <c r="U74" s="271"/>
      <c r="V74" s="271"/>
      <c r="W74" s="275"/>
      <c r="X74" s="271"/>
      <c r="Y74" s="221"/>
    </row>
    <row r="75" spans="2:25">
      <c r="B75" s="127" t="s">
        <v>131</v>
      </c>
      <c r="C75" s="55" t="str">
        <f>VLOOKUP(B75,'ccddd 1 col'!$B$2:$C$313,2,FALSE)</f>
        <v>Grand Coulee Dam</v>
      </c>
      <c r="D75" s="128">
        <f>VLOOKUP(B75,'Biling Enroll 050714'!$A$4:$C$303,3,FALSE)</f>
        <v>0</v>
      </c>
      <c r="E75" s="454">
        <f>VLOOKUP(B75,'Title III 2013-14'!$A$2:$D$296,4,FALSE)</f>
        <v>0</v>
      </c>
      <c r="F75" s="454">
        <f>IFERROR(VLOOKUP(B75,'Native American 050714'!$A$2:$E$62,5,FALSE),0)</f>
        <v>0</v>
      </c>
      <c r="H75" s="57"/>
      <c r="I75" s="491">
        <f t="shared" si="1"/>
        <v>0</v>
      </c>
      <c r="M75" s="244"/>
      <c r="N75" s="3"/>
      <c r="O75" s="7"/>
      <c r="P75" s="7"/>
      <c r="Q75" s="271"/>
      <c r="R75" s="271"/>
      <c r="S75" s="271"/>
      <c r="T75" s="271"/>
      <c r="U75" s="271"/>
      <c r="V75" s="271"/>
      <c r="W75" s="275"/>
      <c r="X75" s="271"/>
      <c r="Y75" s="221"/>
    </row>
    <row r="76" spans="2:25">
      <c r="B76" s="127" t="s">
        <v>132</v>
      </c>
      <c r="C76" s="55" t="str">
        <f>VLOOKUP(B76,'ccddd 1 col'!$B$2:$C$313,2,FALSE)</f>
        <v>Aberdeen</v>
      </c>
      <c r="D76" s="128">
        <f>VLOOKUP(B76,'Biling Enroll 050714'!$A$4:$C$303,3,FALSE)</f>
        <v>320.86</v>
      </c>
      <c r="E76" s="454">
        <f>VLOOKUP(B76,'Title III 2013-14'!$A$2:$D$296,4,FALSE)</f>
        <v>21</v>
      </c>
      <c r="F76" s="454">
        <f>IFERROR(VLOOKUP(B76,'Native American 050714'!$A$2:$E$62,5,FALSE),0)</f>
        <v>28</v>
      </c>
      <c r="H76" s="57"/>
      <c r="I76" s="491">
        <f t="shared" si="1"/>
        <v>369.86</v>
      </c>
      <c r="M76" s="244"/>
      <c r="N76" s="3"/>
      <c r="O76" s="7"/>
      <c r="P76" s="7"/>
      <c r="Q76" s="271"/>
      <c r="R76" s="271"/>
      <c r="S76" s="271"/>
      <c r="T76" s="271"/>
      <c r="U76" s="271"/>
      <c r="V76" s="271"/>
      <c r="W76" s="275"/>
      <c r="X76" s="271"/>
      <c r="Y76" s="221"/>
    </row>
    <row r="77" spans="2:25">
      <c r="B77" s="127" t="s">
        <v>134</v>
      </c>
      <c r="C77" s="55" t="str">
        <f>VLOOKUP(B77,'ccddd 1 col'!$B$2:$C$313,2,FALSE)</f>
        <v>Hoquiam</v>
      </c>
      <c r="D77" s="128">
        <f>VLOOKUP(B77,'Biling Enroll 050714'!$A$4:$C$303,3,FALSE)</f>
        <v>48.14</v>
      </c>
      <c r="E77" s="454">
        <f>VLOOKUP(B77,'Title III 2013-14'!$A$2:$D$296,4,FALSE)</f>
        <v>0</v>
      </c>
      <c r="F77" s="454">
        <f>IFERROR(VLOOKUP(B77,'Native American 050714'!$A$2:$E$62,5,FALSE),0)</f>
        <v>0</v>
      </c>
      <c r="H77" s="57"/>
      <c r="I77" s="491">
        <f t="shared" si="1"/>
        <v>48.14</v>
      </c>
      <c r="M77" s="244"/>
      <c r="N77" s="3"/>
      <c r="O77" s="7"/>
      <c r="P77" s="7"/>
      <c r="Q77" s="271"/>
      <c r="R77" s="271"/>
      <c r="S77" s="271"/>
      <c r="T77" s="271"/>
      <c r="U77" s="271"/>
      <c r="V77" s="271"/>
      <c r="W77" s="275"/>
      <c r="X77" s="271"/>
      <c r="Y77" s="221"/>
    </row>
    <row r="78" spans="2:25">
      <c r="B78" s="127" t="s">
        <v>136</v>
      </c>
      <c r="C78" s="55" t="str">
        <f>VLOOKUP(B78,'ccddd 1 col'!$B$2:$C$313,2,FALSE)</f>
        <v>North Beach</v>
      </c>
      <c r="D78" s="128">
        <f>VLOOKUP(B78,'Biling Enroll 050714'!$A$4:$C$303,3,FALSE)</f>
        <v>0</v>
      </c>
      <c r="E78" s="454">
        <f>VLOOKUP(B78,'Title III 2013-14'!$A$2:$D$296,4,FALSE)</f>
        <v>0</v>
      </c>
      <c r="F78" s="454">
        <f>IFERROR(VLOOKUP(B78,'Native American 050714'!$A$2:$E$62,5,FALSE),0)</f>
        <v>0</v>
      </c>
      <c r="H78" s="57"/>
      <c r="I78" s="491">
        <f t="shared" si="1"/>
        <v>0</v>
      </c>
      <c r="M78" s="244"/>
      <c r="N78" s="3"/>
      <c r="O78" s="7"/>
      <c r="P78" s="7"/>
      <c r="Q78" s="271"/>
      <c r="R78" s="271"/>
      <c r="S78" s="271"/>
      <c r="T78" s="271"/>
      <c r="U78" s="271"/>
      <c r="V78" s="271"/>
      <c r="W78" s="275"/>
      <c r="X78" s="271"/>
      <c r="Y78" s="221"/>
    </row>
    <row r="79" spans="2:25">
      <c r="B79" s="127" t="s">
        <v>138</v>
      </c>
      <c r="C79" s="55" t="str">
        <f>VLOOKUP(B79,'ccddd 1 col'!$B$2:$C$313,2,FALSE)</f>
        <v>Mc Cleary</v>
      </c>
      <c r="D79" s="128">
        <f>VLOOKUP(B79,'Biling Enroll 050714'!$A$4:$C$303,3,FALSE)</f>
        <v>0</v>
      </c>
      <c r="E79" s="454">
        <f>VLOOKUP(B79,'Title III 2013-14'!$A$2:$D$296,4,FALSE)</f>
        <v>0</v>
      </c>
      <c r="F79" s="454">
        <f>IFERROR(VLOOKUP(B79,'Native American 050714'!$A$2:$E$62,5,FALSE),0)</f>
        <v>0</v>
      </c>
      <c r="H79" s="57"/>
      <c r="I79" s="491">
        <f t="shared" si="1"/>
        <v>0</v>
      </c>
      <c r="M79" s="244"/>
      <c r="N79" s="3"/>
      <c r="O79" s="7"/>
      <c r="P79" s="7"/>
      <c r="Q79" s="271"/>
      <c r="R79" s="271"/>
      <c r="S79" s="271"/>
      <c r="T79" s="271"/>
      <c r="U79" s="271"/>
      <c r="V79" s="271"/>
      <c r="W79" s="275"/>
      <c r="X79" s="271"/>
      <c r="Y79" s="221"/>
    </row>
    <row r="80" spans="2:25">
      <c r="B80" s="127" t="s">
        <v>139</v>
      </c>
      <c r="C80" s="55" t="str">
        <f>VLOOKUP(B80,'ccddd 1 col'!$B$2:$C$313,2,FALSE)</f>
        <v>Montesano</v>
      </c>
      <c r="D80" s="128">
        <f>VLOOKUP(B80,'Biling Enroll 050714'!$A$4:$C$303,3,FALSE)</f>
        <v>17.71</v>
      </c>
      <c r="E80" s="454">
        <f>VLOOKUP(B80,'Title III 2013-14'!$A$2:$D$296,4,FALSE)</f>
        <v>0</v>
      </c>
      <c r="F80" s="454">
        <f>IFERROR(VLOOKUP(B80,'Native American 050714'!$A$2:$E$62,5,FALSE),0)</f>
        <v>0</v>
      </c>
      <c r="H80" s="57"/>
      <c r="I80" s="491">
        <f t="shared" si="1"/>
        <v>17.71</v>
      </c>
      <c r="M80" s="244"/>
      <c r="N80" s="3"/>
      <c r="O80" s="7"/>
      <c r="P80" s="7"/>
      <c r="Q80" s="271"/>
      <c r="R80" s="271"/>
      <c r="S80" s="271"/>
      <c r="T80" s="271"/>
      <c r="U80" s="271"/>
      <c r="V80" s="271"/>
      <c r="W80" s="275"/>
      <c r="X80" s="271"/>
      <c r="Y80" s="221"/>
    </row>
    <row r="81" spans="2:25">
      <c r="B81" s="127" t="s">
        <v>141</v>
      </c>
      <c r="C81" s="55" t="str">
        <f>VLOOKUP(B81,'ccddd 1 col'!$B$2:$C$313,2,FALSE)</f>
        <v>Elma</v>
      </c>
      <c r="D81" s="128">
        <f>VLOOKUP(B81,'Biling Enroll 050714'!$A$4:$C$303,3,FALSE)</f>
        <v>104.29</v>
      </c>
      <c r="E81" s="454">
        <f>VLOOKUP(B81,'Title III 2013-14'!$A$2:$D$296,4,FALSE)</f>
        <v>0</v>
      </c>
      <c r="F81" s="454">
        <f>IFERROR(VLOOKUP(B81,'Native American 050714'!$A$2:$E$62,5,FALSE),0)</f>
        <v>0</v>
      </c>
      <c r="H81" s="57"/>
      <c r="I81" s="491">
        <f t="shared" si="1"/>
        <v>104.29</v>
      </c>
      <c r="M81" s="244"/>
      <c r="N81" s="3"/>
      <c r="O81" s="7"/>
      <c r="P81" s="7"/>
      <c r="Q81" s="271"/>
      <c r="R81" s="271"/>
      <c r="S81" s="271"/>
      <c r="T81" s="271"/>
      <c r="U81" s="271"/>
      <c r="V81" s="271"/>
      <c r="W81" s="275"/>
      <c r="X81" s="271"/>
      <c r="Y81" s="221"/>
    </row>
    <row r="82" spans="2:25">
      <c r="B82" s="127" t="s">
        <v>143</v>
      </c>
      <c r="C82" s="55" t="str">
        <f>VLOOKUP(B82,'ccddd 1 col'!$B$2:$C$313,2,FALSE)</f>
        <v>Taholah</v>
      </c>
      <c r="D82" s="128">
        <f>VLOOKUP(B82,'Biling Enroll 050714'!$A$4:$C$303,3,FALSE)</f>
        <v>0</v>
      </c>
      <c r="E82" s="454">
        <f>VLOOKUP(B82,'Title III 2013-14'!$A$2:$D$296,4,FALSE)</f>
        <v>0</v>
      </c>
      <c r="F82" s="454">
        <f>IFERROR(VLOOKUP(B82,'Native American 050714'!$A$2:$E$62,5,FALSE),0)</f>
        <v>0</v>
      </c>
      <c r="H82" s="57"/>
      <c r="I82" s="491">
        <f t="shared" si="1"/>
        <v>0</v>
      </c>
      <c r="M82" s="244"/>
      <c r="N82" s="3"/>
      <c r="O82" s="7"/>
      <c r="P82" s="7"/>
      <c r="Q82" s="271"/>
      <c r="R82" s="271"/>
      <c r="S82" s="271"/>
      <c r="T82" s="271"/>
      <c r="U82" s="271"/>
      <c r="V82" s="271"/>
      <c r="W82" s="275"/>
      <c r="X82" s="271"/>
      <c r="Y82" s="221"/>
    </row>
    <row r="83" spans="2:25">
      <c r="B83" s="127" t="s">
        <v>145</v>
      </c>
      <c r="C83" s="55" t="str">
        <f>VLOOKUP(B83,'ccddd 1 col'!$B$2:$C$313,2,FALSE)</f>
        <v>Quinault</v>
      </c>
      <c r="D83" s="128">
        <f>VLOOKUP(B83,'Biling Enroll 050714'!$A$4:$C$303,3,FALSE)</f>
        <v>32.86</v>
      </c>
      <c r="E83" s="454">
        <f>VLOOKUP(B83,'Title III 2013-14'!$A$2:$D$296,4,FALSE)</f>
        <v>19</v>
      </c>
      <c r="F83" s="454">
        <f>IFERROR(VLOOKUP(B83,'Native American 050714'!$A$2:$E$62,5,FALSE),0)</f>
        <v>24</v>
      </c>
      <c r="H83" s="57"/>
      <c r="I83" s="491">
        <f t="shared" si="1"/>
        <v>75.86</v>
      </c>
      <c r="M83" s="244"/>
      <c r="N83" s="3"/>
      <c r="O83" s="7"/>
      <c r="P83" s="7"/>
      <c r="Q83" s="271"/>
      <c r="R83" s="271"/>
      <c r="S83" s="271"/>
      <c r="T83" s="271"/>
      <c r="U83" s="271"/>
      <c r="V83" s="271"/>
      <c r="W83" s="275"/>
      <c r="X83" s="271"/>
      <c r="Y83" s="221"/>
    </row>
    <row r="84" spans="2:25">
      <c r="B84" s="127" t="s">
        <v>147</v>
      </c>
      <c r="C84" s="55" t="str">
        <f>VLOOKUP(B84,'ccddd 1 col'!$B$2:$C$313,2,FALSE)</f>
        <v>Cosmopolis</v>
      </c>
      <c r="D84" s="128">
        <f>VLOOKUP(B84,'Biling Enroll 050714'!$A$4:$C$303,3,FALSE)</f>
        <v>3.29</v>
      </c>
      <c r="E84" s="454">
        <f>VLOOKUP(B84,'Title III 2013-14'!$A$2:$D$296,4,FALSE)</f>
        <v>0</v>
      </c>
      <c r="F84" s="454">
        <f>IFERROR(VLOOKUP(B84,'Native American 050714'!$A$2:$E$62,5,FALSE),0)</f>
        <v>0</v>
      </c>
      <c r="H84" s="57"/>
      <c r="I84" s="491">
        <f t="shared" si="1"/>
        <v>3.29</v>
      </c>
      <c r="M84" s="244"/>
      <c r="N84" s="3"/>
      <c r="O84" s="7"/>
      <c r="P84" s="7"/>
      <c r="Q84" s="271"/>
      <c r="R84" s="271"/>
      <c r="S84" s="271"/>
      <c r="T84" s="271"/>
      <c r="U84" s="271"/>
      <c r="V84" s="271"/>
      <c r="W84" s="275"/>
      <c r="X84" s="271"/>
      <c r="Y84" s="221"/>
    </row>
    <row r="85" spans="2:25">
      <c r="B85" s="127" t="s">
        <v>149</v>
      </c>
      <c r="C85" s="55" t="str">
        <f>VLOOKUP(B85,'ccddd 1 col'!$B$2:$C$313,2,FALSE)</f>
        <v>Satsop</v>
      </c>
      <c r="D85" s="128">
        <f>VLOOKUP(B85,'Biling Enroll 050714'!$A$4:$C$303,3,FALSE)</f>
        <v>0</v>
      </c>
      <c r="E85" s="454">
        <f>VLOOKUP(B85,'Title III 2013-14'!$A$2:$D$296,4,FALSE)</f>
        <v>0</v>
      </c>
      <c r="F85" s="454">
        <f>IFERROR(VLOOKUP(B85,'Native American 050714'!$A$2:$E$62,5,FALSE),0)</f>
        <v>0</v>
      </c>
      <c r="H85" s="57"/>
      <c r="I85" s="491">
        <f t="shared" si="1"/>
        <v>0</v>
      </c>
      <c r="M85" s="244"/>
      <c r="N85" s="3"/>
      <c r="O85" s="7"/>
      <c r="P85" s="7"/>
      <c r="Q85" s="271"/>
      <c r="R85" s="271"/>
      <c r="S85" s="271"/>
      <c r="T85" s="271"/>
      <c r="U85" s="271"/>
      <c r="V85" s="271"/>
      <c r="W85" s="275"/>
      <c r="X85" s="271"/>
      <c r="Y85" s="221"/>
    </row>
    <row r="86" spans="2:25">
      <c r="B86" s="127" t="s">
        <v>151</v>
      </c>
      <c r="C86" s="55" t="str">
        <f>VLOOKUP(B86,'ccddd 1 col'!$B$2:$C$313,2,FALSE)</f>
        <v>Wishkah Valley</v>
      </c>
      <c r="D86" s="128">
        <f>VLOOKUP(B86,'Biling Enroll 050714'!$A$4:$C$303,3,FALSE)</f>
        <v>0</v>
      </c>
      <c r="E86" s="454">
        <f>VLOOKUP(B86,'Title III 2013-14'!$A$2:$D$296,4,FALSE)</f>
        <v>0</v>
      </c>
      <c r="F86" s="454">
        <f>IFERROR(VLOOKUP(B86,'Native American 050714'!$A$2:$E$62,5,FALSE),0)</f>
        <v>0</v>
      </c>
      <c r="H86" s="57"/>
      <c r="I86" s="491">
        <f t="shared" si="1"/>
        <v>0</v>
      </c>
      <c r="M86" s="244"/>
      <c r="N86" s="3"/>
      <c r="O86" s="7"/>
      <c r="P86" s="7"/>
      <c r="Q86" s="271"/>
      <c r="R86" s="271"/>
      <c r="S86" s="271"/>
      <c r="T86" s="271"/>
      <c r="U86" s="271"/>
      <c r="V86" s="271"/>
      <c r="W86" s="275"/>
      <c r="X86" s="271"/>
      <c r="Y86" s="221"/>
    </row>
    <row r="87" spans="2:25">
      <c r="B87" s="127" t="s">
        <v>153</v>
      </c>
      <c r="C87" s="55" t="str">
        <f>VLOOKUP(B87,'ccddd 1 col'!$B$2:$C$313,2,FALSE)</f>
        <v>Ocosta</v>
      </c>
      <c r="D87" s="128">
        <f>VLOOKUP(B87,'Biling Enroll 050714'!$A$4:$C$303,3,FALSE)</f>
        <v>56.57</v>
      </c>
      <c r="E87" s="454">
        <f>VLOOKUP(B87,'Title III 2013-14'!$A$2:$D$296,4,FALSE)</f>
        <v>0</v>
      </c>
      <c r="F87" s="454">
        <f>IFERROR(VLOOKUP(B87,'Native American 050714'!$A$2:$E$62,5,FALSE),0)</f>
        <v>0</v>
      </c>
      <c r="H87" s="57"/>
      <c r="I87" s="491">
        <f t="shared" si="1"/>
        <v>56.57</v>
      </c>
      <c r="M87" s="244"/>
      <c r="N87" s="3"/>
      <c r="O87" s="7"/>
      <c r="P87" s="7"/>
      <c r="Q87" s="271"/>
      <c r="R87" s="271"/>
      <c r="S87" s="271"/>
      <c r="T87" s="271"/>
      <c r="U87" s="271"/>
      <c r="V87" s="271"/>
      <c r="W87" s="275"/>
      <c r="X87" s="271"/>
      <c r="Y87" s="221"/>
    </row>
    <row r="88" spans="2:25">
      <c r="B88" s="127" t="s">
        <v>155</v>
      </c>
      <c r="C88" s="55" t="str">
        <f>VLOOKUP(B88,'ccddd 1 col'!$B$2:$C$313,2,FALSE)</f>
        <v>Oakville</v>
      </c>
      <c r="D88" s="128">
        <f>VLOOKUP(B88,'Biling Enroll 050714'!$A$4:$C$303,3,FALSE)</f>
        <v>0</v>
      </c>
      <c r="E88" s="454">
        <f>VLOOKUP(B88,'Title III 2013-14'!$A$2:$D$296,4,FALSE)</f>
        <v>0</v>
      </c>
      <c r="F88" s="454">
        <f>IFERROR(VLOOKUP(B88,'Native American 050714'!$A$2:$E$62,5,FALSE),0)</f>
        <v>0</v>
      </c>
      <c r="H88" s="57"/>
      <c r="I88" s="491">
        <f t="shared" si="1"/>
        <v>0</v>
      </c>
      <c r="M88" s="244"/>
      <c r="N88" s="3"/>
      <c r="O88" s="7"/>
      <c r="P88" s="7"/>
      <c r="Q88" s="271"/>
      <c r="R88" s="271"/>
      <c r="S88" s="271"/>
      <c r="T88" s="271"/>
      <c r="U88" s="271"/>
      <c r="V88" s="271"/>
      <c r="W88" s="275"/>
      <c r="X88" s="271"/>
      <c r="Y88" s="221"/>
    </row>
    <row r="89" spans="2:25">
      <c r="B89" s="127" t="s">
        <v>157</v>
      </c>
      <c r="C89" s="55" t="str">
        <f>VLOOKUP(B89,'ccddd 1 col'!$B$2:$C$313,2,FALSE)</f>
        <v>Oak Harbor</v>
      </c>
      <c r="D89" s="128">
        <f>VLOOKUP(B89,'Biling Enroll 050714'!$A$4:$C$303,3,FALSE)</f>
        <v>148.86000000000001</v>
      </c>
      <c r="E89" s="454">
        <f>VLOOKUP(B89,'Title III 2013-14'!$A$2:$D$296,4,FALSE)</f>
        <v>2</v>
      </c>
      <c r="F89" s="454">
        <f>IFERROR(VLOOKUP(B89,'Native American 050714'!$A$2:$E$62,5,FALSE),0)</f>
        <v>58</v>
      </c>
      <c r="H89" s="57"/>
      <c r="I89" s="491">
        <f t="shared" si="1"/>
        <v>208.86</v>
      </c>
      <c r="M89" s="244"/>
      <c r="N89" s="3"/>
      <c r="O89" s="7"/>
      <c r="P89" s="7"/>
      <c r="Q89" s="271"/>
      <c r="R89" s="271"/>
      <c r="S89" s="271"/>
      <c r="T89" s="271"/>
      <c r="U89" s="271"/>
      <c r="V89" s="271"/>
      <c r="W89" s="275"/>
      <c r="X89" s="271"/>
      <c r="Y89" s="221"/>
    </row>
    <row r="90" spans="2:25">
      <c r="B90" s="127" t="s">
        <v>159</v>
      </c>
      <c r="C90" s="55" t="str">
        <f>VLOOKUP(B90,'ccddd 1 col'!$B$2:$C$313,2,FALSE)</f>
        <v>Coupeville</v>
      </c>
      <c r="D90" s="128">
        <f>VLOOKUP(B90,'Biling Enroll 050714'!$A$4:$C$303,3,FALSE)</f>
        <v>24</v>
      </c>
      <c r="E90" s="454">
        <f>VLOOKUP(B90,'Title III 2013-14'!$A$2:$D$296,4,FALSE)</f>
        <v>0</v>
      </c>
      <c r="F90" s="454">
        <f>IFERROR(VLOOKUP(B90,'Native American 050714'!$A$2:$E$62,5,FALSE),0)</f>
        <v>0</v>
      </c>
      <c r="H90" s="57"/>
      <c r="I90" s="491">
        <f t="shared" si="1"/>
        <v>24</v>
      </c>
      <c r="M90" s="244"/>
      <c r="N90" s="3"/>
      <c r="O90" s="7"/>
      <c r="P90" s="7"/>
      <c r="Q90" s="271"/>
      <c r="R90" s="271"/>
      <c r="S90" s="271"/>
      <c r="T90" s="271"/>
      <c r="U90" s="271"/>
      <c r="V90" s="271"/>
      <c r="W90" s="275"/>
      <c r="X90" s="271"/>
      <c r="Y90" s="221"/>
    </row>
    <row r="91" spans="2:25">
      <c r="B91" s="127" t="s">
        <v>161</v>
      </c>
      <c r="C91" s="55" t="str">
        <f>VLOOKUP(B91,'ccddd 1 col'!$B$2:$C$313,2,FALSE)</f>
        <v>South Whidbey</v>
      </c>
      <c r="D91" s="128">
        <f>VLOOKUP(B91,'Biling Enroll 050714'!$A$4:$C$303,3,FALSE)</f>
        <v>8</v>
      </c>
      <c r="E91" s="454">
        <f>VLOOKUP(B91,'Title III 2013-14'!$A$2:$D$296,4,FALSE)</f>
        <v>0</v>
      </c>
      <c r="F91" s="454">
        <f>IFERROR(VLOOKUP(B91,'Native American 050714'!$A$2:$E$62,5,FALSE),0)</f>
        <v>0</v>
      </c>
      <c r="H91" s="57"/>
      <c r="I91" s="491">
        <f t="shared" si="1"/>
        <v>8</v>
      </c>
      <c r="M91" s="244"/>
      <c r="N91" s="3"/>
      <c r="O91" s="7"/>
      <c r="P91" s="7"/>
      <c r="Q91" s="271"/>
      <c r="R91" s="271"/>
      <c r="S91" s="271"/>
      <c r="T91" s="271"/>
      <c r="U91" s="271"/>
      <c r="V91" s="271"/>
      <c r="W91" s="275"/>
      <c r="X91" s="271"/>
      <c r="Y91" s="221"/>
    </row>
    <row r="92" spans="2:25">
      <c r="B92" s="127" t="s">
        <v>163</v>
      </c>
      <c r="C92" s="55" t="str">
        <f>VLOOKUP(B92,'ccddd 1 col'!$B$2:$C$313,2,FALSE)</f>
        <v>Queets-Clearwater</v>
      </c>
      <c r="D92" s="128">
        <f>VLOOKUP(B92,'Biling Enroll 050714'!$A$4:$C$303,3,FALSE)</f>
        <v>0</v>
      </c>
      <c r="E92" s="454">
        <f>VLOOKUP(B92,'Title III 2013-14'!$A$2:$D$296,4,FALSE)</f>
        <v>0</v>
      </c>
      <c r="F92" s="454">
        <f>IFERROR(VLOOKUP(B92,'Native American 050714'!$A$2:$E$62,5,FALSE),0)</f>
        <v>0</v>
      </c>
      <c r="H92" s="57"/>
      <c r="I92" s="491">
        <f t="shared" si="1"/>
        <v>0</v>
      </c>
      <c r="M92" s="244"/>
      <c r="N92" s="3"/>
      <c r="O92" s="7"/>
      <c r="P92" s="7"/>
      <c r="Q92" s="271"/>
      <c r="R92" s="271"/>
      <c r="S92" s="271"/>
      <c r="T92" s="271"/>
      <c r="U92" s="271"/>
      <c r="V92" s="271"/>
      <c r="W92" s="275"/>
      <c r="X92" s="271"/>
      <c r="Y92" s="221"/>
    </row>
    <row r="93" spans="2:25">
      <c r="B93" s="127" t="s">
        <v>165</v>
      </c>
      <c r="C93" s="55" t="str">
        <f>VLOOKUP(B93,'ccddd 1 col'!$B$2:$C$313,2,FALSE)</f>
        <v>Brinnon</v>
      </c>
      <c r="D93" s="128">
        <f>VLOOKUP(B93,'Biling Enroll 050714'!$A$4:$C$303,3,FALSE)</f>
        <v>0</v>
      </c>
      <c r="E93" s="454">
        <f>VLOOKUP(B93,'Title III 2013-14'!$A$2:$D$296,4,FALSE)</f>
        <v>0</v>
      </c>
      <c r="F93" s="454">
        <f>IFERROR(VLOOKUP(B93,'Native American 050714'!$A$2:$E$62,5,FALSE),0)</f>
        <v>0</v>
      </c>
      <c r="H93" s="57"/>
      <c r="I93" s="491">
        <f t="shared" si="1"/>
        <v>0</v>
      </c>
      <c r="M93" s="244"/>
      <c r="N93" s="3"/>
      <c r="O93" s="7"/>
      <c r="P93" s="7"/>
      <c r="Q93" s="271"/>
      <c r="R93" s="271"/>
      <c r="S93" s="271"/>
      <c r="T93" s="271"/>
      <c r="U93" s="271"/>
      <c r="V93" s="271"/>
      <c r="W93" s="275"/>
      <c r="X93" s="271"/>
      <c r="Y93" s="221"/>
    </row>
    <row r="94" spans="2:25">
      <c r="B94" s="127" t="s">
        <v>167</v>
      </c>
      <c r="C94" s="55" t="str">
        <f>VLOOKUP(B94,'ccddd 1 col'!$B$2:$C$313,2,FALSE)</f>
        <v>Quilcene</v>
      </c>
      <c r="D94" s="128">
        <f>VLOOKUP(B94,'Biling Enroll 050714'!$A$4:$C$303,3,FALSE)</f>
        <v>0</v>
      </c>
      <c r="E94" s="454">
        <f>VLOOKUP(B94,'Title III 2013-14'!$A$2:$D$296,4,FALSE)</f>
        <v>0</v>
      </c>
      <c r="F94" s="454">
        <f>IFERROR(VLOOKUP(B94,'Native American 050714'!$A$2:$E$62,5,FALSE),0)</f>
        <v>0</v>
      </c>
      <c r="H94" s="57"/>
      <c r="I94" s="491">
        <f t="shared" si="1"/>
        <v>0</v>
      </c>
      <c r="M94" s="244"/>
      <c r="N94" s="3"/>
      <c r="O94" s="7"/>
      <c r="P94" s="7"/>
      <c r="Q94" s="271"/>
      <c r="R94" s="271"/>
      <c r="S94" s="271"/>
      <c r="T94" s="271"/>
      <c r="U94" s="271"/>
      <c r="V94" s="271"/>
      <c r="W94" s="275"/>
      <c r="X94" s="271"/>
      <c r="Y94" s="221"/>
    </row>
    <row r="95" spans="2:25">
      <c r="B95" s="127" t="s">
        <v>169</v>
      </c>
      <c r="C95" s="55" t="str">
        <f>VLOOKUP(B95,'ccddd 1 col'!$B$2:$C$313,2,FALSE)</f>
        <v>Chimacum</v>
      </c>
      <c r="D95" s="128">
        <f>VLOOKUP(B95,'Biling Enroll 050714'!$A$4:$C$303,3,FALSE)</f>
        <v>12</v>
      </c>
      <c r="E95" s="454">
        <f>VLOOKUP(B95,'Title III 2013-14'!$A$2:$D$296,4,FALSE)</f>
        <v>0</v>
      </c>
      <c r="F95" s="454">
        <f>IFERROR(VLOOKUP(B95,'Native American 050714'!$A$2:$E$62,5,FALSE),0)</f>
        <v>0</v>
      </c>
      <c r="H95" s="57"/>
      <c r="I95" s="491">
        <f t="shared" si="1"/>
        <v>12</v>
      </c>
      <c r="M95" s="244"/>
      <c r="N95" s="3"/>
      <c r="O95" s="7"/>
      <c r="P95" s="7"/>
      <c r="Q95" s="271"/>
      <c r="R95" s="271"/>
      <c r="S95" s="271"/>
      <c r="T95" s="271"/>
      <c r="U95" s="271"/>
      <c r="V95" s="271"/>
      <c r="W95" s="275"/>
      <c r="X95" s="271"/>
      <c r="Y95" s="221"/>
    </row>
    <row r="96" spans="2:25">
      <c r="B96" s="127" t="s">
        <v>171</v>
      </c>
      <c r="C96" s="55" t="str">
        <f>VLOOKUP(B96,'ccddd 1 col'!$B$2:$C$313,2,FALSE)</f>
        <v>Port Townsend</v>
      </c>
      <c r="D96" s="128">
        <f>VLOOKUP(B96,'Biling Enroll 050714'!$A$4:$C$303,3,FALSE)</f>
        <v>10.71</v>
      </c>
      <c r="E96" s="454">
        <f>VLOOKUP(B96,'Title III 2013-14'!$A$2:$D$296,4,FALSE)</f>
        <v>0</v>
      </c>
      <c r="F96" s="454">
        <f>IFERROR(VLOOKUP(B96,'Native American 050714'!$A$2:$E$62,5,FALSE),0)</f>
        <v>0</v>
      </c>
      <c r="H96" s="57"/>
      <c r="I96" s="491">
        <f t="shared" si="1"/>
        <v>10.71</v>
      </c>
      <c r="M96" s="244"/>
      <c r="N96" s="3"/>
      <c r="O96" s="7"/>
      <c r="P96" s="7"/>
      <c r="Q96" s="271"/>
      <c r="R96" s="271"/>
      <c r="S96" s="271"/>
      <c r="T96" s="271"/>
      <c r="U96" s="271"/>
      <c r="V96" s="271"/>
      <c r="W96" s="275"/>
      <c r="X96" s="271"/>
      <c r="Y96" s="221"/>
    </row>
    <row r="97" spans="2:25">
      <c r="B97" s="127" t="s">
        <v>173</v>
      </c>
      <c r="C97" s="55" t="str">
        <f>VLOOKUP(B97,'ccddd 1 col'!$B$2:$C$313,2,FALSE)</f>
        <v>Seattle</v>
      </c>
      <c r="D97" s="128">
        <f>VLOOKUP(B97,'Biling Enroll 050714'!$A$4:$C$303,3,FALSE)</f>
        <v>5754.14</v>
      </c>
      <c r="E97" s="454">
        <f>VLOOKUP(B97,'Title III 2013-14'!$A$2:$D$296,4,FALSE)</f>
        <v>35</v>
      </c>
      <c r="F97" s="454">
        <f>IFERROR(VLOOKUP(B97,'Native American 050714'!$A$2:$E$62,5,FALSE),0)</f>
        <v>147</v>
      </c>
      <c r="H97" s="57"/>
      <c r="I97" s="491">
        <f t="shared" si="1"/>
        <v>5936.14</v>
      </c>
      <c r="M97" s="244"/>
      <c r="N97" s="3"/>
      <c r="O97" s="7"/>
      <c r="P97" s="7"/>
      <c r="Q97" s="271"/>
      <c r="R97" s="271"/>
      <c r="S97" s="271"/>
      <c r="T97" s="271"/>
      <c r="U97" s="271"/>
      <c r="V97" s="271"/>
      <c r="W97" s="275"/>
      <c r="X97" s="271"/>
      <c r="Y97" s="221"/>
    </row>
    <row r="98" spans="2:25">
      <c r="B98" s="127" t="s">
        <v>175</v>
      </c>
      <c r="C98" s="55" t="str">
        <f>VLOOKUP(B98,'ccddd 1 col'!$B$2:$C$313,2,FALSE)</f>
        <v>Federal Way</v>
      </c>
      <c r="D98" s="128">
        <f>VLOOKUP(B98,'Biling Enroll 050714'!$A$4:$C$303,3,FALSE)</f>
        <v>3389</v>
      </c>
      <c r="E98" s="454">
        <f>VLOOKUP(B98,'Title III 2013-14'!$A$2:$D$296,4,FALSE)</f>
        <v>1</v>
      </c>
      <c r="F98" s="454">
        <f>IFERROR(VLOOKUP(B98,'Native American 050714'!$A$2:$E$62,5,FALSE),0)</f>
        <v>0</v>
      </c>
      <c r="H98" s="57"/>
      <c r="I98" s="491">
        <f t="shared" si="1"/>
        <v>3390</v>
      </c>
      <c r="M98" s="244"/>
      <c r="N98" s="3"/>
      <c r="O98" s="7"/>
      <c r="P98" s="7"/>
      <c r="Q98" s="271"/>
      <c r="R98" s="271"/>
      <c r="S98" s="271"/>
      <c r="T98" s="271"/>
      <c r="U98" s="271"/>
      <c r="V98" s="271"/>
      <c r="W98" s="275"/>
      <c r="X98" s="271"/>
      <c r="Y98" s="221"/>
    </row>
    <row r="99" spans="2:25">
      <c r="B99" s="127" t="s">
        <v>177</v>
      </c>
      <c r="C99" s="55" t="str">
        <f>VLOOKUP(B99,'ccddd 1 col'!$B$2:$C$313,2,FALSE)</f>
        <v>Enumclaw</v>
      </c>
      <c r="D99" s="128">
        <f>VLOOKUP(B99,'Biling Enroll 050714'!$A$4:$C$303,3,FALSE)</f>
        <v>204.43</v>
      </c>
      <c r="E99" s="454">
        <f>VLOOKUP(B99,'Title III 2013-14'!$A$2:$D$296,4,FALSE)</f>
        <v>0</v>
      </c>
      <c r="F99" s="454">
        <f>IFERROR(VLOOKUP(B99,'Native American 050714'!$A$2:$E$62,5,FALSE),0)</f>
        <v>0</v>
      </c>
      <c r="H99" s="57"/>
      <c r="I99" s="491">
        <f t="shared" si="1"/>
        <v>204.43</v>
      </c>
      <c r="M99" s="244"/>
      <c r="N99" s="3"/>
      <c r="O99" s="7"/>
      <c r="P99" s="7"/>
      <c r="Q99" s="271"/>
      <c r="R99" s="271"/>
      <c r="S99" s="271"/>
      <c r="T99" s="271"/>
      <c r="U99" s="271"/>
      <c r="V99" s="271"/>
      <c r="W99" s="275"/>
      <c r="X99" s="271"/>
      <c r="Y99" s="221"/>
    </row>
    <row r="100" spans="2:25">
      <c r="B100" s="127" t="s">
        <v>179</v>
      </c>
      <c r="C100" s="55" t="str">
        <f>VLOOKUP(B100,'ccddd 1 col'!$B$2:$C$313,2,FALSE)</f>
        <v>Mercer Island</v>
      </c>
      <c r="D100" s="128">
        <f>VLOOKUP(B100,'Biling Enroll 050714'!$A$4:$C$303,3,FALSE)</f>
        <v>83.29</v>
      </c>
      <c r="E100" s="454">
        <f>VLOOKUP(B100,'Title III 2013-14'!$A$2:$D$296,4,FALSE)</f>
        <v>0</v>
      </c>
      <c r="F100" s="454">
        <f>IFERROR(VLOOKUP(B100,'Native American 050714'!$A$2:$E$62,5,FALSE),0)</f>
        <v>0</v>
      </c>
      <c r="H100" s="57"/>
      <c r="I100" s="491">
        <f t="shared" si="1"/>
        <v>83.29</v>
      </c>
      <c r="M100" s="244"/>
      <c r="N100" s="3"/>
      <c r="O100" s="7"/>
      <c r="P100" s="7"/>
      <c r="Q100" s="271"/>
      <c r="R100" s="271"/>
      <c r="S100" s="271"/>
      <c r="T100" s="271"/>
      <c r="U100" s="271"/>
      <c r="V100" s="271"/>
      <c r="W100" s="275"/>
      <c r="X100" s="271"/>
      <c r="Y100" s="221"/>
    </row>
    <row r="101" spans="2:25">
      <c r="B101" s="127" t="s">
        <v>181</v>
      </c>
      <c r="C101" s="55" t="str">
        <f>VLOOKUP(B101,'ccddd 1 col'!$B$2:$C$313,2,FALSE)</f>
        <v>Highline</v>
      </c>
      <c r="D101" s="128">
        <f>VLOOKUP(B101,'Biling Enroll 050714'!$A$4:$C$303,3,FALSE)</f>
        <v>4408</v>
      </c>
      <c r="E101" s="454">
        <f>VLOOKUP(B101,'Title III 2013-14'!$A$2:$D$296,4,FALSE)</f>
        <v>0</v>
      </c>
      <c r="F101" s="454">
        <f>IFERROR(VLOOKUP(B101,'Native American 050714'!$A$2:$E$62,5,FALSE),0)</f>
        <v>0</v>
      </c>
      <c r="H101" s="57"/>
      <c r="I101" s="491">
        <f t="shared" si="1"/>
        <v>4408</v>
      </c>
      <c r="M101" s="244"/>
      <c r="N101" s="3"/>
      <c r="O101" s="7"/>
      <c r="P101" s="7"/>
      <c r="Q101" s="271"/>
      <c r="R101" s="271"/>
      <c r="S101" s="271"/>
      <c r="T101" s="271"/>
      <c r="U101" s="271"/>
      <c r="V101" s="271"/>
      <c r="W101" s="275"/>
      <c r="X101" s="271"/>
      <c r="Y101" s="221"/>
    </row>
    <row r="102" spans="2:25">
      <c r="B102" s="127" t="s">
        <v>183</v>
      </c>
      <c r="C102" s="55" t="str">
        <f>VLOOKUP(B102,'ccddd 1 col'!$B$2:$C$313,2,FALSE)</f>
        <v>Vashon Island</v>
      </c>
      <c r="D102" s="128">
        <f>VLOOKUP(B102,'Biling Enroll 050714'!$A$4:$C$303,3,FALSE)</f>
        <v>39.43</v>
      </c>
      <c r="E102" s="454">
        <f>VLOOKUP(B102,'Title III 2013-14'!$A$2:$D$296,4,FALSE)</f>
        <v>0</v>
      </c>
      <c r="F102" s="454">
        <f>IFERROR(VLOOKUP(B102,'Native American 050714'!$A$2:$E$62,5,FALSE),0)</f>
        <v>0</v>
      </c>
      <c r="H102" s="57"/>
      <c r="I102" s="491">
        <f t="shared" si="1"/>
        <v>39.43</v>
      </c>
      <c r="M102" s="244"/>
      <c r="N102" s="3"/>
      <c r="O102" s="7"/>
      <c r="P102" s="7"/>
      <c r="Q102" s="271"/>
      <c r="R102" s="271"/>
      <c r="S102" s="271"/>
      <c r="T102" s="271"/>
      <c r="U102" s="271"/>
      <c r="V102" s="271"/>
      <c r="W102" s="275"/>
      <c r="X102" s="271"/>
      <c r="Y102" s="221"/>
    </row>
    <row r="103" spans="2:25">
      <c r="B103" s="127" t="s">
        <v>185</v>
      </c>
      <c r="C103" s="55" t="str">
        <f>VLOOKUP(B103,'ccddd 1 col'!$B$2:$C$313,2,FALSE)</f>
        <v>Renton</v>
      </c>
      <c r="D103" s="128">
        <f>VLOOKUP(B103,'Biling Enroll 050714'!$A$4:$C$303,3,FALSE)</f>
        <v>2462.4299999999998</v>
      </c>
      <c r="E103" s="454">
        <f>VLOOKUP(B103,'Title III 2013-14'!$A$2:$D$296,4,FALSE)</f>
        <v>3</v>
      </c>
      <c r="F103" s="454">
        <f>IFERROR(VLOOKUP(B103,'Native American 050714'!$A$2:$E$62,5,FALSE),0)</f>
        <v>0</v>
      </c>
      <c r="H103" s="57"/>
      <c r="I103" s="491">
        <f t="shared" si="1"/>
        <v>2465.4299999999998</v>
      </c>
      <c r="M103" s="244"/>
      <c r="N103" s="3"/>
      <c r="O103" s="7"/>
      <c r="P103" s="7"/>
      <c r="Q103" s="271"/>
      <c r="R103" s="271"/>
      <c r="S103" s="271"/>
      <c r="T103" s="271"/>
      <c r="U103" s="271"/>
      <c r="V103" s="271"/>
      <c r="W103" s="275"/>
      <c r="X103" s="271"/>
      <c r="Y103" s="221"/>
    </row>
    <row r="104" spans="2:25">
      <c r="B104" s="127" t="s">
        <v>187</v>
      </c>
      <c r="C104" s="55" t="str">
        <f>VLOOKUP(B104,'ccddd 1 col'!$B$2:$C$313,2,FALSE)</f>
        <v>Skykomish</v>
      </c>
      <c r="D104" s="128">
        <f>VLOOKUP(B104,'Biling Enroll 050714'!$A$4:$C$303,3,FALSE)</f>
        <v>0</v>
      </c>
      <c r="E104" s="454">
        <f>VLOOKUP(B104,'Title III 2013-14'!$A$2:$D$296,4,FALSE)</f>
        <v>0</v>
      </c>
      <c r="F104" s="454">
        <f>IFERROR(VLOOKUP(B104,'Native American 050714'!$A$2:$E$62,5,FALSE),0)</f>
        <v>0</v>
      </c>
      <c r="H104" s="57"/>
      <c r="I104" s="491">
        <f t="shared" si="1"/>
        <v>0</v>
      </c>
      <c r="M104" s="244"/>
      <c r="N104" s="3"/>
      <c r="O104" s="7"/>
      <c r="P104" s="7"/>
      <c r="Q104" s="271"/>
      <c r="R104" s="271"/>
      <c r="S104" s="271"/>
      <c r="T104" s="271"/>
      <c r="U104" s="271"/>
      <c r="V104" s="271"/>
      <c r="W104" s="275"/>
      <c r="X104" s="271"/>
      <c r="Y104" s="221"/>
    </row>
    <row r="105" spans="2:25">
      <c r="B105" s="127" t="s">
        <v>189</v>
      </c>
      <c r="C105" s="55" t="str">
        <f>VLOOKUP(B105,'ccddd 1 col'!$B$2:$C$313,2,FALSE)</f>
        <v>Bellevue</v>
      </c>
      <c r="D105" s="128">
        <f>VLOOKUP(B105,'Biling Enroll 050714'!$A$4:$C$303,3,FALSE)</f>
        <v>1901</v>
      </c>
      <c r="E105" s="454">
        <f>VLOOKUP(B105,'Title III 2013-14'!$A$2:$D$296,4,FALSE)</f>
        <v>17</v>
      </c>
      <c r="F105" s="454">
        <f>IFERROR(VLOOKUP(B105,'Native American 050714'!$A$2:$E$62,5,FALSE),0)</f>
        <v>0</v>
      </c>
      <c r="H105" s="57"/>
      <c r="I105" s="491">
        <f t="shared" si="1"/>
        <v>1918</v>
      </c>
      <c r="M105" s="244"/>
      <c r="N105" s="3"/>
      <c r="O105" s="7"/>
      <c r="P105" s="7"/>
      <c r="Q105" s="271"/>
      <c r="R105" s="271"/>
      <c r="S105" s="271"/>
      <c r="T105" s="271"/>
      <c r="U105" s="271"/>
      <c r="V105" s="271"/>
      <c r="W105" s="275"/>
      <c r="X105" s="271"/>
      <c r="Y105" s="221"/>
    </row>
    <row r="106" spans="2:25">
      <c r="B106" s="127" t="s">
        <v>191</v>
      </c>
      <c r="C106" s="55" t="str">
        <f>VLOOKUP(B106,'ccddd 1 col'!$B$2:$C$313,2,FALSE)</f>
        <v>Tukwila</v>
      </c>
      <c r="D106" s="128">
        <f>VLOOKUP(B106,'Biling Enroll 050714'!$A$4:$C$303,3,FALSE)</f>
        <v>1146.71</v>
      </c>
      <c r="E106" s="454">
        <f>VLOOKUP(B106,'Title III 2013-14'!$A$2:$D$296,4,FALSE)</f>
        <v>0</v>
      </c>
      <c r="F106" s="454">
        <f>IFERROR(VLOOKUP(B106,'Native American 050714'!$A$2:$E$62,5,FALSE),0)</f>
        <v>0</v>
      </c>
      <c r="H106" s="57"/>
      <c r="I106" s="491">
        <f t="shared" si="1"/>
        <v>1146.71</v>
      </c>
      <c r="M106" s="244"/>
      <c r="N106" s="3"/>
      <c r="O106" s="7"/>
      <c r="P106" s="7"/>
      <c r="Q106" s="271"/>
      <c r="R106" s="271"/>
      <c r="S106" s="271"/>
      <c r="T106" s="271"/>
      <c r="U106" s="271"/>
      <c r="V106" s="271"/>
      <c r="W106" s="275"/>
      <c r="X106" s="271"/>
      <c r="Y106" s="221"/>
    </row>
    <row r="107" spans="2:25">
      <c r="B107" s="127" t="s">
        <v>193</v>
      </c>
      <c r="C107" s="55" t="str">
        <f>VLOOKUP(B107,'ccddd 1 col'!$B$2:$C$313,2,FALSE)</f>
        <v>Riverview</v>
      </c>
      <c r="D107" s="128">
        <f>VLOOKUP(B107,'Biling Enroll 050714'!$A$4:$C$303,3,FALSE)</f>
        <v>88.29</v>
      </c>
      <c r="E107" s="454">
        <f>VLOOKUP(B107,'Title III 2013-14'!$A$2:$D$296,4,FALSE)</f>
        <v>0</v>
      </c>
      <c r="F107" s="454">
        <f>IFERROR(VLOOKUP(B107,'Native American 050714'!$A$2:$E$62,5,FALSE),0)</f>
        <v>0</v>
      </c>
      <c r="H107" s="57"/>
      <c r="I107" s="491">
        <f t="shared" si="1"/>
        <v>88.29</v>
      </c>
      <c r="M107" s="244"/>
      <c r="N107" s="3"/>
      <c r="O107" s="7"/>
      <c r="P107" s="7"/>
      <c r="Q107" s="271"/>
      <c r="R107" s="271"/>
      <c r="S107" s="271"/>
      <c r="T107" s="271"/>
      <c r="U107" s="271"/>
      <c r="V107" s="271"/>
      <c r="W107" s="275"/>
      <c r="X107" s="271"/>
      <c r="Y107" s="221"/>
    </row>
    <row r="108" spans="2:25">
      <c r="B108" s="127" t="s">
        <v>195</v>
      </c>
      <c r="C108" s="55" t="str">
        <f>VLOOKUP(B108,'ccddd 1 col'!$B$2:$C$313,2,FALSE)</f>
        <v>Auburn</v>
      </c>
      <c r="D108" s="128">
        <f>VLOOKUP(B108,'Biling Enroll 050714'!$A$4:$C$303,3,FALSE)</f>
        <v>2130.14</v>
      </c>
      <c r="E108" s="454">
        <f>VLOOKUP(B108,'Title III 2013-14'!$A$2:$D$296,4,FALSE)</f>
        <v>0</v>
      </c>
      <c r="F108" s="454">
        <f>IFERROR(VLOOKUP(B108,'Native American 050714'!$A$2:$E$62,5,FALSE),0)</f>
        <v>37</v>
      </c>
      <c r="H108" s="57"/>
      <c r="I108" s="491">
        <f t="shared" si="1"/>
        <v>2167.14</v>
      </c>
      <c r="M108" s="244"/>
      <c r="N108" s="3"/>
      <c r="O108" s="7"/>
      <c r="P108" s="7"/>
      <c r="Q108" s="271"/>
      <c r="R108" s="271"/>
      <c r="S108" s="271"/>
      <c r="T108" s="271"/>
      <c r="U108" s="271"/>
      <c r="V108" s="271"/>
      <c r="W108" s="275"/>
      <c r="X108" s="271"/>
      <c r="Y108" s="221"/>
    </row>
    <row r="109" spans="2:25">
      <c r="B109" s="127" t="s">
        <v>197</v>
      </c>
      <c r="C109" s="55" t="str">
        <f>VLOOKUP(B109,'ccddd 1 col'!$B$2:$C$313,2,FALSE)</f>
        <v>Tahoma</v>
      </c>
      <c r="D109" s="128">
        <f>VLOOKUP(B109,'Biling Enroll 050714'!$A$4:$C$303,3,FALSE)</f>
        <v>135.71</v>
      </c>
      <c r="E109" s="454">
        <f>VLOOKUP(B109,'Title III 2013-14'!$A$2:$D$296,4,FALSE)</f>
        <v>0</v>
      </c>
      <c r="F109" s="454">
        <f>IFERROR(VLOOKUP(B109,'Native American 050714'!$A$2:$E$62,5,FALSE),0)</f>
        <v>0</v>
      </c>
      <c r="H109" s="57"/>
      <c r="I109" s="491">
        <f t="shared" si="1"/>
        <v>135.71</v>
      </c>
      <c r="M109" s="244"/>
      <c r="N109" s="3"/>
      <c r="O109" s="7"/>
      <c r="P109" s="7"/>
      <c r="Q109" s="271"/>
      <c r="R109" s="271"/>
      <c r="S109" s="271"/>
      <c r="T109" s="271"/>
      <c r="U109" s="271"/>
      <c r="V109" s="271"/>
      <c r="W109" s="275"/>
      <c r="X109" s="271"/>
      <c r="Y109" s="221"/>
    </row>
    <row r="110" spans="2:25">
      <c r="B110" s="127" t="s">
        <v>199</v>
      </c>
      <c r="C110" s="55" t="str">
        <f>VLOOKUP(B110,'ccddd 1 col'!$B$2:$C$313,2,FALSE)</f>
        <v>Snoqualmie Valley</v>
      </c>
      <c r="D110" s="128">
        <f>VLOOKUP(B110,'Biling Enroll 050714'!$A$4:$C$303,3,FALSE)</f>
        <v>114.14</v>
      </c>
      <c r="E110" s="454">
        <f>VLOOKUP(B110,'Title III 2013-14'!$A$2:$D$296,4,FALSE)</f>
        <v>0</v>
      </c>
      <c r="F110" s="454">
        <f>IFERROR(VLOOKUP(B110,'Native American 050714'!$A$2:$E$62,5,FALSE),0)</f>
        <v>15</v>
      </c>
      <c r="H110" s="57"/>
      <c r="I110" s="491">
        <f t="shared" si="1"/>
        <v>129.13999999999999</v>
      </c>
      <c r="M110" s="244"/>
      <c r="N110" s="3"/>
      <c r="O110" s="7"/>
      <c r="P110" s="7"/>
      <c r="Q110" s="271"/>
      <c r="R110" s="271"/>
      <c r="S110" s="271"/>
      <c r="T110" s="271"/>
      <c r="U110" s="271"/>
      <c r="V110" s="271"/>
      <c r="W110" s="275"/>
      <c r="X110" s="271"/>
      <c r="Y110" s="221"/>
    </row>
    <row r="111" spans="2:25">
      <c r="B111" s="127" t="s">
        <v>201</v>
      </c>
      <c r="C111" s="55" t="str">
        <f>VLOOKUP(B111,'ccddd 1 col'!$B$2:$C$313,2,FALSE)</f>
        <v>Issaquah</v>
      </c>
      <c r="D111" s="128">
        <f>VLOOKUP(B111,'Biling Enroll 050714'!$A$4:$C$303,3,FALSE)</f>
        <v>850.29</v>
      </c>
      <c r="E111" s="454">
        <f>VLOOKUP(B111,'Title III 2013-14'!$A$2:$D$296,4,FALSE)</f>
        <v>0</v>
      </c>
      <c r="F111" s="454">
        <f>IFERROR(VLOOKUP(B111,'Native American 050714'!$A$2:$E$62,5,FALSE),0)</f>
        <v>8</v>
      </c>
      <c r="H111" s="57"/>
      <c r="I111" s="491">
        <f t="shared" si="1"/>
        <v>858.29</v>
      </c>
      <c r="M111" s="244"/>
      <c r="N111" s="3"/>
      <c r="O111" s="7"/>
      <c r="P111" s="7"/>
      <c r="Q111" s="271"/>
      <c r="R111" s="271"/>
      <c r="S111" s="271"/>
      <c r="T111" s="271"/>
      <c r="U111" s="271"/>
      <c r="V111" s="271"/>
      <c r="W111" s="275"/>
      <c r="X111" s="271"/>
      <c r="Y111" s="221"/>
    </row>
    <row r="112" spans="2:25">
      <c r="B112" s="127" t="s">
        <v>203</v>
      </c>
      <c r="C112" s="55" t="str">
        <f>VLOOKUP(B112,'ccddd 1 col'!$B$2:$C$313,2,FALSE)</f>
        <v>Shoreline</v>
      </c>
      <c r="D112" s="128">
        <f>VLOOKUP(B112,'Biling Enroll 050714'!$A$4:$C$303,3,FALSE)</f>
        <v>562.71</v>
      </c>
      <c r="E112" s="454">
        <f>VLOOKUP(B112,'Title III 2013-14'!$A$2:$D$296,4,FALSE)</f>
        <v>3</v>
      </c>
      <c r="F112" s="454">
        <f>IFERROR(VLOOKUP(B112,'Native American 050714'!$A$2:$E$62,5,FALSE),0)</f>
        <v>1</v>
      </c>
      <c r="H112" s="57"/>
      <c r="I112" s="491">
        <f t="shared" si="1"/>
        <v>566.71</v>
      </c>
      <c r="M112" s="244"/>
      <c r="N112" s="3"/>
      <c r="O112" s="7"/>
      <c r="P112" s="7"/>
      <c r="Q112" s="271"/>
      <c r="R112" s="271"/>
      <c r="S112" s="271"/>
      <c r="T112" s="271"/>
      <c r="U112" s="271"/>
      <c r="V112" s="271"/>
      <c r="W112" s="275"/>
      <c r="X112" s="271"/>
      <c r="Y112" s="221"/>
    </row>
    <row r="113" spans="2:25">
      <c r="B113" s="127" t="s">
        <v>205</v>
      </c>
      <c r="C113" s="55" t="str">
        <f>VLOOKUP(B113,'ccddd 1 col'!$B$2:$C$313,2,FALSE)</f>
        <v>Lake Washington</v>
      </c>
      <c r="D113" s="128">
        <f>VLOOKUP(B113,'Biling Enroll 050714'!$A$4:$C$303,3,FALSE)</f>
        <v>1752.14</v>
      </c>
      <c r="E113" s="454">
        <f>VLOOKUP(B113,'Title III 2013-14'!$A$2:$D$296,4,FALSE)</f>
        <v>0</v>
      </c>
      <c r="F113" s="454">
        <f>IFERROR(VLOOKUP(B113,'Native American 050714'!$A$2:$E$62,5,FALSE),0)</f>
        <v>9</v>
      </c>
      <c r="H113" s="57"/>
      <c r="I113" s="491">
        <f t="shared" si="1"/>
        <v>1761.14</v>
      </c>
      <c r="M113" s="244"/>
      <c r="N113" s="3"/>
      <c r="O113" s="7"/>
      <c r="P113" s="7"/>
      <c r="Q113" s="271"/>
      <c r="R113" s="271"/>
      <c r="S113" s="271"/>
      <c r="T113" s="271"/>
      <c r="U113" s="271"/>
      <c r="V113" s="271"/>
      <c r="W113" s="275"/>
      <c r="X113" s="271"/>
      <c r="Y113" s="221"/>
    </row>
    <row r="114" spans="2:25">
      <c r="B114" s="127" t="s">
        <v>207</v>
      </c>
      <c r="C114" s="55" t="str">
        <f>VLOOKUP(B114,'ccddd 1 col'!$B$2:$C$313,2,FALSE)</f>
        <v>Kent</v>
      </c>
      <c r="D114" s="128">
        <f>VLOOKUP(B114,'Biling Enroll 050714'!$A$4:$C$303,3,FALSE)</f>
        <v>4863.1400000000003</v>
      </c>
      <c r="E114" s="454">
        <f>VLOOKUP(B114,'Title III 2013-14'!$A$2:$D$296,4,FALSE)</f>
        <v>2</v>
      </c>
      <c r="F114" s="454">
        <f>IFERROR(VLOOKUP(B114,'Native American 050714'!$A$2:$E$62,5,FALSE),0)</f>
        <v>16</v>
      </c>
      <c r="H114" s="57"/>
      <c r="I114" s="491">
        <f t="shared" si="1"/>
        <v>4881.1400000000003</v>
      </c>
      <c r="M114" s="244"/>
      <c r="N114" s="3"/>
      <c r="O114" s="7"/>
      <c r="P114" s="7"/>
      <c r="Q114" s="271"/>
      <c r="R114" s="271"/>
      <c r="S114" s="271"/>
      <c r="T114" s="271"/>
      <c r="U114" s="271"/>
      <c r="V114" s="271"/>
      <c r="W114" s="275"/>
      <c r="X114" s="271"/>
      <c r="Y114" s="221"/>
    </row>
    <row r="115" spans="2:25">
      <c r="B115" s="127" t="s">
        <v>209</v>
      </c>
      <c r="C115" s="55" t="str">
        <f>VLOOKUP(B115,'ccddd 1 col'!$B$2:$C$313,2,FALSE)</f>
        <v>Northshore</v>
      </c>
      <c r="D115" s="128">
        <f>VLOOKUP(B115,'Biling Enroll 050714'!$A$4:$C$303,3,FALSE)</f>
        <v>1196.43</v>
      </c>
      <c r="E115" s="454">
        <f>VLOOKUP(B115,'Title III 2013-14'!$A$2:$D$296,4,FALSE)</f>
        <v>0</v>
      </c>
      <c r="F115" s="454">
        <f>IFERROR(VLOOKUP(B115,'Native American 050714'!$A$2:$E$62,5,FALSE),0)</f>
        <v>15</v>
      </c>
      <c r="H115" s="57"/>
      <c r="I115" s="491">
        <f t="shared" si="1"/>
        <v>1211.43</v>
      </c>
      <c r="M115" s="244"/>
      <c r="N115" s="3"/>
      <c r="O115" s="7"/>
      <c r="P115" s="7"/>
      <c r="Q115" s="271"/>
      <c r="R115" s="271"/>
      <c r="S115" s="271"/>
      <c r="T115" s="271"/>
      <c r="U115" s="271"/>
      <c r="V115" s="271"/>
      <c r="W115" s="275"/>
      <c r="X115" s="271"/>
      <c r="Y115" s="221"/>
    </row>
    <row r="116" spans="2:25">
      <c r="B116" s="127" t="s">
        <v>211</v>
      </c>
      <c r="C116" s="55" t="str">
        <f>VLOOKUP(B116,'ccddd 1 col'!$B$2:$C$313,2,FALSE)</f>
        <v>Bremerton</v>
      </c>
      <c r="D116" s="128">
        <f>VLOOKUP(B116,'Biling Enroll 050714'!$A$4:$C$303,3,FALSE)</f>
        <v>178.57</v>
      </c>
      <c r="E116" s="454">
        <f>VLOOKUP(B116,'Title III 2013-14'!$A$2:$D$296,4,FALSE)</f>
        <v>0</v>
      </c>
      <c r="F116" s="454">
        <f>IFERROR(VLOOKUP(B116,'Native American 050714'!$A$2:$E$62,5,FALSE),0)</f>
        <v>1</v>
      </c>
      <c r="H116" s="57"/>
      <c r="I116" s="491">
        <f t="shared" si="1"/>
        <v>179.57</v>
      </c>
      <c r="M116" s="244"/>
      <c r="N116" s="3"/>
      <c r="O116" s="7"/>
      <c r="P116" s="7"/>
      <c r="Q116" s="271"/>
      <c r="R116" s="271"/>
      <c r="S116" s="271"/>
      <c r="T116" s="271"/>
      <c r="U116" s="271"/>
      <c r="V116" s="271"/>
      <c r="W116" s="275"/>
      <c r="X116" s="271"/>
      <c r="Y116" s="221"/>
    </row>
    <row r="117" spans="2:25">
      <c r="B117" s="127" t="s">
        <v>213</v>
      </c>
      <c r="C117" s="55" t="str">
        <f>VLOOKUP(B117,'ccddd 1 col'!$B$2:$C$313,2,FALSE)</f>
        <v>Bainbridge</v>
      </c>
      <c r="D117" s="128">
        <f>VLOOKUP(B117,'Biling Enroll 050714'!$A$4:$C$303,3,FALSE)</f>
        <v>26.86</v>
      </c>
      <c r="E117" s="454">
        <f>VLOOKUP(B117,'Title III 2013-14'!$A$2:$D$296,4,FALSE)</f>
        <v>0</v>
      </c>
      <c r="F117" s="454">
        <f>IFERROR(VLOOKUP(B117,'Native American 050714'!$A$2:$E$62,5,FALSE),0)</f>
        <v>0</v>
      </c>
      <c r="H117" s="57"/>
      <c r="I117" s="491">
        <f t="shared" si="1"/>
        <v>26.86</v>
      </c>
      <c r="M117" s="244"/>
      <c r="N117" s="3"/>
      <c r="O117" s="7"/>
      <c r="P117" s="7"/>
      <c r="Q117" s="271"/>
      <c r="R117" s="271"/>
      <c r="S117" s="271"/>
      <c r="T117" s="271"/>
      <c r="U117" s="271"/>
      <c r="V117" s="271"/>
      <c r="W117" s="275"/>
      <c r="X117" s="271"/>
      <c r="Y117" s="221"/>
    </row>
    <row r="118" spans="2:25">
      <c r="B118" s="127" t="s">
        <v>214</v>
      </c>
      <c r="C118" s="55" t="str">
        <f>VLOOKUP(B118,'ccddd 1 col'!$B$2:$C$313,2,FALSE)</f>
        <v>North Kitsap</v>
      </c>
      <c r="D118" s="128">
        <f>VLOOKUP(B118,'Biling Enroll 050714'!$A$4:$C$303,3,FALSE)</f>
        <v>176.43</v>
      </c>
      <c r="E118" s="454">
        <f>VLOOKUP(B118,'Title III 2013-14'!$A$2:$D$296,4,FALSE)</f>
        <v>0</v>
      </c>
      <c r="F118" s="454">
        <f>IFERROR(VLOOKUP(B118,'Native American 050714'!$A$2:$E$62,5,FALSE),0)</f>
        <v>2</v>
      </c>
      <c r="H118" s="57"/>
      <c r="I118" s="491">
        <f t="shared" si="1"/>
        <v>178.43</v>
      </c>
      <c r="M118" s="244"/>
      <c r="N118" s="3"/>
      <c r="O118" s="7"/>
      <c r="P118" s="7"/>
      <c r="Q118" s="271"/>
      <c r="R118" s="271"/>
      <c r="S118" s="271"/>
      <c r="T118" s="271"/>
      <c r="U118" s="271"/>
      <c r="V118" s="271"/>
      <c r="W118" s="275"/>
      <c r="X118" s="271"/>
      <c r="Y118" s="221"/>
    </row>
    <row r="119" spans="2:25">
      <c r="B119" s="127" t="s">
        <v>216</v>
      </c>
      <c r="C119" s="55" t="str">
        <f>VLOOKUP(B119,'ccddd 1 col'!$B$2:$C$313,2,FALSE)</f>
        <v>Central Kitsap</v>
      </c>
      <c r="D119" s="128">
        <f>VLOOKUP(B119,'Biling Enroll 050714'!$A$4:$C$303,3,FALSE)</f>
        <v>250.86</v>
      </c>
      <c r="E119" s="454">
        <f>VLOOKUP(B119,'Title III 2013-14'!$A$2:$D$296,4,FALSE)</f>
        <v>0</v>
      </c>
      <c r="F119" s="454">
        <f>IFERROR(VLOOKUP(B119,'Native American 050714'!$A$2:$E$62,5,FALSE),0)</f>
        <v>3</v>
      </c>
      <c r="H119" s="57"/>
      <c r="I119" s="491">
        <f t="shared" si="1"/>
        <v>253.86</v>
      </c>
      <c r="M119" s="244"/>
      <c r="N119" s="3"/>
      <c r="O119" s="7"/>
      <c r="P119" s="7"/>
      <c r="Q119" s="271"/>
      <c r="R119" s="271"/>
      <c r="S119" s="271"/>
      <c r="T119" s="271"/>
      <c r="U119" s="271"/>
      <c r="V119" s="271"/>
      <c r="W119" s="275"/>
      <c r="X119" s="271"/>
      <c r="Y119" s="221"/>
    </row>
    <row r="120" spans="2:25">
      <c r="B120" s="127" t="s">
        <v>218</v>
      </c>
      <c r="C120" s="55" t="str">
        <f>VLOOKUP(B120,'ccddd 1 col'!$B$2:$C$313,2,FALSE)</f>
        <v>South Kitsap</v>
      </c>
      <c r="D120" s="128">
        <f>VLOOKUP(B120,'Biling Enroll 050714'!$A$4:$C$303,3,FALSE)</f>
        <v>73.569999999999993</v>
      </c>
      <c r="E120" s="454">
        <f>VLOOKUP(B120,'Title III 2013-14'!$A$2:$D$296,4,FALSE)</f>
        <v>0</v>
      </c>
      <c r="F120" s="454">
        <f>IFERROR(VLOOKUP(B120,'Native American 050714'!$A$2:$E$62,5,FALSE),0)</f>
        <v>0</v>
      </c>
      <c r="H120" s="57"/>
      <c r="I120" s="491">
        <f t="shared" si="1"/>
        <v>73.569999999999993</v>
      </c>
      <c r="M120" s="244"/>
      <c r="N120" s="3"/>
      <c r="O120" s="7"/>
      <c r="P120" s="7"/>
      <c r="Q120" s="271"/>
      <c r="R120" s="271"/>
      <c r="S120" s="271"/>
      <c r="T120" s="271"/>
      <c r="U120" s="271"/>
      <c r="V120" s="271"/>
      <c r="W120" s="275"/>
      <c r="X120" s="271"/>
      <c r="Y120" s="221"/>
    </row>
    <row r="121" spans="2:25">
      <c r="B121" s="127" t="s">
        <v>220</v>
      </c>
      <c r="C121" s="55" t="str">
        <f>VLOOKUP(B121,'ccddd 1 col'!$B$2:$C$313,2,FALSE)</f>
        <v>Damman</v>
      </c>
      <c r="D121" s="128">
        <f>VLOOKUP(B121,'Biling Enroll 050714'!$A$4:$C$303,3,FALSE)</f>
        <v>0</v>
      </c>
      <c r="E121" s="454">
        <f>VLOOKUP(B121,'Title III 2013-14'!$A$2:$D$296,4,FALSE)</f>
        <v>0</v>
      </c>
      <c r="F121" s="454">
        <f>IFERROR(VLOOKUP(B121,'Native American 050714'!$A$2:$E$62,5,FALSE),0)</f>
        <v>0</v>
      </c>
      <c r="H121" s="57"/>
      <c r="I121" s="491">
        <f t="shared" si="1"/>
        <v>0</v>
      </c>
      <c r="M121" s="244"/>
      <c r="N121" s="3"/>
      <c r="O121" s="7"/>
      <c r="P121" s="7"/>
      <c r="Q121" s="271"/>
      <c r="R121" s="271"/>
      <c r="S121" s="271"/>
      <c r="T121" s="271"/>
      <c r="U121" s="271"/>
      <c r="V121" s="271"/>
      <c r="W121" s="275"/>
      <c r="X121" s="271"/>
      <c r="Y121" s="221"/>
    </row>
    <row r="122" spans="2:25">
      <c r="B122" s="127" t="s">
        <v>222</v>
      </c>
      <c r="C122" s="55" t="str">
        <f>VLOOKUP(B122,'ccddd 1 col'!$B$2:$C$313,2,FALSE)</f>
        <v>Easton</v>
      </c>
      <c r="D122" s="128">
        <f>VLOOKUP(B122,'Biling Enroll 050714'!$A$4:$C$303,3,FALSE)</f>
        <v>13.57</v>
      </c>
      <c r="E122" s="454">
        <f>VLOOKUP(B122,'Title III 2013-14'!$A$2:$D$296,4,FALSE)</f>
        <v>0</v>
      </c>
      <c r="F122" s="454">
        <f>IFERROR(VLOOKUP(B122,'Native American 050714'!$A$2:$E$62,5,FALSE),0)</f>
        <v>0</v>
      </c>
      <c r="H122" s="57"/>
      <c r="I122" s="491">
        <f t="shared" si="1"/>
        <v>13.57</v>
      </c>
      <c r="M122" s="244"/>
      <c r="N122" s="3"/>
      <c r="O122" s="7"/>
      <c r="P122" s="7"/>
      <c r="Q122" s="271"/>
      <c r="R122" s="271"/>
      <c r="S122" s="271"/>
      <c r="T122" s="271"/>
      <c r="U122" s="271"/>
      <c r="V122" s="271"/>
      <c r="W122" s="275"/>
      <c r="X122" s="271"/>
      <c r="Y122" s="221"/>
    </row>
    <row r="123" spans="2:25">
      <c r="B123" s="127" t="s">
        <v>224</v>
      </c>
      <c r="C123" s="55" t="str">
        <f>VLOOKUP(B123,'ccddd 1 col'!$B$2:$C$313,2,FALSE)</f>
        <v>Thorp</v>
      </c>
      <c r="D123" s="128">
        <f>VLOOKUP(B123,'Biling Enroll 050714'!$A$4:$C$303,3,FALSE)</f>
        <v>0</v>
      </c>
      <c r="E123" s="454">
        <f>VLOOKUP(B123,'Title III 2013-14'!$A$2:$D$296,4,FALSE)</f>
        <v>0</v>
      </c>
      <c r="F123" s="454">
        <f>IFERROR(VLOOKUP(B123,'Native American 050714'!$A$2:$E$62,5,FALSE),0)</f>
        <v>0</v>
      </c>
      <c r="H123" s="57"/>
      <c r="I123" s="491">
        <f t="shared" si="1"/>
        <v>0</v>
      </c>
      <c r="M123" s="244"/>
      <c r="N123" s="3"/>
      <c r="O123" s="7"/>
      <c r="P123" s="7"/>
      <c r="Q123" s="271"/>
      <c r="R123" s="271"/>
      <c r="S123" s="271"/>
      <c r="T123" s="271"/>
      <c r="U123" s="271"/>
      <c r="V123" s="271"/>
      <c r="W123" s="275"/>
      <c r="X123" s="271"/>
      <c r="Y123" s="221"/>
    </row>
    <row r="124" spans="2:25">
      <c r="B124" s="127" t="s">
        <v>226</v>
      </c>
      <c r="C124" s="55" t="str">
        <f>VLOOKUP(B124,'ccddd 1 col'!$B$2:$C$313,2,FALSE)</f>
        <v>Ellensburg</v>
      </c>
      <c r="D124" s="128">
        <f>VLOOKUP(B124,'Biling Enroll 050714'!$A$4:$C$303,3,FALSE)</f>
        <v>231.86</v>
      </c>
      <c r="E124" s="454">
        <f>VLOOKUP(B124,'Title III 2013-14'!$A$2:$D$296,4,FALSE)</f>
        <v>0</v>
      </c>
      <c r="F124" s="454">
        <f>IFERROR(VLOOKUP(B124,'Native American 050714'!$A$2:$E$62,5,FALSE),0)</f>
        <v>39</v>
      </c>
      <c r="H124" s="57"/>
      <c r="I124" s="491">
        <f t="shared" si="1"/>
        <v>270.86</v>
      </c>
      <c r="M124" s="244"/>
      <c r="N124" s="3"/>
      <c r="O124" s="7"/>
      <c r="P124" s="7"/>
      <c r="Q124" s="271"/>
      <c r="R124" s="271"/>
      <c r="S124" s="271"/>
      <c r="T124" s="271"/>
      <c r="U124" s="271"/>
      <c r="V124" s="271"/>
      <c r="W124" s="275"/>
      <c r="X124" s="271"/>
      <c r="Y124" s="221"/>
    </row>
    <row r="125" spans="2:25">
      <c r="B125" s="127" t="s">
        <v>228</v>
      </c>
      <c r="C125" s="55" t="str">
        <f>VLOOKUP(B125,'ccddd 1 col'!$B$2:$C$313,2,FALSE)</f>
        <v>Kittitas</v>
      </c>
      <c r="D125" s="128">
        <f>VLOOKUP(B125,'Biling Enroll 050714'!$A$4:$C$303,3,FALSE)</f>
        <v>55.86</v>
      </c>
      <c r="E125" s="454">
        <f>VLOOKUP(B125,'Title III 2013-14'!$A$2:$D$296,4,FALSE)</f>
        <v>0</v>
      </c>
      <c r="F125" s="454">
        <f>IFERROR(VLOOKUP(B125,'Native American 050714'!$A$2:$E$62,5,FALSE),0)</f>
        <v>0</v>
      </c>
      <c r="H125" s="57"/>
      <c r="I125" s="491">
        <f t="shared" si="1"/>
        <v>55.86</v>
      </c>
      <c r="M125" s="244"/>
      <c r="N125" s="3"/>
      <c r="O125" s="7"/>
      <c r="P125" s="7"/>
      <c r="Q125" s="271"/>
      <c r="R125" s="271"/>
      <c r="S125" s="271"/>
      <c r="T125" s="271"/>
      <c r="U125" s="271"/>
      <c r="V125" s="271"/>
      <c r="W125" s="275"/>
      <c r="X125" s="271"/>
      <c r="Y125" s="221"/>
    </row>
    <row r="126" spans="2:25">
      <c r="B126" s="127" t="s">
        <v>230</v>
      </c>
      <c r="C126" s="55" t="str">
        <f>VLOOKUP(B126,'ccddd 1 col'!$B$2:$C$313,2,FALSE)</f>
        <v>Cle Elum-Roslyn</v>
      </c>
      <c r="D126" s="128">
        <f>VLOOKUP(B126,'Biling Enroll 050714'!$A$4:$C$303,3,FALSE)</f>
        <v>15.29</v>
      </c>
      <c r="E126" s="454">
        <f>VLOOKUP(B126,'Title III 2013-14'!$A$2:$D$296,4,FALSE)</f>
        <v>0</v>
      </c>
      <c r="F126" s="454">
        <f>IFERROR(VLOOKUP(B126,'Native American 050714'!$A$2:$E$62,5,FALSE),0)</f>
        <v>3</v>
      </c>
      <c r="H126" s="57"/>
      <c r="I126" s="491">
        <f t="shared" si="1"/>
        <v>18.29</v>
      </c>
      <c r="M126" s="244"/>
      <c r="N126" s="3"/>
      <c r="O126" s="7"/>
      <c r="P126" s="7"/>
      <c r="Q126" s="271"/>
      <c r="R126" s="271"/>
      <c r="S126" s="271"/>
      <c r="T126" s="271"/>
      <c r="U126" s="271"/>
      <c r="V126" s="271"/>
      <c r="W126" s="275"/>
      <c r="X126" s="271"/>
      <c r="Y126" s="221"/>
    </row>
    <row r="127" spans="2:25">
      <c r="B127" s="127" t="s">
        <v>232</v>
      </c>
      <c r="C127" s="55" t="e">
        <f>VLOOKUP(B127,'ccddd 1 col'!$B$2:$C$313,2,FALSE)</f>
        <v>#N/A</v>
      </c>
      <c r="D127" s="128">
        <f>VLOOKUP(B127,'Biling Enroll 050714'!$A$4:$C$303,3,FALSE)</f>
        <v>0</v>
      </c>
      <c r="E127" s="454">
        <f>VLOOKUP(B127,'Title III 2013-14'!$A$2:$D$296,4,FALSE)</f>
        <v>0</v>
      </c>
      <c r="F127" s="454">
        <f>IFERROR(VLOOKUP(B127,'Native American 050714'!$A$2:$E$62,5,FALSE),0)</f>
        <v>0</v>
      </c>
      <c r="H127" s="57"/>
      <c r="I127" s="491">
        <f t="shared" si="1"/>
        <v>0</v>
      </c>
      <c r="M127" s="244"/>
      <c r="N127" s="3"/>
      <c r="O127" s="7"/>
      <c r="P127" s="7"/>
      <c r="Q127" s="271"/>
      <c r="R127" s="271"/>
      <c r="S127" s="271"/>
      <c r="T127" s="271"/>
      <c r="U127" s="271"/>
      <c r="V127" s="271"/>
      <c r="W127" s="275"/>
      <c r="X127" s="271"/>
      <c r="Y127" s="221"/>
    </row>
    <row r="128" spans="2:25">
      <c r="B128" s="127" t="s">
        <v>234</v>
      </c>
      <c r="C128" s="55" t="str">
        <f>VLOOKUP(B128,'ccddd 1 col'!$B$2:$C$313,2,FALSE)</f>
        <v>Bickleton</v>
      </c>
      <c r="D128" s="128">
        <f>VLOOKUP(B128,'Biling Enroll 050714'!$A$4:$C$303,3,FALSE)</f>
        <v>0</v>
      </c>
      <c r="E128" s="454">
        <f>VLOOKUP(B128,'Title III 2013-14'!$A$2:$D$296,4,FALSE)</f>
        <v>0</v>
      </c>
      <c r="F128" s="454">
        <f>IFERROR(VLOOKUP(B128,'Native American 050714'!$A$2:$E$62,5,FALSE),0)</f>
        <v>0</v>
      </c>
      <c r="H128" s="57"/>
      <c r="I128" s="491">
        <f t="shared" si="1"/>
        <v>0</v>
      </c>
      <c r="M128" s="244"/>
      <c r="N128" s="3"/>
      <c r="O128" s="7"/>
      <c r="P128" s="7"/>
      <c r="Q128" s="271"/>
      <c r="R128" s="271"/>
      <c r="S128" s="271"/>
      <c r="T128" s="271"/>
      <c r="U128" s="271"/>
      <c r="V128" s="271"/>
      <c r="W128" s="275"/>
      <c r="X128" s="271"/>
      <c r="Y128" s="221"/>
    </row>
    <row r="129" spans="2:25">
      <c r="B129" s="127" t="s">
        <v>236</v>
      </c>
      <c r="C129" s="55" t="str">
        <f>VLOOKUP(B129,'ccddd 1 col'!$B$2:$C$313,2,FALSE)</f>
        <v>Centerville</v>
      </c>
      <c r="D129" s="128">
        <f>VLOOKUP(B129,'Biling Enroll 050714'!$A$4:$C$303,3,FALSE)</f>
        <v>0</v>
      </c>
      <c r="E129" s="454">
        <f>VLOOKUP(B129,'Title III 2013-14'!$A$2:$D$296,4,FALSE)</f>
        <v>0</v>
      </c>
      <c r="F129" s="454">
        <f>IFERROR(VLOOKUP(B129,'Native American 050714'!$A$2:$E$62,5,FALSE),0)</f>
        <v>0</v>
      </c>
      <c r="H129" s="57"/>
      <c r="I129" s="491">
        <f t="shared" si="1"/>
        <v>0</v>
      </c>
      <c r="M129" s="244"/>
      <c r="N129" s="3"/>
      <c r="O129" s="7"/>
      <c r="P129" s="7"/>
      <c r="Q129" s="271"/>
      <c r="R129" s="271"/>
      <c r="S129" s="271"/>
      <c r="T129" s="271"/>
      <c r="U129" s="271"/>
      <c r="V129" s="271"/>
      <c r="W129" s="275"/>
      <c r="X129" s="271"/>
      <c r="Y129" s="221"/>
    </row>
    <row r="130" spans="2:25">
      <c r="B130" s="127" t="s">
        <v>238</v>
      </c>
      <c r="C130" s="55" t="str">
        <f>VLOOKUP(B130,'ccddd 1 col'!$B$2:$C$313,2,FALSE)</f>
        <v>Trout Lake</v>
      </c>
      <c r="D130" s="128">
        <f>VLOOKUP(B130,'Biling Enroll 050714'!$A$4:$C$303,3,FALSE)</f>
        <v>0</v>
      </c>
      <c r="E130" s="454">
        <f>VLOOKUP(B130,'Title III 2013-14'!$A$2:$D$296,4,FALSE)</f>
        <v>0</v>
      </c>
      <c r="F130" s="454">
        <f>IFERROR(VLOOKUP(B130,'Native American 050714'!$A$2:$E$62,5,FALSE),0)</f>
        <v>0</v>
      </c>
      <c r="H130" s="57"/>
      <c r="I130" s="491">
        <f t="shared" si="1"/>
        <v>0</v>
      </c>
      <c r="M130" s="244"/>
      <c r="N130" s="3"/>
      <c r="O130" s="7"/>
      <c r="P130" s="7"/>
      <c r="Q130" s="271"/>
      <c r="R130" s="271"/>
      <c r="S130" s="271"/>
      <c r="T130" s="271"/>
      <c r="U130" s="271"/>
      <c r="V130" s="271"/>
      <c r="W130" s="275"/>
      <c r="X130" s="271"/>
      <c r="Y130" s="221"/>
    </row>
    <row r="131" spans="2:25">
      <c r="B131" s="127" t="s">
        <v>240</v>
      </c>
      <c r="C131" s="55" t="str">
        <f>VLOOKUP(B131,'ccddd 1 col'!$B$2:$C$313,2,FALSE)</f>
        <v>Glenwood</v>
      </c>
      <c r="D131" s="128">
        <f>VLOOKUP(B131,'Biling Enroll 050714'!$A$4:$C$303,3,FALSE)</f>
        <v>0</v>
      </c>
      <c r="E131" s="454">
        <f>VLOOKUP(B131,'Title III 2013-14'!$A$2:$D$296,4,FALSE)</f>
        <v>0</v>
      </c>
      <c r="F131" s="454">
        <f>IFERROR(VLOOKUP(B131,'Native American 050714'!$A$2:$E$62,5,FALSE),0)</f>
        <v>0</v>
      </c>
      <c r="H131" s="57"/>
      <c r="I131" s="491">
        <f t="shared" si="1"/>
        <v>0</v>
      </c>
      <c r="M131" s="244"/>
      <c r="N131" s="3"/>
      <c r="O131" s="7"/>
      <c r="P131" s="7"/>
      <c r="Q131" s="271"/>
      <c r="R131" s="271"/>
      <c r="S131" s="271"/>
      <c r="T131" s="271"/>
      <c r="U131" s="271"/>
      <c r="V131" s="271"/>
      <c r="W131" s="275"/>
      <c r="X131" s="271"/>
      <c r="Y131" s="221"/>
    </row>
    <row r="132" spans="2:25">
      <c r="B132" s="127" t="s">
        <v>242</v>
      </c>
      <c r="C132" s="55" t="str">
        <f>VLOOKUP(B132,'ccddd 1 col'!$B$2:$C$313,2,FALSE)</f>
        <v>Klickitat</v>
      </c>
      <c r="D132" s="128">
        <f>VLOOKUP(B132,'Biling Enroll 050714'!$A$4:$C$303,3,FALSE)</f>
        <v>0</v>
      </c>
      <c r="E132" s="454">
        <f>VLOOKUP(B132,'Title III 2013-14'!$A$2:$D$296,4,FALSE)</f>
        <v>0</v>
      </c>
      <c r="F132" s="454">
        <f>IFERROR(VLOOKUP(B132,'Native American 050714'!$A$2:$E$62,5,FALSE),0)</f>
        <v>0</v>
      </c>
      <c r="H132" s="57"/>
      <c r="I132" s="491">
        <f t="shared" si="1"/>
        <v>0</v>
      </c>
      <c r="M132" s="244"/>
      <c r="N132" s="3"/>
      <c r="O132" s="7"/>
      <c r="P132" s="7"/>
      <c r="Q132" s="271"/>
      <c r="R132" s="271"/>
      <c r="S132" s="271"/>
      <c r="T132" s="271"/>
      <c r="U132" s="271"/>
      <c r="V132" s="271"/>
      <c r="W132" s="275"/>
      <c r="X132" s="271"/>
      <c r="Y132" s="221"/>
    </row>
    <row r="133" spans="2:25">
      <c r="B133" s="127" t="s">
        <v>244</v>
      </c>
      <c r="C133" s="55" t="str">
        <f>VLOOKUP(B133,'ccddd 1 col'!$B$2:$C$313,2,FALSE)</f>
        <v>Roosevelt</v>
      </c>
      <c r="D133" s="128">
        <f>VLOOKUP(B133,'Biling Enroll 050714'!$A$4:$C$303,3,FALSE)</f>
        <v>11.14</v>
      </c>
      <c r="E133" s="454">
        <f>VLOOKUP(B133,'Title III 2013-14'!$A$2:$D$296,4,FALSE)</f>
        <v>0</v>
      </c>
      <c r="F133" s="454">
        <f>IFERROR(VLOOKUP(B133,'Native American 050714'!$A$2:$E$62,5,FALSE),0)</f>
        <v>0</v>
      </c>
      <c r="H133" s="57"/>
      <c r="I133" s="491">
        <f t="shared" si="1"/>
        <v>11.14</v>
      </c>
      <c r="M133" s="244"/>
      <c r="N133" s="3"/>
      <c r="O133" s="7"/>
      <c r="P133" s="7"/>
      <c r="Q133" s="271"/>
      <c r="R133" s="271"/>
      <c r="S133" s="271"/>
      <c r="T133" s="271"/>
      <c r="U133" s="271"/>
      <c r="V133" s="271"/>
      <c r="W133" s="275"/>
      <c r="X133" s="271"/>
      <c r="Y133" s="221"/>
    </row>
    <row r="134" spans="2:25">
      <c r="B134" s="127" t="s">
        <v>246</v>
      </c>
      <c r="C134" s="55" t="str">
        <f>VLOOKUP(B134,'ccddd 1 col'!$B$2:$C$313,2,FALSE)</f>
        <v>Goldendale</v>
      </c>
      <c r="D134" s="128">
        <f>VLOOKUP(B134,'Biling Enroll 050714'!$A$4:$C$303,3,FALSE)</f>
        <v>29</v>
      </c>
      <c r="E134" s="454">
        <f>VLOOKUP(B134,'Title III 2013-14'!$A$2:$D$296,4,FALSE)</f>
        <v>0</v>
      </c>
      <c r="F134" s="454">
        <f>IFERROR(VLOOKUP(B134,'Native American 050714'!$A$2:$E$62,5,FALSE),0)</f>
        <v>0</v>
      </c>
      <c r="H134" s="57"/>
      <c r="I134" s="491">
        <f t="shared" si="1"/>
        <v>29</v>
      </c>
      <c r="M134" s="244"/>
      <c r="N134" s="3"/>
      <c r="O134" s="7"/>
      <c r="P134" s="7"/>
      <c r="Q134" s="271"/>
      <c r="R134" s="271"/>
      <c r="S134" s="271"/>
      <c r="T134" s="271"/>
      <c r="U134" s="271"/>
      <c r="V134" s="271"/>
      <c r="W134" s="275"/>
      <c r="X134" s="271"/>
      <c r="Y134" s="221"/>
    </row>
    <row r="135" spans="2:25">
      <c r="B135" s="127" t="s">
        <v>248</v>
      </c>
      <c r="C135" s="55" t="str">
        <f>VLOOKUP(B135,'ccddd 1 col'!$B$2:$C$313,2,FALSE)</f>
        <v>White Salmon</v>
      </c>
      <c r="D135" s="128">
        <f>VLOOKUP(B135,'Biling Enroll 050714'!$A$4:$C$303,3,FALSE)</f>
        <v>192.86</v>
      </c>
      <c r="E135" s="454">
        <f>VLOOKUP(B135,'Title III 2013-14'!$A$2:$D$296,4,FALSE)</f>
        <v>0</v>
      </c>
      <c r="F135" s="454">
        <f>IFERROR(VLOOKUP(B135,'Native American 050714'!$A$2:$E$62,5,FALSE),0)</f>
        <v>3</v>
      </c>
      <c r="H135" s="57"/>
      <c r="I135" s="491">
        <f t="shared" ref="I135:I196" si="2">D135+E135+F135</f>
        <v>195.86</v>
      </c>
      <c r="M135" s="244"/>
      <c r="N135" s="3"/>
      <c r="O135" s="7"/>
      <c r="P135" s="7"/>
      <c r="Q135" s="271"/>
      <c r="R135" s="271"/>
      <c r="S135" s="271"/>
      <c r="T135" s="271"/>
      <c r="U135" s="271"/>
      <c r="V135" s="271"/>
      <c r="W135" s="275"/>
      <c r="X135" s="271"/>
      <c r="Y135" s="221"/>
    </row>
    <row r="136" spans="2:25">
      <c r="B136" s="127" t="s">
        <v>250</v>
      </c>
      <c r="C136" s="55" t="str">
        <f>VLOOKUP(B136,'ccddd 1 col'!$B$2:$C$313,2,FALSE)</f>
        <v>Lyle</v>
      </c>
      <c r="D136" s="128">
        <f>VLOOKUP(B136,'Biling Enroll 050714'!$A$4:$C$303,3,FALSE)</f>
        <v>0</v>
      </c>
      <c r="E136" s="454">
        <f>VLOOKUP(B136,'Title III 2013-14'!$A$2:$D$296,4,FALSE)</f>
        <v>0</v>
      </c>
      <c r="F136" s="454">
        <f>IFERROR(VLOOKUP(B136,'Native American 050714'!$A$2:$E$62,5,FALSE),0)</f>
        <v>0</v>
      </c>
      <c r="H136" s="57"/>
      <c r="I136" s="491">
        <f t="shared" si="2"/>
        <v>0</v>
      </c>
      <c r="M136" s="244"/>
      <c r="N136" s="3"/>
      <c r="O136" s="7"/>
      <c r="P136" s="7"/>
      <c r="Q136" s="271"/>
      <c r="R136" s="271"/>
      <c r="S136" s="271"/>
      <c r="T136" s="271"/>
      <c r="U136" s="271"/>
      <c r="V136" s="271"/>
      <c r="W136" s="275"/>
      <c r="X136" s="271"/>
      <c r="Y136" s="221"/>
    </row>
    <row r="137" spans="2:25">
      <c r="B137" s="127" t="s">
        <v>252</v>
      </c>
      <c r="C137" s="55" t="str">
        <f>VLOOKUP(B137,'ccddd 1 col'!$B$2:$C$313,2,FALSE)</f>
        <v>Napavine</v>
      </c>
      <c r="D137" s="128">
        <f>VLOOKUP(B137,'Biling Enroll 050714'!$A$4:$C$303,3,FALSE)</f>
        <v>18.29</v>
      </c>
      <c r="E137" s="454">
        <f>VLOOKUP(B137,'Title III 2013-14'!$A$2:$D$296,4,FALSE)</f>
        <v>0</v>
      </c>
      <c r="F137" s="454">
        <f>IFERROR(VLOOKUP(B137,'Native American 050714'!$A$2:$E$62,5,FALSE),0)</f>
        <v>0</v>
      </c>
      <c r="H137" s="57"/>
      <c r="I137" s="491">
        <f t="shared" si="2"/>
        <v>18.29</v>
      </c>
      <c r="M137" s="244"/>
      <c r="N137" s="3"/>
      <c r="O137" s="7"/>
      <c r="P137" s="7"/>
      <c r="Q137" s="271"/>
      <c r="R137" s="271"/>
      <c r="S137" s="271"/>
      <c r="T137" s="271"/>
      <c r="U137" s="271"/>
      <c r="V137" s="271"/>
      <c r="W137" s="275"/>
      <c r="X137" s="271"/>
      <c r="Y137" s="221"/>
    </row>
    <row r="138" spans="2:25">
      <c r="B138" s="127" t="s">
        <v>256</v>
      </c>
      <c r="C138" s="55" t="str">
        <f>VLOOKUP(B138,'ccddd 1 col'!$B$2:$C$313,2,FALSE)</f>
        <v>Evaline</v>
      </c>
      <c r="D138" s="128">
        <f>VLOOKUP(B138,'Biling Enroll 050714'!$A$4:$C$303,3,FALSE)</f>
        <v>0</v>
      </c>
      <c r="E138" s="454">
        <f>VLOOKUP(B138,'Title III 2013-14'!$A$2:$D$296,4,FALSE)</f>
        <v>0</v>
      </c>
      <c r="F138" s="454">
        <f>IFERROR(VLOOKUP(B138,'Native American 050714'!$A$2:$E$62,5,FALSE),0)</f>
        <v>0</v>
      </c>
      <c r="H138" s="57"/>
      <c r="I138" s="491">
        <f t="shared" si="2"/>
        <v>0</v>
      </c>
      <c r="M138" s="244"/>
      <c r="N138" s="3"/>
      <c r="O138" s="7"/>
      <c r="P138" s="7"/>
      <c r="Q138" s="271"/>
      <c r="R138" s="271"/>
      <c r="S138" s="271"/>
      <c r="T138" s="271"/>
      <c r="U138" s="271"/>
      <c r="V138" s="271"/>
      <c r="W138" s="275"/>
      <c r="X138" s="271"/>
      <c r="Y138" s="221"/>
    </row>
    <row r="139" spans="2:25">
      <c r="B139" s="127" t="s">
        <v>258</v>
      </c>
      <c r="C139" s="55" t="str">
        <f>VLOOKUP(B139,'ccddd 1 col'!$B$2:$C$313,2,FALSE)</f>
        <v>Mossyrock</v>
      </c>
      <c r="D139" s="128">
        <f>VLOOKUP(B139,'Biling Enroll 050714'!$A$4:$C$303,3,FALSE)</f>
        <v>58.57</v>
      </c>
      <c r="E139" s="454">
        <f>VLOOKUP(B139,'Title III 2013-14'!$A$2:$D$296,4,FALSE)</f>
        <v>0</v>
      </c>
      <c r="F139" s="454">
        <f>IFERROR(VLOOKUP(B139,'Native American 050714'!$A$2:$E$62,5,FALSE),0)</f>
        <v>2</v>
      </c>
      <c r="H139" s="57"/>
      <c r="I139" s="491">
        <f t="shared" si="2"/>
        <v>60.57</v>
      </c>
      <c r="M139" s="244"/>
      <c r="N139" s="3"/>
      <c r="O139" s="7"/>
      <c r="P139" s="7"/>
      <c r="Q139" s="271"/>
      <c r="R139" s="271"/>
      <c r="S139" s="271"/>
      <c r="T139" s="271"/>
      <c r="U139" s="271"/>
      <c r="V139" s="271"/>
      <c r="W139" s="275"/>
      <c r="X139" s="271"/>
      <c r="Y139" s="221"/>
    </row>
    <row r="140" spans="2:25">
      <c r="B140" s="127" t="s">
        <v>260</v>
      </c>
      <c r="C140" s="55" t="str">
        <f>VLOOKUP(B140,'ccddd 1 col'!$B$2:$C$313,2,FALSE)</f>
        <v>Morton</v>
      </c>
      <c r="D140" s="128">
        <f>VLOOKUP(B140,'Biling Enroll 050714'!$A$4:$C$303,3,FALSE)</f>
        <v>0</v>
      </c>
      <c r="E140" s="454">
        <f>VLOOKUP(B140,'Title III 2013-14'!$A$2:$D$296,4,FALSE)</f>
        <v>0</v>
      </c>
      <c r="F140" s="454">
        <f>IFERROR(VLOOKUP(B140,'Native American 050714'!$A$2:$E$62,5,FALSE),0)</f>
        <v>0</v>
      </c>
      <c r="H140" s="57"/>
      <c r="I140" s="491">
        <f t="shared" si="2"/>
        <v>0</v>
      </c>
      <c r="M140" s="244"/>
      <c r="N140" s="3"/>
      <c r="O140" s="7"/>
      <c r="P140" s="7"/>
      <c r="Q140" s="271"/>
      <c r="R140" s="271"/>
      <c r="S140" s="271"/>
      <c r="T140" s="271"/>
      <c r="U140" s="271"/>
      <c r="V140" s="271"/>
      <c r="W140" s="275"/>
      <c r="X140" s="271"/>
      <c r="Y140" s="221"/>
    </row>
    <row r="141" spans="2:25">
      <c r="B141" s="127" t="s">
        <v>262</v>
      </c>
      <c r="C141" s="55" t="str">
        <f>VLOOKUP(B141,'ccddd 1 col'!$B$2:$C$313,2,FALSE)</f>
        <v>Adna</v>
      </c>
      <c r="D141" s="128">
        <f>VLOOKUP(B141,'Biling Enroll 050714'!$A$4:$C$303,3,FALSE)</f>
        <v>0</v>
      </c>
      <c r="E141" s="454">
        <f>VLOOKUP(B141,'Title III 2013-14'!$A$2:$D$296,4,FALSE)</f>
        <v>0</v>
      </c>
      <c r="F141" s="454">
        <f>IFERROR(VLOOKUP(B141,'Native American 050714'!$A$2:$E$62,5,FALSE),0)</f>
        <v>0</v>
      </c>
      <c r="H141" s="57"/>
      <c r="I141" s="491">
        <f t="shared" si="2"/>
        <v>0</v>
      </c>
      <c r="M141" s="244"/>
      <c r="N141" s="3"/>
      <c r="O141" s="7"/>
      <c r="P141" s="7"/>
      <c r="Q141" s="271"/>
      <c r="R141" s="271"/>
      <c r="S141" s="271"/>
      <c r="T141" s="271"/>
      <c r="U141" s="271"/>
      <c r="V141" s="271"/>
      <c r="W141" s="275"/>
      <c r="X141" s="271"/>
      <c r="Y141" s="221"/>
    </row>
    <row r="142" spans="2:25">
      <c r="B142" s="127" t="s">
        <v>264</v>
      </c>
      <c r="C142" s="55" t="str">
        <f>VLOOKUP(B142,'ccddd 1 col'!$B$2:$C$313,2,FALSE)</f>
        <v>Winlock</v>
      </c>
      <c r="D142" s="128">
        <f>VLOOKUP(B142,'Biling Enroll 050714'!$A$4:$C$303,3,FALSE)</f>
        <v>72.290000000000006</v>
      </c>
      <c r="E142" s="454">
        <f>VLOOKUP(B142,'Title III 2013-14'!$A$2:$D$296,4,FALSE)</f>
        <v>0</v>
      </c>
      <c r="F142" s="454">
        <f>IFERROR(VLOOKUP(B142,'Native American 050714'!$A$2:$E$62,5,FALSE),0)</f>
        <v>11</v>
      </c>
      <c r="H142" s="57"/>
      <c r="I142" s="491">
        <f t="shared" si="2"/>
        <v>83.29</v>
      </c>
      <c r="M142" s="244"/>
      <c r="N142" s="3"/>
      <c r="O142" s="7"/>
      <c r="P142" s="7"/>
      <c r="Q142" s="271"/>
      <c r="R142" s="271"/>
      <c r="S142" s="271"/>
      <c r="T142" s="271"/>
      <c r="U142" s="271"/>
      <c r="V142" s="271"/>
      <c r="W142" s="275"/>
      <c r="X142" s="271"/>
      <c r="Y142" s="221"/>
    </row>
    <row r="143" spans="2:25">
      <c r="B143" s="127" t="s">
        <v>266</v>
      </c>
      <c r="C143" s="55" t="str">
        <f>VLOOKUP(B143,'ccddd 1 col'!$B$2:$C$313,2,FALSE)</f>
        <v>Boistfort</v>
      </c>
      <c r="D143" s="128">
        <f>VLOOKUP(B143,'Biling Enroll 050714'!$A$4:$C$303,3,FALSE)</f>
        <v>0</v>
      </c>
      <c r="E143" s="454">
        <f>VLOOKUP(B143,'Title III 2013-14'!$A$2:$D$296,4,FALSE)</f>
        <v>0</v>
      </c>
      <c r="F143" s="454">
        <f>IFERROR(VLOOKUP(B143,'Native American 050714'!$A$2:$E$62,5,FALSE),0)</f>
        <v>0</v>
      </c>
      <c r="H143" s="57"/>
      <c r="I143" s="491">
        <f t="shared" si="2"/>
        <v>0</v>
      </c>
      <c r="M143" s="244"/>
      <c r="N143" s="3"/>
      <c r="O143" s="7"/>
      <c r="P143" s="7"/>
      <c r="Q143" s="271"/>
      <c r="R143" s="271"/>
      <c r="S143" s="271"/>
      <c r="T143" s="271"/>
      <c r="U143" s="271"/>
      <c r="V143" s="271"/>
      <c r="W143" s="275"/>
      <c r="X143" s="271"/>
      <c r="Y143" s="221"/>
    </row>
    <row r="144" spans="2:25">
      <c r="B144" s="127" t="s">
        <v>268</v>
      </c>
      <c r="C144" s="55" t="str">
        <f>VLOOKUP(B144,'ccddd 1 col'!$B$2:$C$313,2,FALSE)</f>
        <v>Toledo</v>
      </c>
      <c r="D144" s="128">
        <f>VLOOKUP(B144,'Biling Enroll 050714'!$A$4:$C$303,3,FALSE)</f>
        <v>16.14</v>
      </c>
      <c r="E144" s="454">
        <f>VLOOKUP(B144,'Title III 2013-14'!$A$2:$D$296,4,FALSE)</f>
        <v>0</v>
      </c>
      <c r="F144" s="454">
        <f>IFERROR(VLOOKUP(B144,'Native American 050714'!$A$2:$E$62,5,FALSE),0)</f>
        <v>0</v>
      </c>
      <c r="H144" s="57"/>
      <c r="I144" s="491">
        <f t="shared" si="2"/>
        <v>16.14</v>
      </c>
      <c r="M144" s="244"/>
      <c r="N144" s="3"/>
      <c r="O144" s="7"/>
      <c r="P144" s="7"/>
      <c r="Q144" s="271"/>
      <c r="R144" s="271"/>
      <c r="S144" s="271"/>
      <c r="T144" s="271"/>
      <c r="U144" s="271"/>
      <c r="V144" s="271"/>
      <c r="W144" s="275"/>
      <c r="X144" s="271"/>
      <c r="Y144" s="221"/>
    </row>
    <row r="145" spans="2:25">
      <c r="B145" s="127" t="s">
        <v>270</v>
      </c>
      <c r="C145" s="55" t="str">
        <f>VLOOKUP(B145,'ccddd 1 col'!$B$2:$C$313,2,FALSE)</f>
        <v>Onalaska</v>
      </c>
      <c r="D145" s="128">
        <f>VLOOKUP(B145,'Biling Enroll 050714'!$A$4:$C$303,3,FALSE)</f>
        <v>25.71</v>
      </c>
      <c r="E145" s="454">
        <f>VLOOKUP(B145,'Title III 2013-14'!$A$2:$D$296,4,FALSE)</f>
        <v>0</v>
      </c>
      <c r="F145" s="454">
        <f>IFERROR(VLOOKUP(B145,'Native American 050714'!$A$2:$E$62,5,FALSE),0)</f>
        <v>0</v>
      </c>
      <c r="H145" s="57"/>
      <c r="I145" s="491">
        <f t="shared" si="2"/>
        <v>25.71</v>
      </c>
      <c r="M145" s="244"/>
      <c r="N145" s="3"/>
      <c r="O145" s="7"/>
      <c r="P145" s="7"/>
      <c r="Q145" s="271"/>
      <c r="R145" s="271"/>
      <c r="S145" s="271"/>
      <c r="T145" s="271"/>
      <c r="U145" s="271"/>
      <c r="V145" s="271"/>
      <c r="W145" s="275"/>
      <c r="X145" s="271"/>
      <c r="Y145" s="221"/>
    </row>
    <row r="146" spans="2:25">
      <c r="B146" s="127" t="s">
        <v>272</v>
      </c>
      <c r="C146" s="55" t="str">
        <f>VLOOKUP(B146,'ccddd 1 col'!$B$2:$C$313,2,FALSE)</f>
        <v>Pe Ell</v>
      </c>
      <c r="D146" s="128">
        <f>VLOOKUP(B146,'Biling Enroll 050714'!$A$4:$C$303,3,FALSE)</f>
        <v>0</v>
      </c>
      <c r="E146" s="454">
        <f>VLOOKUP(B146,'Title III 2013-14'!$A$2:$D$296,4,FALSE)</f>
        <v>0</v>
      </c>
      <c r="F146" s="454">
        <f>IFERROR(VLOOKUP(B146,'Native American 050714'!$A$2:$E$62,5,FALSE),0)</f>
        <v>0</v>
      </c>
      <c r="H146" s="57"/>
      <c r="I146" s="491">
        <f t="shared" si="2"/>
        <v>0</v>
      </c>
      <c r="M146" s="244"/>
      <c r="N146" s="3"/>
      <c r="O146" s="7"/>
      <c r="P146" s="7"/>
      <c r="Q146" s="271"/>
      <c r="R146" s="271"/>
      <c r="S146" s="271"/>
      <c r="T146" s="271"/>
      <c r="U146" s="271"/>
      <c r="V146" s="271"/>
      <c r="W146" s="275"/>
      <c r="X146" s="271"/>
      <c r="Y146" s="221"/>
    </row>
    <row r="147" spans="2:25">
      <c r="B147" s="127" t="s">
        <v>274</v>
      </c>
      <c r="C147" s="55" t="str">
        <f>VLOOKUP(B147,'ccddd 1 col'!$B$2:$C$313,2,FALSE)</f>
        <v>Chehalis</v>
      </c>
      <c r="D147" s="128">
        <f>VLOOKUP(B147,'Biling Enroll 050714'!$A$4:$C$303,3,FALSE)</f>
        <v>103.43</v>
      </c>
      <c r="E147" s="454">
        <f>VLOOKUP(B147,'Title III 2013-14'!$A$2:$D$296,4,FALSE)</f>
        <v>0</v>
      </c>
      <c r="F147" s="454">
        <f>IFERROR(VLOOKUP(B147,'Native American 050714'!$A$2:$E$62,5,FALSE),0)</f>
        <v>0</v>
      </c>
      <c r="H147" s="57"/>
      <c r="I147" s="491">
        <f t="shared" si="2"/>
        <v>103.43</v>
      </c>
      <c r="M147" s="244"/>
      <c r="N147" s="3"/>
      <c r="O147" s="7"/>
      <c r="P147" s="7"/>
      <c r="Q147" s="271"/>
      <c r="R147" s="271"/>
      <c r="S147" s="271"/>
      <c r="T147" s="271"/>
      <c r="U147" s="271"/>
      <c r="V147" s="271"/>
      <c r="W147" s="275"/>
      <c r="X147" s="271"/>
      <c r="Y147" s="221"/>
    </row>
    <row r="148" spans="2:25">
      <c r="B148" s="127" t="s">
        <v>276</v>
      </c>
      <c r="C148" s="55" t="str">
        <f>VLOOKUP(B148,'ccddd 1 col'!$B$2:$C$313,2,FALSE)</f>
        <v>White Pass</v>
      </c>
      <c r="D148" s="128">
        <f>VLOOKUP(B148,'Biling Enroll 050714'!$A$4:$C$303,3,FALSE)</f>
        <v>0</v>
      </c>
      <c r="E148" s="454">
        <f>VLOOKUP(B148,'Title III 2013-14'!$A$2:$D$296,4,FALSE)</f>
        <v>0</v>
      </c>
      <c r="F148" s="454">
        <f>IFERROR(VLOOKUP(B148,'Native American 050714'!$A$2:$E$62,5,FALSE),0)</f>
        <v>0</v>
      </c>
      <c r="H148" s="57"/>
      <c r="I148" s="491">
        <f t="shared" si="2"/>
        <v>0</v>
      </c>
      <c r="M148" s="244"/>
      <c r="N148" s="3"/>
      <c r="O148" s="7"/>
      <c r="P148" s="7"/>
      <c r="Q148" s="271"/>
      <c r="R148" s="271"/>
      <c r="S148" s="271"/>
      <c r="T148" s="271"/>
      <c r="U148" s="271"/>
      <c r="V148" s="271"/>
      <c r="W148" s="275"/>
      <c r="X148" s="271"/>
      <c r="Y148" s="221"/>
    </row>
    <row r="149" spans="2:25">
      <c r="B149" s="127" t="s">
        <v>278</v>
      </c>
      <c r="C149" s="55" t="str">
        <f>VLOOKUP(B149,'ccddd 1 col'!$B$2:$C$313,2,FALSE)</f>
        <v>Centralia</v>
      </c>
      <c r="D149" s="128">
        <f>VLOOKUP(B149,'Biling Enroll 050714'!$A$4:$C$303,3,FALSE)</f>
        <v>315.43</v>
      </c>
      <c r="E149" s="454">
        <f>VLOOKUP(B149,'Title III 2013-14'!$A$2:$D$296,4,FALSE)</f>
        <v>0</v>
      </c>
      <c r="F149" s="454">
        <f>IFERROR(VLOOKUP(B149,'Native American 050714'!$A$2:$E$62,5,FALSE),0)</f>
        <v>0</v>
      </c>
      <c r="H149" s="57"/>
      <c r="I149" s="491">
        <f t="shared" si="2"/>
        <v>315.43</v>
      </c>
      <c r="M149" s="244"/>
      <c r="N149" s="3"/>
      <c r="O149" s="7"/>
      <c r="P149" s="7"/>
      <c r="Q149" s="271"/>
      <c r="R149" s="271"/>
      <c r="S149" s="271"/>
      <c r="T149" s="271"/>
      <c r="U149" s="271"/>
      <c r="V149" s="271"/>
      <c r="W149" s="275"/>
      <c r="X149" s="271"/>
      <c r="Y149" s="221"/>
    </row>
    <row r="150" spans="2:25">
      <c r="B150" s="127" t="s">
        <v>280</v>
      </c>
      <c r="C150" s="55" t="str">
        <f>VLOOKUP(B150,'ccddd 1 col'!$B$2:$C$313,2,FALSE)</f>
        <v>Sprague</v>
      </c>
      <c r="D150" s="128">
        <f>VLOOKUP(B150,'Biling Enroll 050714'!$A$4:$C$303,3,FALSE)</f>
        <v>0</v>
      </c>
      <c r="E150" s="454">
        <f>VLOOKUP(B150,'Title III 2013-14'!$A$2:$D$296,4,FALSE)</f>
        <v>0</v>
      </c>
      <c r="F150" s="454">
        <f>IFERROR(VLOOKUP(B150,'Native American 050714'!$A$2:$E$62,5,FALSE),0)</f>
        <v>0</v>
      </c>
      <c r="H150" s="57"/>
      <c r="I150" s="491">
        <f t="shared" si="2"/>
        <v>0</v>
      </c>
      <c r="M150" s="244"/>
      <c r="N150" s="3"/>
      <c r="O150" s="7"/>
      <c r="P150" s="7"/>
      <c r="Q150" s="271"/>
      <c r="R150" s="271"/>
      <c r="S150" s="271"/>
      <c r="T150" s="271"/>
      <c r="U150" s="271"/>
      <c r="V150" s="271"/>
      <c r="W150" s="275"/>
      <c r="X150" s="271"/>
      <c r="Y150" s="221"/>
    </row>
    <row r="151" spans="2:25">
      <c r="B151" s="127" t="s">
        <v>282</v>
      </c>
      <c r="C151" s="55" t="str">
        <f>VLOOKUP(B151,'ccddd 1 col'!$B$2:$C$313,2,FALSE)</f>
        <v>Reardan</v>
      </c>
      <c r="D151" s="128">
        <f>VLOOKUP(B151,'Biling Enroll 050714'!$A$4:$C$303,3,FALSE)</f>
        <v>26</v>
      </c>
      <c r="E151" s="454">
        <f>VLOOKUP(B151,'Title III 2013-14'!$A$2:$D$296,4,FALSE)</f>
        <v>0</v>
      </c>
      <c r="F151" s="454">
        <f>IFERROR(VLOOKUP(B151,'Native American 050714'!$A$2:$E$62,5,FALSE),0)</f>
        <v>0</v>
      </c>
      <c r="H151" s="57"/>
      <c r="I151" s="491">
        <f t="shared" si="2"/>
        <v>26</v>
      </c>
      <c r="M151" s="244"/>
      <c r="N151" s="3"/>
      <c r="O151" s="7"/>
      <c r="P151" s="7"/>
      <c r="Q151" s="271"/>
      <c r="R151" s="271"/>
      <c r="S151" s="271"/>
      <c r="T151" s="271"/>
      <c r="U151" s="271"/>
      <c r="V151" s="271"/>
      <c r="W151" s="275"/>
      <c r="X151" s="271"/>
      <c r="Y151" s="221"/>
    </row>
    <row r="152" spans="2:25">
      <c r="B152" s="127" t="s">
        <v>283</v>
      </c>
      <c r="C152" s="55" t="str">
        <f>VLOOKUP(B152,'ccddd 1 col'!$B$2:$C$313,2,FALSE)</f>
        <v>Almira</v>
      </c>
      <c r="D152" s="128">
        <f>VLOOKUP(B152,'Biling Enroll 050714'!$A$4:$C$303,3,FALSE)</f>
        <v>0</v>
      </c>
      <c r="E152" s="454">
        <f>VLOOKUP(B152,'Title III 2013-14'!$A$2:$D$296,4,FALSE)</f>
        <v>0</v>
      </c>
      <c r="F152" s="454">
        <f>IFERROR(VLOOKUP(B152,'Native American 050714'!$A$2:$E$62,5,FALSE),0)</f>
        <v>0</v>
      </c>
      <c r="H152" s="57"/>
      <c r="I152" s="491">
        <f t="shared" si="2"/>
        <v>0</v>
      </c>
      <c r="M152" s="244"/>
      <c r="N152" s="3"/>
      <c r="O152" s="7"/>
      <c r="P152" s="7"/>
      <c r="Q152" s="271"/>
      <c r="R152" s="271"/>
      <c r="S152" s="271"/>
      <c r="T152" s="271"/>
      <c r="U152" s="271"/>
      <c r="V152" s="271"/>
      <c r="W152" s="275"/>
      <c r="X152" s="271"/>
      <c r="Y152" s="221"/>
    </row>
    <row r="153" spans="2:25">
      <c r="B153" s="127" t="s">
        <v>285</v>
      </c>
      <c r="C153" s="55" t="str">
        <f>VLOOKUP(B153,'ccddd 1 col'!$B$2:$C$313,2,FALSE)</f>
        <v>Creston</v>
      </c>
      <c r="D153" s="128">
        <f>VLOOKUP(B153,'Biling Enroll 050714'!$A$4:$C$303,3,FALSE)</f>
        <v>0</v>
      </c>
      <c r="E153" s="454">
        <f>VLOOKUP(B153,'Title III 2013-14'!$A$2:$D$296,4,FALSE)</f>
        <v>0</v>
      </c>
      <c r="F153" s="454">
        <f>IFERROR(VLOOKUP(B153,'Native American 050714'!$A$2:$E$62,5,FALSE),0)</f>
        <v>0</v>
      </c>
      <c r="H153" s="57"/>
      <c r="I153" s="491">
        <f t="shared" si="2"/>
        <v>0</v>
      </c>
      <c r="M153" s="244"/>
      <c r="N153" s="3"/>
      <c r="O153" s="7"/>
      <c r="P153" s="7"/>
      <c r="Q153" s="271"/>
      <c r="R153" s="271"/>
      <c r="S153" s="271"/>
      <c r="T153" s="271"/>
      <c r="U153" s="271"/>
      <c r="V153" s="271"/>
      <c r="W153" s="275"/>
      <c r="X153" s="271"/>
      <c r="Y153" s="221"/>
    </row>
    <row r="154" spans="2:25">
      <c r="B154" s="127" t="s">
        <v>287</v>
      </c>
      <c r="C154" s="55" t="str">
        <f>VLOOKUP(B154,'ccddd 1 col'!$B$2:$C$313,2,FALSE)</f>
        <v>Odessa</v>
      </c>
      <c r="D154" s="128">
        <f>VLOOKUP(B154,'Biling Enroll 050714'!$A$4:$C$303,3,FALSE)</f>
        <v>0</v>
      </c>
      <c r="E154" s="454">
        <f>VLOOKUP(B154,'Title III 2013-14'!$A$2:$D$296,4,FALSE)</f>
        <v>0</v>
      </c>
      <c r="F154" s="454">
        <f>IFERROR(VLOOKUP(B154,'Native American 050714'!$A$2:$E$62,5,FALSE),0)</f>
        <v>0</v>
      </c>
      <c r="H154" s="57"/>
      <c r="I154" s="491">
        <f t="shared" si="2"/>
        <v>0</v>
      </c>
      <c r="M154" s="244"/>
      <c r="N154" s="3"/>
      <c r="O154" s="7"/>
      <c r="P154" s="7"/>
      <c r="Q154" s="271"/>
      <c r="R154" s="271"/>
      <c r="S154" s="271"/>
      <c r="T154" s="271"/>
      <c r="U154" s="271"/>
      <c r="V154" s="271"/>
      <c r="W154" s="275"/>
      <c r="X154" s="271"/>
      <c r="Y154" s="221"/>
    </row>
    <row r="155" spans="2:25">
      <c r="B155" s="127" t="s">
        <v>289</v>
      </c>
      <c r="C155" s="55" t="str">
        <f>VLOOKUP(B155,'ccddd 1 col'!$B$2:$C$313,2,FALSE)</f>
        <v>Wilbur</v>
      </c>
      <c r="D155" s="128">
        <f>VLOOKUP(B155,'Biling Enroll 050714'!$A$4:$C$303,3,FALSE)</f>
        <v>0</v>
      </c>
      <c r="E155" s="454">
        <f>VLOOKUP(B155,'Title III 2013-14'!$A$2:$D$296,4,FALSE)</f>
        <v>0</v>
      </c>
      <c r="F155" s="454">
        <f>IFERROR(VLOOKUP(B155,'Native American 050714'!$A$2:$E$62,5,FALSE),0)</f>
        <v>0</v>
      </c>
      <c r="H155" s="57"/>
      <c r="I155" s="491">
        <f t="shared" si="2"/>
        <v>0</v>
      </c>
      <c r="M155" s="244"/>
      <c r="N155" s="3"/>
      <c r="O155" s="7"/>
      <c r="P155" s="7"/>
      <c r="Q155" s="271"/>
      <c r="R155" s="271"/>
      <c r="S155" s="271"/>
      <c r="T155" s="271"/>
      <c r="U155" s="271"/>
      <c r="V155" s="271"/>
      <c r="W155" s="275"/>
      <c r="X155" s="271"/>
      <c r="Y155" s="221"/>
    </row>
    <row r="156" spans="2:25">
      <c r="B156" s="127" t="s">
        <v>291</v>
      </c>
      <c r="C156" s="55" t="str">
        <f>VLOOKUP(B156,'ccddd 1 col'!$B$2:$C$313,2,FALSE)</f>
        <v>Harrington</v>
      </c>
      <c r="D156" s="128">
        <f>VLOOKUP(B156,'Biling Enroll 050714'!$A$4:$C$303,3,FALSE)</f>
        <v>0</v>
      </c>
      <c r="E156" s="454">
        <f>VLOOKUP(B156,'Title III 2013-14'!$A$2:$D$296,4,FALSE)</f>
        <v>0</v>
      </c>
      <c r="F156" s="454">
        <f>IFERROR(VLOOKUP(B156,'Native American 050714'!$A$2:$E$62,5,FALSE),0)</f>
        <v>0</v>
      </c>
      <c r="H156" s="57"/>
      <c r="I156" s="491">
        <f t="shared" si="2"/>
        <v>0</v>
      </c>
      <c r="M156" s="244"/>
      <c r="N156" s="3"/>
      <c r="O156" s="7"/>
      <c r="P156" s="7"/>
      <c r="Q156" s="271"/>
      <c r="R156" s="271"/>
      <c r="S156" s="271"/>
      <c r="T156" s="271"/>
      <c r="U156" s="271"/>
      <c r="V156" s="271"/>
      <c r="W156" s="275"/>
      <c r="X156" s="271"/>
      <c r="Y156" s="221"/>
    </row>
    <row r="157" spans="2:25">
      <c r="B157" s="127" t="s">
        <v>293</v>
      </c>
      <c r="C157" s="55" t="str">
        <f>VLOOKUP(B157,'ccddd 1 col'!$B$2:$C$313,2,FALSE)</f>
        <v>Davenport</v>
      </c>
      <c r="D157" s="128">
        <f>VLOOKUP(B157,'Biling Enroll 050714'!$A$4:$C$303,3,FALSE)</f>
        <v>0</v>
      </c>
      <c r="E157" s="454">
        <f>VLOOKUP(B157,'Title III 2013-14'!$A$2:$D$296,4,FALSE)</f>
        <v>0</v>
      </c>
      <c r="F157" s="454">
        <f>IFERROR(VLOOKUP(B157,'Native American 050714'!$A$2:$E$62,5,FALSE),0)</f>
        <v>0</v>
      </c>
      <c r="H157" s="57"/>
      <c r="I157" s="491">
        <f t="shared" si="2"/>
        <v>0</v>
      </c>
      <c r="M157" s="244"/>
      <c r="N157" s="3"/>
      <c r="O157" s="7"/>
      <c r="P157" s="7"/>
      <c r="Q157" s="271"/>
      <c r="R157" s="271"/>
      <c r="S157" s="271"/>
      <c r="T157" s="271"/>
      <c r="U157" s="271"/>
      <c r="V157" s="271"/>
      <c r="W157" s="275"/>
      <c r="X157" s="271"/>
      <c r="Y157" s="221"/>
    </row>
    <row r="158" spans="2:25">
      <c r="B158" s="127" t="s">
        <v>295</v>
      </c>
      <c r="C158" s="55" t="str">
        <f>VLOOKUP(B158,'ccddd 1 col'!$B$2:$C$313,2,FALSE)</f>
        <v>Southside</v>
      </c>
      <c r="D158" s="128">
        <f>VLOOKUP(B158,'Biling Enroll 050714'!$A$4:$C$303,3,FALSE)</f>
        <v>2.29</v>
      </c>
      <c r="E158" s="454">
        <f>VLOOKUP(B158,'Title III 2013-14'!$A$2:$D$296,4,FALSE)</f>
        <v>0</v>
      </c>
      <c r="F158" s="454">
        <f>IFERROR(VLOOKUP(B158,'Native American 050714'!$A$2:$E$62,5,FALSE),0)</f>
        <v>0</v>
      </c>
      <c r="H158" s="57"/>
      <c r="I158" s="491">
        <f t="shared" si="2"/>
        <v>2.29</v>
      </c>
      <c r="M158" s="244"/>
      <c r="N158" s="3"/>
      <c r="O158" s="7"/>
      <c r="P158" s="7"/>
      <c r="Q158" s="271"/>
      <c r="R158" s="271"/>
      <c r="S158" s="271"/>
      <c r="T158" s="271"/>
      <c r="U158" s="271"/>
      <c r="V158" s="271"/>
      <c r="W158" s="275"/>
      <c r="X158" s="271"/>
      <c r="Y158" s="221"/>
    </row>
    <row r="159" spans="2:25">
      <c r="B159" s="127" t="s">
        <v>297</v>
      </c>
      <c r="C159" s="55" t="str">
        <f>VLOOKUP(B159,'ccddd 1 col'!$B$2:$C$313,2,FALSE)</f>
        <v>Grapeview</v>
      </c>
      <c r="D159" s="128">
        <f>VLOOKUP(B159,'Biling Enroll 050714'!$A$4:$C$303,3,FALSE)</f>
        <v>0</v>
      </c>
      <c r="E159" s="454">
        <f>VLOOKUP(B159,'Title III 2013-14'!$A$2:$D$296,4,FALSE)</f>
        <v>0</v>
      </c>
      <c r="F159" s="454">
        <f>IFERROR(VLOOKUP(B159,'Native American 050714'!$A$2:$E$62,5,FALSE),0)</f>
        <v>0</v>
      </c>
      <c r="H159" s="57"/>
      <c r="I159" s="491">
        <f t="shared" si="2"/>
        <v>0</v>
      </c>
      <c r="M159" s="244"/>
      <c r="N159" s="3"/>
      <c r="O159" s="7"/>
      <c r="P159" s="7"/>
      <c r="Q159" s="271"/>
      <c r="R159" s="271"/>
      <c r="S159" s="271"/>
      <c r="T159" s="271"/>
      <c r="U159" s="271"/>
      <c r="V159" s="271"/>
      <c r="W159" s="275"/>
      <c r="X159" s="271"/>
      <c r="Y159" s="221"/>
    </row>
    <row r="160" spans="2:25">
      <c r="B160" s="127" t="s">
        <v>299</v>
      </c>
      <c r="C160" s="55" t="str">
        <f>VLOOKUP(B160,'ccddd 1 col'!$B$2:$C$313,2,FALSE)</f>
        <v>Shelton</v>
      </c>
      <c r="D160" s="128">
        <f>VLOOKUP(B160,'Biling Enroll 050714'!$A$4:$C$303,3,FALSE)</f>
        <v>390</v>
      </c>
      <c r="E160" s="454">
        <f>VLOOKUP(B160,'Title III 2013-14'!$A$2:$D$296,4,FALSE)</f>
        <v>0</v>
      </c>
      <c r="F160" s="454">
        <f>IFERROR(VLOOKUP(B160,'Native American 050714'!$A$2:$E$62,5,FALSE),0)</f>
        <v>0</v>
      </c>
      <c r="H160" s="57"/>
      <c r="I160" s="491">
        <f t="shared" si="2"/>
        <v>390</v>
      </c>
      <c r="M160" s="244"/>
      <c r="N160" s="3"/>
      <c r="O160" s="7"/>
      <c r="P160" s="7"/>
      <c r="Q160" s="271"/>
      <c r="R160" s="271"/>
      <c r="S160" s="271"/>
      <c r="T160" s="271"/>
      <c r="U160" s="271"/>
      <c r="V160" s="271"/>
      <c r="W160" s="275"/>
      <c r="X160" s="271"/>
      <c r="Y160" s="221"/>
    </row>
    <row r="161" spans="2:25">
      <c r="B161" s="127" t="s">
        <v>301</v>
      </c>
      <c r="C161" s="55" t="str">
        <f>VLOOKUP(B161,'ccddd 1 col'!$B$2:$C$313,2,FALSE)</f>
        <v>Mary M Knight</v>
      </c>
      <c r="D161" s="128">
        <f>VLOOKUP(B161,'Biling Enroll 050714'!$A$4:$C$303,3,FALSE)</f>
        <v>0</v>
      </c>
      <c r="E161" s="454">
        <f>VLOOKUP(B161,'Title III 2013-14'!$A$2:$D$296,4,FALSE)</f>
        <v>0</v>
      </c>
      <c r="F161" s="454">
        <f>IFERROR(VLOOKUP(B161,'Native American 050714'!$A$2:$E$62,5,FALSE),0)</f>
        <v>0</v>
      </c>
      <c r="H161" s="57"/>
      <c r="I161" s="491">
        <f t="shared" si="2"/>
        <v>0</v>
      </c>
      <c r="M161" s="244"/>
      <c r="N161" s="3"/>
      <c r="O161" s="7"/>
      <c r="P161" s="7"/>
      <c r="Q161" s="271"/>
      <c r="R161" s="271"/>
      <c r="S161" s="271"/>
      <c r="T161" s="271"/>
      <c r="U161" s="271"/>
      <c r="V161" s="271"/>
      <c r="W161" s="275"/>
      <c r="X161" s="271"/>
      <c r="Y161" s="221"/>
    </row>
    <row r="162" spans="2:25">
      <c r="B162" s="127" t="s">
        <v>303</v>
      </c>
      <c r="C162" s="55" t="str">
        <f>VLOOKUP(B162,'ccddd 1 col'!$B$2:$C$313,2,FALSE)</f>
        <v>Pioneer</v>
      </c>
      <c r="D162" s="128">
        <f>VLOOKUP(B162,'Biling Enroll 050714'!$A$4:$C$303,3,FALSE)</f>
        <v>0</v>
      </c>
      <c r="E162" s="454">
        <f>VLOOKUP(B162,'Title III 2013-14'!$A$2:$D$296,4,FALSE)</f>
        <v>0</v>
      </c>
      <c r="F162" s="454">
        <f>IFERROR(VLOOKUP(B162,'Native American 050714'!$A$2:$E$62,5,FALSE),0)</f>
        <v>0</v>
      </c>
      <c r="H162" s="57"/>
      <c r="I162" s="491">
        <f t="shared" si="2"/>
        <v>0</v>
      </c>
      <c r="M162" s="244"/>
      <c r="N162" s="3"/>
      <c r="O162" s="7"/>
      <c r="P162" s="7"/>
      <c r="Q162" s="271"/>
      <c r="R162" s="271"/>
      <c r="S162" s="271"/>
      <c r="T162" s="271"/>
      <c r="U162" s="271"/>
      <c r="V162" s="271"/>
      <c r="W162" s="275"/>
      <c r="X162" s="271"/>
      <c r="Y162" s="221"/>
    </row>
    <row r="163" spans="2:25">
      <c r="B163" s="127" t="s">
        <v>305</v>
      </c>
      <c r="C163" s="55" t="str">
        <f>VLOOKUP(B163,'ccddd 1 col'!$B$2:$C$313,2,FALSE)</f>
        <v>North Mason</v>
      </c>
      <c r="D163" s="128">
        <f>VLOOKUP(B163,'Biling Enroll 050714'!$A$4:$C$303,3,FALSE)</f>
        <v>141</v>
      </c>
      <c r="E163" s="454">
        <f>VLOOKUP(B163,'Title III 2013-14'!$A$2:$D$296,4,FALSE)</f>
        <v>0</v>
      </c>
      <c r="F163" s="454">
        <f>IFERROR(VLOOKUP(B163,'Native American 050714'!$A$2:$E$62,5,FALSE),0)</f>
        <v>0</v>
      </c>
      <c r="H163" s="57"/>
      <c r="I163" s="491">
        <f t="shared" si="2"/>
        <v>141</v>
      </c>
      <c r="M163" s="244"/>
      <c r="N163" s="3"/>
      <c r="O163" s="7"/>
      <c r="P163" s="7"/>
      <c r="Q163" s="271"/>
      <c r="R163" s="271"/>
      <c r="S163" s="271"/>
      <c r="T163" s="271"/>
      <c r="U163" s="271"/>
      <c r="V163" s="271"/>
      <c r="W163" s="275"/>
      <c r="X163" s="271"/>
      <c r="Y163" s="221"/>
    </row>
    <row r="164" spans="2:25">
      <c r="B164" s="127" t="s">
        <v>307</v>
      </c>
      <c r="C164" s="55" t="str">
        <f>VLOOKUP(B164,'ccddd 1 col'!$B$2:$C$313,2,FALSE)</f>
        <v>Hood Canal</v>
      </c>
      <c r="D164" s="128">
        <f>VLOOKUP(B164,'Biling Enroll 050714'!$A$4:$C$303,3,FALSE)</f>
        <v>0</v>
      </c>
      <c r="E164" s="454">
        <f>VLOOKUP(B164,'Title III 2013-14'!$A$2:$D$296,4,FALSE)</f>
        <v>0</v>
      </c>
      <c r="F164" s="454">
        <f>IFERROR(VLOOKUP(B164,'Native American 050714'!$A$2:$E$62,5,FALSE),0)</f>
        <v>0</v>
      </c>
      <c r="H164" s="57"/>
      <c r="I164" s="491">
        <f t="shared" si="2"/>
        <v>0</v>
      </c>
      <c r="M164" s="244"/>
      <c r="N164" s="3"/>
      <c r="O164" s="7"/>
      <c r="P164" s="7"/>
      <c r="Q164" s="271"/>
      <c r="R164" s="271"/>
      <c r="S164" s="271"/>
      <c r="T164" s="271"/>
      <c r="U164" s="271"/>
      <c r="V164" s="271"/>
      <c r="W164" s="275"/>
      <c r="X164" s="271"/>
      <c r="Y164" s="221"/>
    </row>
    <row r="165" spans="2:25">
      <c r="B165" s="127" t="s">
        <v>309</v>
      </c>
      <c r="C165" s="55" t="str">
        <f>VLOOKUP(B165,'ccddd 1 col'!$B$2:$C$313,2,FALSE)</f>
        <v>Nespelem</v>
      </c>
      <c r="D165" s="128">
        <f>VLOOKUP(B165,'Biling Enroll 050714'!$A$4:$C$303,3,FALSE)</f>
        <v>0</v>
      </c>
      <c r="E165" s="454">
        <f>VLOOKUP(B165,'Title III 2013-14'!$A$2:$D$296,4,FALSE)</f>
        <v>0</v>
      </c>
      <c r="F165" s="454">
        <f>IFERROR(VLOOKUP(B165,'Native American 050714'!$A$2:$E$62,5,FALSE),0)</f>
        <v>80</v>
      </c>
      <c r="H165" s="57"/>
      <c r="I165" s="491">
        <f t="shared" si="2"/>
        <v>80</v>
      </c>
      <c r="M165" s="244"/>
      <c r="N165" s="3"/>
      <c r="O165" s="7"/>
      <c r="P165" s="7"/>
      <c r="Q165" s="271"/>
      <c r="R165" s="271"/>
      <c r="S165" s="271"/>
      <c r="T165" s="271"/>
      <c r="U165" s="271"/>
      <c r="V165" s="271"/>
      <c r="W165" s="275"/>
      <c r="X165" s="271"/>
      <c r="Y165" s="221"/>
    </row>
    <row r="166" spans="2:25">
      <c r="B166" s="127" t="s">
        <v>311</v>
      </c>
      <c r="C166" s="55" t="str">
        <f>VLOOKUP(B166,'ccddd 1 col'!$B$2:$C$313,2,FALSE)</f>
        <v>Omak</v>
      </c>
      <c r="D166" s="128">
        <f>VLOOKUP(B166,'Biling Enroll 050714'!$A$4:$C$303,3,FALSE)</f>
        <v>106.29</v>
      </c>
      <c r="E166" s="454">
        <f>VLOOKUP(B166,'Title III 2013-14'!$A$2:$D$296,4,FALSE)</f>
        <v>0</v>
      </c>
      <c r="F166" s="454">
        <f>IFERROR(VLOOKUP(B166,'Native American 050714'!$A$2:$E$62,5,FALSE),0)</f>
        <v>0</v>
      </c>
      <c r="H166" s="57"/>
      <c r="I166" s="491">
        <f t="shared" si="2"/>
        <v>106.29</v>
      </c>
      <c r="M166" s="244"/>
      <c r="N166" s="3"/>
      <c r="O166" s="7"/>
      <c r="P166" s="7"/>
      <c r="Q166" s="271"/>
      <c r="R166" s="271"/>
      <c r="S166" s="271"/>
      <c r="T166" s="271"/>
      <c r="U166" s="271"/>
      <c r="V166" s="271"/>
      <c r="W166" s="275"/>
      <c r="X166" s="271"/>
      <c r="Y166" s="221"/>
    </row>
    <row r="167" spans="2:25">
      <c r="B167" s="127" t="s">
        <v>313</v>
      </c>
      <c r="C167" s="55" t="str">
        <f>VLOOKUP(B167,'ccddd 1 col'!$B$2:$C$313,2,FALSE)</f>
        <v>Okanogan</v>
      </c>
      <c r="D167" s="128">
        <f>VLOOKUP(B167,'Biling Enroll 050714'!$A$4:$C$303,3,FALSE)</f>
        <v>94.57</v>
      </c>
      <c r="E167" s="454">
        <f>VLOOKUP(B167,'Title III 2013-14'!$A$2:$D$296,4,FALSE)</f>
        <v>0</v>
      </c>
      <c r="F167" s="454">
        <f>IFERROR(VLOOKUP(B167,'Native American 050714'!$A$2:$E$62,5,FALSE),0)</f>
        <v>0</v>
      </c>
      <c r="H167" s="57"/>
      <c r="I167" s="491">
        <f t="shared" si="2"/>
        <v>94.57</v>
      </c>
      <c r="M167" s="244"/>
      <c r="N167" s="3"/>
      <c r="O167" s="7"/>
      <c r="P167" s="7"/>
      <c r="Q167" s="271"/>
      <c r="R167" s="271"/>
      <c r="S167" s="271"/>
      <c r="T167" s="271"/>
      <c r="U167" s="271"/>
      <c r="V167" s="271"/>
      <c r="W167" s="275"/>
      <c r="X167" s="271"/>
      <c r="Y167" s="221"/>
    </row>
    <row r="168" spans="2:25">
      <c r="B168" s="127" t="s">
        <v>315</v>
      </c>
      <c r="C168" s="55" t="str">
        <f>VLOOKUP(B168,'ccddd 1 col'!$B$2:$C$313,2,FALSE)</f>
        <v>Brewster</v>
      </c>
      <c r="D168" s="128">
        <f>VLOOKUP(B168,'Biling Enroll 050714'!$A$4:$C$303,3,FALSE)</f>
        <v>446.86</v>
      </c>
      <c r="E168" s="454">
        <f>VLOOKUP(B168,'Title III 2013-14'!$A$2:$D$296,4,FALSE)</f>
        <v>0</v>
      </c>
      <c r="F168" s="454">
        <f>IFERROR(VLOOKUP(B168,'Native American 050714'!$A$2:$E$62,5,FALSE),0)</f>
        <v>0</v>
      </c>
      <c r="H168" s="57"/>
      <c r="I168" s="491">
        <f t="shared" si="2"/>
        <v>446.86</v>
      </c>
      <c r="M168" s="244"/>
      <c r="N168" s="3"/>
      <c r="O168" s="7"/>
      <c r="P168" s="7"/>
      <c r="Q168" s="271"/>
      <c r="R168" s="271"/>
      <c r="S168" s="271"/>
      <c r="T168" s="271"/>
      <c r="U168" s="271"/>
      <c r="V168" s="271"/>
      <c r="W168" s="275"/>
      <c r="X168" s="271"/>
      <c r="Y168" s="221"/>
    </row>
    <row r="169" spans="2:25">
      <c r="B169" s="127" t="s">
        <v>317</v>
      </c>
      <c r="C169" s="55" t="str">
        <f>VLOOKUP(B169,'ccddd 1 col'!$B$2:$C$313,2,FALSE)</f>
        <v>Pateros</v>
      </c>
      <c r="D169" s="128">
        <f>VLOOKUP(B169,'Biling Enroll 050714'!$A$4:$C$303,3,FALSE)</f>
        <v>33.86</v>
      </c>
      <c r="E169" s="454">
        <f>VLOOKUP(B169,'Title III 2013-14'!$A$2:$D$296,4,FALSE)</f>
        <v>0</v>
      </c>
      <c r="F169" s="454">
        <f>IFERROR(VLOOKUP(B169,'Native American 050714'!$A$2:$E$62,5,FALSE),0)</f>
        <v>0</v>
      </c>
      <c r="H169" s="57"/>
      <c r="I169" s="491">
        <f t="shared" si="2"/>
        <v>33.86</v>
      </c>
      <c r="M169" s="244"/>
      <c r="N169" s="3"/>
      <c r="O169" s="7"/>
      <c r="P169" s="7"/>
      <c r="Q169" s="271"/>
      <c r="R169" s="271"/>
      <c r="S169" s="271"/>
      <c r="T169" s="271"/>
      <c r="U169" s="271"/>
      <c r="V169" s="271"/>
      <c r="W169" s="275"/>
      <c r="X169" s="271"/>
      <c r="Y169" s="221"/>
    </row>
    <row r="170" spans="2:25">
      <c r="B170" s="127" t="s">
        <v>319</v>
      </c>
      <c r="C170" s="55" t="str">
        <f>VLOOKUP(B170,'ccddd 1 col'!$B$2:$C$313,2,FALSE)</f>
        <v>Methow Valley</v>
      </c>
      <c r="D170" s="128">
        <f>VLOOKUP(B170,'Biling Enroll 050714'!$A$4:$C$303,3,FALSE)</f>
        <v>4.29</v>
      </c>
      <c r="E170" s="454">
        <f>VLOOKUP(B170,'Title III 2013-14'!$A$2:$D$296,4,FALSE)</f>
        <v>0</v>
      </c>
      <c r="F170" s="454">
        <f>IFERROR(VLOOKUP(B170,'Native American 050714'!$A$2:$E$62,5,FALSE),0)</f>
        <v>1</v>
      </c>
      <c r="H170" s="57"/>
      <c r="I170" s="491">
        <f t="shared" si="2"/>
        <v>5.29</v>
      </c>
      <c r="M170" s="244"/>
      <c r="N170" s="3"/>
      <c r="O170" s="7"/>
      <c r="P170" s="7"/>
      <c r="Q170" s="271"/>
      <c r="R170" s="271"/>
      <c r="S170" s="271"/>
      <c r="T170" s="271"/>
      <c r="U170" s="271"/>
      <c r="V170" s="271"/>
      <c r="W170" s="275"/>
      <c r="X170" s="271"/>
      <c r="Y170" s="221"/>
    </row>
    <row r="171" spans="2:25">
      <c r="B171" s="127" t="s">
        <v>321</v>
      </c>
      <c r="C171" s="55" t="str">
        <f>VLOOKUP(B171,'ccddd 1 col'!$B$2:$C$313,2,FALSE)</f>
        <v>Tonasket</v>
      </c>
      <c r="D171" s="128">
        <f>VLOOKUP(B171,'Biling Enroll 050714'!$A$4:$C$303,3,FALSE)</f>
        <v>172.71</v>
      </c>
      <c r="E171" s="454">
        <f>VLOOKUP(B171,'Title III 2013-14'!$A$2:$D$296,4,FALSE)</f>
        <v>1</v>
      </c>
      <c r="F171" s="454">
        <f>IFERROR(VLOOKUP(B171,'Native American 050714'!$A$2:$E$62,5,FALSE),0)</f>
        <v>0</v>
      </c>
      <c r="H171" s="57"/>
      <c r="I171" s="491">
        <f t="shared" si="2"/>
        <v>173.71</v>
      </c>
      <c r="M171" s="244"/>
      <c r="N171" s="3"/>
      <c r="O171" s="7"/>
      <c r="P171" s="7"/>
      <c r="Q171" s="271"/>
      <c r="R171" s="271"/>
      <c r="S171" s="271"/>
      <c r="T171" s="271"/>
      <c r="U171" s="271"/>
      <c r="V171" s="271"/>
      <c r="W171" s="275"/>
      <c r="X171" s="271"/>
      <c r="Y171" s="221"/>
    </row>
    <row r="172" spans="2:25">
      <c r="B172" s="127" t="s">
        <v>323</v>
      </c>
      <c r="C172" s="55" t="str">
        <f>VLOOKUP(B172,'ccddd 1 col'!$B$2:$C$313,2,FALSE)</f>
        <v>Oroville</v>
      </c>
      <c r="D172" s="128">
        <f>VLOOKUP(B172,'Biling Enroll 050714'!$A$4:$C$303,3,FALSE)</f>
        <v>91.29</v>
      </c>
      <c r="E172" s="454">
        <f>VLOOKUP(B172,'Title III 2013-14'!$A$2:$D$296,4,FALSE)</f>
        <v>0</v>
      </c>
      <c r="F172" s="454">
        <f>IFERROR(VLOOKUP(B172,'Native American 050714'!$A$2:$E$62,5,FALSE),0)</f>
        <v>0</v>
      </c>
      <c r="H172" s="57"/>
      <c r="I172" s="491">
        <f t="shared" si="2"/>
        <v>91.29</v>
      </c>
      <c r="M172" s="244"/>
      <c r="N172" s="3"/>
      <c r="O172" s="7"/>
      <c r="P172" s="7"/>
      <c r="Q172" s="271"/>
      <c r="R172" s="271"/>
      <c r="S172" s="271"/>
      <c r="T172" s="271"/>
      <c r="U172" s="271"/>
      <c r="V172" s="271"/>
      <c r="W172" s="275"/>
      <c r="X172" s="271"/>
      <c r="Y172" s="221"/>
    </row>
    <row r="173" spans="2:25">
      <c r="B173" s="127" t="s">
        <v>325</v>
      </c>
      <c r="C173" s="55" t="str">
        <f>VLOOKUP(B173,'ccddd 1 col'!$B$2:$C$313,2,FALSE)</f>
        <v>Ocean Beach</v>
      </c>
      <c r="D173" s="128">
        <f>VLOOKUP(B173,'Biling Enroll 050714'!$A$4:$C$303,3,FALSE)</f>
        <v>53</v>
      </c>
      <c r="E173" s="454">
        <f>VLOOKUP(B173,'Title III 2013-14'!$A$2:$D$296,4,FALSE)</f>
        <v>0</v>
      </c>
      <c r="F173" s="454">
        <f>IFERROR(VLOOKUP(B173,'Native American 050714'!$A$2:$E$62,5,FALSE),0)</f>
        <v>7</v>
      </c>
      <c r="H173" s="57"/>
      <c r="I173" s="491">
        <f t="shared" si="2"/>
        <v>60</v>
      </c>
      <c r="M173" s="244"/>
      <c r="N173" s="3"/>
      <c r="O173" s="7"/>
      <c r="P173" s="7"/>
      <c r="Q173" s="271"/>
      <c r="R173" s="271"/>
      <c r="S173" s="271"/>
      <c r="T173" s="271"/>
      <c r="U173" s="271"/>
      <c r="V173" s="271"/>
      <c r="W173" s="275"/>
      <c r="X173" s="271"/>
      <c r="Y173" s="221"/>
    </row>
    <row r="174" spans="2:25">
      <c r="B174" s="127" t="s">
        <v>327</v>
      </c>
      <c r="C174" s="55" t="str">
        <f>VLOOKUP(B174,'ccddd 1 col'!$B$2:$C$313,2,FALSE)</f>
        <v>Raymond</v>
      </c>
      <c r="D174" s="128">
        <f>VLOOKUP(B174,'Biling Enroll 050714'!$A$4:$C$303,3,FALSE)</f>
        <v>70.14</v>
      </c>
      <c r="E174" s="454">
        <f>VLOOKUP(B174,'Title III 2013-14'!$A$2:$D$296,4,FALSE)</f>
        <v>0</v>
      </c>
      <c r="F174" s="454">
        <f>IFERROR(VLOOKUP(B174,'Native American 050714'!$A$2:$E$62,5,FALSE),0)</f>
        <v>0</v>
      </c>
      <c r="H174" s="57"/>
      <c r="I174" s="491">
        <f t="shared" si="2"/>
        <v>70.14</v>
      </c>
      <c r="M174" s="244"/>
      <c r="N174" s="3"/>
      <c r="O174" s="7"/>
      <c r="P174" s="7"/>
      <c r="Q174" s="271"/>
      <c r="R174" s="271"/>
      <c r="S174" s="271"/>
      <c r="T174" s="271"/>
      <c r="U174" s="271"/>
      <c r="V174" s="271"/>
      <c r="W174" s="275"/>
      <c r="X174" s="271"/>
      <c r="Y174" s="221"/>
    </row>
    <row r="175" spans="2:25">
      <c r="B175" s="127" t="s">
        <v>329</v>
      </c>
      <c r="C175" s="55" t="str">
        <f>VLOOKUP(B175,'ccddd 1 col'!$B$2:$C$313,2,FALSE)</f>
        <v>South Bend</v>
      </c>
      <c r="D175" s="128">
        <f>VLOOKUP(B175,'Biling Enroll 050714'!$A$4:$C$303,3,FALSE)</f>
        <v>86.71</v>
      </c>
      <c r="E175" s="454">
        <f>VLOOKUP(B175,'Title III 2013-14'!$A$2:$D$296,4,FALSE)</f>
        <v>0</v>
      </c>
      <c r="F175" s="454">
        <f>IFERROR(VLOOKUP(B175,'Native American 050714'!$A$2:$E$62,5,FALSE),0)</f>
        <v>2</v>
      </c>
      <c r="H175" s="57"/>
      <c r="I175" s="491">
        <f t="shared" si="2"/>
        <v>88.71</v>
      </c>
      <c r="M175" s="244"/>
      <c r="N175" s="3"/>
      <c r="O175" s="7"/>
      <c r="P175" s="7"/>
      <c r="Q175" s="271"/>
      <c r="R175" s="271"/>
      <c r="S175" s="271"/>
      <c r="T175" s="271"/>
      <c r="U175" s="271"/>
      <c r="V175" s="271"/>
      <c r="W175" s="275"/>
      <c r="X175" s="271"/>
      <c r="Y175" s="221"/>
    </row>
    <row r="176" spans="2:25">
      <c r="B176" s="127" t="s">
        <v>331</v>
      </c>
      <c r="C176" s="55" t="str">
        <f>VLOOKUP(B176,'ccddd 1 col'!$B$2:$C$313,2,FALSE)</f>
        <v>Naselle Grays Riv</v>
      </c>
      <c r="D176" s="128">
        <f>VLOOKUP(B176,'Biling Enroll 050714'!$A$4:$C$303,3,FALSE)</f>
        <v>11</v>
      </c>
      <c r="E176" s="454">
        <f>VLOOKUP(B176,'Title III 2013-14'!$A$2:$D$296,4,FALSE)</f>
        <v>0</v>
      </c>
      <c r="F176" s="454">
        <f>IFERROR(VLOOKUP(B176,'Native American 050714'!$A$2:$E$62,5,FALSE),0)</f>
        <v>0</v>
      </c>
      <c r="H176" s="57"/>
      <c r="I176" s="491">
        <f t="shared" si="2"/>
        <v>11</v>
      </c>
      <c r="M176" s="244"/>
      <c r="N176" s="3"/>
      <c r="O176" s="7"/>
      <c r="P176" s="7"/>
      <c r="Q176" s="271"/>
      <c r="R176" s="271"/>
      <c r="S176" s="271"/>
      <c r="T176" s="271"/>
      <c r="U176" s="271"/>
      <c r="V176" s="271"/>
      <c r="W176" s="275"/>
      <c r="X176" s="271"/>
      <c r="Y176" s="221"/>
    </row>
    <row r="177" spans="2:25">
      <c r="B177" s="127" t="s">
        <v>332</v>
      </c>
      <c r="C177" s="55" t="str">
        <f>VLOOKUP(B177,'ccddd 1 col'!$B$2:$C$313,2,FALSE)</f>
        <v>Willapa Valley</v>
      </c>
      <c r="D177" s="128">
        <f>VLOOKUP(B177,'Biling Enroll 050714'!$A$4:$C$303,3,FALSE)</f>
        <v>6.86</v>
      </c>
      <c r="E177" s="454">
        <f>VLOOKUP(B177,'Title III 2013-14'!$A$2:$D$296,4,FALSE)</f>
        <v>0</v>
      </c>
      <c r="F177" s="454">
        <f>IFERROR(VLOOKUP(B177,'Native American 050714'!$A$2:$E$62,5,FALSE),0)</f>
        <v>0</v>
      </c>
      <c r="H177" s="57"/>
      <c r="I177" s="491">
        <f t="shared" si="2"/>
        <v>6.86</v>
      </c>
      <c r="M177" s="244"/>
      <c r="N177" s="3"/>
      <c r="O177" s="7"/>
      <c r="P177" s="7"/>
      <c r="Q177" s="271"/>
      <c r="R177" s="271"/>
      <c r="S177" s="271"/>
      <c r="T177" s="271"/>
      <c r="U177" s="271"/>
      <c r="V177" s="271"/>
      <c r="W177" s="275"/>
      <c r="X177" s="271"/>
      <c r="Y177" s="221"/>
    </row>
    <row r="178" spans="2:25">
      <c r="B178" s="127" t="s">
        <v>334</v>
      </c>
      <c r="C178" s="55" t="str">
        <f>VLOOKUP(B178,'ccddd 1 col'!$B$2:$C$313,2,FALSE)</f>
        <v>North River</v>
      </c>
      <c r="D178" s="128">
        <f>VLOOKUP(B178,'Biling Enroll 050714'!$A$4:$C$303,3,FALSE)</f>
        <v>0</v>
      </c>
      <c r="E178" s="454">
        <f>VLOOKUP(B178,'Title III 2013-14'!$A$2:$D$296,4,FALSE)</f>
        <v>0</v>
      </c>
      <c r="F178" s="454">
        <f>IFERROR(VLOOKUP(B178,'Native American 050714'!$A$2:$E$62,5,FALSE),0)</f>
        <v>0</v>
      </c>
      <c r="H178" s="57"/>
      <c r="I178" s="491">
        <f t="shared" si="2"/>
        <v>0</v>
      </c>
      <c r="M178" s="244"/>
      <c r="N178" s="3"/>
      <c r="O178" s="7"/>
      <c r="P178" s="7"/>
      <c r="Q178" s="271"/>
      <c r="R178" s="271"/>
      <c r="S178" s="271"/>
      <c r="T178" s="271"/>
      <c r="U178" s="271"/>
      <c r="V178" s="271"/>
      <c r="W178" s="275"/>
      <c r="X178" s="271"/>
      <c r="Y178" s="221"/>
    </row>
    <row r="179" spans="2:25">
      <c r="B179" s="127" t="s">
        <v>336</v>
      </c>
      <c r="C179" s="55" t="str">
        <f>VLOOKUP(B179,'ccddd 1 col'!$B$2:$C$313,2,FALSE)</f>
        <v>Newport</v>
      </c>
      <c r="D179" s="128">
        <f>VLOOKUP(B179,'Biling Enroll 050714'!$A$4:$C$303,3,FALSE)</f>
        <v>0.14000000000000001</v>
      </c>
      <c r="E179" s="454">
        <f>VLOOKUP(B179,'Title III 2013-14'!$A$2:$D$296,4,FALSE)</f>
        <v>0</v>
      </c>
      <c r="F179" s="454">
        <f>IFERROR(VLOOKUP(B179,'Native American 050714'!$A$2:$E$62,5,FALSE),0)</f>
        <v>0</v>
      </c>
      <c r="H179" s="57"/>
      <c r="I179" s="491">
        <f t="shared" si="2"/>
        <v>0.14000000000000001</v>
      </c>
      <c r="M179" s="244"/>
      <c r="N179" s="3"/>
      <c r="O179" s="7"/>
      <c r="P179" s="7"/>
      <c r="Q179" s="271"/>
      <c r="R179" s="271"/>
      <c r="S179" s="271"/>
      <c r="T179" s="271"/>
      <c r="U179" s="271"/>
      <c r="V179" s="271"/>
      <c r="W179" s="275"/>
      <c r="X179" s="271"/>
      <c r="Y179" s="221"/>
    </row>
    <row r="180" spans="2:25">
      <c r="B180" s="127" t="s">
        <v>338</v>
      </c>
      <c r="C180" s="55" t="str">
        <f>VLOOKUP(B180,'ccddd 1 col'!$B$2:$C$313,2,FALSE)</f>
        <v>Cusick</v>
      </c>
      <c r="D180" s="128">
        <f>VLOOKUP(B180,'Biling Enroll 050714'!$A$4:$C$303,3,FALSE)</f>
        <v>0</v>
      </c>
      <c r="E180" s="454">
        <f>VLOOKUP(B180,'Title III 2013-14'!$A$2:$D$296,4,FALSE)</f>
        <v>0</v>
      </c>
      <c r="F180" s="454">
        <f>IFERROR(VLOOKUP(B180,'Native American 050714'!$A$2:$E$62,5,FALSE),0)</f>
        <v>0</v>
      </c>
      <c r="H180" s="57"/>
      <c r="I180" s="491">
        <f t="shared" si="2"/>
        <v>0</v>
      </c>
      <c r="M180" s="244"/>
      <c r="N180" s="3"/>
      <c r="O180" s="7"/>
      <c r="P180" s="7"/>
      <c r="Q180" s="271"/>
      <c r="R180" s="271"/>
      <c r="S180" s="271"/>
      <c r="T180" s="271"/>
      <c r="U180" s="271"/>
      <c r="V180" s="271"/>
      <c r="W180" s="275"/>
      <c r="X180" s="271"/>
      <c r="Y180" s="221"/>
    </row>
    <row r="181" spans="2:25">
      <c r="B181" s="127" t="s">
        <v>340</v>
      </c>
      <c r="C181" s="55" t="str">
        <f>VLOOKUP(B181,'ccddd 1 col'!$B$2:$C$313,2,FALSE)</f>
        <v>Selkirk</v>
      </c>
      <c r="D181" s="128">
        <f>VLOOKUP(B181,'Biling Enroll 050714'!$A$4:$C$303,3,FALSE)</f>
        <v>0</v>
      </c>
      <c r="E181" s="454">
        <f>VLOOKUP(B181,'Title III 2013-14'!$A$2:$D$296,4,FALSE)</f>
        <v>0</v>
      </c>
      <c r="F181" s="454">
        <f>IFERROR(VLOOKUP(B181,'Native American 050714'!$A$2:$E$62,5,FALSE),0)</f>
        <v>0</v>
      </c>
      <c r="H181" s="57"/>
      <c r="I181" s="491">
        <f t="shared" si="2"/>
        <v>0</v>
      </c>
      <c r="M181" s="244"/>
      <c r="N181" s="3"/>
      <c r="O181" s="7"/>
      <c r="P181" s="7"/>
      <c r="Q181" s="271"/>
      <c r="R181" s="271"/>
      <c r="S181" s="271"/>
      <c r="T181" s="271"/>
      <c r="U181" s="271"/>
      <c r="V181" s="271"/>
      <c r="W181" s="275"/>
      <c r="X181" s="271"/>
      <c r="Y181" s="221"/>
    </row>
    <row r="182" spans="2:25">
      <c r="B182" s="127" t="s">
        <v>342</v>
      </c>
      <c r="C182" s="55" t="str">
        <f>VLOOKUP(B182,'ccddd 1 col'!$B$2:$C$313,2,FALSE)</f>
        <v>Steilacoom Hist.</v>
      </c>
      <c r="D182" s="128">
        <f>VLOOKUP(B182,'Biling Enroll 050714'!$A$4:$C$303,3,FALSE)</f>
        <v>69.569999999999993</v>
      </c>
      <c r="E182" s="454">
        <f>VLOOKUP(B182,'Title III 2013-14'!$A$2:$D$296,4,FALSE)</f>
        <v>0</v>
      </c>
      <c r="F182" s="454">
        <f>IFERROR(VLOOKUP(B182,'Native American 050714'!$A$2:$E$62,5,FALSE),0)</f>
        <v>0</v>
      </c>
      <c r="H182" s="57"/>
      <c r="I182" s="491">
        <f t="shared" si="2"/>
        <v>69.569999999999993</v>
      </c>
      <c r="M182" s="244"/>
      <c r="N182" s="3"/>
      <c r="O182" s="7"/>
      <c r="P182" s="7"/>
      <c r="Q182" s="271"/>
      <c r="R182" s="271"/>
      <c r="S182" s="271"/>
      <c r="T182" s="271"/>
      <c r="U182" s="271"/>
      <c r="V182" s="271"/>
      <c r="W182" s="275"/>
      <c r="X182" s="271"/>
      <c r="Y182" s="221"/>
    </row>
    <row r="183" spans="2:25">
      <c r="B183" s="127" t="s">
        <v>343</v>
      </c>
      <c r="C183" s="55" t="str">
        <f>VLOOKUP(B183,'ccddd 1 col'!$B$2:$C$313,2,FALSE)</f>
        <v>Puyallup</v>
      </c>
      <c r="D183" s="128">
        <f>VLOOKUP(B183,'Biling Enroll 050714'!$A$4:$C$303,3,FALSE)</f>
        <v>821.57</v>
      </c>
      <c r="E183" s="454">
        <f>VLOOKUP(B183,'Title III 2013-14'!$A$2:$D$296,4,FALSE)</f>
        <v>0</v>
      </c>
      <c r="F183" s="454">
        <f>IFERROR(VLOOKUP(B183,'Native American 050714'!$A$2:$E$62,5,FALSE),0)</f>
        <v>0</v>
      </c>
      <c r="H183" s="57"/>
      <c r="I183" s="491">
        <f t="shared" si="2"/>
        <v>821.57</v>
      </c>
      <c r="M183" s="244"/>
      <c r="N183" s="3"/>
      <c r="O183" s="7"/>
      <c r="P183" s="7"/>
      <c r="Q183" s="271"/>
      <c r="R183" s="271"/>
      <c r="S183" s="271"/>
      <c r="T183" s="271"/>
      <c r="U183" s="271"/>
      <c r="V183" s="271"/>
      <c r="W183" s="275"/>
      <c r="X183" s="271"/>
      <c r="Y183" s="221"/>
    </row>
    <row r="184" spans="2:25">
      <c r="B184" s="127" t="s">
        <v>345</v>
      </c>
      <c r="C184" s="55" t="str">
        <f>VLOOKUP(B184,'ccddd 1 col'!$B$2:$C$313,2,FALSE)</f>
        <v>Tacoma</v>
      </c>
      <c r="D184" s="128">
        <f>VLOOKUP(B184,'Biling Enroll 050714'!$A$4:$C$303,3,FALSE)</f>
        <v>2558.71</v>
      </c>
      <c r="E184" s="454">
        <f>VLOOKUP(B184,'Title III 2013-14'!$A$2:$D$296,4,FALSE)</f>
        <v>36</v>
      </c>
      <c r="F184" s="454">
        <f>IFERROR(VLOOKUP(B184,'Native American 050714'!$A$2:$E$62,5,FALSE),0)</f>
        <v>3</v>
      </c>
      <c r="H184" s="57"/>
      <c r="I184" s="491">
        <f t="shared" si="2"/>
        <v>2597.71</v>
      </c>
      <c r="M184" s="244"/>
      <c r="N184" s="3"/>
      <c r="O184" s="7"/>
      <c r="P184" s="7"/>
      <c r="Q184" s="271"/>
      <c r="R184" s="271"/>
      <c r="S184" s="271"/>
      <c r="T184" s="271"/>
      <c r="U184" s="271"/>
      <c r="V184" s="271"/>
      <c r="W184" s="275"/>
      <c r="X184" s="271"/>
      <c r="Y184" s="221"/>
    </row>
    <row r="185" spans="2:25">
      <c r="B185" s="127" t="s">
        <v>347</v>
      </c>
      <c r="C185" s="55" t="str">
        <f>VLOOKUP(B185,'ccddd 1 col'!$B$2:$C$313,2,FALSE)</f>
        <v>Carbonado</v>
      </c>
      <c r="D185" s="128">
        <f>VLOOKUP(B185,'Biling Enroll 050714'!$A$4:$C$303,3,FALSE)</f>
        <v>0</v>
      </c>
      <c r="E185" s="454">
        <f>VLOOKUP(B185,'Title III 2013-14'!$A$2:$D$296,4,FALSE)</f>
        <v>0</v>
      </c>
      <c r="F185" s="454">
        <f>IFERROR(VLOOKUP(B185,'Native American 050714'!$A$2:$E$62,5,FALSE),0)</f>
        <v>0</v>
      </c>
      <c r="H185" s="57"/>
      <c r="I185" s="491">
        <f t="shared" si="2"/>
        <v>0</v>
      </c>
      <c r="M185" s="244"/>
      <c r="N185" s="3"/>
      <c r="O185" s="7"/>
      <c r="P185" s="7"/>
      <c r="Q185" s="271"/>
      <c r="R185" s="271"/>
      <c r="S185" s="271"/>
      <c r="T185" s="271"/>
      <c r="U185" s="271"/>
      <c r="V185" s="271"/>
      <c r="W185" s="275"/>
      <c r="X185" s="271"/>
      <c r="Y185" s="221"/>
    </row>
    <row r="186" spans="2:25">
      <c r="B186" s="127" t="s">
        <v>349</v>
      </c>
      <c r="C186" s="55" t="str">
        <f>VLOOKUP(B186,'ccddd 1 col'!$B$2:$C$313,2,FALSE)</f>
        <v>University Place</v>
      </c>
      <c r="D186" s="128">
        <f>VLOOKUP(B186,'Biling Enroll 050714'!$A$4:$C$303,3,FALSE)</f>
        <v>183</v>
      </c>
      <c r="E186" s="454">
        <f>VLOOKUP(B186,'Title III 2013-14'!$A$2:$D$296,4,FALSE)</f>
        <v>0</v>
      </c>
      <c r="F186" s="454">
        <f>IFERROR(VLOOKUP(B186,'Native American 050714'!$A$2:$E$62,5,FALSE),0)</f>
        <v>0</v>
      </c>
      <c r="H186" s="57"/>
      <c r="I186" s="491">
        <f t="shared" si="2"/>
        <v>183</v>
      </c>
      <c r="M186" s="244"/>
      <c r="N186" s="3"/>
      <c r="O186" s="7"/>
      <c r="P186" s="7"/>
      <c r="Q186" s="271"/>
      <c r="R186" s="271"/>
      <c r="S186" s="271"/>
      <c r="T186" s="271"/>
      <c r="U186" s="271"/>
      <c r="V186" s="271"/>
      <c r="W186" s="275"/>
      <c r="X186" s="271"/>
      <c r="Y186" s="221"/>
    </row>
    <row r="187" spans="2:25">
      <c r="B187" s="127" t="s">
        <v>351</v>
      </c>
      <c r="C187" s="55" t="str">
        <f>VLOOKUP(B187,'ccddd 1 col'!$B$2:$C$313,2,FALSE)</f>
        <v>Sumner</v>
      </c>
      <c r="D187" s="128">
        <f>VLOOKUP(B187,'Biling Enroll 050714'!$A$4:$C$303,3,FALSE)</f>
        <v>292</v>
      </c>
      <c r="E187" s="454">
        <f>VLOOKUP(B187,'Title III 2013-14'!$A$2:$D$296,4,FALSE)</f>
        <v>0</v>
      </c>
      <c r="F187" s="454">
        <f>IFERROR(VLOOKUP(B187,'Native American 050714'!$A$2:$E$62,5,FALSE),0)</f>
        <v>7</v>
      </c>
      <c r="H187" s="57"/>
      <c r="I187" s="491">
        <f t="shared" si="2"/>
        <v>299</v>
      </c>
      <c r="M187" s="244"/>
      <c r="N187" s="3"/>
      <c r="O187" s="7"/>
      <c r="P187" s="7"/>
      <c r="Q187" s="271"/>
      <c r="R187" s="271"/>
      <c r="S187" s="271"/>
      <c r="T187" s="271"/>
      <c r="U187" s="271"/>
      <c r="V187" s="271"/>
      <c r="W187" s="275"/>
      <c r="X187" s="271"/>
      <c r="Y187" s="221"/>
    </row>
    <row r="188" spans="2:25">
      <c r="B188" s="127" t="s">
        <v>353</v>
      </c>
      <c r="C188" s="55" t="str">
        <f>VLOOKUP(B188,'ccddd 1 col'!$B$2:$C$313,2,FALSE)</f>
        <v>Dieringer</v>
      </c>
      <c r="D188" s="128">
        <f>VLOOKUP(B188,'Biling Enroll 050714'!$A$4:$C$303,3,FALSE)</f>
        <v>26.57</v>
      </c>
      <c r="E188" s="454">
        <f>VLOOKUP(B188,'Title III 2013-14'!$A$2:$D$296,4,FALSE)</f>
        <v>0</v>
      </c>
      <c r="F188" s="454">
        <f>IFERROR(VLOOKUP(B188,'Native American 050714'!$A$2:$E$62,5,FALSE),0)</f>
        <v>0</v>
      </c>
      <c r="H188" s="57"/>
      <c r="I188" s="491">
        <f t="shared" si="2"/>
        <v>26.57</v>
      </c>
      <c r="M188" s="244"/>
      <c r="N188" s="3"/>
      <c r="O188" s="7"/>
      <c r="P188" s="7"/>
      <c r="Q188" s="271"/>
      <c r="R188" s="271"/>
      <c r="S188" s="271"/>
      <c r="T188" s="271"/>
      <c r="U188" s="271"/>
      <c r="V188" s="271"/>
      <c r="W188" s="275"/>
      <c r="X188" s="271"/>
      <c r="Y188" s="221"/>
    </row>
    <row r="189" spans="2:25">
      <c r="B189" s="127" t="s">
        <v>355</v>
      </c>
      <c r="C189" s="55" t="str">
        <f>VLOOKUP(B189,'ccddd 1 col'!$B$2:$C$313,2,FALSE)</f>
        <v>Orting</v>
      </c>
      <c r="D189" s="128">
        <f>VLOOKUP(B189,'Biling Enroll 050714'!$A$4:$C$303,3,FALSE)</f>
        <v>38.86</v>
      </c>
      <c r="E189" s="454">
        <f>VLOOKUP(B189,'Title III 2013-14'!$A$2:$D$296,4,FALSE)</f>
        <v>0</v>
      </c>
      <c r="F189" s="454">
        <f>IFERROR(VLOOKUP(B189,'Native American 050714'!$A$2:$E$62,5,FALSE),0)</f>
        <v>1</v>
      </c>
      <c r="H189" s="57"/>
      <c r="I189" s="491">
        <f t="shared" si="2"/>
        <v>39.86</v>
      </c>
      <c r="M189" s="244"/>
      <c r="N189" s="3"/>
      <c r="O189" s="7"/>
      <c r="P189" s="7"/>
      <c r="Q189" s="271"/>
      <c r="R189" s="271"/>
      <c r="S189" s="271"/>
      <c r="T189" s="271"/>
      <c r="U189" s="271"/>
      <c r="V189" s="271"/>
      <c r="W189" s="275"/>
      <c r="X189" s="271"/>
      <c r="Y189" s="221"/>
    </row>
    <row r="190" spans="2:25">
      <c r="B190" s="127" t="s">
        <v>357</v>
      </c>
      <c r="C190" s="55" t="str">
        <f>VLOOKUP(B190,'ccddd 1 col'!$B$2:$C$313,2,FALSE)</f>
        <v>Clover Park</v>
      </c>
      <c r="D190" s="128">
        <f>VLOOKUP(B190,'Biling Enroll 050714'!$A$4:$C$303,3,FALSE)</f>
        <v>1340.57</v>
      </c>
      <c r="E190" s="454">
        <f>VLOOKUP(B190,'Title III 2013-14'!$A$2:$D$296,4,FALSE)</f>
        <v>0</v>
      </c>
      <c r="F190" s="454">
        <f>IFERROR(VLOOKUP(B190,'Native American 050714'!$A$2:$E$62,5,FALSE),0)</f>
        <v>0</v>
      </c>
      <c r="H190" s="57"/>
      <c r="I190" s="491">
        <f t="shared" si="2"/>
        <v>1340.57</v>
      </c>
      <c r="M190" s="244"/>
      <c r="N190" s="3"/>
      <c r="O190" s="7"/>
      <c r="P190" s="7"/>
      <c r="Q190" s="271"/>
      <c r="R190" s="271"/>
      <c r="S190" s="271"/>
      <c r="T190" s="271"/>
      <c r="U190" s="271"/>
      <c r="V190" s="271"/>
      <c r="W190" s="275"/>
      <c r="X190" s="271"/>
      <c r="Y190" s="221"/>
    </row>
    <row r="191" spans="2:25">
      <c r="B191" s="127" t="s">
        <v>359</v>
      </c>
      <c r="C191" s="55" t="str">
        <f>VLOOKUP(B191,'ccddd 1 col'!$B$2:$C$313,2,FALSE)</f>
        <v>Peninsula</v>
      </c>
      <c r="D191" s="128">
        <f>VLOOKUP(B191,'Biling Enroll 050714'!$A$4:$C$303,3,FALSE)</f>
        <v>77.569999999999993</v>
      </c>
      <c r="E191" s="454">
        <f>VLOOKUP(B191,'Title III 2013-14'!$A$2:$D$296,4,FALSE)</f>
        <v>0</v>
      </c>
      <c r="F191" s="454">
        <f>IFERROR(VLOOKUP(B191,'Native American 050714'!$A$2:$E$62,5,FALSE),0)</f>
        <v>0</v>
      </c>
      <c r="H191" s="57"/>
      <c r="I191" s="491">
        <f t="shared" si="2"/>
        <v>77.569999999999993</v>
      </c>
      <c r="M191" s="244"/>
      <c r="N191" s="3"/>
      <c r="O191" s="7"/>
      <c r="P191" s="7"/>
      <c r="Q191" s="271"/>
      <c r="R191" s="271"/>
      <c r="S191" s="271"/>
      <c r="T191" s="271"/>
      <c r="U191" s="271"/>
      <c r="V191" s="271"/>
      <c r="W191" s="275"/>
      <c r="X191" s="271"/>
      <c r="Y191" s="221"/>
    </row>
    <row r="192" spans="2:25">
      <c r="B192" s="127" t="s">
        <v>361</v>
      </c>
      <c r="C192" s="55" t="str">
        <f>VLOOKUP(B192,'ccddd 1 col'!$B$2:$C$313,2,FALSE)</f>
        <v>Franklin Pierce</v>
      </c>
      <c r="D192" s="128">
        <f>VLOOKUP(B192,'Biling Enroll 050714'!$A$4:$C$303,3,FALSE)</f>
        <v>582.29</v>
      </c>
      <c r="E192" s="454">
        <f>VLOOKUP(B192,'Title III 2013-14'!$A$2:$D$296,4,FALSE)</f>
        <v>0</v>
      </c>
      <c r="F192" s="454">
        <f>IFERROR(VLOOKUP(B192,'Native American 050714'!$A$2:$E$62,5,FALSE),0)</f>
        <v>2</v>
      </c>
      <c r="H192" s="57"/>
      <c r="I192" s="491">
        <f t="shared" si="2"/>
        <v>584.29</v>
      </c>
      <c r="M192" s="244"/>
      <c r="N192" s="3"/>
      <c r="O192" s="7"/>
      <c r="P192" s="7"/>
      <c r="Q192" s="271"/>
      <c r="R192" s="271"/>
      <c r="S192" s="271"/>
      <c r="T192" s="271"/>
      <c r="U192" s="271"/>
      <c r="V192" s="271"/>
      <c r="W192" s="275"/>
      <c r="X192" s="271"/>
      <c r="Y192" s="221"/>
    </row>
    <row r="193" spans="2:25">
      <c r="B193" s="127" t="s">
        <v>363</v>
      </c>
      <c r="C193" s="55" t="str">
        <f>VLOOKUP(B193,'ccddd 1 col'!$B$2:$C$313,2,FALSE)</f>
        <v>Bethel</v>
      </c>
      <c r="D193" s="128">
        <f>VLOOKUP(B193,'Biling Enroll 050714'!$A$4:$C$303,3,FALSE)</f>
        <v>277.29000000000002</v>
      </c>
      <c r="E193" s="454">
        <f>VLOOKUP(B193,'Title III 2013-14'!$A$2:$D$296,4,FALSE)</f>
        <v>0</v>
      </c>
      <c r="F193" s="454">
        <f>IFERROR(VLOOKUP(B193,'Native American 050714'!$A$2:$E$62,5,FALSE),0)</f>
        <v>0</v>
      </c>
      <c r="H193" s="57"/>
      <c r="I193" s="491">
        <f t="shared" si="2"/>
        <v>277.29000000000002</v>
      </c>
      <c r="M193" s="244"/>
      <c r="N193" s="3"/>
      <c r="O193" s="7"/>
      <c r="P193" s="7"/>
      <c r="Q193" s="271"/>
      <c r="R193" s="271"/>
      <c r="S193" s="271"/>
      <c r="T193" s="271"/>
      <c r="U193" s="271"/>
      <c r="V193" s="271"/>
      <c r="W193" s="275"/>
      <c r="X193" s="271"/>
      <c r="Y193" s="221"/>
    </row>
    <row r="194" spans="2:25">
      <c r="B194" s="127" t="s">
        <v>365</v>
      </c>
      <c r="C194" s="55" t="str">
        <f>VLOOKUP(B194,'ccddd 1 col'!$B$2:$C$313,2,FALSE)</f>
        <v>Eatonville</v>
      </c>
      <c r="D194" s="128">
        <f>VLOOKUP(B194,'Biling Enroll 050714'!$A$4:$C$303,3,FALSE)</f>
        <v>7</v>
      </c>
      <c r="E194" s="454">
        <f>VLOOKUP(B194,'Title III 2013-14'!$A$2:$D$296,4,FALSE)</f>
        <v>0</v>
      </c>
      <c r="F194" s="454">
        <f>IFERROR(VLOOKUP(B194,'Native American 050714'!$A$2:$E$62,5,FALSE),0)</f>
        <v>0</v>
      </c>
      <c r="H194" s="57"/>
      <c r="I194" s="491">
        <f t="shared" si="2"/>
        <v>7</v>
      </c>
      <c r="M194" s="244"/>
      <c r="N194" s="3"/>
      <c r="O194" s="7"/>
      <c r="P194" s="7"/>
      <c r="Q194" s="271"/>
      <c r="R194" s="271"/>
      <c r="S194" s="271"/>
      <c r="T194" s="271"/>
      <c r="U194" s="271"/>
      <c r="V194" s="271"/>
      <c r="W194" s="275"/>
      <c r="X194" s="271"/>
      <c r="Y194" s="221"/>
    </row>
    <row r="195" spans="2:25">
      <c r="B195" s="127" t="s">
        <v>367</v>
      </c>
      <c r="C195" s="55" t="str">
        <f>VLOOKUP(B195,'ccddd 1 col'!$B$2:$C$313,2,FALSE)</f>
        <v>White River</v>
      </c>
      <c r="D195" s="128">
        <f>VLOOKUP(B195,'Biling Enroll 050714'!$A$4:$C$303,3,FALSE)</f>
        <v>64.430000000000007</v>
      </c>
      <c r="E195" s="454">
        <f>VLOOKUP(B195,'Title III 2013-14'!$A$2:$D$296,4,FALSE)</f>
        <v>0</v>
      </c>
      <c r="F195" s="454">
        <f>IFERROR(VLOOKUP(B195,'Native American 050714'!$A$2:$E$62,5,FALSE),0)</f>
        <v>0</v>
      </c>
      <c r="H195" s="57"/>
      <c r="I195" s="491">
        <f t="shared" si="2"/>
        <v>64.430000000000007</v>
      </c>
      <c r="M195" s="244"/>
      <c r="N195" s="3"/>
      <c r="O195" s="7"/>
      <c r="P195" s="7"/>
      <c r="Q195" s="271"/>
      <c r="R195" s="271"/>
      <c r="S195" s="271"/>
      <c r="T195" s="271"/>
      <c r="U195" s="271"/>
      <c r="V195" s="271"/>
      <c r="W195" s="275"/>
      <c r="X195" s="271"/>
      <c r="Y195" s="221"/>
    </row>
    <row r="196" spans="2:25">
      <c r="B196" s="127" t="s">
        <v>369</v>
      </c>
      <c r="C196" s="55" t="str">
        <f>VLOOKUP(B196,'ccddd 1 col'!$B$2:$C$313,2,FALSE)</f>
        <v>Fife</v>
      </c>
      <c r="D196" s="128">
        <f>VLOOKUP(B196,'Biling Enroll 050714'!$A$4:$C$303,3,FALSE)</f>
        <v>372.57</v>
      </c>
      <c r="E196" s="454">
        <f>VLOOKUP(B196,'Title III 2013-14'!$A$2:$D$296,4,FALSE)</f>
        <v>0</v>
      </c>
      <c r="F196" s="454">
        <f>IFERROR(VLOOKUP(B196,'Native American 050714'!$A$2:$E$62,5,FALSE),0)</f>
        <v>0</v>
      </c>
      <c r="I196" s="491">
        <f t="shared" si="2"/>
        <v>372.57</v>
      </c>
      <c r="M196" s="244"/>
      <c r="N196" s="3"/>
      <c r="O196" s="7"/>
      <c r="P196" s="7"/>
      <c r="Q196" s="271"/>
      <c r="R196" s="271"/>
      <c r="S196" s="271"/>
      <c r="T196" s="271"/>
      <c r="U196" s="271"/>
      <c r="V196" s="271"/>
      <c r="W196" s="275"/>
      <c r="X196" s="271"/>
      <c r="Y196" s="221"/>
    </row>
    <row r="197" spans="2:25">
      <c r="B197" s="127" t="s">
        <v>371</v>
      </c>
      <c r="C197" s="55" t="str">
        <f>VLOOKUP(B197,'ccddd 1 col'!$B$2:$C$313,2,FALSE)</f>
        <v>Shaw</v>
      </c>
      <c r="D197" s="128">
        <f>VLOOKUP(B197,'Biling Enroll 050714'!$A$4:$C$303,3,FALSE)</f>
        <v>0</v>
      </c>
      <c r="E197" s="454">
        <f>VLOOKUP(B197,'Title III 2013-14'!$A$2:$D$296,4,FALSE)</f>
        <v>0</v>
      </c>
      <c r="F197" s="454">
        <f>IFERROR(VLOOKUP(B197,'Native American 050714'!$A$2:$E$62,5,FALSE),0)</f>
        <v>0</v>
      </c>
      <c r="I197" s="491">
        <f t="shared" ref="I197:I259" si="3">D197+E197+F197</f>
        <v>0</v>
      </c>
      <c r="M197" s="244"/>
      <c r="N197" s="3"/>
      <c r="O197" s="7"/>
      <c r="P197" s="7"/>
      <c r="Q197" s="271"/>
      <c r="R197" s="271"/>
      <c r="S197" s="271"/>
      <c r="T197" s="271"/>
      <c r="U197" s="271"/>
      <c r="V197" s="271"/>
      <c r="W197" s="275"/>
      <c r="X197" s="271"/>
      <c r="Y197" s="221"/>
    </row>
    <row r="198" spans="2:25">
      <c r="B198" s="127" t="s">
        <v>372</v>
      </c>
      <c r="C198" s="55" t="str">
        <f>VLOOKUP(B198,'ccddd 1 col'!$B$2:$C$313,2,FALSE)</f>
        <v>Orcas</v>
      </c>
      <c r="D198" s="128">
        <f>VLOOKUP(B198,'Biling Enroll 050714'!$A$4:$C$303,3,FALSE)</f>
        <v>25.14</v>
      </c>
      <c r="E198" s="454">
        <f>VLOOKUP(B198,'Title III 2013-14'!$A$2:$D$296,4,FALSE)</f>
        <v>0</v>
      </c>
      <c r="F198" s="454">
        <f>IFERROR(VLOOKUP(B198,'Native American 050714'!$A$2:$E$62,5,FALSE),0)</f>
        <v>0</v>
      </c>
      <c r="I198" s="491">
        <f t="shared" si="3"/>
        <v>25.14</v>
      </c>
      <c r="M198" s="244"/>
      <c r="N198" s="3"/>
      <c r="O198" s="7"/>
      <c r="P198" s="7"/>
      <c r="Q198" s="271"/>
      <c r="R198" s="271"/>
      <c r="S198" s="271"/>
      <c r="T198" s="271"/>
      <c r="U198" s="271"/>
      <c r="V198" s="271"/>
      <c r="W198" s="275"/>
      <c r="X198" s="271"/>
      <c r="Y198" s="221"/>
    </row>
    <row r="199" spans="2:25">
      <c r="B199" s="127" t="s">
        <v>373</v>
      </c>
      <c r="C199" s="55" t="str">
        <f>VLOOKUP(B199,'ccddd 1 col'!$B$2:$C$313,2,FALSE)</f>
        <v>Lopez</v>
      </c>
      <c r="D199" s="128">
        <f>VLOOKUP(B199,'Biling Enroll 050714'!$A$4:$C$303,3,FALSE)</f>
        <v>16</v>
      </c>
      <c r="E199" s="454">
        <f>VLOOKUP(B199,'Title III 2013-14'!$A$2:$D$296,4,FALSE)</f>
        <v>0</v>
      </c>
      <c r="F199" s="454">
        <f>IFERROR(VLOOKUP(B199,'Native American 050714'!$A$2:$E$62,5,FALSE),0)</f>
        <v>0</v>
      </c>
      <c r="I199" s="491">
        <f t="shared" si="3"/>
        <v>16</v>
      </c>
      <c r="M199" s="244"/>
      <c r="N199" s="3"/>
      <c r="O199" s="7"/>
      <c r="P199" s="7"/>
      <c r="Q199" s="271"/>
      <c r="R199" s="271"/>
      <c r="S199" s="271"/>
      <c r="T199" s="271"/>
      <c r="U199" s="271"/>
      <c r="V199" s="271"/>
      <c r="W199" s="275"/>
      <c r="X199" s="271"/>
      <c r="Y199" s="221"/>
    </row>
    <row r="200" spans="2:25">
      <c r="B200" s="127" t="s">
        <v>375</v>
      </c>
      <c r="C200" s="55" t="str">
        <f>VLOOKUP(B200,'ccddd 1 col'!$B$2:$C$313,2,FALSE)</f>
        <v>San Juan</v>
      </c>
      <c r="D200" s="128">
        <f>VLOOKUP(B200,'Biling Enroll 050714'!$A$4:$C$303,3,FALSE)</f>
        <v>32.57</v>
      </c>
      <c r="E200" s="454">
        <f>VLOOKUP(B200,'Title III 2013-14'!$A$2:$D$296,4,FALSE)</f>
        <v>0</v>
      </c>
      <c r="F200" s="454">
        <f>IFERROR(VLOOKUP(B200,'Native American 050714'!$A$2:$E$62,5,FALSE),0)</f>
        <v>1</v>
      </c>
      <c r="I200" s="491">
        <f t="shared" si="3"/>
        <v>33.57</v>
      </c>
      <c r="M200" s="244"/>
      <c r="N200" s="3"/>
      <c r="O200" s="7"/>
      <c r="P200" s="7"/>
      <c r="Q200" s="271"/>
      <c r="R200" s="271"/>
      <c r="S200" s="271"/>
      <c r="T200" s="271"/>
      <c r="U200" s="271"/>
      <c r="V200" s="271"/>
      <c r="W200" s="275"/>
      <c r="X200" s="271"/>
      <c r="Y200" s="221"/>
    </row>
    <row r="201" spans="2:25">
      <c r="B201" s="127" t="s">
        <v>376</v>
      </c>
      <c r="C201" s="55" t="str">
        <f>VLOOKUP(B201,'ccddd 1 col'!$B$2:$C$313,2,FALSE)</f>
        <v>Concrete</v>
      </c>
      <c r="D201" s="128">
        <f>VLOOKUP(B201,'Biling Enroll 050714'!$A$4:$C$303,3,FALSE)</f>
        <v>0</v>
      </c>
      <c r="E201" s="454">
        <f>VLOOKUP(B201,'Title III 2013-14'!$A$2:$D$296,4,FALSE)</f>
        <v>0</v>
      </c>
      <c r="F201" s="454">
        <f>IFERROR(VLOOKUP(B201,'Native American 050714'!$A$2:$E$62,5,FALSE),0)</f>
        <v>0</v>
      </c>
      <c r="I201" s="491">
        <f t="shared" si="3"/>
        <v>0</v>
      </c>
      <c r="M201" s="244"/>
      <c r="N201" s="3"/>
      <c r="O201" s="7"/>
      <c r="P201" s="7"/>
      <c r="Q201" s="271"/>
      <c r="R201" s="271"/>
      <c r="S201" s="271"/>
      <c r="T201" s="271"/>
      <c r="U201" s="271"/>
      <c r="V201" s="271"/>
      <c r="W201" s="275"/>
      <c r="X201" s="271"/>
      <c r="Y201" s="221"/>
    </row>
    <row r="202" spans="2:25">
      <c r="B202" s="127" t="s">
        <v>378</v>
      </c>
      <c r="C202" s="55" t="str">
        <f>VLOOKUP(B202,'ccddd 1 col'!$B$2:$C$313,2,FALSE)</f>
        <v>Burlington Edison</v>
      </c>
      <c r="D202" s="128">
        <f>VLOOKUP(B202,'Biling Enroll 050714'!$A$4:$C$303,3,FALSE)</f>
        <v>701.29</v>
      </c>
      <c r="E202" s="454">
        <f>VLOOKUP(B202,'Title III 2013-14'!$A$2:$D$296,4,FALSE)</f>
        <v>0</v>
      </c>
      <c r="F202" s="454">
        <f>IFERROR(VLOOKUP(B202,'Native American 050714'!$A$2:$E$62,5,FALSE),0)</f>
        <v>0</v>
      </c>
      <c r="I202" s="491">
        <f t="shared" si="3"/>
        <v>701.29</v>
      </c>
      <c r="M202" s="244"/>
      <c r="N202" s="3"/>
      <c r="O202" s="7"/>
      <c r="P202" s="7"/>
      <c r="Q202" s="271"/>
      <c r="R202" s="271"/>
      <c r="S202" s="271"/>
      <c r="T202" s="271"/>
      <c r="U202" s="271"/>
      <c r="V202" s="271"/>
      <c r="W202" s="275"/>
      <c r="X202" s="271"/>
      <c r="Y202" s="221"/>
    </row>
    <row r="203" spans="2:25">
      <c r="B203" s="127" t="s">
        <v>379</v>
      </c>
      <c r="C203" s="55" t="str">
        <f>VLOOKUP(B203,'ccddd 1 col'!$B$2:$C$313,2,FALSE)</f>
        <v>Sedro Woolley</v>
      </c>
      <c r="D203" s="128">
        <f>VLOOKUP(B203,'Biling Enroll 050714'!$A$4:$C$303,3,FALSE)</f>
        <v>251.71</v>
      </c>
      <c r="E203" s="454">
        <f>VLOOKUP(B203,'Title III 2013-14'!$A$2:$D$296,4,FALSE)</f>
        <v>0</v>
      </c>
      <c r="F203" s="454">
        <f>IFERROR(VLOOKUP(B203,'Native American 050714'!$A$2:$E$62,5,FALSE),0)</f>
        <v>0</v>
      </c>
      <c r="I203" s="491">
        <f t="shared" si="3"/>
        <v>251.71</v>
      </c>
      <c r="M203" s="244"/>
      <c r="N203" s="3"/>
      <c r="O203" s="7"/>
      <c r="P203" s="7"/>
      <c r="Q203" s="271"/>
      <c r="R203" s="271"/>
      <c r="S203" s="271"/>
      <c r="T203" s="271"/>
      <c r="U203" s="271"/>
      <c r="V203" s="271"/>
      <c r="W203" s="275"/>
      <c r="X203" s="271"/>
      <c r="Y203" s="221"/>
    </row>
    <row r="204" spans="2:25">
      <c r="B204" s="127" t="s">
        <v>380</v>
      </c>
      <c r="C204" s="55" t="str">
        <f>VLOOKUP(B204,'ccddd 1 col'!$B$2:$C$313,2,FALSE)</f>
        <v>Anacortes</v>
      </c>
      <c r="D204" s="128">
        <f>VLOOKUP(B204,'Biling Enroll 050714'!$A$4:$C$303,3,FALSE)</f>
        <v>54</v>
      </c>
      <c r="E204" s="454">
        <f>VLOOKUP(B204,'Title III 2013-14'!$A$2:$D$296,4,FALSE)</f>
        <v>0</v>
      </c>
      <c r="F204" s="454">
        <f>IFERROR(VLOOKUP(B204,'Native American 050714'!$A$2:$E$62,5,FALSE),0)</f>
        <v>0</v>
      </c>
      <c r="I204" s="491">
        <f t="shared" si="3"/>
        <v>54</v>
      </c>
      <c r="M204" s="244"/>
      <c r="N204" s="3"/>
      <c r="O204" s="7"/>
      <c r="P204" s="7"/>
      <c r="Q204" s="271"/>
      <c r="R204" s="271"/>
      <c r="S204" s="271"/>
      <c r="T204" s="271"/>
      <c r="U204" s="271"/>
      <c r="V204" s="271"/>
      <c r="W204" s="275"/>
      <c r="X204" s="271"/>
      <c r="Y204" s="221"/>
    </row>
    <row r="205" spans="2:25">
      <c r="B205" s="127" t="s">
        <v>382</v>
      </c>
      <c r="C205" s="55" t="str">
        <f>VLOOKUP(B205,'ccddd 1 col'!$B$2:$C$313,2,FALSE)</f>
        <v>La Conner</v>
      </c>
      <c r="D205" s="128">
        <f>VLOOKUP(B205,'Biling Enroll 050714'!$A$4:$C$303,3,FALSE)</f>
        <v>0</v>
      </c>
      <c r="E205" s="454">
        <f>VLOOKUP(B205,'Title III 2013-14'!$A$2:$D$296,4,FALSE)</f>
        <v>0</v>
      </c>
      <c r="F205" s="454">
        <f>IFERROR(VLOOKUP(B205,'Native American 050714'!$A$2:$E$62,5,FALSE),0)</f>
        <v>0</v>
      </c>
      <c r="I205" s="491">
        <f t="shared" si="3"/>
        <v>0</v>
      </c>
      <c r="M205" s="244"/>
      <c r="N205" s="3"/>
      <c r="O205" s="7"/>
      <c r="P205" s="7"/>
      <c r="Q205" s="271"/>
      <c r="R205" s="271"/>
      <c r="S205" s="271"/>
      <c r="T205" s="271"/>
      <c r="U205" s="271"/>
      <c r="V205" s="271"/>
      <c r="W205" s="275"/>
      <c r="X205" s="271"/>
      <c r="Y205" s="221"/>
    </row>
    <row r="206" spans="2:25">
      <c r="B206" s="127" t="s">
        <v>384</v>
      </c>
      <c r="C206" s="55" t="str">
        <f>VLOOKUP(B206,'ccddd 1 col'!$B$2:$C$313,2,FALSE)</f>
        <v>Conway</v>
      </c>
      <c r="D206" s="128">
        <f>VLOOKUP(B206,'Biling Enroll 050714'!$A$4:$C$303,3,FALSE)</f>
        <v>28.71</v>
      </c>
      <c r="E206" s="454">
        <f>VLOOKUP(B206,'Title III 2013-14'!$A$2:$D$296,4,FALSE)</f>
        <v>0</v>
      </c>
      <c r="F206" s="454">
        <f>IFERROR(VLOOKUP(B206,'Native American 050714'!$A$2:$E$62,5,FALSE),0)</f>
        <v>0</v>
      </c>
      <c r="I206" s="491">
        <f t="shared" si="3"/>
        <v>28.71</v>
      </c>
      <c r="M206" s="244"/>
      <c r="N206" s="3"/>
      <c r="O206" s="7"/>
      <c r="P206" s="7"/>
      <c r="Q206" s="271"/>
      <c r="R206" s="271"/>
      <c r="S206" s="271"/>
      <c r="T206" s="271"/>
      <c r="U206" s="271"/>
      <c r="V206" s="271"/>
      <c r="W206" s="275"/>
      <c r="X206" s="271"/>
      <c r="Y206" s="221"/>
    </row>
    <row r="207" spans="2:25">
      <c r="B207" s="127" t="s">
        <v>386</v>
      </c>
      <c r="C207" s="55" t="str">
        <f>VLOOKUP(B207,'ccddd 1 col'!$B$2:$C$313,2,FALSE)</f>
        <v>Mt Vernon</v>
      </c>
      <c r="D207" s="128">
        <f>VLOOKUP(B207,'Biling Enroll 050714'!$A$4:$C$303,3,FALSE)</f>
        <v>1590.57</v>
      </c>
      <c r="E207" s="454">
        <f>VLOOKUP(B207,'Title III 2013-14'!$A$2:$D$296,4,FALSE)</f>
        <v>0</v>
      </c>
      <c r="F207" s="454">
        <f>IFERROR(VLOOKUP(B207,'Native American 050714'!$A$2:$E$62,5,FALSE),0)</f>
        <v>0</v>
      </c>
      <c r="I207" s="491">
        <f t="shared" si="3"/>
        <v>1590.57</v>
      </c>
      <c r="M207" s="244"/>
      <c r="N207" s="3"/>
      <c r="O207" s="7"/>
      <c r="P207" s="7"/>
      <c r="Q207" s="271"/>
      <c r="R207" s="271"/>
      <c r="S207" s="271"/>
      <c r="T207" s="271"/>
      <c r="U207" s="271"/>
      <c r="V207" s="271"/>
      <c r="W207" s="275"/>
      <c r="X207" s="271"/>
      <c r="Y207" s="221"/>
    </row>
    <row r="208" spans="2:25">
      <c r="B208" s="127" t="s">
        <v>387</v>
      </c>
      <c r="C208" s="55" t="str">
        <f>VLOOKUP(B208,'ccddd 1 col'!$B$2:$C$313,2,FALSE)</f>
        <v>Skamania</v>
      </c>
      <c r="D208" s="128">
        <f>VLOOKUP(B208,'Biling Enroll 050714'!$A$4:$C$303,3,FALSE)</f>
        <v>0</v>
      </c>
      <c r="E208" s="454">
        <f>VLOOKUP(B208,'Title III 2013-14'!$A$2:$D$296,4,FALSE)</f>
        <v>0</v>
      </c>
      <c r="F208" s="454">
        <f>IFERROR(VLOOKUP(B208,'Native American 050714'!$A$2:$E$62,5,FALSE),0)</f>
        <v>0</v>
      </c>
      <c r="I208" s="491">
        <f t="shared" si="3"/>
        <v>0</v>
      </c>
      <c r="M208" s="244"/>
      <c r="N208" s="3"/>
      <c r="O208" s="7"/>
      <c r="P208" s="7"/>
      <c r="Q208" s="271"/>
      <c r="R208" s="271"/>
      <c r="S208" s="271"/>
      <c r="T208" s="271"/>
      <c r="U208" s="271"/>
      <c r="V208" s="271"/>
      <c r="W208" s="275"/>
      <c r="X208" s="271"/>
      <c r="Y208" s="221"/>
    </row>
    <row r="209" spans="2:25">
      <c r="B209" s="127" t="s">
        <v>389</v>
      </c>
      <c r="C209" s="55" t="str">
        <f>VLOOKUP(B209,'ccddd 1 col'!$B$2:$C$313,2,FALSE)</f>
        <v>Mount Pleasant</v>
      </c>
      <c r="D209" s="128">
        <f>VLOOKUP(B209,'Biling Enroll 050714'!$A$4:$C$303,3,FALSE)</f>
        <v>0</v>
      </c>
      <c r="E209" s="454">
        <f>VLOOKUP(B209,'Title III 2013-14'!$A$2:$D$296,4,FALSE)</f>
        <v>0</v>
      </c>
      <c r="F209" s="454">
        <f>IFERROR(VLOOKUP(B209,'Native American 050714'!$A$2:$E$62,5,FALSE),0)</f>
        <v>0</v>
      </c>
      <c r="I209" s="491">
        <f t="shared" si="3"/>
        <v>0</v>
      </c>
      <c r="M209" s="244"/>
      <c r="N209" s="3"/>
      <c r="O209" s="7"/>
      <c r="P209" s="7"/>
      <c r="Q209" s="271"/>
      <c r="R209" s="271"/>
      <c r="S209" s="271"/>
      <c r="T209" s="271"/>
      <c r="U209" s="271"/>
      <c r="V209" s="271"/>
      <c r="W209" s="275"/>
      <c r="X209" s="271"/>
      <c r="Y209" s="221"/>
    </row>
    <row r="210" spans="2:25">
      <c r="B210" s="127" t="s">
        <v>391</v>
      </c>
      <c r="C210" s="55" t="str">
        <f>VLOOKUP(B210,'ccddd 1 col'!$B$2:$C$313,2,FALSE)</f>
        <v>Mill A</v>
      </c>
      <c r="D210" s="128">
        <f>VLOOKUP(B210,'Biling Enroll 050714'!$A$4:$C$303,3,FALSE)</f>
        <v>0</v>
      </c>
      <c r="E210" s="454">
        <f>VLOOKUP(B210,'Title III 2013-14'!$A$2:$D$296,4,FALSE)</f>
        <v>0</v>
      </c>
      <c r="F210" s="454">
        <f>IFERROR(VLOOKUP(B210,'Native American 050714'!$A$2:$E$62,5,FALSE),0)</f>
        <v>0</v>
      </c>
      <c r="I210" s="491">
        <f t="shared" si="3"/>
        <v>0</v>
      </c>
      <c r="M210" s="244"/>
      <c r="N210" s="3"/>
      <c r="O210" s="7"/>
      <c r="P210" s="7"/>
      <c r="Q210" s="271"/>
      <c r="R210" s="271"/>
      <c r="S210" s="271"/>
      <c r="T210" s="271"/>
      <c r="U210" s="271"/>
      <c r="V210" s="271"/>
      <c r="W210" s="275"/>
      <c r="X210" s="271"/>
      <c r="Y210" s="221"/>
    </row>
    <row r="211" spans="2:25">
      <c r="B211" s="127" t="s">
        <v>393</v>
      </c>
      <c r="C211" s="55" t="str">
        <f>VLOOKUP(B211,'ccddd 1 col'!$B$2:$C$313,2,FALSE)</f>
        <v>Stevenson-Carson</v>
      </c>
      <c r="D211" s="128">
        <f>VLOOKUP(B211,'Biling Enroll 050714'!$A$4:$C$303,3,FALSE)</f>
        <v>23.57</v>
      </c>
      <c r="E211" s="454">
        <f>VLOOKUP(B211,'Title III 2013-14'!$A$2:$D$296,4,FALSE)</f>
        <v>0</v>
      </c>
      <c r="F211" s="454">
        <f>IFERROR(VLOOKUP(B211,'Native American 050714'!$A$2:$E$62,5,FALSE),0)</f>
        <v>0</v>
      </c>
      <c r="I211" s="491">
        <f t="shared" si="3"/>
        <v>23.57</v>
      </c>
      <c r="M211" s="244"/>
      <c r="N211" s="3"/>
      <c r="O211" s="7"/>
      <c r="P211" s="7"/>
      <c r="Q211" s="271"/>
      <c r="R211" s="271"/>
      <c r="S211" s="271"/>
      <c r="T211" s="271"/>
      <c r="U211" s="271"/>
      <c r="V211" s="271"/>
      <c r="W211" s="275"/>
      <c r="X211" s="271"/>
      <c r="Y211" s="221"/>
    </row>
    <row r="212" spans="2:25">
      <c r="B212" s="127" t="s">
        <v>395</v>
      </c>
      <c r="C212" s="55" t="str">
        <f>VLOOKUP(B212,'ccddd 1 col'!$B$2:$C$313,2,FALSE)</f>
        <v>Everett</v>
      </c>
      <c r="D212" s="128">
        <f>VLOOKUP(B212,'Biling Enroll 050714'!$A$4:$C$303,3,FALSE)</f>
        <v>2016.57</v>
      </c>
      <c r="E212" s="454">
        <f>VLOOKUP(B212,'Title III 2013-14'!$A$2:$D$296,4,FALSE)</f>
        <v>15</v>
      </c>
      <c r="F212" s="454">
        <f>IFERROR(VLOOKUP(B212,'Native American 050714'!$A$2:$E$62,5,FALSE),0)</f>
        <v>115</v>
      </c>
      <c r="I212" s="491">
        <f t="shared" si="3"/>
        <v>2146.5699999999997</v>
      </c>
      <c r="M212" s="244"/>
      <c r="N212" s="3"/>
      <c r="O212" s="7"/>
      <c r="P212" s="7"/>
      <c r="Q212" s="271"/>
      <c r="R212" s="271"/>
      <c r="S212" s="271"/>
      <c r="T212" s="271"/>
      <c r="U212" s="271"/>
      <c r="V212" s="271"/>
      <c r="W212" s="275"/>
      <c r="X212" s="271"/>
      <c r="Y212" s="221"/>
    </row>
    <row r="213" spans="2:25">
      <c r="B213" s="127" t="s">
        <v>397</v>
      </c>
      <c r="C213" s="55" t="str">
        <f>VLOOKUP(B213,'ccddd 1 col'!$B$2:$C$313,2,FALSE)</f>
        <v>Lake Stevens</v>
      </c>
      <c r="D213" s="128">
        <f>VLOOKUP(B213,'Biling Enroll 050714'!$A$4:$C$303,3,FALSE)</f>
        <v>289.43</v>
      </c>
      <c r="E213" s="454">
        <f>VLOOKUP(B213,'Title III 2013-14'!$A$2:$D$296,4,FALSE)</f>
        <v>0</v>
      </c>
      <c r="F213" s="454">
        <f>IFERROR(VLOOKUP(B213,'Native American 050714'!$A$2:$E$62,5,FALSE),0)</f>
        <v>0</v>
      </c>
      <c r="I213" s="491">
        <f t="shared" si="3"/>
        <v>289.43</v>
      </c>
      <c r="M213" s="244"/>
      <c r="N213" s="3"/>
      <c r="O213" s="7"/>
      <c r="P213" s="7"/>
      <c r="Q213" s="271"/>
      <c r="R213" s="271"/>
      <c r="S213" s="271"/>
      <c r="T213" s="271"/>
      <c r="U213" s="271"/>
      <c r="V213" s="271"/>
      <c r="W213" s="275"/>
      <c r="X213" s="271"/>
      <c r="Y213" s="221"/>
    </row>
    <row r="214" spans="2:25">
      <c r="B214" s="127" t="s">
        <v>399</v>
      </c>
      <c r="C214" s="55" t="str">
        <f>VLOOKUP(B214,'ccddd 1 col'!$B$2:$C$313,2,FALSE)</f>
        <v>Mukilteo</v>
      </c>
      <c r="D214" s="128">
        <f>VLOOKUP(B214,'Biling Enroll 050714'!$A$4:$C$303,3,FALSE)</f>
        <v>2578.14</v>
      </c>
      <c r="E214" s="454">
        <f>VLOOKUP(B214,'Title III 2013-14'!$A$2:$D$296,4,FALSE)</f>
        <v>6</v>
      </c>
      <c r="F214" s="454">
        <f>IFERROR(VLOOKUP(B214,'Native American 050714'!$A$2:$E$62,5,FALSE),0)</f>
        <v>0</v>
      </c>
      <c r="I214" s="491">
        <f t="shared" si="3"/>
        <v>2584.14</v>
      </c>
      <c r="M214" s="244"/>
      <c r="N214" s="3"/>
      <c r="O214" s="7"/>
      <c r="P214" s="7"/>
      <c r="Q214" s="271"/>
      <c r="R214" s="271"/>
      <c r="S214" s="271"/>
      <c r="T214" s="271"/>
      <c r="U214" s="271"/>
      <c r="V214" s="271"/>
      <c r="W214" s="275"/>
      <c r="X214" s="271"/>
      <c r="Y214" s="221"/>
    </row>
    <row r="215" spans="2:25">
      <c r="B215" s="127" t="s">
        <v>401</v>
      </c>
      <c r="C215" s="55" t="str">
        <f>VLOOKUP(B215,'ccddd 1 col'!$B$2:$C$313,2,FALSE)</f>
        <v>Edmonds</v>
      </c>
      <c r="D215" s="128">
        <f>VLOOKUP(B215,'Biling Enroll 050714'!$A$4:$C$303,3,FALSE)</f>
        <v>2230</v>
      </c>
      <c r="E215" s="454">
        <f>VLOOKUP(B215,'Title III 2013-14'!$A$2:$D$296,4,FALSE)</f>
        <v>8</v>
      </c>
      <c r="F215" s="454">
        <f>IFERROR(VLOOKUP(B215,'Native American 050714'!$A$2:$E$62,5,FALSE),0)</f>
        <v>0</v>
      </c>
      <c r="I215" s="491">
        <f t="shared" si="3"/>
        <v>2238</v>
      </c>
      <c r="M215" s="244"/>
      <c r="N215" s="3"/>
      <c r="O215" s="7"/>
      <c r="P215" s="7"/>
      <c r="Q215" s="271"/>
      <c r="R215" s="271"/>
      <c r="S215" s="271"/>
      <c r="T215" s="271"/>
      <c r="U215" s="271"/>
      <c r="V215" s="271"/>
      <c r="W215" s="275"/>
      <c r="X215" s="271"/>
      <c r="Y215" s="221"/>
    </row>
    <row r="216" spans="2:25">
      <c r="B216" s="127" t="s">
        <v>403</v>
      </c>
      <c r="C216" s="55" t="str">
        <f>VLOOKUP(B216,'ccddd 1 col'!$B$2:$C$313,2,FALSE)</f>
        <v>Arlington</v>
      </c>
      <c r="D216" s="128">
        <f>VLOOKUP(B216,'Biling Enroll 050714'!$A$4:$C$303,3,FALSE)</f>
        <v>194.43</v>
      </c>
      <c r="E216" s="454">
        <f>VLOOKUP(B216,'Title III 2013-14'!$A$2:$D$296,4,FALSE)</f>
        <v>0</v>
      </c>
      <c r="F216" s="454">
        <f>IFERROR(VLOOKUP(B216,'Native American 050714'!$A$2:$E$62,5,FALSE),0)</f>
        <v>58</v>
      </c>
      <c r="I216" s="491">
        <f t="shared" si="3"/>
        <v>252.43</v>
      </c>
      <c r="M216" s="244"/>
      <c r="N216" s="3"/>
      <c r="O216" s="7"/>
      <c r="P216" s="7"/>
      <c r="Q216" s="271"/>
      <c r="R216" s="271"/>
      <c r="S216" s="271"/>
      <c r="T216" s="271"/>
      <c r="U216" s="271"/>
      <c r="V216" s="271"/>
      <c r="W216" s="275"/>
      <c r="X216" s="271"/>
      <c r="Y216" s="221"/>
    </row>
    <row r="217" spans="2:25">
      <c r="B217" s="127" t="s">
        <v>405</v>
      </c>
      <c r="C217" s="55" t="str">
        <f>VLOOKUP(B217,'ccddd 1 col'!$B$2:$C$313,2,FALSE)</f>
        <v>Marysville</v>
      </c>
      <c r="D217" s="128">
        <f>VLOOKUP(B217,'Biling Enroll 050714'!$A$4:$C$303,3,FALSE)</f>
        <v>834.86</v>
      </c>
      <c r="E217" s="454">
        <f>VLOOKUP(B217,'Title III 2013-14'!$A$2:$D$296,4,FALSE)</f>
        <v>0</v>
      </c>
      <c r="F217" s="454">
        <f>IFERROR(VLOOKUP(B217,'Native American 050714'!$A$2:$E$62,5,FALSE),0)</f>
        <v>348</v>
      </c>
      <c r="I217" s="491">
        <f t="shared" si="3"/>
        <v>1182.8600000000001</v>
      </c>
      <c r="M217" s="244"/>
      <c r="N217" s="3"/>
      <c r="O217" s="7"/>
      <c r="P217" s="7"/>
      <c r="Q217" s="271"/>
      <c r="R217" s="271"/>
      <c r="S217" s="271"/>
      <c r="T217" s="271"/>
      <c r="U217" s="271"/>
      <c r="V217" s="271"/>
      <c r="W217" s="275"/>
      <c r="X217" s="271"/>
      <c r="Y217" s="221"/>
    </row>
    <row r="218" spans="2:25">
      <c r="B218" s="127" t="s">
        <v>407</v>
      </c>
      <c r="C218" s="55" t="str">
        <f>VLOOKUP(B218,'ccddd 1 col'!$B$2:$C$313,2,FALSE)</f>
        <v>Index</v>
      </c>
      <c r="D218" s="128">
        <f>VLOOKUP(B218,'Biling Enroll 050714'!$A$4:$C$303,3,FALSE)</f>
        <v>0</v>
      </c>
      <c r="E218" s="454">
        <f>VLOOKUP(B218,'Title III 2013-14'!$A$2:$D$296,4,FALSE)</f>
        <v>0</v>
      </c>
      <c r="F218" s="454">
        <f>IFERROR(VLOOKUP(B218,'Native American 050714'!$A$2:$E$62,5,FALSE),0)</f>
        <v>0</v>
      </c>
      <c r="I218" s="491">
        <f t="shared" si="3"/>
        <v>0</v>
      </c>
      <c r="M218" s="244"/>
      <c r="N218" s="3"/>
      <c r="O218" s="7"/>
      <c r="P218" s="7"/>
      <c r="Q218" s="271"/>
      <c r="R218" s="271"/>
      <c r="S218" s="271"/>
      <c r="T218" s="271"/>
      <c r="U218" s="271"/>
      <c r="V218" s="271"/>
      <c r="W218" s="275"/>
      <c r="X218" s="271"/>
      <c r="Y218" s="221"/>
    </row>
    <row r="219" spans="2:25">
      <c r="B219" s="127" t="s">
        <v>409</v>
      </c>
      <c r="C219" s="55" t="str">
        <f>VLOOKUP(B219,'ccddd 1 col'!$B$2:$C$313,2,FALSE)</f>
        <v>Monroe</v>
      </c>
      <c r="D219" s="128">
        <f>VLOOKUP(B219,'Biling Enroll 050714'!$A$4:$C$303,3,FALSE)</f>
        <v>525.42999999999995</v>
      </c>
      <c r="E219" s="454">
        <f>VLOOKUP(B219,'Title III 2013-14'!$A$2:$D$296,4,FALSE)</f>
        <v>8</v>
      </c>
      <c r="F219" s="454">
        <f>IFERROR(VLOOKUP(B219,'Native American 050714'!$A$2:$E$62,5,FALSE),0)</f>
        <v>11</v>
      </c>
      <c r="I219" s="491">
        <f t="shared" si="3"/>
        <v>544.42999999999995</v>
      </c>
      <c r="M219" s="244"/>
      <c r="N219" s="3"/>
      <c r="O219" s="7"/>
      <c r="P219" s="7"/>
      <c r="Q219" s="271"/>
      <c r="R219" s="271"/>
      <c r="S219" s="271"/>
      <c r="T219" s="271"/>
      <c r="U219" s="271"/>
      <c r="V219" s="271"/>
      <c r="W219" s="275"/>
      <c r="X219" s="271"/>
      <c r="Y219" s="221"/>
    </row>
    <row r="220" spans="2:25">
      <c r="B220" s="127" t="s">
        <v>411</v>
      </c>
      <c r="C220" s="55" t="str">
        <f>VLOOKUP(B220,'ccddd 1 col'!$B$2:$C$313,2,FALSE)</f>
        <v>Snohomish</v>
      </c>
      <c r="D220" s="128">
        <f>VLOOKUP(B220,'Biling Enroll 050714'!$A$4:$C$303,3,FALSE)</f>
        <v>310.70999999999998</v>
      </c>
      <c r="E220" s="454">
        <f>VLOOKUP(B220,'Title III 2013-14'!$A$2:$D$296,4,FALSE)</f>
        <v>0</v>
      </c>
      <c r="F220" s="454">
        <f>IFERROR(VLOOKUP(B220,'Native American 050714'!$A$2:$E$62,5,FALSE),0)</f>
        <v>1</v>
      </c>
      <c r="I220" s="491">
        <f t="shared" si="3"/>
        <v>311.70999999999998</v>
      </c>
      <c r="M220" s="244"/>
      <c r="N220" s="3"/>
      <c r="O220" s="7"/>
      <c r="P220" s="7"/>
      <c r="Q220" s="271"/>
      <c r="R220" s="271"/>
      <c r="S220" s="271"/>
      <c r="T220" s="271"/>
      <c r="U220" s="271"/>
      <c r="V220" s="271"/>
      <c r="W220" s="275"/>
      <c r="X220" s="271"/>
      <c r="Y220" s="221"/>
    </row>
    <row r="221" spans="2:25">
      <c r="B221" s="127" t="s">
        <v>413</v>
      </c>
      <c r="C221" s="55" t="str">
        <f>VLOOKUP(B221,'ccddd 1 col'!$B$2:$C$313,2,FALSE)</f>
        <v>Lakewood</v>
      </c>
      <c r="D221" s="128">
        <f>VLOOKUP(B221,'Biling Enroll 050714'!$A$4:$C$303,3,FALSE)</f>
        <v>105</v>
      </c>
      <c r="E221" s="454">
        <f>VLOOKUP(B221,'Title III 2013-14'!$A$2:$D$296,4,FALSE)</f>
        <v>0</v>
      </c>
      <c r="F221" s="454">
        <f>IFERROR(VLOOKUP(B221,'Native American 050714'!$A$2:$E$62,5,FALSE),0)</f>
        <v>0</v>
      </c>
      <c r="I221" s="491">
        <f t="shared" si="3"/>
        <v>105</v>
      </c>
      <c r="M221" s="244"/>
      <c r="N221" s="3"/>
      <c r="O221" s="7"/>
      <c r="P221" s="7"/>
      <c r="Q221" s="271"/>
      <c r="R221" s="271"/>
      <c r="S221" s="271"/>
      <c r="T221" s="271"/>
      <c r="U221" s="271"/>
      <c r="V221" s="271"/>
      <c r="W221" s="275"/>
      <c r="X221" s="271"/>
      <c r="Y221" s="221"/>
    </row>
    <row r="222" spans="2:25">
      <c r="B222" s="127" t="s">
        <v>415</v>
      </c>
      <c r="C222" s="55" t="str">
        <f>VLOOKUP(B222,'ccddd 1 col'!$B$2:$C$313,2,FALSE)</f>
        <v>Sultan</v>
      </c>
      <c r="D222" s="128">
        <f>VLOOKUP(B222,'Biling Enroll 050714'!$A$4:$C$303,3,FALSE)</f>
        <v>130</v>
      </c>
      <c r="E222" s="454">
        <f>VLOOKUP(B222,'Title III 2013-14'!$A$2:$D$296,4,FALSE)</f>
        <v>0</v>
      </c>
      <c r="F222" s="454">
        <f>IFERROR(VLOOKUP(B222,'Native American 050714'!$A$2:$E$62,5,FALSE),0)</f>
        <v>0</v>
      </c>
      <c r="I222" s="491">
        <f t="shared" si="3"/>
        <v>130</v>
      </c>
      <c r="M222" s="244"/>
      <c r="N222" s="3"/>
      <c r="O222" s="7"/>
      <c r="P222" s="7"/>
      <c r="Q222" s="271"/>
      <c r="R222" s="271"/>
      <c r="S222" s="271"/>
      <c r="T222" s="271"/>
      <c r="U222" s="271"/>
      <c r="V222" s="271"/>
      <c r="W222" s="275"/>
      <c r="X222" s="271"/>
      <c r="Y222" s="221"/>
    </row>
    <row r="223" spans="2:25">
      <c r="B223" s="127" t="s">
        <v>417</v>
      </c>
      <c r="C223" s="55" t="str">
        <f>VLOOKUP(B223,'ccddd 1 col'!$B$2:$C$313,2,FALSE)</f>
        <v>Darrington</v>
      </c>
      <c r="D223" s="128">
        <f>VLOOKUP(B223,'Biling Enroll 050714'!$A$4:$C$303,3,FALSE)</f>
        <v>0</v>
      </c>
      <c r="E223" s="454">
        <f>VLOOKUP(B223,'Title III 2013-14'!$A$2:$D$296,4,FALSE)</f>
        <v>0</v>
      </c>
      <c r="F223" s="454">
        <f>IFERROR(VLOOKUP(B223,'Native American 050714'!$A$2:$E$62,5,FALSE),0)</f>
        <v>0</v>
      </c>
      <c r="I223" s="491">
        <f t="shared" si="3"/>
        <v>0</v>
      </c>
      <c r="M223" s="244"/>
      <c r="N223" s="3"/>
      <c r="O223" s="7"/>
      <c r="P223" s="7"/>
      <c r="Q223" s="271"/>
      <c r="R223" s="271"/>
      <c r="S223" s="271"/>
      <c r="T223" s="271"/>
      <c r="U223" s="271"/>
      <c r="V223" s="271"/>
      <c r="W223" s="275"/>
      <c r="X223" s="271"/>
      <c r="Y223" s="221"/>
    </row>
    <row r="224" spans="2:25">
      <c r="B224" s="127" t="s">
        <v>419</v>
      </c>
      <c r="C224" s="55" t="str">
        <f>VLOOKUP(B224,'ccddd 1 col'!$B$2:$C$313,2,FALSE)</f>
        <v>Granite Falls</v>
      </c>
      <c r="D224" s="128">
        <f>VLOOKUP(B224,'Biling Enroll 050714'!$A$4:$C$303,3,FALSE)</f>
        <v>33.57</v>
      </c>
      <c r="E224" s="454">
        <f>VLOOKUP(B224,'Title III 2013-14'!$A$2:$D$296,4,FALSE)</f>
        <v>0</v>
      </c>
      <c r="F224" s="454">
        <f>IFERROR(VLOOKUP(B224,'Native American 050714'!$A$2:$E$62,5,FALSE),0)</f>
        <v>0</v>
      </c>
      <c r="I224" s="491">
        <f t="shared" si="3"/>
        <v>33.57</v>
      </c>
      <c r="M224" s="244"/>
      <c r="N224" s="3"/>
      <c r="O224" s="7"/>
      <c r="P224" s="7"/>
      <c r="Q224" s="271"/>
      <c r="R224" s="271"/>
      <c r="S224" s="271"/>
      <c r="T224" s="271"/>
      <c r="U224" s="271"/>
      <c r="V224" s="271"/>
      <c r="W224" s="275"/>
      <c r="X224" s="271"/>
      <c r="Y224" s="221"/>
    </row>
    <row r="225" spans="2:25">
      <c r="B225" s="127" t="s">
        <v>421</v>
      </c>
      <c r="C225" s="55" t="str">
        <f>VLOOKUP(B225,'ccddd 1 col'!$B$2:$C$313,2,FALSE)</f>
        <v>Stanwood</v>
      </c>
      <c r="D225" s="128">
        <f>VLOOKUP(B225,'Biling Enroll 050714'!$A$4:$C$303,3,FALSE)</f>
        <v>81.86</v>
      </c>
      <c r="E225" s="454">
        <f>VLOOKUP(B225,'Title III 2013-14'!$A$2:$D$296,4,FALSE)</f>
        <v>0</v>
      </c>
      <c r="F225" s="454">
        <f>IFERROR(VLOOKUP(B225,'Native American 050714'!$A$2:$E$62,5,FALSE),0)</f>
        <v>12</v>
      </c>
      <c r="I225" s="491">
        <f t="shared" si="3"/>
        <v>93.86</v>
      </c>
      <c r="M225" s="244"/>
      <c r="N225" s="3"/>
      <c r="O225" s="7"/>
      <c r="P225" s="7"/>
      <c r="Q225" s="271"/>
      <c r="R225" s="271"/>
      <c r="S225" s="271"/>
      <c r="T225" s="271"/>
      <c r="U225" s="271"/>
      <c r="V225" s="271"/>
      <c r="W225" s="275"/>
      <c r="X225" s="271"/>
      <c r="Y225" s="221"/>
    </row>
    <row r="226" spans="2:25">
      <c r="B226" s="127" t="s">
        <v>422</v>
      </c>
      <c r="C226" s="55" t="str">
        <f>VLOOKUP(B226,'ccddd 1 col'!$B$2:$C$313,2,FALSE)</f>
        <v>Spokane</v>
      </c>
      <c r="D226" s="128">
        <f>VLOOKUP(B226,'Biling Enroll 050714'!$A$4:$C$303,3,FALSE)</f>
        <v>1431</v>
      </c>
      <c r="E226" s="454">
        <f>VLOOKUP(B226,'Title III 2013-14'!$A$2:$D$296,4,FALSE)</f>
        <v>1</v>
      </c>
      <c r="F226" s="454">
        <f>IFERROR(VLOOKUP(B226,'Native American 050714'!$A$2:$E$62,5,FALSE),0)</f>
        <v>0</v>
      </c>
      <c r="I226" s="491">
        <f t="shared" si="3"/>
        <v>1432</v>
      </c>
      <c r="M226" s="244"/>
      <c r="N226" s="3"/>
      <c r="O226" s="7"/>
      <c r="P226" s="7"/>
      <c r="Q226" s="271"/>
      <c r="R226" s="271"/>
      <c r="S226" s="271"/>
      <c r="T226" s="271"/>
      <c r="U226" s="271"/>
      <c r="V226" s="271"/>
      <c r="W226" s="275"/>
      <c r="X226" s="271"/>
      <c r="Y226" s="221"/>
    </row>
    <row r="227" spans="2:25">
      <c r="B227" s="127" t="s">
        <v>424</v>
      </c>
      <c r="C227" s="55" t="str">
        <f>VLOOKUP(B227,'ccddd 1 col'!$B$2:$C$313,2,FALSE)</f>
        <v>Orchard Prairie</v>
      </c>
      <c r="D227" s="128">
        <f>VLOOKUP(B227,'Biling Enroll 050714'!$A$4:$C$303,3,FALSE)</f>
        <v>0</v>
      </c>
      <c r="E227" s="454">
        <f>VLOOKUP(B227,'Title III 2013-14'!$A$2:$D$296,4,FALSE)</f>
        <v>0</v>
      </c>
      <c r="F227" s="454">
        <f>IFERROR(VLOOKUP(B227,'Native American 050714'!$A$2:$E$62,5,FALSE),0)</f>
        <v>0</v>
      </c>
      <c r="I227" s="491">
        <f t="shared" si="3"/>
        <v>0</v>
      </c>
      <c r="M227" s="244"/>
      <c r="N227" s="3"/>
      <c r="O227" s="7"/>
      <c r="P227" s="7"/>
      <c r="Q227" s="271"/>
      <c r="R227" s="271"/>
      <c r="S227" s="271"/>
      <c r="T227" s="271"/>
      <c r="U227" s="271"/>
      <c r="V227" s="271"/>
      <c r="W227" s="275"/>
      <c r="X227" s="271"/>
      <c r="Y227" s="221"/>
    </row>
    <row r="228" spans="2:25">
      <c r="B228" s="127" t="s">
        <v>426</v>
      </c>
      <c r="C228" s="55" t="str">
        <f>VLOOKUP(B228,'ccddd 1 col'!$B$2:$C$313,2,FALSE)</f>
        <v>Great Northern</v>
      </c>
      <c r="D228" s="128">
        <f>VLOOKUP(B228,'Biling Enroll 050714'!$A$4:$C$303,3,FALSE)</f>
        <v>0</v>
      </c>
      <c r="E228" s="454">
        <f>VLOOKUP(B228,'Title III 2013-14'!$A$2:$D$296,4,FALSE)</f>
        <v>0</v>
      </c>
      <c r="F228" s="454">
        <f>IFERROR(VLOOKUP(B228,'Native American 050714'!$A$2:$E$62,5,FALSE),0)</f>
        <v>0</v>
      </c>
      <c r="I228" s="491">
        <f t="shared" si="3"/>
        <v>0</v>
      </c>
      <c r="M228" s="244"/>
      <c r="N228" s="3"/>
      <c r="O228" s="7"/>
      <c r="P228" s="7"/>
      <c r="Q228" s="271"/>
      <c r="R228" s="271"/>
      <c r="S228" s="271"/>
      <c r="T228" s="271"/>
      <c r="U228" s="271"/>
      <c r="V228" s="271"/>
      <c r="W228" s="275"/>
      <c r="X228" s="271"/>
      <c r="Y228" s="221"/>
    </row>
    <row r="229" spans="2:25">
      <c r="B229" s="127" t="s">
        <v>428</v>
      </c>
      <c r="C229" s="55" t="str">
        <f>VLOOKUP(B229,'ccddd 1 col'!$B$2:$C$313,2,FALSE)</f>
        <v>Nine Mile Falls</v>
      </c>
      <c r="D229" s="128">
        <f>VLOOKUP(B229,'Biling Enroll 050714'!$A$4:$C$303,3,FALSE)</f>
        <v>0</v>
      </c>
      <c r="E229" s="454">
        <f>VLOOKUP(B229,'Title III 2013-14'!$A$2:$D$296,4,FALSE)</f>
        <v>0</v>
      </c>
      <c r="F229" s="454">
        <f>IFERROR(VLOOKUP(B229,'Native American 050714'!$A$2:$E$62,5,FALSE),0)</f>
        <v>0</v>
      </c>
      <c r="I229" s="491">
        <f t="shared" si="3"/>
        <v>0</v>
      </c>
      <c r="M229" s="244"/>
      <c r="N229" s="3"/>
      <c r="O229" s="7"/>
      <c r="P229" s="7"/>
      <c r="Q229" s="271"/>
      <c r="R229" s="271"/>
      <c r="S229" s="271"/>
      <c r="T229" s="271"/>
      <c r="U229" s="271"/>
      <c r="V229" s="271"/>
      <c r="W229" s="275"/>
      <c r="X229" s="271"/>
      <c r="Y229" s="221"/>
    </row>
    <row r="230" spans="2:25">
      <c r="B230" s="127" t="s">
        <v>430</v>
      </c>
      <c r="C230" s="55" t="str">
        <f>VLOOKUP(B230,'ccddd 1 col'!$B$2:$C$313,2,FALSE)</f>
        <v>Medical Lake</v>
      </c>
      <c r="D230" s="128">
        <f>VLOOKUP(B230,'Biling Enroll 050714'!$A$4:$C$303,3,FALSE)</f>
        <v>7.43</v>
      </c>
      <c r="E230" s="454">
        <f>VLOOKUP(B230,'Title III 2013-14'!$A$2:$D$296,4,FALSE)</f>
        <v>0</v>
      </c>
      <c r="F230" s="454">
        <f>IFERROR(VLOOKUP(B230,'Native American 050714'!$A$2:$E$62,5,FALSE),0)</f>
        <v>0</v>
      </c>
      <c r="I230" s="491">
        <f t="shared" si="3"/>
        <v>7.43</v>
      </c>
      <c r="M230" s="244"/>
      <c r="N230" s="3"/>
      <c r="O230" s="7"/>
      <c r="P230" s="7"/>
      <c r="Q230" s="271"/>
      <c r="R230" s="271"/>
      <c r="S230" s="271"/>
      <c r="T230" s="271"/>
      <c r="U230" s="271"/>
      <c r="V230" s="271"/>
      <c r="W230" s="275"/>
      <c r="X230" s="271"/>
      <c r="Y230" s="221"/>
    </row>
    <row r="231" spans="2:25">
      <c r="B231" s="127" t="s">
        <v>432</v>
      </c>
      <c r="C231" s="55" t="str">
        <f>VLOOKUP(B231,'ccddd 1 col'!$B$2:$C$313,2,FALSE)</f>
        <v>Mead</v>
      </c>
      <c r="D231" s="128">
        <f>VLOOKUP(B231,'Biling Enroll 050714'!$A$4:$C$303,3,FALSE)</f>
        <v>251.14</v>
      </c>
      <c r="E231" s="454">
        <f>VLOOKUP(B231,'Title III 2013-14'!$A$2:$D$296,4,FALSE)</f>
        <v>15</v>
      </c>
      <c r="F231" s="454">
        <f>IFERROR(VLOOKUP(B231,'Native American 050714'!$A$2:$E$62,5,FALSE),0)</f>
        <v>9</v>
      </c>
      <c r="I231" s="491">
        <f t="shared" si="3"/>
        <v>275.14</v>
      </c>
      <c r="M231" s="244"/>
      <c r="N231" s="3"/>
      <c r="O231" s="7"/>
      <c r="P231" s="7"/>
      <c r="Q231" s="271"/>
      <c r="R231" s="271"/>
      <c r="S231" s="271"/>
      <c r="T231" s="271"/>
      <c r="U231" s="271"/>
      <c r="V231" s="271"/>
      <c r="W231" s="275"/>
      <c r="X231" s="271"/>
      <c r="Y231" s="221"/>
    </row>
    <row r="232" spans="2:25">
      <c r="B232" s="127" t="s">
        <v>434</v>
      </c>
      <c r="C232" s="55" t="str">
        <f>VLOOKUP(B232,'ccddd 1 col'!$B$2:$C$313,2,FALSE)</f>
        <v>Central Valley</v>
      </c>
      <c r="D232" s="128">
        <f>VLOOKUP(B232,'Biling Enroll 050714'!$A$4:$C$303,3,FALSE)</f>
        <v>336.86</v>
      </c>
      <c r="E232" s="454">
        <f>VLOOKUP(B232,'Title III 2013-14'!$A$2:$D$296,4,FALSE)</f>
        <v>1</v>
      </c>
      <c r="F232" s="454">
        <f>IFERROR(VLOOKUP(B232,'Native American 050714'!$A$2:$E$62,5,FALSE),0)</f>
        <v>0</v>
      </c>
      <c r="I232" s="491">
        <f t="shared" si="3"/>
        <v>337.86</v>
      </c>
      <c r="M232" s="244"/>
      <c r="N232" s="3"/>
      <c r="O232" s="7"/>
      <c r="P232" s="7"/>
      <c r="Q232" s="271"/>
      <c r="R232" s="271"/>
      <c r="S232" s="271"/>
      <c r="T232" s="271"/>
      <c r="U232" s="271"/>
      <c r="V232" s="271"/>
      <c r="W232" s="275"/>
      <c r="X232" s="271"/>
      <c r="Y232" s="221"/>
    </row>
    <row r="233" spans="2:25">
      <c r="B233" s="127" t="s">
        <v>436</v>
      </c>
      <c r="C233" s="55" t="str">
        <f>VLOOKUP(B233,'ccddd 1 col'!$B$2:$C$313,2,FALSE)</f>
        <v>Freeman</v>
      </c>
      <c r="D233" s="128">
        <f>VLOOKUP(B233,'Biling Enroll 050714'!$A$4:$C$303,3,FALSE)</f>
        <v>0</v>
      </c>
      <c r="E233" s="454">
        <f>VLOOKUP(B233,'Title III 2013-14'!$A$2:$D$296,4,FALSE)</f>
        <v>0</v>
      </c>
      <c r="F233" s="454">
        <f>IFERROR(VLOOKUP(B233,'Native American 050714'!$A$2:$E$62,5,FALSE),0)</f>
        <v>0</v>
      </c>
      <c r="I233" s="491">
        <f t="shared" si="3"/>
        <v>0</v>
      </c>
      <c r="M233" s="244"/>
      <c r="N233" s="3"/>
      <c r="O233" s="7"/>
      <c r="P233" s="7"/>
      <c r="Q233" s="271"/>
      <c r="R233" s="271"/>
      <c r="S233" s="271"/>
      <c r="T233" s="271"/>
      <c r="U233" s="271"/>
      <c r="V233" s="271"/>
      <c r="W233" s="275"/>
      <c r="X233" s="271"/>
      <c r="Y233" s="221"/>
    </row>
    <row r="234" spans="2:25">
      <c r="B234" s="127" t="s">
        <v>438</v>
      </c>
      <c r="C234" s="55" t="str">
        <f>VLOOKUP(B234,'ccddd 1 col'!$B$2:$C$313,2,FALSE)</f>
        <v>Cheney</v>
      </c>
      <c r="D234" s="128">
        <f>VLOOKUP(B234,'Biling Enroll 050714'!$A$4:$C$303,3,FALSE)</f>
        <v>96.71</v>
      </c>
      <c r="E234" s="454">
        <f>VLOOKUP(B234,'Title III 2013-14'!$A$2:$D$296,4,FALSE)</f>
        <v>0</v>
      </c>
      <c r="F234" s="454">
        <f>IFERROR(VLOOKUP(B234,'Native American 050714'!$A$2:$E$62,5,FALSE),0)</f>
        <v>0</v>
      </c>
      <c r="I234" s="491">
        <f t="shared" si="3"/>
        <v>96.71</v>
      </c>
      <c r="M234" s="244"/>
      <c r="N234" s="3"/>
      <c r="O234" s="7"/>
      <c r="P234" s="7"/>
      <c r="Q234" s="271"/>
      <c r="R234" s="271"/>
      <c r="S234" s="271"/>
      <c r="T234" s="271"/>
      <c r="U234" s="271"/>
      <c r="V234" s="271"/>
      <c r="W234" s="275"/>
      <c r="X234" s="271"/>
      <c r="Y234" s="221"/>
    </row>
    <row r="235" spans="2:25">
      <c r="B235" s="127" t="s">
        <v>440</v>
      </c>
      <c r="C235" s="55" t="str">
        <f>VLOOKUP(B235,'ccddd 1 col'!$B$2:$C$313,2,FALSE)</f>
        <v>East Valley (Spok</v>
      </c>
      <c r="D235" s="128">
        <f>VLOOKUP(B235,'Biling Enroll 050714'!$A$4:$C$303,3,FALSE)</f>
        <v>119.71</v>
      </c>
      <c r="E235" s="454">
        <f>VLOOKUP(B235,'Title III 2013-14'!$A$2:$D$296,4,FALSE)</f>
        <v>0</v>
      </c>
      <c r="F235" s="454">
        <f>IFERROR(VLOOKUP(B235,'Native American 050714'!$A$2:$E$62,5,FALSE),0)</f>
        <v>0</v>
      </c>
      <c r="I235" s="491">
        <f t="shared" si="3"/>
        <v>119.71</v>
      </c>
      <c r="M235" s="244"/>
      <c r="N235" s="3"/>
      <c r="O235" s="7"/>
      <c r="P235" s="7"/>
      <c r="Q235" s="271"/>
      <c r="R235" s="271"/>
      <c r="S235" s="271"/>
      <c r="T235" s="271"/>
      <c r="U235" s="271"/>
      <c r="V235" s="271"/>
      <c r="W235" s="275"/>
      <c r="X235" s="271"/>
      <c r="Y235" s="221"/>
    </row>
    <row r="236" spans="2:25">
      <c r="B236" s="127" t="s">
        <v>441</v>
      </c>
      <c r="C236" s="55" t="str">
        <f>VLOOKUP(B236,'ccddd 1 col'!$B$2:$C$313,2,FALSE)</f>
        <v>Liberty</v>
      </c>
      <c r="D236" s="128">
        <f>VLOOKUP(B236,'Biling Enroll 050714'!$A$4:$C$303,3,FALSE)</f>
        <v>0</v>
      </c>
      <c r="E236" s="454">
        <f>VLOOKUP(B236,'Title III 2013-14'!$A$2:$D$296,4,FALSE)</f>
        <v>0</v>
      </c>
      <c r="F236" s="454">
        <f>IFERROR(VLOOKUP(B236,'Native American 050714'!$A$2:$E$62,5,FALSE),0)</f>
        <v>0</v>
      </c>
      <c r="I236" s="491">
        <f t="shared" si="3"/>
        <v>0</v>
      </c>
      <c r="M236" s="244"/>
      <c r="N236" s="3"/>
      <c r="O236" s="7"/>
      <c r="P236" s="7"/>
      <c r="Q236" s="271"/>
      <c r="R236" s="271"/>
      <c r="S236" s="271"/>
      <c r="T236" s="271"/>
      <c r="U236" s="271"/>
      <c r="V236" s="271"/>
      <c r="W236" s="275"/>
      <c r="X236" s="271"/>
      <c r="Y236" s="221"/>
    </row>
    <row r="237" spans="2:25">
      <c r="B237" s="127" t="s">
        <v>443</v>
      </c>
      <c r="C237" s="55" t="str">
        <f>VLOOKUP(B237,'ccddd 1 col'!$B$2:$C$313,2,FALSE)</f>
        <v>West Valley (Spok</v>
      </c>
      <c r="D237" s="128">
        <f>VLOOKUP(B237,'Biling Enroll 050714'!$A$4:$C$303,3,FALSE)</f>
        <v>107.14</v>
      </c>
      <c r="E237" s="454">
        <f>VLOOKUP(B237,'Title III 2013-14'!$A$2:$D$296,4,FALSE)</f>
        <v>0</v>
      </c>
      <c r="F237" s="454">
        <f>IFERROR(VLOOKUP(B237,'Native American 050714'!$A$2:$E$62,5,FALSE),0)</f>
        <v>1</v>
      </c>
      <c r="I237" s="491">
        <f t="shared" si="3"/>
        <v>108.14</v>
      </c>
      <c r="M237" s="244"/>
      <c r="N237" s="3"/>
      <c r="O237" s="7"/>
      <c r="P237" s="7"/>
      <c r="Q237" s="271"/>
      <c r="R237" s="271"/>
      <c r="S237" s="271"/>
      <c r="T237" s="271"/>
      <c r="U237" s="271"/>
      <c r="V237" s="271"/>
      <c r="W237" s="275"/>
      <c r="X237" s="271"/>
      <c r="Y237" s="221"/>
    </row>
    <row r="238" spans="2:25">
      <c r="B238" s="127" t="s">
        <v>444</v>
      </c>
      <c r="C238" s="55" t="str">
        <f>VLOOKUP(B238,'ccddd 1 col'!$B$2:$C$313,2,FALSE)</f>
        <v>Deer Park</v>
      </c>
      <c r="D238" s="128">
        <f>VLOOKUP(B238,'Biling Enroll 050714'!$A$4:$C$303,3,FALSE)</f>
        <v>7.43</v>
      </c>
      <c r="E238" s="454">
        <f>VLOOKUP(B238,'Title III 2013-14'!$A$2:$D$296,4,FALSE)</f>
        <v>0</v>
      </c>
      <c r="F238" s="454">
        <f>IFERROR(VLOOKUP(B238,'Native American 050714'!$A$2:$E$62,5,FALSE),0)</f>
        <v>0</v>
      </c>
      <c r="I238" s="491">
        <f t="shared" si="3"/>
        <v>7.43</v>
      </c>
      <c r="M238" s="244"/>
      <c r="N238" s="3"/>
      <c r="O238" s="7"/>
      <c r="P238" s="7"/>
      <c r="Q238" s="271"/>
      <c r="R238" s="271"/>
      <c r="S238" s="271"/>
      <c r="T238" s="271"/>
      <c r="U238" s="271"/>
      <c r="V238" s="271"/>
      <c r="W238" s="275"/>
      <c r="X238" s="271"/>
      <c r="Y238" s="221"/>
    </row>
    <row r="239" spans="2:25">
      <c r="B239" s="127" t="s">
        <v>446</v>
      </c>
      <c r="C239" s="55" t="str">
        <f>VLOOKUP(B239,'ccddd 1 col'!$B$2:$C$313,2,FALSE)</f>
        <v>Riverside</v>
      </c>
      <c r="D239" s="128">
        <f>VLOOKUP(B239,'Biling Enroll 050714'!$A$4:$C$303,3,FALSE)</f>
        <v>13.43</v>
      </c>
      <c r="E239" s="454">
        <f>VLOOKUP(B239,'Title III 2013-14'!$A$2:$D$296,4,FALSE)</f>
        <v>0</v>
      </c>
      <c r="F239" s="454">
        <f>IFERROR(VLOOKUP(B239,'Native American 050714'!$A$2:$E$62,5,FALSE),0)</f>
        <v>0</v>
      </c>
      <c r="I239" s="491">
        <f t="shared" si="3"/>
        <v>13.43</v>
      </c>
      <c r="M239" s="244"/>
      <c r="N239" s="3"/>
      <c r="O239" s="7"/>
      <c r="P239" s="7"/>
      <c r="Q239" s="271"/>
      <c r="R239" s="271"/>
      <c r="S239" s="271"/>
      <c r="T239" s="271"/>
      <c r="U239" s="271"/>
      <c r="V239" s="271"/>
      <c r="W239" s="275"/>
      <c r="X239" s="271"/>
      <c r="Y239" s="221"/>
    </row>
    <row r="240" spans="2:25">
      <c r="B240" s="127" t="s">
        <v>448</v>
      </c>
      <c r="C240" s="55" t="str">
        <f>VLOOKUP(B240,'ccddd 1 col'!$B$2:$C$313,2,FALSE)</f>
        <v>Onion Creek</v>
      </c>
      <c r="D240" s="128">
        <f>VLOOKUP(B240,'Biling Enroll 050714'!$A$4:$C$303,3,FALSE)</f>
        <v>0</v>
      </c>
      <c r="E240" s="454">
        <f>VLOOKUP(B240,'Title III 2013-14'!$A$2:$D$296,4,FALSE)</f>
        <v>0</v>
      </c>
      <c r="F240" s="454">
        <f>IFERROR(VLOOKUP(B240,'Native American 050714'!$A$2:$E$62,5,FALSE),0)</f>
        <v>0</v>
      </c>
      <c r="I240" s="491">
        <f t="shared" si="3"/>
        <v>0</v>
      </c>
      <c r="M240" s="244"/>
      <c r="N240" s="3"/>
      <c r="O240" s="7"/>
      <c r="P240" s="7"/>
      <c r="Q240" s="271"/>
      <c r="R240" s="271"/>
      <c r="S240" s="271"/>
      <c r="T240" s="271"/>
      <c r="U240" s="271"/>
      <c r="V240" s="271"/>
      <c r="W240" s="275"/>
      <c r="X240" s="271"/>
      <c r="Y240" s="221"/>
    </row>
    <row r="241" spans="2:25">
      <c r="B241" s="127" t="s">
        <v>450</v>
      </c>
      <c r="C241" s="55" t="str">
        <f>VLOOKUP(B241,'ccddd 1 col'!$B$2:$C$313,2,FALSE)</f>
        <v>Chewelah</v>
      </c>
      <c r="D241" s="128">
        <f>VLOOKUP(B241,'Biling Enroll 050714'!$A$4:$C$303,3,FALSE)</f>
        <v>5.14</v>
      </c>
      <c r="E241" s="454">
        <f>VLOOKUP(B241,'Title III 2013-14'!$A$2:$D$296,4,FALSE)</f>
        <v>0</v>
      </c>
      <c r="F241" s="454">
        <f>IFERROR(VLOOKUP(B241,'Native American 050714'!$A$2:$E$62,5,FALSE),0)</f>
        <v>0</v>
      </c>
      <c r="I241" s="491">
        <f t="shared" si="3"/>
        <v>5.14</v>
      </c>
      <c r="M241" s="244"/>
      <c r="N241" s="3"/>
      <c r="O241" s="7"/>
      <c r="P241" s="7"/>
      <c r="Q241" s="271"/>
      <c r="R241" s="271"/>
      <c r="S241" s="271"/>
      <c r="T241" s="271"/>
      <c r="U241" s="271"/>
      <c r="V241" s="271"/>
      <c r="W241" s="275"/>
      <c r="X241" s="271"/>
      <c r="Y241" s="221"/>
    </row>
    <row r="242" spans="2:25">
      <c r="B242" s="127" t="s">
        <v>452</v>
      </c>
      <c r="C242" s="55" t="str">
        <f>VLOOKUP(B242,'ccddd 1 col'!$B$2:$C$313,2,FALSE)</f>
        <v>Wellpinit</v>
      </c>
      <c r="D242" s="128">
        <f>VLOOKUP(B242,'Biling Enroll 050714'!$A$4:$C$303,3,FALSE)</f>
        <v>0</v>
      </c>
      <c r="E242" s="454">
        <f>VLOOKUP(B242,'Title III 2013-14'!$A$2:$D$296,4,FALSE)</f>
        <v>0</v>
      </c>
      <c r="F242" s="454">
        <f>IFERROR(VLOOKUP(B242,'Native American 050714'!$A$2:$E$62,5,FALSE),0)</f>
        <v>160</v>
      </c>
      <c r="I242" s="491">
        <f t="shared" si="3"/>
        <v>160</v>
      </c>
      <c r="M242" s="244"/>
      <c r="N242" s="3"/>
      <c r="O242" s="7"/>
      <c r="P242" s="7"/>
      <c r="Q242" s="271"/>
      <c r="R242" s="271"/>
      <c r="S242" s="271"/>
      <c r="T242" s="271"/>
      <c r="U242" s="271"/>
      <c r="V242" s="271"/>
      <c r="W242" s="275"/>
      <c r="X242" s="271"/>
      <c r="Y242" s="221"/>
    </row>
    <row r="243" spans="2:25">
      <c r="B243" s="127" t="s">
        <v>454</v>
      </c>
      <c r="C243" s="55" t="str">
        <f>VLOOKUP(B243,'ccddd 1 col'!$B$2:$C$313,2,FALSE)</f>
        <v>Valley</v>
      </c>
      <c r="D243" s="128">
        <f>VLOOKUP(B243,'Biling Enroll 050714'!$A$4:$C$303,3,FALSE)</f>
        <v>0</v>
      </c>
      <c r="E243" s="454">
        <f>VLOOKUP(B243,'Title III 2013-14'!$A$2:$D$296,4,FALSE)</f>
        <v>0</v>
      </c>
      <c r="F243" s="454">
        <f>IFERROR(VLOOKUP(B243,'Native American 050714'!$A$2:$E$62,5,FALSE),0)</f>
        <v>0</v>
      </c>
      <c r="I243" s="491">
        <f t="shared" si="3"/>
        <v>0</v>
      </c>
      <c r="M243" s="244"/>
      <c r="N243" s="3"/>
      <c r="O243" s="7"/>
      <c r="P243" s="7"/>
      <c r="Q243" s="271"/>
      <c r="R243" s="271"/>
      <c r="S243" s="271"/>
      <c r="T243" s="271"/>
      <c r="U243" s="271"/>
      <c r="V243" s="271"/>
      <c r="W243" s="275"/>
      <c r="X243" s="271"/>
      <c r="Y243" s="221"/>
    </row>
    <row r="244" spans="2:25">
      <c r="B244" s="127" t="s">
        <v>456</v>
      </c>
      <c r="C244" s="55" t="str">
        <f>VLOOKUP(B244,'ccddd 1 col'!$B$2:$C$313,2,FALSE)</f>
        <v>Colville</v>
      </c>
      <c r="D244" s="128">
        <f>VLOOKUP(B244,'Biling Enroll 050714'!$A$4:$C$303,3,FALSE)</f>
        <v>31.71</v>
      </c>
      <c r="E244" s="454">
        <f>VLOOKUP(B244,'Title III 2013-14'!$A$2:$D$296,4,FALSE)</f>
        <v>0</v>
      </c>
      <c r="F244" s="454">
        <f>IFERROR(VLOOKUP(B244,'Native American 050714'!$A$2:$E$62,5,FALSE),0)</f>
        <v>0</v>
      </c>
      <c r="I244" s="491">
        <f t="shared" si="3"/>
        <v>31.71</v>
      </c>
      <c r="M244" s="244"/>
      <c r="N244" s="3"/>
      <c r="O244" s="7"/>
      <c r="P244" s="7"/>
      <c r="Q244" s="271"/>
      <c r="R244" s="271"/>
      <c r="S244" s="271"/>
      <c r="T244" s="271"/>
      <c r="U244" s="271"/>
      <c r="V244" s="271"/>
      <c r="W244" s="275"/>
      <c r="X244" s="271"/>
      <c r="Y244" s="221"/>
    </row>
    <row r="245" spans="2:25">
      <c r="B245" s="127" t="s">
        <v>458</v>
      </c>
      <c r="C245" s="55" t="str">
        <f>VLOOKUP(B245,'ccddd 1 col'!$B$2:$C$313,2,FALSE)</f>
        <v>Loon Lake</v>
      </c>
      <c r="D245" s="128">
        <f>VLOOKUP(B245,'Biling Enroll 050714'!$A$4:$C$303,3,FALSE)</f>
        <v>0</v>
      </c>
      <c r="E245" s="454">
        <f>VLOOKUP(B245,'Title III 2013-14'!$A$2:$D$296,4,FALSE)</f>
        <v>0</v>
      </c>
      <c r="F245" s="454">
        <f>IFERROR(VLOOKUP(B245,'Native American 050714'!$A$2:$E$62,5,FALSE),0)</f>
        <v>0</v>
      </c>
      <c r="I245" s="491">
        <f t="shared" si="3"/>
        <v>0</v>
      </c>
      <c r="M245" s="244"/>
      <c r="N245" s="3"/>
      <c r="O245" s="7"/>
      <c r="P245" s="7"/>
      <c r="Q245" s="271"/>
      <c r="R245" s="271"/>
      <c r="S245" s="271"/>
      <c r="T245" s="271"/>
      <c r="U245" s="271"/>
      <c r="V245" s="271"/>
      <c r="W245" s="275"/>
      <c r="X245" s="271"/>
      <c r="Y245" s="221"/>
    </row>
    <row r="246" spans="2:25">
      <c r="B246" s="127" t="s">
        <v>460</v>
      </c>
      <c r="C246" s="55" t="str">
        <f>VLOOKUP(B246,'ccddd 1 col'!$B$2:$C$313,2,FALSE)</f>
        <v>Summit Valley</v>
      </c>
      <c r="D246" s="128">
        <f>VLOOKUP(B246,'Biling Enroll 050714'!$A$4:$C$303,3,FALSE)</f>
        <v>0</v>
      </c>
      <c r="E246" s="454">
        <f>VLOOKUP(B246,'Title III 2013-14'!$A$2:$D$296,4,FALSE)</f>
        <v>0</v>
      </c>
      <c r="F246" s="454">
        <f>IFERROR(VLOOKUP(B246,'Native American 050714'!$A$2:$E$62,5,FALSE),0)</f>
        <v>0</v>
      </c>
      <c r="I246" s="491">
        <f t="shared" si="3"/>
        <v>0</v>
      </c>
      <c r="M246" s="244"/>
      <c r="N246" s="3"/>
      <c r="O246" s="7"/>
      <c r="P246" s="7"/>
      <c r="Q246" s="271"/>
      <c r="R246" s="271"/>
      <c r="S246" s="271"/>
      <c r="T246" s="271"/>
      <c r="U246" s="271"/>
      <c r="V246" s="271"/>
      <c r="W246" s="275"/>
      <c r="X246" s="271"/>
      <c r="Y246" s="221"/>
    </row>
    <row r="247" spans="2:25">
      <c r="B247" s="127" t="s">
        <v>462</v>
      </c>
      <c r="C247" s="55" t="str">
        <f>VLOOKUP(B247,'ccddd 1 col'!$B$2:$C$313,2,FALSE)</f>
        <v>Evergreen (Stev)</v>
      </c>
      <c r="D247" s="128">
        <f>VLOOKUP(B247,'Biling Enroll 050714'!$A$4:$C$303,3,FALSE)</f>
        <v>0</v>
      </c>
      <c r="E247" s="454">
        <f>VLOOKUP(B247,'Title III 2013-14'!$A$2:$D$296,4,FALSE)</f>
        <v>0</v>
      </c>
      <c r="F247" s="454">
        <f>IFERROR(VLOOKUP(B247,'Native American 050714'!$A$2:$E$62,5,FALSE),0)</f>
        <v>0</v>
      </c>
      <c r="I247" s="491">
        <f t="shared" si="3"/>
        <v>0</v>
      </c>
      <c r="M247" s="244"/>
      <c r="N247" s="3"/>
      <c r="O247" s="7"/>
      <c r="P247" s="7"/>
      <c r="Q247" s="271"/>
      <c r="R247" s="271"/>
      <c r="S247" s="271"/>
      <c r="T247" s="271"/>
      <c r="U247" s="271"/>
      <c r="V247" s="271"/>
      <c r="W247" s="275"/>
      <c r="X247" s="271"/>
      <c r="Y247" s="221"/>
    </row>
    <row r="248" spans="2:25">
      <c r="B248" s="127" t="s">
        <v>464</v>
      </c>
      <c r="C248" s="55" t="str">
        <f>VLOOKUP(B248,'ccddd 1 col'!$B$2:$C$313,2,FALSE)</f>
        <v>Columbia (Stev)</v>
      </c>
      <c r="D248" s="128">
        <f>VLOOKUP(B248,'Biling Enroll 050714'!$A$4:$C$303,3,FALSE)</f>
        <v>0</v>
      </c>
      <c r="E248" s="454">
        <f>VLOOKUP(B248,'Title III 2013-14'!$A$2:$D$296,4,FALSE)</f>
        <v>0</v>
      </c>
      <c r="F248" s="454">
        <f>IFERROR(VLOOKUP(B248,'Native American 050714'!$A$2:$E$62,5,FALSE),0)</f>
        <v>0</v>
      </c>
      <c r="I248" s="491">
        <f t="shared" si="3"/>
        <v>0</v>
      </c>
      <c r="M248" s="244"/>
      <c r="N248" s="3"/>
      <c r="O248" s="7"/>
      <c r="P248" s="7"/>
      <c r="Q248" s="271"/>
      <c r="R248" s="271"/>
      <c r="S248" s="271"/>
      <c r="T248" s="271"/>
      <c r="U248" s="271"/>
      <c r="V248" s="271"/>
      <c r="W248" s="275"/>
      <c r="X248" s="271"/>
      <c r="Y248" s="221"/>
    </row>
    <row r="249" spans="2:25">
      <c r="B249" s="127" t="s">
        <v>466</v>
      </c>
      <c r="C249" s="55" t="str">
        <f>VLOOKUP(B249,'ccddd 1 col'!$B$2:$C$313,2,FALSE)</f>
        <v>Mary Walker</v>
      </c>
      <c r="D249" s="128">
        <f>VLOOKUP(B249,'Biling Enroll 050714'!$A$4:$C$303,3,FALSE)</f>
        <v>0</v>
      </c>
      <c r="E249" s="454">
        <f>VLOOKUP(B249,'Title III 2013-14'!$A$2:$D$296,4,FALSE)</f>
        <v>0</v>
      </c>
      <c r="F249" s="454">
        <f>IFERROR(VLOOKUP(B249,'Native American 050714'!$A$2:$E$62,5,FALSE),0)</f>
        <v>0</v>
      </c>
      <c r="I249" s="491">
        <f t="shared" si="3"/>
        <v>0</v>
      </c>
      <c r="M249" s="244"/>
      <c r="N249" s="3"/>
      <c r="O249" s="7"/>
      <c r="P249" s="7"/>
      <c r="Q249" s="271"/>
      <c r="R249" s="271"/>
      <c r="S249" s="271"/>
      <c r="T249" s="271"/>
      <c r="U249" s="271"/>
      <c r="V249" s="271"/>
      <c r="W249" s="275"/>
      <c r="X249" s="271"/>
      <c r="Y249" s="221"/>
    </row>
    <row r="250" spans="2:25">
      <c r="B250" s="127" t="s">
        <v>468</v>
      </c>
      <c r="C250" s="55" t="str">
        <f>VLOOKUP(B250,'ccddd 1 col'!$B$2:$C$313,2,FALSE)</f>
        <v>Northport</v>
      </c>
      <c r="D250" s="128">
        <f>VLOOKUP(B250,'Biling Enroll 050714'!$A$4:$C$303,3,FALSE)</f>
        <v>0</v>
      </c>
      <c r="E250" s="454">
        <f>VLOOKUP(B250,'Title III 2013-14'!$A$2:$D$296,4,FALSE)</f>
        <v>0</v>
      </c>
      <c r="F250" s="454">
        <f>IFERROR(VLOOKUP(B250,'Native American 050714'!$A$2:$E$62,5,FALSE),0)</f>
        <v>0</v>
      </c>
      <c r="I250" s="491">
        <f t="shared" si="3"/>
        <v>0</v>
      </c>
      <c r="M250" s="244"/>
      <c r="N250" s="3"/>
      <c r="O250" s="7"/>
      <c r="P250" s="7"/>
      <c r="Q250" s="271"/>
      <c r="R250" s="271"/>
      <c r="S250" s="271"/>
      <c r="T250" s="271"/>
      <c r="U250" s="271"/>
      <c r="V250" s="271"/>
      <c r="W250" s="275"/>
      <c r="X250" s="271"/>
      <c r="Y250" s="221"/>
    </row>
    <row r="251" spans="2:25">
      <c r="B251" s="127" t="s">
        <v>470</v>
      </c>
      <c r="C251" s="55" t="str">
        <f>VLOOKUP(B251,'ccddd 1 col'!$B$2:$C$313,2,FALSE)</f>
        <v>Kettle Falls</v>
      </c>
      <c r="D251" s="128">
        <f>VLOOKUP(B251,'Biling Enroll 050714'!$A$4:$C$303,3,FALSE)</f>
        <v>0</v>
      </c>
      <c r="E251" s="454">
        <f>VLOOKUP(B251,'Title III 2013-14'!$A$2:$D$296,4,FALSE)</f>
        <v>0</v>
      </c>
      <c r="F251" s="454">
        <f>IFERROR(VLOOKUP(B251,'Native American 050714'!$A$2:$E$62,5,FALSE),0)</f>
        <v>0</v>
      </c>
      <c r="I251" s="491">
        <f t="shared" si="3"/>
        <v>0</v>
      </c>
      <c r="M251" s="244"/>
      <c r="N251" s="3"/>
      <c r="O251" s="7"/>
      <c r="P251" s="7"/>
      <c r="Q251" s="271"/>
      <c r="R251" s="271"/>
      <c r="S251" s="271"/>
      <c r="T251" s="271"/>
      <c r="U251" s="271"/>
      <c r="V251" s="271"/>
      <c r="W251" s="275"/>
      <c r="X251" s="271"/>
      <c r="Y251" s="221"/>
    </row>
    <row r="252" spans="2:25">
      <c r="B252" s="127" t="s">
        <v>472</v>
      </c>
      <c r="C252" s="55" t="e">
        <f>VLOOKUP(B252,'ccddd 1 col'!$B$2:$C$313,2,FALSE)</f>
        <v>#N/A</v>
      </c>
      <c r="D252" s="128">
        <f>VLOOKUP(B252,'Biling Enroll 050714'!$A$4:$C$303,3,FALSE)</f>
        <v>98.43</v>
      </c>
      <c r="E252" s="454">
        <f>VLOOKUP(B252,'Title III 2013-14'!$A$2:$D$296,4,FALSE)</f>
        <v>0</v>
      </c>
      <c r="F252" s="454">
        <f>IFERROR(VLOOKUP(B252,'Native American 050714'!$A$2:$E$62,5,FALSE),0)</f>
        <v>0</v>
      </c>
      <c r="I252" s="491">
        <f t="shared" si="3"/>
        <v>98.43</v>
      </c>
      <c r="M252" s="244"/>
      <c r="N252" s="3"/>
      <c r="O252" s="7"/>
      <c r="P252" s="7"/>
      <c r="Q252" s="271"/>
      <c r="R252" s="271"/>
      <c r="S252" s="271"/>
      <c r="T252" s="271"/>
      <c r="U252" s="271"/>
      <c r="V252" s="271"/>
      <c r="W252" s="275"/>
      <c r="X252" s="271"/>
      <c r="Y252" s="221"/>
    </row>
    <row r="253" spans="2:25">
      <c r="B253" s="127" t="s">
        <v>474</v>
      </c>
      <c r="C253" s="55" t="str">
        <f>VLOOKUP(B253,'ccddd 1 col'!$B$2:$C$313,2,FALSE)</f>
        <v>North Thurston</v>
      </c>
      <c r="D253" s="128">
        <f>VLOOKUP(B253,'Biling Enroll 050714'!$A$4:$C$303,3,FALSE)</f>
        <v>606.57000000000005</v>
      </c>
      <c r="E253" s="454">
        <f>VLOOKUP(B253,'Title III 2013-14'!$A$2:$D$296,4,FALSE)</f>
        <v>0</v>
      </c>
      <c r="F253" s="454">
        <f>IFERROR(VLOOKUP(B253,'Native American 050714'!$A$2:$E$62,5,FALSE),0)</f>
        <v>1</v>
      </c>
      <c r="I253" s="491">
        <f t="shared" si="3"/>
        <v>607.57000000000005</v>
      </c>
      <c r="M253" s="244"/>
      <c r="N253" s="3"/>
      <c r="O253" s="7"/>
      <c r="P253" s="7"/>
      <c r="Q253" s="271"/>
      <c r="R253" s="271"/>
      <c r="S253" s="271"/>
      <c r="T253" s="271"/>
      <c r="U253" s="271"/>
      <c r="V253" s="271"/>
      <c r="W253" s="275"/>
      <c r="X253" s="271"/>
      <c r="Y253" s="221"/>
    </row>
    <row r="254" spans="2:25">
      <c r="B254" s="127" t="s">
        <v>476</v>
      </c>
      <c r="C254" s="55" t="str">
        <f>VLOOKUP(B254,'ccddd 1 col'!$B$2:$C$313,2,FALSE)</f>
        <v>Tumwater</v>
      </c>
      <c r="D254" s="128">
        <f>VLOOKUP(B254,'Biling Enroll 050714'!$A$4:$C$303,3,FALSE)</f>
        <v>87.86</v>
      </c>
      <c r="E254" s="454">
        <f>VLOOKUP(B254,'Title III 2013-14'!$A$2:$D$296,4,FALSE)</f>
        <v>0</v>
      </c>
      <c r="F254" s="454">
        <f>IFERROR(VLOOKUP(B254,'Native American 050714'!$A$2:$E$62,5,FALSE),0)</f>
        <v>0</v>
      </c>
      <c r="I254" s="491">
        <f t="shared" si="3"/>
        <v>87.86</v>
      </c>
      <c r="M254" s="244"/>
      <c r="N254" s="3"/>
      <c r="O254" s="7"/>
      <c r="P254" s="7"/>
      <c r="Q254" s="271"/>
      <c r="R254" s="271"/>
      <c r="S254" s="271"/>
      <c r="T254" s="271"/>
      <c r="U254" s="271"/>
      <c r="V254" s="271"/>
      <c r="W254" s="275"/>
      <c r="X254" s="271"/>
      <c r="Y254" s="221"/>
    </row>
    <row r="255" spans="2:25">
      <c r="B255" s="127" t="s">
        <v>478</v>
      </c>
      <c r="C255" s="55" t="str">
        <f>VLOOKUP(B255,'ccddd 1 col'!$B$2:$C$313,2,FALSE)</f>
        <v>Olympia</v>
      </c>
      <c r="D255" s="128">
        <f>VLOOKUP(B255,'Biling Enroll 050714'!$A$4:$C$303,3,FALSE)</f>
        <v>191.86</v>
      </c>
      <c r="E255" s="454">
        <f>VLOOKUP(B255,'Title III 2013-14'!$A$2:$D$296,4,FALSE)</f>
        <v>0</v>
      </c>
      <c r="F255" s="454">
        <f>IFERROR(VLOOKUP(B255,'Native American 050714'!$A$2:$E$62,5,FALSE),0)</f>
        <v>8</v>
      </c>
      <c r="I255" s="491">
        <f t="shared" si="3"/>
        <v>199.86</v>
      </c>
      <c r="M255" s="244"/>
      <c r="N255" s="3"/>
      <c r="O255" s="7"/>
      <c r="P255" s="7"/>
      <c r="Q255" s="271"/>
      <c r="R255" s="271"/>
      <c r="S255" s="271"/>
      <c r="T255" s="271"/>
      <c r="U255" s="271"/>
      <c r="V255" s="271"/>
      <c r="W255" s="275"/>
      <c r="X255" s="271"/>
      <c r="Y255" s="221"/>
    </row>
    <row r="256" spans="2:25">
      <c r="B256" s="127" t="s">
        <v>480</v>
      </c>
      <c r="C256" s="55" t="str">
        <f>VLOOKUP(B256,'ccddd 1 col'!$B$2:$C$313,2,FALSE)</f>
        <v>Rainier</v>
      </c>
      <c r="D256" s="128">
        <f>VLOOKUP(B256,'Biling Enroll 050714'!$A$4:$C$303,3,FALSE)</f>
        <v>0</v>
      </c>
      <c r="E256" s="454">
        <f>VLOOKUP(B256,'Title III 2013-14'!$A$2:$D$296,4,FALSE)</f>
        <v>0</v>
      </c>
      <c r="F256" s="454">
        <f>IFERROR(VLOOKUP(B256,'Native American 050714'!$A$2:$E$62,5,FALSE),0)</f>
        <v>0</v>
      </c>
      <c r="I256" s="491">
        <f t="shared" si="3"/>
        <v>0</v>
      </c>
      <c r="M256" s="244"/>
      <c r="N256" s="3"/>
      <c r="O256" s="7"/>
      <c r="P256" s="7"/>
      <c r="Q256" s="271"/>
      <c r="R256" s="271"/>
      <c r="S256" s="271"/>
      <c r="T256" s="271"/>
      <c r="U256" s="271"/>
      <c r="V256" s="271"/>
      <c r="W256" s="275"/>
      <c r="X256" s="271"/>
      <c r="Y256" s="221"/>
    </row>
    <row r="257" spans="2:25">
      <c r="B257" s="127" t="s">
        <v>482</v>
      </c>
      <c r="C257" s="55" t="str">
        <f>VLOOKUP(B257,'ccddd 1 col'!$B$2:$C$313,2,FALSE)</f>
        <v>Griffin</v>
      </c>
      <c r="D257" s="128">
        <f>VLOOKUP(B257,'Biling Enroll 050714'!$A$4:$C$303,3,FALSE)</f>
        <v>5</v>
      </c>
      <c r="E257" s="454">
        <f>VLOOKUP(B257,'Title III 2013-14'!$A$2:$D$296,4,FALSE)</f>
        <v>0</v>
      </c>
      <c r="F257" s="454">
        <f>IFERROR(VLOOKUP(B257,'Native American 050714'!$A$2:$E$62,5,FALSE),0)</f>
        <v>0</v>
      </c>
      <c r="I257" s="491">
        <f t="shared" si="3"/>
        <v>5</v>
      </c>
      <c r="M257" s="244"/>
      <c r="N257" s="3"/>
      <c r="O257" s="7"/>
      <c r="P257" s="7"/>
      <c r="Q257" s="271"/>
      <c r="R257" s="271"/>
      <c r="S257" s="271"/>
      <c r="T257" s="271"/>
      <c r="U257" s="271"/>
      <c r="V257" s="271"/>
      <c r="W257" s="275"/>
      <c r="X257" s="271"/>
      <c r="Y257" s="221"/>
    </row>
    <row r="258" spans="2:25">
      <c r="B258" s="127" t="s">
        <v>484</v>
      </c>
      <c r="C258" s="55" t="str">
        <f>VLOOKUP(B258,'ccddd 1 col'!$B$2:$C$313,2,FALSE)</f>
        <v>Rochester</v>
      </c>
      <c r="D258" s="128">
        <f>VLOOKUP(B258,'Biling Enroll 050714'!$A$4:$C$303,3,FALSE)</f>
        <v>123.14</v>
      </c>
      <c r="E258" s="454">
        <f>VLOOKUP(B258,'Title III 2013-14'!$A$2:$D$296,4,FALSE)</f>
        <v>0</v>
      </c>
      <c r="F258" s="454">
        <f>IFERROR(VLOOKUP(B258,'Native American 050714'!$A$2:$E$62,5,FALSE),0)</f>
        <v>1</v>
      </c>
      <c r="I258" s="491">
        <f t="shared" si="3"/>
        <v>124.14</v>
      </c>
      <c r="M258" s="244"/>
      <c r="N258" s="3"/>
      <c r="O258" s="7"/>
      <c r="P258" s="7"/>
      <c r="Q258" s="271"/>
      <c r="R258" s="271"/>
      <c r="S258" s="271"/>
      <c r="T258" s="271"/>
      <c r="U258" s="271"/>
      <c r="V258" s="271"/>
      <c r="W258" s="275"/>
      <c r="X258" s="271"/>
      <c r="Y258" s="221"/>
    </row>
    <row r="259" spans="2:25">
      <c r="B259" s="127" t="s">
        <v>486</v>
      </c>
      <c r="C259" s="55" t="str">
        <f>VLOOKUP(B259,'ccddd 1 col'!$B$2:$C$313,2,FALSE)</f>
        <v>Tenino</v>
      </c>
      <c r="D259" s="128">
        <f>VLOOKUP(B259,'Biling Enroll 050714'!$A$4:$C$303,3,FALSE)</f>
        <v>13.14</v>
      </c>
      <c r="E259" s="454">
        <f>VLOOKUP(B259,'Title III 2013-14'!$A$2:$D$296,4,FALSE)</f>
        <v>0</v>
      </c>
      <c r="F259" s="454">
        <f>IFERROR(VLOOKUP(B259,'Native American 050714'!$A$2:$E$62,5,FALSE),0)</f>
        <v>0</v>
      </c>
      <c r="I259" s="491">
        <f t="shared" si="3"/>
        <v>13.14</v>
      </c>
      <c r="M259" s="244"/>
      <c r="N259" s="3"/>
      <c r="O259" s="7"/>
      <c r="P259" s="7"/>
      <c r="Q259" s="271"/>
      <c r="R259" s="271"/>
      <c r="S259" s="271"/>
      <c r="T259" s="271"/>
      <c r="U259" s="271"/>
      <c r="V259" s="271"/>
      <c r="W259" s="275"/>
      <c r="X259" s="271"/>
      <c r="Y259" s="221"/>
    </row>
    <row r="260" spans="2:25">
      <c r="B260" s="127" t="s">
        <v>488</v>
      </c>
      <c r="C260" s="55" t="str">
        <f>VLOOKUP(B260,'ccddd 1 col'!$B$2:$C$313,2,FALSE)</f>
        <v>Wahkiakum</v>
      </c>
      <c r="D260" s="128">
        <f>VLOOKUP(B260,'Biling Enroll 050714'!$A$4:$C$303,3,FALSE)</f>
        <v>14</v>
      </c>
      <c r="E260" s="454">
        <f>VLOOKUP(B260,'Title III 2013-14'!$A$2:$D$296,4,FALSE)</f>
        <v>0</v>
      </c>
      <c r="F260" s="454">
        <f>IFERROR(VLOOKUP(B260,'Native American 050714'!$A$2:$E$62,5,FALSE),0)</f>
        <v>0</v>
      </c>
      <c r="I260" s="491">
        <f t="shared" ref="I260:I302" si="4">D260+E260+F260</f>
        <v>14</v>
      </c>
      <c r="M260" s="244"/>
      <c r="N260" s="3"/>
      <c r="O260" s="7"/>
      <c r="P260" s="7"/>
      <c r="Q260" s="271"/>
      <c r="R260" s="271"/>
      <c r="S260" s="271"/>
      <c r="T260" s="271"/>
      <c r="U260" s="271"/>
      <c r="V260" s="271"/>
      <c r="W260" s="275"/>
      <c r="X260" s="271"/>
      <c r="Y260" s="221"/>
    </row>
    <row r="261" spans="2:25">
      <c r="B261" s="127" t="s">
        <v>490</v>
      </c>
      <c r="C261" s="55" t="str">
        <f>VLOOKUP(B261,'ccddd 1 col'!$B$2:$C$313,2,FALSE)</f>
        <v>Dixie</v>
      </c>
      <c r="D261" s="128">
        <f>VLOOKUP(B261,'Biling Enroll 050714'!$A$4:$C$303,3,FALSE)</f>
        <v>0</v>
      </c>
      <c r="E261" s="454">
        <f>VLOOKUP(B261,'Title III 2013-14'!$A$2:$D$296,4,FALSE)</f>
        <v>0</v>
      </c>
      <c r="F261" s="454">
        <f>IFERROR(VLOOKUP(B261,'Native American 050714'!$A$2:$E$62,5,FALSE),0)</f>
        <v>0</v>
      </c>
      <c r="I261" s="491">
        <f t="shared" si="4"/>
        <v>0</v>
      </c>
      <c r="M261" s="244"/>
      <c r="N261" s="3"/>
      <c r="O261" s="7"/>
      <c r="P261" s="7"/>
      <c r="Q261" s="271"/>
      <c r="R261" s="271"/>
      <c r="S261" s="271"/>
      <c r="T261" s="271"/>
      <c r="U261" s="271"/>
      <c r="V261" s="271"/>
      <c r="W261" s="275"/>
      <c r="X261" s="271"/>
      <c r="Y261" s="221"/>
    </row>
    <row r="262" spans="2:25">
      <c r="B262" s="127" t="s">
        <v>492</v>
      </c>
      <c r="C262" s="55" t="str">
        <f>VLOOKUP(B262,'ccddd 1 col'!$B$2:$C$313,2,FALSE)</f>
        <v>Walla Walla</v>
      </c>
      <c r="D262" s="128">
        <f>VLOOKUP(B262,'Biling Enroll 050714'!$A$4:$C$303,3,FALSE)</f>
        <v>777.14</v>
      </c>
      <c r="E262" s="454">
        <f>VLOOKUP(B262,'Title III 2013-14'!$A$2:$D$296,4,FALSE)</f>
        <v>0</v>
      </c>
      <c r="F262" s="454">
        <f>IFERROR(VLOOKUP(B262,'Native American 050714'!$A$2:$E$62,5,FALSE),0)</f>
        <v>0</v>
      </c>
      <c r="I262" s="491">
        <f t="shared" si="4"/>
        <v>777.14</v>
      </c>
      <c r="M262" s="244"/>
      <c r="N262" s="3"/>
      <c r="O262" s="7"/>
      <c r="P262" s="7"/>
      <c r="Q262" s="271"/>
      <c r="R262" s="271"/>
      <c r="S262" s="271"/>
      <c r="T262" s="271"/>
      <c r="U262" s="271"/>
      <c r="V262" s="271"/>
      <c r="W262" s="275"/>
      <c r="X262" s="271"/>
      <c r="Y262" s="221"/>
    </row>
    <row r="263" spans="2:25">
      <c r="B263" s="127" t="s">
        <v>494</v>
      </c>
      <c r="C263" s="55" t="str">
        <f>VLOOKUP(B263,'ccddd 1 col'!$B$2:$C$313,2,FALSE)</f>
        <v>College Place</v>
      </c>
      <c r="D263" s="128">
        <f>VLOOKUP(B263,'Biling Enroll 050714'!$A$4:$C$303,3,FALSE)</f>
        <v>188.43</v>
      </c>
      <c r="E263" s="454">
        <f>VLOOKUP(B263,'Title III 2013-14'!$A$2:$D$296,4,FALSE)</f>
        <v>0</v>
      </c>
      <c r="F263" s="454">
        <f>IFERROR(VLOOKUP(B263,'Native American 050714'!$A$2:$E$62,5,FALSE),0)</f>
        <v>0</v>
      </c>
      <c r="I263" s="491">
        <f t="shared" si="4"/>
        <v>188.43</v>
      </c>
      <c r="M263" s="244"/>
      <c r="N263" s="3"/>
      <c r="O263" s="7"/>
      <c r="P263" s="7"/>
      <c r="Q263" s="271"/>
      <c r="R263" s="271"/>
      <c r="S263" s="271"/>
      <c r="T263" s="271"/>
      <c r="U263" s="271"/>
      <c r="V263" s="271"/>
      <c r="W263" s="275"/>
      <c r="X263" s="271"/>
      <c r="Y263" s="221"/>
    </row>
    <row r="264" spans="2:25">
      <c r="B264" s="127" t="s">
        <v>496</v>
      </c>
      <c r="C264" s="55" t="str">
        <f>VLOOKUP(B264,'ccddd 1 col'!$B$2:$C$313,2,FALSE)</f>
        <v>Touchet</v>
      </c>
      <c r="D264" s="128">
        <f>VLOOKUP(B264,'Biling Enroll 050714'!$A$4:$C$303,3,FALSE)</f>
        <v>29</v>
      </c>
      <c r="E264" s="454">
        <f>VLOOKUP(B264,'Title III 2013-14'!$A$2:$D$296,4,FALSE)</f>
        <v>0</v>
      </c>
      <c r="F264" s="454">
        <f>IFERROR(VLOOKUP(B264,'Native American 050714'!$A$2:$E$62,5,FALSE),0)</f>
        <v>2</v>
      </c>
      <c r="I264" s="491">
        <f t="shared" si="4"/>
        <v>31</v>
      </c>
      <c r="M264" s="244"/>
      <c r="N264" s="3"/>
      <c r="O264" s="7"/>
      <c r="P264" s="7"/>
      <c r="Q264" s="271"/>
      <c r="R264" s="271"/>
      <c r="S264" s="271"/>
      <c r="T264" s="271"/>
      <c r="U264" s="271"/>
      <c r="V264" s="271"/>
      <c r="W264" s="275"/>
      <c r="X264" s="271"/>
      <c r="Y264" s="221"/>
    </row>
    <row r="265" spans="2:25">
      <c r="B265" s="127" t="s">
        <v>498</v>
      </c>
      <c r="C265" s="55" t="str">
        <f>VLOOKUP(B265,'ccddd 1 col'!$B$2:$C$313,2,FALSE)</f>
        <v>Columbia (Walla)</v>
      </c>
      <c r="D265" s="128">
        <f>VLOOKUP(B265,'Biling Enroll 050714'!$A$4:$C$303,3,FALSE)</f>
        <v>109.86</v>
      </c>
      <c r="E265" s="454">
        <f>VLOOKUP(B265,'Title III 2013-14'!$A$2:$D$296,4,FALSE)</f>
        <v>0</v>
      </c>
      <c r="F265" s="454">
        <f>IFERROR(VLOOKUP(B265,'Native American 050714'!$A$2:$E$62,5,FALSE),0)</f>
        <v>0</v>
      </c>
      <c r="I265" s="491">
        <f t="shared" si="4"/>
        <v>109.86</v>
      </c>
      <c r="M265" s="244"/>
      <c r="N265" s="3"/>
      <c r="O265" s="7"/>
      <c r="P265" s="7"/>
      <c r="Q265" s="271"/>
      <c r="R265" s="271"/>
      <c r="S265" s="271"/>
      <c r="T265" s="271"/>
      <c r="U265" s="271"/>
      <c r="V265" s="271"/>
      <c r="W265" s="275"/>
      <c r="X265" s="271"/>
      <c r="Y265" s="221"/>
    </row>
    <row r="266" spans="2:25">
      <c r="B266" s="127" t="s">
        <v>500</v>
      </c>
      <c r="C266" s="55" t="str">
        <f>VLOOKUP(B266,'ccddd 1 col'!$B$2:$C$313,2,FALSE)</f>
        <v>Waitsburg</v>
      </c>
      <c r="D266" s="128">
        <f>VLOOKUP(B266,'Biling Enroll 050714'!$A$4:$C$303,3,FALSE)</f>
        <v>0</v>
      </c>
      <c r="E266" s="454">
        <f>VLOOKUP(B266,'Title III 2013-14'!$A$2:$D$296,4,FALSE)</f>
        <v>0</v>
      </c>
      <c r="F266" s="454">
        <f>IFERROR(VLOOKUP(B266,'Native American 050714'!$A$2:$E$62,5,FALSE),0)</f>
        <v>0</v>
      </c>
      <c r="I266" s="491">
        <f t="shared" si="4"/>
        <v>0</v>
      </c>
      <c r="M266" s="244"/>
      <c r="N266" s="3"/>
      <c r="O266" s="7"/>
      <c r="P266" s="7"/>
      <c r="Q266" s="271"/>
      <c r="R266" s="271"/>
      <c r="S266" s="271"/>
      <c r="T266" s="271"/>
      <c r="U266" s="271"/>
      <c r="V266" s="271"/>
      <c r="W266" s="275"/>
      <c r="X266" s="271"/>
      <c r="Y266" s="221"/>
    </row>
    <row r="267" spans="2:25">
      <c r="B267" s="127" t="s">
        <v>502</v>
      </c>
      <c r="C267" s="55" t="str">
        <f>VLOOKUP(B267,'ccddd 1 col'!$B$2:$C$313,2,FALSE)</f>
        <v>Prescott</v>
      </c>
      <c r="D267" s="128">
        <f>VLOOKUP(B267,'Biling Enroll 050714'!$A$4:$C$303,3,FALSE)</f>
        <v>120.43</v>
      </c>
      <c r="E267" s="454">
        <f>VLOOKUP(B267,'Title III 2013-14'!$A$2:$D$296,4,FALSE)</f>
        <v>0</v>
      </c>
      <c r="F267" s="454">
        <f>IFERROR(VLOOKUP(B267,'Native American 050714'!$A$2:$E$62,5,FALSE),0)</f>
        <v>0</v>
      </c>
      <c r="I267" s="491">
        <f t="shared" si="4"/>
        <v>120.43</v>
      </c>
      <c r="M267" s="244"/>
      <c r="N267" s="3"/>
      <c r="O267" s="7"/>
      <c r="P267" s="7"/>
      <c r="Q267" s="271"/>
      <c r="R267" s="271"/>
      <c r="S267" s="271"/>
      <c r="T267" s="271"/>
      <c r="U267" s="271"/>
      <c r="V267" s="271"/>
      <c r="W267" s="275"/>
      <c r="X267" s="271"/>
      <c r="Y267" s="221"/>
    </row>
    <row r="268" spans="2:25">
      <c r="B268" s="127" t="s">
        <v>504</v>
      </c>
      <c r="C268" s="55" t="str">
        <f>VLOOKUP(B268,'ccddd 1 col'!$B$2:$C$313,2,FALSE)</f>
        <v>Bellingham</v>
      </c>
      <c r="D268" s="128">
        <f>VLOOKUP(B268,'Biling Enroll 050714'!$A$4:$C$303,3,FALSE)</f>
        <v>639.14</v>
      </c>
      <c r="E268" s="454">
        <f>VLOOKUP(B268,'Title III 2013-14'!$A$2:$D$296,4,FALSE)</f>
        <v>15</v>
      </c>
      <c r="F268" s="454">
        <f>IFERROR(VLOOKUP(B268,'Native American 050714'!$A$2:$E$62,5,FALSE),0)</f>
        <v>0</v>
      </c>
      <c r="I268" s="491">
        <f t="shared" si="4"/>
        <v>654.14</v>
      </c>
      <c r="M268" s="244"/>
      <c r="N268" s="3"/>
      <c r="O268" s="7"/>
      <c r="P268" s="7"/>
      <c r="Q268" s="271"/>
      <c r="R268" s="271"/>
      <c r="S268" s="271"/>
      <c r="T268" s="271"/>
      <c r="U268" s="271"/>
      <c r="V268" s="271"/>
      <c r="W268" s="275"/>
      <c r="X268" s="271"/>
      <c r="Y268" s="221"/>
    </row>
    <row r="269" spans="2:25">
      <c r="B269" s="127" t="s">
        <v>506</v>
      </c>
      <c r="C269" s="55" t="str">
        <f>VLOOKUP(B269,'ccddd 1 col'!$B$2:$C$313,2,FALSE)</f>
        <v>Ferndale</v>
      </c>
      <c r="D269" s="128">
        <f>VLOOKUP(B269,'Biling Enroll 050714'!$A$4:$C$303,3,FALSE)</f>
        <v>233.71</v>
      </c>
      <c r="E269" s="454">
        <f>VLOOKUP(B269,'Title III 2013-14'!$A$2:$D$296,4,FALSE)</f>
        <v>0</v>
      </c>
      <c r="F269" s="454">
        <f>IFERROR(VLOOKUP(B269,'Native American 050714'!$A$2:$E$62,5,FALSE),0)</f>
        <v>0</v>
      </c>
      <c r="I269" s="491">
        <f t="shared" si="4"/>
        <v>233.71</v>
      </c>
      <c r="M269" s="244"/>
      <c r="N269" s="3"/>
      <c r="O269" s="7"/>
      <c r="P269" s="7"/>
      <c r="Q269" s="271"/>
      <c r="R269" s="271"/>
      <c r="S269" s="271"/>
      <c r="T269" s="271"/>
      <c r="U269" s="271"/>
      <c r="V269" s="271"/>
      <c r="W269" s="275"/>
      <c r="X269" s="271"/>
      <c r="Y269" s="221"/>
    </row>
    <row r="270" spans="2:25">
      <c r="B270" s="127" t="s">
        <v>508</v>
      </c>
      <c r="C270" s="55" t="str">
        <f>VLOOKUP(B270,'ccddd 1 col'!$B$2:$C$313,2,FALSE)</f>
        <v>Blaine</v>
      </c>
      <c r="D270" s="128">
        <f>VLOOKUP(B270,'Biling Enroll 050714'!$A$4:$C$303,3,FALSE)</f>
        <v>81.709999999999994</v>
      </c>
      <c r="E270" s="454">
        <f>VLOOKUP(B270,'Title III 2013-14'!$A$2:$D$296,4,FALSE)</f>
        <v>0</v>
      </c>
      <c r="F270" s="454">
        <f>IFERROR(VLOOKUP(B270,'Native American 050714'!$A$2:$E$62,5,FALSE),0)</f>
        <v>1</v>
      </c>
      <c r="I270" s="491">
        <f t="shared" si="4"/>
        <v>82.71</v>
      </c>
      <c r="M270" s="244"/>
      <c r="N270" s="3"/>
      <c r="O270" s="7"/>
      <c r="P270" s="7"/>
      <c r="Q270" s="271"/>
      <c r="R270" s="271"/>
      <c r="S270" s="271"/>
      <c r="T270" s="271"/>
      <c r="U270" s="271"/>
      <c r="V270" s="271"/>
      <c r="W270" s="275"/>
      <c r="X270" s="271"/>
      <c r="Y270" s="221"/>
    </row>
    <row r="271" spans="2:25">
      <c r="B271" s="127" t="s">
        <v>510</v>
      </c>
      <c r="C271" s="55" t="str">
        <f>VLOOKUP(B271,'ccddd 1 col'!$B$2:$C$313,2,FALSE)</f>
        <v>Lynden</v>
      </c>
      <c r="D271" s="128">
        <f>VLOOKUP(B271,'Biling Enroll 050714'!$A$4:$C$303,3,FALSE)</f>
        <v>241.43</v>
      </c>
      <c r="E271" s="454">
        <f>VLOOKUP(B271,'Title III 2013-14'!$A$2:$D$296,4,FALSE)</f>
        <v>0</v>
      </c>
      <c r="F271" s="454">
        <f>IFERROR(VLOOKUP(B271,'Native American 050714'!$A$2:$E$62,5,FALSE),0)</f>
        <v>0</v>
      </c>
      <c r="I271" s="491">
        <f t="shared" si="4"/>
        <v>241.43</v>
      </c>
      <c r="M271" s="244"/>
      <c r="N271" s="3"/>
      <c r="O271" s="7"/>
      <c r="P271" s="7"/>
      <c r="Q271" s="271"/>
      <c r="R271" s="271"/>
      <c r="S271" s="271"/>
      <c r="T271" s="271"/>
      <c r="U271" s="271"/>
      <c r="V271" s="271"/>
      <c r="W271" s="275"/>
      <c r="X271" s="271"/>
      <c r="Y271" s="221"/>
    </row>
    <row r="272" spans="2:25">
      <c r="B272" s="127" t="s">
        <v>512</v>
      </c>
      <c r="C272" s="55" t="str">
        <f>VLOOKUP(B272,'ccddd 1 col'!$B$2:$C$313,2,FALSE)</f>
        <v>Meridian</v>
      </c>
      <c r="D272" s="128">
        <f>VLOOKUP(B272,'Biling Enroll 050714'!$A$4:$C$303,3,FALSE)</f>
        <v>104.71</v>
      </c>
      <c r="E272" s="454">
        <f>VLOOKUP(B272,'Title III 2013-14'!$A$2:$D$296,4,FALSE)</f>
        <v>0</v>
      </c>
      <c r="F272" s="454">
        <f>IFERROR(VLOOKUP(B272,'Native American 050714'!$A$2:$E$62,5,FALSE),0)</f>
        <v>0</v>
      </c>
      <c r="I272" s="491">
        <f t="shared" si="4"/>
        <v>104.71</v>
      </c>
      <c r="M272" s="244"/>
      <c r="N272" s="3"/>
      <c r="O272" s="7"/>
      <c r="P272" s="7"/>
      <c r="Q272" s="271"/>
      <c r="R272" s="271"/>
      <c r="S272" s="271"/>
      <c r="T272" s="271"/>
      <c r="U272" s="271"/>
      <c r="V272" s="271"/>
      <c r="W272" s="275"/>
      <c r="X272" s="271"/>
      <c r="Y272" s="221"/>
    </row>
    <row r="273" spans="2:25">
      <c r="B273" s="127" t="s">
        <v>514</v>
      </c>
      <c r="C273" s="55" t="str">
        <f>VLOOKUP(B273,'ccddd 1 col'!$B$2:$C$313,2,FALSE)</f>
        <v>Nooksack Valley</v>
      </c>
      <c r="D273" s="128">
        <f>VLOOKUP(B273,'Biling Enroll 050714'!$A$4:$C$303,3,FALSE)</f>
        <v>209.29</v>
      </c>
      <c r="E273" s="454">
        <f>VLOOKUP(B273,'Title III 2013-14'!$A$2:$D$296,4,FALSE)</f>
        <v>0</v>
      </c>
      <c r="F273" s="454">
        <f>IFERROR(VLOOKUP(B273,'Native American 050714'!$A$2:$E$62,5,FALSE),0)</f>
        <v>0</v>
      </c>
      <c r="I273" s="491">
        <f t="shared" si="4"/>
        <v>209.29</v>
      </c>
      <c r="M273" s="244"/>
      <c r="N273" s="3"/>
      <c r="O273" s="7"/>
      <c r="P273" s="7"/>
      <c r="Q273" s="271"/>
      <c r="R273" s="271"/>
      <c r="S273" s="271"/>
      <c r="T273" s="271"/>
      <c r="U273" s="271"/>
      <c r="V273" s="271"/>
      <c r="W273" s="275"/>
      <c r="X273" s="271"/>
      <c r="Y273" s="221"/>
    </row>
    <row r="274" spans="2:25">
      <c r="B274" s="127" t="s">
        <v>516</v>
      </c>
      <c r="C274" s="55" t="str">
        <f>VLOOKUP(B274,'ccddd 1 col'!$B$2:$C$313,2,FALSE)</f>
        <v>Mount Baker</v>
      </c>
      <c r="D274" s="128">
        <f>VLOOKUP(B274,'Biling Enroll 050714'!$A$4:$C$303,3,FALSE)</f>
        <v>93.14</v>
      </c>
      <c r="E274" s="454">
        <f>VLOOKUP(B274,'Title III 2013-14'!$A$2:$D$296,4,FALSE)</f>
        <v>0</v>
      </c>
      <c r="F274" s="454">
        <f>IFERROR(VLOOKUP(B274,'Native American 050714'!$A$2:$E$62,5,FALSE),0)</f>
        <v>1</v>
      </c>
      <c r="I274" s="491">
        <f t="shared" si="4"/>
        <v>94.14</v>
      </c>
      <c r="M274" s="244"/>
      <c r="N274" s="3"/>
      <c r="O274" s="7"/>
      <c r="P274" s="7"/>
      <c r="Q274" s="271"/>
      <c r="R274" s="271"/>
      <c r="S274" s="271"/>
      <c r="T274" s="271"/>
      <c r="U274" s="271"/>
      <c r="V274" s="271"/>
      <c r="W274" s="275"/>
      <c r="X274" s="271"/>
      <c r="Y274" s="221"/>
    </row>
    <row r="275" spans="2:25">
      <c r="B275" s="127" t="s">
        <v>518</v>
      </c>
      <c r="C275" s="55" t="str">
        <f>VLOOKUP(B275,'ccddd 1 col'!$B$2:$C$313,2,FALSE)</f>
        <v>Lacrosse Joint</v>
      </c>
      <c r="D275" s="128">
        <f>VLOOKUP(B275,'Biling Enroll 050714'!$A$4:$C$303,3,FALSE)</f>
        <v>0</v>
      </c>
      <c r="E275" s="454">
        <f>VLOOKUP(B275,'Title III 2013-14'!$A$2:$D$296,4,FALSE)</f>
        <v>0</v>
      </c>
      <c r="F275" s="454">
        <f>IFERROR(VLOOKUP(B275,'Native American 050714'!$A$2:$E$62,5,FALSE),0)</f>
        <v>0</v>
      </c>
      <c r="I275" s="491">
        <f t="shared" si="4"/>
        <v>0</v>
      </c>
      <c r="M275" s="244"/>
      <c r="N275" s="3"/>
      <c r="O275" s="7"/>
      <c r="P275" s="7"/>
      <c r="Q275" s="271"/>
      <c r="R275" s="271"/>
      <c r="S275" s="271"/>
      <c r="T275" s="271"/>
      <c r="U275" s="271"/>
      <c r="V275" s="271"/>
      <c r="W275" s="275"/>
      <c r="X275" s="271"/>
      <c r="Y275" s="221"/>
    </row>
    <row r="276" spans="2:25">
      <c r="B276" s="127" t="s">
        <v>519</v>
      </c>
      <c r="C276" s="55" t="str">
        <f>VLOOKUP(B276,'ccddd 1 col'!$B$2:$C$313,2,FALSE)</f>
        <v>Lamont</v>
      </c>
      <c r="D276" s="128">
        <f>VLOOKUP(B276,'Biling Enroll 050714'!$A$4:$C$303,3,FALSE)</f>
        <v>0</v>
      </c>
      <c r="E276" s="454">
        <f>VLOOKUP(B276,'Title III 2013-14'!$A$2:$D$296,4,FALSE)</f>
        <v>0</v>
      </c>
      <c r="F276" s="454">
        <f>IFERROR(VLOOKUP(B276,'Native American 050714'!$A$2:$E$62,5,FALSE),0)</f>
        <v>0</v>
      </c>
      <c r="I276" s="491">
        <f t="shared" si="4"/>
        <v>0</v>
      </c>
      <c r="M276" s="244"/>
      <c r="N276" s="3"/>
      <c r="O276" s="7"/>
      <c r="P276" s="7"/>
      <c r="Q276" s="271"/>
      <c r="R276" s="271"/>
      <c r="S276" s="271"/>
      <c r="T276" s="271"/>
      <c r="U276" s="271"/>
      <c r="V276" s="271"/>
      <c r="W276" s="275"/>
      <c r="X276" s="271"/>
      <c r="Y276" s="221"/>
    </row>
    <row r="277" spans="2:25">
      <c r="B277" s="127" t="s">
        <v>521</v>
      </c>
      <c r="C277" s="55" t="str">
        <f>VLOOKUP(B277,'ccddd 1 col'!$B$2:$C$313,2,FALSE)</f>
        <v>Tekoa</v>
      </c>
      <c r="D277" s="128">
        <f>VLOOKUP(B277,'Biling Enroll 050714'!$A$4:$C$303,3,FALSE)</f>
        <v>0</v>
      </c>
      <c r="E277" s="454">
        <f>VLOOKUP(B277,'Title III 2013-14'!$A$2:$D$296,4,FALSE)</f>
        <v>0</v>
      </c>
      <c r="F277" s="454">
        <f>IFERROR(VLOOKUP(B277,'Native American 050714'!$A$2:$E$62,5,FALSE),0)</f>
        <v>0</v>
      </c>
      <c r="I277" s="491">
        <f t="shared" si="4"/>
        <v>0</v>
      </c>
      <c r="M277" s="244"/>
      <c r="N277" s="3"/>
      <c r="O277" s="7"/>
      <c r="P277" s="7"/>
      <c r="Q277" s="271"/>
      <c r="R277" s="271"/>
      <c r="S277" s="271"/>
      <c r="T277" s="271"/>
      <c r="U277" s="271"/>
      <c r="V277" s="271"/>
      <c r="W277" s="275"/>
      <c r="X277" s="271"/>
      <c r="Y277" s="221"/>
    </row>
    <row r="278" spans="2:25">
      <c r="B278" s="127" t="s">
        <v>523</v>
      </c>
      <c r="C278" s="55" t="str">
        <f>VLOOKUP(B278,'ccddd 1 col'!$B$2:$C$313,2,FALSE)</f>
        <v>Pullman</v>
      </c>
      <c r="D278" s="128">
        <f>VLOOKUP(B278,'Biling Enroll 050714'!$A$4:$C$303,3,FALSE)</f>
        <v>117.14</v>
      </c>
      <c r="E278" s="454">
        <f>VLOOKUP(B278,'Title III 2013-14'!$A$2:$D$296,4,FALSE)</f>
        <v>0</v>
      </c>
      <c r="F278" s="454">
        <f>IFERROR(VLOOKUP(B278,'Native American 050714'!$A$2:$E$62,5,FALSE),0)</f>
        <v>0</v>
      </c>
      <c r="I278" s="491">
        <f t="shared" si="4"/>
        <v>117.14</v>
      </c>
      <c r="M278" s="244"/>
      <c r="N278" s="3"/>
      <c r="O278" s="7"/>
      <c r="P278" s="7"/>
      <c r="Q278" s="271"/>
      <c r="R278" s="271"/>
      <c r="S278" s="271"/>
      <c r="T278" s="271"/>
      <c r="U278" s="271"/>
      <c r="V278" s="271"/>
      <c r="W278" s="275"/>
      <c r="X278" s="271"/>
      <c r="Y278" s="221"/>
    </row>
    <row r="279" spans="2:25">
      <c r="B279" s="127" t="s">
        <v>525</v>
      </c>
      <c r="C279" s="55" t="str">
        <f>VLOOKUP(B279,'ccddd 1 col'!$B$2:$C$313,2,FALSE)</f>
        <v>Colfax</v>
      </c>
      <c r="D279" s="128">
        <f>VLOOKUP(B279,'Biling Enroll 050714'!$A$4:$C$303,3,FALSE)</f>
        <v>0</v>
      </c>
      <c r="E279" s="454">
        <f>VLOOKUP(B279,'Title III 2013-14'!$A$2:$D$296,4,FALSE)</f>
        <v>0</v>
      </c>
      <c r="F279" s="454">
        <f>IFERROR(VLOOKUP(B279,'Native American 050714'!$A$2:$E$62,5,FALSE),0)</f>
        <v>0</v>
      </c>
      <c r="I279" s="491">
        <f t="shared" si="4"/>
        <v>0</v>
      </c>
      <c r="M279" s="244"/>
      <c r="N279" s="3"/>
      <c r="O279" s="7"/>
      <c r="P279" s="7"/>
      <c r="Q279" s="271"/>
      <c r="R279" s="271"/>
      <c r="S279" s="271"/>
      <c r="T279" s="271"/>
      <c r="U279" s="271"/>
      <c r="V279" s="271"/>
      <c r="W279" s="275"/>
      <c r="X279" s="271"/>
      <c r="Y279" s="221"/>
    </row>
    <row r="280" spans="2:25">
      <c r="B280" s="127" t="s">
        <v>527</v>
      </c>
      <c r="C280" s="55" t="str">
        <f>VLOOKUP(B280,'ccddd 1 col'!$B$2:$C$313,2,FALSE)</f>
        <v>Palouse</v>
      </c>
      <c r="D280" s="128">
        <f>VLOOKUP(B280,'Biling Enroll 050714'!$A$4:$C$303,3,FALSE)</f>
        <v>0</v>
      </c>
      <c r="E280" s="454">
        <f>VLOOKUP(B280,'Title III 2013-14'!$A$2:$D$296,4,FALSE)</f>
        <v>0</v>
      </c>
      <c r="F280" s="454">
        <f>IFERROR(VLOOKUP(B280,'Native American 050714'!$A$2:$E$62,5,FALSE),0)</f>
        <v>0</v>
      </c>
      <c r="I280" s="491">
        <f t="shared" si="4"/>
        <v>0</v>
      </c>
      <c r="M280" s="244"/>
      <c r="N280" s="3"/>
      <c r="O280" s="7"/>
      <c r="P280" s="7"/>
      <c r="Q280" s="271"/>
      <c r="R280" s="271"/>
      <c r="S280" s="271"/>
      <c r="T280" s="271"/>
      <c r="U280" s="271"/>
      <c r="V280" s="271"/>
      <c r="W280" s="275"/>
      <c r="X280" s="271"/>
      <c r="Y280" s="221"/>
    </row>
    <row r="281" spans="2:25">
      <c r="B281" s="127" t="s">
        <v>529</v>
      </c>
      <c r="C281" s="55" t="str">
        <f>VLOOKUP(B281,'ccddd 1 col'!$B$2:$C$313,2,FALSE)</f>
        <v>Garfield</v>
      </c>
      <c r="D281" s="128">
        <f>VLOOKUP(B281,'Biling Enroll 050714'!$A$4:$C$303,3,FALSE)</f>
        <v>0</v>
      </c>
      <c r="E281" s="454">
        <f>VLOOKUP(B281,'Title III 2013-14'!$A$2:$D$296,4,FALSE)</f>
        <v>0</v>
      </c>
      <c r="F281" s="454">
        <f>IFERROR(VLOOKUP(B281,'Native American 050714'!$A$2:$E$62,5,FALSE),0)</f>
        <v>0</v>
      </c>
      <c r="I281" s="491">
        <f t="shared" si="4"/>
        <v>0</v>
      </c>
      <c r="M281" s="244"/>
      <c r="N281" s="3"/>
      <c r="O281" s="7"/>
      <c r="P281" s="7"/>
      <c r="Q281" s="271"/>
      <c r="R281" s="271"/>
      <c r="S281" s="271"/>
      <c r="T281" s="271"/>
      <c r="U281" s="271"/>
      <c r="V281" s="271"/>
      <c r="W281" s="275"/>
      <c r="X281" s="271"/>
      <c r="Y281" s="221"/>
    </row>
    <row r="282" spans="2:25">
      <c r="B282" s="127" t="s">
        <v>531</v>
      </c>
      <c r="C282" s="55" t="str">
        <f>VLOOKUP(B282,'ccddd 1 col'!$B$2:$C$313,2,FALSE)</f>
        <v>Steptoe</v>
      </c>
      <c r="D282" s="128">
        <f>VLOOKUP(B282,'Biling Enroll 050714'!$A$4:$C$303,3,FALSE)</f>
        <v>0</v>
      </c>
      <c r="E282" s="454">
        <f>VLOOKUP(B282,'Title III 2013-14'!$A$2:$D$296,4,FALSE)</f>
        <v>0</v>
      </c>
      <c r="F282" s="454">
        <f>IFERROR(VLOOKUP(B282,'Native American 050714'!$A$2:$E$62,5,FALSE),0)</f>
        <v>0</v>
      </c>
      <c r="I282" s="491">
        <f t="shared" si="4"/>
        <v>0</v>
      </c>
      <c r="M282" s="244"/>
      <c r="N282" s="3"/>
      <c r="O282" s="7"/>
      <c r="P282" s="7"/>
      <c r="Q282" s="271"/>
      <c r="R282" s="271"/>
      <c r="S282" s="271"/>
      <c r="T282" s="271"/>
      <c r="U282" s="271"/>
      <c r="V282" s="271"/>
      <c r="W282" s="275"/>
      <c r="X282" s="271"/>
      <c r="Y282" s="221"/>
    </row>
    <row r="283" spans="2:25">
      <c r="B283" s="127" t="s">
        <v>533</v>
      </c>
      <c r="C283" s="55" t="str">
        <f>VLOOKUP(B283,'ccddd 1 col'!$B$2:$C$313,2,FALSE)</f>
        <v>Colton</v>
      </c>
      <c r="D283" s="128">
        <f>VLOOKUP(B283,'Biling Enroll 050714'!$A$4:$C$303,3,FALSE)</f>
        <v>0</v>
      </c>
      <c r="E283" s="454">
        <f>VLOOKUP(B283,'Title III 2013-14'!$A$2:$D$296,4,FALSE)</f>
        <v>0</v>
      </c>
      <c r="F283" s="454">
        <f>IFERROR(VLOOKUP(B283,'Native American 050714'!$A$2:$E$62,5,FALSE),0)</f>
        <v>0</v>
      </c>
      <c r="I283" s="491">
        <f t="shared" si="4"/>
        <v>0</v>
      </c>
      <c r="M283" s="244"/>
      <c r="N283" s="3"/>
      <c r="O283" s="7"/>
      <c r="P283" s="7"/>
      <c r="Q283" s="271"/>
      <c r="R283" s="271"/>
      <c r="S283" s="271"/>
      <c r="T283" s="271"/>
      <c r="U283" s="271"/>
      <c r="V283" s="271"/>
      <c r="W283" s="275"/>
      <c r="X283" s="271"/>
      <c r="Y283" s="221"/>
    </row>
    <row r="284" spans="2:25">
      <c r="B284" s="127" t="s">
        <v>535</v>
      </c>
      <c r="C284" s="55" t="str">
        <f>VLOOKUP(B284,'ccddd 1 col'!$B$2:$C$313,2,FALSE)</f>
        <v>Endicott</v>
      </c>
      <c r="D284" s="128">
        <f>VLOOKUP(B284,'Biling Enroll 050714'!$A$4:$C$303,3,FALSE)</f>
        <v>0</v>
      </c>
      <c r="E284" s="454">
        <f>VLOOKUP(B284,'Title III 2013-14'!$A$2:$D$296,4,FALSE)</f>
        <v>0</v>
      </c>
      <c r="F284" s="454">
        <f>IFERROR(VLOOKUP(B284,'Native American 050714'!$A$2:$E$62,5,FALSE),0)</f>
        <v>0</v>
      </c>
      <c r="I284" s="491">
        <f t="shared" si="4"/>
        <v>0</v>
      </c>
      <c r="M284" s="244"/>
      <c r="N284" s="3"/>
      <c r="O284" s="7"/>
      <c r="P284" s="7"/>
      <c r="Q284" s="271"/>
      <c r="R284" s="271"/>
      <c r="S284" s="271"/>
      <c r="T284" s="271"/>
      <c r="U284" s="271"/>
      <c r="V284" s="271"/>
      <c r="W284" s="275"/>
      <c r="X284" s="271"/>
      <c r="Y284" s="221"/>
    </row>
    <row r="285" spans="2:25">
      <c r="B285" s="127" t="s">
        <v>537</v>
      </c>
      <c r="C285" s="55" t="str">
        <f>VLOOKUP(B285,'ccddd 1 col'!$B$2:$C$313,2,FALSE)</f>
        <v>Rosalia</v>
      </c>
      <c r="D285" s="128">
        <f>VLOOKUP(B285,'Biling Enroll 050714'!$A$4:$C$303,3,FALSE)</f>
        <v>0</v>
      </c>
      <c r="E285" s="454">
        <f>VLOOKUP(B285,'Title III 2013-14'!$A$2:$D$296,4,FALSE)</f>
        <v>0</v>
      </c>
      <c r="F285" s="454">
        <f>IFERROR(VLOOKUP(B285,'Native American 050714'!$A$2:$E$62,5,FALSE),0)</f>
        <v>0</v>
      </c>
      <c r="I285" s="491">
        <f t="shared" si="4"/>
        <v>0</v>
      </c>
      <c r="M285" s="244"/>
      <c r="N285" s="3"/>
      <c r="O285" s="7"/>
      <c r="P285" s="7"/>
      <c r="Q285" s="271"/>
      <c r="R285" s="271"/>
      <c r="S285" s="271"/>
      <c r="T285" s="271"/>
      <c r="U285" s="271"/>
      <c r="V285" s="271"/>
      <c r="W285" s="275"/>
      <c r="X285" s="271"/>
      <c r="Y285" s="221"/>
    </row>
    <row r="286" spans="2:25">
      <c r="B286" s="127" t="s">
        <v>539</v>
      </c>
      <c r="C286" s="55" t="str">
        <f>VLOOKUP(B286,'ccddd 1 col'!$B$2:$C$313,2,FALSE)</f>
        <v>St John</v>
      </c>
      <c r="D286" s="128">
        <f>VLOOKUP(B286,'Biling Enroll 050714'!$A$4:$C$303,3,FALSE)</f>
        <v>0</v>
      </c>
      <c r="E286" s="454">
        <f>VLOOKUP(B286,'Title III 2013-14'!$A$2:$D$296,4,FALSE)</f>
        <v>0</v>
      </c>
      <c r="F286" s="454">
        <f>IFERROR(VLOOKUP(B286,'Native American 050714'!$A$2:$E$62,5,FALSE),0)</f>
        <v>0</v>
      </c>
      <c r="I286" s="491">
        <f t="shared" si="4"/>
        <v>0</v>
      </c>
      <c r="M286" s="244"/>
      <c r="N286" s="3"/>
      <c r="O286" s="7"/>
      <c r="P286" s="7"/>
      <c r="Q286" s="271"/>
      <c r="R286" s="271"/>
      <c r="S286" s="271"/>
      <c r="T286" s="271"/>
      <c r="U286" s="271"/>
      <c r="V286" s="271"/>
      <c r="W286" s="275"/>
      <c r="X286" s="271"/>
      <c r="Y286" s="221"/>
    </row>
    <row r="287" spans="2:25">
      <c r="B287" s="127" t="s">
        <v>541</v>
      </c>
      <c r="C287" s="55" t="str">
        <f>VLOOKUP(B287,'ccddd 1 col'!$B$2:$C$313,2,FALSE)</f>
        <v>Oakesdale</v>
      </c>
      <c r="D287" s="128">
        <f>VLOOKUP(B287,'Biling Enroll 050714'!$A$4:$C$303,3,FALSE)</f>
        <v>0</v>
      </c>
      <c r="E287" s="454">
        <f>VLOOKUP(B287,'Title III 2013-14'!$A$2:$D$296,4,FALSE)</f>
        <v>0</v>
      </c>
      <c r="F287" s="454">
        <f>IFERROR(VLOOKUP(B287,'Native American 050714'!$A$2:$E$62,5,FALSE),0)</f>
        <v>0</v>
      </c>
      <c r="I287" s="491">
        <f t="shared" si="4"/>
        <v>0</v>
      </c>
      <c r="M287" s="244"/>
      <c r="N287" s="3"/>
      <c r="O287" s="7"/>
      <c r="P287" s="7"/>
      <c r="Q287" s="271"/>
      <c r="R287" s="271"/>
      <c r="S287" s="271"/>
      <c r="T287" s="271"/>
      <c r="U287" s="271"/>
      <c r="V287" s="271"/>
      <c r="W287" s="275"/>
      <c r="X287" s="271"/>
      <c r="Y287" s="221"/>
    </row>
    <row r="288" spans="2:25">
      <c r="B288" s="127" t="s">
        <v>543</v>
      </c>
      <c r="C288" s="55" t="str">
        <f>VLOOKUP(B288,'ccddd 1 col'!$B$2:$C$313,2,FALSE)</f>
        <v>Union Gap</v>
      </c>
      <c r="D288" s="128">
        <f>VLOOKUP(B288,'Biling Enroll 050714'!$A$4:$C$303,3,FALSE)</f>
        <v>168.86</v>
      </c>
      <c r="E288" s="454">
        <f>VLOOKUP(B288,'Title III 2013-14'!$A$2:$D$296,4,FALSE)</f>
        <v>0</v>
      </c>
      <c r="F288" s="454">
        <f>IFERROR(VLOOKUP(B288,'Native American 050714'!$A$2:$E$62,5,FALSE),0)</f>
        <v>3</v>
      </c>
      <c r="I288" s="491">
        <f t="shared" si="4"/>
        <v>171.86</v>
      </c>
      <c r="M288" s="244"/>
      <c r="N288" s="3"/>
      <c r="O288" s="7"/>
      <c r="P288" s="7"/>
      <c r="Q288" s="271"/>
      <c r="R288" s="271"/>
      <c r="S288" s="271"/>
      <c r="T288" s="271"/>
      <c r="U288" s="271"/>
      <c r="V288" s="271"/>
      <c r="W288" s="275"/>
      <c r="X288" s="271"/>
      <c r="Y288" s="221"/>
    </row>
    <row r="289" spans="2:25">
      <c r="B289" s="127" t="s">
        <v>545</v>
      </c>
      <c r="C289" s="55" t="str">
        <f>VLOOKUP(B289,'ccddd 1 col'!$B$2:$C$313,2,FALSE)</f>
        <v>Naches Valley</v>
      </c>
      <c r="D289" s="128">
        <f>VLOOKUP(B289,'Biling Enroll 050714'!$A$4:$C$303,3,FALSE)</f>
        <v>77</v>
      </c>
      <c r="E289" s="454">
        <f>VLOOKUP(B289,'Title III 2013-14'!$A$2:$D$296,4,FALSE)</f>
        <v>0</v>
      </c>
      <c r="F289" s="454">
        <f>IFERROR(VLOOKUP(B289,'Native American 050714'!$A$2:$E$62,5,FALSE),0)</f>
        <v>0</v>
      </c>
      <c r="I289" s="491">
        <f t="shared" si="4"/>
        <v>77</v>
      </c>
      <c r="M289" s="244"/>
      <c r="N289" s="3"/>
      <c r="O289" s="7"/>
      <c r="P289" s="7"/>
      <c r="Q289" s="271"/>
      <c r="R289" s="271"/>
      <c r="S289" s="271"/>
      <c r="T289" s="271"/>
      <c r="U289" s="271"/>
      <c r="V289" s="271"/>
      <c r="W289" s="275"/>
      <c r="X289" s="271"/>
      <c r="Y289" s="221"/>
    </row>
    <row r="290" spans="2:25">
      <c r="B290" s="127" t="s">
        <v>547</v>
      </c>
      <c r="C290" s="55" t="e">
        <f>VLOOKUP(B290,'ccddd 1 col'!$B$2:$C$313,2,FALSE)</f>
        <v>#N/A</v>
      </c>
      <c r="D290" s="128">
        <f>VLOOKUP(B290,'Biling Enroll 050714'!$A$4:$C$303,3,FALSE)</f>
        <v>5011.1400000000003</v>
      </c>
      <c r="E290" s="454">
        <f>VLOOKUP(B290,'Title III 2013-14'!$A$2:$D$296,4,FALSE)</f>
        <v>0</v>
      </c>
      <c r="F290" s="454">
        <f>IFERROR(VLOOKUP(B290,'Native American 050714'!$A$2:$E$62,5,FALSE),0)</f>
        <v>33</v>
      </c>
      <c r="I290" s="491">
        <f t="shared" si="4"/>
        <v>5044.1400000000003</v>
      </c>
      <c r="M290" s="244"/>
      <c r="N290" s="3"/>
      <c r="O290" s="7"/>
      <c r="P290" s="7"/>
      <c r="Q290" s="271"/>
      <c r="R290" s="271"/>
      <c r="S290" s="271"/>
      <c r="T290" s="271"/>
      <c r="U290" s="271"/>
      <c r="V290" s="271"/>
      <c r="W290" s="275"/>
      <c r="X290" s="271"/>
      <c r="Y290" s="221"/>
    </row>
    <row r="291" spans="2:25">
      <c r="B291" s="127" t="s">
        <v>549</v>
      </c>
      <c r="C291" s="55" t="str">
        <f>VLOOKUP(B291,'ccddd 1 col'!$B$2:$C$313,2,FALSE)</f>
        <v>East Valley (Yak)</v>
      </c>
      <c r="D291" s="128">
        <f>VLOOKUP(B291,'Biling Enroll 050714'!$A$4:$C$303,3,FALSE)</f>
        <v>350.86</v>
      </c>
      <c r="E291" s="454">
        <f>VLOOKUP(B291,'Title III 2013-14'!$A$2:$D$296,4,FALSE)</f>
        <v>0</v>
      </c>
      <c r="F291" s="454">
        <f>IFERROR(VLOOKUP(B291,'Native American 050714'!$A$2:$E$62,5,FALSE),0)</f>
        <v>0</v>
      </c>
      <c r="I291" s="491">
        <f t="shared" si="4"/>
        <v>350.86</v>
      </c>
      <c r="M291" s="244"/>
      <c r="N291" s="3"/>
      <c r="O291" s="7"/>
      <c r="P291" s="7"/>
      <c r="Q291" s="271"/>
      <c r="R291" s="271"/>
      <c r="S291" s="271"/>
      <c r="T291" s="271"/>
      <c r="U291" s="271"/>
      <c r="V291" s="271"/>
      <c r="W291" s="275"/>
      <c r="X291" s="271"/>
      <c r="Y291" s="221"/>
    </row>
    <row r="292" spans="2:25">
      <c r="B292" s="127" t="s">
        <v>551</v>
      </c>
      <c r="C292" s="55" t="str">
        <f>VLOOKUP(B292,'ccddd 1 col'!$B$2:$C$313,2,FALSE)</f>
        <v>Selah</v>
      </c>
      <c r="D292" s="128">
        <f>VLOOKUP(B292,'Biling Enroll 050714'!$A$4:$C$303,3,FALSE)</f>
        <v>185.29</v>
      </c>
      <c r="E292" s="454">
        <f>VLOOKUP(B292,'Title III 2013-14'!$A$2:$D$296,4,FALSE)</f>
        <v>0</v>
      </c>
      <c r="F292" s="454">
        <f>IFERROR(VLOOKUP(B292,'Native American 050714'!$A$2:$E$62,5,FALSE),0)</f>
        <v>0</v>
      </c>
      <c r="I292" s="491">
        <f t="shared" si="4"/>
        <v>185.29</v>
      </c>
      <c r="M292" s="244"/>
      <c r="N292" s="3"/>
      <c r="O292" s="7"/>
      <c r="P292" s="7"/>
      <c r="Q292" s="271"/>
      <c r="R292" s="271"/>
      <c r="S292" s="271"/>
      <c r="T292" s="271"/>
      <c r="U292" s="271"/>
      <c r="V292" s="271"/>
      <c r="W292" s="275"/>
      <c r="X292" s="271"/>
      <c r="Y292" s="221"/>
    </row>
    <row r="293" spans="2:25">
      <c r="B293" s="127" t="s">
        <v>553</v>
      </c>
      <c r="C293" s="55" t="str">
        <f>VLOOKUP(B293,'ccddd 1 col'!$B$2:$C$313,2,FALSE)</f>
        <v>Mabton</v>
      </c>
      <c r="D293" s="128">
        <f>VLOOKUP(B293,'Biling Enroll 050714'!$A$4:$C$303,3,FALSE)</f>
        <v>349.29</v>
      </c>
      <c r="E293" s="454">
        <f>VLOOKUP(B293,'Title III 2013-14'!$A$2:$D$296,4,FALSE)</f>
        <v>0</v>
      </c>
      <c r="F293" s="454">
        <f>IFERROR(VLOOKUP(B293,'Native American 050714'!$A$2:$E$62,5,FALSE),0)</f>
        <v>0</v>
      </c>
      <c r="I293" s="491">
        <f t="shared" si="4"/>
        <v>349.29</v>
      </c>
      <c r="M293" s="244"/>
      <c r="N293" s="3"/>
      <c r="O293" s="7"/>
      <c r="P293" s="7"/>
      <c r="Q293" s="271"/>
      <c r="R293" s="271"/>
      <c r="S293" s="271"/>
      <c r="T293" s="271"/>
      <c r="U293" s="271"/>
      <c r="V293" s="271"/>
      <c r="W293" s="275"/>
      <c r="X293" s="271"/>
      <c r="Y293" s="221"/>
    </row>
    <row r="294" spans="2:25">
      <c r="B294" s="127" t="s">
        <v>555</v>
      </c>
      <c r="C294" s="55" t="str">
        <f>VLOOKUP(B294,'ccddd 1 col'!$B$2:$C$313,2,FALSE)</f>
        <v>Grandview</v>
      </c>
      <c r="D294" s="128">
        <f>VLOOKUP(B294,'Biling Enroll 050714'!$A$4:$C$303,3,FALSE)</f>
        <v>1201.43</v>
      </c>
      <c r="E294" s="454">
        <f>VLOOKUP(B294,'Title III 2013-14'!$A$2:$D$296,4,FALSE)</f>
        <v>0</v>
      </c>
      <c r="F294" s="454">
        <f>IFERROR(VLOOKUP(B294,'Native American 050714'!$A$2:$E$62,5,FALSE),0)</f>
        <v>0</v>
      </c>
      <c r="I294" s="491">
        <f t="shared" si="4"/>
        <v>1201.43</v>
      </c>
      <c r="M294" s="244"/>
      <c r="N294" s="3"/>
      <c r="O294" s="7"/>
      <c r="P294" s="7"/>
      <c r="Q294" s="271"/>
      <c r="R294" s="271"/>
      <c r="S294" s="271"/>
      <c r="T294" s="271"/>
      <c r="U294" s="271"/>
      <c r="V294" s="271"/>
      <c r="W294" s="275"/>
      <c r="X294" s="271"/>
      <c r="Y294" s="221"/>
    </row>
    <row r="295" spans="2:25">
      <c r="B295" s="127" t="s">
        <v>557</v>
      </c>
      <c r="C295" s="55" t="str">
        <f>VLOOKUP(B295,'ccddd 1 col'!$B$2:$C$313,2,FALSE)</f>
        <v>Sunnyside</v>
      </c>
      <c r="D295" s="128">
        <f>VLOOKUP(B295,'Biling Enroll 050714'!$A$4:$C$303,3,FALSE)</f>
        <v>2104.71</v>
      </c>
      <c r="E295" s="454">
        <f>VLOOKUP(B295,'Title III 2013-14'!$A$2:$D$296,4,FALSE)</f>
        <v>0</v>
      </c>
      <c r="F295" s="454">
        <f>IFERROR(VLOOKUP(B295,'Native American 050714'!$A$2:$E$62,5,FALSE),0)</f>
        <v>0</v>
      </c>
      <c r="I295" s="491">
        <f t="shared" si="4"/>
        <v>2104.71</v>
      </c>
      <c r="M295" s="244"/>
      <c r="N295" s="3"/>
      <c r="O295" s="7"/>
      <c r="P295" s="7"/>
      <c r="Q295" s="271"/>
      <c r="R295" s="271"/>
      <c r="S295" s="271"/>
      <c r="T295" s="271"/>
      <c r="U295" s="271"/>
      <c r="V295" s="271"/>
      <c r="W295" s="275"/>
      <c r="X295" s="271"/>
      <c r="Y295" s="221"/>
    </row>
    <row r="296" spans="2:25">
      <c r="B296" s="127" t="s">
        <v>559</v>
      </c>
      <c r="C296" s="55" t="str">
        <f>VLOOKUP(B296,'ccddd 1 col'!$B$2:$C$313,2,FALSE)</f>
        <v>Toppenish</v>
      </c>
      <c r="D296" s="128">
        <f>VLOOKUP(B296,'Biling Enroll 050714'!$A$4:$C$303,3,FALSE)</f>
        <v>1113.1400000000001</v>
      </c>
      <c r="E296" s="454">
        <f>VLOOKUP(B296,'Title III 2013-14'!$A$2:$D$296,4,FALSE)</f>
        <v>0</v>
      </c>
      <c r="F296" s="454">
        <f>IFERROR(VLOOKUP(B296,'Native American 050714'!$A$2:$E$62,5,FALSE),0)</f>
        <v>237</v>
      </c>
      <c r="I296" s="491">
        <f t="shared" si="4"/>
        <v>1350.14</v>
      </c>
      <c r="M296" s="244"/>
      <c r="N296" s="3"/>
      <c r="O296" s="7"/>
      <c r="P296" s="7"/>
      <c r="Q296" s="271"/>
      <c r="R296" s="271"/>
      <c r="S296" s="271"/>
      <c r="T296" s="271"/>
      <c r="U296" s="271"/>
      <c r="V296" s="271"/>
      <c r="W296" s="275"/>
      <c r="X296" s="271"/>
      <c r="Y296" s="221"/>
    </row>
    <row r="297" spans="2:25">
      <c r="B297" s="127" t="s">
        <v>561</v>
      </c>
      <c r="C297" s="55" t="str">
        <f>VLOOKUP(B297,'ccddd 1 col'!$B$2:$C$313,2,FALSE)</f>
        <v>Highland</v>
      </c>
      <c r="D297" s="128">
        <f>VLOOKUP(B297,'Biling Enroll 050714'!$A$4:$C$303,3,FALSE)</f>
        <v>292.29000000000002</v>
      </c>
      <c r="E297" s="454">
        <f>VLOOKUP(B297,'Title III 2013-14'!$A$2:$D$296,4,FALSE)</f>
        <v>0</v>
      </c>
      <c r="F297" s="454">
        <f>IFERROR(VLOOKUP(B297,'Native American 050714'!$A$2:$E$62,5,FALSE),0)</f>
        <v>0</v>
      </c>
      <c r="I297" s="491">
        <f t="shared" si="4"/>
        <v>292.29000000000002</v>
      </c>
      <c r="M297" s="244"/>
      <c r="N297" s="3"/>
      <c r="O297" s="7"/>
      <c r="P297" s="7"/>
      <c r="Q297" s="271"/>
      <c r="R297" s="271"/>
      <c r="S297" s="271"/>
      <c r="T297" s="271"/>
      <c r="U297" s="271"/>
      <c r="V297" s="271"/>
      <c r="W297" s="275"/>
      <c r="X297" s="271"/>
      <c r="Y297" s="221"/>
    </row>
    <row r="298" spans="2:25">
      <c r="B298" s="127" t="s">
        <v>563</v>
      </c>
      <c r="C298" s="55" t="str">
        <f>VLOOKUP(B298,'ccddd 1 col'!$B$2:$C$313,2,FALSE)</f>
        <v>Granger</v>
      </c>
      <c r="D298" s="128">
        <f>VLOOKUP(B298,'Biling Enroll 050714'!$A$4:$C$303,3,FALSE)</f>
        <v>571.42999999999995</v>
      </c>
      <c r="E298" s="454">
        <f>VLOOKUP(B298,'Title III 2013-14'!$A$2:$D$296,4,FALSE)</f>
        <v>0</v>
      </c>
      <c r="F298" s="454">
        <f>IFERROR(VLOOKUP(B298,'Native American 050714'!$A$2:$E$62,5,FALSE),0)</f>
        <v>22</v>
      </c>
      <c r="I298" s="491">
        <f t="shared" si="4"/>
        <v>593.42999999999995</v>
      </c>
      <c r="M298" s="244"/>
      <c r="N298" s="3"/>
      <c r="O298" s="7"/>
      <c r="P298" s="7"/>
      <c r="Q298" s="271"/>
      <c r="R298" s="271"/>
      <c r="S298" s="271"/>
      <c r="T298" s="271"/>
      <c r="U298" s="271"/>
      <c r="V298" s="271"/>
      <c r="W298" s="275"/>
      <c r="X298" s="271"/>
      <c r="Y298" s="221"/>
    </row>
    <row r="299" spans="2:25">
      <c r="B299" s="127" t="s">
        <v>565</v>
      </c>
      <c r="C299" s="55" t="e">
        <f>VLOOKUP(B299,'ccddd 1 col'!$B$2:$C$313,2,FALSE)</f>
        <v>#N/A</v>
      </c>
      <c r="D299" s="128">
        <f>VLOOKUP(B299,'Biling Enroll 050714'!$A$4:$C$303,3,FALSE)</f>
        <v>130.29</v>
      </c>
      <c r="E299" s="454">
        <f>VLOOKUP(B299,'Title III 2013-14'!$A$2:$D$296,4,FALSE)</f>
        <v>0</v>
      </c>
      <c r="F299" s="454">
        <f>IFERROR(VLOOKUP(B299,'Native American 050714'!$A$2:$E$62,5,FALSE),0)</f>
        <v>0</v>
      </c>
      <c r="I299" s="491">
        <f t="shared" si="4"/>
        <v>130.29</v>
      </c>
      <c r="N299" s="3"/>
      <c r="O299" s="7"/>
      <c r="P299" s="7"/>
      <c r="Q299" s="271"/>
      <c r="R299" s="271"/>
      <c r="S299" s="271"/>
      <c r="T299" s="271"/>
      <c r="U299" s="271"/>
      <c r="V299" s="271"/>
      <c r="W299" s="275"/>
      <c r="X299" s="271"/>
      <c r="Y299" s="221"/>
    </row>
    <row r="300" spans="2:25">
      <c r="B300" s="127" t="s">
        <v>567</v>
      </c>
      <c r="C300" s="55" t="str">
        <f>VLOOKUP(B300,'ccddd 1 col'!$B$2:$C$313,2,FALSE)</f>
        <v>Wapato</v>
      </c>
      <c r="D300" s="128">
        <f>VLOOKUP(B300,'Biling Enroll 050714'!$A$4:$C$303,3,FALSE)</f>
        <v>983.14</v>
      </c>
      <c r="E300" s="454">
        <f>VLOOKUP(B300,'Title III 2013-14'!$A$2:$D$296,4,FALSE)</f>
        <v>0</v>
      </c>
      <c r="F300" s="454">
        <f>IFERROR(VLOOKUP(B300,'Native American 050714'!$A$2:$E$62,5,FALSE),0)</f>
        <v>471</v>
      </c>
      <c r="I300" s="491">
        <f t="shared" si="4"/>
        <v>1454.1399999999999</v>
      </c>
      <c r="N300" s="3"/>
      <c r="O300" s="7"/>
      <c r="P300" s="7"/>
      <c r="Q300" s="271"/>
      <c r="R300" s="271"/>
      <c r="S300" s="271"/>
      <c r="T300" s="271"/>
      <c r="U300" s="271"/>
      <c r="V300" s="271"/>
      <c r="W300" s="275"/>
      <c r="X300" s="271"/>
      <c r="Y300" s="221"/>
    </row>
    <row r="301" spans="2:25">
      <c r="B301" s="127" t="s">
        <v>569</v>
      </c>
      <c r="C301" s="55" t="str">
        <f>VLOOKUP(B301,'ccddd 1 col'!$B$2:$C$313,2,FALSE)</f>
        <v>West Valley (Yak)</v>
      </c>
      <c r="D301" s="128">
        <f>VLOOKUP(B301,'Biling Enroll 050714'!$A$4:$C$303,3,FALSE)</f>
        <v>339.43</v>
      </c>
      <c r="E301" s="454">
        <f>VLOOKUP(B301,'Title III 2013-14'!$A$2:$D$296,4,FALSE)</f>
        <v>0</v>
      </c>
      <c r="F301" s="454">
        <f>IFERROR(VLOOKUP(B301,'Native American 050714'!$A$2:$E$62,5,FALSE),0)</f>
        <v>86</v>
      </c>
      <c r="I301" s="491">
        <f t="shared" si="4"/>
        <v>425.43</v>
      </c>
      <c r="N301" s="3"/>
      <c r="O301" s="7"/>
      <c r="P301" s="7"/>
      <c r="Q301" s="271"/>
      <c r="R301" s="271"/>
      <c r="S301" s="271"/>
      <c r="T301" s="271"/>
      <c r="U301" s="271"/>
      <c r="V301" s="271"/>
      <c r="W301" s="275"/>
      <c r="X301" s="271"/>
      <c r="Y301" s="221"/>
    </row>
    <row r="302" spans="2:25">
      <c r="B302" s="127" t="s">
        <v>571</v>
      </c>
      <c r="C302" s="55" t="str">
        <f>VLOOKUP(B302,'ccddd 1 col'!$B$2:$C$313,2,FALSE)</f>
        <v>Mount Adams</v>
      </c>
      <c r="D302" s="128">
        <f>VLOOKUP(B302,'Biling Enroll 050714'!$A$4:$C$303,3,FALSE)</f>
        <v>125.43</v>
      </c>
      <c r="E302" s="454">
        <f>VLOOKUP(B302,'Title III 2013-14'!$A$2:$D$296,4,FALSE)</f>
        <v>0</v>
      </c>
      <c r="F302" s="454">
        <f>IFERROR(VLOOKUP(B302,'Native American 050714'!$A$2:$E$62,5,FALSE),0)</f>
        <v>166</v>
      </c>
      <c r="I302" s="491">
        <f t="shared" si="4"/>
        <v>291.43</v>
      </c>
      <c r="N302" s="3"/>
      <c r="O302" s="7"/>
      <c r="P302" s="7"/>
      <c r="Q302" s="271"/>
      <c r="R302" s="271"/>
      <c r="S302" s="271"/>
      <c r="T302" s="271"/>
      <c r="U302" s="271"/>
      <c r="V302" s="271"/>
      <c r="W302" s="275"/>
      <c r="X302" s="271"/>
      <c r="Y302" s="221"/>
    </row>
    <row r="303" spans="2:25">
      <c r="N303" s="3"/>
      <c r="O303" s="7"/>
      <c r="P303" s="7"/>
      <c r="Q303" s="271"/>
      <c r="R303" s="271"/>
      <c r="S303" s="271"/>
      <c r="T303" s="271"/>
      <c r="U303" s="271"/>
      <c r="V303" s="271"/>
      <c r="W303" s="275"/>
      <c r="X303" s="271"/>
      <c r="Y303" s="221"/>
    </row>
    <row r="304" spans="2:25">
      <c r="N304" s="3"/>
      <c r="O304" s="7"/>
      <c r="P304" s="7"/>
      <c r="Q304" s="271"/>
      <c r="R304" s="271"/>
      <c r="S304" s="271"/>
      <c r="T304" s="271"/>
      <c r="U304" s="271"/>
      <c r="V304" s="271"/>
      <c r="W304" s="275"/>
      <c r="X304" s="271"/>
      <c r="Y304" s="221"/>
    </row>
    <row r="305" spans="14:25">
      <c r="N305" s="12"/>
      <c r="O305" s="1"/>
      <c r="P305" s="1"/>
      <c r="Q305" s="276"/>
      <c r="R305" s="276"/>
      <c r="S305" s="276"/>
      <c r="T305" s="276"/>
      <c r="U305" s="276"/>
      <c r="V305" s="276"/>
      <c r="W305" s="277"/>
      <c r="X305" s="271"/>
      <c r="Y305" s="221"/>
    </row>
    <row r="306" spans="14:25">
      <c r="V306" s="271"/>
      <c r="X306" s="271"/>
      <c r="Y306" s="221"/>
    </row>
  </sheetData>
  <scenarios current="5" sqref="E7">
    <scenario name="06/07 Oct-Mar" locked="1" count="1" user="Daniel.Lunghofer" comment="Created by Daniel.Lunghofer on 3/11/2008">
      <inputCells r="C5" val="1"/>
    </scenario>
    <scenario name="06/07 Oct-Apr" locked="1" count="1" user="Daniel.Lunghofer" comment="Created by Daniel.Lunghofer on 3/11/2008">
      <inputCells r="C5" val="2"/>
    </scenario>
    <scenario name="06/07 Oct-May" locked="1" count="1" user="Daniel.Lunghofer" comment="Created by Daniel.Lunghofer on 3/11/2008">
      <inputCells r="C5" val="3"/>
    </scenario>
    <scenario name="07/08 Oct-Feb" locked="1" count="1" user="Daniel.Lunghofer" comment="Created by Daniel.Lunghofer on 3/11/2008">
      <inputCells r="C5" val="4"/>
    </scenario>
    <scenario name="07/08 Oct-Feb + Apr 07" locked="1" count="1" user="Daniel.Lunghofer" comment="Created by Daniel.Lunghofer on 3/11/2008">
      <inputCells r="C5" val="5"/>
    </scenario>
    <scenario name="07/08 Oct-Feb + Apr-May 07" locked="1" count="1" user="Daniel.Lunghofer" comment="Created by Daniel.Lunghofer on 3/11/2008">
      <inputCells r="C5" val="6"/>
    </scenario>
  </scenarios>
  <mergeCells count="1">
    <mergeCell ref="N5:W5"/>
  </mergeCells>
  <phoneticPr fontId="23" type="noConversion"/>
  <pageMargins left="0.75" right="0.75" top="1" bottom="1" header="0.5" footer="0.5"/>
  <pageSetup scale="86" fitToHeight="6" orientation="portrait" r:id="rId1"/>
  <headerFooter alignWithMargins="0">
    <oddHeader>&amp;CEnrollment for Title III 
2006-07 Allocation</oddHeader>
    <oddFooter>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5B79B-D091-46E4-9605-35704B75BD54}">
  <sheetPr>
    <tabColor rgb="FF92D050"/>
  </sheetPr>
  <dimension ref="A1:L324"/>
  <sheetViews>
    <sheetView topLeftCell="B1" workbookViewId="0">
      <selection activeCell="E325" sqref="E325"/>
    </sheetView>
  </sheetViews>
  <sheetFormatPr defaultRowHeight="12.75"/>
  <cols>
    <col min="1" max="1" width="6.140625" customWidth="1"/>
    <col min="2" max="2" width="9.42578125" customWidth="1"/>
    <col min="3" max="3" width="25.5703125" bestFit="1" customWidth="1"/>
    <col min="4" max="4" width="15.5703125" style="128" bestFit="1" customWidth="1"/>
    <col min="5" max="5" width="15.42578125" style="59" customWidth="1"/>
    <col min="6" max="6" width="11.42578125" style="877" customWidth="1"/>
    <col min="7" max="7" width="11" style="57" bestFit="1" customWidth="1"/>
    <col min="8" max="8" width="6" style="59" customWidth="1"/>
    <col min="9" max="9" width="18.5703125" style="245" customWidth="1"/>
    <col min="10" max="10" width="20.85546875" hidden="1" customWidth="1"/>
  </cols>
  <sheetData>
    <row r="1" spans="1:12">
      <c r="D1" s="472"/>
      <c r="E1" s="866"/>
      <c r="F1" s="866"/>
      <c r="G1" s="479"/>
      <c r="H1" s="85"/>
    </row>
    <row r="2" spans="1:12">
      <c r="E2" s="867"/>
      <c r="F2" s="867"/>
      <c r="G2" s="479"/>
      <c r="H2" s="85"/>
    </row>
    <row r="3" spans="1:12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 s="245">
        <v>8</v>
      </c>
      <c r="J3">
        <v>9</v>
      </c>
    </row>
    <row r="4" spans="1:12" ht="12.95" customHeight="1">
      <c r="A4" s="868"/>
      <c r="B4" s="869"/>
      <c r="C4" s="869"/>
      <c r="D4" s="903"/>
      <c r="E4" s="903"/>
      <c r="F4" s="903"/>
      <c r="G4" s="903"/>
      <c r="H4" s="904"/>
      <c r="I4" s="246"/>
      <c r="J4" s="590"/>
    </row>
    <row r="5" spans="1:12" ht="30">
      <c r="C5" s="224"/>
      <c r="D5" s="453"/>
      <c r="E5" s="870"/>
      <c r="F5" s="20"/>
      <c r="I5" s="249" t="s">
        <v>1798</v>
      </c>
      <c r="J5" s="803"/>
    </row>
    <row r="6" spans="1:12" ht="25.5">
      <c r="B6" t="s">
        <v>592</v>
      </c>
      <c r="C6" t="s">
        <v>593</v>
      </c>
      <c r="D6" s="130" t="s">
        <v>647</v>
      </c>
      <c r="E6" s="871" t="s">
        <v>745</v>
      </c>
      <c r="F6" s="872" t="s">
        <v>720</v>
      </c>
      <c r="G6" s="873" t="s">
        <v>1676</v>
      </c>
      <c r="H6" s="56" t="s">
        <v>643</v>
      </c>
      <c r="I6" s="247" t="s">
        <v>646</v>
      </c>
      <c r="J6" s="808" t="s">
        <v>1702</v>
      </c>
    </row>
    <row r="7" spans="1:12">
      <c r="C7" t="s">
        <v>620</v>
      </c>
      <c r="D7" s="130">
        <v>129212.20999999999</v>
      </c>
      <c r="E7" s="130">
        <f>SUM(E8:E324)</f>
        <v>691</v>
      </c>
      <c r="F7" s="130">
        <f>SUM(F8:F324)</f>
        <v>3443.6499999999996</v>
      </c>
      <c r="G7" s="130">
        <f>SUM(G8:G324)</f>
        <v>57</v>
      </c>
      <c r="H7" s="130"/>
      <c r="I7" s="874">
        <f>SUM(I8:I324)</f>
        <v>133289.86000000002</v>
      </c>
      <c r="J7">
        <f>SUM(J8:J320)</f>
        <v>1</v>
      </c>
    </row>
    <row r="8" spans="1:12" ht="15">
      <c r="B8" s="839" t="s">
        <v>132</v>
      </c>
      <c r="C8" s="285" t="s">
        <v>1429</v>
      </c>
      <c r="D8" s="128">
        <v>414.17</v>
      </c>
      <c r="E8" s="454">
        <v>18</v>
      </c>
      <c r="F8" s="454">
        <v>21.33</v>
      </c>
      <c r="G8" s="57">
        <v>0</v>
      </c>
      <c r="H8" s="57"/>
      <c r="I8" s="491">
        <f t="shared" ref="I8:I71" si="0">IF(D8+E8+F8-G8&lt;0,0,D8+E8+F8-G8)</f>
        <v>453.5</v>
      </c>
      <c r="J8">
        <v>0</v>
      </c>
    </row>
    <row r="9" spans="1:12" ht="15">
      <c r="B9" s="839" t="s">
        <v>262</v>
      </c>
      <c r="C9" s="285" t="s">
        <v>1485</v>
      </c>
      <c r="D9" s="128">
        <v>0</v>
      </c>
      <c r="E9" s="454">
        <v>0</v>
      </c>
      <c r="F9" s="454">
        <v>0</v>
      </c>
      <c r="G9" s="57">
        <v>0</v>
      </c>
      <c r="H9" s="57"/>
      <c r="I9" s="491">
        <f t="shared" si="0"/>
        <v>0</v>
      </c>
      <c r="J9">
        <v>0</v>
      </c>
    </row>
    <row r="10" spans="1:12" ht="15">
      <c r="B10" s="839" t="s">
        <v>283</v>
      </c>
      <c r="C10" s="285" t="s">
        <v>1495</v>
      </c>
      <c r="D10" s="128">
        <v>0</v>
      </c>
      <c r="E10" s="454">
        <v>0</v>
      </c>
      <c r="F10" s="454">
        <v>0</v>
      </c>
      <c r="G10" s="57">
        <v>0</v>
      </c>
      <c r="I10" s="491">
        <f t="shared" si="0"/>
        <v>0</v>
      </c>
      <c r="J10">
        <v>0</v>
      </c>
    </row>
    <row r="11" spans="1:12" ht="15">
      <c r="B11" s="839" t="s">
        <v>380</v>
      </c>
      <c r="C11" s="285" t="s">
        <v>1541</v>
      </c>
      <c r="D11" s="128">
        <v>48</v>
      </c>
      <c r="E11" s="454">
        <v>0</v>
      </c>
      <c r="F11" s="454">
        <v>0</v>
      </c>
      <c r="G11" s="57">
        <v>0</v>
      </c>
      <c r="I11" s="491">
        <f t="shared" si="0"/>
        <v>48</v>
      </c>
      <c r="J11">
        <v>0</v>
      </c>
      <c r="L11" s="590"/>
    </row>
    <row r="12" spans="1:12" ht="15">
      <c r="B12" s="839" t="s">
        <v>403</v>
      </c>
      <c r="C12" s="285" t="s">
        <v>1552</v>
      </c>
      <c r="D12" s="128">
        <v>274.67</v>
      </c>
      <c r="E12" s="454">
        <v>0</v>
      </c>
      <c r="F12" s="454">
        <v>5.83</v>
      </c>
      <c r="G12" s="57">
        <v>1</v>
      </c>
      <c r="H12" s="57"/>
      <c r="I12" s="491">
        <f t="shared" si="0"/>
        <v>279.5</v>
      </c>
      <c r="J12">
        <v>0</v>
      </c>
    </row>
    <row r="13" spans="1:12" ht="15">
      <c r="B13" s="839" t="s">
        <v>12</v>
      </c>
      <c r="C13" s="285" t="s">
        <v>1374</v>
      </c>
      <c r="D13" s="128">
        <v>0</v>
      </c>
      <c r="E13" s="454">
        <v>0</v>
      </c>
      <c r="F13" s="454">
        <v>0</v>
      </c>
      <c r="G13" s="57">
        <v>0</v>
      </c>
      <c r="I13" s="491">
        <f t="shared" si="0"/>
        <v>0</v>
      </c>
      <c r="J13">
        <v>0</v>
      </c>
    </row>
    <row r="14" spans="1:12" ht="15">
      <c r="B14" s="839" t="s">
        <v>195</v>
      </c>
      <c r="C14" s="285" t="s">
        <v>1362</v>
      </c>
      <c r="D14" s="128">
        <v>4061.67</v>
      </c>
      <c r="E14" s="454">
        <v>0</v>
      </c>
      <c r="F14" s="454">
        <v>16</v>
      </c>
      <c r="G14" s="57">
        <v>2</v>
      </c>
      <c r="H14" s="57"/>
      <c r="I14" s="491">
        <f t="shared" si="0"/>
        <v>4075.67</v>
      </c>
      <c r="J14">
        <v>0</v>
      </c>
    </row>
    <row r="15" spans="1:12" ht="15">
      <c r="B15" s="839" t="s">
        <v>213</v>
      </c>
      <c r="C15" s="285" t="s">
        <v>1463</v>
      </c>
      <c r="D15" s="128">
        <v>39.5</v>
      </c>
      <c r="E15" s="454">
        <v>0</v>
      </c>
      <c r="F15" s="454">
        <v>0</v>
      </c>
      <c r="G15" s="57">
        <v>0</v>
      </c>
      <c r="I15" s="491">
        <f t="shared" si="0"/>
        <v>39.5</v>
      </c>
      <c r="J15">
        <v>0</v>
      </c>
    </row>
    <row r="16" spans="1:12" ht="15">
      <c r="B16" s="839" t="s">
        <v>62</v>
      </c>
      <c r="C16" s="285" t="s">
        <v>1396</v>
      </c>
      <c r="D16" s="128">
        <v>765.16</v>
      </c>
      <c r="E16" s="454">
        <v>38</v>
      </c>
      <c r="F16" s="454">
        <v>12.83</v>
      </c>
      <c r="G16" s="57">
        <v>5</v>
      </c>
      <c r="H16" s="57"/>
      <c r="I16" s="491">
        <f t="shared" si="0"/>
        <v>810.99</v>
      </c>
      <c r="J16">
        <v>0</v>
      </c>
    </row>
    <row r="17" spans="2:10" ht="15">
      <c r="B17" s="839" t="s">
        <v>189</v>
      </c>
      <c r="C17" s="285" t="s">
        <v>1455</v>
      </c>
      <c r="D17" s="128">
        <v>2991.33</v>
      </c>
      <c r="E17" s="454">
        <v>30</v>
      </c>
      <c r="F17" s="454">
        <v>0</v>
      </c>
      <c r="G17" s="57">
        <v>1</v>
      </c>
      <c r="H17" s="57"/>
      <c r="I17" s="491">
        <f t="shared" si="0"/>
        <v>3020.33</v>
      </c>
      <c r="J17">
        <v>0</v>
      </c>
    </row>
    <row r="18" spans="2:10" ht="15">
      <c r="B18" s="839" t="s">
        <v>504</v>
      </c>
      <c r="C18" s="285" t="s">
        <v>628</v>
      </c>
      <c r="D18" s="128">
        <v>781.67000000000007</v>
      </c>
      <c r="E18" s="454">
        <v>21</v>
      </c>
      <c r="F18" s="454">
        <v>10</v>
      </c>
      <c r="G18" s="57">
        <v>0</v>
      </c>
      <c r="H18" s="57"/>
      <c r="I18" s="491">
        <f t="shared" si="0"/>
        <v>812.67000000000007</v>
      </c>
      <c r="J18">
        <v>0</v>
      </c>
    </row>
    <row r="19" spans="2:10" ht="15">
      <c r="B19" s="839" t="s">
        <v>2</v>
      </c>
      <c r="C19" s="285" t="s">
        <v>1370</v>
      </c>
      <c r="D19" s="128">
        <v>0</v>
      </c>
      <c r="E19" s="454">
        <v>0</v>
      </c>
      <c r="F19" s="454">
        <v>0</v>
      </c>
      <c r="G19" s="57">
        <v>0</v>
      </c>
      <c r="I19" s="491">
        <f t="shared" si="0"/>
        <v>0</v>
      </c>
      <c r="J19">
        <v>0</v>
      </c>
    </row>
    <row r="20" spans="2:10" ht="15">
      <c r="B20" s="839" t="s">
        <v>363</v>
      </c>
      <c r="C20" s="285" t="s">
        <v>1531</v>
      </c>
      <c r="D20" s="128">
        <v>1265.6600000000001</v>
      </c>
      <c r="E20" s="454">
        <v>0</v>
      </c>
      <c r="F20" s="454">
        <v>0</v>
      </c>
      <c r="G20" s="57">
        <v>0</v>
      </c>
      <c r="H20" s="57"/>
      <c r="I20" s="491">
        <f t="shared" si="0"/>
        <v>1265.6600000000001</v>
      </c>
      <c r="J20">
        <v>0</v>
      </c>
    </row>
    <row r="21" spans="2:10" ht="15">
      <c r="B21" s="839" t="s">
        <v>234</v>
      </c>
      <c r="C21" s="285" t="s">
        <v>1473</v>
      </c>
      <c r="D21" s="128">
        <v>0</v>
      </c>
      <c r="E21" s="454">
        <v>0</v>
      </c>
      <c r="F21" s="454">
        <v>0</v>
      </c>
      <c r="G21" s="57">
        <v>0</v>
      </c>
      <c r="H21" s="57"/>
      <c r="I21" s="491">
        <f t="shared" si="0"/>
        <v>0</v>
      </c>
      <c r="J21">
        <v>0</v>
      </c>
    </row>
    <row r="22" spans="2:10" ht="15">
      <c r="B22" s="839" t="s">
        <v>508</v>
      </c>
      <c r="C22" s="285" t="s">
        <v>1603</v>
      </c>
      <c r="D22" s="128">
        <v>90.33</v>
      </c>
      <c r="E22" s="454">
        <v>0</v>
      </c>
      <c r="F22" s="454">
        <v>7</v>
      </c>
      <c r="G22" s="57">
        <v>0</v>
      </c>
      <c r="I22" s="491">
        <f t="shared" si="0"/>
        <v>97.33</v>
      </c>
      <c r="J22">
        <v>0</v>
      </c>
    </row>
    <row r="23" spans="2:10" ht="15">
      <c r="B23" s="839" t="s">
        <v>266</v>
      </c>
      <c r="C23" s="285" t="s">
        <v>1487</v>
      </c>
      <c r="D23" s="128">
        <v>7</v>
      </c>
      <c r="E23" s="454">
        <v>0</v>
      </c>
      <c r="F23" s="454">
        <v>0</v>
      </c>
      <c r="G23" s="57">
        <v>0</v>
      </c>
      <c r="H23" s="57"/>
      <c r="I23" s="491">
        <f t="shared" si="0"/>
        <v>7</v>
      </c>
      <c r="J23">
        <v>0</v>
      </c>
    </row>
    <row r="24" spans="2:10" ht="15">
      <c r="B24" s="839" t="s">
        <v>211</v>
      </c>
      <c r="C24" s="285" t="s">
        <v>1462</v>
      </c>
      <c r="D24" s="128">
        <v>464.16999999999996</v>
      </c>
      <c r="E24" s="454">
        <v>9</v>
      </c>
      <c r="F24" s="454">
        <v>2.17</v>
      </c>
      <c r="G24" s="57">
        <v>0</v>
      </c>
      <c r="I24" s="491">
        <f t="shared" si="0"/>
        <v>475.34</v>
      </c>
      <c r="J24">
        <v>0</v>
      </c>
    </row>
    <row r="25" spans="2:10" ht="15">
      <c r="B25" s="839" t="s">
        <v>315</v>
      </c>
      <c r="C25" s="285" t="s">
        <v>1510</v>
      </c>
      <c r="D25" s="128">
        <v>327.16999999999996</v>
      </c>
      <c r="E25" s="454">
        <v>0</v>
      </c>
      <c r="F25" s="454">
        <v>0</v>
      </c>
      <c r="G25" s="57">
        <v>0</v>
      </c>
      <c r="I25" s="491">
        <f t="shared" si="0"/>
        <v>327.16999999999996</v>
      </c>
      <c r="J25">
        <v>0</v>
      </c>
    </row>
    <row r="26" spans="2:10" ht="15">
      <c r="B26" s="839" t="s">
        <v>84</v>
      </c>
      <c r="C26" s="285" t="s">
        <v>1406</v>
      </c>
      <c r="D26" s="128">
        <v>357.5</v>
      </c>
      <c r="E26" s="454">
        <v>0</v>
      </c>
      <c r="F26" s="454">
        <v>0</v>
      </c>
      <c r="G26" s="57">
        <v>0</v>
      </c>
      <c r="H26" s="57"/>
      <c r="I26" s="491">
        <f t="shared" si="0"/>
        <v>357.5</v>
      </c>
      <c r="J26">
        <v>0</v>
      </c>
    </row>
    <row r="27" spans="2:10" ht="15">
      <c r="B27" s="839" t="s">
        <v>165</v>
      </c>
      <c r="C27" s="285" t="s">
        <v>1444</v>
      </c>
      <c r="D27" s="128">
        <v>0.33</v>
      </c>
      <c r="E27" s="454">
        <v>0</v>
      </c>
      <c r="F27" s="454">
        <v>0</v>
      </c>
      <c r="G27" s="57">
        <v>0</v>
      </c>
      <c r="I27" s="491">
        <f t="shared" si="0"/>
        <v>0.33</v>
      </c>
      <c r="J27">
        <v>0</v>
      </c>
    </row>
    <row r="28" spans="2:10" ht="15">
      <c r="B28" s="839" t="s">
        <v>378</v>
      </c>
      <c r="C28" s="285" t="s">
        <v>629</v>
      </c>
      <c r="D28" s="128">
        <v>736.82999999999993</v>
      </c>
      <c r="E28" s="454">
        <v>0</v>
      </c>
      <c r="F28" s="454">
        <v>6</v>
      </c>
      <c r="G28" s="57">
        <v>0</v>
      </c>
      <c r="I28" s="491">
        <f t="shared" si="0"/>
        <v>742.82999999999993</v>
      </c>
      <c r="J28">
        <v>0</v>
      </c>
    </row>
    <row r="29" spans="2:10" ht="15">
      <c r="B29" s="839" t="s">
        <v>60</v>
      </c>
      <c r="C29" s="285" t="s">
        <v>1395</v>
      </c>
      <c r="D29" s="128">
        <v>193.17000000000002</v>
      </c>
      <c r="E29" s="454">
        <v>2</v>
      </c>
      <c r="F29" s="454">
        <v>2</v>
      </c>
      <c r="G29" s="57">
        <v>0</v>
      </c>
      <c r="H29" s="57"/>
      <c r="I29" s="491">
        <f t="shared" si="0"/>
        <v>197.17000000000002</v>
      </c>
      <c r="J29">
        <v>0</v>
      </c>
    </row>
    <row r="30" spans="2:10" ht="15">
      <c r="B30" s="839" t="s">
        <v>45</v>
      </c>
      <c r="C30" s="285" t="s">
        <v>1388</v>
      </c>
      <c r="D30" s="128">
        <v>0</v>
      </c>
      <c r="E30" s="454">
        <v>0</v>
      </c>
      <c r="F30" s="454">
        <v>0</v>
      </c>
      <c r="G30" s="57">
        <v>0</v>
      </c>
      <c r="I30" s="491">
        <f t="shared" si="0"/>
        <v>0</v>
      </c>
      <c r="J30">
        <v>0</v>
      </c>
    </row>
    <row r="31" spans="2:10" ht="15">
      <c r="B31" s="839" t="s">
        <v>347</v>
      </c>
      <c r="C31" s="285" t="s">
        <v>1525</v>
      </c>
      <c r="D31" s="128">
        <v>0</v>
      </c>
      <c r="E31" s="454">
        <v>0</v>
      </c>
      <c r="F31" s="454">
        <v>0</v>
      </c>
      <c r="G31" s="57">
        <v>0</v>
      </c>
      <c r="I31" s="491">
        <f t="shared" si="0"/>
        <v>0</v>
      </c>
      <c r="J31">
        <v>0</v>
      </c>
    </row>
    <row r="32" spans="2:10" ht="15">
      <c r="B32" s="839" t="s">
        <v>35</v>
      </c>
      <c r="C32" s="285" t="s">
        <v>1383</v>
      </c>
      <c r="D32" s="128">
        <v>135</v>
      </c>
      <c r="E32" s="454">
        <v>0</v>
      </c>
      <c r="F32" s="454">
        <v>0</v>
      </c>
      <c r="G32" s="57">
        <v>1</v>
      </c>
      <c r="H32" s="57"/>
      <c r="I32" s="491">
        <f t="shared" si="0"/>
        <v>134</v>
      </c>
      <c r="J32">
        <v>0</v>
      </c>
    </row>
    <row r="33" spans="2:10" ht="15">
      <c r="B33" s="839" t="s">
        <v>1751</v>
      </c>
      <c r="C33" s="285" t="s">
        <v>1780</v>
      </c>
      <c r="D33" s="128">
        <v>3.17</v>
      </c>
      <c r="E33" s="454">
        <v>0</v>
      </c>
      <c r="F33" s="454">
        <v>0</v>
      </c>
      <c r="G33" s="57">
        <v>0</v>
      </c>
      <c r="H33" s="57"/>
      <c r="I33" s="491">
        <f t="shared" si="0"/>
        <v>3.17</v>
      </c>
      <c r="J33">
        <v>0</v>
      </c>
    </row>
    <row r="34" spans="2:10" ht="15">
      <c r="B34" s="839" t="s">
        <v>33</v>
      </c>
      <c r="C34" s="285" t="s">
        <v>878</v>
      </c>
      <c r="D34" s="128">
        <v>188.33</v>
      </c>
      <c r="E34" s="454">
        <v>0</v>
      </c>
      <c r="F34" s="454">
        <v>0</v>
      </c>
      <c r="G34" s="57">
        <v>0</v>
      </c>
      <c r="H34" s="57"/>
      <c r="I34" s="491">
        <f t="shared" si="0"/>
        <v>188.33</v>
      </c>
      <c r="J34">
        <v>0</v>
      </c>
    </row>
    <row r="35" spans="2:10" ht="15">
      <c r="B35" s="839" t="s">
        <v>74</v>
      </c>
      <c r="C35" s="285" t="s">
        <v>1401</v>
      </c>
      <c r="D35" s="128">
        <v>21.66</v>
      </c>
      <c r="E35" s="454">
        <v>0</v>
      </c>
      <c r="F35" s="454">
        <v>0</v>
      </c>
      <c r="G35" s="57">
        <v>1</v>
      </c>
      <c r="I35" s="491">
        <f t="shared" si="0"/>
        <v>20.66</v>
      </c>
      <c r="J35">
        <v>0</v>
      </c>
    </row>
    <row r="36" spans="2:10" ht="15">
      <c r="B36" s="839" t="s">
        <v>1753</v>
      </c>
      <c r="C36" s="285" t="s">
        <v>1781</v>
      </c>
      <c r="D36" s="128">
        <v>1.17</v>
      </c>
      <c r="E36" s="454">
        <v>0</v>
      </c>
      <c r="F36" s="454">
        <v>0</v>
      </c>
      <c r="G36" s="57">
        <v>0</v>
      </c>
      <c r="I36" s="491">
        <f t="shared" si="0"/>
        <v>1.17</v>
      </c>
      <c r="J36">
        <v>0</v>
      </c>
    </row>
    <row r="37" spans="2:10" ht="15">
      <c r="B37" s="839" t="s">
        <v>236</v>
      </c>
      <c r="C37" s="285" t="s">
        <v>1474</v>
      </c>
      <c r="D37" s="128">
        <v>0</v>
      </c>
      <c r="E37" s="454">
        <v>0</v>
      </c>
      <c r="F37" s="454">
        <v>0</v>
      </c>
      <c r="G37" s="57">
        <v>0</v>
      </c>
      <c r="I37" s="491">
        <f t="shared" si="0"/>
        <v>0</v>
      </c>
      <c r="J37">
        <v>0</v>
      </c>
    </row>
    <row r="38" spans="2:10" ht="15">
      <c r="B38" s="839" t="s">
        <v>216</v>
      </c>
      <c r="C38" s="285" t="s">
        <v>1464</v>
      </c>
      <c r="D38" s="128">
        <v>413.16</v>
      </c>
      <c r="E38" s="454">
        <v>0</v>
      </c>
      <c r="F38" s="454">
        <v>14</v>
      </c>
      <c r="G38" s="57">
        <v>0</v>
      </c>
      <c r="I38" s="491">
        <f t="shared" si="0"/>
        <v>427.16</v>
      </c>
      <c r="J38">
        <v>0</v>
      </c>
    </row>
    <row r="39" spans="2:10" ht="15">
      <c r="B39" s="839" t="s">
        <v>434</v>
      </c>
      <c r="C39" s="285" t="s">
        <v>1568</v>
      </c>
      <c r="D39" s="128">
        <v>482.5</v>
      </c>
      <c r="E39" s="454">
        <v>13</v>
      </c>
      <c r="F39" s="454">
        <v>9.67</v>
      </c>
      <c r="G39" s="57">
        <v>0</v>
      </c>
      <c r="I39" s="491">
        <f t="shared" si="0"/>
        <v>505.17</v>
      </c>
      <c r="J39">
        <v>0</v>
      </c>
    </row>
    <row r="40" spans="2:10" ht="15">
      <c r="B40" s="839" t="s">
        <v>278</v>
      </c>
      <c r="C40" s="285" t="s">
        <v>622</v>
      </c>
      <c r="D40" s="128">
        <v>482.66999999999996</v>
      </c>
      <c r="E40" s="454">
        <v>0</v>
      </c>
      <c r="F40" s="454">
        <v>0</v>
      </c>
      <c r="G40" s="57">
        <v>0</v>
      </c>
      <c r="H40" s="57"/>
      <c r="I40" s="491">
        <f t="shared" si="0"/>
        <v>482.66999999999996</v>
      </c>
      <c r="J40">
        <v>0</v>
      </c>
    </row>
    <row r="41" spans="2:10" ht="15">
      <c r="B41" s="839" t="s">
        <v>274</v>
      </c>
      <c r="C41" s="285" t="s">
        <v>1491</v>
      </c>
      <c r="D41" s="128">
        <v>109.5</v>
      </c>
      <c r="E41" s="454">
        <v>8</v>
      </c>
      <c r="F41" s="454">
        <v>0</v>
      </c>
      <c r="G41" s="57">
        <v>0</v>
      </c>
      <c r="H41" s="58"/>
      <c r="I41" s="491">
        <f t="shared" si="0"/>
        <v>117.5</v>
      </c>
      <c r="J41">
        <v>0</v>
      </c>
    </row>
    <row r="42" spans="2:10" ht="15">
      <c r="B42" s="839" t="s">
        <v>438</v>
      </c>
      <c r="C42" s="285" t="s">
        <v>1570</v>
      </c>
      <c r="D42" s="128">
        <v>257.16999999999996</v>
      </c>
      <c r="E42" s="454">
        <v>0</v>
      </c>
      <c r="F42" s="454">
        <v>0</v>
      </c>
      <c r="G42" s="57">
        <v>0</v>
      </c>
      <c r="H42" s="57"/>
      <c r="I42" s="491">
        <f t="shared" si="0"/>
        <v>257.16999999999996</v>
      </c>
      <c r="J42">
        <v>0</v>
      </c>
    </row>
    <row r="43" spans="2:10" ht="15">
      <c r="B43" s="839" t="s">
        <v>450</v>
      </c>
      <c r="C43" s="285" t="s">
        <v>1577</v>
      </c>
      <c r="D43" s="128">
        <v>1</v>
      </c>
      <c r="E43" s="454">
        <v>0</v>
      </c>
      <c r="F43" s="454">
        <v>0</v>
      </c>
      <c r="G43" s="57">
        <v>0</v>
      </c>
      <c r="H43" s="57"/>
      <c r="I43" s="491">
        <f t="shared" si="0"/>
        <v>1</v>
      </c>
      <c r="J43">
        <v>0</v>
      </c>
    </row>
    <row r="44" spans="2:10" ht="15">
      <c r="B44" s="839" t="s">
        <v>169</v>
      </c>
      <c r="C44" s="285" t="s">
        <v>1446</v>
      </c>
      <c r="D44" s="128">
        <v>17.670000000000002</v>
      </c>
      <c r="E44" s="454">
        <v>0</v>
      </c>
      <c r="F44" s="454">
        <v>0</v>
      </c>
      <c r="G44" s="57">
        <v>0</v>
      </c>
      <c r="I44" s="491">
        <f t="shared" si="0"/>
        <v>17.670000000000002</v>
      </c>
      <c r="J44">
        <v>0</v>
      </c>
    </row>
    <row r="45" spans="2:10" ht="15">
      <c r="B45" s="839" t="s">
        <v>10</v>
      </c>
      <c r="C45" s="285" t="s">
        <v>1373</v>
      </c>
      <c r="D45" s="128">
        <v>19.329999999999998</v>
      </c>
      <c r="E45" s="454">
        <v>0</v>
      </c>
      <c r="F45" s="454">
        <v>0</v>
      </c>
      <c r="G45" s="57">
        <v>0</v>
      </c>
      <c r="H45" s="57"/>
      <c r="I45" s="491">
        <f t="shared" si="0"/>
        <v>19.329999999999998</v>
      </c>
      <c r="J45">
        <v>0</v>
      </c>
    </row>
    <row r="46" spans="2:10" ht="15">
      <c r="B46" s="839" t="s">
        <v>230</v>
      </c>
      <c r="C46" s="285" t="s">
        <v>1471</v>
      </c>
      <c r="D46" s="128">
        <v>13.34</v>
      </c>
      <c r="E46" s="454">
        <v>0</v>
      </c>
      <c r="F46" s="454">
        <v>0</v>
      </c>
      <c r="G46" s="57">
        <v>0</v>
      </c>
      <c r="H46" s="57"/>
      <c r="I46" s="491">
        <f t="shared" si="0"/>
        <v>13.34</v>
      </c>
      <c r="J46">
        <v>0</v>
      </c>
    </row>
    <row r="47" spans="2:10" ht="15">
      <c r="B47" s="839" t="s">
        <v>357</v>
      </c>
      <c r="C47" s="285" t="s">
        <v>1530</v>
      </c>
      <c r="D47" s="128">
        <v>1606.5</v>
      </c>
      <c r="E47" s="454">
        <v>8</v>
      </c>
      <c r="F47" s="454">
        <v>15</v>
      </c>
      <c r="G47" s="57">
        <v>0</v>
      </c>
      <c r="I47" s="491">
        <f t="shared" si="0"/>
        <v>1629.5</v>
      </c>
      <c r="J47">
        <v>0</v>
      </c>
    </row>
    <row r="48" spans="2:10" ht="15">
      <c r="B48" s="839" t="s">
        <v>525</v>
      </c>
      <c r="C48" s="285" t="s">
        <v>1611</v>
      </c>
      <c r="D48" s="128">
        <v>0</v>
      </c>
      <c r="E48" s="454">
        <v>0</v>
      </c>
      <c r="F48" s="454">
        <v>0</v>
      </c>
      <c r="G48" s="57">
        <v>0</v>
      </c>
      <c r="H48" s="57"/>
      <c r="I48" s="491">
        <f t="shared" si="0"/>
        <v>0</v>
      </c>
      <c r="J48">
        <v>0</v>
      </c>
    </row>
    <row r="49" spans="2:10" ht="15">
      <c r="B49" s="839" t="s">
        <v>494</v>
      </c>
      <c r="C49" s="285" t="s">
        <v>1597</v>
      </c>
      <c r="D49" s="128">
        <v>292.83999999999997</v>
      </c>
      <c r="E49" s="454">
        <v>0</v>
      </c>
      <c r="F49" s="454">
        <v>0</v>
      </c>
      <c r="G49" s="57">
        <v>0</v>
      </c>
      <c r="H49" s="57"/>
      <c r="I49" s="491">
        <f t="shared" si="0"/>
        <v>292.83999999999997</v>
      </c>
      <c r="J49">
        <v>0</v>
      </c>
    </row>
    <row r="50" spans="2:10" ht="15">
      <c r="B50" s="839" t="s">
        <v>533</v>
      </c>
      <c r="C50" s="285" t="s">
        <v>1615</v>
      </c>
      <c r="D50" s="128">
        <v>0</v>
      </c>
      <c r="E50" s="454">
        <v>0</v>
      </c>
      <c r="F50" s="454">
        <v>0</v>
      </c>
      <c r="G50" s="57">
        <v>0</v>
      </c>
      <c r="H50" s="57"/>
      <c r="I50" s="491">
        <f t="shared" si="0"/>
        <v>0</v>
      </c>
      <c r="J50">
        <v>0</v>
      </c>
    </row>
    <row r="51" spans="2:10" ht="15">
      <c r="B51" s="839" t="s">
        <v>464</v>
      </c>
      <c r="C51" s="285" t="s">
        <v>1584</v>
      </c>
      <c r="D51" s="128">
        <v>0</v>
      </c>
      <c r="E51" s="454">
        <v>0</v>
      </c>
      <c r="F51" s="454">
        <v>0</v>
      </c>
      <c r="G51" s="57">
        <v>0</v>
      </c>
      <c r="H51" s="57"/>
      <c r="I51" s="491">
        <f t="shared" si="0"/>
        <v>0</v>
      </c>
      <c r="J51">
        <v>0</v>
      </c>
    </row>
    <row r="52" spans="2:10" ht="15">
      <c r="B52" s="839" t="s">
        <v>498</v>
      </c>
      <c r="C52" s="285" t="s">
        <v>1599</v>
      </c>
      <c r="D52" s="128">
        <v>133.16</v>
      </c>
      <c r="E52" s="454">
        <v>0</v>
      </c>
      <c r="F52" s="454">
        <v>0</v>
      </c>
      <c r="G52" s="57">
        <v>0</v>
      </c>
      <c r="I52" s="491">
        <f t="shared" si="0"/>
        <v>133.16</v>
      </c>
      <c r="J52">
        <v>0</v>
      </c>
    </row>
    <row r="53" spans="2:10" ht="15">
      <c r="B53" s="839" t="s">
        <v>456</v>
      </c>
      <c r="C53" s="285" t="s">
        <v>1580</v>
      </c>
      <c r="D53" s="128">
        <v>17.329999999999998</v>
      </c>
      <c r="E53" s="454">
        <v>0</v>
      </c>
      <c r="F53" s="454">
        <v>0</v>
      </c>
      <c r="G53" s="57">
        <v>0</v>
      </c>
      <c r="I53" s="491">
        <f t="shared" si="0"/>
        <v>17.329999999999998</v>
      </c>
      <c r="J53">
        <v>0</v>
      </c>
    </row>
    <row r="54" spans="2:10" ht="15">
      <c r="B54" s="839" t="s">
        <v>376</v>
      </c>
      <c r="C54" s="285" t="s">
        <v>1540</v>
      </c>
      <c r="D54" s="128">
        <v>0</v>
      </c>
      <c r="E54" s="454">
        <v>0</v>
      </c>
      <c r="F54" s="454">
        <v>0</v>
      </c>
      <c r="G54" s="57">
        <v>0</v>
      </c>
      <c r="I54" s="491">
        <f t="shared" si="0"/>
        <v>0</v>
      </c>
      <c r="J54">
        <v>0</v>
      </c>
    </row>
    <row r="55" spans="2:10" ht="15">
      <c r="B55" s="839" t="s">
        <v>384</v>
      </c>
      <c r="C55" s="285" t="s">
        <v>1543</v>
      </c>
      <c r="D55" s="128">
        <v>31.5</v>
      </c>
      <c r="E55" s="454">
        <v>0</v>
      </c>
      <c r="F55" s="454">
        <v>0</v>
      </c>
      <c r="G55" s="57">
        <v>0</v>
      </c>
      <c r="I55" s="491">
        <f t="shared" si="0"/>
        <v>31.5</v>
      </c>
      <c r="J55">
        <v>0</v>
      </c>
    </row>
    <row r="56" spans="2:10" ht="15">
      <c r="B56" s="839" t="s">
        <v>147</v>
      </c>
      <c r="C56" s="285" t="s">
        <v>1435</v>
      </c>
      <c r="D56" s="128">
        <v>2</v>
      </c>
      <c r="E56" s="454">
        <v>0</v>
      </c>
      <c r="F56" s="454">
        <v>0</v>
      </c>
      <c r="G56" s="57">
        <v>0</v>
      </c>
      <c r="H56" s="57"/>
      <c r="I56" s="491">
        <f t="shared" si="0"/>
        <v>2</v>
      </c>
      <c r="J56">
        <v>0</v>
      </c>
    </row>
    <row r="57" spans="2:10" ht="15">
      <c r="B57" s="839" t="s">
        <v>120</v>
      </c>
      <c r="C57" s="285" t="s">
        <v>1423</v>
      </c>
      <c r="D57" s="128">
        <v>0</v>
      </c>
      <c r="E57" s="454">
        <v>0</v>
      </c>
      <c r="F57" s="454">
        <v>0</v>
      </c>
      <c r="G57" s="57">
        <v>0</v>
      </c>
      <c r="I57" s="491">
        <f t="shared" si="0"/>
        <v>0</v>
      </c>
      <c r="J57">
        <v>0</v>
      </c>
    </row>
    <row r="58" spans="2:10" ht="15">
      <c r="B58" s="839" t="s">
        <v>159</v>
      </c>
      <c r="C58" s="285" t="s">
        <v>1441</v>
      </c>
      <c r="D58" s="128">
        <v>35.83</v>
      </c>
      <c r="E58" s="454">
        <v>0</v>
      </c>
      <c r="F58" s="454">
        <v>0</v>
      </c>
      <c r="G58" s="57">
        <v>0</v>
      </c>
      <c r="H58" s="57"/>
      <c r="I58" s="491">
        <f t="shared" si="0"/>
        <v>35.83</v>
      </c>
      <c r="J58">
        <v>0</v>
      </c>
    </row>
    <row r="59" spans="2:10" ht="15">
      <c r="B59" s="839" t="s">
        <v>41</v>
      </c>
      <c r="C59" s="285" t="s">
        <v>1386</v>
      </c>
      <c r="D59" s="128">
        <v>0</v>
      </c>
      <c r="E59" s="454">
        <v>0</v>
      </c>
      <c r="F59" s="454">
        <v>0</v>
      </c>
      <c r="G59" s="57">
        <v>0</v>
      </c>
      <c r="I59" s="491">
        <f t="shared" si="0"/>
        <v>0</v>
      </c>
      <c r="J59">
        <v>0</v>
      </c>
    </row>
    <row r="60" spans="2:10" ht="15">
      <c r="B60" s="839" t="s">
        <v>285</v>
      </c>
      <c r="C60" s="285" t="s">
        <v>1496</v>
      </c>
      <c r="D60" s="128">
        <v>0</v>
      </c>
      <c r="E60" s="454">
        <v>0</v>
      </c>
      <c r="F60" s="454">
        <v>0</v>
      </c>
      <c r="G60" s="57">
        <v>0</v>
      </c>
      <c r="H60" s="57"/>
      <c r="I60" s="491">
        <f t="shared" si="0"/>
        <v>0</v>
      </c>
      <c r="J60">
        <v>0</v>
      </c>
    </row>
    <row r="61" spans="2:10" ht="15">
      <c r="B61" s="839" t="s">
        <v>96</v>
      </c>
      <c r="C61" s="285" t="s">
        <v>1412</v>
      </c>
      <c r="D61" s="128">
        <v>0</v>
      </c>
      <c r="E61" s="454">
        <v>0</v>
      </c>
      <c r="F61" s="454">
        <v>0</v>
      </c>
      <c r="G61" s="57">
        <v>0</v>
      </c>
      <c r="H61" s="57"/>
      <c r="I61" s="491">
        <f t="shared" si="0"/>
        <v>0</v>
      </c>
      <c r="J61">
        <v>0</v>
      </c>
    </row>
    <row r="62" spans="2:10" ht="15">
      <c r="B62" s="839" t="s">
        <v>338</v>
      </c>
      <c r="C62" s="285" t="s">
        <v>1520</v>
      </c>
      <c r="D62" s="128">
        <v>0</v>
      </c>
      <c r="E62" s="454">
        <v>0</v>
      </c>
      <c r="F62" s="454">
        <v>0</v>
      </c>
      <c r="G62" s="57">
        <v>0</v>
      </c>
      <c r="H62" s="57"/>
      <c r="I62" s="491">
        <f t="shared" si="0"/>
        <v>0</v>
      </c>
      <c r="J62">
        <v>0</v>
      </c>
    </row>
    <row r="63" spans="2:10" ht="15">
      <c r="B63" s="839" t="s">
        <v>220</v>
      </c>
      <c r="C63" s="285" t="s">
        <v>1466</v>
      </c>
      <c r="D63" s="128">
        <v>0</v>
      </c>
      <c r="E63" s="454">
        <v>0</v>
      </c>
      <c r="F63" s="454">
        <v>0</v>
      </c>
      <c r="G63" s="57">
        <v>0</v>
      </c>
      <c r="H63" s="57"/>
      <c r="I63" s="491">
        <f t="shared" si="0"/>
        <v>0</v>
      </c>
      <c r="J63">
        <v>0</v>
      </c>
    </row>
    <row r="64" spans="2:10" ht="15">
      <c r="B64" s="839" t="s">
        <v>417</v>
      </c>
      <c r="C64" s="285" t="s">
        <v>1559</v>
      </c>
      <c r="D64" s="128">
        <v>4.34</v>
      </c>
      <c r="E64" s="454">
        <v>0</v>
      </c>
      <c r="F64" s="454">
        <v>0</v>
      </c>
      <c r="G64" s="57">
        <v>0</v>
      </c>
      <c r="I64" s="491">
        <f t="shared" si="0"/>
        <v>4.34</v>
      </c>
      <c r="J64">
        <v>0</v>
      </c>
    </row>
    <row r="65" spans="2:10" ht="15">
      <c r="B65" s="839" t="s">
        <v>293</v>
      </c>
      <c r="C65" s="285" t="s">
        <v>1500</v>
      </c>
      <c r="D65" s="128">
        <v>0</v>
      </c>
      <c r="E65" s="454">
        <v>0</v>
      </c>
      <c r="F65" s="454">
        <v>0</v>
      </c>
      <c r="G65" s="57">
        <v>0</v>
      </c>
      <c r="I65" s="491">
        <f t="shared" si="0"/>
        <v>0</v>
      </c>
      <c r="J65">
        <v>0</v>
      </c>
    </row>
    <row r="66" spans="2:10" ht="15">
      <c r="B66" s="839" t="s">
        <v>66</v>
      </c>
      <c r="C66" s="285" t="s">
        <v>758</v>
      </c>
      <c r="D66" s="128">
        <v>1.5</v>
      </c>
      <c r="E66" s="454">
        <v>0</v>
      </c>
      <c r="F66" s="454">
        <v>0</v>
      </c>
      <c r="G66" s="57">
        <v>0</v>
      </c>
      <c r="H66" s="57"/>
      <c r="I66" s="491">
        <f t="shared" si="0"/>
        <v>1.5</v>
      </c>
      <c r="J66">
        <v>0</v>
      </c>
    </row>
    <row r="67" spans="2:10" ht="15">
      <c r="B67" s="839" t="s">
        <v>444</v>
      </c>
      <c r="C67" s="285" t="s">
        <v>1574</v>
      </c>
      <c r="D67" s="128">
        <v>25</v>
      </c>
      <c r="E67" s="454">
        <v>0</v>
      </c>
      <c r="F67" s="454">
        <v>0</v>
      </c>
      <c r="G67" s="57">
        <v>0</v>
      </c>
      <c r="I67" s="491">
        <f t="shared" si="0"/>
        <v>25</v>
      </c>
      <c r="J67">
        <v>0</v>
      </c>
    </row>
    <row r="68" spans="2:10" ht="15">
      <c r="B68" s="839" t="s">
        <v>353</v>
      </c>
      <c r="C68" s="285" t="s">
        <v>1528</v>
      </c>
      <c r="D68" s="128">
        <v>58.34</v>
      </c>
      <c r="E68" s="454">
        <v>0</v>
      </c>
      <c r="F68" s="454">
        <v>0</v>
      </c>
      <c r="G68" s="57">
        <v>0</v>
      </c>
      <c r="H68" s="57"/>
      <c r="I68" s="491">
        <f t="shared" si="0"/>
        <v>58.34</v>
      </c>
      <c r="J68">
        <v>0</v>
      </c>
    </row>
    <row r="69" spans="2:10" ht="15">
      <c r="B69" s="839" t="s">
        <v>490</v>
      </c>
      <c r="C69" s="285" t="s">
        <v>1596</v>
      </c>
      <c r="D69" s="128">
        <v>0</v>
      </c>
      <c r="E69" s="454">
        <v>0</v>
      </c>
      <c r="F69" s="454">
        <v>0</v>
      </c>
      <c r="G69" s="57">
        <v>0</v>
      </c>
      <c r="I69" s="491">
        <f t="shared" si="0"/>
        <v>0</v>
      </c>
      <c r="J69">
        <v>0</v>
      </c>
    </row>
    <row r="70" spans="2:10" ht="15">
      <c r="B70" s="839" t="s">
        <v>440</v>
      </c>
      <c r="C70" s="285" t="s">
        <v>1571</v>
      </c>
      <c r="D70" s="128">
        <v>97.17</v>
      </c>
      <c r="E70" s="454">
        <v>0</v>
      </c>
      <c r="F70" s="454">
        <v>3</v>
      </c>
      <c r="G70" s="57">
        <v>0</v>
      </c>
      <c r="H70" s="57"/>
      <c r="I70" s="491">
        <f t="shared" si="0"/>
        <v>100.17</v>
      </c>
      <c r="J70">
        <v>0</v>
      </c>
    </row>
    <row r="71" spans="2:10" ht="15">
      <c r="B71" s="839" t="s">
        <v>549</v>
      </c>
      <c r="C71" s="285" t="s">
        <v>1623</v>
      </c>
      <c r="D71" s="128">
        <v>349.33</v>
      </c>
      <c r="E71" s="454">
        <v>0</v>
      </c>
      <c r="F71" s="454">
        <v>2.5</v>
      </c>
      <c r="G71" s="57">
        <v>0</v>
      </c>
      <c r="H71" s="57"/>
      <c r="I71" s="491">
        <f t="shared" si="0"/>
        <v>351.83</v>
      </c>
      <c r="J71">
        <v>0</v>
      </c>
    </row>
    <row r="72" spans="2:10" ht="15">
      <c r="B72" s="839" t="s">
        <v>88</v>
      </c>
      <c r="C72" s="285" t="s">
        <v>1408</v>
      </c>
      <c r="D72" s="128">
        <v>1036.67</v>
      </c>
      <c r="E72" s="454">
        <v>0</v>
      </c>
      <c r="F72" s="454">
        <v>0</v>
      </c>
      <c r="G72" s="57">
        <v>0</v>
      </c>
      <c r="H72" s="57"/>
      <c r="I72" s="491">
        <f t="shared" ref="I72:I135" si="1">IF(D72+E72+F72-G72&lt;0,0,D72+E72+F72-G72)</f>
        <v>1036.67</v>
      </c>
      <c r="J72">
        <v>0</v>
      </c>
    </row>
    <row r="73" spans="2:10" ht="15">
      <c r="B73" s="839" t="s">
        <v>222</v>
      </c>
      <c r="C73" s="285" t="s">
        <v>1467</v>
      </c>
      <c r="D73" s="128">
        <v>6.67</v>
      </c>
      <c r="E73" s="454">
        <v>0</v>
      </c>
      <c r="F73" s="454">
        <v>0</v>
      </c>
      <c r="G73" s="57">
        <v>0</v>
      </c>
      <c r="H73" s="57"/>
      <c r="I73" s="491">
        <f t="shared" si="1"/>
        <v>6.67</v>
      </c>
      <c r="J73">
        <v>0</v>
      </c>
    </row>
    <row r="74" spans="2:10" ht="15">
      <c r="B74" s="839" t="s">
        <v>365</v>
      </c>
      <c r="C74" s="285" t="s">
        <v>1532</v>
      </c>
      <c r="D74" s="128">
        <v>15.83</v>
      </c>
      <c r="E74" s="454">
        <v>0</v>
      </c>
      <c r="F74" s="454">
        <v>0</v>
      </c>
      <c r="G74" s="57">
        <v>0</v>
      </c>
      <c r="H74" s="57"/>
      <c r="I74" s="491">
        <f t="shared" si="1"/>
        <v>15.83</v>
      </c>
      <c r="J74">
        <v>0</v>
      </c>
    </row>
    <row r="75" spans="2:10" ht="15">
      <c r="B75" s="839" t="s">
        <v>401</v>
      </c>
      <c r="C75" s="285" t="s">
        <v>1551</v>
      </c>
      <c r="D75" s="128">
        <v>3321.5</v>
      </c>
      <c r="E75" s="454">
        <v>84</v>
      </c>
      <c r="F75" s="454">
        <v>11.67</v>
      </c>
      <c r="G75" s="57">
        <v>1</v>
      </c>
      <c r="H75" s="57"/>
      <c r="I75" s="491">
        <f t="shared" si="1"/>
        <v>3416.17</v>
      </c>
      <c r="J75">
        <v>0</v>
      </c>
    </row>
    <row r="76" spans="2:10" ht="15">
      <c r="B76" s="839" t="s">
        <v>226</v>
      </c>
      <c r="C76" s="285" t="s">
        <v>1469</v>
      </c>
      <c r="D76" s="128">
        <v>228.32999999999998</v>
      </c>
      <c r="E76" s="454">
        <v>0</v>
      </c>
      <c r="F76" s="454">
        <v>4.83</v>
      </c>
      <c r="G76" s="57">
        <v>0</v>
      </c>
      <c r="H76" s="57"/>
      <c r="I76" s="491">
        <f t="shared" si="1"/>
        <v>233.16</v>
      </c>
      <c r="J76">
        <v>0</v>
      </c>
    </row>
    <row r="77" spans="2:10" ht="15">
      <c r="B77" s="839" t="s">
        <v>141</v>
      </c>
      <c r="C77" s="285" t="s">
        <v>1433</v>
      </c>
      <c r="D77" s="128">
        <v>123.84</v>
      </c>
      <c r="E77" s="454">
        <v>0</v>
      </c>
      <c r="F77" s="454">
        <v>2</v>
      </c>
      <c r="G77" s="57">
        <v>0</v>
      </c>
      <c r="H77" s="57"/>
      <c r="I77" s="491">
        <f t="shared" si="1"/>
        <v>125.84</v>
      </c>
      <c r="J77">
        <v>0</v>
      </c>
    </row>
    <row r="78" spans="2:10" ht="15">
      <c r="B78" s="839" t="s">
        <v>535</v>
      </c>
      <c r="C78" s="285" t="s">
        <v>1616</v>
      </c>
      <c r="D78" s="128">
        <v>0</v>
      </c>
      <c r="E78" s="454">
        <v>0</v>
      </c>
      <c r="F78" s="454">
        <v>0</v>
      </c>
      <c r="G78" s="57">
        <v>0</v>
      </c>
      <c r="H78" s="57"/>
      <c r="I78" s="491">
        <f t="shared" si="1"/>
        <v>0</v>
      </c>
      <c r="J78">
        <v>0</v>
      </c>
    </row>
    <row r="79" spans="2:10" ht="15">
      <c r="B79" s="839" t="s">
        <v>29</v>
      </c>
      <c r="C79" s="285" t="s">
        <v>1382</v>
      </c>
      <c r="D79" s="128">
        <v>50.67</v>
      </c>
      <c r="E79" s="454">
        <v>0</v>
      </c>
      <c r="F79" s="454">
        <v>0</v>
      </c>
      <c r="G79" s="57">
        <v>0</v>
      </c>
      <c r="H79" s="57"/>
      <c r="I79" s="491">
        <f t="shared" si="1"/>
        <v>50.67</v>
      </c>
      <c r="J79">
        <v>0</v>
      </c>
    </row>
    <row r="80" spans="2:10" ht="15">
      <c r="B80" s="839" t="s">
        <v>177</v>
      </c>
      <c r="C80" s="285" t="s">
        <v>1450</v>
      </c>
      <c r="D80" s="128">
        <v>282.83000000000004</v>
      </c>
      <c r="E80" s="454">
        <v>0</v>
      </c>
      <c r="F80" s="454">
        <v>3</v>
      </c>
      <c r="G80" s="57">
        <v>0</v>
      </c>
      <c r="I80" s="491">
        <f t="shared" si="1"/>
        <v>285.83000000000004</v>
      </c>
      <c r="J80">
        <v>0</v>
      </c>
    </row>
    <row r="81" spans="2:10" ht="15">
      <c r="B81" s="839" t="s">
        <v>127</v>
      </c>
      <c r="C81" s="285" t="s">
        <v>623</v>
      </c>
      <c r="D81" s="128">
        <v>360.83000000000004</v>
      </c>
      <c r="E81" s="454">
        <v>15</v>
      </c>
      <c r="F81" s="454">
        <v>2</v>
      </c>
      <c r="G81" s="57">
        <v>0</v>
      </c>
      <c r="I81" s="491">
        <f t="shared" si="1"/>
        <v>377.83000000000004</v>
      </c>
      <c r="J81">
        <v>0</v>
      </c>
    </row>
    <row r="82" spans="2:10" ht="15">
      <c r="B82" s="839" t="s">
        <v>1728</v>
      </c>
      <c r="C82" s="285" t="s">
        <v>681</v>
      </c>
      <c r="E82" s="454">
        <v>0</v>
      </c>
      <c r="F82" s="454">
        <v>0</v>
      </c>
      <c r="G82" s="57">
        <v>0</v>
      </c>
      <c r="I82" s="491">
        <f t="shared" si="1"/>
        <v>0</v>
      </c>
      <c r="J82">
        <v>0</v>
      </c>
    </row>
    <row r="83" spans="2:10" ht="15">
      <c r="B83" s="839" t="s">
        <v>651</v>
      </c>
      <c r="C83" s="285" t="s">
        <v>652</v>
      </c>
      <c r="E83" s="454">
        <v>0</v>
      </c>
      <c r="F83" s="454">
        <v>0.67</v>
      </c>
      <c r="G83" s="57">
        <v>0</v>
      </c>
      <c r="H83" s="57"/>
      <c r="I83" s="491">
        <f t="shared" si="1"/>
        <v>0.67</v>
      </c>
      <c r="J83">
        <v>0</v>
      </c>
    </row>
    <row r="84" spans="2:10" ht="15">
      <c r="B84" s="839" t="s">
        <v>678</v>
      </c>
      <c r="C84" s="285" t="s">
        <v>679</v>
      </c>
      <c r="E84" s="454">
        <v>0</v>
      </c>
      <c r="F84" s="454">
        <v>0</v>
      </c>
      <c r="G84" s="57">
        <v>0</v>
      </c>
      <c r="H84" s="57"/>
      <c r="I84" s="491">
        <f t="shared" si="1"/>
        <v>0</v>
      </c>
      <c r="J84">
        <v>0</v>
      </c>
    </row>
    <row r="85" spans="2:10" ht="15">
      <c r="B85" s="839" t="s">
        <v>256</v>
      </c>
      <c r="C85" s="285" t="s">
        <v>1483</v>
      </c>
      <c r="D85" s="128">
        <v>2</v>
      </c>
      <c r="E85" s="454">
        <v>0</v>
      </c>
      <c r="F85" s="454">
        <v>0</v>
      </c>
      <c r="G85" s="57">
        <v>0</v>
      </c>
      <c r="I85" s="491">
        <f t="shared" si="1"/>
        <v>2</v>
      </c>
      <c r="J85">
        <v>0</v>
      </c>
    </row>
    <row r="86" spans="2:10" ht="15">
      <c r="B86" s="839" t="s">
        <v>395</v>
      </c>
      <c r="C86" s="285" t="s">
        <v>635</v>
      </c>
      <c r="D86" s="128">
        <v>3190.83</v>
      </c>
      <c r="E86" s="454">
        <v>99</v>
      </c>
      <c r="F86" s="454">
        <v>90.5</v>
      </c>
      <c r="G86" s="57">
        <v>0</v>
      </c>
      <c r="H86" s="57"/>
      <c r="I86" s="491">
        <f t="shared" si="1"/>
        <v>3380.33</v>
      </c>
      <c r="J86">
        <v>0</v>
      </c>
    </row>
    <row r="87" spans="2:10" ht="15">
      <c r="B87" s="839" t="s">
        <v>58</v>
      </c>
      <c r="C87" s="285" t="s">
        <v>1394</v>
      </c>
      <c r="D87" s="128">
        <v>3304.17</v>
      </c>
      <c r="E87" s="454">
        <v>0</v>
      </c>
      <c r="F87" s="454">
        <v>65.17</v>
      </c>
      <c r="G87" s="57">
        <v>0</v>
      </c>
      <c r="H87" s="57"/>
      <c r="I87" s="491">
        <f t="shared" si="1"/>
        <v>3369.34</v>
      </c>
      <c r="J87">
        <v>0</v>
      </c>
    </row>
    <row r="88" spans="2:10" ht="15">
      <c r="B88" s="839" t="s">
        <v>462</v>
      </c>
      <c r="C88" s="285" t="s">
        <v>1583</v>
      </c>
      <c r="D88" s="128">
        <v>0</v>
      </c>
      <c r="E88" s="454">
        <v>0</v>
      </c>
      <c r="F88" s="454">
        <v>0</v>
      </c>
      <c r="G88" s="57">
        <v>0</v>
      </c>
      <c r="H88" s="57"/>
      <c r="I88" s="491">
        <f t="shared" si="1"/>
        <v>0</v>
      </c>
      <c r="J88">
        <v>0</v>
      </c>
    </row>
    <row r="89" spans="2:10" ht="15">
      <c r="B89" s="839" t="s">
        <v>175</v>
      </c>
      <c r="C89" s="285" t="s">
        <v>1449</v>
      </c>
      <c r="D89" s="128">
        <v>5093.17</v>
      </c>
      <c r="E89" s="454">
        <v>33</v>
      </c>
      <c r="F89" s="454">
        <v>64.5</v>
      </c>
      <c r="G89" s="57">
        <v>0</v>
      </c>
      <c r="H89" s="57"/>
      <c r="I89" s="491">
        <f t="shared" si="1"/>
        <v>5190.67</v>
      </c>
      <c r="J89">
        <v>0</v>
      </c>
    </row>
    <row r="90" spans="2:10" ht="15">
      <c r="B90" s="839" t="s">
        <v>506</v>
      </c>
      <c r="C90" s="285" t="s">
        <v>1602</v>
      </c>
      <c r="D90" s="128">
        <v>355</v>
      </c>
      <c r="E90" s="454">
        <v>0</v>
      </c>
      <c r="F90" s="454">
        <v>7</v>
      </c>
      <c r="G90" s="57">
        <v>1</v>
      </c>
      <c r="H90" s="57"/>
      <c r="I90" s="491">
        <f t="shared" si="1"/>
        <v>361</v>
      </c>
      <c r="J90">
        <v>0</v>
      </c>
    </row>
    <row r="91" spans="2:10" ht="15">
      <c r="B91" s="839" t="s">
        <v>369</v>
      </c>
      <c r="C91" s="285" t="s">
        <v>1534</v>
      </c>
      <c r="D91" s="128">
        <v>523.33000000000004</v>
      </c>
      <c r="E91" s="454">
        <v>20</v>
      </c>
      <c r="F91" s="454">
        <v>0</v>
      </c>
      <c r="G91" s="57">
        <v>0</v>
      </c>
      <c r="H91" s="57"/>
      <c r="I91" s="491">
        <f t="shared" si="1"/>
        <v>543.33000000000004</v>
      </c>
      <c r="J91">
        <v>0</v>
      </c>
    </row>
    <row r="92" spans="2:10" ht="15">
      <c r="B92" s="839" t="s">
        <v>19</v>
      </c>
      <c r="C92" s="285" t="s">
        <v>1377</v>
      </c>
      <c r="D92" s="128">
        <v>168</v>
      </c>
      <c r="E92" s="454">
        <v>0</v>
      </c>
      <c r="F92" s="454">
        <v>1.17</v>
      </c>
      <c r="G92" s="57">
        <v>0</v>
      </c>
      <c r="H92" s="57"/>
      <c r="I92" s="491">
        <f t="shared" si="1"/>
        <v>169.17</v>
      </c>
      <c r="J92">
        <v>0</v>
      </c>
    </row>
    <row r="93" spans="2:10" ht="15">
      <c r="B93" s="839" t="s">
        <v>361</v>
      </c>
      <c r="C93" s="285" t="s">
        <v>630</v>
      </c>
      <c r="D93" s="128">
        <v>927.33</v>
      </c>
      <c r="E93" s="454">
        <v>0</v>
      </c>
      <c r="F93" s="454">
        <v>3</v>
      </c>
      <c r="G93" s="57">
        <v>1</v>
      </c>
      <c r="H93" s="57"/>
      <c r="I93" s="491">
        <f t="shared" si="1"/>
        <v>929.33</v>
      </c>
      <c r="J93">
        <v>0</v>
      </c>
    </row>
    <row r="94" spans="2:10" ht="15">
      <c r="B94" s="839" t="s">
        <v>436</v>
      </c>
      <c r="C94" s="285" t="s">
        <v>1569</v>
      </c>
      <c r="D94" s="128">
        <v>0.5</v>
      </c>
      <c r="E94" s="454">
        <v>0</v>
      </c>
      <c r="F94" s="454">
        <v>0</v>
      </c>
      <c r="G94" s="57">
        <v>0</v>
      </c>
      <c r="H94" s="57"/>
      <c r="I94" s="491">
        <f t="shared" si="1"/>
        <v>0.5</v>
      </c>
      <c r="J94">
        <v>0</v>
      </c>
    </row>
    <row r="95" spans="2:10" ht="15">
      <c r="B95" s="839" t="s">
        <v>529</v>
      </c>
      <c r="C95" s="285" t="s">
        <v>1613</v>
      </c>
      <c r="D95" s="128">
        <v>0</v>
      </c>
      <c r="E95" s="454">
        <v>0</v>
      </c>
      <c r="F95" s="454">
        <v>0</v>
      </c>
      <c r="G95" s="57">
        <v>0</v>
      </c>
      <c r="I95" s="491">
        <f t="shared" si="1"/>
        <v>0</v>
      </c>
      <c r="J95">
        <v>0</v>
      </c>
    </row>
    <row r="96" spans="2:10" ht="15">
      <c r="B96" s="839" t="s">
        <v>240</v>
      </c>
      <c r="C96" s="285" t="s">
        <v>1476</v>
      </c>
      <c r="D96" s="128">
        <v>0</v>
      </c>
      <c r="E96" s="454">
        <v>0</v>
      </c>
      <c r="F96" s="454">
        <v>0</v>
      </c>
      <c r="G96" s="57">
        <v>0</v>
      </c>
      <c r="I96" s="491">
        <f t="shared" si="1"/>
        <v>0</v>
      </c>
      <c r="J96">
        <v>0</v>
      </c>
    </row>
    <row r="97" spans="2:10" ht="15">
      <c r="B97" s="839" t="s">
        <v>246</v>
      </c>
      <c r="C97" s="285" t="s">
        <v>1479</v>
      </c>
      <c r="D97" s="128">
        <v>78.33</v>
      </c>
      <c r="E97" s="454">
        <v>0</v>
      </c>
      <c r="F97" s="454">
        <v>1</v>
      </c>
      <c r="G97" s="57">
        <v>0</v>
      </c>
      <c r="I97" s="491">
        <f t="shared" si="1"/>
        <v>79.33</v>
      </c>
      <c r="J97">
        <v>0</v>
      </c>
    </row>
    <row r="98" spans="2:10" ht="15">
      <c r="B98" s="839" t="s">
        <v>131</v>
      </c>
      <c r="C98" s="285" t="s">
        <v>1428</v>
      </c>
      <c r="D98" s="128">
        <v>0</v>
      </c>
      <c r="E98" s="454">
        <v>0</v>
      </c>
      <c r="F98" s="454">
        <v>112.17</v>
      </c>
      <c r="G98" s="57">
        <v>0</v>
      </c>
      <c r="I98" s="491">
        <f t="shared" si="1"/>
        <v>112.17</v>
      </c>
      <c r="J98">
        <v>0</v>
      </c>
    </row>
    <row r="99" spans="2:10" ht="15">
      <c r="B99" s="839" t="s">
        <v>555</v>
      </c>
      <c r="C99" s="285" t="s">
        <v>1625</v>
      </c>
      <c r="D99" s="128">
        <v>1092.5</v>
      </c>
      <c r="E99" s="454">
        <v>0</v>
      </c>
      <c r="F99" s="454">
        <v>0</v>
      </c>
      <c r="G99" s="57">
        <v>0</v>
      </c>
      <c r="H99" s="57"/>
      <c r="I99" s="491">
        <f t="shared" si="1"/>
        <v>1092.5</v>
      </c>
      <c r="J99">
        <v>0</v>
      </c>
    </row>
    <row r="100" spans="2:10" ht="15">
      <c r="B100" s="839" t="s">
        <v>563</v>
      </c>
      <c r="C100" s="285" t="s">
        <v>1628</v>
      </c>
      <c r="D100" s="128">
        <v>594.83000000000004</v>
      </c>
      <c r="E100" s="454">
        <v>0</v>
      </c>
      <c r="F100" s="454">
        <v>26.5</v>
      </c>
      <c r="G100" s="57">
        <v>0</v>
      </c>
      <c r="I100" s="491">
        <f t="shared" si="1"/>
        <v>621.33000000000004</v>
      </c>
      <c r="J100">
        <v>0</v>
      </c>
    </row>
    <row r="101" spans="2:10" ht="15">
      <c r="B101" s="839" t="s">
        <v>419</v>
      </c>
      <c r="C101" s="285" t="s">
        <v>1560</v>
      </c>
      <c r="D101" s="128">
        <v>81.67</v>
      </c>
      <c r="E101" s="454">
        <v>0</v>
      </c>
      <c r="F101" s="454">
        <v>0</v>
      </c>
      <c r="G101" s="57">
        <v>0</v>
      </c>
      <c r="H101" s="57"/>
      <c r="I101" s="491">
        <f t="shared" si="1"/>
        <v>81.67</v>
      </c>
      <c r="J101">
        <v>0</v>
      </c>
    </row>
    <row r="102" spans="2:10" ht="15">
      <c r="B102" s="839" t="s">
        <v>297</v>
      </c>
      <c r="C102" s="285" t="s">
        <v>1502</v>
      </c>
      <c r="D102" s="128">
        <v>0</v>
      </c>
      <c r="E102" s="454">
        <v>0</v>
      </c>
      <c r="F102" s="454">
        <v>0</v>
      </c>
      <c r="G102" s="57">
        <v>0</v>
      </c>
      <c r="H102" s="57"/>
      <c r="I102" s="491">
        <f t="shared" si="1"/>
        <v>0</v>
      </c>
      <c r="J102">
        <v>0</v>
      </c>
    </row>
    <row r="103" spans="2:10" ht="15">
      <c r="B103" s="839" t="s">
        <v>426</v>
      </c>
      <c r="C103" s="285" t="s">
        <v>1564</v>
      </c>
      <c r="D103" s="128">
        <v>0</v>
      </c>
      <c r="E103" s="454">
        <v>0</v>
      </c>
      <c r="F103" s="454">
        <v>0</v>
      </c>
      <c r="G103" s="57">
        <v>0</v>
      </c>
      <c r="H103" s="57"/>
      <c r="I103" s="491">
        <f t="shared" si="1"/>
        <v>0</v>
      </c>
      <c r="J103">
        <v>0</v>
      </c>
    </row>
    <row r="104" spans="2:10" ht="15">
      <c r="B104" s="839" t="s">
        <v>54</v>
      </c>
      <c r="C104" s="285" t="s">
        <v>1393</v>
      </c>
      <c r="D104" s="128">
        <v>3</v>
      </c>
      <c r="E104" s="454">
        <v>0</v>
      </c>
      <c r="F104" s="454">
        <v>0</v>
      </c>
      <c r="G104" s="57">
        <v>0</v>
      </c>
      <c r="I104" s="491">
        <f t="shared" si="1"/>
        <v>3</v>
      </c>
      <c r="J104">
        <v>0</v>
      </c>
    </row>
    <row r="105" spans="2:10" ht="15">
      <c r="B105" s="839" t="s">
        <v>482</v>
      </c>
      <c r="C105" s="285" t="s">
        <v>1592</v>
      </c>
      <c r="D105" s="128">
        <v>1.33</v>
      </c>
      <c r="E105" s="454">
        <v>0</v>
      </c>
      <c r="F105" s="454">
        <v>0</v>
      </c>
      <c r="G105" s="57">
        <v>0</v>
      </c>
      <c r="I105" s="491">
        <f t="shared" si="1"/>
        <v>1.33</v>
      </c>
      <c r="J105">
        <v>0</v>
      </c>
    </row>
    <row r="106" spans="2:10" ht="15">
      <c r="B106" s="839" t="s">
        <v>291</v>
      </c>
      <c r="C106" s="285" t="s">
        <v>1499</v>
      </c>
      <c r="D106" s="128">
        <v>0</v>
      </c>
      <c r="E106" s="454">
        <v>0</v>
      </c>
      <c r="F106" s="454">
        <v>0</v>
      </c>
      <c r="G106" s="57">
        <v>0</v>
      </c>
      <c r="I106" s="491">
        <f t="shared" si="1"/>
        <v>0</v>
      </c>
      <c r="J106">
        <v>0</v>
      </c>
    </row>
    <row r="107" spans="2:10" ht="15">
      <c r="B107" s="839" t="s">
        <v>561</v>
      </c>
      <c r="C107" s="285" t="s">
        <v>1627</v>
      </c>
      <c r="D107" s="128">
        <v>297.5</v>
      </c>
      <c r="E107" s="454">
        <v>0</v>
      </c>
      <c r="F107" s="454">
        <v>0</v>
      </c>
      <c r="G107" s="57">
        <v>0</v>
      </c>
      <c r="H107" s="57"/>
      <c r="I107" s="491">
        <f t="shared" si="1"/>
        <v>297.5</v>
      </c>
      <c r="J107">
        <v>0</v>
      </c>
    </row>
    <row r="108" spans="2:10" ht="15">
      <c r="B108" s="839" t="s">
        <v>181</v>
      </c>
      <c r="C108" s="285" t="s">
        <v>1452</v>
      </c>
      <c r="D108" s="128">
        <v>5691</v>
      </c>
      <c r="E108" s="454">
        <v>32</v>
      </c>
      <c r="F108" s="454">
        <v>168.17</v>
      </c>
      <c r="G108" s="57">
        <v>3</v>
      </c>
      <c r="H108" s="57"/>
      <c r="I108" s="491">
        <f t="shared" si="1"/>
        <v>5888.17</v>
      </c>
      <c r="J108">
        <v>0</v>
      </c>
    </row>
    <row r="109" spans="2:10" ht="15">
      <c r="B109" s="839" t="s">
        <v>51</v>
      </c>
      <c r="C109" s="285" t="s">
        <v>1391</v>
      </c>
      <c r="D109" s="128">
        <v>70</v>
      </c>
      <c r="E109" s="454">
        <v>0</v>
      </c>
      <c r="F109" s="454">
        <v>0</v>
      </c>
      <c r="G109" s="57">
        <v>0</v>
      </c>
      <c r="I109" s="491">
        <f t="shared" si="1"/>
        <v>70</v>
      </c>
      <c r="J109">
        <v>0</v>
      </c>
    </row>
    <row r="110" spans="2:10" ht="15">
      <c r="B110" s="839" t="s">
        <v>307</v>
      </c>
      <c r="C110" s="285" t="s">
        <v>1507</v>
      </c>
      <c r="D110" s="128">
        <v>7</v>
      </c>
      <c r="E110" s="454">
        <v>0</v>
      </c>
      <c r="F110" s="454">
        <v>0</v>
      </c>
      <c r="G110" s="57">
        <v>0</v>
      </c>
      <c r="H110" s="57"/>
      <c r="I110" s="491">
        <f t="shared" si="1"/>
        <v>7</v>
      </c>
      <c r="J110">
        <v>0</v>
      </c>
    </row>
    <row r="111" spans="2:10" ht="15">
      <c r="B111" s="839" t="s">
        <v>134</v>
      </c>
      <c r="C111" s="285" t="s">
        <v>748</v>
      </c>
      <c r="D111" s="128">
        <v>96.66</v>
      </c>
      <c r="E111" s="454">
        <v>0</v>
      </c>
      <c r="F111" s="454">
        <v>0</v>
      </c>
      <c r="G111" s="57">
        <v>0</v>
      </c>
      <c r="I111" s="491">
        <f t="shared" si="1"/>
        <v>96.66</v>
      </c>
      <c r="J111">
        <v>0</v>
      </c>
    </row>
    <row r="112" spans="2:10" ht="15">
      <c r="B112" s="839" t="s">
        <v>1777</v>
      </c>
      <c r="C112" s="285" t="s">
        <v>1782</v>
      </c>
      <c r="D112" s="128">
        <v>27</v>
      </c>
      <c r="E112" s="454">
        <v>0</v>
      </c>
      <c r="F112" s="454">
        <v>0</v>
      </c>
      <c r="G112" s="57">
        <v>0</v>
      </c>
      <c r="I112" s="491">
        <f t="shared" si="1"/>
        <v>27</v>
      </c>
      <c r="J112">
        <v>0</v>
      </c>
    </row>
    <row r="113" spans="2:10" ht="15">
      <c r="B113" s="839" t="s">
        <v>1715</v>
      </c>
      <c r="C113" s="285" t="s">
        <v>1783</v>
      </c>
      <c r="D113" s="128">
        <v>153.66999999999999</v>
      </c>
      <c r="E113" s="454">
        <v>0</v>
      </c>
      <c r="F113" s="454">
        <v>0</v>
      </c>
      <c r="G113" s="57">
        <v>0</v>
      </c>
      <c r="I113" s="491">
        <f t="shared" si="1"/>
        <v>153.66999999999999</v>
      </c>
      <c r="J113">
        <v>0</v>
      </c>
    </row>
    <row r="114" spans="2:10" ht="15">
      <c r="B114" s="839" t="s">
        <v>1755</v>
      </c>
      <c r="C114" s="285" t="s">
        <v>1784</v>
      </c>
      <c r="D114" s="128">
        <v>47.67</v>
      </c>
      <c r="E114" s="454">
        <v>0</v>
      </c>
      <c r="F114" s="454">
        <v>0</v>
      </c>
      <c r="G114" s="57">
        <v>0</v>
      </c>
      <c r="H114" s="57"/>
      <c r="I114" s="491">
        <f t="shared" si="1"/>
        <v>47.67</v>
      </c>
      <c r="J114">
        <v>0</v>
      </c>
    </row>
    <row r="115" spans="2:10" ht="15">
      <c r="B115" s="839" t="s">
        <v>100</v>
      </c>
      <c r="C115" s="285" t="s">
        <v>1414</v>
      </c>
      <c r="D115" s="128">
        <v>0</v>
      </c>
      <c r="E115" s="454">
        <v>0</v>
      </c>
      <c r="F115" s="454">
        <v>0</v>
      </c>
      <c r="G115" s="57">
        <v>0</v>
      </c>
      <c r="I115" s="491">
        <f t="shared" si="1"/>
        <v>0</v>
      </c>
      <c r="J115">
        <v>0</v>
      </c>
    </row>
    <row r="116" spans="2:10" ht="15">
      <c r="B116" s="839" t="s">
        <v>407</v>
      </c>
      <c r="C116" s="285" t="s">
        <v>1554</v>
      </c>
      <c r="D116" s="128">
        <v>0</v>
      </c>
      <c r="E116" s="454">
        <v>0</v>
      </c>
      <c r="F116" s="454">
        <v>0</v>
      </c>
      <c r="G116" s="57">
        <v>0</v>
      </c>
      <c r="H116" s="57"/>
      <c r="I116" s="491">
        <f t="shared" si="1"/>
        <v>0</v>
      </c>
      <c r="J116">
        <v>0</v>
      </c>
    </row>
    <row r="117" spans="2:10" ht="15">
      <c r="B117" s="839" t="s">
        <v>201</v>
      </c>
      <c r="C117" s="285" t="s">
        <v>1458</v>
      </c>
      <c r="D117" s="128">
        <v>1184</v>
      </c>
      <c r="E117" s="454">
        <v>0</v>
      </c>
      <c r="F117" s="454">
        <v>23.5</v>
      </c>
      <c r="G117" s="57">
        <v>0</v>
      </c>
      <c r="I117" s="491">
        <f t="shared" si="1"/>
        <v>1207.5</v>
      </c>
      <c r="J117">
        <v>0</v>
      </c>
    </row>
    <row r="118" spans="2:10" ht="15">
      <c r="B118" s="839" t="s">
        <v>110</v>
      </c>
      <c r="C118" s="285" t="s">
        <v>1419</v>
      </c>
      <c r="D118" s="128">
        <v>0</v>
      </c>
      <c r="E118" s="454">
        <v>0</v>
      </c>
      <c r="F118" s="454">
        <v>0</v>
      </c>
      <c r="G118" s="57">
        <v>0</v>
      </c>
      <c r="H118" s="57"/>
      <c r="I118" s="491">
        <f t="shared" si="1"/>
        <v>0</v>
      </c>
      <c r="J118">
        <v>0</v>
      </c>
    </row>
    <row r="119" spans="2:10" ht="15">
      <c r="B119" s="839" t="s">
        <v>76</v>
      </c>
      <c r="C119" s="285" t="s">
        <v>1402</v>
      </c>
      <c r="D119" s="128">
        <v>30.159999999999997</v>
      </c>
      <c r="E119" s="454">
        <v>0</v>
      </c>
      <c r="F119" s="454">
        <v>0</v>
      </c>
      <c r="G119" s="57">
        <v>0</v>
      </c>
      <c r="H119" s="57"/>
      <c r="I119" s="491">
        <f t="shared" si="1"/>
        <v>30.159999999999997</v>
      </c>
      <c r="J119">
        <v>0</v>
      </c>
    </row>
    <row r="120" spans="2:10" ht="15">
      <c r="B120" s="839" t="s">
        <v>94</v>
      </c>
      <c r="C120" s="285" t="s">
        <v>1411</v>
      </c>
      <c r="D120" s="128">
        <v>0</v>
      </c>
      <c r="E120" s="454">
        <v>0</v>
      </c>
      <c r="F120" s="454">
        <v>0</v>
      </c>
      <c r="G120" s="57">
        <v>0</v>
      </c>
      <c r="H120" s="57"/>
      <c r="I120" s="491">
        <f t="shared" si="1"/>
        <v>0</v>
      </c>
      <c r="J120">
        <v>0</v>
      </c>
    </row>
    <row r="121" spans="2:10" ht="15">
      <c r="B121" s="839" t="s">
        <v>80</v>
      </c>
      <c r="C121" s="285" t="s">
        <v>1404</v>
      </c>
      <c r="D121" s="128">
        <v>309</v>
      </c>
      <c r="E121" s="454">
        <v>0</v>
      </c>
      <c r="F121" s="454">
        <v>20.329999999999998</v>
      </c>
      <c r="G121" s="57">
        <v>1</v>
      </c>
      <c r="I121" s="491">
        <f t="shared" si="1"/>
        <v>328.33</v>
      </c>
      <c r="J121">
        <v>0</v>
      </c>
    </row>
    <row r="122" spans="2:10" ht="15">
      <c r="B122" s="839" t="s">
        <v>14</v>
      </c>
      <c r="C122" s="285" t="s">
        <v>636</v>
      </c>
      <c r="D122" s="128">
        <v>2656.66</v>
      </c>
      <c r="E122" s="454">
        <v>8</v>
      </c>
      <c r="F122" s="454">
        <v>0</v>
      </c>
      <c r="G122" s="57">
        <v>2</v>
      </c>
      <c r="H122" s="57"/>
      <c r="I122" s="491">
        <f t="shared" si="1"/>
        <v>2662.66</v>
      </c>
      <c r="J122">
        <v>0</v>
      </c>
    </row>
    <row r="123" spans="2:10" ht="15">
      <c r="B123" s="840" t="s">
        <v>207</v>
      </c>
      <c r="C123" s="285" t="s">
        <v>1460</v>
      </c>
      <c r="D123" s="128">
        <v>5892</v>
      </c>
      <c r="E123" s="454">
        <v>0</v>
      </c>
      <c r="F123" s="454">
        <v>20</v>
      </c>
      <c r="G123" s="57">
        <v>0</v>
      </c>
      <c r="H123" s="57"/>
      <c r="I123" s="491">
        <f t="shared" si="1"/>
        <v>5912</v>
      </c>
      <c r="J123">
        <v>0</v>
      </c>
    </row>
    <row r="124" spans="2:10" ht="15">
      <c r="B124" s="839" t="s">
        <v>470</v>
      </c>
      <c r="C124" s="285" t="s">
        <v>1587</v>
      </c>
      <c r="D124" s="128">
        <v>3.83</v>
      </c>
      <c r="E124" s="454">
        <v>0</v>
      </c>
      <c r="F124" s="454">
        <v>0</v>
      </c>
      <c r="G124" s="57">
        <v>0</v>
      </c>
      <c r="H124" s="57"/>
      <c r="I124" s="491">
        <f t="shared" si="1"/>
        <v>3.83</v>
      </c>
      <c r="J124">
        <v>0</v>
      </c>
    </row>
    <row r="125" spans="2:10" ht="15">
      <c r="B125" s="839" t="s">
        <v>18</v>
      </c>
      <c r="C125" s="285" t="s">
        <v>1376</v>
      </c>
      <c r="D125" s="128">
        <v>345</v>
      </c>
      <c r="E125" s="454">
        <v>0</v>
      </c>
      <c r="F125" s="454">
        <v>1.33</v>
      </c>
      <c r="G125" s="57">
        <v>0</v>
      </c>
      <c r="I125" s="491">
        <f t="shared" si="1"/>
        <v>346.33</v>
      </c>
      <c r="J125">
        <v>0</v>
      </c>
    </row>
    <row r="126" spans="2:10" ht="15">
      <c r="B126" s="839" t="s">
        <v>228</v>
      </c>
      <c r="C126" s="285" t="s">
        <v>1470</v>
      </c>
      <c r="D126" s="128">
        <v>32.17</v>
      </c>
      <c r="E126" s="454">
        <v>0</v>
      </c>
      <c r="F126" s="454">
        <v>0</v>
      </c>
      <c r="G126" s="57">
        <v>0</v>
      </c>
      <c r="H126" s="57"/>
      <c r="I126" s="491">
        <f t="shared" si="1"/>
        <v>32.17</v>
      </c>
      <c r="J126">
        <v>0</v>
      </c>
    </row>
    <row r="127" spans="2:10" ht="15">
      <c r="B127" s="839" t="s">
        <v>242</v>
      </c>
      <c r="C127" s="285" t="s">
        <v>1477</v>
      </c>
      <c r="D127" s="128">
        <v>0</v>
      </c>
      <c r="E127" s="454">
        <v>0</v>
      </c>
      <c r="F127" s="454">
        <v>0</v>
      </c>
      <c r="G127" s="57">
        <v>0</v>
      </c>
      <c r="H127" s="57"/>
      <c r="I127" s="491">
        <f t="shared" si="1"/>
        <v>0</v>
      </c>
      <c r="J127">
        <v>0</v>
      </c>
    </row>
    <row r="128" spans="2:10" ht="15">
      <c r="B128" s="839" t="s">
        <v>382</v>
      </c>
      <c r="C128" s="285" t="s">
        <v>1542</v>
      </c>
      <c r="D128" s="128">
        <v>12.66</v>
      </c>
      <c r="E128" s="454">
        <v>0</v>
      </c>
      <c r="F128" s="454">
        <v>147.83000000000001</v>
      </c>
      <c r="G128" s="57">
        <v>0</v>
      </c>
      <c r="H128" s="57"/>
      <c r="I128" s="491">
        <f t="shared" si="1"/>
        <v>160.49</v>
      </c>
      <c r="J128">
        <v>0</v>
      </c>
    </row>
    <row r="129" spans="2:10" ht="15">
      <c r="B129" s="839" t="s">
        <v>53</v>
      </c>
      <c r="C129" s="285" t="s">
        <v>1392</v>
      </c>
      <c r="D129" s="128">
        <v>44.83</v>
      </c>
      <c r="E129" s="454">
        <v>0</v>
      </c>
      <c r="F129" s="454">
        <v>0</v>
      </c>
      <c r="G129" s="57">
        <v>0</v>
      </c>
      <c r="H129" s="57"/>
      <c r="I129" s="491">
        <f t="shared" si="1"/>
        <v>44.83</v>
      </c>
      <c r="J129">
        <v>0</v>
      </c>
    </row>
    <row r="130" spans="2:10" ht="15">
      <c r="B130" s="839" t="s">
        <v>518</v>
      </c>
      <c r="C130" s="285" t="s">
        <v>1607</v>
      </c>
      <c r="D130" s="128">
        <v>0</v>
      </c>
      <c r="E130" s="454">
        <v>0</v>
      </c>
      <c r="F130" s="454">
        <v>0</v>
      </c>
      <c r="G130" s="57">
        <v>0</v>
      </c>
      <c r="H130" s="57"/>
      <c r="I130" s="491">
        <f t="shared" si="1"/>
        <v>0</v>
      </c>
      <c r="J130">
        <v>0</v>
      </c>
    </row>
    <row r="131" spans="2:10" ht="15">
      <c r="B131" s="839" t="s">
        <v>31</v>
      </c>
      <c r="C131" s="285" t="s">
        <v>624</v>
      </c>
      <c r="D131" s="128">
        <v>359.5</v>
      </c>
      <c r="E131" s="454">
        <v>0</v>
      </c>
      <c r="F131" s="454">
        <v>0</v>
      </c>
      <c r="G131" s="57">
        <v>0</v>
      </c>
      <c r="H131" s="57"/>
      <c r="I131" s="491">
        <f t="shared" si="1"/>
        <v>359.5</v>
      </c>
      <c r="J131">
        <v>0</v>
      </c>
    </row>
    <row r="132" spans="2:10" ht="15">
      <c r="B132" s="839" t="s">
        <v>397</v>
      </c>
      <c r="C132" s="285" t="s">
        <v>1549</v>
      </c>
      <c r="D132" s="128">
        <v>606</v>
      </c>
      <c r="E132" s="454">
        <v>0</v>
      </c>
      <c r="F132" s="454">
        <v>5</v>
      </c>
      <c r="G132" s="57">
        <v>0</v>
      </c>
      <c r="H132" s="57"/>
      <c r="I132" s="491">
        <f t="shared" si="1"/>
        <v>611</v>
      </c>
      <c r="J132">
        <v>0</v>
      </c>
    </row>
    <row r="133" spans="2:10" ht="15">
      <c r="B133" s="839" t="s">
        <v>205</v>
      </c>
      <c r="C133" s="285" t="s">
        <v>1459</v>
      </c>
      <c r="D133" s="128">
        <v>3495.34</v>
      </c>
      <c r="E133" s="454">
        <v>0</v>
      </c>
      <c r="F133" s="454">
        <v>33</v>
      </c>
      <c r="G133" s="57">
        <v>2</v>
      </c>
      <c r="I133" s="491">
        <f t="shared" si="1"/>
        <v>3526.34</v>
      </c>
      <c r="J133">
        <v>0</v>
      </c>
    </row>
    <row r="134" spans="2:10" ht="15">
      <c r="B134" s="839" t="s">
        <v>413</v>
      </c>
      <c r="C134" s="285" t="s">
        <v>1557</v>
      </c>
      <c r="D134" s="128">
        <v>208.84</v>
      </c>
      <c r="E134" s="454">
        <v>0</v>
      </c>
      <c r="F134" s="454">
        <v>7.33</v>
      </c>
      <c r="G134" s="57">
        <v>0</v>
      </c>
      <c r="H134" s="57"/>
      <c r="I134" s="491">
        <f t="shared" si="1"/>
        <v>216.17000000000002</v>
      </c>
      <c r="J134">
        <v>0</v>
      </c>
    </row>
    <row r="135" spans="2:10" ht="15">
      <c r="B135" s="839" t="s">
        <v>519</v>
      </c>
      <c r="C135" s="285" t="s">
        <v>1608</v>
      </c>
      <c r="D135" s="128">
        <v>0</v>
      </c>
      <c r="E135" s="454">
        <v>0</v>
      </c>
      <c r="F135" s="454">
        <v>0</v>
      </c>
      <c r="G135" s="57">
        <v>0</v>
      </c>
      <c r="H135" s="57"/>
      <c r="I135" s="491">
        <f t="shared" si="1"/>
        <v>0</v>
      </c>
      <c r="J135">
        <v>0</v>
      </c>
    </row>
    <row r="136" spans="2:10" ht="15">
      <c r="B136" s="839" t="s">
        <v>441</v>
      </c>
      <c r="C136" s="285" t="s">
        <v>1572</v>
      </c>
      <c r="D136" s="128">
        <v>1</v>
      </c>
      <c r="E136" s="454">
        <v>0</v>
      </c>
      <c r="F136" s="454">
        <v>0</v>
      </c>
      <c r="G136" s="57">
        <v>0</v>
      </c>
      <c r="I136" s="491">
        <f t="shared" ref="I136:I199" si="2">IF(D136+E136+F136-G136&lt;0,0,D136+E136+F136-G136)</f>
        <v>1</v>
      </c>
      <c r="J136">
        <v>0</v>
      </c>
    </row>
    <row r="137" spans="2:10" ht="15">
      <c r="B137" s="839" t="s">
        <v>6</v>
      </c>
      <c r="C137" s="285" t="s">
        <v>1371</v>
      </c>
      <c r="D137" s="128">
        <v>29.83</v>
      </c>
      <c r="E137" s="454">
        <v>0</v>
      </c>
      <c r="F137" s="454">
        <v>0</v>
      </c>
      <c r="G137" s="57">
        <v>0</v>
      </c>
      <c r="H137" s="57"/>
      <c r="I137" s="491">
        <f t="shared" si="2"/>
        <v>29.83</v>
      </c>
      <c r="J137">
        <v>0</v>
      </c>
    </row>
    <row r="138" spans="2:10" ht="15">
      <c r="B138" s="839" t="s">
        <v>70</v>
      </c>
      <c r="C138" s="285" t="s">
        <v>1399</v>
      </c>
      <c r="D138" s="128">
        <v>406.67</v>
      </c>
      <c r="E138" s="454">
        <v>0</v>
      </c>
      <c r="F138" s="454">
        <v>24</v>
      </c>
      <c r="G138" s="57">
        <v>0</v>
      </c>
      <c r="H138" s="57"/>
      <c r="I138" s="491">
        <f t="shared" si="2"/>
        <v>430.67</v>
      </c>
      <c r="J138">
        <v>0</v>
      </c>
    </row>
    <row r="139" spans="2:10" ht="15">
      <c r="B139" s="839" t="s">
        <v>458</v>
      </c>
      <c r="C139" s="285" t="s">
        <v>1581</v>
      </c>
      <c r="D139" s="128">
        <v>0</v>
      </c>
      <c r="E139" s="454">
        <v>0</v>
      </c>
      <c r="F139" s="454">
        <v>0</v>
      </c>
      <c r="G139" s="57">
        <v>0</v>
      </c>
      <c r="I139" s="491">
        <f t="shared" si="2"/>
        <v>0</v>
      </c>
      <c r="J139">
        <v>0</v>
      </c>
    </row>
    <row r="140" spans="2:10" ht="15">
      <c r="B140" s="839" t="s">
        <v>373</v>
      </c>
      <c r="C140" s="285" t="s">
        <v>1539</v>
      </c>
      <c r="D140" s="128">
        <v>18.829999999999998</v>
      </c>
      <c r="E140" s="454">
        <v>0</v>
      </c>
      <c r="F140" s="454">
        <v>0</v>
      </c>
      <c r="G140" s="57">
        <v>0</v>
      </c>
      <c r="I140" s="491">
        <f t="shared" si="2"/>
        <v>18.829999999999998</v>
      </c>
      <c r="J140">
        <v>0</v>
      </c>
    </row>
    <row r="141" spans="2:10" ht="15">
      <c r="B141" s="839" t="s">
        <v>1757</v>
      </c>
      <c r="C141" s="285" t="s">
        <v>1785</v>
      </c>
      <c r="D141" s="128">
        <v>0</v>
      </c>
      <c r="E141" s="454">
        <v>0</v>
      </c>
      <c r="F141" s="454">
        <v>0</v>
      </c>
      <c r="G141" s="57">
        <v>0</v>
      </c>
      <c r="I141" s="491">
        <f t="shared" si="2"/>
        <v>0</v>
      </c>
      <c r="J141">
        <v>0</v>
      </c>
    </row>
    <row r="142" spans="2:10" ht="15">
      <c r="B142" s="839" t="s">
        <v>250</v>
      </c>
      <c r="C142" s="285" t="s">
        <v>1481</v>
      </c>
      <c r="D142" s="128">
        <v>8.16</v>
      </c>
      <c r="E142" s="454">
        <v>0</v>
      </c>
      <c r="F142" s="454">
        <v>0</v>
      </c>
      <c r="G142" s="57">
        <v>0</v>
      </c>
      <c r="I142" s="491">
        <f t="shared" si="2"/>
        <v>8.16</v>
      </c>
      <c r="J142">
        <v>0</v>
      </c>
    </row>
    <row r="143" spans="2:10" ht="15">
      <c r="B143" s="839" t="s">
        <v>510</v>
      </c>
      <c r="C143" s="285" t="s">
        <v>1604</v>
      </c>
      <c r="D143" s="128">
        <v>347.16</v>
      </c>
      <c r="E143" s="454">
        <v>0</v>
      </c>
      <c r="F143" s="454">
        <v>0</v>
      </c>
      <c r="G143" s="57">
        <v>1</v>
      </c>
      <c r="H143" s="57"/>
      <c r="I143" s="491">
        <f t="shared" si="2"/>
        <v>346.16</v>
      </c>
      <c r="J143">
        <v>0</v>
      </c>
    </row>
    <row r="144" spans="2:10" ht="15">
      <c r="B144" s="839" t="s">
        <v>553</v>
      </c>
      <c r="C144" s="285" t="s">
        <v>639</v>
      </c>
      <c r="D144" s="128">
        <v>334</v>
      </c>
      <c r="E144" s="454">
        <v>0</v>
      </c>
      <c r="F144" s="454">
        <v>0</v>
      </c>
      <c r="G144" s="57">
        <v>0</v>
      </c>
      <c r="I144" s="491">
        <f t="shared" si="2"/>
        <v>334</v>
      </c>
      <c r="J144">
        <v>0</v>
      </c>
    </row>
    <row r="145" spans="2:10" ht="15">
      <c r="B145" s="839" t="s">
        <v>90</v>
      </c>
      <c r="C145" s="285" t="s">
        <v>1409</v>
      </c>
      <c r="D145" s="128">
        <v>5</v>
      </c>
      <c r="E145" s="454">
        <v>0</v>
      </c>
      <c r="F145" s="454">
        <v>0</v>
      </c>
      <c r="G145" s="57">
        <v>0</v>
      </c>
      <c r="I145" s="491">
        <f t="shared" si="2"/>
        <v>5</v>
      </c>
      <c r="J145">
        <v>0</v>
      </c>
    </row>
    <row r="146" spans="2:10" ht="15">
      <c r="B146" s="839" t="s">
        <v>25</v>
      </c>
      <c r="C146" s="285" t="s">
        <v>1380</v>
      </c>
      <c r="D146" s="128">
        <v>217</v>
      </c>
      <c r="E146" s="454">
        <v>0</v>
      </c>
      <c r="F146" s="454">
        <v>0</v>
      </c>
      <c r="G146" s="57">
        <v>0</v>
      </c>
      <c r="I146" s="491">
        <f t="shared" si="2"/>
        <v>217</v>
      </c>
      <c r="J146">
        <v>0</v>
      </c>
    </row>
    <row r="147" spans="2:10" ht="15">
      <c r="B147" s="839" t="s">
        <v>301</v>
      </c>
      <c r="C147" s="285" t="s">
        <v>1504</v>
      </c>
      <c r="D147" s="128">
        <v>34.159999999999997</v>
      </c>
      <c r="E147" s="454">
        <v>0</v>
      </c>
      <c r="F147" s="454">
        <v>0</v>
      </c>
      <c r="G147" s="57">
        <v>0</v>
      </c>
      <c r="I147" s="491">
        <f t="shared" si="2"/>
        <v>34.159999999999997</v>
      </c>
      <c r="J147">
        <v>0</v>
      </c>
    </row>
    <row r="148" spans="2:10" ht="15">
      <c r="B148" s="839" t="s">
        <v>466</v>
      </c>
      <c r="C148" s="285" t="s">
        <v>1585</v>
      </c>
      <c r="D148" s="128">
        <v>1</v>
      </c>
      <c r="E148" s="454">
        <v>0</v>
      </c>
      <c r="F148" s="454">
        <v>2</v>
      </c>
      <c r="G148" s="57">
        <v>0</v>
      </c>
      <c r="H148" s="57"/>
      <c r="I148" s="491">
        <f t="shared" si="2"/>
        <v>3</v>
      </c>
      <c r="J148">
        <v>0</v>
      </c>
    </row>
    <row r="149" spans="2:10" ht="15">
      <c r="B149" s="839" t="s">
        <v>405</v>
      </c>
      <c r="C149" s="285" t="s">
        <v>1553</v>
      </c>
      <c r="D149" s="128">
        <v>1039.67</v>
      </c>
      <c r="E149" s="454">
        <v>0</v>
      </c>
      <c r="F149" s="454">
        <v>199</v>
      </c>
      <c r="G149" s="57">
        <v>0</v>
      </c>
      <c r="H149" s="57"/>
      <c r="I149" s="491">
        <f t="shared" si="2"/>
        <v>1238.67</v>
      </c>
      <c r="J149">
        <v>0</v>
      </c>
    </row>
    <row r="150" spans="2:10" ht="15">
      <c r="B150" s="839" t="s">
        <v>138</v>
      </c>
      <c r="C150" s="285" t="s">
        <v>1431</v>
      </c>
      <c r="D150" s="128">
        <v>2.5</v>
      </c>
      <c r="E150" s="454">
        <v>0</v>
      </c>
      <c r="F150" s="454">
        <v>0</v>
      </c>
      <c r="G150" s="57">
        <v>0</v>
      </c>
      <c r="H150" s="57"/>
      <c r="I150" s="491">
        <f t="shared" si="2"/>
        <v>2.5</v>
      </c>
      <c r="J150">
        <v>0</v>
      </c>
    </row>
    <row r="151" spans="2:10" ht="15">
      <c r="B151" s="839" t="s">
        <v>432</v>
      </c>
      <c r="C151" s="285" t="s">
        <v>1567</v>
      </c>
      <c r="D151" s="128">
        <v>290.16000000000003</v>
      </c>
      <c r="E151" s="454">
        <v>0</v>
      </c>
      <c r="F151" s="454">
        <v>24</v>
      </c>
      <c r="G151" s="57">
        <v>0</v>
      </c>
      <c r="I151" s="491">
        <f t="shared" si="2"/>
        <v>314.16000000000003</v>
      </c>
      <c r="J151">
        <v>0</v>
      </c>
    </row>
    <row r="152" spans="2:10" ht="15">
      <c r="B152" s="839" t="s">
        <v>430</v>
      </c>
      <c r="C152" s="285" t="s">
        <v>1566</v>
      </c>
      <c r="D152" s="128">
        <v>22.67</v>
      </c>
      <c r="E152" s="454">
        <v>0</v>
      </c>
      <c r="F152" s="454">
        <v>0</v>
      </c>
      <c r="G152" s="57">
        <v>0</v>
      </c>
      <c r="I152" s="491">
        <f t="shared" si="2"/>
        <v>22.67</v>
      </c>
      <c r="J152">
        <v>0</v>
      </c>
    </row>
    <row r="153" spans="2:10" ht="15">
      <c r="B153" s="839" t="s">
        <v>179</v>
      </c>
      <c r="C153" s="285" t="s">
        <v>1451</v>
      </c>
      <c r="D153" s="128">
        <v>116.5</v>
      </c>
      <c r="E153" s="454">
        <v>0</v>
      </c>
      <c r="F153" s="454">
        <v>0</v>
      </c>
      <c r="G153" s="57">
        <v>0</v>
      </c>
      <c r="I153" s="491">
        <f t="shared" si="2"/>
        <v>116.5</v>
      </c>
      <c r="J153">
        <v>0</v>
      </c>
    </row>
    <row r="154" spans="2:10" ht="15">
      <c r="B154" s="839" t="s">
        <v>512</v>
      </c>
      <c r="C154" s="285" t="s">
        <v>1605</v>
      </c>
      <c r="D154" s="128">
        <v>187.67000000000002</v>
      </c>
      <c r="E154" s="454">
        <v>0</v>
      </c>
      <c r="F154" s="454">
        <v>12.5</v>
      </c>
      <c r="G154" s="57">
        <v>1</v>
      </c>
      <c r="I154" s="491">
        <f t="shared" si="2"/>
        <v>199.17000000000002</v>
      </c>
      <c r="J154">
        <v>0</v>
      </c>
    </row>
    <row r="155" spans="2:10" ht="15">
      <c r="B155" s="839" t="s">
        <v>319</v>
      </c>
      <c r="C155" s="285" t="s">
        <v>1512</v>
      </c>
      <c r="D155" s="128">
        <v>25.33</v>
      </c>
      <c r="E155" s="454">
        <v>0</v>
      </c>
      <c r="F155" s="454">
        <v>0</v>
      </c>
      <c r="G155" s="57">
        <v>0</v>
      </c>
      <c r="H155" s="57"/>
      <c r="I155" s="491">
        <f t="shared" si="2"/>
        <v>25.33</v>
      </c>
      <c r="J155">
        <v>0</v>
      </c>
    </row>
    <row r="156" spans="2:10" ht="15">
      <c r="B156" s="839" t="s">
        <v>391</v>
      </c>
      <c r="C156" s="285" t="s">
        <v>1547</v>
      </c>
      <c r="D156" s="128">
        <v>0</v>
      </c>
      <c r="E156" s="454">
        <v>0</v>
      </c>
      <c r="F156" s="454">
        <v>0</v>
      </c>
      <c r="G156" s="57">
        <v>0</v>
      </c>
      <c r="H156" s="57"/>
      <c r="I156" s="491">
        <f t="shared" si="2"/>
        <v>0</v>
      </c>
      <c r="J156">
        <v>0</v>
      </c>
    </row>
    <row r="157" spans="2:10" ht="15">
      <c r="B157" s="839" t="s">
        <v>409</v>
      </c>
      <c r="C157" s="285" t="s">
        <v>1555</v>
      </c>
      <c r="D157" s="128">
        <v>668.67000000000007</v>
      </c>
      <c r="E157" s="454">
        <v>0</v>
      </c>
      <c r="F157" s="454">
        <v>9</v>
      </c>
      <c r="G157" s="57">
        <v>0</v>
      </c>
      <c r="H157" s="57"/>
      <c r="I157" s="491">
        <f t="shared" si="2"/>
        <v>677.67000000000007</v>
      </c>
      <c r="J157">
        <v>0</v>
      </c>
    </row>
    <row r="158" spans="2:10" ht="15">
      <c r="B158" s="839" t="s">
        <v>139</v>
      </c>
      <c r="C158" s="285" t="s">
        <v>1432</v>
      </c>
      <c r="D158" s="128">
        <v>23.33</v>
      </c>
      <c r="E158" s="454">
        <v>0</v>
      </c>
      <c r="F158" s="454">
        <v>0</v>
      </c>
      <c r="G158" s="57">
        <v>0</v>
      </c>
      <c r="H158" s="57"/>
      <c r="I158" s="491">
        <f t="shared" si="2"/>
        <v>23.33</v>
      </c>
      <c r="J158">
        <v>0</v>
      </c>
    </row>
    <row r="159" spans="2:10" ht="15">
      <c r="B159" s="839" t="s">
        <v>260</v>
      </c>
      <c r="C159" s="285" t="s">
        <v>1484</v>
      </c>
      <c r="D159" s="128">
        <v>0</v>
      </c>
      <c r="E159" s="454">
        <v>0</v>
      </c>
      <c r="F159" s="454">
        <v>0</v>
      </c>
      <c r="G159" s="57">
        <v>0</v>
      </c>
      <c r="H159" s="57"/>
      <c r="I159" s="491">
        <f t="shared" si="2"/>
        <v>0</v>
      </c>
      <c r="J159">
        <v>0</v>
      </c>
    </row>
    <row r="160" spans="2:10" ht="15">
      <c r="B160" s="839" t="s">
        <v>125</v>
      </c>
      <c r="C160" s="285" t="s">
        <v>1426</v>
      </c>
      <c r="D160" s="128">
        <v>1138.67</v>
      </c>
      <c r="E160" s="454">
        <v>0</v>
      </c>
      <c r="F160" s="454">
        <v>11.83</v>
      </c>
      <c r="G160" s="57">
        <v>0</v>
      </c>
      <c r="I160" s="491">
        <f t="shared" si="2"/>
        <v>1150.5</v>
      </c>
      <c r="J160">
        <v>0</v>
      </c>
    </row>
    <row r="161" spans="2:10" ht="15">
      <c r="B161" s="839" t="s">
        <v>258</v>
      </c>
      <c r="C161" s="285" t="s">
        <v>1356</v>
      </c>
      <c r="D161" s="128">
        <v>55.34</v>
      </c>
      <c r="E161" s="454">
        <v>0</v>
      </c>
      <c r="F161" s="454">
        <v>0</v>
      </c>
      <c r="G161" s="57">
        <v>0</v>
      </c>
      <c r="H161" s="57"/>
      <c r="I161" s="491">
        <f t="shared" si="2"/>
        <v>55.34</v>
      </c>
      <c r="J161">
        <v>0</v>
      </c>
    </row>
    <row r="162" spans="2:10" ht="15">
      <c r="B162" s="839" t="s">
        <v>571</v>
      </c>
      <c r="C162" s="285" t="s">
        <v>1632</v>
      </c>
      <c r="D162" s="128">
        <v>125.67</v>
      </c>
      <c r="E162" s="454">
        <v>0</v>
      </c>
      <c r="F162" s="454">
        <v>279.33</v>
      </c>
      <c r="G162" s="57">
        <v>0</v>
      </c>
      <c r="H162" s="57"/>
      <c r="I162" s="491">
        <f t="shared" si="2"/>
        <v>405</v>
      </c>
      <c r="J162">
        <v>0</v>
      </c>
    </row>
    <row r="163" spans="2:10" ht="15">
      <c r="B163" s="839" t="s">
        <v>516</v>
      </c>
      <c r="C163" s="285" t="s">
        <v>1606</v>
      </c>
      <c r="D163" s="128">
        <v>88.17</v>
      </c>
      <c r="E163" s="454">
        <v>0</v>
      </c>
      <c r="F163" s="454">
        <v>41.33</v>
      </c>
      <c r="G163" s="57">
        <v>0</v>
      </c>
      <c r="H163" s="57"/>
      <c r="I163" s="491">
        <f t="shared" si="2"/>
        <v>129.5</v>
      </c>
      <c r="J163">
        <v>0</v>
      </c>
    </row>
    <row r="164" spans="2:10" ht="15">
      <c r="B164" s="839" t="s">
        <v>389</v>
      </c>
      <c r="C164" s="285" t="s">
        <v>1546</v>
      </c>
      <c r="D164" s="128">
        <v>0</v>
      </c>
      <c r="E164" s="454">
        <v>0</v>
      </c>
      <c r="F164" s="454">
        <v>0</v>
      </c>
      <c r="G164" s="57">
        <v>0</v>
      </c>
      <c r="H164" s="57"/>
      <c r="I164" s="491">
        <f t="shared" si="2"/>
        <v>0</v>
      </c>
      <c r="J164">
        <v>0</v>
      </c>
    </row>
    <row r="165" spans="2:10" ht="15">
      <c r="B165" s="839" t="s">
        <v>386</v>
      </c>
      <c r="C165" s="285" t="s">
        <v>1544</v>
      </c>
      <c r="D165" s="128">
        <v>1578.5</v>
      </c>
      <c r="E165" s="454">
        <v>10</v>
      </c>
      <c r="F165" s="454">
        <v>13.67</v>
      </c>
      <c r="G165" s="57">
        <v>0</v>
      </c>
      <c r="I165" s="491">
        <f t="shared" si="2"/>
        <v>1602.17</v>
      </c>
      <c r="J165">
        <v>0</v>
      </c>
    </row>
    <row r="166" spans="2:10" ht="15">
      <c r="B166" s="839" t="s">
        <v>399</v>
      </c>
      <c r="C166" s="285" t="s">
        <v>1550</v>
      </c>
      <c r="D166" s="128">
        <v>3276</v>
      </c>
      <c r="E166" s="454">
        <v>0</v>
      </c>
      <c r="F166" s="454">
        <v>5</v>
      </c>
      <c r="G166" s="57">
        <v>0</v>
      </c>
      <c r="I166" s="491">
        <f t="shared" si="2"/>
        <v>3281</v>
      </c>
      <c r="J166">
        <v>0</v>
      </c>
    </row>
    <row r="167" spans="2:10" ht="15">
      <c r="B167" s="839" t="s">
        <v>545</v>
      </c>
      <c r="C167" s="285" t="s">
        <v>1621</v>
      </c>
      <c r="D167" s="128">
        <v>73.66</v>
      </c>
      <c r="E167" s="454">
        <v>0</v>
      </c>
      <c r="F167" s="454">
        <v>0</v>
      </c>
      <c r="G167" s="57">
        <v>0</v>
      </c>
      <c r="I167" s="491">
        <f t="shared" si="2"/>
        <v>73.66</v>
      </c>
      <c r="J167">
        <v>0</v>
      </c>
    </row>
    <row r="168" spans="2:10" ht="15">
      <c r="B168" s="839" t="s">
        <v>252</v>
      </c>
      <c r="C168" s="285" t="s">
        <v>1482</v>
      </c>
      <c r="D168" s="128">
        <v>18</v>
      </c>
      <c r="E168" s="454">
        <v>0</v>
      </c>
      <c r="F168" s="454">
        <v>0</v>
      </c>
      <c r="G168" s="57">
        <v>0</v>
      </c>
      <c r="I168" s="491">
        <f t="shared" si="2"/>
        <v>18</v>
      </c>
      <c r="J168">
        <v>0</v>
      </c>
    </row>
    <row r="169" spans="2:10" ht="15">
      <c r="B169" s="839" t="s">
        <v>331</v>
      </c>
      <c r="C169" s="285" t="s">
        <v>1516</v>
      </c>
      <c r="D169" s="128">
        <v>11.5</v>
      </c>
      <c r="E169" s="454">
        <v>0</v>
      </c>
      <c r="F169" s="454">
        <v>0</v>
      </c>
      <c r="G169" s="57">
        <v>0</v>
      </c>
      <c r="H169" s="57"/>
      <c r="I169" s="491">
        <f t="shared" si="2"/>
        <v>11.5</v>
      </c>
      <c r="J169">
        <v>0</v>
      </c>
    </row>
    <row r="170" spans="2:10" ht="15">
      <c r="B170" s="839" t="s">
        <v>309</v>
      </c>
      <c r="C170" s="285" t="s">
        <v>1309</v>
      </c>
      <c r="D170" s="128">
        <v>0</v>
      </c>
      <c r="E170" s="454">
        <v>0</v>
      </c>
      <c r="F170" s="454">
        <v>0</v>
      </c>
      <c r="G170" s="57">
        <v>0</v>
      </c>
      <c r="H170" s="57"/>
      <c r="I170" s="491">
        <f t="shared" si="2"/>
        <v>0</v>
      </c>
      <c r="J170">
        <v>0</v>
      </c>
    </row>
    <row r="171" spans="2:10" ht="15">
      <c r="B171" s="839" t="s">
        <v>336</v>
      </c>
      <c r="C171" s="285" t="s">
        <v>1519</v>
      </c>
      <c r="D171" s="128">
        <v>0</v>
      </c>
      <c r="E171" s="454">
        <v>0</v>
      </c>
      <c r="F171" s="454">
        <v>0</v>
      </c>
      <c r="G171" s="57">
        <v>0</v>
      </c>
      <c r="H171" s="57"/>
      <c r="I171" s="491">
        <f t="shared" si="2"/>
        <v>0</v>
      </c>
      <c r="J171">
        <v>0</v>
      </c>
    </row>
    <row r="172" spans="2:10" ht="15">
      <c r="B172" s="839" t="s">
        <v>428</v>
      </c>
      <c r="C172" s="285" t="s">
        <v>1565</v>
      </c>
      <c r="D172" s="128">
        <v>11.33</v>
      </c>
      <c r="E172" s="454">
        <v>0</v>
      </c>
      <c r="F172" s="454">
        <v>0</v>
      </c>
      <c r="G172" s="57">
        <v>0</v>
      </c>
      <c r="I172" s="491">
        <f t="shared" si="2"/>
        <v>11.33</v>
      </c>
      <c r="J172">
        <v>0</v>
      </c>
    </row>
    <row r="173" spans="2:10" ht="15">
      <c r="B173" s="839" t="s">
        <v>514</v>
      </c>
      <c r="C173" s="285" t="s">
        <v>685</v>
      </c>
      <c r="D173" s="128">
        <v>244</v>
      </c>
      <c r="E173" s="454">
        <v>0</v>
      </c>
      <c r="F173" s="454">
        <v>13.33</v>
      </c>
      <c r="G173" s="57">
        <v>0</v>
      </c>
      <c r="H173" s="57"/>
      <c r="I173" s="491">
        <f t="shared" si="2"/>
        <v>257.33</v>
      </c>
      <c r="J173">
        <v>0</v>
      </c>
    </row>
    <row r="174" spans="2:10" ht="15">
      <c r="B174" s="839" t="s">
        <v>136</v>
      </c>
      <c r="C174" s="285" t="s">
        <v>1430</v>
      </c>
      <c r="D174" s="128">
        <v>17.5</v>
      </c>
      <c r="E174" s="454">
        <v>0</v>
      </c>
      <c r="F174" s="454">
        <v>22.17</v>
      </c>
      <c r="G174" s="57">
        <v>0</v>
      </c>
      <c r="I174" s="491">
        <f t="shared" si="2"/>
        <v>39.67</v>
      </c>
      <c r="J174">
        <v>0</v>
      </c>
    </row>
    <row r="175" spans="2:10" ht="15">
      <c r="B175" s="839" t="s">
        <v>106</v>
      </c>
      <c r="C175" s="285" t="s">
        <v>1417</v>
      </c>
      <c r="D175" s="128">
        <v>723.5</v>
      </c>
      <c r="E175" s="454">
        <v>0</v>
      </c>
      <c r="F175" s="454">
        <v>2.17</v>
      </c>
      <c r="G175" s="57">
        <v>0</v>
      </c>
      <c r="I175" s="491">
        <f t="shared" si="2"/>
        <v>725.67</v>
      </c>
      <c r="J175">
        <v>0</v>
      </c>
    </row>
    <row r="176" spans="2:10" ht="15">
      <c r="B176" s="839" t="s">
        <v>214</v>
      </c>
      <c r="C176" s="285" t="s">
        <v>625</v>
      </c>
      <c r="D176" s="128">
        <v>239.33</v>
      </c>
      <c r="E176" s="454">
        <v>0</v>
      </c>
      <c r="F176" s="454">
        <v>17.829999999999998</v>
      </c>
      <c r="G176" s="57">
        <v>0</v>
      </c>
      <c r="H176" s="57"/>
      <c r="I176" s="491">
        <f t="shared" si="2"/>
        <v>257.16000000000003</v>
      </c>
      <c r="J176">
        <v>0</v>
      </c>
    </row>
    <row r="177" spans="2:10" ht="15">
      <c r="B177" s="839" t="s">
        <v>305</v>
      </c>
      <c r="C177" s="285" t="s">
        <v>1506</v>
      </c>
      <c r="D177" s="128">
        <v>304.33999999999997</v>
      </c>
      <c r="E177" s="454">
        <v>0</v>
      </c>
      <c r="F177" s="454">
        <v>28</v>
      </c>
      <c r="G177" s="57">
        <v>0</v>
      </c>
      <c r="H177" s="57"/>
      <c r="I177" s="491">
        <f t="shared" si="2"/>
        <v>332.34</v>
      </c>
      <c r="J177">
        <v>0</v>
      </c>
    </row>
    <row r="178" spans="2:10" ht="15">
      <c r="B178" s="839" t="s">
        <v>334</v>
      </c>
      <c r="C178" s="285" t="s">
        <v>1518</v>
      </c>
      <c r="D178" s="128">
        <v>0</v>
      </c>
      <c r="E178" s="454">
        <v>0</v>
      </c>
      <c r="F178" s="454">
        <v>0</v>
      </c>
      <c r="G178" s="57">
        <v>0</v>
      </c>
      <c r="I178" s="491">
        <f t="shared" si="2"/>
        <v>0</v>
      </c>
      <c r="J178">
        <v>0</v>
      </c>
    </row>
    <row r="179" spans="2:10" ht="15">
      <c r="B179" s="839" t="s">
        <v>474</v>
      </c>
      <c r="C179" s="285" t="s">
        <v>631</v>
      </c>
      <c r="D179" s="128">
        <v>884.17</v>
      </c>
      <c r="E179" s="454">
        <v>0</v>
      </c>
      <c r="F179" s="454">
        <v>41.83</v>
      </c>
      <c r="G179" s="57">
        <v>1</v>
      </c>
      <c r="H179" s="57"/>
      <c r="I179" s="491">
        <f t="shared" si="2"/>
        <v>925</v>
      </c>
      <c r="J179">
        <v>0</v>
      </c>
    </row>
    <row r="180" spans="2:10" ht="15">
      <c r="B180" s="839" t="s">
        <v>468</v>
      </c>
      <c r="C180" s="285" t="s">
        <v>1586</v>
      </c>
      <c r="D180" s="128">
        <v>0</v>
      </c>
      <c r="E180" s="454">
        <v>0</v>
      </c>
      <c r="F180" s="454">
        <v>0</v>
      </c>
      <c r="G180" s="57">
        <v>0</v>
      </c>
      <c r="H180" s="57"/>
      <c r="I180" s="491">
        <f t="shared" si="2"/>
        <v>0</v>
      </c>
      <c r="J180">
        <v>0</v>
      </c>
    </row>
    <row r="181" spans="2:10" ht="15">
      <c r="B181" s="839" t="s">
        <v>209</v>
      </c>
      <c r="C181" s="285" t="s">
        <v>637</v>
      </c>
      <c r="D181" s="128">
        <v>2091.84</v>
      </c>
      <c r="E181" s="454">
        <v>0</v>
      </c>
      <c r="F181" s="454">
        <v>18.170000000000002</v>
      </c>
      <c r="G181" s="57">
        <v>1</v>
      </c>
      <c r="H181" s="57"/>
      <c r="I181" s="491">
        <f t="shared" si="2"/>
        <v>2109.0100000000002</v>
      </c>
      <c r="J181">
        <v>0</v>
      </c>
    </row>
    <row r="182" spans="2:10" ht="15">
      <c r="B182" s="839" t="s">
        <v>157</v>
      </c>
      <c r="C182" s="285" t="s">
        <v>1440</v>
      </c>
      <c r="D182" s="128">
        <v>210.67000000000002</v>
      </c>
      <c r="E182" s="454">
        <v>0</v>
      </c>
      <c r="F182" s="454">
        <v>22.67</v>
      </c>
      <c r="G182" s="57">
        <v>0</v>
      </c>
      <c r="I182" s="491">
        <f t="shared" si="2"/>
        <v>233.34000000000003</v>
      </c>
      <c r="J182">
        <v>0</v>
      </c>
    </row>
    <row r="183" spans="2:10" ht="15">
      <c r="B183" s="839" t="s">
        <v>541</v>
      </c>
      <c r="C183" s="285" t="s">
        <v>1619</v>
      </c>
      <c r="D183" s="128">
        <v>0</v>
      </c>
      <c r="E183" s="454">
        <v>0</v>
      </c>
      <c r="F183" s="454">
        <v>0</v>
      </c>
      <c r="G183" s="57">
        <v>0</v>
      </c>
      <c r="H183" s="57"/>
      <c r="I183" s="491">
        <f t="shared" si="2"/>
        <v>0</v>
      </c>
      <c r="J183">
        <v>0</v>
      </c>
    </row>
    <row r="184" spans="2:10" ht="15">
      <c r="B184" s="839" t="s">
        <v>155</v>
      </c>
      <c r="C184" s="285" t="s">
        <v>1439</v>
      </c>
      <c r="D184" s="128">
        <v>6</v>
      </c>
      <c r="E184" s="454">
        <v>0</v>
      </c>
      <c r="F184" s="454">
        <v>32.67</v>
      </c>
      <c r="G184" s="57">
        <v>0</v>
      </c>
      <c r="H184" s="57"/>
      <c r="I184" s="491">
        <f t="shared" si="2"/>
        <v>38.67</v>
      </c>
      <c r="J184">
        <v>0</v>
      </c>
    </row>
    <row r="185" spans="2:10" ht="15">
      <c r="B185" s="839" t="s">
        <v>325</v>
      </c>
      <c r="C185" s="285" t="s">
        <v>712</v>
      </c>
      <c r="D185" s="128">
        <v>47.5</v>
      </c>
      <c r="E185" s="454">
        <v>0</v>
      </c>
      <c r="F185" s="454">
        <v>3</v>
      </c>
      <c r="G185" s="57">
        <v>0</v>
      </c>
      <c r="I185" s="491">
        <f t="shared" si="2"/>
        <v>50.5</v>
      </c>
      <c r="J185">
        <v>0</v>
      </c>
    </row>
    <row r="186" spans="2:10" ht="15">
      <c r="B186" s="839" t="s">
        <v>153</v>
      </c>
      <c r="C186" s="285" t="s">
        <v>1438</v>
      </c>
      <c r="D186" s="128">
        <v>52</v>
      </c>
      <c r="E186" s="454">
        <v>0</v>
      </c>
      <c r="F186" s="454">
        <v>0</v>
      </c>
      <c r="G186" s="57">
        <v>0</v>
      </c>
      <c r="I186" s="491">
        <f t="shared" si="2"/>
        <v>52</v>
      </c>
      <c r="J186">
        <v>0</v>
      </c>
    </row>
    <row r="187" spans="2:10" ht="15">
      <c r="B187" s="839" t="s">
        <v>287</v>
      </c>
      <c r="C187" s="285" t="s">
        <v>1497</v>
      </c>
      <c r="D187" s="128">
        <v>0</v>
      </c>
      <c r="E187" s="454">
        <v>0</v>
      </c>
      <c r="F187" s="454">
        <v>0</v>
      </c>
      <c r="G187" s="57">
        <v>0</v>
      </c>
      <c r="H187" s="57"/>
      <c r="I187" s="491">
        <f t="shared" si="2"/>
        <v>0</v>
      </c>
      <c r="J187">
        <v>0</v>
      </c>
    </row>
    <row r="188" spans="2:10" ht="15">
      <c r="B188" s="839" t="s">
        <v>313</v>
      </c>
      <c r="C188" s="285" t="s">
        <v>1509</v>
      </c>
      <c r="D188" s="128">
        <v>72.5</v>
      </c>
      <c r="E188" s="454">
        <v>0</v>
      </c>
      <c r="F188" s="454">
        <v>0</v>
      </c>
      <c r="G188" s="57">
        <v>0</v>
      </c>
      <c r="H188" s="57"/>
      <c r="I188" s="491">
        <f t="shared" si="2"/>
        <v>72.5</v>
      </c>
      <c r="J188">
        <v>0</v>
      </c>
    </row>
    <row r="189" spans="2:10" ht="15">
      <c r="B189" s="839" t="s">
        <v>478</v>
      </c>
      <c r="C189" s="285" t="s">
        <v>1590</v>
      </c>
      <c r="D189" s="128">
        <v>300.33</v>
      </c>
      <c r="E189" s="454">
        <v>2</v>
      </c>
      <c r="F189" s="454">
        <v>12</v>
      </c>
      <c r="G189" s="57">
        <v>0</v>
      </c>
      <c r="H189" s="57"/>
      <c r="I189" s="491">
        <f t="shared" si="2"/>
        <v>314.33</v>
      </c>
      <c r="J189">
        <v>0</v>
      </c>
    </row>
    <row r="190" spans="2:10" ht="15">
      <c r="B190" s="839" t="s">
        <v>311</v>
      </c>
      <c r="C190" s="285" t="s">
        <v>1508</v>
      </c>
      <c r="D190" s="128">
        <v>265.66000000000003</v>
      </c>
      <c r="E190" s="454">
        <v>0</v>
      </c>
      <c r="F190" s="454">
        <v>9.83</v>
      </c>
      <c r="G190" s="57">
        <v>0</v>
      </c>
      <c r="H190" s="57"/>
      <c r="I190" s="491">
        <f t="shared" si="2"/>
        <v>275.49</v>
      </c>
      <c r="J190">
        <v>0</v>
      </c>
    </row>
    <row r="191" spans="2:10" ht="15">
      <c r="B191" s="839" t="s">
        <v>270</v>
      </c>
      <c r="C191" s="285" t="s">
        <v>1489</v>
      </c>
      <c r="D191" s="128">
        <v>21</v>
      </c>
      <c r="E191" s="454">
        <v>0</v>
      </c>
      <c r="F191" s="454">
        <v>0</v>
      </c>
      <c r="G191" s="57">
        <v>0</v>
      </c>
      <c r="H191" s="57"/>
      <c r="I191" s="491">
        <f t="shared" si="2"/>
        <v>21</v>
      </c>
      <c r="J191">
        <v>0</v>
      </c>
    </row>
    <row r="192" spans="2:10" ht="15">
      <c r="B192" s="839" t="s">
        <v>448</v>
      </c>
      <c r="C192" s="285" t="s">
        <v>1576</v>
      </c>
      <c r="D192" s="128">
        <v>0</v>
      </c>
      <c r="E192" s="454">
        <v>0</v>
      </c>
      <c r="F192" s="454">
        <v>0</v>
      </c>
      <c r="G192" s="57">
        <v>0</v>
      </c>
      <c r="I192" s="491">
        <f t="shared" si="2"/>
        <v>0</v>
      </c>
      <c r="J192">
        <v>0</v>
      </c>
    </row>
    <row r="193" spans="2:10" ht="15">
      <c r="B193" s="839" t="s">
        <v>372</v>
      </c>
      <c r="C193" s="285" t="s">
        <v>1538</v>
      </c>
      <c r="D193" s="128">
        <v>33.840000000000003</v>
      </c>
      <c r="E193" s="454">
        <v>0</v>
      </c>
      <c r="F193" s="454">
        <v>0</v>
      </c>
      <c r="G193" s="57">
        <v>0</v>
      </c>
      <c r="I193" s="491">
        <f t="shared" si="2"/>
        <v>33.840000000000003</v>
      </c>
      <c r="J193">
        <v>0</v>
      </c>
    </row>
    <row r="194" spans="2:10" ht="15">
      <c r="B194" s="839" t="s">
        <v>424</v>
      </c>
      <c r="C194" s="285" t="s">
        <v>1563</v>
      </c>
      <c r="D194" s="128">
        <v>0</v>
      </c>
      <c r="E194" s="454">
        <v>0</v>
      </c>
      <c r="F194" s="454">
        <v>2.33</v>
      </c>
      <c r="G194" s="57">
        <v>0</v>
      </c>
      <c r="H194" s="57"/>
      <c r="I194" s="491">
        <f t="shared" si="2"/>
        <v>2.33</v>
      </c>
      <c r="J194">
        <v>0</v>
      </c>
    </row>
    <row r="195" spans="2:10" ht="15">
      <c r="B195" s="839" t="s">
        <v>98</v>
      </c>
      <c r="C195" s="285" t="s">
        <v>1413</v>
      </c>
      <c r="D195" s="128">
        <v>0</v>
      </c>
      <c r="E195" s="454">
        <v>0</v>
      </c>
      <c r="F195" s="454">
        <v>0</v>
      </c>
      <c r="G195" s="57">
        <v>0</v>
      </c>
      <c r="H195" s="57"/>
      <c r="I195" s="491">
        <f t="shared" si="2"/>
        <v>0</v>
      </c>
      <c r="J195">
        <v>0</v>
      </c>
    </row>
    <row r="196" spans="2:10" ht="15">
      <c r="B196" s="839" t="s">
        <v>82</v>
      </c>
      <c r="C196" s="285" t="s">
        <v>1405</v>
      </c>
      <c r="D196" s="128">
        <v>59.33</v>
      </c>
      <c r="E196" s="454">
        <v>0</v>
      </c>
      <c r="F196" s="454">
        <v>0</v>
      </c>
      <c r="G196" s="57">
        <v>0</v>
      </c>
      <c r="H196" s="57"/>
      <c r="I196" s="491">
        <f t="shared" si="2"/>
        <v>59.33</v>
      </c>
      <c r="J196">
        <v>0</v>
      </c>
    </row>
    <row r="197" spans="2:10" ht="15">
      <c r="B197" s="839" t="s">
        <v>323</v>
      </c>
      <c r="C197" s="285" t="s">
        <v>1513</v>
      </c>
      <c r="D197" s="128">
        <v>63</v>
      </c>
      <c r="E197" s="454">
        <v>0</v>
      </c>
      <c r="F197" s="454">
        <v>0</v>
      </c>
      <c r="G197" s="57">
        <v>0</v>
      </c>
      <c r="H197" s="57"/>
      <c r="I197" s="491">
        <f t="shared" si="2"/>
        <v>63</v>
      </c>
      <c r="J197">
        <v>0</v>
      </c>
    </row>
    <row r="198" spans="2:10" ht="15">
      <c r="B198" s="839" t="s">
        <v>355</v>
      </c>
      <c r="C198" s="285" t="s">
        <v>1529</v>
      </c>
      <c r="D198" s="128">
        <v>75.67</v>
      </c>
      <c r="E198" s="454">
        <v>0</v>
      </c>
      <c r="F198" s="454">
        <v>1</v>
      </c>
      <c r="G198" s="57">
        <v>0</v>
      </c>
      <c r="H198" s="57"/>
      <c r="I198" s="491">
        <f t="shared" si="2"/>
        <v>76.67</v>
      </c>
      <c r="J198">
        <v>0</v>
      </c>
    </row>
    <row r="199" spans="2:10" ht="15">
      <c r="B199" s="839" t="s">
        <v>4</v>
      </c>
      <c r="C199" s="285" t="s">
        <v>632</v>
      </c>
      <c r="D199" s="128">
        <v>1786</v>
      </c>
      <c r="E199" s="454">
        <v>0</v>
      </c>
      <c r="F199" s="454">
        <v>3.5</v>
      </c>
      <c r="G199" s="57">
        <v>0</v>
      </c>
      <c r="H199" s="57"/>
      <c r="I199" s="491">
        <f t="shared" si="2"/>
        <v>1789.5</v>
      </c>
      <c r="J199">
        <v>0</v>
      </c>
    </row>
    <row r="200" spans="2:10" ht="15">
      <c r="B200" s="839" t="s">
        <v>86</v>
      </c>
      <c r="C200" s="285" t="s">
        <v>1407</v>
      </c>
      <c r="D200" s="128">
        <v>8.17</v>
      </c>
      <c r="E200" s="454">
        <v>0</v>
      </c>
      <c r="F200" s="454">
        <v>0</v>
      </c>
      <c r="G200" s="57">
        <v>0</v>
      </c>
      <c r="H200" s="57"/>
      <c r="I200" s="491">
        <f t="shared" ref="I200:I263" si="3">IF(D200+E200+F200-G200&lt;0,0,D200+E200+F200-G200)</f>
        <v>8.17</v>
      </c>
      <c r="J200">
        <v>0</v>
      </c>
    </row>
    <row r="201" spans="2:10" ht="15">
      <c r="B201" s="839" t="s">
        <v>527</v>
      </c>
      <c r="C201" s="285" t="s">
        <v>1612</v>
      </c>
      <c r="D201" s="128">
        <v>0</v>
      </c>
      <c r="E201" s="454">
        <v>0</v>
      </c>
      <c r="F201" s="454">
        <v>0</v>
      </c>
      <c r="G201" s="57">
        <v>0</v>
      </c>
      <c r="H201" s="57"/>
      <c r="I201" s="491">
        <f t="shared" si="3"/>
        <v>0</v>
      </c>
      <c r="J201">
        <v>0</v>
      </c>
    </row>
    <row r="202" spans="2:10" ht="15">
      <c r="B202" s="839" t="s">
        <v>104</v>
      </c>
      <c r="C202" s="285" t="s">
        <v>1416</v>
      </c>
      <c r="D202" s="128">
        <v>6342.33</v>
      </c>
      <c r="E202" s="454">
        <v>13</v>
      </c>
      <c r="F202" s="454">
        <v>0</v>
      </c>
      <c r="G202" s="57">
        <v>4</v>
      </c>
      <c r="H202" s="57"/>
      <c r="I202" s="491">
        <f t="shared" si="3"/>
        <v>6351.33</v>
      </c>
      <c r="J202">
        <v>0</v>
      </c>
    </row>
    <row r="203" spans="2:10" ht="15">
      <c r="B203" s="839" t="s">
        <v>317</v>
      </c>
      <c r="C203" s="285" t="s">
        <v>1511</v>
      </c>
      <c r="D203" s="128">
        <v>31.67</v>
      </c>
      <c r="E203" s="454">
        <v>0</v>
      </c>
      <c r="F203" s="454">
        <v>0</v>
      </c>
      <c r="G203" s="57">
        <v>0</v>
      </c>
      <c r="I203" s="491">
        <f t="shared" si="3"/>
        <v>31.67</v>
      </c>
      <c r="J203">
        <v>0</v>
      </c>
    </row>
    <row r="204" spans="2:10" ht="15">
      <c r="B204" s="839" t="s">
        <v>16</v>
      </c>
      <c r="C204" s="285" t="s">
        <v>1375</v>
      </c>
      <c r="D204" s="128">
        <v>25</v>
      </c>
      <c r="E204" s="454">
        <v>0</v>
      </c>
      <c r="F204" s="454">
        <v>0</v>
      </c>
      <c r="G204" s="57">
        <v>0</v>
      </c>
      <c r="I204" s="491">
        <f t="shared" si="3"/>
        <v>25</v>
      </c>
      <c r="J204">
        <v>0</v>
      </c>
    </row>
    <row r="205" spans="2:10" ht="15">
      <c r="B205" s="839" t="s">
        <v>272</v>
      </c>
      <c r="C205" s="285" t="s">
        <v>1490</v>
      </c>
      <c r="D205" s="128">
        <v>0</v>
      </c>
      <c r="E205" s="454">
        <v>0</v>
      </c>
      <c r="F205" s="454">
        <v>0</v>
      </c>
      <c r="G205" s="57">
        <v>0</v>
      </c>
      <c r="I205" s="491">
        <f t="shared" si="3"/>
        <v>0</v>
      </c>
      <c r="J205">
        <v>0</v>
      </c>
    </row>
    <row r="206" spans="2:10" ht="15">
      <c r="B206" s="839" t="s">
        <v>359</v>
      </c>
      <c r="C206" s="285" t="s">
        <v>626</v>
      </c>
      <c r="D206" s="128">
        <v>200.83999999999997</v>
      </c>
      <c r="E206" s="454">
        <v>0</v>
      </c>
      <c r="F206" s="454">
        <v>6.5</v>
      </c>
      <c r="G206" s="57">
        <v>0</v>
      </c>
      <c r="I206" s="491">
        <f t="shared" si="3"/>
        <v>207.33999999999997</v>
      </c>
      <c r="J206">
        <v>0</v>
      </c>
    </row>
    <row r="207" spans="2:10" ht="15">
      <c r="B207" s="839" t="s">
        <v>1778</v>
      </c>
      <c r="C207" s="285" t="s">
        <v>1786</v>
      </c>
      <c r="D207" s="128">
        <v>18.66</v>
      </c>
      <c r="E207" s="454">
        <v>0</v>
      </c>
      <c r="F207" s="454">
        <v>0</v>
      </c>
      <c r="G207" s="57">
        <v>0</v>
      </c>
      <c r="H207" s="57"/>
      <c r="I207" s="491">
        <f t="shared" si="3"/>
        <v>18.66</v>
      </c>
      <c r="J207">
        <v>0</v>
      </c>
    </row>
    <row r="208" spans="2:10" ht="15">
      <c r="B208" s="839" t="s">
        <v>303</v>
      </c>
      <c r="C208" s="285" t="s">
        <v>1505</v>
      </c>
      <c r="D208" s="128">
        <v>33.17</v>
      </c>
      <c r="E208" s="454">
        <v>0</v>
      </c>
      <c r="F208" s="454">
        <v>0.5</v>
      </c>
      <c r="G208" s="57">
        <v>0</v>
      </c>
      <c r="H208" s="57"/>
      <c r="I208" s="491">
        <f t="shared" si="3"/>
        <v>33.67</v>
      </c>
      <c r="J208">
        <v>0</v>
      </c>
    </row>
    <row r="209" spans="2:10" ht="15">
      <c r="B209" s="839" t="s">
        <v>112</v>
      </c>
      <c r="C209" s="285" t="s">
        <v>1420</v>
      </c>
      <c r="D209" s="128">
        <v>3</v>
      </c>
      <c r="E209" s="454">
        <v>0</v>
      </c>
      <c r="F209" s="454">
        <v>0</v>
      </c>
      <c r="G209" s="57">
        <v>0</v>
      </c>
      <c r="I209" s="491">
        <f t="shared" si="3"/>
        <v>3</v>
      </c>
      <c r="J209">
        <v>0</v>
      </c>
    </row>
    <row r="210" spans="2:10" ht="15">
      <c r="B210" s="839" t="s">
        <v>39</v>
      </c>
      <c r="C210" s="285" t="s">
        <v>1385</v>
      </c>
      <c r="D210" s="128">
        <v>57.5</v>
      </c>
      <c r="E210" s="454">
        <v>0</v>
      </c>
      <c r="F210" s="454">
        <v>0</v>
      </c>
      <c r="G210" s="57">
        <v>0</v>
      </c>
      <c r="H210" s="57"/>
      <c r="I210" s="491">
        <f t="shared" si="3"/>
        <v>57.5</v>
      </c>
      <c r="J210">
        <v>0</v>
      </c>
    </row>
    <row r="211" spans="2:10" ht="15">
      <c r="B211" s="839" t="s">
        <v>171</v>
      </c>
      <c r="C211" s="285" t="s">
        <v>1447</v>
      </c>
      <c r="D211" s="128">
        <v>36.5</v>
      </c>
      <c r="E211" s="454">
        <v>0</v>
      </c>
      <c r="F211" s="454">
        <v>0</v>
      </c>
      <c r="G211" s="57">
        <v>0</v>
      </c>
      <c r="H211" s="57"/>
      <c r="I211" s="491">
        <f t="shared" si="3"/>
        <v>36.5</v>
      </c>
      <c r="J211">
        <v>0</v>
      </c>
    </row>
    <row r="212" spans="2:10" ht="15">
      <c r="B212" s="839" t="s">
        <v>502</v>
      </c>
      <c r="C212" s="285" t="s">
        <v>1601</v>
      </c>
      <c r="D212" s="128">
        <v>91.17</v>
      </c>
      <c r="E212" s="454">
        <v>0</v>
      </c>
      <c r="F212" s="454">
        <v>0</v>
      </c>
      <c r="G212" s="57">
        <v>0</v>
      </c>
      <c r="H212" s="57"/>
      <c r="I212" s="491">
        <f t="shared" si="3"/>
        <v>91.17</v>
      </c>
      <c r="J212">
        <v>0</v>
      </c>
    </row>
    <row r="213" spans="2:10" ht="15">
      <c r="B213" s="839" t="s">
        <v>1690</v>
      </c>
      <c r="C213" s="285" t="s">
        <v>1765</v>
      </c>
      <c r="D213" s="128">
        <v>0</v>
      </c>
      <c r="E213" s="454">
        <v>0</v>
      </c>
      <c r="F213" s="454">
        <v>0</v>
      </c>
      <c r="G213" s="57">
        <v>0</v>
      </c>
      <c r="I213" s="491">
        <f t="shared" si="3"/>
        <v>0</v>
      </c>
      <c r="J213">
        <v>0</v>
      </c>
    </row>
    <row r="214" spans="2:10" ht="15">
      <c r="B214" s="839" t="s">
        <v>21</v>
      </c>
      <c r="C214" s="285" t="s">
        <v>1378</v>
      </c>
      <c r="D214" s="128">
        <v>587.5</v>
      </c>
      <c r="E214" s="454">
        <v>0</v>
      </c>
      <c r="F214" s="454">
        <v>0.67</v>
      </c>
      <c r="G214" s="57">
        <v>0</v>
      </c>
      <c r="I214" s="491">
        <f t="shared" si="3"/>
        <v>588.16999999999996</v>
      </c>
      <c r="J214">
        <v>0</v>
      </c>
    </row>
    <row r="215" spans="2:10" ht="15">
      <c r="B215" s="839" t="s">
        <v>523</v>
      </c>
      <c r="C215" s="285" t="s">
        <v>1610</v>
      </c>
      <c r="D215" s="128">
        <v>121.5</v>
      </c>
      <c r="E215" s="454">
        <v>0</v>
      </c>
      <c r="F215" s="454">
        <v>1</v>
      </c>
      <c r="G215" s="57">
        <v>1</v>
      </c>
      <c r="I215" s="491">
        <f t="shared" si="3"/>
        <v>121.5</v>
      </c>
      <c r="J215">
        <v>0</v>
      </c>
    </row>
    <row r="216" spans="2:10" ht="15">
      <c r="B216" s="839" t="s">
        <v>1779</v>
      </c>
      <c r="C216" s="285" t="s">
        <v>1787</v>
      </c>
      <c r="D216" s="128">
        <v>3.67</v>
      </c>
      <c r="E216" s="454">
        <v>0</v>
      </c>
      <c r="F216" s="454">
        <v>0</v>
      </c>
      <c r="G216" s="57">
        <v>0</v>
      </c>
      <c r="H216" s="57"/>
      <c r="I216" s="491">
        <f t="shared" si="3"/>
        <v>3.67</v>
      </c>
      <c r="J216">
        <v>0</v>
      </c>
    </row>
    <row r="217" spans="2:10" ht="15">
      <c r="B217" s="839" t="s">
        <v>343</v>
      </c>
      <c r="C217" s="285" t="s">
        <v>1523</v>
      </c>
      <c r="D217" s="128">
        <v>1444.67</v>
      </c>
      <c r="E217" s="454">
        <v>0</v>
      </c>
      <c r="F217" s="454">
        <v>27.67</v>
      </c>
      <c r="G217" s="57">
        <v>2</v>
      </c>
      <c r="H217" s="57"/>
      <c r="I217" s="491">
        <f t="shared" si="3"/>
        <v>1470.3400000000001</v>
      </c>
      <c r="J217">
        <v>0</v>
      </c>
    </row>
    <row r="218" spans="2:10" ht="15">
      <c r="B218" s="839" t="s">
        <v>163</v>
      </c>
      <c r="C218" s="285" t="s">
        <v>1443</v>
      </c>
      <c r="D218" s="128">
        <v>0</v>
      </c>
      <c r="E218" s="454">
        <v>0</v>
      </c>
      <c r="F218" s="454">
        <v>0</v>
      </c>
      <c r="G218" s="57">
        <v>0</v>
      </c>
      <c r="H218" s="57"/>
      <c r="I218" s="491">
        <f t="shared" si="3"/>
        <v>0</v>
      </c>
      <c r="J218">
        <v>0</v>
      </c>
    </row>
    <row r="219" spans="2:10" ht="15">
      <c r="B219" s="839" t="s">
        <v>167</v>
      </c>
      <c r="C219" s="285" t="s">
        <v>1445</v>
      </c>
      <c r="D219" s="128">
        <v>0</v>
      </c>
      <c r="E219" s="454">
        <v>0</v>
      </c>
      <c r="F219" s="454">
        <v>0</v>
      </c>
      <c r="G219" s="57">
        <v>0</v>
      </c>
      <c r="I219" s="491">
        <f t="shared" si="3"/>
        <v>0</v>
      </c>
      <c r="J219">
        <v>0</v>
      </c>
    </row>
    <row r="220" spans="2:10" ht="15">
      <c r="B220" s="839" t="s">
        <v>47</v>
      </c>
      <c r="C220" s="285" t="s">
        <v>1389</v>
      </c>
      <c r="D220" s="128">
        <v>236.5</v>
      </c>
      <c r="E220" s="454">
        <v>0</v>
      </c>
      <c r="F220" s="454">
        <v>38</v>
      </c>
      <c r="G220" s="57">
        <v>1</v>
      </c>
      <c r="H220" s="57"/>
      <c r="I220" s="491">
        <f t="shared" si="3"/>
        <v>273.5</v>
      </c>
      <c r="J220">
        <v>0</v>
      </c>
    </row>
    <row r="221" spans="2:10" ht="15">
      <c r="B221" s="839" t="s">
        <v>145</v>
      </c>
      <c r="C221" s="285" t="s">
        <v>607</v>
      </c>
      <c r="D221" s="128">
        <v>47.33</v>
      </c>
      <c r="E221" s="454">
        <v>0</v>
      </c>
      <c r="F221" s="454">
        <v>5</v>
      </c>
      <c r="G221" s="57">
        <v>0</v>
      </c>
      <c r="H221" s="57"/>
      <c r="I221" s="491">
        <f t="shared" si="3"/>
        <v>52.33</v>
      </c>
      <c r="J221">
        <v>0</v>
      </c>
    </row>
    <row r="222" spans="2:10" ht="15">
      <c r="B222" s="839" t="s">
        <v>116</v>
      </c>
      <c r="C222" s="285" t="s">
        <v>1421</v>
      </c>
      <c r="D222" s="128">
        <v>1209</v>
      </c>
      <c r="E222" s="454">
        <v>0</v>
      </c>
      <c r="F222" s="454">
        <v>0</v>
      </c>
      <c r="G222" s="57">
        <v>0</v>
      </c>
      <c r="H222" s="57"/>
      <c r="I222" s="491">
        <f t="shared" si="3"/>
        <v>1209</v>
      </c>
      <c r="J222">
        <v>0</v>
      </c>
    </row>
    <row r="223" spans="2:10" ht="15">
      <c r="B223" s="839" t="s">
        <v>480</v>
      </c>
      <c r="C223" s="285" t="s">
        <v>1591</v>
      </c>
      <c r="D223" s="128">
        <v>0</v>
      </c>
      <c r="E223" s="454">
        <v>0</v>
      </c>
      <c r="F223" s="454">
        <v>0</v>
      </c>
      <c r="G223" s="57">
        <v>0</v>
      </c>
      <c r="H223" s="57"/>
      <c r="I223" s="491">
        <f t="shared" si="3"/>
        <v>0</v>
      </c>
      <c r="J223">
        <v>0</v>
      </c>
    </row>
    <row r="224" spans="2:10" ht="15">
      <c r="B224" s="839" t="s">
        <v>1686</v>
      </c>
      <c r="C224" s="285" t="s">
        <v>1766</v>
      </c>
      <c r="D224" s="128">
        <v>100.83</v>
      </c>
      <c r="E224" s="454">
        <v>0</v>
      </c>
      <c r="F224" s="454">
        <v>0</v>
      </c>
      <c r="G224" s="57">
        <v>0</v>
      </c>
      <c r="I224" s="491">
        <f t="shared" si="3"/>
        <v>100.83</v>
      </c>
      <c r="J224">
        <v>0</v>
      </c>
    </row>
    <row r="225" spans="2:10" ht="15">
      <c r="B225" s="839" t="s">
        <v>1720</v>
      </c>
      <c r="C225" s="285" t="s">
        <v>1789</v>
      </c>
      <c r="D225" s="128">
        <v>23.159999999999997</v>
      </c>
      <c r="E225" s="454">
        <v>0</v>
      </c>
      <c r="F225" s="454">
        <v>0</v>
      </c>
      <c r="G225" s="57">
        <v>0</v>
      </c>
      <c r="H225" s="57"/>
      <c r="I225" s="491">
        <f t="shared" si="3"/>
        <v>23.159999999999997</v>
      </c>
      <c r="J225">
        <v>0</v>
      </c>
    </row>
    <row r="226" spans="2:10" ht="15">
      <c r="B226" s="839" t="s">
        <v>327</v>
      </c>
      <c r="C226" s="285" t="s">
        <v>1514</v>
      </c>
      <c r="D226" s="128">
        <v>61</v>
      </c>
      <c r="E226" s="454">
        <v>0</v>
      </c>
      <c r="F226" s="454">
        <v>0</v>
      </c>
      <c r="G226" s="57">
        <v>0</v>
      </c>
      <c r="H226" s="57"/>
      <c r="I226" s="491">
        <f t="shared" si="3"/>
        <v>61</v>
      </c>
      <c r="J226">
        <v>0</v>
      </c>
    </row>
    <row r="227" spans="2:10" ht="15">
      <c r="B227" s="839" t="s">
        <v>282</v>
      </c>
      <c r="C227" s="285" t="s">
        <v>1494</v>
      </c>
      <c r="D227" s="128">
        <v>5.67</v>
      </c>
      <c r="E227" s="454">
        <v>0</v>
      </c>
      <c r="F227" s="454">
        <v>3.83</v>
      </c>
      <c r="G227" s="57">
        <v>0</v>
      </c>
      <c r="I227" s="491">
        <f t="shared" si="3"/>
        <v>9.5</v>
      </c>
      <c r="J227">
        <v>0</v>
      </c>
    </row>
    <row r="228" spans="2:10" ht="15">
      <c r="B228" s="839" t="s">
        <v>185</v>
      </c>
      <c r="C228" s="285" t="s">
        <v>638</v>
      </c>
      <c r="D228" s="128">
        <v>3110.66</v>
      </c>
      <c r="E228" s="454">
        <v>0</v>
      </c>
      <c r="F228" s="454">
        <v>27.83</v>
      </c>
      <c r="G228" s="57">
        <v>0</v>
      </c>
      <c r="H228" s="57"/>
      <c r="I228" s="491">
        <f t="shared" si="3"/>
        <v>3138.49</v>
      </c>
      <c r="J228">
        <v>0</v>
      </c>
    </row>
    <row r="229" spans="2:10" ht="15">
      <c r="B229" s="839" t="s">
        <v>102</v>
      </c>
      <c r="C229" s="285" t="s">
        <v>1415</v>
      </c>
      <c r="D229" s="128">
        <v>0</v>
      </c>
      <c r="E229" s="454">
        <v>0</v>
      </c>
      <c r="F229" s="454">
        <v>0</v>
      </c>
      <c r="G229" s="57">
        <v>0</v>
      </c>
      <c r="H229" s="57"/>
      <c r="I229" s="491">
        <f t="shared" si="3"/>
        <v>0</v>
      </c>
      <c r="J229">
        <v>0</v>
      </c>
    </row>
    <row r="230" spans="2:10" ht="15">
      <c r="B230" s="839" t="s">
        <v>23</v>
      </c>
      <c r="C230" s="285" t="s">
        <v>1379</v>
      </c>
      <c r="D230" s="128">
        <v>788.5</v>
      </c>
      <c r="E230" s="454">
        <v>0</v>
      </c>
      <c r="F230" s="454">
        <v>0</v>
      </c>
      <c r="G230" s="57">
        <v>2</v>
      </c>
      <c r="I230" s="491">
        <f t="shared" si="3"/>
        <v>786.5</v>
      </c>
      <c r="J230">
        <v>0</v>
      </c>
    </row>
    <row r="231" spans="2:10" ht="15">
      <c r="B231" s="839" t="s">
        <v>64</v>
      </c>
      <c r="C231" s="285" t="s">
        <v>1397</v>
      </c>
      <c r="D231" s="128">
        <v>117.33</v>
      </c>
      <c r="E231" s="454">
        <v>0</v>
      </c>
      <c r="F231" s="454">
        <v>0</v>
      </c>
      <c r="G231" s="57">
        <v>1</v>
      </c>
      <c r="I231" s="491">
        <f t="shared" si="3"/>
        <v>116.33</v>
      </c>
      <c r="J231">
        <v>0</v>
      </c>
    </row>
    <row r="232" spans="2:10" ht="15">
      <c r="B232" s="839" t="s">
        <v>8</v>
      </c>
      <c r="C232" s="285" t="s">
        <v>1372</v>
      </c>
      <c r="D232" s="128">
        <v>0</v>
      </c>
      <c r="E232" s="454">
        <v>0</v>
      </c>
      <c r="F232" s="454">
        <v>0</v>
      </c>
      <c r="G232" s="57">
        <v>0</v>
      </c>
      <c r="H232" s="57"/>
      <c r="I232" s="491">
        <f t="shared" si="3"/>
        <v>0</v>
      </c>
      <c r="J232">
        <v>0</v>
      </c>
    </row>
    <row r="233" spans="2:10" ht="15">
      <c r="B233" s="839" t="s">
        <v>446</v>
      </c>
      <c r="C233" s="285" t="s">
        <v>1575</v>
      </c>
      <c r="D233" s="128">
        <v>18.659999999999997</v>
      </c>
      <c r="E233" s="454">
        <v>0</v>
      </c>
      <c r="F233" s="454">
        <v>0</v>
      </c>
      <c r="G233" s="57">
        <v>0</v>
      </c>
      <c r="H233" s="57"/>
      <c r="I233" s="491">
        <f t="shared" si="3"/>
        <v>18.659999999999997</v>
      </c>
      <c r="J233">
        <v>0</v>
      </c>
    </row>
    <row r="234" spans="2:10" ht="15">
      <c r="B234" s="839" t="s">
        <v>193</v>
      </c>
      <c r="C234" s="285" t="s">
        <v>1457</v>
      </c>
      <c r="D234" s="128">
        <v>194.17</v>
      </c>
      <c r="E234" s="454">
        <v>2</v>
      </c>
      <c r="F234" s="454">
        <v>0</v>
      </c>
      <c r="G234" s="57">
        <v>0</v>
      </c>
      <c r="H234" s="57"/>
      <c r="I234" s="491">
        <f t="shared" si="3"/>
        <v>196.17</v>
      </c>
      <c r="J234">
        <v>0</v>
      </c>
    </row>
    <row r="235" spans="2:10" ht="15">
      <c r="B235" s="839" t="s">
        <v>484</v>
      </c>
      <c r="C235" s="285" t="s">
        <v>1593</v>
      </c>
      <c r="D235" s="128">
        <v>203.33999999999997</v>
      </c>
      <c r="E235" s="454">
        <v>0</v>
      </c>
      <c r="F235" s="454">
        <v>41.33</v>
      </c>
      <c r="G235" s="57">
        <v>0</v>
      </c>
      <c r="I235" s="491">
        <f t="shared" si="3"/>
        <v>244.66999999999996</v>
      </c>
      <c r="J235">
        <v>0</v>
      </c>
    </row>
    <row r="236" spans="2:10" ht="15">
      <c r="B236" s="839" t="s">
        <v>244</v>
      </c>
      <c r="C236" s="285" t="s">
        <v>1478</v>
      </c>
      <c r="D236" s="128">
        <v>0</v>
      </c>
      <c r="E236" s="454">
        <v>0</v>
      </c>
      <c r="F236" s="454">
        <v>0</v>
      </c>
      <c r="G236" s="57">
        <v>0</v>
      </c>
      <c r="H236" s="57"/>
      <c r="I236" s="491">
        <f t="shared" si="3"/>
        <v>0</v>
      </c>
      <c r="J236">
        <v>0</v>
      </c>
    </row>
    <row r="237" spans="2:10" ht="15">
      <c r="B237" s="839" t="s">
        <v>537</v>
      </c>
      <c r="C237" s="285" t="s">
        <v>1617</v>
      </c>
      <c r="D237" s="128">
        <v>0</v>
      </c>
      <c r="E237" s="454">
        <v>0</v>
      </c>
      <c r="F237" s="454">
        <v>0</v>
      </c>
      <c r="G237" s="57">
        <v>0</v>
      </c>
      <c r="H237" s="57"/>
      <c r="I237" s="491">
        <f t="shared" si="3"/>
        <v>0</v>
      </c>
      <c r="J237">
        <v>0</v>
      </c>
    </row>
    <row r="238" spans="2:10" ht="15">
      <c r="B238" s="839" t="s">
        <v>123</v>
      </c>
      <c r="C238" s="285" t="s">
        <v>1425</v>
      </c>
      <c r="D238" s="128">
        <v>753.84</v>
      </c>
      <c r="E238" s="454">
        <v>0</v>
      </c>
      <c r="F238" s="454">
        <v>0</v>
      </c>
      <c r="G238" s="57">
        <v>0</v>
      </c>
      <c r="H238" s="57"/>
      <c r="I238" s="491">
        <f t="shared" si="3"/>
        <v>753.84</v>
      </c>
      <c r="J238">
        <v>0</v>
      </c>
    </row>
    <row r="239" spans="2:10" ht="15">
      <c r="B239" s="839" t="s">
        <v>375</v>
      </c>
      <c r="C239" s="285" t="s">
        <v>1269</v>
      </c>
      <c r="D239" s="128">
        <v>49</v>
      </c>
      <c r="E239" s="454">
        <v>0</v>
      </c>
      <c r="F239" s="454">
        <v>0</v>
      </c>
      <c r="G239" s="57">
        <v>0</v>
      </c>
      <c r="I239" s="491">
        <f t="shared" si="3"/>
        <v>49</v>
      </c>
      <c r="J239">
        <v>0</v>
      </c>
    </row>
    <row r="240" spans="2:10" ht="15">
      <c r="B240" s="839" t="s">
        <v>149</v>
      </c>
      <c r="C240" s="285" t="s">
        <v>1436</v>
      </c>
      <c r="D240" s="128">
        <v>0</v>
      </c>
      <c r="E240" s="454">
        <v>0</v>
      </c>
      <c r="F240" s="454">
        <v>0</v>
      </c>
      <c r="G240" s="57">
        <v>0</v>
      </c>
      <c r="H240" s="57"/>
      <c r="I240" s="491">
        <f t="shared" si="3"/>
        <v>0</v>
      </c>
      <c r="J240">
        <v>0</v>
      </c>
    </row>
    <row r="241" spans="2:10" ht="15">
      <c r="B241" s="839" t="s">
        <v>1682</v>
      </c>
      <c r="C241" s="285" t="s">
        <v>1683</v>
      </c>
      <c r="E241" s="454">
        <v>0</v>
      </c>
      <c r="F241" s="454">
        <v>0</v>
      </c>
      <c r="G241" s="57">
        <v>0</v>
      </c>
      <c r="H241" s="57"/>
      <c r="I241" s="491">
        <f t="shared" si="3"/>
        <v>0</v>
      </c>
      <c r="J241">
        <v>0</v>
      </c>
    </row>
    <row r="242" spans="2:10" ht="15">
      <c r="B242" s="839" t="s">
        <v>1684</v>
      </c>
      <c r="C242" s="285" t="s">
        <v>1685</v>
      </c>
      <c r="E242" s="454">
        <v>0</v>
      </c>
      <c r="F242" s="454">
        <v>0</v>
      </c>
      <c r="G242" s="57">
        <v>0</v>
      </c>
      <c r="H242" s="57"/>
      <c r="I242" s="491">
        <f t="shared" si="3"/>
        <v>0</v>
      </c>
      <c r="J242">
        <v>0</v>
      </c>
    </row>
    <row r="243" spans="2:10" ht="15">
      <c r="B243" s="839" t="s">
        <v>173</v>
      </c>
      <c r="C243" s="285" t="s">
        <v>1448</v>
      </c>
      <c r="D243" s="128">
        <v>6660.33</v>
      </c>
      <c r="E243" s="454">
        <v>28</v>
      </c>
      <c r="F243" s="454">
        <v>92.33</v>
      </c>
      <c r="G243" s="57">
        <v>0</v>
      </c>
      <c r="H243" s="57"/>
      <c r="I243" s="491">
        <f t="shared" si="3"/>
        <v>6780.66</v>
      </c>
      <c r="J243">
        <v>0</v>
      </c>
    </row>
    <row r="244" spans="2:10" ht="15">
      <c r="B244" s="839" t="s">
        <v>379</v>
      </c>
      <c r="C244" s="285" t="s">
        <v>686</v>
      </c>
      <c r="D244" s="128">
        <v>345.33000000000004</v>
      </c>
      <c r="E244" s="454">
        <v>0</v>
      </c>
      <c r="F244" s="454">
        <v>58.5</v>
      </c>
      <c r="G244" s="57">
        <v>1</v>
      </c>
      <c r="I244" s="491">
        <f t="shared" si="3"/>
        <v>402.83000000000004</v>
      </c>
      <c r="J244">
        <v>0</v>
      </c>
    </row>
    <row r="245" spans="2:10" ht="15">
      <c r="B245" s="839" t="s">
        <v>551</v>
      </c>
      <c r="C245" s="285" t="s">
        <v>1624</v>
      </c>
      <c r="D245" s="128">
        <v>370.83</v>
      </c>
      <c r="E245" s="454">
        <v>0</v>
      </c>
      <c r="F245" s="454">
        <v>16</v>
      </c>
      <c r="G245" s="57">
        <v>0</v>
      </c>
      <c r="H245" s="57"/>
      <c r="I245" s="491">
        <f t="shared" si="3"/>
        <v>386.83</v>
      </c>
      <c r="J245">
        <v>0</v>
      </c>
    </row>
    <row r="246" spans="2:10" ht="15">
      <c r="B246" s="839" t="s">
        <v>340</v>
      </c>
      <c r="C246" s="285" t="s">
        <v>1521</v>
      </c>
      <c r="D246" s="128">
        <v>0</v>
      </c>
      <c r="E246" s="454">
        <v>0</v>
      </c>
      <c r="F246" s="454">
        <v>0</v>
      </c>
      <c r="G246" s="57">
        <v>0</v>
      </c>
      <c r="H246" s="57"/>
      <c r="I246" s="491">
        <f t="shared" si="3"/>
        <v>0</v>
      </c>
      <c r="J246">
        <v>0</v>
      </c>
    </row>
    <row r="247" spans="2:10" ht="15">
      <c r="B247" s="839" t="s">
        <v>43</v>
      </c>
      <c r="C247" s="285" t="s">
        <v>1387</v>
      </c>
      <c r="D247" s="128">
        <v>48.67</v>
      </c>
      <c r="E247" s="454">
        <v>0</v>
      </c>
      <c r="F247" s="454">
        <v>0</v>
      </c>
      <c r="G247" s="57">
        <v>0</v>
      </c>
      <c r="I247" s="491">
        <f t="shared" si="3"/>
        <v>48.67</v>
      </c>
      <c r="J247">
        <v>0</v>
      </c>
    </row>
    <row r="248" spans="2:10" ht="15">
      <c r="B248" s="839" t="s">
        <v>371</v>
      </c>
      <c r="C248" s="285" t="s">
        <v>1537</v>
      </c>
      <c r="D248" s="128">
        <v>0</v>
      </c>
      <c r="E248" s="454">
        <v>0</v>
      </c>
      <c r="F248" s="454">
        <v>0</v>
      </c>
      <c r="G248" s="57">
        <v>0</v>
      </c>
      <c r="H248" s="57"/>
      <c r="I248" s="491">
        <f t="shared" si="3"/>
        <v>0</v>
      </c>
      <c r="J248">
        <v>0</v>
      </c>
    </row>
    <row r="249" spans="2:10" ht="15">
      <c r="B249" s="839" t="s">
        <v>299</v>
      </c>
      <c r="C249" s="285" t="s">
        <v>1503</v>
      </c>
      <c r="D249" s="128">
        <v>907.17000000000007</v>
      </c>
      <c r="E249" s="454">
        <v>0</v>
      </c>
      <c r="F249" s="454">
        <v>40.17</v>
      </c>
      <c r="G249" s="57">
        <v>0</v>
      </c>
      <c r="H249" s="57"/>
      <c r="I249" s="491">
        <f t="shared" si="3"/>
        <v>947.34</v>
      </c>
      <c r="J249">
        <v>0</v>
      </c>
    </row>
    <row r="250" spans="2:10" ht="15">
      <c r="B250" s="839" t="s">
        <v>203</v>
      </c>
      <c r="C250" s="285" t="s">
        <v>640</v>
      </c>
      <c r="D250" s="128">
        <v>850.5</v>
      </c>
      <c r="E250" s="454">
        <v>4</v>
      </c>
      <c r="F250" s="454">
        <v>19</v>
      </c>
      <c r="G250" s="57">
        <v>0</v>
      </c>
      <c r="H250" s="57"/>
      <c r="I250" s="491">
        <f t="shared" si="3"/>
        <v>873.5</v>
      </c>
      <c r="J250">
        <v>0</v>
      </c>
    </row>
    <row r="251" spans="2:10" ht="15">
      <c r="B251" s="839" t="s">
        <v>387</v>
      </c>
      <c r="C251" s="285" t="s">
        <v>1545</v>
      </c>
      <c r="D251" s="128">
        <v>0</v>
      </c>
      <c r="E251" s="454">
        <v>0</v>
      </c>
      <c r="F251" s="454">
        <v>0</v>
      </c>
      <c r="G251" s="57">
        <v>0</v>
      </c>
      <c r="H251" s="57"/>
      <c r="I251" s="491">
        <f t="shared" si="3"/>
        <v>0</v>
      </c>
      <c r="J251">
        <v>0</v>
      </c>
    </row>
    <row r="252" spans="2:10" ht="15">
      <c r="B252" s="839" t="s">
        <v>187</v>
      </c>
      <c r="C252" s="285" t="s">
        <v>1454</v>
      </c>
      <c r="D252" s="128">
        <v>1</v>
      </c>
      <c r="E252" s="454">
        <v>0</v>
      </c>
      <c r="F252" s="454">
        <v>0</v>
      </c>
      <c r="G252" s="57">
        <v>0</v>
      </c>
      <c r="H252" s="57"/>
      <c r="I252" s="491">
        <f t="shared" si="3"/>
        <v>1</v>
      </c>
      <c r="J252">
        <v>0</v>
      </c>
    </row>
    <row r="253" spans="2:10" ht="15">
      <c r="B253" s="839" t="s">
        <v>411</v>
      </c>
      <c r="C253" s="285" t="s">
        <v>1556</v>
      </c>
      <c r="D253" s="128">
        <v>394.67</v>
      </c>
      <c r="E253" s="454">
        <v>8</v>
      </c>
      <c r="F253" s="454">
        <v>1</v>
      </c>
      <c r="G253" s="57">
        <v>0</v>
      </c>
      <c r="I253" s="491">
        <f t="shared" si="3"/>
        <v>403.67</v>
      </c>
      <c r="J253">
        <v>0</v>
      </c>
    </row>
    <row r="254" spans="2:10" ht="15">
      <c r="B254" s="839" t="s">
        <v>199</v>
      </c>
      <c r="C254" s="285" t="s">
        <v>1272</v>
      </c>
      <c r="D254" s="128">
        <v>256.83</v>
      </c>
      <c r="E254" s="454">
        <v>0</v>
      </c>
      <c r="F254" s="454">
        <v>2.67</v>
      </c>
      <c r="G254" s="57">
        <v>0</v>
      </c>
      <c r="H254" s="57"/>
      <c r="I254" s="491">
        <f t="shared" si="3"/>
        <v>259.5</v>
      </c>
      <c r="J254">
        <v>0</v>
      </c>
    </row>
    <row r="255" spans="2:10" ht="15">
      <c r="B255" s="839" t="s">
        <v>121</v>
      </c>
      <c r="C255" s="285" t="s">
        <v>1424</v>
      </c>
      <c r="D255" s="128">
        <v>92.17</v>
      </c>
      <c r="E255" s="454">
        <v>0</v>
      </c>
      <c r="F255" s="454">
        <v>1</v>
      </c>
      <c r="G255" s="57">
        <v>0</v>
      </c>
      <c r="I255" s="491">
        <f t="shared" si="3"/>
        <v>93.17</v>
      </c>
      <c r="J255">
        <v>0</v>
      </c>
    </row>
    <row r="256" spans="2:10" ht="15">
      <c r="B256" s="839" t="s">
        <v>329</v>
      </c>
      <c r="C256" s="285" t="s">
        <v>1515</v>
      </c>
      <c r="D256" s="128">
        <v>89</v>
      </c>
      <c r="E256" s="454">
        <v>0</v>
      </c>
      <c r="F256" s="454">
        <v>1</v>
      </c>
      <c r="G256" s="57">
        <v>0</v>
      </c>
      <c r="H256" s="57"/>
      <c r="I256" s="491">
        <f t="shared" si="3"/>
        <v>90</v>
      </c>
      <c r="J256">
        <v>0</v>
      </c>
    </row>
    <row r="257" spans="2:10" ht="15">
      <c r="B257" s="839" t="s">
        <v>218</v>
      </c>
      <c r="C257" s="285" t="s">
        <v>1465</v>
      </c>
      <c r="D257" s="128">
        <v>232.5</v>
      </c>
      <c r="E257" s="454">
        <v>0</v>
      </c>
      <c r="F257" s="454">
        <v>54.67</v>
      </c>
      <c r="G257" s="57">
        <v>0</v>
      </c>
      <c r="H257" s="57"/>
      <c r="I257" s="491">
        <f t="shared" si="3"/>
        <v>287.17</v>
      </c>
      <c r="J257">
        <v>0</v>
      </c>
    </row>
    <row r="258" spans="2:10" ht="15">
      <c r="B258" s="839" t="s">
        <v>161</v>
      </c>
      <c r="C258" s="285" t="s">
        <v>1442</v>
      </c>
      <c r="D258" s="128">
        <v>4.5</v>
      </c>
      <c r="E258" s="454">
        <v>0</v>
      </c>
      <c r="F258" s="454">
        <v>0</v>
      </c>
      <c r="G258" s="57">
        <v>0</v>
      </c>
      <c r="H258" s="57"/>
      <c r="I258" s="491">
        <f t="shared" si="3"/>
        <v>4.5</v>
      </c>
      <c r="J258">
        <v>0</v>
      </c>
    </row>
    <row r="259" spans="2:10" ht="15">
      <c r="B259" s="839" t="s">
        <v>295</v>
      </c>
      <c r="C259" s="285" t="s">
        <v>1501</v>
      </c>
      <c r="D259" s="128">
        <v>0</v>
      </c>
      <c r="E259" s="454">
        <v>0</v>
      </c>
      <c r="F259" s="454">
        <v>0</v>
      </c>
      <c r="G259" s="57">
        <v>0</v>
      </c>
      <c r="H259" s="57"/>
      <c r="I259" s="491">
        <f t="shared" si="3"/>
        <v>0</v>
      </c>
      <c r="J259">
        <v>0</v>
      </c>
    </row>
    <row r="260" spans="2:10" ht="15">
      <c r="B260" s="839" t="s">
        <v>422</v>
      </c>
      <c r="C260" s="285" t="s">
        <v>1562</v>
      </c>
      <c r="D260" s="128">
        <v>1757.83</v>
      </c>
      <c r="E260" s="454">
        <v>4</v>
      </c>
      <c r="F260" s="454">
        <v>149.66999999999999</v>
      </c>
      <c r="G260" s="57">
        <v>4</v>
      </c>
      <c r="H260" s="57"/>
      <c r="I260" s="491">
        <f t="shared" si="3"/>
        <v>1907.5</v>
      </c>
      <c r="J260">
        <v>0</v>
      </c>
    </row>
    <row r="261" spans="2:10" ht="15">
      <c r="B261" s="839" t="s">
        <v>1691</v>
      </c>
      <c r="C261" s="285" t="s">
        <v>1767</v>
      </c>
      <c r="D261" s="128">
        <v>21.5</v>
      </c>
      <c r="E261" s="454">
        <v>0</v>
      </c>
      <c r="F261" s="454">
        <v>0</v>
      </c>
      <c r="G261" s="57">
        <v>0</v>
      </c>
      <c r="I261" s="491">
        <f t="shared" si="3"/>
        <v>21.5</v>
      </c>
      <c r="J261">
        <v>0</v>
      </c>
    </row>
    <row r="262" spans="2:10" ht="15">
      <c r="B262" s="839" t="s">
        <v>280</v>
      </c>
      <c r="C262" s="285" t="s">
        <v>1493</v>
      </c>
      <c r="D262" s="128">
        <v>0</v>
      </c>
      <c r="E262" s="454">
        <v>0</v>
      </c>
      <c r="F262" s="454">
        <v>0</v>
      </c>
      <c r="G262" s="57">
        <v>0</v>
      </c>
      <c r="I262" s="491">
        <f t="shared" si="3"/>
        <v>0</v>
      </c>
      <c r="J262">
        <v>0</v>
      </c>
    </row>
    <row r="263" spans="2:10" ht="15">
      <c r="B263" s="839" t="s">
        <v>539</v>
      </c>
      <c r="C263" s="285" t="s">
        <v>1618</v>
      </c>
      <c r="D263" s="128">
        <v>0</v>
      </c>
      <c r="E263" s="454">
        <v>0</v>
      </c>
      <c r="F263" s="454">
        <v>0</v>
      </c>
      <c r="G263" s="57">
        <v>0</v>
      </c>
      <c r="I263" s="491">
        <f t="shared" si="3"/>
        <v>0</v>
      </c>
      <c r="J263">
        <v>0</v>
      </c>
    </row>
    <row r="264" spans="2:10" ht="15">
      <c r="B264" s="839" t="s">
        <v>421</v>
      </c>
      <c r="C264" s="285" t="s">
        <v>1561</v>
      </c>
      <c r="D264" s="128">
        <v>127</v>
      </c>
      <c r="E264" s="454">
        <v>0</v>
      </c>
      <c r="F264" s="454">
        <v>8.83</v>
      </c>
      <c r="G264" s="57">
        <v>0</v>
      </c>
      <c r="H264" s="57"/>
      <c r="I264" s="491">
        <f t="shared" ref="I264:I324" si="4">IF(D264+E264+F264-G264&lt;0,0,D264+E264+F264-G264)</f>
        <v>135.83000000000001</v>
      </c>
      <c r="J264">
        <v>0</v>
      </c>
    </row>
    <row r="265" spans="2:10" ht="15">
      <c r="B265" s="839" t="s">
        <v>108</v>
      </c>
      <c r="C265" s="285" t="s">
        <v>1418</v>
      </c>
      <c r="D265" s="128">
        <v>0</v>
      </c>
      <c r="E265" s="454">
        <v>0</v>
      </c>
      <c r="F265" s="454">
        <v>0</v>
      </c>
      <c r="G265" s="57">
        <v>0</v>
      </c>
      <c r="H265" s="57"/>
      <c r="I265" s="491">
        <f t="shared" si="4"/>
        <v>0</v>
      </c>
      <c r="J265">
        <v>0</v>
      </c>
    </row>
    <row r="266" spans="2:10" ht="15">
      <c r="B266" s="839" t="s">
        <v>68</v>
      </c>
      <c r="C266" s="285" t="s">
        <v>1398</v>
      </c>
      <c r="D266" s="128">
        <v>0</v>
      </c>
      <c r="E266" s="454">
        <v>0</v>
      </c>
      <c r="F266" s="454">
        <v>0</v>
      </c>
      <c r="G266" s="57">
        <v>0</v>
      </c>
      <c r="H266" s="57"/>
      <c r="I266" s="491">
        <f t="shared" si="4"/>
        <v>0</v>
      </c>
      <c r="J266">
        <v>0</v>
      </c>
    </row>
    <row r="267" spans="2:10" ht="15">
      <c r="B267" s="839" t="s">
        <v>27</v>
      </c>
      <c r="C267" s="285" t="s">
        <v>1381</v>
      </c>
      <c r="D267" s="128">
        <v>0</v>
      </c>
      <c r="E267" s="454">
        <v>0</v>
      </c>
      <c r="F267" s="454">
        <v>0</v>
      </c>
      <c r="G267" s="57">
        <v>0</v>
      </c>
      <c r="H267" s="57"/>
      <c r="I267" s="491">
        <f t="shared" si="4"/>
        <v>0</v>
      </c>
      <c r="J267">
        <v>0</v>
      </c>
    </row>
    <row r="268" spans="2:10" ht="15">
      <c r="B268" s="839" t="s">
        <v>342</v>
      </c>
      <c r="C268" s="285" t="s">
        <v>1522</v>
      </c>
      <c r="D268" s="128">
        <v>106.67</v>
      </c>
      <c r="E268" s="454">
        <v>0</v>
      </c>
      <c r="F268" s="454">
        <v>1</v>
      </c>
      <c r="G268" s="57">
        <v>0</v>
      </c>
      <c r="H268" s="57"/>
      <c r="I268" s="491">
        <f t="shared" si="4"/>
        <v>107.67</v>
      </c>
      <c r="J268">
        <v>0</v>
      </c>
    </row>
    <row r="269" spans="2:10" ht="15">
      <c r="B269" s="839" t="s">
        <v>531</v>
      </c>
      <c r="C269" s="285" t="s">
        <v>1614</v>
      </c>
      <c r="D269" s="128">
        <v>0</v>
      </c>
      <c r="E269" s="454">
        <v>0</v>
      </c>
      <c r="F269" s="454">
        <v>0</v>
      </c>
      <c r="G269" s="57">
        <v>0</v>
      </c>
      <c r="I269" s="491">
        <f t="shared" si="4"/>
        <v>0</v>
      </c>
      <c r="J269">
        <v>0</v>
      </c>
    </row>
    <row r="270" spans="2:10" ht="15">
      <c r="B270" s="839" t="s">
        <v>393</v>
      </c>
      <c r="C270" s="285" t="s">
        <v>1548</v>
      </c>
      <c r="D270" s="128">
        <v>18.829999999999998</v>
      </c>
      <c r="E270" s="454">
        <v>0</v>
      </c>
      <c r="F270" s="454">
        <v>3</v>
      </c>
      <c r="G270" s="57">
        <v>0</v>
      </c>
      <c r="H270" s="57"/>
      <c r="I270" s="491">
        <f t="shared" si="4"/>
        <v>21.83</v>
      </c>
      <c r="J270">
        <v>0</v>
      </c>
    </row>
    <row r="271" spans="2:10" ht="15">
      <c r="B271" s="839" t="s">
        <v>415</v>
      </c>
      <c r="C271" s="285" t="s">
        <v>1558</v>
      </c>
      <c r="D271" s="128">
        <v>219</v>
      </c>
      <c r="E271" s="454">
        <v>0</v>
      </c>
      <c r="F271" s="454">
        <v>1</v>
      </c>
      <c r="G271" s="57">
        <v>0</v>
      </c>
      <c r="H271" s="57"/>
      <c r="I271" s="491">
        <f t="shared" si="4"/>
        <v>220</v>
      </c>
      <c r="J271">
        <v>0</v>
      </c>
    </row>
    <row r="272" spans="2:10" ht="15">
      <c r="B272" s="839" t="s">
        <v>1716</v>
      </c>
      <c r="C272" s="285" t="s">
        <v>1761</v>
      </c>
      <c r="D272" s="128">
        <v>71.5</v>
      </c>
      <c r="E272" s="454">
        <v>0</v>
      </c>
      <c r="F272" s="454">
        <v>0</v>
      </c>
      <c r="G272" s="57">
        <v>0</v>
      </c>
      <c r="I272" s="491">
        <f t="shared" si="4"/>
        <v>71.5</v>
      </c>
      <c r="J272">
        <v>0</v>
      </c>
    </row>
    <row r="273" spans="2:10" ht="15">
      <c r="B273" s="839" t="s">
        <v>1694</v>
      </c>
      <c r="C273" s="285" t="s">
        <v>1768</v>
      </c>
      <c r="D273" s="128">
        <v>15.17</v>
      </c>
      <c r="E273" s="454">
        <v>0</v>
      </c>
      <c r="F273" s="454">
        <v>0</v>
      </c>
      <c r="G273" s="57">
        <v>0</v>
      </c>
      <c r="I273" s="491">
        <f t="shared" si="4"/>
        <v>15.17</v>
      </c>
      <c r="J273">
        <v>0</v>
      </c>
    </row>
    <row r="274" spans="2:10" ht="15">
      <c r="B274" s="839" t="s">
        <v>1693</v>
      </c>
      <c r="C274" s="285" t="s">
        <v>1769</v>
      </c>
      <c r="D274" s="128">
        <v>47.17</v>
      </c>
      <c r="E274" s="454">
        <v>0</v>
      </c>
      <c r="F274" s="454">
        <v>0</v>
      </c>
      <c r="G274" s="57">
        <v>0</v>
      </c>
      <c r="H274" s="57"/>
      <c r="I274" s="491">
        <f t="shared" si="4"/>
        <v>47.17</v>
      </c>
      <c r="J274">
        <v>0</v>
      </c>
    </row>
    <row r="275" spans="2:10" ht="15">
      <c r="B275" s="839" t="s">
        <v>460</v>
      </c>
      <c r="C275" s="285" t="s">
        <v>1582</v>
      </c>
      <c r="D275" s="128">
        <v>0</v>
      </c>
      <c r="E275" s="454">
        <v>0</v>
      </c>
      <c r="F275" s="454">
        <v>0</v>
      </c>
      <c r="G275" s="57">
        <v>0</v>
      </c>
      <c r="I275" s="491">
        <f t="shared" si="4"/>
        <v>0</v>
      </c>
      <c r="J275">
        <v>0</v>
      </c>
    </row>
    <row r="276" spans="2:10" ht="15">
      <c r="B276" s="839" t="s">
        <v>351</v>
      </c>
      <c r="C276" s="285" t="s">
        <v>1527</v>
      </c>
      <c r="D276" s="128">
        <v>426.33000000000004</v>
      </c>
      <c r="E276" s="454">
        <v>0</v>
      </c>
      <c r="F276" s="454">
        <v>3.83</v>
      </c>
      <c r="G276" s="57">
        <v>0</v>
      </c>
      <c r="I276" s="491">
        <f t="shared" si="4"/>
        <v>430.16</v>
      </c>
      <c r="J276">
        <v>0</v>
      </c>
    </row>
    <row r="277" spans="2:10" ht="15">
      <c r="B277" s="839" t="s">
        <v>557</v>
      </c>
      <c r="C277" s="285" t="s">
        <v>1626</v>
      </c>
      <c r="D277" s="128">
        <v>2011.8400000000001</v>
      </c>
      <c r="E277" s="454">
        <v>0</v>
      </c>
      <c r="F277" s="454">
        <v>4.5</v>
      </c>
      <c r="G277" s="57">
        <v>0</v>
      </c>
      <c r="H277" s="57"/>
      <c r="I277" s="491">
        <f t="shared" si="4"/>
        <v>2016.3400000000001</v>
      </c>
      <c r="J277">
        <v>0</v>
      </c>
    </row>
    <row r="278" spans="2:10" ht="15">
      <c r="B278" s="839" t="s">
        <v>345</v>
      </c>
      <c r="C278" s="285" t="s">
        <v>1524</v>
      </c>
      <c r="D278" s="128">
        <v>2998.1899999999996</v>
      </c>
      <c r="E278" s="454">
        <v>4</v>
      </c>
      <c r="F278" s="454">
        <v>121.17</v>
      </c>
      <c r="G278" s="57">
        <v>2</v>
      </c>
      <c r="H278" s="57"/>
      <c r="I278" s="491">
        <f t="shared" si="4"/>
        <v>3121.3599999999997</v>
      </c>
      <c r="J278">
        <v>0</v>
      </c>
    </row>
    <row r="279" spans="2:10" ht="15">
      <c r="B279" s="839" t="s">
        <v>143</v>
      </c>
      <c r="C279" s="285" t="s">
        <v>1434</v>
      </c>
      <c r="D279" s="128">
        <v>0</v>
      </c>
      <c r="E279" s="454">
        <v>0</v>
      </c>
      <c r="F279" s="454">
        <v>0</v>
      </c>
      <c r="G279" s="57">
        <v>0</v>
      </c>
      <c r="I279" s="491">
        <f t="shared" si="4"/>
        <v>0</v>
      </c>
      <c r="J279">
        <v>0</v>
      </c>
    </row>
    <row r="280" spans="2:10" ht="15">
      <c r="B280" s="839" t="s">
        <v>197</v>
      </c>
      <c r="C280" s="285" t="s">
        <v>627</v>
      </c>
      <c r="D280" s="128">
        <v>360.83</v>
      </c>
      <c r="E280" s="454">
        <v>0</v>
      </c>
      <c r="F280" s="454">
        <v>3</v>
      </c>
      <c r="G280" s="57">
        <v>0</v>
      </c>
      <c r="H280" s="57"/>
      <c r="I280" s="491">
        <f t="shared" si="4"/>
        <v>363.83</v>
      </c>
      <c r="J280">
        <v>0</v>
      </c>
    </row>
    <row r="281" spans="2:10" ht="15">
      <c r="B281" s="839" t="s">
        <v>521</v>
      </c>
      <c r="C281" s="285" t="s">
        <v>1609</v>
      </c>
      <c r="D281" s="128">
        <v>0</v>
      </c>
      <c r="E281" s="454">
        <v>0</v>
      </c>
      <c r="F281" s="454">
        <v>0</v>
      </c>
      <c r="G281" s="57">
        <v>0</v>
      </c>
      <c r="I281" s="491">
        <f t="shared" si="4"/>
        <v>0</v>
      </c>
      <c r="J281">
        <v>0</v>
      </c>
    </row>
    <row r="282" spans="2:10" ht="15">
      <c r="B282" s="839" t="s">
        <v>486</v>
      </c>
      <c r="C282" s="285" t="s">
        <v>1594</v>
      </c>
      <c r="D282" s="128">
        <v>9.67</v>
      </c>
      <c r="E282" s="454">
        <v>0</v>
      </c>
      <c r="F282" s="454">
        <v>0</v>
      </c>
      <c r="G282" s="57">
        <v>0</v>
      </c>
      <c r="H282" s="57"/>
      <c r="I282" s="491">
        <f t="shared" si="4"/>
        <v>9.67</v>
      </c>
      <c r="J282">
        <v>0</v>
      </c>
    </row>
    <row r="283" spans="2:10" ht="15">
      <c r="B283" s="839" t="s">
        <v>224</v>
      </c>
      <c r="C283" s="285" t="s">
        <v>1468</v>
      </c>
      <c r="D283" s="128">
        <v>2.67</v>
      </c>
      <c r="E283" s="454">
        <v>0</v>
      </c>
      <c r="F283" s="454">
        <v>0</v>
      </c>
      <c r="G283" s="57">
        <v>0</v>
      </c>
      <c r="I283" s="491">
        <f t="shared" si="4"/>
        <v>2.67</v>
      </c>
      <c r="J283">
        <v>0</v>
      </c>
    </row>
    <row r="284" spans="2:10" ht="15">
      <c r="B284" s="839" t="s">
        <v>268</v>
      </c>
      <c r="C284" s="285" t="s">
        <v>1488</v>
      </c>
      <c r="D284" s="128">
        <v>8.33</v>
      </c>
      <c r="E284" s="454">
        <v>0</v>
      </c>
      <c r="F284" s="454">
        <v>0</v>
      </c>
      <c r="G284" s="57">
        <v>0</v>
      </c>
      <c r="H284" s="57"/>
      <c r="I284" s="491">
        <f t="shared" si="4"/>
        <v>8.33</v>
      </c>
      <c r="J284">
        <v>0</v>
      </c>
    </row>
    <row r="285" spans="2:10" ht="15">
      <c r="B285" s="839" t="s">
        <v>321</v>
      </c>
      <c r="C285" s="285" t="s">
        <v>612</v>
      </c>
      <c r="D285" s="128">
        <v>129.67000000000002</v>
      </c>
      <c r="E285" s="454">
        <v>0</v>
      </c>
      <c r="F285" s="454">
        <v>0</v>
      </c>
      <c r="G285" s="57">
        <v>0</v>
      </c>
      <c r="I285" s="491">
        <f t="shared" si="4"/>
        <v>129.67000000000002</v>
      </c>
      <c r="J285">
        <v>0</v>
      </c>
    </row>
    <row r="286" spans="2:10" ht="15">
      <c r="B286" s="839" t="s">
        <v>559</v>
      </c>
      <c r="C286" s="285" t="s">
        <v>633</v>
      </c>
      <c r="D286" s="128">
        <v>1309.83</v>
      </c>
      <c r="E286" s="454">
        <v>0</v>
      </c>
      <c r="F286" s="454">
        <v>169.83</v>
      </c>
      <c r="G286" s="57">
        <v>0</v>
      </c>
      <c r="H286" s="57"/>
      <c r="I286" s="491">
        <f t="shared" si="4"/>
        <v>1479.6599999999999</v>
      </c>
      <c r="J286">
        <v>0</v>
      </c>
    </row>
    <row r="287" spans="2:10" ht="15">
      <c r="B287" s="839" t="s">
        <v>496</v>
      </c>
      <c r="C287" s="285" t="s">
        <v>1598</v>
      </c>
      <c r="D287" s="128">
        <v>38</v>
      </c>
      <c r="E287" s="454">
        <v>0</v>
      </c>
      <c r="F287" s="454">
        <v>0</v>
      </c>
      <c r="G287" s="57">
        <v>0</v>
      </c>
      <c r="H287" s="57"/>
      <c r="I287" s="491">
        <f t="shared" si="4"/>
        <v>38</v>
      </c>
      <c r="J287">
        <v>0</v>
      </c>
    </row>
    <row r="288" spans="2:10" ht="15">
      <c r="B288" s="839" t="s">
        <v>72</v>
      </c>
      <c r="C288" s="285" t="s">
        <v>1400</v>
      </c>
      <c r="D288" s="128">
        <v>0</v>
      </c>
      <c r="E288" s="454">
        <v>0</v>
      </c>
      <c r="F288" s="454">
        <v>0</v>
      </c>
      <c r="G288" s="57">
        <v>0</v>
      </c>
      <c r="I288" s="491">
        <f t="shared" si="4"/>
        <v>0</v>
      </c>
      <c r="J288">
        <v>0</v>
      </c>
    </row>
    <row r="289" spans="2:10" ht="15">
      <c r="B289" s="839" t="s">
        <v>238</v>
      </c>
      <c r="C289" s="285" t="s">
        <v>1475</v>
      </c>
      <c r="D289" s="128">
        <v>13.83</v>
      </c>
      <c r="E289" s="454">
        <v>0</v>
      </c>
      <c r="F289" s="454">
        <v>0</v>
      </c>
      <c r="G289" s="57">
        <v>0</v>
      </c>
      <c r="I289" s="491">
        <f t="shared" si="4"/>
        <v>13.83</v>
      </c>
      <c r="J289">
        <v>0</v>
      </c>
    </row>
    <row r="290" spans="2:10" ht="15">
      <c r="B290" s="839" t="s">
        <v>191</v>
      </c>
      <c r="C290" s="285" t="s">
        <v>1456</v>
      </c>
      <c r="D290" s="128">
        <v>1033.83</v>
      </c>
      <c r="E290" s="454">
        <v>155</v>
      </c>
      <c r="F290" s="454">
        <v>9</v>
      </c>
      <c r="G290" s="57">
        <v>0</v>
      </c>
      <c r="I290" s="491">
        <f t="shared" si="4"/>
        <v>1197.83</v>
      </c>
      <c r="J290">
        <v>0</v>
      </c>
    </row>
    <row r="291" spans="2:10" ht="15">
      <c r="B291" s="839" t="s">
        <v>476</v>
      </c>
      <c r="C291" s="285" t="s">
        <v>1589</v>
      </c>
      <c r="D291" s="128">
        <v>133.5</v>
      </c>
      <c r="E291" s="454">
        <v>0</v>
      </c>
      <c r="F291" s="454">
        <v>0</v>
      </c>
      <c r="G291" s="57">
        <v>1</v>
      </c>
      <c r="H291" s="57"/>
      <c r="I291" s="491">
        <f t="shared" si="4"/>
        <v>132.5</v>
      </c>
      <c r="J291">
        <v>0</v>
      </c>
    </row>
    <row r="292" spans="2:10" ht="15">
      <c r="B292" s="839" t="s">
        <v>543</v>
      </c>
      <c r="C292" s="285" t="s">
        <v>1620</v>
      </c>
      <c r="D292" s="128">
        <v>163.5</v>
      </c>
      <c r="E292" s="454">
        <v>0</v>
      </c>
      <c r="F292" s="454">
        <v>2.83</v>
      </c>
      <c r="G292" s="57">
        <v>1</v>
      </c>
      <c r="H292" s="57"/>
      <c r="I292" s="491">
        <f t="shared" si="4"/>
        <v>165.33</v>
      </c>
      <c r="J292">
        <v>0</v>
      </c>
    </row>
    <row r="293" spans="2:10" ht="15">
      <c r="B293" s="839" t="s">
        <v>349</v>
      </c>
      <c r="C293" s="285" t="s">
        <v>1526</v>
      </c>
      <c r="D293" s="128">
        <v>296.5</v>
      </c>
      <c r="E293" s="454">
        <v>0</v>
      </c>
      <c r="F293" s="454">
        <v>0</v>
      </c>
      <c r="G293" s="57">
        <v>0</v>
      </c>
      <c r="H293" s="57"/>
      <c r="I293" s="491">
        <f t="shared" si="4"/>
        <v>296.5</v>
      </c>
      <c r="J293">
        <v>0</v>
      </c>
    </row>
    <row r="294" spans="2:10" ht="15">
      <c r="B294" s="839" t="s">
        <v>454</v>
      </c>
      <c r="C294" s="285" t="s">
        <v>1579</v>
      </c>
      <c r="D294" s="128">
        <v>37.840000000000003</v>
      </c>
      <c r="E294" s="454">
        <v>0</v>
      </c>
      <c r="F294" s="454">
        <v>3</v>
      </c>
      <c r="G294" s="57">
        <v>0</v>
      </c>
      <c r="I294" s="491">
        <f t="shared" si="4"/>
        <v>40.840000000000003</v>
      </c>
      <c r="J294">
        <v>0</v>
      </c>
    </row>
    <row r="295" spans="2:10" ht="15">
      <c r="B295" s="839" t="s">
        <v>49</v>
      </c>
      <c r="C295" s="285" t="s">
        <v>1390</v>
      </c>
      <c r="D295" s="128">
        <v>2940.83</v>
      </c>
      <c r="E295" s="454">
        <v>0</v>
      </c>
      <c r="F295" s="454">
        <v>84.67</v>
      </c>
      <c r="G295" s="57">
        <v>6</v>
      </c>
      <c r="H295" s="57"/>
      <c r="I295" s="491">
        <f t="shared" si="4"/>
        <v>3019.5</v>
      </c>
      <c r="J295">
        <v>0</v>
      </c>
    </row>
    <row r="296" spans="2:10" ht="15">
      <c r="B296" s="839" t="s">
        <v>183</v>
      </c>
      <c r="C296" s="285" t="s">
        <v>1453</v>
      </c>
      <c r="D296" s="128">
        <v>73.67</v>
      </c>
      <c r="E296" s="454">
        <v>0</v>
      </c>
      <c r="F296" s="454">
        <v>0</v>
      </c>
      <c r="G296" s="57">
        <v>0</v>
      </c>
      <c r="I296" s="491">
        <f t="shared" si="4"/>
        <v>73.67</v>
      </c>
      <c r="J296">
        <v>0</v>
      </c>
    </row>
    <row r="297" spans="2:10" ht="15">
      <c r="B297" s="839" t="s">
        <v>488</v>
      </c>
      <c r="C297" s="285" t="s">
        <v>1595</v>
      </c>
      <c r="D297" s="128">
        <v>16.5</v>
      </c>
      <c r="E297" s="454">
        <v>0</v>
      </c>
      <c r="F297" s="454">
        <v>0</v>
      </c>
      <c r="G297" s="57">
        <v>0</v>
      </c>
      <c r="H297" s="57"/>
      <c r="I297" s="491">
        <f t="shared" si="4"/>
        <v>16.5</v>
      </c>
      <c r="J297">
        <v>0</v>
      </c>
    </row>
    <row r="298" spans="2:10" ht="15">
      <c r="B298" s="839" t="s">
        <v>114</v>
      </c>
      <c r="C298" s="285" t="s">
        <v>634</v>
      </c>
      <c r="D298" s="128">
        <v>1212</v>
      </c>
      <c r="E298" s="454">
        <v>0</v>
      </c>
      <c r="F298" s="454">
        <v>0</v>
      </c>
      <c r="G298" s="57">
        <v>0</v>
      </c>
      <c r="I298" s="491">
        <f t="shared" si="4"/>
        <v>1212</v>
      </c>
      <c r="J298">
        <v>0</v>
      </c>
    </row>
    <row r="299" spans="2:10" ht="15">
      <c r="B299" s="839" t="s">
        <v>500</v>
      </c>
      <c r="C299" s="285" t="s">
        <v>1600</v>
      </c>
      <c r="D299" s="128">
        <v>1</v>
      </c>
      <c r="E299" s="454">
        <v>0</v>
      </c>
      <c r="F299" s="454">
        <v>0</v>
      </c>
      <c r="G299" s="57">
        <v>0</v>
      </c>
      <c r="H299" s="57"/>
      <c r="I299" s="491">
        <f t="shared" si="4"/>
        <v>1</v>
      </c>
      <c r="J299">
        <v>0</v>
      </c>
    </row>
    <row r="300" spans="2:10" ht="15">
      <c r="B300" s="839" t="s">
        <v>492</v>
      </c>
      <c r="C300" s="285" t="s">
        <v>641</v>
      </c>
      <c r="D300" s="128">
        <v>786.17</v>
      </c>
      <c r="E300" s="454">
        <v>3</v>
      </c>
      <c r="F300" s="454">
        <v>2</v>
      </c>
      <c r="G300" s="57">
        <v>1</v>
      </c>
      <c r="H300" s="57"/>
      <c r="I300" s="491">
        <f t="shared" si="4"/>
        <v>790.17</v>
      </c>
      <c r="J300">
        <v>0</v>
      </c>
    </row>
    <row r="301" spans="2:10" ht="15">
      <c r="B301" s="839" t="s">
        <v>567</v>
      </c>
      <c r="C301" s="285" t="s">
        <v>1630</v>
      </c>
      <c r="D301" s="128">
        <v>1048.1600000000001</v>
      </c>
      <c r="E301" s="454">
        <v>0</v>
      </c>
      <c r="F301" s="454">
        <v>399.5</v>
      </c>
      <c r="G301" s="57">
        <v>0</v>
      </c>
      <c r="I301" s="491">
        <f t="shared" si="4"/>
        <v>1447.66</v>
      </c>
      <c r="J301">
        <v>0</v>
      </c>
    </row>
    <row r="302" spans="2:10" ht="15">
      <c r="B302" s="845" t="s">
        <v>118</v>
      </c>
      <c r="C302" s="875" t="s">
        <v>1422</v>
      </c>
      <c r="D302" s="128">
        <v>237.33</v>
      </c>
      <c r="E302" s="454">
        <v>0</v>
      </c>
      <c r="F302" s="454">
        <v>0</v>
      </c>
      <c r="G302" s="57">
        <v>0</v>
      </c>
      <c r="H302" s="57"/>
      <c r="I302" s="491">
        <f t="shared" si="4"/>
        <v>237.33</v>
      </c>
      <c r="J302">
        <v>0</v>
      </c>
    </row>
    <row r="303" spans="2:10" ht="15">
      <c r="B303" s="845" t="s">
        <v>56</v>
      </c>
      <c r="C303" s="875" t="s">
        <v>854</v>
      </c>
      <c r="D303" s="128">
        <v>80.5</v>
      </c>
      <c r="E303" s="454">
        <v>0</v>
      </c>
      <c r="F303" s="454">
        <v>0</v>
      </c>
      <c r="G303" s="57">
        <v>3</v>
      </c>
      <c r="I303" s="491">
        <f t="shared" si="4"/>
        <v>77.5</v>
      </c>
      <c r="J303">
        <v>0</v>
      </c>
    </row>
    <row r="304" spans="2:10" ht="15">
      <c r="B304" s="838" t="s">
        <v>0</v>
      </c>
      <c r="C304" s="876" t="s">
        <v>1369</v>
      </c>
      <c r="D304" s="128">
        <v>0.67</v>
      </c>
      <c r="E304" s="454">
        <v>0</v>
      </c>
      <c r="F304" s="454">
        <v>0</v>
      </c>
      <c r="G304" s="57">
        <v>0</v>
      </c>
      <c r="H304" s="57"/>
      <c r="I304" s="491">
        <f t="shared" si="4"/>
        <v>0.67</v>
      </c>
      <c r="J304">
        <v>0</v>
      </c>
    </row>
    <row r="305" spans="2:10" ht="15">
      <c r="B305" s="845" t="s">
        <v>92</v>
      </c>
      <c r="C305" s="875" t="s">
        <v>1410</v>
      </c>
      <c r="D305" s="128">
        <v>12.84</v>
      </c>
      <c r="E305" s="454">
        <v>0</v>
      </c>
      <c r="F305" s="454">
        <v>0</v>
      </c>
      <c r="G305" s="57">
        <v>0</v>
      </c>
      <c r="I305" s="491">
        <f t="shared" si="4"/>
        <v>12.84</v>
      </c>
      <c r="J305">
        <v>0</v>
      </c>
    </row>
    <row r="306" spans="2:10" ht="15">
      <c r="B306" s="845" t="s">
        <v>452</v>
      </c>
      <c r="C306" s="875" t="s">
        <v>1578</v>
      </c>
      <c r="D306" s="128">
        <v>0</v>
      </c>
      <c r="E306" s="454">
        <v>0</v>
      </c>
      <c r="F306" s="454">
        <v>119.83</v>
      </c>
      <c r="G306" s="57">
        <v>0</v>
      </c>
      <c r="I306" s="491">
        <f t="shared" si="4"/>
        <v>119.83</v>
      </c>
      <c r="J306">
        <v>0</v>
      </c>
    </row>
    <row r="307" spans="2:10" ht="15">
      <c r="B307" s="845" t="s">
        <v>37</v>
      </c>
      <c r="C307" s="875" t="s">
        <v>1384</v>
      </c>
      <c r="D307" s="128">
        <v>1565.34</v>
      </c>
      <c r="E307" s="454">
        <v>20</v>
      </c>
      <c r="F307" s="454">
        <v>7</v>
      </c>
      <c r="G307" s="57">
        <v>0</v>
      </c>
      <c r="H307" s="57"/>
      <c r="I307" s="491">
        <f t="shared" si="4"/>
        <v>1592.34</v>
      </c>
      <c r="J307">
        <v>0</v>
      </c>
    </row>
    <row r="308" spans="2:10" ht="15">
      <c r="B308" s="846" t="s">
        <v>443</v>
      </c>
      <c r="C308" s="875" t="s">
        <v>1573</v>
      </c>
      <c r="D308" s="128">
        <v>100.84</v>
      </c>
      <c r="E308" s="454">
        <v>0</v>
      </c>
      <c r="F308" s="454">
        <v>4.33</v>
      </c>
      <c r="G308" s="57">
        <v>0</v>
      </c>
      <c r="H308" s="57"/>
      <c r="I308" s="491">
        <f t="shared" si="4"/>
        <v>105.17</v>
      </c>
      <c r="J308">
        <v>0</v>
      </c>
    </row>
    <row r="309" spans="2:10" ht="15">
      <c r="B309" s="845" t="s">
        <v>569</v>
      </c>
      <c r="C309" s="875" t="s">
        <v>1631</v>
      </c>
      <c r="D309" s="128">
        <v>427</v>
      </c>
      <c r="E309" s="454">
        <v>0</v>
      </c>
      <c r="F309" s="454">
        <v>21.33</v>
      </c>
      <c r="G309" s="57">
        <v>0</v>
      </c>
      <c r="I309" s="491">
        <f t="shared" si="4"/>
        <v>448.33</v>
      </c>
      <c r="J309">
        <v>0</v>
      </c>
    </row>
    <row r="310" spans="2:10" ht="15">
      <c r="B310" s="845" t="s">
        <v>1759</v>
      </c>
      <c r="C310" s="875" t="s">
        <v>1788</v>
      </c>
      <c r="D310" s="128">
        <v>0</v>
      </c>
      <c r="E310" s="454">
        <v>0</v>
      </c>
      <c r="F310" s="454">
        <v>0</v>
      </c>
      <c r="G310" s="57">
        <v>0</v>
      </c>
      <c r="H310" s="57"/>
      <c r="I310" s="491">
        <f t="shared" si="4"/>
        <v>0</v>
      </c>
      <c r="J310">
        <v>0</v>
      </c>
    </row>
    <row r="311" spans="2:10">
      <c r="B311" s="838" t="s">
        <v>276</v>
      </c>
      <c r="C311" t="s">
        <v>1492</v>
      </c>
      <c r="D311" s="128">
        <v>0</v>
      </c>
      <c r="E311" s="454">
        <v>0</v>
      </c>
      <c r="F311" s="454">
        <v>0</v>
      </c>
      <c r="G311" s="57">
        <v>0</v>
      </c>
      <c r="H311" s="57"/>
      <c r="I311" s="491">
        <f t="shared" si="4"/>
        <v>0</v>
      </c>
      <c r="J311">
        <v>0</v>
      </c>
    </row>
    <row r="312" spans="2:10">
      <c r="B312" s="838" t="s">
        <v>367</v>
      </c>
      <c r="C312" t="s">
        <v>1533</v>
      </c>
      <c r="D312" s="128">
        <v>120.17</v>
      </c>
      <c r="E312" s="454">
        <v>0</v>
      </c>
      <c r="F312" s="454">
        <v>2</v>
      </c>
      <c r="G312" s="57">
        <v>1</v>
      </c>
      <c r="I312" s="491">
        <f t="shared" si="4"/>
        <v>121.17</v>
      </c>
      <c r="J312">
        <v>0</v>
      </c>
    </row>
    <row r="313" spans="2:10">
      <c r="B313" s="838" t="s">
        <v>248</v>
      </c>
      <c r="C313" t="s">
        <v>1480</v>
      </c>
      <c r="D313" s="128">
        <v>180.82999999999998</v>
      </c>
      <c r="E313" s="454">
        <v>0</v>
      </c>
      <c r="F313" s="454">
        <v>7</v>
      </c>
      <c r="G313" s="57">
        <v>0</v>
      </c>
      <c r="I313" s="491">
        <f t="shared" si="4"/>
        <v>187.82999999999998</v>
      </c>
      <c r="J313">
        <v>0</v>
      </c>
    </row>
    <row r="314" spans="2:10">
      <c r="B314" s="838" t="s">
        <v>289</v>
      </c>
      <c r="C314" t="s">
        <v>1498</v>
      </c>
      <c r="D314" s="128">
        <v>0</v>
      </c>
      <c r="E314" s="454">
        <v>0</v>
      </c>
      <c r="F314" s="454">
        <v>0</v>
      </c>
      <c r="G314" s="57">
        <v>0</v>
      </c>
      <c r="I314" s="491">
        <f t="shared" si="4"/>
        <v>0</v>
      </c>
      <c r="J314">
        <v>0</v>
      </c>
    </row>
    <row r="315" spans="2:10">
      <c r="B315" s="838" t="s">
        <v>332</v>
      </c>
      <c r="C315" t="s">
        <v>1517</v>
      </c>
      <c r="D315" s="128">
        <v>8</v>
      </c>
      <c r="E315" s="454">
        <v>0</v>
      </c>
      <c r="F315" s="454">
        <v>0</v>
      </c>
      <c r="G315" s="57">
        <v>0</v>
      </c>
      <c r="I315" s="491">
        <f t="shared" si="4"/>
        <v>8</v>
      </c>
      <c r="J315">
        <v>0</v>
      </c>
    </row>
    <row r="316" spans="2:10">
      <c r="B316" s="838" t="s">
        <v>1717</v>
      </c>
      <c r="C316" t="s">
        <v>1791</v>
      </c>
      <c r="E316" s="454">
        <v>0</v>
      </c>
      <c r="F316" s="454">
        <v>0</v>
      </c>
      <c r="G316" s="57">
        <v>0</v>
      </c>
      <c r="I316" s="491">
        <f t="shared" si="4"/>
        <v>0</v>
      </c>
    </row>
    <row r="317" spans="2:10">
      <c r="B317" s="784" t="s">
        <v>129</v>
      </c>
      <c r="C317" t="s">
        <v>1427</v>
      </c>
      <c r="D317" s="128">
        <v>2</v>
      </c>
      <c r="E317" s="454">
        <v>0</v>
      </c>
      <c r="F317" s="454">
        <v>0</v>
      </c>
      <c r="G317" s="57">
        <v>0</v>
      </c>
      <c r="I317" s="491">
        <f t="shared" si="4"/>
        <v>2</v>
      </c>
      <c r="J317">
        <v>0</v>
      </c>
    </row>
    <row r="318" spans="2:10">
      <c r="B318" s="784" t="s">
        <v>264</v>
      </c>
      <c r="C318" t="s">
        <v>1486</v>
      </c>
      <c r="D318" s="128">
        <v>40.5</v>
      </c>
      <c r="E318" s="454">
        <v>0</v>
      </c>
      <c r="F318" s="454">
        <v>6</v>
      </c>
      <c r="G318" s="57">
        <v>0</v>
      </c>
      <c r="H318" s="57"/>
      <c r="I318" s="491">
        <f t="shared" si="4"/>
        <v>46.5</v>
      </c>
      <c r="J318">
        <v>0</v>
      </c>
    </row>
    <row r="319" spans="2:10">
      <c r="B319" s="36" t="s">
        <v>151</v>
      </c>
      <c r="C319" t="s">
        <v>1437</v>
      </c>
      <c r="D319" s="128">
        <v>0</v>
      </c>
      <c r="E319" s="454">
        <v>0</v>
      </c>
      <c r="F319" s="454">
        <v>0</v>
      </c>
      <c r="G319" s="57">
        <v>0</v>
      </c>
      <c r="I319" s="491">
        <f t="shared" si="4"/>
        <v>0</v>
      </c>
      <c r="J319">
        <v>0</v>
      </c>
    </row>
    <row r="320" spans="2:10">
      <c r="B320" t="s">
        <v>232</v>
      </c>
      <c r="C320" t="s">
        <v>1472</v>
      </c>
      <c r="D320" s="128">
        <v>0</v>
      </c>
      <c r="E320" s="454">
        <v>0</v>
      </c>
      <c r="F320" s="454">
        <v>0</v>
      </c>
      <c r="G320" s="57">
        <v>0</v>
      </c>
      <c r="I320" s="491">
        <f t="shared" si="4"/>
        <v>0</v>
      </c>
      <c r="J320">
        <v>1</v>
      </c>
    </row>
    <row r="321" spans="2:10">
      <c r="B321" t="s">
        <v>78</v>
      </c>
      <c r="C321" t="s">
        <v>1403</v>
      </c>
      <c r="D321" s="128">
        <v>208.5</v>
      </c>
      <c r="E321" s="454">
        <v>0</v>
      </c>
      <c r="F321" s="454">
        <v>0</v>
      </c>
      <c r="G321" s="57">
        <v>0</v>
      </c>
      <c r="I321" s="491">
        <f t="shared" si="4"/>
        <v>208.5</v>
      </c>
      <c r="J321">
        <v>0</v>
      </c>
    </row>
    <row r="322" spans="2:10">
      <c r="B322" t="s">
        <v>547</v>
      </c>
      <c r="C322" t="s">
        <v>1622</v>
      </c>
      <c r="D322" s="128">
        <v>4600.16</v>
      </c>
      <c r="E322" s="454">
        <v>0</v>
      </c>
      <c r="F322" s="454">
        <v>60</v>
      </c>
      <c r="G322" s="57">
        <v>0</v>
      </c>
      <c r="I322" s="491">
        <f t="shared" si="4"/>
        <v>4660.16</v>
      </c>
    </row>
    <row r="323" spans="2:10">
      <c r="B323" t="s">
        <v>472</v>
      </c>
      <c r="C323" t="s">
        <v>1588</v>
      </c>
      <c r="D323" s="128">
        <v>181.67000000000002</v>
      </c>
      <c r="E323" s="454">
        <v>0</v>
      </c>
      <c r="F323" s="454">
        <v>0</v>
      </c>
      <c r="G323" s="57">
        <v>0</v>
      </c>
      <c r="I323" s="491">
        <f t="shared" si="4"/>
        <v>181.67000000000002</v>
      </c>
    </row>
    <row r="324" spans="2:10">
      <c r="B324" t="s">
        <v>565</v>
      </c>
      <c r="C324" t="s">
        <v>1629</v>
      </c>
      <c r="D324" s="128">
        <v>143.84</v>
      </c>
      <c r="E324" s="454">
        <v>0</v>
      </c>
      <c r="F324" s="454">
        <v>9.5</v>
      </c>
      <c r="G324" s="57">
        <v>0</v>
      </c>
      <c r="I324" s="491">
        <f t="shared" si="4"/>
        <v>153.34</v>
      </c>
    </row>
  </sheetData>
  <autoFilter ref="A7:J324" xr:uid="{00000000-0009-0000-0000-00001D000000}">
    <sortState xmlns:xlrd2="http://schemas.microsoft.com/office/spreadsheetml/2017/richdata2" ref="A8:J323">
      <sortCondition ref="C7:C322"/>
    </sortState>
  </autoFilter>
  <mergeCells count="1">
    <mergeCell ref="D4:H4"/>
  </mergeCells>
  <conditionalFormatting sqref="L8:L21">
    <cfRule type="duplicateValues" dxfId="4" priority="2"/>
  </conditionalFormatting>
  <conditionalFormatting sqref="C8:C319">
    <cfRule type="expression" dxfId="3" priority="28">
      <formula>AND($N8&lt;10000,$N8&gt;0,#REF!="Y")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N324"/>
  <sheetViews>
    <sheetView topLeftCell="A288" workbookViewId="0">
      <selection activeCell="B8" sqref="B8:B324"/>
    </sheetView>
  </sheetViews>
  <sheetFormatPr defaultRowHeight="12.75"/>
  <cols>
    <col min="1" max="1" width="6.140625" customWidth="1"/>
    <col min="2" max="2" width="9.42578125" customWidth="1"/>
    <col min="3" max="3" width="25.5703125" bestFit="1" customWidth="1"/>
    <col min="4" max="4" width="15.5703125" style="128" bestFit="1" customWidth="1"/>
    <col min="5" max="5" width="15.42578125" style="96" customWidth="1"/>
    <col min="6" max="6" width="11.42578125" style="97" customWidth="1"/>
    <col min="7" max="7" width="11" style="99" bestFit="1" customWidth="1"/>
    <col min="8" max="8" width="6" style="59" customWidth="1"/>
    <col min="9" max="9" width="18.5703125" style="245" customWidth="1"/>
    <col min="10" max="10" width="20.85546875" hidden="1" customWidth="1"/>
  </cols>
  <sheetData>
    <row r="1" spans="1:14">
      <c r="D1" s="472"/>
      <c r="E1" s="473"/>
      <c r="F1" s="473"/>
      <c r="G1" s="98"/>
      <c r="H1" s="85"/>
    </row>
    <row r="2" spans="1:14">
      <c r="E2" s="457"/>
      <c r="F2" s="457"/>
      <c r="G2" s="98"/>
      <c r="H2" s="85"/>
    </row>
    <row r="3" spans="1:14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 s="245">
        <v>8</v>
      </c>
      <c r="J3">
        <v>9</v>
      </c>
    </row>
    <row r="4" spans="1:14" ht="12.95" customHeight="1">
      <c r="A4" s="123"/>
      <c r="B4" s="124"/>
      <c r="C4" s="124"/>
      <c r="D4" s="903" t="s">
        <v>1770</v>
      </c>
      <c r="E4" s="903"/>
      <c r="F4" s="903"/>
      <c r="G4" s="903"/>
      <c r="H4" s="904"/>
      <c r="I4" s="246"/>
      <c r="J4" s="590"/>
    </row>
    <row r="5" spans="1:14" ht="30">
      <c r="C5" s="224"/>
      <c r="D5" s="453"/>
      <c r="E5" s="447"/>
      <c r="F5" s="100"/>
      <c r="I5" s="249" t="s">
        <v>1793</v>
      </c>
      <c r="J5" s="803"/>
      <c r="K5" s="590"/>
    </row>
    <row r="6" spans="1:14" ht="25.5">
      <c r="B6" t="s">
        <v>592</v>
      </c>
      <c r="C6" t="s">
        <v>593</v>
      </c>
      <c r="D6" s="130" t="s">
        <v>647</v>
      </c>
      <c r="E6" s="299" t="s">
        <v>745</v>
      </c>
      <c r="F6" s="300" t="s">
        <v>720</v>
      </c>
      <c r="G6" s="800" t="s">
        <v>1676</v>
      </c>
      <c r="H6" s="56" t="s">
        <v>643</v>
      </c>
      <c r="I6" s="247" t="s">
        <v>646</v>
      </c>
      <c r="J6" s="808" t="s">
        <v>1702</v>
      </c>
    </row>
    <row r="7" spans="1:14">
      <c r="C7" t="s">
        <v>620</v>
      </c>
      <c r="D7" s="130">
        <f>SUM(D8:D324)</f>
        <v>126347.76999999996</v>
      </c>
      <c r="E7" s="130">
        <f>SUM(E8:E324)</f>
        <v>783</v>
      </c>
      <c r="F7" s="130">
        <f>SUM(F8:F324)</f>
        <v>3953.1300000000006</v>
      </c>
      <c r="G7" s="130">
        <f>SUM(G8:G324)</f>
        <v>50</v>
      </c>
      <c r="H7" s="130"/>
      <c r="I7" s="248">
        <f>SUM(I8:I324)</f>
        <v>131033.89999999998</v>
      </c>
      <c r="J7">
        <f>SUM(J8:J320)</f>
        <v>1</v>
      </c>
      <c r="L7" s="89"/>
    </row>
    <row r="8" spans="1:14" ht="15">
      <c r="B8" s="839" t="s">
        <v>132</v>
      </c>
      <c r="C8" s="850" t="s">
        <v>1429</v>
      </c>
      <c r="D8" s="128">
        <f>VLOOKUP(B8,'TBIP Enroll'!$A:$C,3,FALSE)</f>
        <v>392.66</v>
      </c>
      <c r="E8" s="454">
        <v>16</v>
      </c>
      <c r="F8" s="454">
        <f>IFERROR(VLOOKUP(B8,'Native American'!$A:$C,3,FALSE),0)</f>
        <v>28.17</v>
      </c>
      <c r="G8" s="99">
        <v>0</v>
      </c>
      <c r="H8" s="57"/>
      <c r="I8" s="491">
        <f>IF(D8+E8+F8-G8&lt;0,0,D8+E8+F8-G8)</f>
        <v>436.83000000000004</v>
      </c>
      <c r="J8">
        <v>0</v>
      </c>
      <c r="L8" s="89"/>
      <c r="N8" s="784"/>
    </row>
    <row r="9" spans="1:14" ht="15">
      <c r="B9" s="839" t="s">
        <v>262</v>
      </c>
      <c r="C9" s="850" t="s">
        <v>1485</v>
      </c>
      <c r="D9" s="128">
        <f>VLOOKUP(B9,'TBIP Enroll'!$A:$C,3,FALSE)</f>
        <v>0</v>
      </c>
      <c r="E9" s="454">
        <v>0</v>
      </c>
      <c r="F9" s="454">
        <f>IFERROR(VLOOKUP(B9,'Native American'!$A:$C,3,FALSE),0)</f>
        <v>0</v>
      </c>
      <c r="G9" s="99">
        <v>0</v>
      </c>
      <c r="H9" s="57"/>
      <c r="I9" s="491">
        <f t="shared" ref="I9:I72" si="0">IF(D9+E9+F9-G9&lt;0,0,D9+E9+F9-G9)</f>
        <v>0</v>
      </c>
      <c r="J9">
        <v>0</v>
      </c>
      <c r="L9" s="89"/>
      <c r="N9" s="784"/>
    </row>
    <row r="10" spans="1:14" ht="15">
      <c r="B10" s="839" t="s">
        <v>283</v>
      </c>
      <c r="C10" s="850" t="s">
        <v>1495</v>
      </c>
      <c r="D10" s="128">
        <f>VLOOKUP(B10,'TBIP Enroll'!$A:$C,3,FALSE)</f>
        <v>0</v>
      </c>
      <c r="E10" s="454">
        <v>0</v>
      </c>
      <c r="F10" s="454">
        <f>IFERROR(VLOOKUP(B10,'Native American'!$A:$C,3,FALSE),0)</f>
        <v>0</v>
      </c>
      <c r="G10" s="99">
        <v>0</v>
      </c>
      <c r="I10" s="491">
        <f t="shared" si="0"/>
        <v>0</v>
      </c>
      <c r="J10">
        <v>0</v>
      </c>
      <c r="L10" s="89"/>
      <c r="N10" s="784"/>
    </row>
    <row r="11" spans="1:14" ht="15">
      <c r="B11" s="839" t="s">
        <v>380</v>
      </c>
      <c r="C11" s="850" t="s">
        <v>1541</v>
      </c>
      <c r="D11" s="128">
        <f>VLOOKUP(B11,'TBIP Enroll'!$A:$C,3,FALSE)</f>
        <v>48.67</v>
      </c>
      <c r="E11" s="454">
        <v>0</v>
      </c>
      <c r="F11" s="454">
        <f>IFERROR(VLOOKUP(B11,'Native American'!$A:$C,3,FALSE),0)</f>
        <v>0</v>
      </c>
      <c r="G11" s="99">
        <v>0</v>
      </c>
      <c r="I11" s="491">
        <f t="shared" si="0"/>
        <v>48.67</v>
      </c>
      <c r="J11">
        <v>0</v>
      </c>
      <c r="L11" s="89"/>
      <c r="N11" s="785"/>
    </row>
    <row r="12" spans="1:14" ht="15">
      <c r="B12" s="839" t="s">
        <v>403</v>
      </c>
      <c r="C12" s="850" t="s">
        <v>1552</v>
      </c>
      <c r="D12" s="128">
        <f>VLOOKUP(B12,'TBIP Enroll'!$A:$C,3,FALSE)</f>
        <v>268.33999999999997</v>
      </c>
      <c r="E12" s="454">
        <v>0</v>
      </c>
      <c r="F12" s="454">
        <f>IFERROR(VLOOKUP(B12,'Native American'!$A:$C,3,FALSE),0)</f>
        <v>9.33</v>
      </c>
      <c r="G12" s="99">
        <v>1</v>
      </c>
      <c r="H12" s="57"/>
      <c r="I12" s="491">
        <f t="shared" si="0"/>
        <v>276.66999999999996</v>
      </c>
      <c r="J12">
        <v>0</v>
      </c>
      <c r="L12" s="89"/>
      <c r="N12" s="784"/>
    </row>
    <row r="13" spans="1:14" ht="15">
      <c r="B13" s="839" t="s">
        <v>12</v>
      </c>
      <c r="C13" s="850" t="s">
        <v>1374</v>
      </c>
      <c r="D13" s="128">
        <f>VLOOKUP(B13,'TBIP Enroll'!$A:$C,3,FALSE)</f>
        <v>0</v>
      </c>
      <c r="E13" s="454">
        <v>0</v>
      </c>
      <c r="F13" s="454">
        <f>IFERROR(VLOOKUP(B13,'Native American'!$A:$C,3,FALSE),0)</f>
        <v>0</v>
      </c>
      <c r="G13" s="99">
        <v>0</v>
      </c>
      <c r="I13" s="491">
        <f t="shared" si="0"/>
        <v>0</v>
      </c>
      <c r="J13">
        <v>0</v>
      </c>
      <c r="L13" s="89"/>
      <c r="N13" s="784"/>
    </row>
    <row r="14" spans="1:14" ht="15">
      <c r="B14" s="839" t="s">
        <v>195</v>
      </c>
      <c r="C14" s="850" t="s">
        <v>1362</v>
      </c>
      <c r="D14" s="128">
        <f>VLOOKUP(B14,'TBIP Enroll'!$A:$C,3,FALSE)</f>
        <v>3655.5</v>
      </c>
      <c r="E14" s="454">
        <v>0</v>
      </c>
      <c r="F14" s="454">
        <f>IFERROR(VLOOKUP(B14,'Native American'!$A:$C,3,FALSE),0)</f>
        <v>19</v>
      </c>
      <c r="G14" s="99">
        <v>0</v>
      </c>
      <c r="H14" s="57"/>
      <c r="I14" s="491">
        <f t="shared" si="0"/>
        <v>3674.5</v>
      </c>
      <c r="J14">
        <v>0</v>
      </c>
      <c r="L14" s="89"/>
      <c r="N14" s="784"/>
    </row>
    <row r="15" spans="1:14" ht="15">
      <c r="B15" s="839" t="s">
        <v>213</v>
      </c>
      <c r="C15" s="850" t="s">
        <v>1463</v>
      </c>
      <c r="D15" s="128">
        <f>VLOOKUP(B15,'TBIP Enroll'!$A:$C,3,FALSE)</f>
        <v>48.17</v>
      </c>
      <c r="E15" s="454">
        <v>0</v>
      </c>
      <c r="F15" s="454">
        <f>IFERROR(VLOOKUP(B15,'Native American'!$A:$C,3,FALSE),0)</f>
        <v>0</v>
      </c>
      <c r="G15" s="99">
        <v>0</v>
      </c>
      <c r="I15" s="491">
        <f t="shared" si="0"/>
        <v>48.17</v>
      </c>
      <c r="J15">
        <v>0</v>
      </c>
      <c r="L15" s="89"/>
      <c r="N15" s="784"/>
    </row>
    <row r="16" spans="1:14" ht="15">
      <c r="B16" s="839" t="s">
        <v>62</v>
      </c>
      <c r="C16" s="850" t="s">
        <v>1396</v>
      </c>
      <c r="D16" s="128">
        <f>VLOOKUP(B16,'TBIP Enroll'!$A:$C,3,FALSE)</f>
        <v>755.17</v>
      </c>
      <c r="E16" s="454">
        <v>33</v>
      </c>
      <c r="F16" s="454">
        <f>IFERROR(VLOOKUP(B16,'Native American'!$A:$C,3,FALSE),0)</f>
        <v>17.5</v>
      </c>
      <c r="G16" s="99">
        <v>2</v>
      </c>
      <c r="H16" s="57"/>
      <c r="I16" s="491">
        <f t="shared" si="0"/>
        <v>803.67</v>
      </c>
      <c r="J16">
        <v>0</v>
      </c>
      <c r="L16" s="89"/>
      <c r="N16" s="784"/>
    </row>
    <row r="17" spans="2:14" ht="15">
      <c r="B17" s="839" t="s">
        <v>189</v>
      </c>
      <c r="C17" s="850" t="s">
        <v>1455</v>
      </c>
      <c r="D17" s="128">
        <f>VLOOKUP(B17,'TBIP Enroll'!$A:$C,3,FALSE)</f>
        <v>2999.5</v>
      </c>
      <c r="E17" s="454">
        <v>91</v>
      </c>
      <c r="F17" s="454">
        <f>IFERROR(VLOOKUP(B17,'Native American'!$A:$C,3,FALSE),0)</f>
        <v>0</v>
      </c>
      <c r="G17" s="99">
        <v>0</v>
      </c>
      <c r="H17" s="57"/>
      <c r="I17" s="491">
        <f t="shared" si="0"/>
        <v>3090.5</v>
      </c>
      <c r="J17">
        <v>0</v>
      </c>
      <c r="L17" s="89"/>
      <c r="N17" s="784"/>
    </row>
    <row r="18" spans="2:14" ht="15">
      <c r="B18" s="839" t="s">
        <v>504</v>
      </c>
      <c r="C18" s="850" t="s">
        <v>628</v>
      </c>
      <c r="D18" s="128">
        <f>VLOOKUP(B18,'TBIP Enroll'!$A:$C,3,FALSE)</f>
        <v>805.34</v>
      </c>
      <c r="E18" s="454">
        <v>45</v>
      </c>
      <c r="F18" s="454">
        <f>IFERROR(VLOOKUP(B18,'Native American'!$A:$C,3,FALSE),0)</f>
        <v>13</v>
      </c>
      <c r="G18" s="99">
        <v>0</v>
      </c>
      <c r="H18" s="57"/>
      <c r="I18" s="491">
        <f t="shared" si="0"/>
        <v>863.34</v>
      </c>
      <c r="J18">
        <v>0</v>
      </c>
      <c r="L18" s="89"/>
      <c r="N18" s="784"/>
    </row>
    <row r="19" spans="2:14" ht="15">
      <c r="B19" s="839" t="s">
        <v>2</v>
      </c>
      <c r="C19" s="850" t="s">
        <v>1370</v>
      </c>
      <c r="D19" s="128">
        <f>VLOOKUP(B19,'TBIP Enroll'!$A:$C,3,FALSE)</f>
        <v>0</v>
      </c>
      <c r="E19" s="454">
        <v>0</v>
      </c>
      <c r="F19" s="454">
        <f>IFERROR(VLOOKUP(B19,'Native American'!$A:$C,3,FALSE),0)</f>
        <v>0</v>
      </c>
      <c r="G19" s="99">
        <v>0</v>
      </c>
      <c r="I19" s="491">
        <f t="shared" si="0"/>
        <v>0</v>
      </c>
      <c r="J19">
        <v>0</v>
      </c>
      <c r="L19" s="89"/>
      <c r="N19" s="784"/>
    </row>
    <row r="20" spans="2:14" ht="15">
      <c r="B20" s="839" t="s">
        <v>363</v>
      </c>
      <c r="C20" s="850" t="s">
        <v>1531</v>
      </c>
      <c r="D20" s="128">
        <f>VLOOKUP(B20,'TBIP Enroll'!$A:$C,3,FALSE)</f>
        <v>1087.33</v>
      </c>
      <c r="E20" s="454">
        <v>0</v>
      </c>
      <c r="F20" s="454">
        <f>IFERROR(VLOOKUP(B20,'Native American'!$A:$C,3,FALSE),0)</f>
        <v>5</v>
      </c>
      <c r="G20" s="99">
        <v>0</v>
      </c>
      <c r="H20" s="57"/>
      <c r="I20" s="491">
        <f t="shared" si="0"/>
        <v>1092.33</v>
      </c>
      <c r="J20">
        <v>0</v>
      </c>
      <c r="L20" s="89"/>
      <c r="N20" s="784"/>
    </row>
    <row r="21" spans="2:14" ht="15">
      <c r="B21" s="839" t="s">
        <v>234</v>
      </c>
      <c r="C21" s="850" t="s">
        <v>1473</v>
      </c>
      <c r="D21" s="128">
        <f>VLOOKUP(B21,'TBIP Enroll'!$A:$C,3,FALSE)</f>
        <v>0</v>
      </c>
      <c r="E21" s="454">
        <v>0</v>
      </c>
      <c r="F21" s="454">
        <f>IFERROR(VLOOKUP(B21,'Native American'!$A:$C,3,FALSE),0)</f>
        <v>0</v>
      </c>
      <c r="G21" s="99">
        <v>0</v>
      </c>
      <c r="H21" s="57"/>
      <c r="I21" s="491">
        <f t="shared" si="0"/>
        <v>0</v>
      </c>
      <c r="J21">
        <v>0</v>
      </c>
      <c r="L21" s="89"/>
      <c r="N21" s="784"/>
    </row>
    <row r="22" spans="2:14" ht="15">
      <c r="B22" s="839" t="s">
        <v>508</v>
      </c>
      <c r="C22" s="850" t="s">
        <v>1603</v>
      </c>
      <c r="D22" s="128">
        <f>VLOOKUP(B22,'TBIP Enroll'!$A:$C,3,FALSE)</f>
        <v>90.66</v>
      </c>
      <c r="E22" s="454">
        <v>0</v>
      </c>
      <c r="F22" s="454">
        <f>IFERROR(VLOOKUP(B22,'Native American'!$A:$C,3,FALSE),0)</f>
        <v>7</v>
      </c>
      <c r="G22" s="99">
        <v>0</v>
      </c>
      <c r="I22" s="491">
        <f t="shared" si="0"/>
        <v>97.66</v>
      </c>
      <c r="J22">
        <v>0</v>
      </c>
      <c r="L22" s="89"/>
    </row>
    <row r="23" spans="2:14" ht="15">
      <c r="B23" s="839" t="s">
        <v>266</v>
      </c>
      <c r="C23" s="850" t="s">
        <v>1487</v>
      </c>
      <c r="D23" s="128">
        <f>VLOOKUP(B23,'TBIP Enroll'!$A:$C,3,FALSE)</f>
        <v>5.16</v>
      </c>
      <c r="E23" s="454">
        <v>0</v>
      </c>
      <c r="F23" s="454">
        <f>IFERROR(VLOOKUP(B23,'Native American'!$A:$C,3,FALSE),0)</f>
        <v>0</v>
      </c>
      <c r="G23" s="99">
        <v>0</v>
      </c>
      <c r="H23" s="57"/>
      <c r="I23" s="491">
        <f t="shared" si="0"/>
        <v>5.16</v>
      </c>
      <c r="J23">
        <v>0</v>
      </c>
      <c r="L23" s="89"/>
    </row>
    <row r="24" spans="2:14" ht="15">
      <c r="B24" s="839" t="s">
        <v>211</v>
      </c>
      <c r="C24" s="850" t="s">
        <v>1462</v>
      </c>
      <c r="D24" s="128">
        <f>VLOOKUP(B24,'TBIP Enroll'!$A:$C,3,FALSE)</f>
        <v>443.84</v>
      </c>
      <c r="E24" s="454">
        <v>9</v>
      </c>
      <c r="F24" s="454">
        <f>IFERROR(VLOOKUP(B24,'Native American'!$A:$C,3,FALSE),0)</f>
        <v>4.83</v>
      </c>
      <c r="G24" s="99">
        <v>0</v>
      </c>
      <c r="I24" s="491">
        <f t="shared" si="0"/>
        <v>457.66999999999996</v>
      </c>
      <c r="J24">
        <v>0</v>
      </c>
      <c r="L24" s="89"/>
    </row>
    <row r="25" spans="2:14" ht="15">
      <c r="B25" s="839" t="s">
        <v>315</v>
      </c>
      <c r="C25" s="850" t="s">
        <v>1510</v>
      </c>
      <c r="D25" s="128">
        <f>VLOOKUP(B25,'TBIP Enroll'!$A:$C,3,FALSE)</f>
        <v>346.66</v>
      </c>
      <c r="E25" s="454">
        <v>0</v>
      </c>
      <c r="F25" s="454">
        <f>IFERROR(VLOOKUP(B25,'Native American'!$A:$C,3,FALSE),0)</f>
        <v>0</v>
      </c>
      <c r="G25" s="99">
        <v>0</v>
      </c>
      <c r="I25" s="491">
        <f t="shared" si="0"/>
        <v>346.66</v>
      </c>
      <c r="J25">
        <v>0</v>
      </c>
      <c r="L25" s="89"/>
    </row>
    <row r="26" spans="2:14" ht="15">
      <c r="B26" s="839" t="s">
        <v>84</v>
      </c>
      <c r="C26" s="850" t="s">
        <v>1406</v>
      </c>
      <c r="D26" s="128">
        <f>VLOOKUP(B26,'TBIP Enroll'!$A:$C,3,FALSE)</f>
        <v>378.5</v>
      </c>
      <c r="E26" s="454">
        <v>0</v>
      </c>
      <c r="F26" s="454">
        <f>IFERROR(VLOOKUP(B26,'Native American'!$A:$C,3,FALSE),0)</f>
        <v>0</v>
      </c>
      <c r="G26" s="99">
        <v>0</v>
      </c>
      <c r="H26" s="57"/>
      <c r="I26" s="491">
        <f t="shared" si="0"/>
        <v>378.5</v>
      </c>
      <c r="J26">
        <v>0</v>
      </c>
      <c r="L26" s="89"/>
    </row>
    <row r="27" spans="2:14" ht="15">
      <c r="B27" s="839" t="s">
        <v>165</v>
      </c>
      <c r="C27" s="850" t="s">
        <v>1444</v>
      </c>
      <c r="D27" s="128">
        <f>VLOOKUP(B27,'TBIP Enroll'!$A:$C,3,FALSE)</f>
        <v>0</v>
      </c>
      <c r="E27" s="454">
        <v>0</v>
      </c>
      <c r="F27" s="454">
        <f>IFERROR(VLOOKUP(B27,'Native American'!$A:$C,3,FALSE),0)</f>
        <v>0</v>
      </c>
      <c r="G27" s="99">
        <v>0</v>
      </c>
      <c r="I27" s="491">
        <f t="shared" si="0"/>
        <v>0</v>
      </c>
      <c r="J27">
        <v>0</v>
      </c>
      <c r="L27" s="89"/>
    </row>
    <row r="28" spans="2:14" ht="15">
      <c r="B28" s="839" t="s">
        <v>378</v>
      </c>
      <c r="C28" s="850" t="s">
        <v>629</v>
      </c>
      <c r="D28" s="128">
        <f>VLOOKUP(B28,'TBIP Enroll'!$A:$C,3,FALSE)</f>
        <v>723.66</v>
      </c>
      <c r="E28" s="454">
        <v>0</v>
      </c>
      <c r="F28" s="454">
        <f>IFERROR(VLOOKUP(B28,'Native American'!$A:$C,3,FALSE),0)</f>
        <v>6</v>
      </c>
      <c r="G28" s="99">
        <v>0</v>
      </c>
      <c r="I28" s="491">
        <f t="shared" si="0"/>
        <v>729.66</v>
      </c>
      <c r="J28">
        <v>0</v>
      </c>
      <c r="L28" s="89"/>
    </row>
    <row r="29" spans="2:14" ht="15">
      <c r="B29" s="839" t="s">
        <v>60</v>
      </c>
      <c r="C29" s="850" t="s">
        <v>1395</v>
      </c>
      <c r="D29" s="128">
        <f>VLOOKUP(B29,'TBIP Enroll'!$A:$C,3,FALSE)</f>
        <v>188</v>
      </c>
      <c r="E29" s="454">
        <v>4</v>
      </c>
      <c r="F29" s="454">
        <f>IFERROR(VLOOKUP(B29,'Native American'!$A:$C,3,FALSE),0)</f>
        <v>2.83</v>
      </c>
      <c r="G29" s="99">
        <v>1</v>
      </c>
      <c r="H29" s="57"/>
      <c r="I29" s="491">
        <f t="shared" si="0"/>
        <v>193.83</v>
      </c>
      <c r="J29">
        <v>0</v>
      </c>
      <c r="L29" s="89"/>
    </row>
    <row r="30" spans="2:14" ht="15">
      <c r="B30" s="839" t="s">
        <v>45</v>
      </c>
      <c r="C30" s="850" t="s">
        <v>1388</v>
      </c>
      <c r="D30" s="128">
        <f>VLOOKUP(B30,'TBIP Enroll'!$A:$C,3,FALSE)</f>
        <v>0</v>
      </c>
      <c r="E30" s="454">
        <v>0</v>
      </c>
      <c r="F30" s="454">
        <f>IFERROR(VLOOKUP(B30,'Native American'!$A:$C,3,FALSE),0)</f>
        <v>0</v>
      </c>
      <c r="G30" s="99">
        <v>0</v>
      </c>
      <c r="I30" s="491">
        <f t="shared" si="0"/>
        <v>0</v>
      </c>
      <c r="J30">
        <v>0</v>
      </c>
      <c r="L30" s="89"/>
    </row>
    <row r="31" spans="2:14" ht="15">
      <c r="B31" s="839" t="s">
        <v>347</v>
      </c>
      <c r="C31" s="850" t="s">
        <v>1525</v>
      </c>
      <c r="D31" s="128">
        <f>VLOOKUP(B31,'TBIP Enroll'!$A:$C,3,FALSE)</f>
        <v>0</v>
      </c>
      <c r="E31" s="454">
        <v>0</v>
      </c>
      <c r="F31" s="454">
        <f>IFERROR(VLOOKUP(B31,'Native American'!$A:$C,3,FALSE),0)</f>
        <v>0</v>
      </c>
      <c r="G31" s="99">
        <v>0</v>
      </c>
      <c r="I31" s="491">
        <f t="shared" si="0"/>
        <v>0</v>
      </c>
      <c r="J31">
        <v>0</v>
      </c>
      <c r="L31" s="89"/>
    </row>
    <row r="32" spans="2:14" ht="15">
      <c r="B32" s="839" t="s">
        <v>35</v>
      </c>
      <c r="C32" s="850" t="s">
        <v>1383</v>
      </c>
      <c r="D32" s="128">
        <f>VLOOKUP(B32,'TBIP Enroll'!$A:$C,3,FALSE)</f>
        <v>145.33000000000001</v>
      </c>
      <c r="E32" s="454">
        <v>0</v>
      </c>
      <c r="F32" s="454">
        <f>IFERROR(VLOOKUP(B32,'Native American'!$A:$C,3,FALSE),0)</f>
        <v>0</v>
      </c>
      <c r="G32" s="99">
        <v>1</v>
      </c>
      <c r="H32" s="57"/>
      <c r="I32" s="491">
        <f t="shared" si="0"/>
        <v>144.33000000000001</v>
      </c>
      <c r="J32">
        <v>0</v>
      </c>
      <c r="L32" s="89"/>
    </row>
    <row r="33" spans="2:12" ht="15">
      <c r="B33" s="839" t="s">
        <v>1751</v>
      </c>
      <c r="C33" s="850" t="s">
        <v>1780</v>
      </c>
      <c r="D33" s="128">
        <f>VLOOKUP(B33,'TBIP Enroll'!$A:$C,3,FALSE)</f>
        <v>0</v>
      </c>
      <c r="E33" s="454">
        <v>0</v>
      </c>
      <c r="F33" s="454">
        <f>IFERROR(VLOOKUP(B33,'Native American'!$A:$C,3,FALSE),0)</f>
        <v>0</v>
      </c>
      <c r="G33" s="99">
        <v>0</v>
      </c>
      <c r="H33" s="57"/>
      <c r="I33" s="491">
        <f t="shared" si="0"/>
        <v>0</v>
      </c>
      <c r="J33">
        <v>0</v>
      </c>
      <c r="L33" s="89"/>
    </row>
    <row r="34" spans="2:12" ht="15">
      <c r="B34" s="839" t="s">
        <v>33</v>
      </c>
      <c r="C34" s="850" t="s">
        <v>878</v>
      </c>
      <c r="D34" s="128">
        <f>VLOOKUP(B34,'TBIP Enroll'!$A:$C,3,FALSE)</f>
        <v>208.67</v>
      </c>
      <c r="E34" s="454">
        <v>0</v>
      </c>
      <c r="F34" s="454">
        <f>IFERROR(VLOOKUP(B34,'Native American'!$A:$C,3,FALSE),0)</f>
        <v>0</v>
      </c>
      <c r="G34" s="99">
        <v>0</v>
      </c>
      <c r="H34" s="57"/>
      <c r="I34" s="491">
        <f t="shared" si="0"/>
        <v>208.67</v>
      </c>
      <c r="J34">
        <v>0</v>
      </c>
      <c r="L34" s="89"/>
    </row>
    <row r="35" spans="2:12" ht="15">
      <c r="B35" s="839" t="s">
        <v>74</v>
      </c>
      <c r="C35" s="850" t="s">
        <v>1401</v>
      </c>
      <c r="D35" s="128">
        <f>VLOOKUP(B35,'TBIP Enroll'!$A:$C,3,FALSE)</f>
        <v>25</v>
      </c>
      <c r="E35" s="454">
        <v>0</v>
      </c>
      <c r="F35" s="454">
        <f>IFERROR(VLOOKUP(B35,'Native American'!$A:$C,3,FALSE),0)</f>
        <v>0</v>
      </c>
      <c r="G35" s="99">
        <v>0</v>
      </c>
      <c r="I35" s="491">
        <f t="shared" si="0"/>
        <v>25</v>
      </c>
      <c r="J35">
        <v>0</v>
      </c>
      <c r="L35" s="89"/>
    </row>
    <row r="36" spans="2:12" ht="15">
      <c r="B36" s="839" t="s">
        <v>1753</v>
      </c>
      <c r="C36" s="850" t="s">
        <v>1781</v>
      </c>
      <c r="D36" s="128">
        <f>VLOOKUP(B36,'TBIP Enroll'!$A:$C,3,FALSE)</f>
        <v>5</v>
      </c>
      <c r="E36" s="454">
        <v>0</v>
      </c>
      <c r="F36" s="454">
        <f>IFERROR(VLOOKUP(B36,'Native American'!$A:$C,3,FALSE),0)</f>
        <v>0</v>
      </c>
      <c r="G36" s="99">
        <v>0</v>
      </c>
      <c r="I36" s="491">
        <f t="shared" si="0"/>
        <v>5</v>
      </c>
      <c r="J36">
        <v>0</v>
      </c>
      <c r="L36" s="89"/>
    </row>
    <row r="37" spans="2:12" ht="15">
      <c r="B37" s="839" t="s">
        <v>236</v>
      </c>
      <c r="C37" s="850" t="s">
        <v>1474</v>
      </c>
      <c r="D37" s="128">
        <f>VLOOKUP(B37,'TBIP Enroll'!$A:$C,3,FALSE)</f>
        <v>0</v>
      </c>
      <c r="E37" s="454">
        <v>0</v>
      </c>
      <c r="F37" s="454">
        <f>IFERROR(VLOOKUP(B37,'Native American'!$A:$C,3,FALSE),0)</f>
        <v>0</v>
      </c>
      <c r="G37" s="99">
        <v>0</v>
      </c>
      <c r="I37" s="491">
        <f t="shared" si="0"/>
        <v>0</v>
      </c>
      <c r="J37">
        <v>0</v>
      </c>
      <c r="L37" s="89"/>
    </row>
    <row r="38" spans="2:12" ht="15">
      <c r="B38" s="839" t="s">
        <v>216</v>
      </c>
      <c r="C38" s="850" t="s">
        <v>1464</v>
      </c>
      <c r="D38" s="128">
        <f>VLOOKUP(B38,'TBIP Enroll'!$A:$C,3,FALSE)</f>
        <v>364.17</v>
      </c>
      <c r="E38" s="454">
        <v>0</v>
      </c>
      <c r="F38" s="454">
        <f>IFERROR(VLOOKUP(B38,'Native American'!$A:$C,3,FALSE),0)</f>
        <v>16</v>
      </c>
      <c r="G38" s="99">
        <v>0</v>
      </c>
      <c r="I38" s="491">
        <f t="shared" si="0"/>
        <v>380.17</v>
      </c>
      <c r="J38">
        <v>0</v>
      </c>
      <c r="L38" s="89"/>
    </row>
    <row r="39" spans="2:12" ht="15">
      <c r="B39" s="839" t="s">
        <v>434</v>
      </c>
      <c r="C39" s="850" t="s">
        <v>1568</v>
      </c>
      <c r="D39" s="128">
        <f>VLOOKUP(B39,'TBIP Enroll'!$A:$C,3,FALSE)</f>
        <v>481.67</v>
      </c>
      <c r="E39" s="454">
        <v>22</v>
      </c>
      <c r="F39" s="454">
        <f>IFERROR(VLOOKUP(B39,'Native American'!$A:$C,3,FALSE),0)</f>
        <v>7</v>
      </c>
      <c r="G39" s="99">
        <v>0</v>
      </c>
      <c r="I39" s="491">
        <f t="shared" si="0"/>
        <v>510.67</v>
      </c>
      <c r="J39">
        <v>0</v>
      </c>
      <c r="L39" s="89"/>
    </row>
    <row r="40" spans="2:12" ht="15">
      <c r="B40" s="839" t="s">
        <v>278</v>
      </c>
      <c r="C40" s="850" t="s">
        <v>622</v>
      </c>
      <c r="D40" s="128">
        <f>VLOOKUP(B40,'TBIP Enroll'!$A:$C,3,FALSE)</f>
        <v>439</v>
      </c>
      <c r="E40" s="454">
        <v>0</v>
      </c>
      <c r="F40" s="454">
        <f>IFERROR(VLOOKUP(B40,'Native American'!$A:$C,3,FALSE),0)</f>
        <v>0</v>
      </c>
      <c r="G40" s="99">
        <v>0</v>
      </c>
      <c r="H40" s="57"/>
      <c r="I40" s="491">
        <f t="shared" si="0"/>
        <v>439</v>
      </c>
      <c r="J40">
        <v>0</v>
      </c>
      <c r="L40" s="89"/>
    </row>
    <row r="41" spans="2:12" ht="15">
      <c r="B41" s="839" t="s">
        <v>274</v>
      </c>
      <c r="C41" s="850" t="s">
        <v>1491</v>
      </c>
      <c r="D41" s="128">
        <f>VLOOKUP(B41,'TBIP Enroll'!$A:$C,3,FALSE)</f>
        <v>116.67</v>
      </c>
      <c r="E41" s="454">
        <v>0</v>
      </c>
      <c r="F41" s="454">
        <f>IFERROR(VLOOKUP(B41,'Native American'!$A:$C,3,FALSE),0)</f>
        <v>0</v>
      </c>
      <c r="G41" s="99">
        <v>0</v>
      </c>
      <c r="H41" s="58"/>
      <c r="I41" s="491">
        <f t="shared" si="0"/>
        <v>116.67</v>
      </c>
      <c r="J41">
        <v>0</v>
      </c>
      <c r="L41" s="89"/>
    </row>
    <row r="42" spans="2:12" ht="15">
      <c r="B42" s="839" t="s">
        <v>438</v>
      </c>
      <c r="C42" s="850" t="s">
        <v>1570</v>
      </c>
      <c r="D42" s="128">
        <f>VLOOKUP(B42,'TBIP Enroll'!$A:$C,3,FALSE)</f>
        <v>202.83</v>
      </c>
      <c r="E42" s="454">
        <v>0</v>
      </c>
      <c r="F42" s="454">
        <f>IFERROR(VLOOKUP(B42,'Native American'!$A:$C,3,FALSE),0)</f>
        <v>0</v>
      </c>
      <c r="G42" s="99">
        <v>0</v>
      </c>
      <c r="H42" s="57"/>
      <c r="I42" s="491">
        <f t="shared" si="0"/>
        <v>202.83</v>
      </c>
      <c r="J42">
        <v>0</v>
      </c>
      <c r="L42" s="89"/>
    </row>
    <row r="43" spans="2:12" ht="15">
      <c r="B43" s="839" t="s">
        <v>450</v>
      </c>
      <c r="C43" s="850" t="s">
        <v>1577</v>
      </c>
      <c r="D43" s="128">
        <f>VLOOKUP(B43,'TBIP Enroll'!$A:$C,3,FALSE)</f>
        <v>0</v>
      </c>
      <c r="E43" s="454">
        <v>0</v>
      </c>
      <c r="F43" s="454">
        <f>IFERROR(VLOOKUP(B43,'Native American'!$A:$C,3,FALSE),0)</f>
        <v>0</v>
      </c>
      <c r="G43" s="99">
        <v>0</v>
      </c>
      <c r="H43" s="57"/>
      <c r="I43" s="491">
        <f t="shared" si="0"/>
        <v>0</v>
      </c>
      <c r="J43">
        <v>0</v>
      </c>
      <c r="L43" s="89"/>
    </row>
    <row r="44" spans="2:12" ht="15">
      <c r="B44" s="839" t="s">
        <v>169</v>
      </c>
      <c r="C44" s="850" t="s">
        <v>1446</v>
      </c>
      <c r="D44" s="128">
        <f>VLOOKUP(B44,'TBIP Enroll'!$A:$C,3,FALSE)</f>
        <v>11</v>
      </c>
      <c r="E44" s="454">
        <v>0</v>
      </c>
      <c r="F44" s="454">
        <f>IFERROR(VLOOKUP(B44,'Native American'!$A:$C,3,FALSE),0)</f>
        <v>0</v>
      </c>
      <c r="G44" s="99">
        <v>0</v>
      </c>
      <c r="I44" s="491">
        <f t="shared" si="0"/>
        <v>11</v>
      </c>
      <c r="J44">
        <v>0</v>
      </c>
      <c r="L44" s="89"/>
    </row>
    <row r="45" spans="2:12" ht="15">
      <c r="B45" s="839" t="s">
        <v>10</v>
      </c>
      <c r="C45" s="850" t="s">
        <v>1373</v>
      </c>
      <c r="D45" s="128">
        <f>VLOOKUP(B45,'TBIP Enroll'!$A:$C,3,FALSE)</f>
        <v>16.170000000000002</v>
      </c>
      <c r="E45" s="454">
        <v>0</v>
      </c>
      <c r="F45" s="454">
        <f>IFERROR(VLOOKUP(B45,'Native American'!$A:$C,3,FALSE),0)</f>
        <v>0</v>
      </c>
      <c r="G45" s="99">
        <v>0</v>
      </c>
      <c r="H45" s="57"/>
      <c r="I45" s="491">
        <f t="shared" si="0"/>
        <v>16.170000000000002</v>
      </c>
      <c r="J45">
        <v>0</v>
      </c>
      <c r="L45" s="89"/>
    </row>
    <row r="46" spans="2:12" ht="15">
      <c r="B46" s="839" t="s">
        <v>230</v>
      </c>
      <c r="C46" s="850" t="s">
        <v>1471</v>
      </c>
      <c r="D46" s="128">
        <f>VLOOKUP(B46,'TBIP Enroll'!$A:$C,3,FALSE)</f>
        <v>17.329999999999998</v>
      </c>
      <c r="E46" s="454">
        <v>0</v>
      </c>
      <c r="F46" s="454">
        <f>IFERROR(VLOOKUP(B46,'Native American'!$A:$C,3,FALSE),0)</f>
        <v>0</v>
      </c>
      <c r="G46" s="99">
        <v>0</v>
      </c>
      <c r="H46" s="57"/>
      <c r="I46" s="491">
        <f t="shared" si="0"/>
        <v>17.329999999999998</v>
      </c>
      <c r="J46">
        <v>0</v>
      </c>
      <c r="L46" s="89"/>
    </row>
    <row r="47" spans="2:12" ht="15">
      <c r="B47" s="839" t="s">
        <v>357</v>
      </c>
      <c r="C47" s="850" t="s">
        <v>1530</v>
      </c>
      <c r="D47" s="128">
        <f>VLOOKUP(B47,'TBIP Enroll'!$A:$C,3,FALSE)</f>
        <v>1590.5</v>
      </c>
      <c r="E47" s="454">
        <v>37</v>
      </c>
      <c r="F47" s="454">
        <f>IFERROR(VLOOKUP(B47,'Native American'!$A:$C,3,FALSE),0)</f>
        <v>18</v>
      </c>
      <c r="G47" s="99">
        <v>0</v>
      </c>
      <c r="I47" s="491">
        <f t="shared" si="0"/>
        <v>1645.5</v>
      </c>
      <c r="J47">
        <v>0</v>
      </c>
      <c r="L47" s="89"/>
    </row>
    <row r="48" spans="2:12" ht="15">
      <c r="B48" s="839" t="s">
        <v>525</v>
      </c>
      <c r="C48" s="850" t="s">
        <v>1611</v>
      </c>
      <c r="D48" s="128">
        <f>VLOOKUP(B48,'TBIP Enroll'!$A:$C,3,FALSE)</f>
        <v>0</v>
      </c>
      <c r="E48" s="454">
        <v>0</v>
      </c>
      <c r="F48" s="454">
        <f>IFERROR(VLOOKUP(B48,'Native American'!$A:$C,3,FALSE),0)</f>
        <v>0</v>
      </c>
      <c r="G48" s="99">
        <v>0</v>
      </c>
      <c r="H48" s="57"/>
      <c r="I48" s="491">
        <f t="shared" si="0"/>
        <v>0</v>
      </c>
      <c r="J48">
        <v>0</v>
      </c>
      <c r="L48" s="89"/>
    </row>
    <row r="49" spans="2:12" ht="15">
      <c r="B49" s="839" t="s">
        <v>494</v>
      </c>
      <c r="C49" s="850" t="s">
        <v>1597</v>
      </c>
      <c r="D49" s="128">
        <f>VLOOKUP(B49,'TBIP Enroll'!$A:$C,3,FALSE)</f>
        <v>309.16000000000003</v>
      </c>
      <c r="E49" s="454">
        <v>0</v>
      </c>
      <c r="F49" s="454">
        <f>IFERROR(VLOOKUP(B49,'Native American'!$A:$C,3,FALSE),0)</f>
        <v>0</v>
      </c>
      <c r="G49" s="99">
        <v>0</v>
      </c>
      <c r="H49" s="57"/>
      <c r="I49" s="491">
        <f t="shared" si="0"/>
        <v>309.16000000000003</v>
      </c>
      <c r="J49">
        <v>0</v>
      </c>
      <c r="L49" s="89"/>
    </row>
    <row r="50" spans="2:12" ht="15">
      <c r="B50" s="839" t="s">
        <v>533</v>
      </c>
      <c r="C50" s="850" t="s">
        <v>1615</v>
      </c>
      <c r="D50" s="128">
        <f>VLOOKUP(B50,'TBIP Enroll'!$A:$C,3,FALSE)</f>
        <v>0</v>
      </c>
      <c r="E50" s="454">
        <v>0</v>
      </c>
      <c r="F50" s="454">
        <f>IFERROR(VLOOKUP(B50,'Native American'!$A:$C,3,FALSE),0)</f>
        <v>0</v>
      </c>
      <c r="G50" s="99">
        <v>0</v>
      </c>
      <c r="H50" s="57"/>
      <c r="I50" s="491">
        <f t="shared" si="0"/>
        <v>0</v>
      </c>
      <c r="J50">
        <v>0</v>
      </c>
      <c r="L50" s="89"/>
    </row>
    <row r="51" spans="2:12" ht="15">
      <c r="B51" s="839" t="s">
        <v>464</v>
      </c>
      <c r="C51" s="850" t="s">
        <v>1584</v>
      </c>
      <c r="D51" s="128">
        <f>VLOOKUP(B51,'TBIP Enroll'!$A:$C,3,FALSE)</f>
        <v>0</v>
      </c>
      <c r="E51" s="454">
        <v>0</v>
      </c>
      <c r="F51" s="454">
        <f>IFERROR(VLOOKUP(B51,'Native American'!$A:$C,3,FALSE),0)</f>
        <v>0</v>
      </c>
      <c r="G51" s="99">
        <v>0</v>
      </c>
      <c r="H51" s="57"/>
      <c r="I51" s="491">
        <f t="shared" si="0"/>
        <v>0</v>
      </c>
      <c r="J51">
        <v>0</v>
      </c>
      <c r="L51" s="89"/>
    </row>
    <row r="52" spans="2:12" ht="15">
      <c r="B52" s="839" t="s">
        <v>498</v>
      </c>
      <c r="C52" s="850" t="s">
        <v>1599</v>
      </c>
      <c r="D52" s="128">
        <f>VLOOKUP(B52,'TBIP Enroll'!$A:$C,3,FALSE)</f>
        <v>114.17</v>
      </c>
      <c r="E52" s="454">
        <v>0</v>
      </c>
      <c r="F52" s="454">
        <f>IFERROR(VLOOKUP(B52,'Native American'!$A:$C,3,FALSE),0)</f>
        <v>0</v>
      </c>
      <c r="G52" s="99">
        <v>0</v>
      </c>
      <c r="I52" s="491">
        <f t="shared" si="0"/>
        <v>114.17</v>
      </c>
      <c r="J52">
        <v>0</v>
      </c>
      <c r="L52" s="89"/>
    </row>
    <row r="53" spans="2:12" ht="15">
      <c r="B53" s="839" t="s">
        <v>456</v>
      </c>
      <c r="C53" s="850" t="s">
        <v>1580</v>
      </c>
      <c r="D53" s="128">
        <f>VLOOKUP(B53,'TBIP Enroll'!$A:$C,3,FALSE)</f>
        <v>12.67</v>
      </c>
      <c r="E53" s="454">
        <v>0</v>
      </c>
      <c r="F53" s="454">
        <f>IFERROR(VLOOKUP(B53,'Native American'!$A:$C,3,FALSE),0)</f>
        <v>0</v>
      </c>
      <c r="G53" s="99">
        <v>0</v>
      </c>
      <c r="I53" s="491">
        <f t="shared" si="0"/>
        <v>12.67</v>
      </c>
      <c r="J53">
        <v>0</v>
      </c>
      <c r="L53" s="89"/>
    </row>
    <row r="54" spans="2:12" ht="15">
      <c r="B54" s="839" t="s">
        <v>376</v>
      </c>
      <c r="C54" s="850" t="s">
        <v>1540</v>
      </c>
      <c r="D54" s="128">
        <f>VLOOKUP(B54,'TBIP Enroll'!$A:$C,3,FALSE)</f>
        <v>1.67</v>
      </c>
      <c r="E54" s="454">
        <v>0</v>
      </c>
      <c r="F54" s="454">
        <f>IFERROR(VLOOKUP(B54,'Native American'!$A:$C,3,FALSE),0)</f>
        <v>0</v>
      </c>
      <c r="G54" s="99">
        <v>0</v>
      </c>
      <c r="I54" s="491">
        <f t="shared" si="0"/>
        <v>1.67</v>
      </c>
      <c r="J54">
        <v>0</v>
      </c>
      <c r="L54" s="89"/>
    </row>
    <row r="55" spans="2:12" ht="15">
      <c r="B55" s="839" t="s">
        <v>384</v>
      </c>
      <c r="C55" s="850" t="s">
        <v>1543</v>
      </c>
      <c r="D55" s="128">
        <f>VLOOKUP(B55,'TBIP Enroll'!$A:$C,3,FALSE)</f>
        <v>30</v>
      </c>
      <c r="E55" s="454">
        <v>0</v>
      </c>
      <c r="F55" s="454">
        <f>IFERROR(VLOOKUP(B55,'Native American'!$A:$C,3,FALSE),0)</f>
        <v>0</v>
      </c>
      <c r="G55" s="99">
        <v>0</v>
      </c>
      <c r="I55" s="491">
        <f t="shared" si="0"/>
        <v>30</v>
      </c>
      <c r="J55">
        <v>0</v>
      </c>
      <c r="L55" s="89"/>
    </row>
    <row r="56" spans="2:12" ht="15">
      <c r="B56" s="839" t="s">
        <v>147</v>
      </c>
      <c r="C56" s="850" t="s">
        <v>1435</v>
      </c>
      <c r="D56" s="128">
        <f>VLOOKUP(B56,'TBIP Enroll'!$A:$C,3,FALSE)</f>
        <v>3</v>
      </c>
      <c r="E56" s="454">
        <v>0</v>
      </c>
      <c r="F56" s="454">
        <f>IFERROR(VLOOKUP(B56,'Native American'!$A:$C,3,FALSE),0)</f>
        <v>0</v>
      </c>
      <c r="G56" s="99">
        <v>0</v>
      </c>
      <c r="H56" s="57"/>
      <c r="I56" s="491">
        <f t="shared" si="0"/>
        <v>3</v>
      </c>
      <c r="J56">
        <v>0</v>
      </c>
      <c r="L56" s="89"/>
    </row>
    <row r="57" spans="2:12" ht="15">
      <c r="B57" s="839" t="s">
        <v>120</v>
      </c>
      <c r="C57" s="850" t="s">
        <v>1423</v>
      </c>
      <c r="D57" s="128">
        <f>VLOOKUP(B57,'TBIP Enroll'!$A:$C,3,FALSE)</f>
        <v>0</v>
      </c>
      <c r="E57" s="454">
        <v>0</v>
      </c>
      <c r="F57" s="454">
        <f>IFERROR(VLOOKUP(B57,'Native American'!$A:$C,3,FALSE),0)</f>
        <v>0</v>
      </c>
      <c r="G57" s="99">
        <v>0</v>
      </c>
      <c r="I57" s="491">
        <f t="shared" si="0"/>
        <v>0</v>
      </c>
      <c r="J57">
        <v>0</v>
      </c>
      <c r="L57" s="89"/>
    </row>
    <row r="58" spans="2:12" ht="15">
      <c r="B58" s="839" t="s">
        <v>159</v>
      </c>
      <c r="C58" s="850" t="s">
        <v>1441</v>
      </c>
      <c r="D58" s="128">
        <f>VLOOKUP(B58,'TBIP Enroll'!$A:$C,3,FALSE)</f>
        <v>26.5</v>
      </c>
      <c r="E58" s="454">
        <v>0</v>
      </c>
      <c r="F58" s="454">
        <f>IFERROR(VLOOKUP(B58,'Native American'!$A:$C,3,FALSE),0)</f>
        <v>0</v>
      </c>
      <c r="G58" s="99">
        <v>0</v>
      </c>
      <c r="H58" s="57"/>
      <c r="I58" s="491">
        <f t="shared" si="0"/>
        <v>26.5</v>
      </c>
      <c r="J58">
        <v>0</v>
      </c>
      <c r="L58" s="89"/>
    </row>
    <row r="59" spans="2:12" ht="15">
      <c r="B59" s="839" t="s">
        <v>41</v>
      </c>
      <c r="C59" s="850" t="s">
        <v>1386</v>
      </c>
      <c r="D59" s="128">
        <f>VLOOKUP(B59,'TBIP Enroll'!$A:$C,3,FALSE)</f>
        <v>0</v>
      </c>
      <c r="E59" s="454">
        <v>0</v>
      </c>
      <c r="F59" s="454">
        <f>IFERROR(VLOOKUP(B59,'Native American'!$A:$C,3,FALSE),0)</f>
        <v>0</v>
      </c>
      <c r="G59" s="99">
        <v>0</v>
      </c>
      <c r="I59" s="491">
        <f t="shared" si="0"/>
        <v>0</v>
      </c>
      <c r="J59">
        <v>0</v>
      </c>
      <c r="L59" s="89"/>
    </row>
    <row r="60" spans="2:12" ht="15">
      <c r="B60" s="839" t="s">
        <v>285</v>
      </c>
      <c r="C60" s="850" t="s">
        <v>1496</v>
      </c>
      <c r="D60" s="128">
        <f>VLOOKUP(B60,'TBIP Enroll'!$A:$C,3,FALSE)</f>
        <v>0</v>
      </c>
      <c r="E60" s="454">
        <v>0</v>
      </c>
      <c r="F60" s="454">
        <f>IFERROR(VLOOKUP(B60,'Native American'!$A:$C,3,FALSE),0)</f>
        <v>0</v>
      </c>
      <c r="G60" s="99">
        <v>0</v>
      </c>
      <c r="H60" s="57"/>
      <c r="I60" s="491">
        <f t="shared" si="0"/>
        <v>0</v>
      </c>
      <c r="J60">
        <v>0</v>
      </c>
      <c r="L60" s="89"/>
    </row>
    <row r="61" spans="2:12" ht="15">
      <c r="B61" s="839" t="s">
        <v>96</v>
      </c>
      <c r="C61" s="850" t="s">
        <v>1412</v>
      </c>
      <c r="D61" s="128">
        <f>VLOOKUP(B61,'TBIP Enroll'!$A:$C,3,FALSE)</f>
        <v>0</v>
      </c>
      <c r="E61" s="454">
        <v>0</v>
      </c>
      <c r="F61" s="454">
        <f>IFERROR(VLOOKUP(B61,'Native American'!$A:$C,3,FALSE),0)</f>
        <v>0</v>
      </c>
      <c r="G61" s="99">
        <v>0</v>
      </c>
      <c r="H61" s="57"/>
      <c r="I61" s="491">
        <f t="shared" si="0"/>
        <v>0</v>
      </c>
      <c r="J61">
        <v>0</v>
      </c>
      <c r="L61" s="89"/>
    </row>
    <row r="62" spans="2:12" ht="15">
      <c r="B62" s="839" t="s">
        <v>338</v>
      </c>
      <c r="C62" s="850" t="s">
        <v>1520</v>
      </c>
      <c r="D62" s="128">
        <f>VLOOKUP(B62,'TBIP Enroll'!$A:$C,3,FALSE)</f>
        <v>0</v>
      </c>
      <c r="E62" s="454">
        <v>0</v>
      </c>
      <c r="F62" s="454">
        <f>IFERROR(VLOOKUP(B62,'Native American'!$A:$C,3,FALSE),0)</f>
        <v>0</v>
      </c>
      <c r="G62" s="99">
        <v>0</v>
      </c>
      <c r="H62" s="57"/>
      <c r="I62" s="491">
        <f t="shared" si="0"/>
        <v>0</v>
      </c>
      <c r="J62">
        <v>0</v>
      </c>
      <c r="L62" s="89"/>
    </row>
    <row r="63" spans="2:12" ht="15">
      <c r="B63" s="839" t="s">
        <v>220</v>
      </c>
      <c r="C63" s="850" t="s">
        <v>1466</v>
      </c>
      <c r="D63" s="128">
        <f>VLOOKUP(B63,'TBIP Enroll'!$A:$C,3,FALSE)</f>
        <v>0</v>
      </c>
      <c r="E63" s="454">
        <v>0</v>
      </c>
      <c r="F63" s="454">
        <f>IFERROR(VLOOKUP(B63,'Native American'!$A:$C,3,FALSE),0)</f>
        <v>0</v>
      </c>
      <c r="G63" s="99">
        <v>0</v>
      </c>
      <c r="H63" s="57"/>
      <c r="I63" s="491">
        <f t="shared" si="0"/>
        <v>0</v>
      </c>
      <c r="J63">
        <v>0</v>
      </c>
      <c r="L63" s="89"/>
    </row>
    <row r="64" spans="2:12" ht="15">
      <c r="B64" s="839" t="s">
        <v>417</v>
      </c>
      <c r="C64" s="850" t="s">
        <v>1559</v>
      </c>
      <c r="D64" s="128">
        <f>VLOOKUP(B64,'TBIP Enroll'!$A:$C,3,FALSE)</f>
        <v>2</v>
      </c>
      <c r="E64" s="454">
        <v>0</v>
      </c>
      <c r="F64" s="454">
        <f>IFERROR(VLOOKUP(B64,'Native American'!$A:$C,3,FALSE),0)</f>
        <v>0</v>
      </c>
      <c r="G64" s="99">
        <v>0</v>
      </c>
      <c r="I64" s="491">
        <f t="shared" si="0"/>
        <v>2</v>
      </c>
      <c r="J64">
        <v>0</v>
      </c>
      <c r="L64" s="89"/>
    </row>
    <row r="65" spans="2:12" ht="15">
      <c r="B65" s="839" t="s">
        <v>293</v>
      </c>
      <c r="C65" s="850" t="s">
        <v>1500</v>
      </c>
      <c r="D65" s="128">
        <f>VLOOKUP(B65,'TBIP Enroll'!$A:$C,3,FALSE)</f>
        <v>0</v>
      </c>
      <c r="E65" s="454">
        <v>0</v>
      </c>
      <c r="F65" s="454">
        <f>IFERROR(VLOOKUP(B65,'Native American'!$A:$C,3,FALSE),0)</f>
        <v>0</v>
      </c>
      <c r="G65" s="99">
        <v>0</v>
      </c>
      <c r="I65" s="491">
        <f t="shared" si="0"/>
        <v>0</v>
      </c>
      <c r="J65">
        <v>0</v>
      </c>
      <c r="L65" s="89"/>
    </row>
    <row r="66" spans="2:12" ht="15">
      <c r="B66" s="839" t="s">
        <v>66</v>
      </c>
      <c r="C66" s="850" t="s">
        <v>758</v>
      </c>
      <c r="D66" s="128">
        <f>VLOOKUP(B66,'TBIP Enroll'!$A:$C,3,FALSE)</f>
        <v>2</v>
      </c>
      <c r="E66" s="454">
        <v>0</v>
      </c>
      <c r="F66" s="454">
        <f>IFERROR(VLOOKUP(B66,'Native American'!$A:$C,3,FALSE),0)</f>
        <v>0</v>
      </c>
      <c r="G66" s="99">
        <v>0</v>
      </c>
      <c r="H66" s="57"/>
      <c r="I66" s="491">
        <f t="shared" si="0"/>
        <v>2</v>
      </c>
      <c r="J66">
        <v>0</v>
      </c>
      <c r="L66" s="89"/>
    </row>
    <row r="67" spans="2:12" ht="15">
      <c r="B67" s="839" t="s">
        <v>444</v>
      </c>
      <c r="C67" s="850" t="s">
        <v>1574</v>
      </c>
      <c r="D67" s="128">
        <f>VLOOKUP(B67,'TBIP Enroll'!$A:$C,3,FALSE)</f>
        <v>23.5</v>
      </c>
      <c r="E67" s="454">
        <v>0</v>
      </c>
      <c r="F67" s="454">
        <f>IFERROR(VLOOKUP(B67,'Native American'!$A:$C,3,FALSE),0)</f>
        <v>0</v>
      </c>
      <c r="G67" s="99">
        <v>0</v>
      </c>
      <c r="I67" s="491">
        <f t="shared" si="0"/>
        <v>23.5</v>
      </c>
      <c r="J67">
        <v>0</v>
      </c>
      <c r="L67" s="89"/>
    </row>
    <row r="68" spans="2:12" ht="15">
      <c r="B68" s="839" t="s">
        <v>353</v>
      </c>
      <c r="C68" s="850" t="s">
        <v>1528</v>
      </c>
      <c r="D68" s="128">
        <f>VLOOKUP(B68,'TBIP Enroll'!$A:$C,3,FALSE)</f>
        <v>69.34</v>
      </c>
      <c r="E68" s="454">
        <v>0</v>
      </c>
      <c r="F68" s="454">
        <f>IFERROR(VLOOKUP(B68,'Native American'!$A:$C,3,FALSE),0)</f>
        <v>0</v>
      </c>
      <c r="G68" s="99">
        <v>0</v>
      </c>
      <c r="H68" s="57"/>
      <c r="I68" s="491">
        <f t="shared" si="0"/>
        <v>69.34</v>
      </c>
      <c r="J68">
        <v>0</v>
      </c>
      <c r="L68" s="89"/>
    </row>
    <row r="69" spans="2:12" ht="15">
      <c r="B69" s="839" t="s">
        <v>490</v>
      </c>
      <c r="C69" s="850" t="s">
        <v>1596</v>
      </c>
      <c r="D69" s="128">
        <f>VLOOKUP(B69,'TBIP Enroll'!$A:$C,3,FALSE)</f>
        <v>0</v>
      </c>
      <c r="E69" s="454">
        <v>0</v>
      </c>
      <c r="F69" s="454">
        <f>IFERROR(VLOOKUP(B69,'Native American'!$A:$C,3,FALSE),0)</f>
        <v>0</v>
      </c>
      <c r="G69" s="99">
        <v>0</v>
      </c>
      <c r="I69" s="491">
        <f t="shared" si="0"/>
        <v>0</v>
      </c>
      <c r="J69">
        <v>0</v>
      </c>
      <c r="L69" s="89"/>
    </row>
    <row r="70" spans="2:12" ht="15">
      <c r="B70" s="839" t="s">
        <v>440</v>
      </c>
      <c r="C70" s="850" t="s">
        <v>1571</v>
      </c>
      <c r="D70" s="128">
        <f>VLOOKUP(B70,'TBIP Enroll'!$A:$C,3,FALSE)</f>
        <v>100.67</v>
      </c>
      <c r="E70" s="454">
        <v>0</v>
      </c>
      <c r="F70" s="454">
        <f>IFERROR(VLOOKUP(B70,'Native American'!$A:$C,3,FALSE),0)</f>
        <v>4</v>
      </c>
      <c r="G70" s="99">
        <v>0</v>
      </c>
      <c r="H70" s="57"/>
      <c r="I70" s="491">
        <f t="shared" si="0"/>
        <v>104.67</v>
      </c>
      <c r="J70">
        <v>0</v>
      </c>
      <c r="L70" s="89"/>
    </row>
    <row r="71" spans="2:12" ht="15">
      <c r="B71" s="839" t="s">
        <v>549</v>
      </c>
      <c r="C71" s="850" t="s">
        <v>1623</v>
      </c>
      <c r="D71" s="128">
        <f>VLOOKUP(B71,'TBIP Enroll'!$A:$C,3,FALSE)</f>
        <v>344.83</v>
      </c>
      <c r="E71" s="454">
        <v>0</v>
      </c>
      <c r="F71" s="454">
        <f>IFERROR(VLOOKUP(B71,'Native American'!$A:$C,3,FALSE),0)</f>
        <v>0.67</v>
      </c>
      <c r="G71" s="99">
        <v>0</v>
      </c>
      <c r="H71" s="57"/>
      <c r="I71" s="491">
        <f t="shared" si="0"/>
        <v>345.5</v>
      </c>
      <c r="J71">
        <v>0</v>
      </c>
      <c r="L71" s="89"/>
    </row>
    <row r="72" spans="2:12" ht="15">
      <c r="B72" s="839" t="s">
        <v>88</v>
      </c>
      <c r="C72" s="850" t="s">
        <v>1408</v>
      </c>
      <c r="D72" s="128">
        <f>VLOOKUP(B72,'TBIP Enroll'!$A:$C,3,FALSE)</f>
        <v>1028.67</v>
      </c>
      <c r="E72" s="454">
        <v>0</v>
      </c>
      <c r="F72" s="454">
        <f>IFERROR(VLOOKUP(B72,'Native American'!$A:$C,3,FALSE),0)</f>
        <v>0</v>
      </c>
      <c r="G72" s="99">
        <v>0</v>
      </c>
      <c r="H72" s="57"/>
      <c r="I72" s="491">
        <f t="shared" si="0"/>
        <v>1028.67</v>
      </c>
      <c r="J72">
        <v>0</v>
      </c>
      <c r="L72" s="89"/>
    </row>
    <row r="73" spans="2:12" ht="15">
      <c r="B73" s="839" t="s">
        <v>222</v>
      </c>
      <c r="C73" s="850" t="s">
        <v>1467</v>
      </c>
      <c r="D73" s="128">
        <f>VLOOKUP(B73,'TBIP Enroll'!$A:$C,3,FALSE)</f>
        <v>6.67</v>
      </c>
      <c r="E73" s="454">
        <v>0</v>
      </c>
      <c r="F73" s="454">
        <f>IFERROR(VLOOKUP(B73,'Native American'!$A:$C,3,FALSE),0)</f>
        <v>0</v>
      </c>
      <c r="G73" s="99">
        <v>0</v>
      </c>
      <c r="H73" s="57"/>
      <c r="I73" s="491">
        <f t="shared" ref="I73:I135" si="1">IF(D73+E73+F73-G73&lt;0,0,D73+E73+F73-G73)</f>
        <v>6.67</v>
      </c>
      <c r="J73">
        <v>0</v>
      </c>
      <c r="L73" s="89"/>
    </row>
    <row r="74" spans="2:12" ht="15">
      <c r="B74" s="839" t="s">
        <v>365</v>
      </c>
      <c r="C74" s="850" t="s">
        <v>1532</v>
      </c>
      <c r="D74" s="128">
        <f>VLOOKUP(B74,'TBIP Enroll'!$A:$C,3,FALSE)</f>
        <v>14.17</v>
      </c>
      <c r="E74" s="454">
        <v>0</v>
      </c>
      <c r="F74" s="454">
        <f>IFERROR(VLOOKUP(B74,'Native American'!$A:$C,3,FALSE),0)</f>
        <v>0</v>
      </c>
      <c r="G74" s="99">
        <v>0</v>
      </c>
      <c r="H74" s="57"/>
      <c r="I74" s="491">
        <f t="shared" si="1"/>
        <v>14.17</v>
      </c>
      <c r="J74">
        <v>0</v>
      </c>
      <c r="L74" s="89"/>
    </row>
    <row r="75" spans="2:12" ht="15">
      <c r="B75" s="839" t="s">
        <v>401</v>
      </c>
      <c r="C75" s="850" t="s">
        <v>1551</v>
      </c>
      <c r="D75" s="128">
        <f>VLOOKUP(B75,'TBIP Enroll'!$A:$C,3,FALSE)</f>
        <v>3057</v>
      </c>
      <c r="E75" s="454">
        <v>44</v>
      </c>
      <c r="F75" s="454">
        <f>IFERROR(VLOOKUP(B75,'Native American'!$A:$C,3,FALSE),0)</f>
        <v>15.17</v>
      </c>
      <c r="G75" s="99">
        <v>0</v>
      </c>
      <c r="H75" s="57"/>
      <c r="I75" s="491">
        <f t="shared" si="1"/>
        <v>3116.17</v>
      </c>
      <c r="J75">
        <v>0</v>
      </c>
      <c r="L75" s="89"/>
    </row>
    <row r="76" spans="2:12" ht="15">
      <c r="B76" s="839" t="s">
        <v>226</v>
      </c>
      <c r="C76" s="850" t="s">
        <v>1469</v>
      </c>
      <c r="D76" s="128">
        <f>VLOOKUP(B76,'TBIP Enroll'!$A:$C,3,FALSE)</f>
        <v>228.83</v>
      </c>
      <c r="E76" s="454">
        <v>0</v>
      </c>
      <c r="F76" s="454">
        <f>IFERROR(VLOOKUP(B76,'Native American'!$A:$C,3,FALSE),0)</f>
        <v>8</v>
      </c>
      <c r="G76" s="99">
        <v>0</v>
      </c>
      <c r="H76" s="57"/>
      <c r="I76" s="491">
        <f t="shared" si="1"/>
        <v>236.83</v>
      </c>
      <c r="J76">
        <v>0</v>
      </c>
      <c r="L76" s="89"/>
    </row>
    <row r="77" spans="2:12" ht="15">
      <c r="B77" s="839" t="s">
        <v>141</v>
      </c>
      <c r="C77" s="850" t="s">
        <v>1433</v>
      </c>
      <c r="D77" s="128">
        <f>VLOOKUP(B77,'TBIP Enroll'!$A:$C,3,FALSE)</f>
        <v>114.83</v>
      </c>
      <c r="E77" s="454">
        <v>0</v>
      </c>
      <c r="F77" s="454">
        <f>IFERROR(VLOOKUP(B77,'Native American'!$A:$C,3,FALSE),0)</f>
        <v>3</v>
      </c>
      <c r="G77" s="99">
        <v>0</v>
      </c>
      <c r="H77" s="57"/>
      <c r="I77" s="491">
        <f t="shared" si="1"/>
        <v>117.83</v>
      </c>
      <c r="J77">
        <v>0</v>
      </c>
      <c r="L77" s="89"/>
    </row>
    <row r="78" spans="2:12" ht="15">
      <c r="B78" s="839" t="s">
        <v>535</v>
      </c>
      <c r="C78" s="850" t="s">
        <v>1616</v>
      </c>
      <c r="D78" s="128">
        <f>VLOOKUP(B78,'TBIP Enroll'!$A:$C,3,FALSE)</f>
        <v>0</v>
      </c>
      <c r="E78" s="454">
        <v>0</v>
      </c>
      <c r="F78" s="454">
        <f>IFERROR(VLOOKUP(B78,'Native American'!$A:$C,3,FALSE),0)</f>
        <v>0</v>
      </c>
      <c r="G78" s="99">
        <v>0</v>
      </c>
      <c r="H78" s="57"/>
      <c r="I78" s="491">
        <f t="shared" si="1"/>
        <v>0</v>
      </c>
      <c r="J78">
        <v>0</v>
      </c>
      <c r="L78" s="89"/>
    </row>
    <row r="79" spans="2:12" ht="15">
      <c r="B79" s="839" t="s">
        <v>29</v>
      </c>
      <c r="C79" s="850" t="s">
        <v>1382</v>
      </c>
      <c r="D79" s="128">
        <f>VLOOKUP(B79,'TBIP Enroll'!$A:$C,3,FALSE)</f>
        <v>51.34</v>
      </c>
      <c r="E79" s="454">
        <v>0</v>
      </c>
      <c r="F79" s="454">
        <f>IFERROR(VLOOKUP(B79,'Native American'!$A:$C,3,FALSE),0)</f>
        <v>0</v>
      </c>
      <c r="G79" s="99">
        <v>0</v>
      </c>
      <c r="H79" s="57"/>
      <c r="I79" s="491">
        <f t="shared" si="1"/>
        <v>51.34</v>
      </c>
      <c r="J79">
        <v>0</v>
      </c>
      <c r="L79" s="89"/>
    </row>
    <row r="80" spans="2:12" ht="15">
      <c r="B80" s="839" t="s">
        <v>177</v>
      </c>
      <c r="C80" s="850" t="s">
        <v>1450</v>
      </c>
      <c r="D80" s="128">
        <f>VLOOKUP(B80,'TBIP Enroll'!$A:$C,3,FALSE)</f>
        <v>247</v>
      </c>
      <c r="E80" s="454">
        <v>0</v>
      </c>
      <c r="F80" s="454">
        <f>IFERROR(VLOOKUP(B80,'Native American'!$A:$C,3,FALSE),0)</f>
        <v>4</v>
      </c>
      <c r="G80" s="99">
        <v>0</v>
      </c>
      <c r="I80" s="491">
        <f t="shared" si="1"/>
        <v>251</v>
      </c>
      <c r="J80">
        <v>0</v>
      </c>
      <c r="L80" s="89"/>
    </row>
    <row r="81" spans="2:12" ht="15">
      <c r="B81" s="839" t="s">
        <v>127</v>
      </c>
      <c r="C81" s="850" t="s">
        <v>623</v>
      </c>
      <c r="D81" s="128">
        <f>VLOOKUP(B81,'TBIP Enroll'!$A:$C,3,FALSE)</f>
        <v>328.34</v>
      </c>
      <c r="E81" s="454">
        <v>17</v>
      </c>
      <c r="F81" s="454">
        <f>IFERROR(VLOOKUP(B81,'Native American'!$A:$C,3,FALSE),0)</f>
        <v>2</v>
      </c>
      <c r="G81" s="99">
        <v>0</v>
      </c>
      <c r="I81" s="491">
        <f t="shared" si="1"/>
        <v>347.34</v>
      </c>
      <c r="J81">
        <v>0</v>
      </c>
      <c r="L81" s="89"/>
    </row>
    <row r="82" spans="2:12" ht="15">
      <c r="B82" s="839" t="s">
        <v>1728</v>
      </c>
      <c r="C82" s="850" t="s">
        <v>681</v>
      </c>
      <c r="D82" s="128">
        <f>VLOOKUP(B82,'TBIP Enroll'!$A:$C,3,FALSE)</f>
        <v>0</v>
      </c>
      <c r="E82" s="454">
        <v>0</v>
      </c>
      <c r="F82" s="454">
        <f>IFERROR(VLOOKUP(B82,'Native American'!$A:$C,3,FALSE),0)</f>
        <v>0</v>
      </c>
      <c r="G82" s="99">
        <v>0</v>
      </c>
      <c r="I82" s="491">
        <f t="shared" si="1"/>
        <v>0</v>
      </c>
      <c r="J82">
        <v>0</v>
      </c>
      <c r="L82" s="89"/>
    </row>
    <row r="83" spans="2:12" ht="15">
      <c r="B83" s="839" t="s">
        <v>651</v>
      </c>
      <c r="C83" s="850" t="s">
        <v>652</v>
      </c>
      <c r="D83" s="128">
        <f>VLOOKUP(B83,'TBIP Enroll'!$A:$C,3,FALSE)</f>
        <v>0</v>
      </c>
      <c r="E83" s="454">
        <v>0</v>
      </c>
      <c r="F83" s="454">
        <f>IFERROR(VLOOKUP(B83,'Native American'!$A:$C,3,FALSE),0)</f>
        <v>0</v>
      </c>
      <c r="G83" s="99">
        <v>0</v>
      </c>
      <c r="H83" s="57"/>
      <c r="I83" s="491">
        <f t="shared" si="1"/>
        <v>0</v>
      </c>
      <c r="J83">
        <v>0</v>
      </c>
      <c r="L83" s="89"/>
    </row>
    <row r="84" spans="2:12" ht="15">
      <c r="B84" s="839" t="s">
        <v>678</v>
      </c>
      <c r="C84" s="850" t="s">
        <v>679</v>
      </c>
      <c r="D84" s="128">
        <f>VLOOKUP(B84,'TBIP Enroll'!$A:$C,3,FALSE)</f>
        <v>0</v>
      </c>
      <c r="E84" s="454">
        <v>0</v>
      </c>
      <c r="F84" s="454">
        <f>IFERROR(VLOOKUP(B84,'Native American'!$A:$C,3,FALSE),0)</f>
        <v>0</v>
      </c>
      <c r="G84" s="99">
        <v>0</v>
      </c>
      <c r="H84" s="57"/>
      <c r="I84" s="491">
        <f t="shared" si="1"/>
        <v>0</v>
      </c>
      <c r="J84">
        <v>0</v>
      </c>
      <c r="L84" s="89"/>
    </row>
    <row r="85" spans="2:12" ht="15">
      <c r="B85" s="839" t="s">
        <v>256</v>
      </c>
      <c r="C85" s="850" t="s">
        <v>1483</v>
      </c>
      <c r="D85" s="128">
        <f>VLOOKUP(B85,'TBIP Enroll'!$A:$C,3,FALSE)</f>
        <v>2</v>
      </c>
      <c r="E85" s="454">
        <v>0</v>
      </c>
      <c r="F85" s="454">
        <f>IFERROR(VLOOKUP(B85,'Native American'!$A:$C,3,FALSE),0)</f>
        <v>0</v>
      </c>
      <c r="G85" s="99">
        <v>0</v>
      </c>
      <c r="I85" s="491">
        <f t="shared" si="1"/>
        <v>2</v>
      </c>
      <c r="J85">
        <v>0</v>
      </c>
      <c r="L85" s="89"/>
    </row>
    <row r="86" spans="2:12" ht="15">
      <c r="B86" s="839" t="s">
        <v>395</v>
      </c>
      <c r="C86" s="850" t="s">
        <v>635</v>
      </c>
      <c r="D86" s="128">
        <f>VLOOKUP(B86,'TBIP Enroll'!$A:$C,3,FALSE)</f>
        <v>2994.67</v>
      </c>
      <c r="E86" s="454">
        <v>99</v>
      </c>
      <c r="F86" s="454">
        <f>IFERROR(VLOOKUP(B86,'Native American'!$A:$C,3,FALSE),0)</f>
        <v>97.67</v>
      </c>
      <c r="G86" s="99">
        <v>0</v>
      </c>
      <c r="H86" s="57"/>
      <c r="I86" s="491">
        <f t="shared" si="1"/>
        <v>3191.34</v>
      </c>
      <c r="J86">
        <v>0</v>
      </c>
      <c r="L86" s="89"/>
    </row>
    <row r="87" spans="2:12" ht="15">
      <c r="B87" s="839" t="s">
        <v>58</v>
      </c>
      <c r="C87" s="850" t="s">
        <v>1394</v>
      </c>
      <c r="D87" s="128">
        <f>VLOOKUP(B87,'TBIP Enroll'!$A:$C,3,FALSE)</f>
        <v>3300</v>
      </c>
      <c r="E87" s="454">
        <v>0</v>
      </c>
      <c r="F87" s="454">
        <f>IFERROR(VLOOKUP(B87,'Native American'!$A:$C,3,FALSE),0)</f>
        <v>94.33</v>
      </c>
      <c r="G87" s="99">
        <v>1</v>
      </c>
      <c r="H87" s="57"/>
      <c r="I87" s="491">
        <f t="shared" si="1"/>
        <v>3393.33</v>
      </c>
      <c r="J87">
        <v>0</v>
      </c>
      <c r="L87" s="89"/>
    </row>
    <row r="88" spans="2:12" ht="15">
      <c r="B88" s="839" t="s">
        <v>462</v>
      </c>
      <c r="C88" s="850" t="s">
        <v>1583</v>
      </c>
      <c r="D88" s="128">
        <f>VLOOKUP(B88,'TBIP Enroll'!$A:$C,3,FALSE)</f>
        <v>0</v>
      </c>
      <c r="E88" s="454">
        <v>0</v>
      </c>
      <c r="F88" s="454">
        <f>IFERROR(VLOOKUP(B88,'Native American'!$A:$C,3,FALSE),0)</f>
        <v>0</v>
      </c>
      <c r="G88" s="99">
        <v>0</v>
      </c>
      <c r="H88" s="57"/>
      <c r="I88" s="491">
        <f t="shared" si="1"/>
        <v>0</v>
      </c>
      <c r="J88">
        <v>0</v>
      </c>
      <c r="L88" s="89"/>
    </row>
    <row r="89" spans="2:12" ht="15">
      <c r="B89" s="839" t="s">
        <v>175</v>
      </c>
      <c r="C89" s="850" t="s">
        <v>1449</v>
      </c>
      <c r="D89" s="128">
        <f>VLOOKUP(B89,'TBIP Enroll'!$A:$C,3,FALSE)</f>
        <v>4841.66</v>
      </c>
      <c r="E89" s="454">
        <v>25</v>
      </c>
      <c r="F89" s="454">
        <f>IFERROR(VLOOKUP(B89,'Native American'!$A:$C,3,FALSE),0)</f>
        <v>43.33</v>
      </c>
      <c r="G89" s="99">
        <v>0</v>
      </c>
      <c r="H89" s="57"/>
      <c r="I89" s="491">
        <f t="shared" si="1"/>
        <v>4909.99</v>
      </c>
      <c r="J89">
        <v>0</v>
      </c>
      <c r="L89" s="89"/>
    </row>
    <row r="90" spans="2:12" ht="15">
      <c r="B90" s="839" t="s">
        <v>506</v>
      </c>
      <c r="C90" s="850" t="s">
        <v>1602</v>
      </c>
      <c r="D90" s="128">
        <f>VLOOKUP(B90,'TBIP Enroll'!$A:$C,3,FALSE)</f>
        <v>338.17</v>
      </c>
      <c r="E90" s="454">
        <v>0</v>
      </c>
      <c r="F90" s="454">
        <f>IFERROR(VLOOKUP(B90,'Native American'!$A:$C,3,FALSE),0)</f>
        <v>7.83</v>
      </c>
      <c r="G90" s="99">
        <v>0</v>
      </c>
      <c r="H90" s="57"/>
      <c r="I90" s="491">
        <f t="shared" si="1"/>
        <v>346</v>
      </c>
      <c r="J90">
        <v>0</v>
      </c>
      <c r="L90" s="89"/>
    </row>
    <row r="91" spans="2:12" ht="15">
      <c r="B91" s="839" t="s">
        <v>369</v>
      </c>
      <c r="C91" s="850" t="s">
        <v>1534</v>
      </c>
      <c r="D91" s="128">
        <f>VLOOKUP(B91,'TBIP Enroll'!$A:$C,3,FALSE)</f>
        <v>506</v>
      </c>
      <c r="E91" s="454">
        <v>20</v>
      </c>
      <c r="F91" s="454">
        <f>IFERROR(VLOOKUP(B91,'Native American'!$A:$C,3,FALSE),0)</f>
        <v>0</v>
      </c>
      <c r="G91" s="99">
        <v>0</v>
      </c>
      <c r="H91" s="57"/>
      <c r="I91" s="491">
        <f t="shared" si="1"/>
        <v>526</v>
      </c>
      <c r="J91">
        <v>0</v>
      </c>
      <c r="L91" s="89"/>
    </row>
    <row r="92" spans="2:12" ht="15">
      <c r="B92" s="839" t="s">
        <v>19</v>
      </c>
      <c r="C92" s="850" t="s">
        <v>1377</v>
      </c>
      <c r="D92" s="128">
        <f>VLOOKUP(B92,'TBIP Enroll'!$A:$C,3,FALSE)</f>
        <v>181.17</v>
      </c>
      <c r="E92" s="454">
        <v>0</v>
      </c>
      <c r="F92" s="454">
        <f>IFERROR(VLOOKUP(B92,'Native American'!$A:$C,3,FALSE),0)</f>
        <v>3</v>
      </c>
      <c r="G92" s="99">
        <v>0</v>
      </c>
      <c r="H92" s="57"/>
      <c r="I92" s="491">
        <f t="shared" si="1"/>
        <v>184.17</v>
      </c>
      <c r="J92">
        <v>0</v>
      </c>
      <c r="L92" s="89"/>
    </row>
    <row r="93" spans="2:12" ht="15">
      <c r="B93" s="839" t="s">
        <v>361</v>
      </c>
      <c r="C93" s="850" t="s">
        <v>630</v>
      </c>
      <c r="D93" s="128">
        <f>VLOOKUP(B93,'TBIP Enroll'!$A:$C,3,FALSE)</f>
        <v>898</v>
      </c>
      <c r="E93" s="454">
        <v>0</v>
      </c>
      <c r="F93" s="454">
        <f>IFERROR(VLOOKUP(B93,'Native American'!$A:$C,3,FALSE),0)</f>
        <v>3.33</v>
      </c>
      <c r="G93" s="99">
        <v>0</v>
      </c>
      <c r="H93" s="57"/>
      <c r="I93" s="491">
        <f t="shared" si="1"/>
        <v>901.33</v>
      </c>
      <c r="J93">
        <v>0</v>
      </c>
      <c r="L93" s="89"/>
    </row>
    <row r="94" spans="2:12" ht="15">
      <c r="B94" s="839" t="s">
        <v>436</v>
      </c>
      <c r="C94" s="850" t="s">
        <v>1569</v>
      </c>
      <c r="D94" s="128">
        <f>VLOOKUP(B94,'TBIP Enroll'!$A:$C,3,FALSE)</f>
        <v>0</v>
      </c>
      <c r="E94" s="454">
        <v>0</v>
      </c>
      <c r="F94" s="454">
        <f>IFERROR(VLOOKUP(B94,'Native American'!$A:$C,3,FALSE),0)</f>
        <v>0</v>
      </c>
      <c r="G94" s="99">
        <v>0</v>
      </c>
      <c r="H94" s="57"/>
      <c r="I94" s="491">
        <f t="shared" si="1"/>
        <v>0</v>
      </c>
      <c r="J94">
        <v>0</v>
      </c>
      <c r="L94" s="89"/>
    </row>
    <row r="95" spans="2:12" ht="15">
      <c r="B95" s="839" t="s">
        <v>529</v>
      </c>
      <c r="C95" s="850" t="s">
        <v>1613</v>
      </c>
      <c r="D95" s="128">
        <f>VLOOKUP(B95,'TBIP Enroll'!$A:$C,3,FALSE)</f>
        <v>0</v>
      </c>
      <c r="E95" s="454">
        <v>0</v>
      </c>
      <c r="F95" s="454">
        <f>IFERROR(VLOOKUP(B95,'Native American'!$A:$C,3,FALSE),0)</f>
        <v>0</v>
      </c>
      <c r="G95" s="99">
        <v>0</v>
      </c>
      <c r="I95" s="491">
        <f t="shared" si="1"/>
        <v>0</v>
      </c>
      <c r="J95">
        <v>0</v>
      </c>
      <c r="L95" s="89"/>
    </row>
    <row r="96" spans="2:12" ht="15">
      <c r="B96" s="839" t="s">
        <v>240</v>
      </c>
      <c r="C96" s="850" t="s">
        <v>1476</v>
      </c>
      <c r="D96" s="128">
        <f>VLOOKUP(B96,'TBIP Enroll'!$A:$C,3,FALSE)</f>
        <v>0</v>
      </c>
      <c r="E96" s="454">
        <v>0</v>
      </c>
      <c r="F96" s="454">
        <f>IFERROR(VLOOKUP(B96,'Native American'!$A:$C,3,FALSE),0)</f>
        <v>0</v>
      </c>
      <c r="G96" s="99">
        <v>0</v>
      </c>
      <c r="I96" s="491">
        <f t="shared" si="1"/>
        <v>0</v>
      </c>
      <c r="J96">
        <v>0</v>
      </c>
      <c r="L96" s="89"/>
    </row>
    <row r="97" spans="2:12" ht="15">
      <c r="B97" s="839" t="s">
        <v>246</v>
      </c>
      <c r="C97" s="850" t="s">
        <v>1479</v>
      </c>
      <c r="D97" s="128">
        <f>VLOOKUP(B97,'TBIP Enroll'!$A:$C,3,FALSE)</f>
        <v>52.17</v>
      </c>
      <c r="E97" s="454">
        <v>0</v>
      </c>
      <c r="F97" s="454">
        <f>IFERROR(VLOOKUP(B97,'Native American'!$A:$C,3,FALSE),0)</f>
        <v>0.33</v>
      </c>
      <c r="G97" s="99">
        <v>0</v>
      </c>
      <c r="I97" s="491">
        <f t="shared" si="1"/>
        <v>52.5</v>
      </c>
      <c r="J97">
        <v>0</v>
      </c>
      <c r="L97" s="89"/>
    </row>
    <row r="98" spans="2:12" ht="15">
      <c r="B98" s="839" t="s">
        <v>131</v>
      </c>
      <c r="C98" s="850" t="s">
        <v>1428</v>
      </c>
      <c r="D98" s="128">
        <f>VLOOKUP(B98,'TBIP Enroll'!$A:$C,3,FALSE)</f>
        <v>0</v>
      </c>
      <c r="E98" s="454">
        <v>0</v>
      </c>
      <c r="F98" s="454">
        <f>IFERROR(VLOOKUP(B98,'Native American'!$A:$C,3,FALSE),0)</f>
        <v>119.33</v>
      </c>
      <c r="G98" s="99">
        <v>0</v>
      </c>
      <c r="I98" s="491">
        <f t="shared" si="1"/>
        <v>119.33</v>
      </c>
      <c r="J98">
        <v>0</v>
      </c>
      <c r="L98" s="89"/>
    </row>
    <row r="99" spans="2:12" ht="15">
      <c r="B99" s="839" t="s">
        <v>555</v>
      </c>
      <c r="C99" s="850" t="s">
        <v>1625</v>
      </c>
      <c r="D99" s="128">
        <f>VLOOKUP(B99,'TBIP Enroll'!$A:$C,3,FALSE)</f>
        <v>1141.67</v>
      </c>
      <c r="E99" s="454">
        <v>0</v>
      </c>
      <c r="F99" s="454">
        <f>IFERROR(VLOOKUP(B99,'Native American'!$A:$C,3,FALSE),0)</f>
        <v>0</v>
      </c>
      <c r="G99" s="99">
        <v>0</v>
      </c>
      <c r="H99" s="57"/>
      <c r="I99" s="491">
        <f t="shared" si="1"/>
        <v>1141.67</v>
      </c>
      <c r="J99">
        <v>0</v>
      </c>
      <c r="L99" s="89"/>
    </row>
    <row r="100" spans="2:12" ht="15">
      <c r="B100" s="839" t="s">
        <v>563</v>
      </c>
      <c r="C100" s="850" t="s">
        <v>1628</v>
      </c>
      <c r="D100" s="128">
        <f>VLOOKUP(B100,'TBIP Enroll'!$A:$C,3,FALSE)</f>
        <v>571.16999999999996</v>
      </c>
      <c r="E100" s="454">
        <v>0</v>
      </c>
      <c r="F100" s="454">
        <f>IFERROR(VLOOKUP(B100,'Native American'!$A:$C,3,FALSE),0)</f>
        <v>0</v>
      </c>
      <c r="G100" s="99">
        <v>0</v>
      </c>
      <c r="I100" s="491">
        <f t="shared" si="1"/>
        <v>571.16999999999996</v>
      </c>
      <c r="J100">
        <v>0</v>
      </c>
      <c r="L100" s="89"/>
    </row>
    <row r="101" spans="2:12" ht="15">
      <c r="B101" s="839" t="s">
        <v>419</v>
      </c>
      <c r="C101" s="850" t="s">
        <v>1560</v>
      </c>
      <c r="D101" s="128">
        <f>VLOOKUP(B101,'TBIP Enroll'!$A:$C,3,FALSE)</f>
        <v>63.33</v>
      </c>
      <c r="E101" s="454">
        <v>0</v>
      </c>
      <c r="F101" s="454">
        <f>IFERROR(VLOOKUP(B101,'Native American'!$A:$C,3,FALSE),0)</f>
        <v>0</v>
      </c>
      <c r="G101" s="99">
        <v>0</v>
      </c>
      <c r="H101" s="57"/>
      <c r="I101" s="491">
        <f t="shared" si="1"/>
        <v>63.33</v>
      </c>
      <c r="J101">
        <v>0</v>
      </c>
      <c r="L101" s="89"/>
    </row>
    <row r="102" spans="2:12" ht="15">
      <c r="B102" s="839" t="s">
        <v>297</v>
      </c>
      <c r="C102" s="850" t="s">
        <v>1502</v>
      </c>
      <c r="D102" s="128">
        <f>VLOOKUP(B102,'TBIP Enroll'!$A:$C,3,FALSE)</f>
        <v>0</v>
      </c>
      <c r="E102" s="454">
        <v>0</v>
      </c>
      <c r="F102" s="454">
        <f>IFERROR(VLOOKUP(B102,'Native American'!$A:$C,3,FALSE),0)</f>
        <v>0</v>
      </c>
      <c r="G102" s="99">
        <v>0</v>
      </c>
      <c r="H102" s="57"/>
      <c r="I102" s="491">
        <f t="shared" si="1"/>
        <v>0</v>
      </c>
      <c r="J102">
        <v>0</v>
      </c>
      <c r="L102" s="89"/>
    </row>
    <row r="103" spans="2:12" ht="15">
      <c r="B103" s="839" t="s">
        <v>426</v>
      </c>
      <c r="C103" s="850" t="s">
        <v>1564</v>
      </c>
      <c r="D103" s="128">
        <f>VLOOKUP(B103,'TBIP Enroll'!$A:$C,3,FALSE)</f>
        <v>0</v>
      </c>
      <c r="E103" s="454">
        <v>0</v>
      </c>
      <c r="F103" s="454">
        <f>IFERROR(VLOOKUP(B103,'Native American'!$A:$C,3,FALSE),0)</f>
        <v>0</v>
      </c>
      <c r="G103" s="99">
        <v>0</v>
      </c>
      <c r="H103" s="57"/>
      <c r="I103" s="491">
        <f t="shared" si="1"/>
        <v>0</v>
      </c>
      <c r="J103">
        <v>0</v>
      </c>
      <c r="L103" s="89"/>
    </row>
    <row r="104" spans="2:12" ht="15">
      <c r="B104" s="839" t="s">
        <v>54</v>
      </c>
      <c r="C104" s="850" t="s">
        <v>1393</v>
      </c>
      <c r="D104" s="128">
        <f>VLOOKUP(B104,'TBIP Enroll'!$A:$C,3,FALSE)</f>
        <v>1</v>
      </c>
      <c r="E104" s="454">
        <v>0</v>
      </c>
      <c r="F104" s="454">
        <f>IFERROR(VLOOKUP(B104,'Native American'!$A:$C,3,FALSE),0)</f>
        <v>0</v>
      </c>
      <c r="G104" s="99">
        <v>0</v>
      </c>
      <c r="I104" s="491">
        <f t="shared" si="1"/>
        <v>1</v>
      </c>
      <c r="J104">
        <v>0</v>
      </c>
      <c r="L104" s="89"/>
    </row>
    <row r="105" spans="2:12" ht="15">
      <c r="B105" s="839" t="s">
        <v>482</v>
      </c>
      <c r="C105" s="850" t="s">
        <v>1592</v>
      </c>
      <c r="D105" s="128">
        <f>VLOOKUP(B105,'TBIP Enroll'!$A:$C,3,FALSE)</f>
        <v>1</v>
      </c>
      <c r="E105" s="454">
        <v>0</v>
      </c>
      <c r="F105" s="454">
        <f>IFERROR(VLOOKUP(B105,'Native American'!$A:$C,3,FALSE),0)</f>
        <v>0</v>
      </c>
      <c r="G105" s="99">
        <v>0</v>
      </c>
      <c r="I105" s="491">
        <f t="shared" si="1"/>
        <v>1</v>
      </c>
      <c r="J105">
        <v>0</v>
      </c>
      <c r="L105" s="89"/>
    </row>
    <row r="106" spans="2:12" ht="15">
      <c r="B106" s="839" t="s">
        <v>291</v>
      </c>
      <c r="C106" s="850" t="s">
        <v>1499</v>
      </c>
      <c r="D106" s="128">
        <f>VLOOKUP(B106,'TBIP Enroll'!$A:$C,3,FALSE)</f>
        <v>0</v>
      </c>
      <c r="E106" s="454">
        <v>0</v>
      </c>
      <c r="F106" s="454">
        <f>IFERROR(VLOOKUP(B106,'Native American'!$A:$C,3,FALSE),0)</f>
        <v>0</v>
      </c>
      <c r="G106" s="99">
        <v>0</v>
      </c>
      <c r="I106" s="491">
        <f t="shared" si="1"/>
        <v>0</v>
      </c>
      <c r="J106">
        <v>0</v>
      </c>
      <c r="L106" s="89"/>
    </row>
    <row r="107" spans="2:12" ht="15">
      <c r="B107" s="839" t="s">
        <v>561</v>
      </c>
      <c r="C107" s="850" t="s">
        <v>1627</v>
      </c>
      <c r="D107" s="128">
        <f>VLOOKUP(B107,'TBIP Enroll'!$A:$C,3,FALSE)</f>
        <v>291.67</v>
      </c>
      <c r="E107" s="454">
        <v>0</v>
      </c>
      <c r="F107" s="454">
        <f>IFERROR(VLOOKUP(B107,'Native American'!$A:$C,3,FALSE),0)</f>
        <v>0</v>
      </c>
      <c r="G107" s="99">
        <v>0</v>
      </c>
      <c r="H107" s="57"/>
      <c r="I107" s="491">
        <f t="shared" si="1"/>
        <v>291.67</v>
      </c>
      <c r="J107">
        <v>0</v>
      </c>
      <c r="L107" s="89"/>
    </row>
    <row r="108" spans="2:12" ht="15">
      <c r="B108" s="839" t="s">
        <v>181</v>
      </c>
      <c r="C108" s="850" t="s">
        <v>1452</v>
      </c>
      <c r="D108" s="128">
        <f>VLOOKUP(B108,'TBIP Enroll'!$A:$C,3,FALSE)</f>
        <v>6062</v>
      </c>
      <c r="E108" s="454">
        <v>4</v>
      </c>
      <c r="F108" s="454">
        <f>IFERROR(VLOOKUP(B108,'Native American'!$A:$C,3,FALSE),0)</f>
        <v>154.83000000000001</v>
      </c>
      <c r="G108" s="99">
        <v>8</v>
      </c>
      <c r="H108" s="57"/>
      <c r="I108" s="491">
        <f t="shared" si="1"/>
        <v>6212.83</v>
      </c>
      <c r="J108">
        <v>0</v>
      </c>
      <c r="L108" s="89"/>
    </row>
    <row r="109" spans="2:12" ht="15">
      <c r="B109" s="839" t="s">
        <v>51</v>
      </c>
      <c r="C109" s="850" t="s">
        <v>1391</v>
      </c>
      <c r="D109" s="128">
        <f>VLOOKUP(B109,'TBIP Enroll'!$A:$C,3,FALSE)</f>
        <v>72.83</v>
      </c>
      <c r="E109" s="454">
        <v>0</v>
      </c>
      <c r="F109" s="454">
        <f>IFERROR(VLOOKUP(B109,'Native American'!$A:$C,3,FALSE),0)</f>
        <v>0</v>
      </c>
      <c r="G109" s="99">
        <v>0</v>
      </c>
      <c r="I109" s="491">
        <f t="shared" si="1"/>
        <v>72.83</v>
      </c>
      <c r="J109">
        <v>0</v>
      </c>
      <c r="L109" s="89"/>
    </row>
    <row r="110" spans="2:12" ht="15">
      <c r="B110" s="839" t="s">
        <v>307</v>
      </c>
      <c r="C110" s="850" t="s">
        <v>1507</v>
      </c>
      <c r="D110" s="128">
        <f>VLOOKUP(B110,'TBIP Enroll'!$A:$C,3,FALSE)</f>
        <v>9.5</v>
      </c>
      <c r="E110" s="454">
        <v>0</v>
      </c>
      <c r="F110" s="454">
        <f>IFERROR(VLOOKUP(B110,'Native American'!$A:$C,3,FALSE),0)</f>
        <v>0</v>
      </c>
      <c r="G110" s="99">
        <v>0</v>
      </c>
      <c r="H110" s="57"/>
      <c r="I110" s="491">
        <f t="shared" si="1"/>
        <v>9.5</v>
      </c>
      <c r="J110">
        <v>0</v>
      </c>
      <c r="L110" s="89"/>
    </row>
    <row r="111" spans="2:12" ht="15">
      <c r="B111" s="839" t="s">
        <v>134</v>
      </c>
      <c r="C111" s="850" t="s">
        <v>748</v>
      </c>
      <c r="D111" s="128">
        <f>VLOOKUP(B111,'TBIP Enroll'!$A:$C,3,FALSE)</f>
        <v>89.84</v>
      </c>
      <c r="E111" s="454">
        <v>0</v>
      </c>
      <c r="F111" s="454">
        <f>IFERROR(VLOOKUP(B111,'Native American'!$A:$C,3,FALSE),0)</f>
        <v>0</v>
      </c>
      <c r="G111" s="99">
        <v>0</v>
      </c>
      <c r="I111" s="491">
        <f t="shared" si="1"/>
        <v>89.84</v>
      </c>
      <c r="J111">
        <v>0</v>
      </c>
      <c r="L111" s="89"/>
    </row>
    <row r="112" spans="2:12" ht="15">
      <c r="B112" s="839" t="s">
        <v>1777</v>
      </c>
      <c r="C112" s="850" t="s">
        <v>1782</v>
      </c>
      <c r="D112" s="128">
        <f>VLOOKUP(B112,'TBIP Enroll'!$A:$C,3,FALSE)</f>
        <v>158.16999999999999</v>
      </c>
      <c r="E112" s="454">
        <v>0</v>
      </c>
      <c r="F112" s="454">
        <f>IFERROR(VLOOKUP(B112,'Native American'!$A:$C,3,FALSE),0)</f>
        <v>0</v>
      </c>
      <c r="G112" s="99">
        <v>0</v>
      </c>
      <c r="I112" s="491">
        <f t="shared" si="1"/>
        <v>158.16999999999999</v>
      </c>
      <c r="J112">
        <v>0</v>
      </c>
      <c r="L112" s="89"/>
    </row>
    <row r="113" spans="2:12" ht="15">
      <c r="B113" s="839" t="s">
        <v>1715</v>
      </c>
      <c r="C113" s="850" t="s">
        <v>1783</v>
      </c>
      <c r="D113" s="128">
        <f>VLOOKUP(B113,'TBIP Enroll'!$A:$C,3,FALSE)</f>
        <v>0</v>
      </c>
      <c r="E113" s="454">
        <v>0</v>
      </c>
      <c r="F113" s="454">
        <f>IFERROR(VLOOKUP(B113,'Native American'!$A:$C,3,FALSE),0)</f>
        <v>0</v>
      </c>
      <c r="G113" s="99">
        <v>0</v>
      </c>
      <c r="I113" s="491">
        <f t="shared" si="1"/>
        <v>0</v>
      </c>
      <c r="J113">
        <v>0</v>
      </c>
      <c r="L113" s="89"/>
    </row>
    <row r="114" spans="2:12" ht="15">
      <c r="B114" s="839" t="s">
        <v>1755</v>
      </c>
      <c r="C114" s="850" t="s">
        <v>1784</v>
      </c>
      <c r="D114" s="128">
        <f>VLOOKUP(B114,'TBIP Enroll'!$A:$C,3,FALSE)</f>
        <v>51.67</v>
      </c>
      <c r="E114" s="454">
        <v>0</v>
      </c>
      <c r="F114" s="454">
        <f>IFERROR(VLOOKUP(B114,'Native American'!$A:$C,3,FALSE),0)</f>
        <v>0</v>
      </c>
      <c r="G114" s="99">
        <v>0</v>
      </c>
      <c r="H114" s="57"/>
      <c r="I114" s="491">
        <f t="shared" si="1"/>
        <v>51.67</v>
      </c>
      <c r="J114">
        <v>0</v>
      </c>
      <c r="L114" s="89"/>
    </row>
    <row r="115" spans="2:12" ht="15">
      <c r="B115" s="839" t="s">
        <v>100</v>
      </c>
      <c r="C115" s="850" t="s">
        <v>1414</v>
      </c>
      <c r="D115" s="128">
        <f>VLOOKUP(B115,'TBIP Enroll'!$A:$C,3,FALSE)</f>
        <v>0</v>
      </c>
      <c r="E115" s="454">
        <v>0</v>
      </c>
      <c r="F115" s="454">
        <f>IFERROR(VLOOKUP(B115,'Native American'!$A:$C,3,FALSE),0)</f>
        <v>99.83</v>
      </c>
      <c r="G115" s="99">
        <v>0</v>
      </c>
      <c r="I115" s="491">
        <f t="shared" si="1"/>
        <v>99.83</v>
      </c>
      <c r="J115">
        <v>0</v>
      </c>
      <c r="L115" s="89"/>
    </row>
    <row r="116" spans="2:12" ht="15">
      <c r="B116" s="839" t="s">
        <v>407</v>
      </c>
      <c r="C116" s="850" t="s">
        <v>1554</v>
      </c>
      <c r="D116" s="128">
        <f>VLOOKUP(B116,'TBIP Enroll'!$A:$C,3,FALSE)</f>
        <v>0</v>
      </c>
      <c r="E116" s="454">
        <v>0</v>
      </c>
      <c r="F116" s="454">
        <f>IFERROR(VLOOKUP(B116,'Native American'!$A:$C,3,FALSE),0)</f>
        <v>0</v>
      </c>
      <c r="G116" s="99">
        <v>0</v>
      </c>
      <c r="H116" s="57"/>
      <c r="I116" s="491">
        <f t="shared" si="1"/>
        <v>0</v>
      </c>
      <c r="J116">
        <v>0</v>
      </c>
      <c r="L116" s="89"/>
    </row>
    <row r="117" spans="2:12" ht="15">
      <c r="B117" s="839" t="s">
        <v>201</v>
      </c>
      <c r="C117" s="850" t="s">
        <v>1458</v>
      </c>
      <c r="D117" s="128">
        <f>VLOOKUP(B117,'TBIP Enroll'!$A:$C,3,FALSE)</f>
        <v>1415.84</v>
      </c>
      <c r="E117" s="454">
        <v>0</v>
      </c>
      <c r="F117" s="454">
        <f>IFERROR(VLOOKUP(B117,'Native American'!$A:$C,3,FALSE),0)</f>
        <v>22.83</v>
      </c>
      <c r="G117" s="99">
        <v>0</v>
      </c>
      <c r="I117" s="491">
        <f t="shared" si="1"/>
        <v>1438.6699999999998</v>
      </c>
      <c r="J117">
        <v>0</v>
      </c>
      <c r="L117" s="89"/>
    </row>
    <row r="118" spans="2:12" ht="15">
      <c r="B118" s="839" t="s">
        <v>110</v>
      </c>
      <c r="C118" s="850" t="s">
        <v>1419</v>
      </c>
      <c r="D118" s="128">
        <f>VLOOKUP(B118,'TBIP Enroll'!$A:$C,3,FALSE)</f>
        <v>0</v>
      </c>
      <c r="E118" s="454">
        <v>0</v>
      </c>
      <c r="F118" s="454">
        <f>IFERROR(VLOOKUP(B118,'Native American'!$A:$C,3,FALSE),0)</f>
        <v>0</v>
      </c>
      <c r="G118" s="99">
        <v>0</v>
      </c>
      <c r="H118" s="57"/>
      <c r="I118" s="491">
        <f t="shared" si="1"/>
        <v>0</v>
      </c>
      <c r="J118">
        <v>0</v>
      </c>
      <c r="L118" s="89"/>
    </row>
    <row r="119" spans="2:12" ht="15">
      <c r="B119" s="839" t="s">
        <v>76</v>
      </c>
      <c r="C119" s="850" t="s">
        <v>1402</v>
      </c>
      <c r="D119" s="128">
        <f>VLOOKUP(B119,'TBIP Enroll'!$A:$C,3,FALSE)</f>
        <v>20.83</v>
      </c>
      <c r="E119" s="454">
        <v>0</v>
      </c>
      <c r="F119" s="454">
        <f>IFERROR(VLOOKUP(B119,'Native American'!$A:$C,3,FALSE),0)</f>
        <v>0</v>
      </c>
      <c r="G119" s="99">
        <v>0</v>
      </c>
      <c r="H119" s="57"/>
      <c r="I119" s="491">
        <f t="shared" si="1"/>
        <v>20.83</v>
      </c>
      <c r="J119">
        <v>0</v>
      </c>
      <c r="L119" s="89"/>
    </row>
    <row r="120" spans="2:12" ht="15">
      <c r="B120" s="839" t="s">
        <v>94</v>
      </c>
      <c r="C120" s="850" t="s">
        <v>1411</v>
      </c>
      <c r="D120" s="128">
        <f>VLOOKUP(B120,'TBIP Enroll'!$A:$C,3,FALSE)</f>
        <v>0</v>
      </c>
      <c r="E120" s="454">
        <v>0</v>
      </c>
      <c r="F120" s="454">
        <f>IFERROR(VLOOKUP(B120,'Native American'!$A:$C,3,FALSE),0)</f>
        <v>0</v>
      </c>
      <c r="G120" s="99">
        <v>0</v>
      </c>
      <c r="H120" s="57"/>
      <c r="I120" s="491">
        <f t="shared" si="1"/>
        <v>0</v>
      </c>
      <c r="J120">
        <v>0</v>
      </c>
      <c r="L120" s="89"/>
    </row>
    <row r="121" spans="2:12" ht="15">
      <c r="B121" s="839" t="s">
        <v>80</v>
      </c>
      <c r="C121" s="850" t="s">
        <v>1404</v>
      </c>
      <c r="D121" s="128">
        <f>VLOOKUP(B121,'TBIP Enroll'!$A:$C,3,FALSE)</f>
        <v>285.67</v>
      </c>
      <c r="E121" s="454">
        <v>0</v>
      </c>
      <c r="F121" s="454">
        <f>IFERROR(VLOOKUP(B121,'Native American'!$A:$C,3,FALSE),0)</f>
        <v>20.83</v>
      </c>
      <c r="G121" s="99">
        <v>2</v>
      </c>
      <c r="I121" s="491">
        <f t="shared" si="1"/>
        <v>304.5</v>
      </c>
      <c r="J121">
        <v>0</v>
      </c>
      <c r="L121" s="89"/>
    </row>
    <row r="122" spans="2:12" ht="15">
      <c r="B122" s="839" t="s">
        <v>14</v>
      </c>
      <c r="C122" s="850" t="s">
        <v>636</v>
      </c>
      <c r="D122" s="128">
        <f>VLOOKUP(B122,'TBIP Enroll'!$A:$C,3,FALSE)</f>
        <v>2665.5</v>
      </c>
      <c r="E122" s="454">
        <v>15</v>
      </c>
      <c r="F122" s="454">
        <f>IFERROR(VLOOKUP(B122,'Native American'!$A:$C,3,FALSE),0)</f>
        <v>0</v>
      </c>
      <c r="G122" s="99">
        <v>2</v>
      </c>
      <c r="H122" s="57"/>
      <c r="I122" s="491">
        <f t="shared" si="1"/>
        <v>2678.5</v>
      </c>
      <c r="J122">
        <v>0</v>
      </c>
      <c r="L122" s="89"/>
    </row>
    <row r="123" spans="2:12" ht="15">
      <c r="B123" s="840" t="s">
        <v>207</v>
      </c>
      <c r="C123" s="850" t="s">
        <v>1460</v>
      </c>
      <c r="D123" s="128">
        <f>VLOOKUP(B123,'TBIP Enroll'!$A:$C,3,FALSE)</f>
        <v>5693.5</v>
      </c>
      <c r="E123" s="454">
        <v>0</v>
      </c>
      <c r="F123" s="454">
        <f>IFERROR(VLOOKUP(B123,'Native American'!$A:$C,3,FALSE),0)</f>
        <v>19.829999999999998</v>
      </c>
      <c r="G123" s="99">
        <v>0</v>
      </c>
      <c r="H123" s="57"/>
      <c r="I123" s="491">
        <f t="shared" si="1"/>
        <v>5713.33</v>
      </c>
      <c r="J123">
        <v>0</v>
      </c>
      <c r="L123" s="89"/>
    </row>
    <row r="124" spans="2:12" ht="15">
      <c r="B124" s="839" t="s">
        <v>470</v>
      </c>
      <c r="C124" s="850" t="s">
        <v>1587</v>
      </c>
      <c r="D124" s="128">
        <f>VLOOKUP(B124,'TBIP Enroll'!$A:$C,3,FALSE)</f>
        <v>3</v>
      </c>
      <c r="E124" s="454">
        <v>0</v>
      </c>
      <c r="F124" s="454">
        <f>IFERROR(VLOOKUP(B124,'Native American'!$A:$C,3,FALSE),0)</f>
        <v>0</v>
      </c>
      <c r="G124" s="99">
        <v>0</v>
      </c>
      <c r="H124" s="57"/>
      <c r="I124" s="491">
        <f t="shared" si="1"/>
        <v>3</v>
      </c>
      <c r="J124">
        <v>0</v>
      </c>
      <c r="L124" s="89"/>
    </row>
    <row r="125" spans="2:12" ht="15">
      <c r="B125" s="839" t="s">
        <v>18</v>
      </c>
      <c r="C125" s="850" t="s">
        <v>1376</v>
      </c>
      <c r="D125" s="128">
        <f>VLOOKUP(B125,'TBIP Enroll'!$A:$C,3,FALSE)</f>
        <v>324.33999999999997</v>
      </c>
      <c r="E125" s="454">
        <v>0</v>
      </c>
      <c r="F125" s="454">
        <f>IFERROR(VLOOKUP(B125,'Native American'!$A:$C,3,FALSE),0)</f>
        <v>3</v>
      </c>
      <c r="G125" s="99">
        <v>0</v>
      </c>
      <c r="I125" s="491">
        <f t="shared" si="1"/>
        <v>327.33999999999997</v>
      </c>
      <c r="J125">
        <v>0</v>
      </c>
      <c r="L125" s="89"/>
    </row>
    <row r="126" spans="2:12" ht="15">
      <c r="B126" s="839" t="s">
        <v>228</v>
      </c>
      <c r="C126" s="850" t="s">
        <v>1470</v>
      </c>
      <c r="D126" s="128">
        <f>VLOOKUP(B126,'TBIP Enroll'!$A:$C,3,FALSE)</f>
        <v>44</v>
      </c>
      <c r="E126" s="454">
        <v>0</v>
      </c>
      <c r="F126" s="454">
        <f>IFERROR(VLOOKUP(B126,'Native American'!$A:$C,3,FALSE),0)</f>
        <v>0</v>
      </c>
      <c r="G126" s="99">
        <v>0</v>
      </c>
      <c r="H126" s="57"/>
      <c r="I126" s="491">
        <f t="shared" si="1"/>
        <v>44</v>
      </c>
      <c r="J126">
        <v>0</v>
      </c>
      <c r="L126" s="89"/>
    </row>
    <row r="127" spans="2:12" ht="15">
      <c r="B127" s="839" t="s">
        <v>242</v>
      </c>
      <c r="C127" s="850" t="s">
        <v>1477</v>
      </c>
      <c r="D127" s="128">
        <f>VLOOKUP(B127,'TBIP Enroll'!$A:$C,3,FALSE)</f>
        <v>0</v>
      </c>
      <c r="E127" s="454">
        <v>0</v>
      </c>
      <c r="F127" s="454">
        <f>IFERROR(VLOOKUP(B127,'Native American'!$A:$C,3,FALSE),0)</f>
        <v>0</v>
      </c>
      <c r="G127" s="99">
        <v>0</v>
      </c>
      <c r="H127" s="57"/>
      <c r="I127" s="491">
        <f t="shared" si="1"/>
        <v>0</v>
      </c>
      <c r="J127">
        <v>0</v>
      </c>
      <c r="L127" s="89"/>
    </row>
    <row r="128" spans="2:12" ht="15">
      <c r="B128" s="839" t="s">
        <v>382</v>
      </c>
      <c r="C128" s="850" t="s">
        <v>1542</v>
      </c>
      <c r="D128" s="128">
        <f>VLOOKUP(B128,'TBIP Enroll'!$A:$C,3,FALSE)</f>
        <v>16.170000000000002</v>
      </c>
      <c r="E128" s="454">
        <v>0</v>
      </c>
      <c r="F128" s="454">
        <f>IFERROR(VLOOKUP(B128,'Native American'!$A:$C,3,FALSE),0)</f>
        <v>143.5</v>
      </c>
      <c r="G128" s="99">
        <v>0</v>
      </c>
      <c r="H128" s="57"/>
      <c r="I128" s="491">
        <f t="shared" si="1"/>
        <v>159.67000000000002</v>
      </c>
      <c r="J128">
        <v>0</v>
      </c>
      <c r="L128" s="89"/>
    </row>
    <row r="129" spans="2:12" ht="15">
      <c r="B129" s="839" t="s">
        <v>53</v>
      </c>
      <c r="C129" s="850" t="s">
        <v>1392</v>
      </c>
      <c r="D129" s="128">
        <f>VLOOKUP(B129,'TBIP Enroll'!$A:$C,3,FALSE)</f>
        <v>38</v>
      </c>
      <c r="E129" s="454">
        <v>0</v>
      </c>
      <c r="F129" s="454">
        <f>IFERROR(VLOOKUP(B129,'Native American'!$A:$C,3,FALSE),0)</f>
        <v>0</v>
      </c>
      <c r="G129" s="99">
        <v>0</v>
      </c>
      <c r="H129" s="57"/>
      <c r="I129" s="491">
        <f t="shared" si="1"/>
        <v>38</v>
      </c>
      <c r="J129">
        <v>0</v>
      </c>
      <c r="L129" s="89"/>
    </row>
    <row r="130" spans="2:12" ht="15">
      <c r="B130" s="839" t="s">
        <v>518</v>
      </c>
      <c r="C130" s="850" t="s">
        <v>1607</v>
      </c>
      <c r="D130" s="128">
        <f>VLOOKUP(B130,'TBIP Enroll'!$A:$C,3,FALSE)</f>
        <v>0</v>
      </c>
      <c r="E130" s="454">
        <v>0</v>
      </c>
      <c r="F130" s="454">
        <f>IFERROR(VLOOKUP(B130,'Native American'!$A:$C,3,FALSE),0)</f>
        <v>0</v>
      </c>
      <c r="G130" s="99">
        <v>0</v>
      </c>
      <c r="H130" s="57"/>
      <c r="I130" s="491">
        <f t="shared" si="1"/>
        <v>0</v>
      </c>
      <c r="J130">
        <v>0</v>
      </c>
      <c r="L130" s="89"/>
    </row>
    <row r="131" spans="2:12" ht="15">
      <c r="B131" s="839" t="s">
        <v>31</v>
      </c>
      <c r="C131" s="850" t="s">
        <v>624</v>
      </c>
      <c r="D131" s="128">
        <f>VLOOKUP(B131,'TBIP Enroll'!$A:$C,3,FALSE)</f>
        <v>361.34</v>
      </c>
      <c r="E131" s="454">
        <v>0</v>
      </c>
      <c r="F131" s="454">
        <f>IFERROR(VLOOKUP(B131,'Native American'!$A:$C,3,FALSE),0)</f>
        <v>0</v>
      </c>
      <c r="G131" s="99">
        <v>0</v>
      </c>
      <c r="H131" s="57"/>
      <c r="I131" s="491">
        <f t="shared" si="1"/>
        <v>361.34</v>
      </c>
      <c r="J131">
        <v>0</v>
      </c>
      <c r="L131" s="89"/>
    </row>
    <row r="132" spans="2:12" ht="15">
      <c r="B132" s="839" t="s">
        <v>397</v>
      </c>
      <c r="C132" s="850" t="s">
        <v>1549</v>
      </c>
      <c r="D132" s="128">
        <f>VLOOKUP(B132,'TBIP Enroll'!$A:$C,3,FALSE)</f>
        <v>493</v>
      </c>
      <c r="E132" s="454">
        <v>0</v>
      </c>
      <c r="F132" s="454">
        <f>IFERROR(VLOOKUP(B132,'Native American'!$A:$C,3,FALSE),0)</f>
        <v>5</v>
      </c>
      <c r="G132" s="99">
        <v>0</v>
      </c>
      <c r="H132" s="57"/>
      <c r="I132" s="491">
        <f t="shared" si="1"/>
        <v>498</v>
      </c>
      <c r="J132">
        <v>0</v>
      </c>
      <c r="L132" s="89"/>
    </row>
    <row r="133" spans="2:12" ht="15">
      <c r="B133" s="839" t="s">
        <v>205</v>
      </c>
      <c r="C133" s="850" t="s">
        <v>1459</v>
      </c>
      <c r="D133" s="128">
        <f>VLOOKUP(B133,'TBIP Enroll'!$A:$C,3,FALSE)</f>
        <v>3509.34</v>
      </c>
      <c r="E133" s="454">
        <v>0</v>
      </c>
      <c r="F133" s="454">
        <f>IFERROR(VLOOKUP(B133,'Native American'!$A:$C,3,FALSE),0)</f>
        <v>33.17</v>
      </c>
      <c r="G133" s="99">
        <v>1</v>
      </c>
      <c r="I133" s="491">
        <f t="shared" si="1"/>
        <v>3541.51</v>
      </c>
      <c r="J133">
        <v>0</v>
      </c>
      <c r="L133" s="89"/>
    </row>
    <row r="134" spans="2:12" ht="15">
      <c r="B134" s="839" t="s">
        <v>413</v>
      </c>
      <c r="C134" s="850" t="s">
        <v>1557</v>
      </c>
      <c r="D134" s="128">
        <f>VLOOKUP(B134,'TBIP Enroll'!$A:$C,3,FALSE)</f>
        <v>165.33</v>
      </c>
      <c r="E134" s="454">
        <v>0</v>
      </c>
      <c r="F134" s="454">
        <f>IFERROR(VLOOKUP(B134,'Native American'!$A:$C,3,FALSE),0)</f>
        <v>9</v>
      </c>
      <c r="G134" s="99">
        <v>0</v>
      </c>
      <c r="H134" s="57"/>
      <c r="I134" s="491">
        <f t="shared" si="1"/>
        <v>174.33</v>
      </c>
      <c r="J134">
        <v>0</v>
      </c>
      <c r="L134" s="89"/>
    </row>
    <row r="135" spans="2:12" ht="15">
      <c r="B135" s="839" t="s">
        <v>519</v>
      </c>
      <c r="C135" s="850" t="s">
        <v>1608</v>
      </c>
      <c r="D135" s="128">
        <f>VLOOKUP(B135,'TBIP Enroll'!$A:$C,3,FALSE)</f>
        <v>0</v>
      </c>
      <c r="E135" s="454">
        <v>0</v>
      </c>
      <c r="F135" s="454">
        <f>IFERROR(VLOOKUP(B135,'Native American'!$A:$C,3,FALSE),0)</f>
        <v>0</v>
      </c>
      <c r="G135" s="99">
        <v>0</v>
      </c>
      <c r="H135" s="57"/>
      <c r="I135" s="491">
        <f t="shared" si="1"/>
        <v>0</v>
      </c>
      <c r="J135">
        <v>0</v>
      </c>
      <c r="L135" s="89"/>
    </row>
    <row r="136" spans="2:12" ht="15">
      <c r="B136" s="839" t="s">
        <v>441</v>
      </c>
      <c r="C136" s="850" t="s">
        <v>1572</v>
      </c>
      <c r="D136" s="128">
        <f>VLOOKUP(B136,'TBIP Enroll'!$A:$C,3,FALSE)</f>
        <v>2.83</v>
      </c>
      <c r="E136" s="454">
        <v>0</v>
      </c>
      <c r="F136" s="454">
        <f>IFERROR(VLOOKUP(B136,'Native American'!$A:$C,3,FALSE),0)</f>
        <v>0</v>
      </c>
      <c r="G136" s="99">
        <v>0</v>
      </c>
      <c r="I136" s="491">
        <f t="shared" ref="I136:I199" si="2">IF(D136+E136+F136-G136&lt;0,0,D136+E136+F136-G136)</f>
        <v>2.83</v>
      </c>
      <c r="J136">
        <v>0</v>
      </c>
      <c r="L136" s="89"/>
    </row>
    <row r="137" spans="2:12" ht="15">
      <c r="B137" s="839" t="s">
        <v>6</v>
      </c>
      <c r="C137" s="850" t="s">
        <v>1371</v>
      </c>
      <c r="D137" s="128">
        <f>VLOOKUP(B137,'TBIP Enroll'!$A:$C,3,FALSE)</f>
        <v>26.5</v>
      </c>
      <c r="E137" s="454">
        <v>0</v>
      </c>
      <c r="F137" s="454">
        <f>IFERROR(VLOOKUP(B137,'Native American'!$A:$C,3,FALSE),0)</f>
        <v>0</v>
      </c>
      <c r="G137" s="99">
        <v>0</v>
      </c>
      <c r="H137" s="57"/>
      <c r="I137" s="491">
        <f t="shared" si="2"/>
        <v>26.5</v>
      </c>
      <c r="J137">
        <v>0</v>
      </c>
      <c r="L137" s="89"/>
    </row>
    <row r="138" spans="2:12" ht="15">
      <c r="B138" s="839" t="s">
        <v>70</v>
      </c>
      <c r="C138" s="850" t="s">
        <v>1399</v>
      </c>
      <c r="D138" s="128">
        <f>VLOOKUP(B138,'TBIP Enroll'!$A:$C,3,FALSE)</f>
        <v>392</v>
      </c>
      <c r="E138" s="454">
        <v>0</v>
      </c>
      <c r="F138" s="454">
        <f>IFERROR(VLOOKUP(B138,'Native American'!$A:$C,3,FALSE),0)</f>
        <v>33.159999999999997</v>
      </c>
      <c r="G138" s="99">
        <v>0</v>
      </c>
      <c r="H138" s="57"/>
      <c r="I138" s="491">
        <f t="shared" si="2"/>
        <v>425.15999999999997</v>
      </c>
      <c r="J138">
        <v>0</v>
      </c>
      <c r="L138" s="89"/>
    </row>
    <row r="139" spans="2:12" ht="15">
      <c r="B139" s="839" t="s">
        <v>458</v>
      </c>
      <c r="C139" s="850" t="s">
        <v>1581</v>
      </c>
      <c r="D139" s="128">
        <f>VLOOKUP(B139,'TBIP Enroll'!$A:$C,3,FALSE)</f>
        <v>0</v>
      </c>
      <c r="E139" s="454">
        <v>0</v>
      </c>
      <c r="F139" s="454">
        <f>IFERROR(VLOOKUP(B139,'Native American'!$A:$C,3,FALSE),0)</f>
        <v>0</v>
      </c>
      <c r="G139" s="99">
        <v>0</v>
      </c>
      <c r="I139" s="491">
        <f t="shared" si="2"/>
        <v>0</v>
      </c>
      <c r="J139">
        <v>0</v>
      </c>
      <c r="L139" s="89"/>
    </row>
    <row r="140" spans="2:12" ht="15">
      <c r="B140" s="839" t="s">
        <v>373</v>
      </c>
      <c r="C140" s="850" t="s">
        <v>1539</v>
      </c>
      <c r="D140" s="128">
        <f>VLOOKUP(B140,'TBIP Enroll'!$A:$C,3,FALSE)</f>
        <v>22.84</v>
      </c>
      <c r="E140" s="454">
        <v>0</v>
      </c>
      <c r="F140" s="454">
        <f>IFERROR(VLOOKUP(B140,'Native American'!$A:$C,3,FALSE),0)</f>
        <v>0</v>
      </c>
      <c r="G140" s="99">
        <v>0</v>
      </c>
      <c r="I140" s="491">
        <f t="shared" si="2"/>
        <v>22.84</v>
      </c>
      <c r="J140">
        <v>0</v>
      </c>
      <c r="L140" s="89"/>
    </row>
    <row r="141" spans="2:12" ht="15">
      <c r="B141" s="839" t="s">
        <v>1757</v>
      </c>
      <c r="C141" s="850" t="s">
        <v>1785</v>
      </c>
      <c r="D141" s="128">
        <f>VLOOKUP(B141,'TBIP Enroll'!$A:$C,3,FALSE)</f>
        <v>0</v>
      </c>
      <c r="E141" s="454">
        <v>0</v>
      </c>
      <c r="F141" s="454">
        <f>IFERROR(VLOOKUP(B141,'Native American'!$A:$C,3,FALSE),0)</f>
        <v>0</v>
      </c>
      <c r="G141" s="99">
        <v>0</v>
      </c>
      <c r="I141" s="491">
        <f t="shared" si="2"/>
        <v>0</v>
      </c>
      <c r="J141">
        <v>0</v>
      </c>
      <c r="L141" s="89"/>
    </row>
    <row r="142" spans="2:12" ht="15">
      <c r="B142" s="839" t="s">
        <v>250</v>
      </c>
      <c r="C142" s="850" t="s">
        <v>1481</v>
      </c>
      <c r="D142" s="128">
        <f>VLOOKUP(B142,'TBIP Enroll'!$A:$C,3,FALSE)</f>
        <v>10</v>
      </c>
      <c r="E142" s="454">
        <v>0</v>
      </c>
      <c r="F142" s="454">
        <f>IFERROR(VLOOKUP(B142,'Native American'!$A:$C,3,FALSE),0)</f>
        <v>0</v>
      </c>
      <c r="G142" s="99">
        <v>0</v>
      </c>
      <c r="I142" s="491">
        <f t="shared" si="2"/>
        <v>10</v>
      </c>
      <c r="J142">
        <v>0</v>
      </c>
      <c r="L142" s="89"/>
    </row>
    <row r="143" spans="2:12" ht="15">
      <c r="B143" s="839" t="s">
        <v>510</v>
      </c>
      <c r="C143" s="850" t="s">
        <v>1604</v>
      </c>
      <c r="D143" s="128">
        <f>VLOOKUP(B143,'TBIP Enroll'!$A:$C,3,FALSE)</f>
        <v>359.33</v>
      </c>
      <c r="E143" s="454">
        <v>0</v>
      </c>
      <c r="F143" s="454">
        <f>IFERROR(VLOOKUP(B143,'Native American'!$A:$C,3,FALSE),0)</f>
        <v>0</v>
      </c>
      <c r="G143" s="99">
        <v>2</v>
      </c>
      <c r="H143" s="57"/>
      <c r="I143" s="491">
        <f t="shared" si="2"/>
        <v>357.33</v>
      </c>
      <c r="J143">
        <v>0</v>
      </c>
      <c r="L143" s="89"/>
    </row>
    <row r="144" spans="2:12" ht="15">
      <c r="B144" s="839" t="s">
        <v>553</v>
      </c>
      <c r="C144" s="850" t="s">
        <v>639</v>
      </c>
      <c r="D144" s="128">
        <f>VLOOKUP(B144,'TBIP Enroll'!$A:$C,3,FALSE)</f>
        <v>358.16</v>
      </c>
      <c r="E144" s="454">
        <v>0</v>
      </c>
      <c r="F144" s="454">
        <f>IFERROR(VLOOKUP(B144,'Native American'!$A:$C,3,FALSE),0)</f>
        <v>0</v>
      </c>
      <c r="G144" s="99">
        <v>0</v>
      </c>
      <c r="I144" s="491">
        <f t="shared" si="2"/>
        <v>358.16</v>
      </c>
      <c r="J144">
        <v>0</v>
      </c>
      <c r="L144" s="89"/>
    </row>
    <row r="145" spans="2:12" ht="15">
      <c r="B145" s="839" t="s">
        <v>90</v>
      </c>
      <c r="C145" s="850" t="s">
        <v>1409</v>
      </c>
      <c r="D145" s="128">
        <f>VLOOKUP(B145,'TBIP Enroll'!$A:$C,3,FALSE)</f>
        <v>6.33</v>
      </c>
      <c r="E145" s="454">
        <v>0</v>
      </c>
      <c r="F145" s="454">
        <f>IFERROR(VLOOKUP(B145,'Native American'!$A:$C,3,FALSE),0)</f>
        <v>0</v>
      </c>
      <c r="G145" s="99">
        <v>0</v>
      </c>
      <c r="I145" s="491">
        <f t="shared" si="2"/>
        <v>6.33</v>
      </c>
      <c r="J145">
        <v>0</v>
      </c>
      <c r="L145" s="89"/>
    </row>
    <row r="146" spans="2:12" ht="15">
      <c r="B146" s="839" t="s">
        <v>25</v>
      </c>
      <c r="C146" s="850" t="s">
        <v>1380</v>
      </c>
      <c r="D146" s="128">
        <f>VLOOKUP(B146,'TBIP Enroll'!$A:$C,3,FALSE)</f>
        <v>219.16</v>
      </c>
      <c r="E146" s="454">
        <v>0</v>
      </c>
      <c r="F146" s="454">
        <f>IFERROR(VLOOKUP(B146,'Native American'!$A:$C,3,FALSE),0)</f>
        <v>0</v>
      </c>
      <c r="G146" s="99">
        <v>0</v>
      </c>
      <c r="I146" s="491">
        <f t="shared" si="2"/>
        <v>219.16</v>
      </c>
      <c r="J146">
        <v>0</v>
      </c>
      <c r="L146" s="89"/>
    </row>
    <row r="147" spans="2:12" ht="15">
      <c r="B147" s="839" t="s">
        <v>301</v>
      </c>
      <c r="C147" s="850" t="s">
        <v>1504</v>
      </c>
      <c r="D147" s="128">
        <f>VLOOKUP(B147,'TBIP Enroll'!$A:$C,3,FALSE)</f>
        <v>27.17</v>
      </c>
      <c r="E147" s="454">
        <v>0</v>
      </c>
      <c r="F147" s="454">
        <f>IFERROR(VLOOKUP(B147,'Native American'!$A:$C,3,FALSE),0)</f>
        <v>0</v>
      </c>
      <c r="G147" s="99">
        <v>0</v>
      </c>
      <c r="I147" s="491">
        <f t="shared" si="2"/>
        <v>27.17</v>
      </c>
      <c r="J147">
        <v>0</v>
      </c>
      <c r="L147" s="89"/>
    </row>
    <row r="148" spans="2:12" ht="15">
      <c r="B148" s="839" t="s">
        <v>466</v>
      </c>
      <c r="C148" s="850" t="s">
        <v>1585</v>
      </c>
      <c r="D148" s="128">
        <f>VLOOKUP(B148,'TBIP Enroll'!$A:$C,3,FALSE)</f>
        <v>0.83</v>
      </c>
      <c r="E148" s="454">
        <v>0</v>
      </c>
      <c r="F148" s="454">
        <f>IFERROR(VLOOKUP(B148,'Native American'!$A:$C,3,FALSE),0)</f>
        <v>2.5</v>
      </c>
      <c r="G148" s="99">
        <v>0</v>
      </c>
      <c r="H148" s="57"/>
      <c r="I148" s="491">
        <f t="shared" si="2"/>
        <v>3.33</v>
      </c>
      <c r="J148">
        <v>0</v>
      </c>
      <c r="L148" s="89"/>
    </row>
    <row r="149" spans="2:12" ht="15">
      <c r="B149" s="839" t="s">
        <v>405</v>
      </c>
      <c r="C149" s="850" t="s">
        <v>1553</v>
      </c>
      <c r="D149" s="128">
        <f>VLOOKUP(B149,'TBIP Enroll'!$A:$C,3,FALSE)</f>
        <v>1030.17</v>
      </c>
      <c r="E149" s="454">
        <v>0</v>
      </c>
      <c r="F149" s="454">
        <f>IFERROR(VLOOKUP(B149,'Native American'!$A:$C,3,FALSE),0)</f>
        <v>248.33</v>
      </c>
      <c r="G149" s="99">
        <v>0</v>
      </c>
      <c r="H149" s="57"/>
      <c r="I149" s="491">
        <f t="shared" si="2"/>
        <v>1278.5</v>
      </c>
      <c r="J149">
        <v>0</v>
      </c>
      <c r="L149" s="89"/>
    </row>
    <row r="150" spans="2:12" ht="15">
      <c r="B150" s="839" t="s">
        <v>138</v>
      </c>
      <c r="C150" s="850" t="s">
        <v>1431</v>
      </c>
      <c r="D150" s="128">
        <f>VLOOKUP(B150,'TBIP Enroll'!$A:$C,3,FALSE)</f>
        <v>0.17</v>
      </c>
      <c r="E150" s="454">
        <v>0</v>
      </c>
      <c r="F150" s="454">
        <f>IFERROR(VLOOKUP(B150,'Native American'!$A:$C,3,FALSE),0)</f>
        <v>0</v>
      </c>
      <c r="G150" s="99">
        <v>0</v>
      </c>
      <c r="H150" s="57"/>
      <c r="I150" s="491">
        <f t="shared" si="2"/>
        <v>0.17</v>
      </c>
      <c r="J150">
        <v>0</v>
      </c>
      <c r="L150" s="89"/>
    </row>
    <row r="151" spans="2:12" ht="15">
      <c r="B151" s="839" t="s">
        <v>432</v>
      </c>
      <c r="C151" s="850" t="s">
        <v>1567</v>
      </c>
      <c r="D151" s="128">
        <f>VLOOKUP(B151,'TBIP Enroll'!$A:$C,3,FALSE)</f>
        <v>280.5</v>
      </c>
      <c r="E151" s="454">
        <v>0</v>
      </c>
      <c r="F151" s="454">
        <f>IFERROR(VLOOKUP(B151,'Native American'!$A:$C,3,FALSE),0)</f>
        <v>16</v>
      </c>
      <c r="G151" s="99">
        <v>0</v>
      </c>
      <c r="I151" s="491">
        <f t="shared" si="2"/>
        <v>296.5</v>
      </c>
      <c r="J151">
        <v>0</v>
      </c>
      <c r="L151" s="89"/>
    </row>
    <row r="152" spans="2:12" ht="15">
      <c r="B152" s="839" t="s">
        <v>430</v>
      </c>
      <c r="C152" s="850" t="s">
        <v>1566</v>
      </c>
      <c r="D152" s="128">
        <f>VLOOKUP(B152,'TBIP Enroll'!$A:$C,3,FALSE)</f>
        <v>12.67</v>
      </c>
      <c r="E152" s="454">
        <v>0</v>
      </c>
      <c r="F152" s="454">
        <f>IFERROR(VLOOKUP(B152,'Native American'!$A:$C,3,FALSE),0)</f>
        <v>0</v>
      </c>
      <c r="G152" s="99">
        <v>0</v>
      </c>
      <c r="I152" s="491">
        <f t="shared" si="2"/>
        <v>12.67</v>
      </c>
      <c r="J152">
        <v>0</v>
      </c>
      <c r="L152" s="89"/>
    </row>
    <row r="153" spans="2:12" ht="15">
      <c r="B153" s="839" t="s">
        <v>179</v>
      </c>
      <c r="C153" s="850" t="s">
        <v>1451</v>
      </c>
      <c r="D153" s="128">
        <f>VLOOKUP(B153,'TBIP Enroll'!$A:$C,3,FALSE)</f>
        <v>143.66999999999999</v>
      </c>
      <c r="E153" s="454">
        <v>2</v>
      </c>
      <c r="F153" s="454">
        <f>IFERROR(VLOOKUP(B153,'Native American'!$A:$C,3,FALSE),0)</f>
        <v>0</v>
      </c>
      <c r="G153" s="99">
        <v>0</v>
      </c>
      <c r="I153" s="491">
        <f t="shared" si="2"/>
        <v>145.66999999999999</v>
      </c>
      <c r="J153">
        <v>0</v>
      </c>
      <c r="L153" s="89"/>
    </row>
    <row r="154" spans="2:12" ht="15">
      <c r="B154" s="839" t="s">
        <v>512</v>
      </c>
      <c r="C154" s="850" t="s">
        <v>1605</v>
      </c>
      <c r="D154" s="128">
        <f>VLOOKUP(B154,'TBIP Enroll'!$A:$C,3,FALSE)</f>
        <v>212.33</v>
      </c>
      <c r="E154" s="454">
        <v>0</v>
      </c>
      <c r="F154" s="454">
        <f>IFERROR(VLOOKUP(B154,'Native American'!$A:$C,3,FALSE),0)</f>
        <v>16</v>
      </c>
      <c r="G154" s="99">
        <v>1</v>
      </c>
      <c r="I154" s="491">
        <f t="shared" si="2"/>
        <v>227.33</v>
      </c>
      <c r="J154">
        <v>0</v>
      </c>
      <c r="L154" s="89"/>
    </row>
    <row r="155" spans="2:12" ht="15">
      <c r="B155" s="839" t="s">
        <v>319</v>
      </c>
      <c r="C155" s="850" t="s">
        <v>1512</v>
      </c>
      <c r="D155" s="128">
        <f>VLOOKUP(B155,'TBIP Enroll'!$A:$C,3,FALSE)</f>
        <v>29.67</v>
      </c>
      <c r="E155" s="454">
        <v>0</v>
      </c>
      <c r="F155" s="454">
        <f>IFERROR(VLOOKUP(B155,'Native American'!$A:$C,3,FALSE),0)</f>
        <v>0</v>
      </c>
      <c r="G155" s="99">
        <v>0</v>
      </c>
      <c r="H155" s="57"/>
      <c r="I155" s="491">
        <f t="shared" si="2"/>
        <v>29.67</v>
      </c>
      <c r="J155">
        <v>0</v>
      </c>
      <c r="L155" s="89"/>
    </row>
    <row r="156" spans="2:12" ht="15">
      <c r="B156" s="839" t="s">
        <v>391</v>
      </c>
      <c r="C156" s="850" t="s">
        <v>1547</v>
      </c>
      <c r="D156" s="128">
        <f>VLOOKUP(B156,'TBIP Enroll'!$A:$C,3,FALSE)</f>
        <v>0</v>
      </c>
      <c r="E156" s="454">
        <v>0</v>
      </c>
      <c r="F156" s="454">
        <f>IFERROR(VLOOKUP(B156,'Native American'!$A:$C,3,FALSE),0)</f>
        <v>0</v>
      </c>
      <c r="G156" s="99">
        <v>0</v>
      </c>
      <c r="H156" s="57"/>
      <c r="I156" s="491">
        <f t="shared" si="2"/>
        <v>0</v>
      </c>
      <c r="J156">
        <v>0</v>
      </c>
      <c r="L156" s="89"/>
    </row>
    <row r="157" spans="2:12" ht="15">
      <c r="B157" s="839" t="s">
        <v>409</v>
      </c>
      <c r="C157" s="850" t="s">
        <v>1555</v>
      </c>
      <c r="D157" s="128">
        <f>VLOOKUP(B157,'TBIP Enroll'!$A:$C,3,FALSE)</f>
        <v>640.66999999999996</v>
      </c>
      <c r="E157" s="454">
        <v>0</v>
      </c>
      <c r="F157" s="454">
        <f>IFERROR(VLOOKUP(B157,'Native American'!$A:$C,3,FALSE),0)</f>
        <v>9</v>
      </c>
      <c r="G157" s="99">
        <v>0</v>
      </c>
      <c r="H157" s="57"/>
      <c r="I157" s="491">
        <f t="shared" si="2"/>
        <v>649.66999999999996</v>
      </c>
      <c r="J157">
        <v>0</v>
      </c>
      <c r="L157" s="89"/>
    </row>
    <row r="158" spans="2:12" ht="15">
      <c r="B158" s="839" t="s">
        <v>139</v>
      </c>
      <c r="C158" s="850" t="s">
        <v>1432</v>
      </c>
      <c r="D158" s="128">
        <f>VLOOKUP(B158,'TBIP Enroll'!$A:$C,3,FALSE)</f>
        <v>25.67</v>
      </c>
      <c r="E158" s="454">
        <v>0</v>
      </c>
      <c r="F158" s="454">
        <f>IFERROR(VLOOKUP(B158,'Native American'!$A:$C,3,FALSE),0)</f>
        <v>0</v>
      </c>
      <c r="G158" s="99">
        <v>0</v>
      </c>
      <c r="H158" s="57"/>
      <c r="I158" s="491">
        <f t="shared" si="2"/>
        <v>25.67</v>
      </c>
      <c r="J158">
        <v>0</v>
      </c>
      <c r="L158" s="89"/>
    </row>
    <row r="159" spans="2:12" ht="15">
      <c r="B159" s="839" t="s">
        <v>260</v>
      </c>
      <c r="C159" s="850" t="s">
        <v>1484</v>
      </c>
      <c r="D159" s="128">
        <f>VLOOKUP(B159,'TBIP Enroll'!$A:$C,3,FALSE)</f>
        <v>0</v>
      </c>
      <c r="E159" s="454">
        <v>0</v>
      </c>
      <c r="F159" s="454">
        <f>IFERROR(VLOOKUP(B159,'Native American'!$A:$C,3,FALSE),0)</f>
        <v>0</v>
      </c>
      <c r="G159" s="99">
        <v>0</v>
      </c>
      <c r="H159" s="57"/>
      <c r="I159" s="491">
        <f t="shared" si="2"/>
        <v>0</v>
      </c>
      <c r="J159">
        <v>0</v>
      </c>
      <c r="L159" s="89"/>
    </row>
    <row r="160" spans="2:12" ht="15">
      <c r="B160" s="839" t="s">
        <v>125</v>
      </c>
      <c r="C160" s="850" t="s">
        <v>1426</v>
      </c>
      <c r="D160" s="128">
        <f>VLOOKUP(B160,'TBIP Enroll'!$A:$C,3,FALSE)</f>
        <v>1168.17</v>
      </c>
      <c r="E160" s="454">
        <v>0</v>
      </c>
      <c r="F160" s="454">
        <f>IFERROR(VLOOKUP(B160,'Native American'!$A:$C,3,FALSE),0)</f>
        <v>14.67</v>
      </c>
      <c r="G160" s="99">
        <v>0</v>
      </c>
      <c r="I160" s="491">
        <f t="shared" si="2"/>
        <v>1182.8400000000001</v>
      </c>
      <c r="J160">
        <v>0</v>
      </c>
      <c r="L160" s="89"/>
    </row>
    <row r="161" spans="2:12" ht="15">
      <c r="B161" s="839" t="s">
        <v>258</v>
      </c>
      <c r="C161" s="850" t="s">
        <v>1356</v>
      </c>
      <c r="D161" s="128">
        <f>VLOOKUP(B161,'TBIP Enroll'!$A:$C,3,FALSE)</f>
        <v>49.5</v>
      </c>
      <c r="E161" s="454">
        <v>0</v>
      </c>
      <c r="F161" s="454">
        <f>IFERROR(VLOOKUP(B161,'Native American'!$A:$C,3,FALSE),0)</f>
        <v>0</v>
      </c>
      <c r="G161" s="99">
        <v>0</v>
      </c>
      <c r="H161" s="57"/>
      <c r="I161" s="491">
        <f t="shared" si="2"/>
        <v>49.5</v>
      </c>
      <c r="J161">
        <v>0</v>
      </c>
      <c r="L161" s="89"/>
    </row>
    <row r="162" spans="2:12" ht="15">
      <c r="B162" s="839" t="s">
        <v>571</v>
      </c>
      <c r="C162" s="850" t="s">
        <v>1632</v>
      </c>
      <c r="D162" s="128">
        <f>VLOOKUP(B162,'TBIP Enroll'!$A:$C,3,FALSE)</f>
        <v>141.33000000000001</v>
      </c>
      <c r="E162" s="454">
        <v>0</v>
      </c>
      <c r="F162" s="454">
        <f>IFERROR(VLOOKUP(B162,'Native American'!$A:$C,3,FALSE),0)</f>
        <v>302.67</v>
      </c>
      <c r="G162" s="99">
        <v>0</v>
      </c>
      <c r="H162" s="57"/>
      <c r="I162" s="491">
        <f t="shared" si="2"/>
        <v>444</v>
      </c>
      <c r="J162">
        <v>0</v>
      </c>
      <c r="L162" s="89"/>
    </row>
    <row r="163" spans="2:12" ht="15">
      <c r="B163" s="839" t="s">
        <v>516</v>
      </c>
      <c r="C163" s="850" t="s">
        <v>1606</v>
      </c>
      <c r="D163" s="128">
        <f>VLOOKUP(B163,'TBIP Enroll'!$A:$C,3,FALSE)</f>
        <v>94</v>
      </c>
      <c r="E163" s="454">
        <v>0</v>
      </c>
      <c r="F163" s="454">
        <f>IFERROR(VLOOKUP(B163,'Native American'!$A:$C,3,FALSE),0)</f>
        <v>32</v>
      </c>
      <c r="G163" s="99">
        <v>0</v>
      </c>
      <c r="H163" s="57"/>
      <c r="I163" s="491">
        <f t="shared" si="2"/>
        <v>126</v>
      </c>
      <c r="J163">
        <v>0</v>
      </c>
      <c r="L163" s="89"/>
    </row>
    <row r="164" spans="2:12" ht="15">
      <c r="B164" s="839" t="s">
        <v>389</v>
      </c>
      <c r="C164" s="850" t="s">
        <v>1546</v>
      </c>
      <c r="D164" s="128">
        <f>VLOOKUP(B164,'TBIP Enroll'!$A:$C,3,FALSE)</f>
        <v>0</v>
      </c>
      <c r="E164" s="454">
        <v>0</v>
      </c>
      <c r="F164" s="454">
        <f>IFERROR(VLOOKUP(B164,'Native American'!$A:$C,3,FALSE),0)</f>
        <v>0</v>
      </c>
      <c r="G164" s="99">
        <v>0</v>
      </c>
      <c r="H164" s="57"/>
      <c r="I164" s="491">
        <f t="shared" si="2"/>
        <v>0</v>
      </c>
      <c r="J164">
        <v>0</v>
      </c>
      <c r="L164" s="89"/>
    </row>
    <row r="165" spans="2:12" ht="15">
      <c r="B165" s="839" t="s">
        <v>386</v>
      </c>
      <c r="C165" s="850" t="s">
        <v>1544</v>
      </c>
      <c r="D165" s="128">
        <f>VLOOKUP(B165,'TBIP Enroll'!$A:$C,3,FALSE)</f>
        <v>1596.5</v>
      </c>
      <c r="E165" s="454">
        <v>0</v>
      </c>
      <c r="F165" s="454">
        <f>IFERROR(VLOOKUP(B165,'Native American'!$A:$C,3,FALSE),0)</f>
        <v>17</v>
      </c>
      <c r="G165" s="99">
        <v>0</v>
      </c>
      <c r="I165" s="491">
        <f t="shared" si="2"/>
        <v>1613.5</v>
      </c>
      <c r="J165">
        <v>0</v>
      </c>
      <c r="L165" s="89"/>
    </row>
    <row r="166" spans="2:12" ht="15">
      <c r="B166" s="839" t="s">
        <v>399</v>
      </c>
      <c r="C166" s="850" t="s">
        <v>1550</v>
      </c>
      <c r="D166" s="128">
        <f>VLOOKUP(B166,'TBIP Enroll'!$A:$C,3,FALSE)</f>
        <v>3122.84</v>
      </c>
      <c r="E166" s="454">
        <v>0</v>
      </c>
      <c r="F166" s="454">
        <f>IFERROR(VLOOKUP(B166,'Native American'!$A:$C,3,FALSE),0)</f>
        <v>9.67</v>
      </c>
      <c r="G166" s="99">
        <v>0</v>
      </c>
      <c r="I166" s="491">
        <f t="shared" si="2"/>
        <v>3132.51</v>
      </c>
      <c r="J166">
        <v>0</v>
      </c>
      <c r="L166" s="89"/>
    </row>
    <row r="167" spans="2:12" ht="15">
      <c r="B167" s="839" t="s">
        <v>545</v>
      </c>
      <c r="C167" s="850" t="s">
        <v>1621</v>
      </c>
      <c r="D167" s="128">
        <f>VLOOKUP(B167,'TBIP Enroll'!$A:$C,3,FALSE)</f>
        <v>77.67</v>
      </c>
      <c r="E167" s="454">
        <v>0</v>
      </c>
      <c r="F167" s="454">
        <f>IFERROR(VLOOKUP(B167,'Native American'!$A:$C,3,FALSE),0)</f>
        <v>0</v>
      </c>
      <c r="G167" s="99">
        <v>0</v>
      </c>
      <c r="I167" s="491">
        <f t="shared" si="2"/>
        <v>77.67</v>
      </c>
      <c r="J167">
        <v>0</v>
      </c>
      <c r="L167" s="89"/>
    </row>
    <row r="168" spans="2:12" ht="15">
      <c r="B168" s="839" t="s">
        <v>252</v>
      </c>
      <c r="C168" s="850" t="s">
        <v>1482</v>
      </c>
      <c r="D168" s="128">
        <f>VLOOKUP(B168,'TBIP Enroll'!$A:$C,3,FALSE)</f>
        <v>20.67</v>
      </c>
      <c r="E168" s="454">
        <v>0</v>
      </c>
      <c r="F168" s="454">
        <f>IFERROR(VLOOKUP(B168,'Native American'!$A:$C,3,FALSE),0)</f>
        <v>0</v>
      </c>
      <c r="G168" s="99">
        <v>0</v>
      </c>
      <c r="I168" s="491">
        <f t="shared" si="2"/>
        <v>20.67</v>
      </c>
      <c r="J168">
        <v>0</v>
      </c>
      <c r="L168" s="89"/>
    </row>
    <row r="169" spans="2:12" ht="15">
      <c r="B169" s="839" t="s">
        <v>331</v>
      </c>
      <c r="C169" s="850" t="s">
        <v>1516</v>
      </c>
      <c r="D169" s="128">
        <f>VLOOKUP(B169,'TBIP Enroll'!$A:$C,3,FALSE)</f>
        <v>18</v>
      </c>
      <c r="E169" s="454">
        <v>0</v>
      </c>
      <c r="F169" s="454">
        <f>IFERROR(VLOOKUP(B169,'Native American'!$A:$C,3,FALSE),0)</f>
        <v>0</v>
      </c>
      <c r="G169" s="99">
        <v>0</v>
      </c>
      <c r="H169" s="57"/>
      <c r="I169" s="491">
        <f t="shared" si="2"/>
        <v>18</v>
      </c>
      <c r="J169">
        <v>0</v>
      </c>
      <c r="L169" s="89"/>
    </row>
    <row r="170" spans="2:12" ht="15">
      <c r="B170" s="839" t="s">
        <v>309</v>
      </c>
      <c r="C170" s="850" t="s">
        <v>1309</v>
      </c>
      <c r="D170" s="128">
        <f>VLOOKUP(B170,'TBIP Enroll'!$A:$C,3,FALSE)</f>
        <v>0</v>
      </c>
      <c r="E170" s="454">
        <v>0</v>
      </c>
      <c r="F170" s="454">
        <f>IFERROR(VLOOKUP(B170,'Native American'!$A:$C,3,FALSE),0)</f>
        <v>125.83</v>
      </c>
      <c r="G170" s="99">
        <v>0</v>
      </c>
      <c r="H170" s="57"/>
      <c r="I170" s="491">
        <f t="shared" si="2"/>
        <v>125.83</v>
      </c>
      <c r="J170">
        <v>0</v>
      </c>
      <c r="L170" s="89"/>
    </row>
    <row r="171" spans="2:12" ht="15">
      <c r="B171" s="839" t="s">
        <v>336</v>
      </c>
      <c r="C171" s="850" t="s">
        <v>1519</v>
      </c>
      <c r="D171" s="128">
        <f>VLOOKUP(B171,'TBIP Enroll'!$A:$C,3,FALSE)</f>
        <v>0</v>
      </c>
      <c r="E171" s="454">
        <v>0</v>
      </c>
      <c r="F171" s="454">
        <f>IFERROR(VLOOKUP(B171,'Native American'!$A:$C,3,FALSE),0)</f>
        <v>0</v>
      </c>
      <c r="G171" s="99">
        <v>0</v>
      </c>
      <c r="H171" s="57"/>
      <c r="I171" s="491">
        <f t="shared" si="2"/>
        <v>0</v>
      </c>
      <c r="J171">
        <v>0</v>
      </c>
      <c r="L171" s="89"/>
    </row>
    <row r="172" spans="2:12" ht="15">
      <c r="B172" s="839" t="s">
        <v>428</v>
      </c>
      <c r="C172" s="850" t="s">
        <v>1565</v>
      </c>
      <c r="D172" s="128">
        <f>VLOOKUP(B172,'TBIP Enroll'!$A:$C,3,FALSE)</f>
        <v>0</v>
      </c>
      <c r="E172" s="454">
        <v>0</v>
      </c>
      <c r="F172" s="454">
        <f>IFERROR(VLOOKUP(B172,'Native American'!$A:$C,3,FALSE),0)</f>
        <v>0</v>
      </c>
      <c r="G172" s="99">
        <v>0</v>
      </c>
      <c r="I172" s="491">
        <f t="shared" si="2"/>
        <v>0</v>
      </c>
      <c r="J172">
        <v>0</v>
      </c>
      <c r="L172" s="89"/>
    </row>
    <row r="173" spans="2:12" ht="15">
      <c r="B173" s="839" t="s">
        <v>514</v>
      </c>
      <c r="C173" s="850" t="s">
        <v>685</v>
      </c>
      <c r="D173" s="128">
        <f>VLOOKUP(B173,'TBIP Enroll'!$A:$C,3,FALSE)</f>
        <v>250.5</v>
      </c>
      <c r="E173" s="454">
        <v>0</v>
      </c>
      <c r="F173" s="454">
        <f>IFERROR(VLOOKUP(B173,'Native American'!$A:$C,3,FALSE),0)</f>
        <v>13</v>
      </c>
      <c r="G173" s="99">
        <v>0</v>
      </c>
      <c r="H173" s="57"/>
      <c r="I173" s="491">
        <f t="shared" si="2"/>
        <v>263.5</v>
      </c>
      <c r="J173">
        <v>0</v>
      </c>
      <c r="L173" s="89"/>
    </row>
    <row r="174" spans="2:12" ht="15">
      <c r="B174" s="839" t="s">
        <v>136</v>
      </c>
      <c r="C174" s="850" t="s">
        <v>1430</v>
      </c>
      <c r="D174" s="128">
        <f>VLOOKUP(B174,'TBIP Enroll'!$A:$C,3,FALSE)</f>
        <v>16.670000000000002</v>
      </c>
      <c r="E174" s="454">
        <v>0</v>
      </c>
      <c r="F174" s="454">
        <f>IFERROR(VLOOKUP(B174,'Native American'!$A:$C,3,FALSE),0)</f>
        <v>32.83</v>
      </c>
      <c r="G174" s="99">
        <v>0</v>
      </c>
      <c r="I174" s="491">
        <f t="shared" si="2"/>
        <v>49.5</v>
      </c>
      <c r="J174">
        <v>0</v>
      </c>
      <c r="L174" s="89"/>
    </row>
    <row r="175" spans="2:12" ht="15">
      <c r="B175" s="839" t="s">
        <v>106</v>
      </c>
      <c r="C175" s="850" t="s">
        <v>1417</v>
      </c>
      <c r="D175" s="128">
        <f>VLOOKUP(B175,'TBIP Enroll'!$A:$C,3,FALSE)</f>
        <v>756.83</v>
      </c>
      <c r="E175" s="454">
        <v>0</v>
      </c>
      <c r="F175" s="454">
        <f>IFERROR(VLOOKUP(B175,'Native American'!$A:$C,3,FALSE),0)</f>
        <v>1</v>
      </c>
      <c r="G175" s="99">
        <v>0</v>
      </c>
      <c r="I175" s="491">
        <f t="shared" si="2"/>
        <v>757.83</v>
      </c>
      <c r="J175">
        <v>0</v>
      </c>
      <c r="L175" s="89"/>
    </row>
    <row r="176" spans="2:12" ht="15">
      <c r="B176" s="839" t="s">
        <v>214</v>
      </c>
      <c r="C176" s="850" t="s">
        <v>625</v>
      </c>
      <c r="D176" s="128">
        <f>VLOOKUP(B176,'TBIP Enroll'!$A:$C,3,FALSE)</f>
        <v>225.5</v>
      </c>
      <c r="E176" s="454">
        <v>0</v>
      </c>
      <c r="F176" s="454">
        <f>IFERROR(VLOOKUP(B176,'Native American'!$A:$C,3,FALSE),0)</f>
        <v>15.67</v>
      </c>
      <c r="G176" s="99">
        <v>0</v>
      </c>
      <c r="H176" s="57"/>
      <c r="I176" s="491">
        <f t="shared" si="2"/>
        <v>241.17</v>
      </c>
      <c r="J176">
        <v>0</v>
      </c>
      <c r="L176" s="89"/>
    </row>
    <row r="177" spans="2:12" ht="15">
      <c r="B177" s="839" t="s">
        <v>305</v>
      </c>
      <c r="C177" s="850" t="s">
        <v>1506</v>
      </c>
      <c r="D177" s="128">
        <f>VLOOKUP(B177,'TBIP Enroll'!$A:$C,3,FALSE)</f>
        <v>315</v>
      </c>
      <c r="E177" s="454">
        <v>0</v>
      </c>
      <c r="F177" s="454">
        <f>IFERROR(VLOOKUP(B177,'Native American'!$A:$C,3,FALSE),0)</f>
        <v>34.5</v>
      </c>
      <c r="G177" s="99">
        <v>0</v>
      </c>
      <c r="H177" s="57"/>
      <c r="I177" s="491">
        <f t="shared" si="2"/>
        <v>349.5</v>
      </c>
      <c r="J177">
        <v>0</v>
      </c>
      <c r="L177" s="89"/>
    </row>
    <row r="178" spans="2:12" ht="15">
      <c r="B178" s="839" t="s">
        <v>334</v>
      </c>
      <c r="C178" s="850" t="s">
        <v>1518</v>
      </c>
      <c r="D178" s="128">
        <f>VLOOKUP(B178,'TBIP Enroll'!$A:$C,3,FALSE)</f>
        <v>0</v>
      </c>
      <c r="E178" s="454">
        <v>0</v>
      </c>
      <c r="F178" s="454">
        <f>IFERROR(VLOOKUP(B178,'Native American'!$A:$C,3,FALSE),0)</f>
        <v>0</v>
      </c>
      <c r="G178" s="99">
        <v>0</v>
      </c>
      <c r="I178" s="491">
        <f t="shared" si="2"/>
        <v>0</v>
      </c>
      <c r="J178">
        <v>0</v>
      </c>
      <c r="L178" s="89"/>
    </row>
    <row r="179" spans="2:12" ht="15">
      <c r="B179" s="839" t="s">
        <v>474</v>
      </c>
      <c r="C179" s="850" t="s">
        <v>631</v>
      </c>
      <c r="D179" s="128">
        <f>VLOOKUP(B179,'TBIP Enroll'!$A:$C,3,FALSE)</f>
        <v>806.33</v>
      </c>
      <c r="E179" s="454">
        <v>1</v>
      </c>
      <c r="F179" s="454">
        <f>IFERROR(VLOOKUP(B179,'Native American'!$A:$C,3,FALSE),0)</f>
        <v>46.5</v>
      </c>
      <c r="G179" s="99">
        <v>0</v>
      </c>
      <c r="H179" s="57"/>
      <c r="I179" s="491">
        <f t="shared" si="2"/>
        <v>853.83</v>
      </c>
      <c r="J179">
        <v>0</v>
      </c>
      <c r="L179" s="89"/>
    </row>
    <row r="180" spans="2:12" ht="15">
      <c r="B180" s="839" t="s">
        <v>468</v>
      </c>
      <c r="C180" s="850" t="s">
        <v>1586</v>
      </c>
      <c r="D180" s="128">
        <f>VLOOKUP(B180,'TBIP Enroll'!$A:$C,3,FALSE)</f>
        <v>0</v>
      </c>
      <c r="E180" s="454">
        <v>0</v>
      </c>
      <c r="F180" s="454">
        <f>IFERROR(VLOOKUP(B180,'Native American'!$A:$C,3,FALSE),0)</f>
        <v>0</v>
      </c>
      <c r="G180" s="99">
        <v>0</v>
      </c>
      <c r="H180" s="57"/>
      <c r="I180" s="491">
        <f t="shared" si="2"/>
        <v>0</v>
      </c>
      <c r="J180">
        <v>0</v>
      </c>
      <c r="L180" s="89"/>
    </row>
    <row r="181" spans="2:12" ht="15">
      <c r="B181" s="839" t="s">
        <v>209</v>
      </c>
      <c r="C181" s="850" t="s">
        <v>637</v>
      </c>
      <c r="D181" s="128">
        <f>VLOOKUP(B181,'TBIP Enroll'!$A:$C,3,FALSE)</f>
        <v>2171.17</v>
      </c>
      <c r="E181" s="454">
        <v>0</v>
      </c>
      <c r="F181" s="454">
        <f>IFERROR(VLOOKUP(B181,'Native American'!$A:$C,3,FALSE),0)</f>
        <v>21.83</v>
      </c>
      <c r="G181" s="99">
        <v>2</v>
      </c>
      <c r="H181" s="57"/>
      <c r="I181" s="491">
        <f t="shared" si="2"/>
        <v>2191</v>
      </c>
      <c r="J181">
        <v>0</v>
      </c>
      <c r="L181" s="89"/>
    </row>
    <row r="182" spans="2:12" ht="15">
      <c r="B182" s="839" t="s">
        <v>157</v>
      </c>
      <c r="C182" s="850" t="s">
        <v>1440</v>
      </c>
      <c r="D182" s="128">
        <f>VLOOKUP(B182,'TBIP Enroll'!$A:$C,3,FALSE)</f>
        <v>202.66</v>
      </c>
      <c r="E182" s="454">
        <v>1</v>
      </c>
      <c r="F182" s="454">
        <f>IFERROR(VLOOKUP(B182,'Native American'!$A:$C,3,FALSE),0)</f>
        <v>26.67</v>
      </c>
      <c r="G182" s="99">
        <v>0</v>
      </c>
      <c r="I182" s="491">
        <f t="shared" si="2"/>
        <v>230.32999999999998</v>
      </c>
      <c r="J182">
        <v>0</v>
      </c>
      <c r="L182" s="89"/>
    </row>
    <row r="183" spans="2:12" ht="15">
      <c r="B183" s="839" t="s">
        <v>541</v>
      </c>
      <c r="C183" s="850" t="s">
        <v>1619</v>
      </c>
      <c r="D183" s="128">
        <f>VLOOKUP(B183,'TBIP Enroll'!$A:$C,3,FALSE)</f>
        <v>0</v>
      </c>
      <c r="E183" s="454">
        <v>0</v>
      </c>
      <c r="F183" s="454">
        <f>IFERROR(VLOOKUP(B183,'Native American'!$A:$C,3,FALSE),0)</f>
        <v>0</v>
      </c>
      <c r="G183" s="99">
        <v>0</v>
      </c>
      <c r="H183" s="57"/>
      <c r="I183" s="491">
        <f t="shared" si="2"/>
        <v>0</v>
      </c>
      <c r="J183">
        <v>0</v>
      </c>
      <c r="L183" s="89"/>
    </row>
    <row r="184" spans="2:12" ht="15">
      <c r="B184" s="839" t="s">
        <v>155</v>
      </c>
      <c r="C184" s="850" t="s">
        <v>1439</v>
      </c>
      <c r="D184" s="128">
        <f>VLOOKUP(B184,'TBIP Enroll'!$A:$C,3,FALSE)</f>
        <v>2</v>
      </c>
      <c r="E184" s="454">
        <v>0</v>
      </c>
      <c r="F184" s="454">
        <f>IFERROR(VLOOKUP(B184,'Native American'!$A:$C,3,FALSE),0)</f>
        <v>44.17</v>
      </c>
      <c r="G184" s="99">
        <v>0</v>
      </c>
      <c r="H184" s="57"/>
      <c r="I184" s="491">
        <f t="shared" si="2"/>
        <v>46.17</v>
      </c>
      <c r="J184">
        <v>0</v>
      </c>
      <c r="L184" s="89"/>
    </row>
    <row r="185" spans="2:12" ht="15">
      <c r="B185" s="839" t="s">
        <v>325</v>
      </c>
      <c r="C185" s="850" t="s">
        <v>712</v>
      </c>
      <c r="D185" s="128">
        <f>VLOOKUP(B185,'TBIP Enroll'!$A:$C,3,FALSE)</f>
        <v>42.33</v>
      </c>
      <c r="E185" s="454">
        <v>0</v>
      </c>
      <c r="F185" s="454">
        <f>IFERROR(VLOOKUP(B185,'Native American'!$A:$C,3,FALSE),0)</f>
        <v>4</v>
      </c>
      <c r="G185" s="99">
        <v>0</v>
      </c>
      <c r="I185" s="491">
        <f t="shared" si="2"/>
        <v>46.33</v>
      </c>
      <c r="J185">
        <v>0</v>
      </c>
      <c r="L185" s="89"/>
    </row>
    <row r="186" spans="2:12" ht="15">
      <c r="B186" s="839" t="s">
        <v>153</v>
      </c>
      <c r="C186" s="850" t="s">
        <v>1438</v>
      </c>
      <c r="D186" s="128">
        <f>VLOOKUP(B186,'TBIP Enroll'!$A:$C,3,FALSE)</f>
        <v>57</v>
      </c>
      <c r="E186" s="454">
        <v>0</v>
      </c>
      <c r="F186" s="454">
        <f>IFERROR(VLOOKUP(B186,'Native American'!$A:$C,3,FALSE),0)</f>
        <v>0</v>
      </c>
      <c r="G186" s="99">
        <v>0</v>
      </c>
      <c r="I186" s="491">
        <f t="shared" si="2"/>
        <v>57</v>
      </c>
      <c r="J186">
        <v>0</v>
      </c>
      <c r="L186" s="89"/>
    </row>
    <row r="187" spans="2:12" ht="15">
      <c r="B187" s="839" t="s">
        <v>287</v>
      </c>
      <c r="C187" s="850" t="s">
        <v>1497</v>
      </c>
      <c r="D187" s="128">
        <f>VLOOKUP(B187,'TBIP Enroll'!$A:$C,3,FALSE)</f>
        <v>0</v>
      </c>
      <c r="E187" s="454">
        <v>0</v>
      </c>
      <c r="F187" s="454">
        <f>IFERROR(VLOOKUP(B187,'Native American'!$A:$C,3,FALSE),0)</f>
        <v>0</v>
      </c>
      <c r="G187" s="99">
        <v>0</v>
      </c>
      <c r="H187" s="57"/>
      <c r="I187" s="491">
        <f t="shared" si="2"/>
        <v>0</v>
      </c>
      <c r="J187">
        <v>0</v>
      </c>
      <c r="L187" s="89"/>
    </row>
    <row r="188" spans="2:12" ht="15">
      <c r="B188" s="839" t="s">
        <v>313</v>
      </c>
      <c r="C188" s="850" t="s">
        <v>1509</v>
      </c>
      <c r="D188" s="128">
        <f>VLOOKUP(B188,'TBIP Enroll'!$A:$C,3,FALSE)</f>
        <v>87</v>
      </c>
      <c r="E188" s="454">
        <v>0</v>
      </c>
      <c r="F188" s="454">
        <f>IFERROR(VLOOKUP(B188,'Native American'!$A:$C,3,FALSE),0)</f>
        <v>0</v>
      </c>
      <c r="G188" s="99">
        <v>0</v>
      </c>
      <c r="H188" s="57"/>
      <c r="I188" s="491">
        <f t="shared" si="2"/>
        <v>87</v>
      </c>
      <c r="J188">
        <v>0</v>
      </c>
      <c r="L188" s="89"/>
    </row>
    <row r="189" spans="2:12" ht="15">
      <c r="B189" s="839" t="s">
        <v>478</v>
      </c>
      <c r="C189" s="850" t="s">
        <v>1590</v>
      </c>
      <c r="D189" s="128">
        <f>VLOOKUP(B189,'TBIP Enroll'!$A:$C,3,FALSE)</f>
        <v>282.67</v>
      </c>
      <c r="E189" s="454">
        <v>2</v>
      </c>
      <c r="F189" s="454">
        <f>IFERROR(VLOOKUP(B189,'Native American'!$A:$C,3,FALSE),0)</f>
        <v>10</v>
      </c>
      <c r="G189" s="99">
        <v>0</v>
      </c>
      <c r="H189" s="57"/>
      <c r="I189" s="491">
        <f t="shared" si="2"/>
        <v>294.67</v>
      </c>
      <c r="J189">
        <v>0</v>
      </c>
      <c r="L189" s="89"/>
    </row>
    <row r="190" spans="2:12" ht="15">
      <c r="B190" s="839" t="s">
        <v>311</v>
      </c>
      <c r="C190" s="850" t="s">
        <v>1508</v>
      </c>
      <c r="D190" s="128">
        <f>VLOOKUP(B190,'TBIP Enroll'!$A:$C,3,FALSE)</f>
        <v>266.83</v>
      </c>
      <c r="E190" s="454">
        <v>0</v>
      </c>
      <c r="F190" s="454">
        <f>IFERROR(VLOOKUP(B190,'Native American'!$A:$C,3,FALSE),0)</f>
        <v>7</v>
      </c>
      <c r="G190" s="99">
        <v>0</v>
      </c>
      <c r="H190" s="57"/>
      <c r="I190" s="491">
        <f t="shared" si="2"/>
        <v>273.83</v>
      </c>
      <c r="J190">
        <v>0</v>
      </c>
      <c r="L190" s="89"/>
    </row>
    <row r="191" spans="2:12" ht="15">
      <c r="B191" s="839" t="s">
        <v>270</v>
      </c>
      <c r="C191" s="850" t="s">
        <v>1489</v>
      </c>
      <c r="D191" s="128">
        <f>VLOOKUP(B191,'TBIP Enroll'!$A:$C,3,FALSE)</f>
        <v>25.83</v>
      </c>
      <c r="E191" s="454">
        <v>0</v>
      </c>
      <c r="F191" s="454">
        <f>IFERROR(VLOOKUP(B191,'Native American'!$A:$C,3,FALSE),0)</f>
        <v>0</v>
      </c>
      <c r="G191" s="99">
        <v>0</v>
      </c>
      <c r="H191" s="57"/>
      <c r="I191" s="491">
        <f t="shared" si="2"/>
        <v>25.83</v>
      </c>
      <c r="J191">
        <v>0</v>
      </c>
      <c r="L191" s="89"/>
    </row>
    <row r="192" spans="2:12" ht="15">
      <c r="B192" s="839" t="s">
        <v>448</v>
      </c>
      <c r="C192" s="850" t="s">
        <v>1576</v>
      </c>
      <c r="D192" s="128">
        <f>VLOOKUP(B192,'TBIP Enroll'!$A:$C,3,FALSE)</f>
        <v>0</v>
      </c>
      <c r="E192" s="454">
        <v>0</v>
      </c>
      <c r="F192" s="454">
        <f>IFERROR(VLOOKUP(B192,'Native American'!$A:$C,3,FALSE),0)</f>
        <v>0</v>
      </c>
      <c r="G192" s="99">
        <v>0</v>
      </c>
      <c r="I192" s="491">
        <f t="shared" si="2"/>
        <v>0</v>
      </c>
      <c r="J192">
        <v>0</v>
      </c>
      <c r="L192" s="89"/>
    </row>
    <row r="193" spans="2:12" ht="15">
      <c r="B193" s="839" t="s">
        <v>372</v>
      </c>
      <c r="C193" s="850" t="s">
        <v>1538</v>
      </c>
      <c r="D193" s="128">
        <f>VLOOKUP(B193,'TBIP Enroll'!$A:$C,3,FALSE)</f>
        <v>32.5</v>
      </c>
      <c r="E193" s="454">
        <v>0</v>
      </c>
      <c r="F193" s="454">
        <f>IFERROR(VLOOKUP(B193,'Native American'!$A:$C,3,FALSE),0)</f>
        <v>0</v>
      </c>
      <c r="G193" s="99">
        <v>0</v>
      </c>
      <c r="I193" s="491">
        <f t="shared" si="2"/>
        <v>32.5</v>
      </c>
      <c r="J193">
        <v>0</v>
      </c>
      <c r="L193" s="89"/>
    </row>
    <row r="194" spans="2:12" ht="15">
      <c r="B194" s="839" t="s">
        <v>424</v>
      </c>
      <c r="C194" s="850" t="s">
        <v>1563</v>
      </c>
      <c r="D194" s="128">
        <f>VLOOKUP(B194,'TBIP Enroll'!$A:$C,3,FALSE)</f>
        <v>0</v>
      </c>
      <c r="E194" s="454">
        <v>0</v>
      </c>
      <c r="F194" s="454">
        <f>IFERROR(VLOOKUP(B194,'Native American'!$A:$C,3,FALSE),0)</f>
        <v>0.83</v>
      </c>
      <c r="G194" s="99">
        <v>0</v>
      </c>
      <c r="H194" s="57"/>
      <c r="I194" s="491">
        <f t="shared" si="2"/>
        <v>0.83</v>
      </c>
      <c r="J194">
        <v>0</v>
      </c>
      <c r="L194" s="89"/>
    </row>
    <row r="195" spans="2:12" ht="15">
      <c r="B195" s="839" t="s">
        <v>98</v>
      </c>
      <c r="C195" s="850" t="s">
        <v>1413</v>
      </c>
      <c r="D195" s="128">
        <f>VLOOKUP(B195,'TBIP Enroll'!$A:$C,3,FALSE)</f>
        <v>0</v>
      </c>
      <c r="E195" s="454">
        <v>0</v>
      </c>
      <c r="F195" s="454">
        <f>IFERROR(VLOOKUP(B195,'Native American'!$A:$C,3,FALSE),0)</f>
        <v>0</v>
      </c>
      <c r="G195" s="99">
        <v>0</v>
      </c>
      <c r="H195" s="57"/>
      <c r="I195" s="491">
        <f t="shared" si="2"/>
        <v>0</v>
      </c>
      <c r="J195">
        <v>0</v>
      </c>
      <c r="L195" s="89"/>
    </row>
    <row r="196" spans="2:12" ht="15">
      <c r="B196" s="839" t="s">
        <v>82</v>
      </c>
      <c r="C196" s="850" t="s">
        <v>1405</v>
      </c>
      <c r="D196" s="128">
        <f>VLOOKUP(B196,'TBIP Enroll'!$A:$C,3,FALSE)</f>
        <v>66</v>
      </c>
      <c r="E196" s="454">
        <v>0</v>
      </c>
      <c r="F196" s="454">
        <f>IFERROR(VLOOKUP(B196,'Native American'!$A:$C,3,FALSE),0)</f>
        <v>0</v>
      </c>
      <c r="G196" s="99">
        <v>0</v>
      </c>
      <c r="H196" s="57"/>
      <c r="I196" s="491">
        <f t="shared" si="2"/>
        <v>66</v>
      </c>
      <c r="J196">
        <v>0</v>
      </c>
      <c r="L196" s="89"/>
    </row>
    <row r="197" spans="2:12" ht="15">
      <c r="B197" s="839" t="s">
        <v>323</v>
      </c>
      <c r="C197" s="850" t="s">
        <v>1513</v>
      </c>
      <c r="D197" s="128">
        <f>VLOOKUP(B197,'TBIP Enroll'!$A:$C,3,FALSE)</f>
        <v>65.17</v>
      </c>
      <c r="E197" s="454">
        <v>0</v>
      </c>
      <c r="F197" s="454">
        <f>IFERROR(VLOOKUP(B197,'Native American'!$A:$C,3,FALSE),0)</f>
        <v>0</v>
      </c>
      <c r="G197" s="99">
        <v>0</v>
      </c>
      <c r="H197" s="57"/>
      <c r="I197" s="491">
        <f t="shared" si="2"/>
        <v>65.17</v>
      </c>
      <c r="J197">
        <v>0</v>
      </c>
      <c r="L197" s="89"/>
    </row>
    <row r="198" spans="2:12" ht="15">
      <c r="B198" s="839" t="s">
        <v>355</v>
      </c>
      <c r="C198" s="850" t="s">
        <v>1529</v>
      </c>
      <c r="D198" s="128">
        <f>VLOOKUP(B198,'TBIP Enroll'!$A:$C,3,FALSE)</f>
        <v>52.5</v>
      </c>
      <c r="E198" s="454">
        <v>0</v>
      </c>
      <c r="F198" s="454">
        <f>IFERROR(VLOOKUP(B198,'Native American'!$A:$C,3,FALSE),0)</f>
        <v>10</v>
      </c>
      <c r="G198" s="99">
        <v>0</v>
      </c>
      <c r="H198" s="57"/>
      <c r="I198" s="491">
        <f t="shared" si="2"/>
        <v>62.5</v>
      </c>
      <c r="J198">
        <v>0</v>
      </c>
      <c r="L198" s="89"/>
    </row>
    <row r="199" spans="2:12" ht="15">
      <c r="B199" s="839" t="s">
        <v>4</v>
      </c>
      <c r="C199" s="850" t="s">
        <v>632</v>
      </c>
      <c r="D199" s="128">
        <f>VLOOKUP(B199,'TBIP Enroll'!$A:$C,3,FALSE)</f>
        <v>1755</v>
      </c>
      <c r="E199" s="454">
        <v>0</v>
      </c>
      <c r="F199" s="454">
        <f>IFERROR(VLOOKUP(B199,'Native American'!$A:$C,3,FALSE),0)</f>
        <v>3</v>
      </c>
      <c r="G199" s="99">
        <v>0</v>
      </c>
      <c r="H199" s="57"/>
      <c r="I199" s="491">
        <f t="shared" si="2"/>
        <v>1758</v>
      </c>
      <c r="J199">
        <v>0</v>
      </c>
      <c r="L199" s="89"/>
    </row>
    <row r="200" spans="2:12" ht="15">
      <c r="B200" s="839" t="s">
        <v>86</v>
      </c>
      <c r="C200" s="850" t="s">
        <v>1407</v>
      </c>
      <c r="D200" s="128">
        <f>VLOOKUP(B200,'TBIP Enroll'!$A:$C,3,FALSE)</f>
        <v>10</v>
      </c>
      <c r="E200" s="454">
        <v>0</v>
      </c>
      <c r="F200" s="454">
        <f>IFERROR(VLOOKUP(B200,'Native American'!$A:$C,3,FALSE),0)</f>
        <v>0</v>
      </c>
      <c r="G200" s="99">
        <v>0</v>
      </c>
      <c r="H200" s="57"/>
      <c r="I200" s="491">
        <f t="shared" ref="I200:I263" si="3">IF(D200+E200+F200-G200&lt;0,0,D200+E200+F200-G200)</f>
        <v>10</v>
      </c>
      <c r="J200">
        <v>0</v>
      </c>
      <c r="L200" s="89"/>
    </row>
    <row r="201" spans="2:12" ht="15">
      <c r="B201" s="839" t="s">
        <v>527</v>
      </c>
      <c r="C201" s="850" t="s">
        <v>1612</v>
      </c>
      <c r="D201" s="128">
        <f>VLOOKUP(B201,'TBIP Enroll'!$A:$C,3,FALSE)</f>
        <v>0</v>
      </c>
      <c r="E201" s="454">
        <v>0</v>
      </c>
      <c r="F201" s="454">
        <f>IFERROR(VLOOKUP(B201,'Native American'!$A:$C,3,FALSE),0)</f>
        <v>0</v>
      </c>
      <c r="G201" s="99">
        <v>0</v>
      </c>
      <c r="H201" s="57"/>
      <c r="I201" s="491">
        <f t="shared" si="3"/>
        <v>0</v>
      </c>
      <c r="J201">
        <v>0</v>
      </c>
      <c r="L201" s="89"/>
    </row>
    <row r="202" spans="2:12" ht="15">
      <c r="B202" s="839" t="s">
        <v>104</v>
      </c>
      <c r="C202" s="850" t="s">
        <v>1416</v>
      </c>
      <c r="D202" s="128">
        <f>VLOOKUP(B202,'TBIP Enroll'!$A:$C,3,FALSE)</f>
        <v>6047.83</v>
      </c>
      <c r="E202" s="454">
        <v>14</v>
      </c>
      <c r="F202" s="454">
        <f>IFERROR(VLOOKUP(B202,'Native American'!$A:$C,3,FALSE),0)</f>
        <v>0</v>
      </c>
      <c r="G202" s="99">
        <v>4</v>
      </c>
      <c r="H202" s="57"/>
      <c r="I202" s="491">
        <f t="shared" si="3"/>
        <v>6057.83</v>
      </c>
      <c r="J202">
        <v>0</v>
      </c>
      <c r="L202" s="89"/>
    </row>
    <row r="203" spans="2:12" ht="15">
      <c r="B203" s="839" t="s">
        <v>317</v>
      </c>
      <c r="C203" s="850" t="s">
        <v>1511</v>
      </c>
      <c r="D203" s="128">
        <f>VLOOKUP(B203,'TBIP Enroll'!$A:$C,3,FALSE)</f>
        <v>35.5</v>
      </c>
      <c r="E203" s="454">
        <v>0</v>
      </c>
      <c r="F203" s="454">
        <f>IFERROR(VLOOKUP(B203,'Native American'!$A:$C,3,FALSE),0)</f>
        <v>0</v>
      </c>
      <c r="G203" s="99">
        <v>0</v>
      </c>
      <c r="I203" s="491">
        <f t="shared" si="3"/>
        <v>35.5</v>
      </c>
      <c r="J203">
        <v>0</v>
      </c>
      <c r="L203" s="89"/>
    </row>
    <row r="204" spans="2:12" ht="15">
      <c r="B204" s="839" t="s">
        <v>16</v>
      </c>
      <c r="C204" s="850" t="s">
        <v>1375</v>
      </c>
      <c r="D204" s="128">
        <f>VLOOKUP(B204,'TBIP Enroll'!$A:$C,3,FALSE)</f>
        <v>22.83</v>
      </c>
      <c r="E204" s="454">
        <v>0</v>
      </c>
      <c r="F204" s="454">
        <f>IFERROR(VLOOKUP(B204,'Native American'!$A:$C,3,FALSE),0)</f>
        <v>0</v>
      </c>
      <c r="G204" s="99">
        <v>0</v>
      </c>
      <c r="I204" s="491">
        <f t="shared" si="3"/>
        <v>22.83</v>
      </c>
      <c r="J204">
        <v>0</v>
      </c>
      <c r="L204" s="89"/>
    </row>
    <row r="205" spans="2:12" ht="15">
      <c r="B205" s="839" t="s">
        <v>272</v>
      </c>
      <c r="C205" s="850" t="s">
        <v>1490</v>
      </c>
      <c r="D205" s="128">
        <f>VLOOKUP(B205,'TBIP Enroll'!$A:$C,3,FALSE)</f>
        <v>0</v>
      </c>
      <c r="E205" s="454">
        <v>0</v>
      </c>
      <c r="F205" s="454">
        <f>IFERROR(VLOOKUP(B205,'Native American'!$A:$C,3,FALSE),0)</f>
        <v>0</v>
      </c>
      <c r="G205" s="99">
        <v>0</v>
      </c>
      <c r="I205" s="491">
        <f t="shared" si="3"/>
        <v>0</v>
      </c>
      <c r="J205">
        <v>0</v>
      </c>
      <c r="L205" s="89"/>
    </row>
    <row r="206" spans="2:12" ht="15">
      <c r="B206" s="839" t="s">
        <v>359</v>
      </c>
      <c r="C206" s="850" t="s">
        <v>626</v>
      </c>
      <c r="D206" s="128">
        <f>VLOOKUP(B206,'TBIP Enroll'!$A:$C,3,FALSE)</f>
        <v>182.5</v>
      </c>
      <c r="E206" s="454">
        <v>0</v>
      </c>
      <c r="F206" s="454">
        <f>IFERROR(VLOOKUP(B206,'Native American'!$A:$C,3,FALSE),0)</f>
        <v>6</v>
      </c>
      <c r="G206" s="99">
        <v>0</v>
      </c>
      <c r="I206" s="491">
        <f t="shared" si="3"/>
        <v>188.5</v>
      </c>
      <c r="J206">
        <v>0</v>
      </c>
      <c r="L206" s="89"/>
    </row>
    <row r="207" spans="2:12" ht="15">
      <c r="B207" s="839" t="s">
        <v>1778</v>
      </c>
      <c r="C207" s="850" t="s">
        <v>1786</v>
      </c>
      <c r="D207" s="128">
        <f>VLOOKUP(B207,'TBIP Enroll'!$A:$C,3,FALSE)</f>
        <v>0</v>
      </c>
      <c r="E207" s="454">
        <v>0</v>
      </c>
      <c r="F207" s="454">
        <f>IFERROR(VLOOKUP(B207,'Native American'!$A:$C,3,FALSE),0)</f>
        <v>0</v>
      </c>
      <c r="G207" s="99">
        <v>0</v>
      </c>
      <c r="H207" s="57"/>
      <c r="I207" s="491">
        <f t="shared" si="3"/>
        <v>0</v>
      </c>
      <c r="J207">
        <v>0</v>
      </c>
      <c r="L207" s="89"/>
    </row>
    <row r="208" spans="2:12" ht="15">
      <c r="B208" s="839" t="s">
        <v>303</v>
      </c>
      <c r="C208" s="850" t="s">
        <v>1505</v>
      </c>
      <c r="D208" s="128">
        <f>VLOOKUP(B208,'TBIP Enroll'!$A:$C,3,FALSE)</f>
        <v>21.17</v>
      </c>
      <c r="E208" s="454">
        <v>0</v>
      </c>
      <c r="F208" s="454">
        <f>IFERROR(VLOOKUP(B208,'Native American'!$A:$C,3,FALSE),0)</f>
        <v>0</v>
      </c>
      <c r="G208" s="99">
        <v>0</v>
      </c>
      <c r="H208" s="57"/>
      <c r="I208" s="491">
        <f t="shared" si="3"/>
        <v>21.17</v>
      </c>
      <c r="J208">
        <v>0</v>
      </c>
      <c r="L208" s="89"/>
    </row>
    <row r="209" spans="2:12" ht="15">
      <c r="B209" s="839" t="s">
        <v>112</v>
      </c>
      <c r="C209" s="850" t="s">
        <v>1420</v>
      </c>
      <c r="D209" s="128">
        <f>VLOOKUP(B209,'TBIP Enroll'!$A:$C,3,FALSE)</f>
        <v>3</v>
      </c>
      <c r="E209" s="454">
        <v>0</v>
      </c>
      <c r="F209" s="454">
        <f>IFERROR(VLOOKUP(B209,'Native American'!$A:$C,3,FALSE),0)</f>
        <v>0</v>
      </c>
      <c r="G209" s="99">
        <v>0</v>
      </c>
      <c r="I209" s="491">
        <f t="shared" si="3"/>
        <v>3</v>
      </c>
      <c r="J209">
        <v>0</v>
      </c>
      <c r="L209" s="89"/>
    </row>
    <row r="210" spans="2:12" ht="15">
      <c r="B210" s="839" t="s">
        <v>39</v>
      </c>
      <c r="C210" s="850" t="s">
        <v>1385</v>
      </c>
      <c r="D210" s="128">
        <f>VLOOKUP(B210,'TBIP Enroll'!$A:$C,3,FALSE)</f>
        <v>54.17</v>
      </c>
      <c r="E210" s="454">
        <v>0</v>
      </c>
      <c r="F210" s="454">
        <f>IFERROR(VLOOKUP(B210,'Native American'!$A:$C,3,FALSE),0)</f>
        <v>0</v>
      </c>
      <c r="G210" s="99">
        <v>0</v>
      </c>
      <c r="H210" s="57"/>
      <c r="I210" s="491">
        <f t="shared" si="3"/>
        <v>54.17</v>
      </c>
      <c r="J210">
        <v>0</v>
      </c>
      <c r="L210" s="89"/>
    </row>
    <row r="211" spans="2:12" ht="15">
      <c r="B211" s="839" t="s">
        <v>171</v>
      </c>
      <c r="C211" s="850" t="s">
        <v>1447</v>
      </c>
      <c r="D211" s="128">
        <f>VLOOKUP(B211,'TBIP Enroll'!$A:$C,3,FALSE)</f>
        <v>31.66</v>
      </c>
      <c r="E211" s="454">
        <v>0</v>
      </c>
      <c r="F211" s="454">
        <f>IFERROR(VLOOKUP(B211,'Native American'!$A:$C,3,FALSE),0)</f>
        <v>0</v>
      </c>
      <c r="G211" s="99">
        <v>0</v>
      </c>
      <c r="H211" s="57"/>
      <c r="I211" s="491">
        <f t="shared" si="3"/>
        <v>31.66</v>
      </c>
      <c r="J211">
        <v>0</v>
      </c>
      <c r="L211" s="89"/>
    </row>
    <row r="212" spans="2:12" ht="15">
      <c r="B212" s="839" t="s">
        <v>502</v>
      </c>
      <c r="C212" s="850" t="s">
        <v>1601</v>
      </c>
      <c r="D212" s="128">
        <f>VLOOKUP(B212,'TBIP Enroll'!$A:$C,3,FALSE)</f>
        <v>80.66</v>
      </c>
      <c r="E212" s="454">
        <v>0</v>
      </c>
      <c r="F212" s="454">
        <f>IFERROR(VLOOKUP(B212,'Native American'!$A:$C,3,FALSE),0)</f>
        <v>0</v>
      </c>
      <c r="G212" s="99">
        <v>0</v>
      </c>
      <c r="H212" s="57"/>
      <c r="I212" s="491">
        <f t="shared" si="3"/>
        <v>80.66</v>
      </c>
      <c r="J212">
        <v>0</v>
      </c>
      <c r="L212" s="89"/>
    </row>
    <row r="213" spans="2:12" ht="15">
      <c r="B213" s="839" t="s">
        <v>1690</v>
      </c>
      <c r="C213" s="850" t="s">
        <v>1765</v>
      </c>
      <c r="D213" s="128">
        <f>VLOOKUP(B213,'TBIP Enroll'!$A:$C,3,FALSE)</f>
        <v>0</v>
      </c>
      <c r="E213" s="454">
        <v>0</v>
      </c>
      <c r="F213" s="454">
        <f>IFERROR(VLOOKUP(B213,'Native American'!$A:$C,3,FALSE),0)</f>
        <v>0</v>
      </c>
      <c r="G213" s="99">
        <v>0</v>
      </c>
      <c r="I213" s="491">
        <f t="shared" si="3"/>
        <v>0</v>
      </c>
      <c r="J213">
        <v>0</v>
      </c>
      <c r="L213" s="89"/>
    </row>
    <row r="214" spans="2:12" ht="15">
      <c r="B214" s="839" t="s">
        <v>21</v>
      </c>
      <c r="C214" s="850" t="s">
        <v>1378</v>
      </c>
      <c r="D214" s="128">
        <f>VLOOKUP(B214,'TBIP Enroll'!$A:$C,3,FALSE)</f>
        <v>580.5</v>
      </c>
      <c r="E214" s="454">
        <v>0</v>
      </c>
      <c r="F214" s="454">
        <f>IFERROR(VLOOKUP(B214,'Native American'!$A:$C,3,FALSE),0)</f>
        <v>2</v>
      </c>
      <c r="G214" s="99">
        <v>0</v>
      </c>
      <c r="I214" s="491">
        <f t="shared" si="3"/>
        <v>582.5</v>
      </c>
      <c r="J214">
        <v>0</v>
      </c>
      <c r="L214" s="89"/>
    </row>
    <row r="215" spans="2:12" ht="15">
      <c r="B215" s="839" t="s">
        <v>523</v>
      </c>
      <c r="C215" s="850" t="s">
        <v>1610</v>
      </c>
      <c r="D215" s="128">
        <f>VLOOKUP(B215,'TBIP Enroll'!$A:$C,3,FALSE)</f>
        <v>109.67</v>
      </c>
      <c r="E215" s="454">
        <v>0</v>
      </c>
      <c r="F215" s="454">
        <f>IFERROR(VLOOKUP(B215,'Native American'!$A:$C,3,FALSE),0)</f>
        <v>1.83</v>
      </c>
      <c r="G215" s="99">
        <v>1</v>
      </c>
      <c r="I215" s="491">
        <f t="shared" si="3"/>
        <v>110.5</v>
      </c>
      <c r="J215">
        <v>0</v>
      </c>
      <c r="L215" s="89"/>
    </row>
    <row r="216" spans="2:12" ht="15">
      <c r="B216" s="839" t="s">
        <v>1779</v>
      </c>
      <c r="C216" s="850" t="s">
        <v>1787</v>
      </c>
      <c r="D216" s="128">
        <f>VLOOKUP(B216,'TBIP Enroll'!$A:$C,3,FALSE)</f>
        <v>0</v>
      </c>
      <c r="E216" s="454">
        <v>0</v>
      </c>
      <c r="F216" s="454">
        <f>IFERROR(VLOOKUP(B216,'Native American'!$A:$C,3,FALSE),0)</f>
        <v>0</v>
      </c>
      <c r="G216" s="99">
        <v>0</v>
      </c>
      <c r="H216" s="57"/>
      <c r="I216" s="491">
        <f t="shared" si="3"/>
        <v>0</v>
      </c>
      <c r="J216">
        <v>0</v>
      </c>
      <c r="L216" s="89"/>
    </row>
    <row r="217" spans="2:12" ht="15">
      <c r="B217" s="839" t="s">
        <v>343</v>
      </c>
      <c r="C217" s="850" t="s">
        <v>1523</v>
      </c>
      <c r="D217" s="128">
        <f>VLOOKUP(B217,'TBIP Enroll'!$A:$C,3,FALSE)</f>
        <v>1264.5</v>
      </c>
      <c r="E217" s="454">
        <v>0</v>
      </c>
      <c r="F217" s="454">
        <f>IFERROR(VLOOKUP(B217,'Native American'!$A:$C,3,FALSE),0)</f>
        <v>29.17</v>
      </c>
      <c r="G217" s="99">
        <v>1</v>
      </c>
      <c r="H217" s="57"/>
      <c r="I217" s="491">
        <f t="shared" si="3"/>
        <v>1292.67</v>
      </c>
      <c r="J217">
        <v>0</v>
      </c>
      <c r="L217" s="89"/>
    </row>
    <row r="218" spans="2:12" ht="15">
      <c r="B218" s="839" t="s">
        <v>163</v>
      </c>
      <c r="C218" s="850" t="s">
        <v>1443</v>
      </c>
      <c r="D218" s="128">
        <f>VLOOKUP(B218,'TBIP Enroll'!$A:$C,3,FALSE)</f>
        <v>0</v>
      </c>
      <c r="E218" s="454">
        <v>0</v>
      </c>
      <c r="F218" s="454">
        <f>IFERROR(VLOOKUP(B218,'Native American'!$A:$C,3,FALSE),0)</f>
        <v>0</v>
      </c>
      <c r="G218" s="99">
        <v>0</v>
      </c>
      <c r="H218" s="57"/>
      <c r="I218" s="491">
        <f t="shared" si="3"/>
        <v>0</v>
      </c>
      <c r="J218">
        <v>0</v>
      </c>
      <c r="L218" s="89"/>
    </row>
    <row r="219" spans="2:12" ht="15">
      <c r="B219" s="839" t="s">
        <v>167</v>
      </c>
      <c r="C219" s="850" t="s">
        <v>1445</v>
      </c>
      <c r="D219" s="128">
        <f>VLOOKUP(B219,'TBIP Enroll'!$A:$C,3,FALSE)</f>
        <v>0</v>
      </c>
      <c r="E219" s="454">
        <v>0</v>
      </c>
      <c r="F219" s="454">
        <f>IFERROR(VLOOKUP(B219,'Native American'!$A:$C,3,FALSE),0)</f>
        <v>0</v>
      </c>
      <c r="G219" s="99">
        <v>0</v>
      </c>
      <c r="I219" s="491">
        <f t="shared" si="3"/>
        <v>0</v>
      </c>
      <c r="J219">
        <v>0</v>
      </c>
      <c r="L219" s="89"/>
    </row>
    <row r="220" spans="2:12" ht="15">
      <c r="B220" s="839" t="s">
        <v>47</v>
      </c>
      <c r="C220" s="850" t="s">
        <v>1389</v>
      </c>
      <c r="D220" s="128">
        <f>VLOOKUP(B220,'TBIP Enroll'!$A:$C,3,FALSE)</f>
        <v>204.83</v>
      </c>
      <c r="E220" s="454">
        <v>0</v>
      </c>
      <c r="F220" s="454">
        <f>IFERROR(VLOOKUP(B220,'Native American'!$A:$C,3,FALSE),0)</f>
        <v>21.5</v>
      </c>
      <c r="G220" s="99">
        <v>0</v>
      </c>
      <c r="H220" s="57"/>
      <c r="I220" s="491">
        <f t="shared" si="3"/>
        <v>226.33</v>
      </c>
      <c r="J220">
        <v>0</v>
      </c>
      <c r="L220" s="89"/>
    </row>
    <row r="221" spans="2:12" ht="15">
      <c r="B221" s="839" t="s">
        <v>145</v>
      </c>
      <c r="C221" s="850" t="s">
        <v>607</v>
      </c>
      <c r="D221" s="128">
        <f>VLOOKUP(B221,'TBIP Enroll'!$A:$C,3,FALSE)</f>
        <v>34.67</v>
      </c>
      <c r="E221" s="454">
        <v>0</v>
      </c>
      <c r="F221" s="454">
        <f>IFERROR(VLOOKUP(B221,'Native American'!$A:$C,3,FALSE),0)</f>
        <v>5</v>
      </c>
      <c r="G221" s="99">
        <v>0</v>
      </c>
      <c r="H221" s="57"/>
      <c r="I221" s="491">
        <f t="shared" si="3"/>
        <v>39.67</v>
      </c>
      <c r="J221">
        <v>0</v>
      </c>
      <c r="L221" s="89"/>
    </row>
    <row r="222" spans="2:12" ht="15">
      <c r="B222" s="839" t="s">
        <v>116</v>
      </c>
      <c r="C222" s="850" t="s">
        <v>1421</v>
      </c>
      <c r="D222" s="128">
        <f>VLOOKUP(B222,'TBIP Enroll'!$A:$C,3,FALSE)</f>
        <v>1224.17</v>
      </c>
      <c r="E222" s="454">
        <v>0</v>
      </c>
      <c r="F222" s="454">
        <f>IFERROR(VLOOKUP(B222,'Native American'!$A:$C,3,FALSE),0)</f>
        <v>0</v>
      </c>
      <c r="G222" s="99">
        <v>0</v>
      </c>
      <c r="H222" s="57"/>
      <c r="I222" s="491">
        <f t="shared" si="3"/>
        <v>1224.17</v>
      </c>
      <c r="J222">
        <v>0</v>
      </c>
      <c r="L222" s="89"/>
    </row>
    <row r="223" spans="2:12" ht="15">
      <c r="B223" s="839" t="s">
        <v>480</v>
      </c>
      <c r="C223" s="850" t="s">
        <v>1591</v>
      </c>
      <c r="D223" s="128">
        <f>VLOOKUP(B223,'TBIP Enroll'!$A:$C,3,FALSE)</f>
        <v>0</v>
      </c>
      <c r="E223" s="454">
        <v>0</v>
      </c>
      <c r="F223" s="454">
        <f>IFERROR(VLOOKUP(B223,'Native American'!$A:$C,3,FALSE),0)</f>
        <v>0</v>
      </c>
      <c r="G223" s="99">
        <v>0</v>
      </c>
      <c r="H223" s="57"/>
      <c r="I223" s="491">
        <f t="shared" si="3"/>
        <v>0</v>
      </c>
      <c r="J223">
        <v>0</v>
      </c>
      <c r="L223" s="89"/>
    </row>
    <row r="224" spans="2:12" ht="15">
      <c r="B224" s="839" t="s">
        <v>1686</v>
      </c>
      <c r="C224" s="850" t="s">
        <v>1766</v>
      </c>
      <c r="D224" s="128">
        <f>VLOOKUP(B224,'TBIP Enroll'!$A:$C,3,FALSE)</f>
        <v>81.5</v>
      </c>
      <c r="E224" s="454">
        <v>0</v>
      </c>
      <c r="F224" s="454">
        <f>IFERROR(VLOOKUP(B224,'Native American'!$A:$C,3,FALSE),0)</f>
        <v>0</v>
      </c>
      <c r="G224" s="99">
        <v>0</v>
      </c>
      <c r="I224" s="491">
        <f t="shared" si="3"/>
        <v>81.5</v>
      </c>
      <c r="J224">
        <v>0</v>
      </c>
      <c r="L224" s="89"/>
    </row>
    <row r="225" spans="2:12" ht="15">
      <c r="B225" s="839" t="s">
        <v>1720</v>
      </c>
      <c r="C225" s="850" t="s">
        <v>1789</v>
      </c>
      <c r="D225" s="128">
        <f>VLOOKUP(B225,'TBIP Enroll'!$A:$C,3,FALSE)</f>
        <v>22.33</v>
      </c>
      <c r="E225" s="454">
        <v>0</v>
      </c>
      <c r="F225" s="454">
        <f>IFERROR(VLOOKUP(B225,'Native American'!$A:$C,3,FALSE),0)</f>
        <v>0</v>
      </c>
      <c r="G225" s="99">
        <v>0</v>
      </c>
      <c r="H225" s="57"/>
      <c r="I225" s="491">
        <f t="shared" si="3"/>
        <v>22.33</v>
      </c>
      <c r="J225">
        <v>0</v>
      </c>
      <c r="L225" s="89"/>
    </row>
    <row r="226" spans="2:12" ht="15">
      <c r="B226" s="839" t="s">
        <v>327</v>
      </c>
      <c r="C226" s="850" t="s">
        <v>1514</v>
      </c>
      <c r="D226" s="128">
        <f>VLOOKUP(B226,'TBIP Enroll'!$A:$C,3,FALSE)</f>
        <v>68.5</v>
      </c>
      <c r="E226" s="454">
        <v>0</v>
      </c>
      <c r="F226" s="454">
        <f>IFERROR(VLOOKUP(B226,'Native American'!$A:$C,3,FALSE),0)</f>
        <v>0</v>
      </c>
      <c r="G226" s="99">
        <v>0</v>
      </c>
      <c r="H226" s="57"/>
      <c r="I226" s="491">
        <f t="shared" si="3"/>
        <v>68.5</v>
      </c>
      <c r="J226">
        <v>0</v>
      </c>
      <c r="L226" s="89"/>
    </row>
    <row r="227" spans="2:12" ht="15">
      <c r="B227" s="839" t="s">
        <v>282</v>
      </c>
      <c r="C227" s="850" t="s">
        <v>1494</v>
      </c>
      <c r="D227" s="128">
        <f>VLOOKUP(B227,'TBIP Enroll'!$A:$C,3,FALSE)</f>
        <v>8.66</v>
      </c>
      <c r="E227" s="454">
        <v>0</v>
      </c>
      <c r="F227" s="454">
        <f>IFERROR(VLOOKUP(B227,'Native American'!$A:$C,3,FALSE),0)</f>
        <v>5</v>
      </c>
      <c r="G227" s="99">
        <v>0</v>
      </c>
      <c r="I227" s="491">
        <f t="shared" si="3"/>
        <v>13.66</v>
      </c>
      <c r="J227">
        <v>0</v>
      </c>
      <c r="L227" s="89"/>
    </row>
    <row r="228" spans="2:12" ht="15">
      <c r="B228" s="839" t="s">
        <v>185</v>
      </c>
      <c r="C228" s="850" t="s">
        <v>638</v>
      </c>
      <c r="D228" s="128">
        <f>VLOOKUP(B228,'TBIP Enroll'!$A:$C,3,FALSE)</f>
        <v>2921.5</v>
      </c>
      <c r="E228" s="454">
        <v>0</v>
      </c>
      <c r="F228" s="454">
        <f>IFERROR(VLOOKUP(B228,'Native American'!$A:$C,3,FALSE),0)</f>
        <v>34</v>
      </c>
      <c r="G228" s="99">
        <v>0</v>
      </c>
      <c r="H228" s="57"/>
      <c r="I228" s="491">
        <f t="shared" si="3"/>
        <v>2955.5</v>
      </c>
      <c r="J228">
        <v>0</v>
      </c>
      <c r="L228" s="89"/>
    </row>
    <row r="229" spans="2:12" ht="15">
      <c r="B229" s="839" t="s">
        <v>102</v>
      </c>
      <c r="C229" s="850" t="s">
        <v>1415</v>
      </c>
      <c r="D229" s="128">
        <f>VLOOKUP(B229,'TBIP Enroll'!$A:$C,3,FALSE)</f>
        <v>0</v>
      </c>
      <c r="E229" s="454">
        <v>0</v>
      </c>
      <c r="F229" s="454">
        <f>IFERROR(VLOOKUP(B229,'Native American'!$A:$C,3,FALSE),0)</f>
        <v>0</v>
      </c>
      <c r="G229" s="99">
        <v>0</v>
      </c>
      <c r="H229" s="57"/>
      <c r="I229" s="491">
        <f t="shared" si="3"/>
        <v>0</v>
      </c>
      <c r="J229">
        <v>0</v>
      </c>
      <c r="L229" s="89"/>
    </row>
    <row r="230" spans="2:12" ht="15">
      <c r="B230" s="839" t="s">
        <v>23</v>
      </c>
      <c r="C230" s="850" t="s">
        <v>1379</v>
      </c>
      <c r="D230" s="128">
        <f>VLOOKUP(B230,'TBIP Enroll'!$A:$C,3,FALSE)</f>
        <v>734.5</v>
      </c>
      <c r="E230" s="454">
        <v>0</v>
      </c>
      <c r="F230" s="454">
        <f>IFERROR(VLOOKUP(B230,'Native American'!$A:$C,3,FALSE),0)</f>
        <v>0</v>
      </c>
      <c r="G230" s="99">
        <v>1</v>
      </c>
      <c r="I230" s="491">
        <f t="shared" si="3"/>
        <v>733.5</v>
      </c>
      <c r="J230">
        <v>0</v>
      </c>
      <c r="L230" s="89"/>
    </row>
    <row r="231" spans="2:12" ht="15">
      <c r="B231" s="839" t="s">
        <v>64</v>
      </c>
      <c r="C231" s="850" t="s">
        <v>1397</v>
      </c>
      <c r="D231" s="128">
        <f>VLOOKUP(B231,'TBIP Enroll'!$A:$C,3,FALSE)</f>
        <v>90.33</v>
      </c>
      <c r="E231" s="454">
        <v>0</v>
      </c>
      <c r="F231" s="454">
        <f>IFERROR(VLOOKUP(B231,'Native American'!$A:$C,3,FALSE),0)</f>
        <v>0</v>
      </c>
      <c r="G231" s="99">
        <v>1</v>
      </c>
      <c r="I231" s="491">
        <f t="shared" si="3"/>
        <v>89.33</v>
      </c>
      <c r="J231">
        <v>0</v>
      </c>
      <c r="L231" s="89"/>
    </row>
    <row r="232" spans="2:12" ht="15">
      <c r="B232" s="839" t="s">
        <v>8</v>
      </c>
      <c r="C232" s="850" t="s">
        <v>1372</v>
      </c>
      <c r="D232" s="128">
        <f>VLOOKUP(B232,'TBIP Enroll'!$A:$C,3,FALSE)</f>
        <v>0</v>
      </c>
      <c r="E232" s="454">
        <v>0</v>
      </c>
      <c r="F232" s="454">
        <f>IFERROR(VLOOKUP(B232,'Native American'!$A:$C,3,FALSE),0)</f>
        <v>0</v>
      </c>
      <c r="G232" s="99">
        <v>0</v>
      </c>
      <c r="H232" s="57"/>
      <c r="I232" s="491">
        <f t="shared" si="3"/>
        <v>0</v>
      </c>
      <c r="J232">
        <v>0</v>
      </c>
      <c r="L232" s="89"/>
    </row>
    <row r="233" spans="2:12" ht="15">
      <c r="B233" s="839" t="s">
        <v>446</v>
      </c>
      <c r="C233" s="850" t="s">
        <v>1575</v>
      </c>
      <c r="D233" s="128">
        <f>VLOOKUP(B233,'TBIP Enroll'!$A:$C,3,FALSE)</f>
        <v>11.67</v>
      </c>
      <c r="E233" s="454">
        <v>0</v>
      </c>
      <c r="F233" s="454">
        <f>IFERROR(VLOOKUP(B233,'Native American'!$A:$C,3,FALSE),0)</f>
        <v>0</v>
      </c>
      <c r="G233" s="99">
        <v>0</v>
      </c>
      <c r="H233" s="57"/>
      <c r="I233" s="491">
        <f t="shared" si="3"/>
        <v>11.67</v>
      </c>
      <c r="J233">
        <v>0</v>
      </c>
      <c r="L233" s="89"/>
    </row>
    <row r="234" spans="2:12" ht="15">
      <c r="B234" s="839" t="s">
        <v>193</v>
      </c>
      <c r="C234" s="850" t="s">
        <v>1457</v>
      </c>
      <c r="D234" s="128">
        <f>VLOOKUP(B234,'TBIP Enroll'!$A:$C,3,FALSE)</f>
        <v>182</v>
      </c>
      <c r="E234" s="454">
        <v>0</v>
      </c>
      <c r="F234" s="454">
        <f>IFERROR(VLOOKUP(B234,'Native American'!$A:$C,3,FALSE),0)</f>
        <v>0</v>
      </c>
      <c r="G234" s="99">
        <v>0</v>
      </c>
      <c r="H234" s="57"/>
      <c r="I234" s="491">
        <f t="shared" si="3"/>
        <v>182</v>
      </c>
      <c r="J234">
        <v>0</v>
      </c>
      <c r="L234" s="89"/>
    </row>
    <row r="235" spans="2:12" ht="15">
      <c r="B235" s="839" t="s">
        <v>484</v>
      </c>
      <c r="C235" s="850" t="s">
        <v>1593</v>
      </c>
      <c r="D235" s="128">
        <f>VLOOKUP(B235,'TBIP Enroll'!$A:$C,3,FALSE)</f>
        <v>172.17</v>
      </c>
      <c r="E235" s="454">
        <v>0</v>
      </c>
      <c r="F235" s="454">
        <f>IFERROR(VLOOKUP(B235,'Native American'!$A:$C,3,FALSE),0)</f>
        <v>43</v>
      </c>
      <c r="G235" s="99">
        <v>0</v>
      </c>
      <c r="I235" s="491">
        <f t="shared" si="3"/>
        <v>215.17</v>
      </c>
      <c r="J235">
        <v>0</v>
      </c>
      <c r="L235" s="89"/>
    </row>
    <row r="236" spans="2:12" ht="15">
      <c r="B236" s="839" t="s">
        <v>244</v>
      </c>
      <c r="C236" s="850" t="s">
        <v>1478</v>
      </c>
      <c r="D236" s="128">
        <f>VLOOKUP(B236,'TBIP Enroll'!$A:$C,3,FALSE)</f>
        <v>19.170000000000002</v>
      </c>
      <c r="E236" s="454">
        <v>0</v>
      </c>
      <c r="F236" s="454">
        <f>IFERROR(VLOOKUP(B236,'Native American'!$A:$C,3,FALSE),0)</f>
        <v>0</v>
      </c>
      <c r="G236" s="99">
        <v>0</v>
      </c>
      <c r="H236" s="57"/>
      <c r="I236" s="491">
        <f t="shared" si="3"/>
        <v>19.170000000000002</v>
      </c>
      <c r="J236">
        <v>0</v>
      </c>
      <c r="L236" s="89"/>
    </row>
    <row r="237" spans="2:12" ht="15">
      <c r="B237" s="839" t="s">
        <v>537</v>
      </c>
      <c r="C237" s="850" t="s">
        <v>1617</v>
      </c>
      <c r="D237" s="128">
        <f>VLOOKUP(B237,'TBIP Enroll'!$A:$C,3,FALSE)</f>
        <v>0</v>
      </c>
      <c r="E237" s="454">
        <v>0</v>
      </c>
      <c r="F237" s="454">
        <f>IFERROR(VLOOKUP(B237,'Native American'!$A:$C,3,FALSE),0)</f>
        <v>0</v>
      </c>
      <c r="G237" s="99">
        <v>0</v>
      </c>
      <c r="H237" s="57"/>
      <c r="I237" s="491">
        <f t="shared" si="3"/>
        <v>0</v>
      </c>
      <c r="J237">
        <v>0</v>
      </c>
      <c r="L237" s="89"/>
    </row>
    <row r="238" spans="2:12" ht="15">
      <c r="B238" s="839" t="s">
        <v>123</v>
      </c>
      <c r="C238" s="850" t="s">
        <v>1425</v>
      </c>
      <c r="D238" s="128">
        <f>VLOOKUP(B238,'TBIP Enroll'!$A:$C,3,FALSE)</f>
        <v>829.16</v>
      </c>
      <c r="E238" s="454">
        <v>0</v>
      </c>
      <c r="F238" s="454">
        <f>IFERROR(VLOOKUP(B238,'Native American'!$A:$C,3,FALSE),0)</f>
        <v>0</v>
      </c>
      <c r="G238" s="99">
        <v>0</v>
      </c>
      <c r="H238" s="57"/>
      <c r="I238" s="491">
        <f t="shared" si="3"/>
        <v>829.16</v>
      </c>
      <c r="J238">
        <v>0</v>
      </c>
      <c r="L238" s="89"/>
    </row>
    <row r="239" spans="2:12" ht="15">
      <c r="B239" s="839" t="s">
        <v>375</v>
      </c>
      <c r="C239" s="850" t="s">
        <v>1269</v>
      </c>
      <c r="D239" s="128">
        <f>VLOOKUP(B239,'TBIP Enroll'!$A:$C,3,FALSE)</f>
        <v>55</v>
      </c>
      <c r="E239" s="454">
        <v>0</v>
      </c>
      <c r="F239" s="454">
        <f>IFERROR(VLOOKUP(B239,'Native American'!$A:$C,3,FALSE),0)</f>
        <v>0</v>
      </c>
      <c r="G239" s="99">
        <v>0</v>
      </c>
      <c r="I239" s="491">
        <f t="shared" si="3"/>
        <v>55</v>
      </c>
      <c r="J239">
        <v>0</v>
      </c>
      <c r="L239" s="89"/>
    </row>
    <row r="240" spans="2:12" ht="15">
      <c r="B240" s="839" t="s">
        <v>149</v>
      </c>
      <c r="C240" s="850" t="s">
        <v>1436</v>
      </c>
      <c r="D240" s="128">
        <f>VLOOKUP(B240,'TBIP Enroll'!$A:$C,3,FALSE)</f>
        <v>0</v>
      </c>
      <c r="E240" s="454">
        <v>0</v>
      </c>
      <c r="F240" s="454">
        <f>IFERROR(VLOOKUP(B240,'Native American'!$A:$C,3,FALSE),0)</f>
        <v>0</v>
      </c>
      <c r="G240" s="99">
        <v>0</v>
      </c>
      <c r="H240" s="57"/>
      <c r="I240" s="491">
        <f t="shared" si="3"/>
        <v>0</v>
      </c>
      <c r="J240">
        <v>0</v>
      </c>
      <c r="L240" s="89"/>
    </row>
    <row r="241" spans="2:12" ht="15">
      <c r="B241" s="839" t="s">
        <v>1682</v>
      </c>
      <c r="C241" s="850" t="s">
        <v>1683</v>
      </c>
      <c r="D241" s="128">
        <f>VLOOKUP(B241,'TBIP Enroll'!$A:$C,3,FALSE)</f>
        <v>0</v>
      </c>
      <c r="E241" s="454">
        <v>0</v>
      </c>
      <c r="F241" s="454">
        <f>IFERROR(VLOOKUP(B241,'Native American'!$A:$C,3,FALSE),0)</f>
        <v>0</v>
      </c>
      <c r="G241" s="99">
        <v>0</v>
      </c>
      <c r="H241" s="57"/>
      <c r="I241" s="491">
        <f t="shared" si="3"/>
        <v>0</v>
      </c>
      <c r="J241">
        <v>0</v>
      </c>
      <c r="L241" s="89"/>
    </row>
    <row r="242" spans="2:12" ht="15">
      <c r="B242" s="839" t="s">
        <v>1684</v>
      </c>
      <c r="C242" s="850" t="s">
        <v>1685</v>
      </c>
      <c r="D242" s="128">
        <f>VLOOKUP(B242,'TBIP Enroll'!$A:$C,3,FALSE)</f>
        <v>0</v>
      </c>
      <c r="E242" s="454">
        <v>0</v>
      </c>
      <c r="F242" s="454">
        <f>IFERROR(VLOOKUP(B242,'Native American'!$A:$C,3,FALSE),0)</f>
        <v>0</v>
      </c>
      <c r="G242" s="99">
        <v>0</v>
      </c>
      <c r="H242" s="57"/>
      <c r="I242" s="491">
        <f t="shared" si="3"/>
        <v>0</v>
      </c>
      <c r="J242">
        <v>0</v>
      </c>
      <c r="L242" s="89"/>
    </row>
    <row r="243" spans="2:12" ht="15">
      <c r="B243" s="839" t="s">
        <v>173</v>
      </c>
      <c r="C243" s="850" t="s">
        <v>1448</v>
      </c>
      <c r="D243" s="128">
        <f>VLOOKUP(B243,'TBIP Enroll'!$A:$C,3,FALSE)</f>
        <v>6474.67</v>
      </c>
      <c r="E243" s="454">
        <v>28</v>
      </c>
      <c r="F243" s="454">
        <f>IFERROR(VLOOKUP(B243,'Native American'!$A:$C,3,FALSE),0)</f>
        <v>119</v>
      </c>
      <c r="G243" s="99">
        <v>0</v>
      </c>
      <c r="H243" s="57"/>
      <c r="I243" s="491">
        <f t="shared" si="3"/>
        <v>6621.67</v>
      </c>
      <c r="J243">
        <v>0</v>
      </c>
      <c r="L243" s="89"/>
    </row>
    <row r="244" spans="2:12" ht="15">
      <c r="B244" s="839" t="s">
        <v>379</v>
      </c>
      <c r="C244" s="850" t="s">
        <v>686</v>
      </c>
      <c r="D244" s="128">
        <f>VLOOKUP(B244,'TBIP Enroll'!$A:$C,3,FALSE)</f>
        <v>339.5</v>
      </c>
      <c r="E244" s="454">
        <v>0</v>
      </c>
      <c r="F244" s="454">
        <f>IFERROR(VLOOKUP(B244,'Native American'!$A:$C,3,FALSE),0)</f>
        <v>33.67</v>
      </c>
      <c r="G244" s="99">
        <v>2</v>
      </c>
      <c r="I244" s="491">
        <f t="shared" si="3"/>
        <v>371.17</v>
      </c>
      <c r="J244">
        <v>0</v>
      </c>
      <c r="L244" s="89"/>
    </row>
    <row r="245" spans="2:12" ht="15">
      <c r="B245" s="839" t="s">
        <v>551</v>
      </c>
      <c r="C245" s="850" t="s">
        <v>1624</v>
      </c>
      <c r="D245" s="128">
        <f>VLOOKUP(B245,'TBIP Enroll'!$A:$C,3,FALSE)</f>
        <v>321.83</v>
      </c>
      <c r="E245" s="454">
        <v>0</v>
      </c>
      <c r="F245" s="454">
        <f>IFERROR(VLOOKUP(B245,'Native American'!$A:$C,3,FALSE),0)</f>
        <v>20</v>
      </c>
      <c r="G245" s="99">
        <v>0</v>
      </c>
      <c r="H245" s="57"/>
      <c r="I245" s="491">
        <f t="shared" si="3"/>
        <v>341.83</v>
      </c>
      <c r="J245">
        <v>0</v>
      </c>
      <c r="L245" s="89"/>
    </row>
    <row r="246" spans="2:12" ht="15">
      <c r="B246" s="839" t="s">
        <v>340</v>
      </c>
      <c r="C246" s="850" t="s">
        <v>1521</v>
      </c>
      <c r="D246" s="128">
        <f>VLOOKUP(B246,'TBIP Enroll'!$A:$C,3,FALSE)</f>
        <v>0</v>
      </c>
      <c r="E246" s="454">
        <v>0</v>
      </c>
      <c r="F246" s="454">
        <f>IFERROR(VLOOKUP(B246,'Native American'!$A:$C,3,FALSE),0)</f>
        <v>0</v>
      </c>
      <c r="G246" s="99">
        <v>0</v>
      </c>
      <c r="H246" s="57"/>
      <c r="I246" s="491">
        <f t="shared" si="3"/>
        <v>0</v>
      </c>
      <c r="J246">
        <v>0</v>
      </c>
      <c r="L246" s="89"/>
    </row>
    <row r="247" spans="2:12" ht="15">
      <c r="B247" s="839" t="s">
        <v>43</v>
      </c>
      <c r="C247" s="850" t="s">
        <v>1387</v>
      </c>
      <c r="D247" s="128">
        <f>VLOOKUP(B247,'TBIP Enroll'!$A:$C,3,FALSE)</f>
        <v>46.17</v>
      </c>
      <c r="E247" s="454">
        <v>0</v>
      </c>
      <c r="F247" s="454">
        <f>IFERROR(VLOOKUP(B247,'Native American'!$A:$C,3,FALSE),0)</f>
        <v>0</v>
      </c>
      <c r="G247" s="99">
        <v>0</v>
      </c>
      <c r="I247" s="491">
        <f t="shared" si="3"/>
        <v>46.17</v>
      </c>
      <c r="J247">
        <v>0</v>
      </c>
      <c r="L247" s="89"/>
    </row>
    <row r="248" spans="2:12" ht="15">
      <c r="B248" s="839" t="s">
        <v>371</v>
      </c>
      <c r="C248" s="850" t="s">
        <v>1537</v>
      </c>
      <c r="D248" s="128">
        <f>VLOOKUP(B248,'TBIP Enroll'!$A:$C,3,FALSE)</f>
        <v>0</v>
      </c>
      <c r="E248" s="454">
        <v>0</v>
      </c>
      <c r="F248" s="454">
        <f>IFERROR(VLOOKUP(B248,'Native American'!$A:$C,3,FALSE),0)</f>
        <v>0</v>
      </c>
      <c r="G248" s="99">
        <v>0</v>
      </c>
      <c r="H248" s="57"/>
      <c r="I248" s="491">
        <f t="shared" si="3"/>
        <v>0</v>
      </c>
      <c r="J248">
        <v>0</v>
      </c>
      <c r="L248" s="89"/>
    </row>
    <row r="249" spans="2:12" ht="15">
      <c r="B249" s="839" t="s">
        <v>299</v>
      </c>
      <c r="C249" s="850" t="s">
        <v>1503</v>
      </c>
      <c r="D249" s="128">
        <f>VLOOKUP(B249,'TBIP Enroll'!$A:$C,3,FALSE)</f>
        <v>835.5</v>
      </c>
      <c r="E249" s="454">
        <v>0</v>
      </c>
      <c r="F249" s="454">
        <f>IFERROR(VLOOKUP(B249,'Native American'!$A:$C,3,FALSE),0)</f>
        <v>49</v>
      </c>
      <c r="G249" s="99">
        <v>0</v>
      </c>
      <c r="H249" s="57"/>
      <c r="I249" s="491">
        <f t="shared" si="3"/>
        <v>884.5</v>
      </c>
      <c r="J249">
        <v>0</v>
      </c>
      <c r="L249" s="89"/>
    </row>
    <row r="250" spans="2:12" ht="15">
      <c r="B250" s="839" t="s">
        <v>203</v>
      </c>
      <c r="C250" s="850" t="s">
        <v>640</v>
      </c>
      <c r="D250" s="128">
        <f>VLOOKUP(B250,'TBIP Enroll'!$A:$C,3,FALSE)</f>
        <v>894.5</v>
      </c>
      <c r="E250" s="454">
        <v>8</v>
      </c>
      <c r="F250" s="454">
        <f>IFERROR(VLOOKUP(B250,'Native American'!$A:$C,3,FALSE),0)</f>
        <v>29</v>
      </c>
      <c r="G250" s="99">
        <v>0</v>
      </c>
      <c r="H250" s="57"/>
      <c r="I250" s="491">
        <f t="shared" si="3"/>
        <v>931.5</v>
      </c>
      <c r="J250">
        <v>0</v>
      </c>
      <c r="L250" s="89"/>
    </row>
    <row r="251" spans="2:12" ht="15">
      <c r="B251" s="839" t="s">
        <v>387</v>
      </c>
      <c r="C251" s="850" t="s">
        <v>1545</v>
      </c>
      <c r="D251" s="128">
        <f>VLOOKUP(B251,'TBIP Enroll'!$A:$C,3,FALSE)</f>
        <v>0</v>
      </c>
      <c r="E251" s="454">
        <v>0</v>
      </c>
      <c r="F251" s="454">
        <f>IFERROR(VLOOKUP(B251,'Native American'!$A:$C,3,FALSE),0)</f>
        <v>0</v>
      </c>
      <c r="G251" s="99">
        <v>0</v>
      </c>
      <c r="H251" s="57"/>
      <c r="I251" s="491">
        <f t="shared" si="3"/>
        <v>0</v>
      </c>
      <c r="J251">
        <v>0</v>
      </c>
      <c r="L251" s="89"/>
    </row>
    <row r="252" spans="2:12" ht="15">
      <c r="B252" s="839" t="s">
        <v>187</v>
      </c>
      <c r="C252" s="850" t="s">
        <v>1454</v>
      </c>
      <c r="D252" s="128">
        <f>VLOOKUP(B252,'TBIP Enroll'!$A:$C,3,FALSE)</f>
        <v>0</v>
      </c>
      <c r="E252" s="454">
        <v>0</v>
      </c>
      <c r="F252" s="454">
        <f>IFERROR(VLOOKUP(B252,'Native American'!$A:$C,3,FALSE),0)</f>
        <v>0</v>
      </c>
      <c r="G252" s="99">
        <v>0</v>
      </c>
      <c r="H252" s="57"/>
      <c r="I252" s="491">
        <f t="shared" si="3"/>
        <v>0</v>
      </c>
      <c r="J252">
        <v>0</v>
      </c>
      <c r="L252" s="89"/>
    </row>
    <row r="253" spans="2:12" ht="15">
      <c r="B253" s="839" t="s">
        <v>411</v>
      </c>
      <c r="C253" s="850" t="s">
        <v>1556</v>
      </c>
      <c r="D253" s="128">
        <f>VLOOKUP(B253,'TBIP Enroll'!$A:$C,3,FALSE)</f>
        <v>389.17</v>
      </c>
      <c r="E253" s="454">
        <v>8</v>
      </c>
      <c r="F253" s="454">
        <f>IFERROR(VLOOKUP(B253,'Native American'!$A:$C,3,FALSE),0)</f>
        <v>1</v>
      </c>
      <c r="G253" s="99">
        <v>0</v>
      </c>
      <c r="I253" s="491">
        <f t="shared" si="3"/>
        <v>398.17</v>
      </c>
      <c r="J253">
        <v>0</v>
      </c>
      <c r="L253" s="89"/>
    </row>
    <row r="254" spans="2:12" ht="15">
      <c r="B254" s="839" t="s">
        <v>199</v>
      </c>
      <c r="C254" s="850" t="s">
        <v>1272</v>
      </c>
      <c r="D254" s="128">
        <f>VLOOKUP(B254,'TBIP Enroll'!$A:$C,3,FALSE)</f>
        <v>249.67</v>
      </c>
      <c r="E254" s="454">
        <v>0</v>
      </c>
      <c r="F254" s="454">
        <f>IFERROR(VLOOKUP(B254,'Native American'!$A:$C,3,FALSE),0)</f>
        <v>3</v>
      </c>
      <c r="G254" s="99">
        <v>0</v>
      </c>
      <c r="H254" s="57"/>
      <c r="I254" s="491">
        <f t="shared" si="3"/>
        <v>252.67</v>
      </c>
      <c r="J254">
        <v>0</v>
      </c>
      <c r="L254" s="89"/>
    </row>
    <row r="255" spans="2:12" ht="15">
      <c r="B255" s="839" t="s">
        <v>121</v>
      </c>
      <c r="C255" s="850" t="s">
        <v>1424</v>
      </c>
      <c r="D255" s="128">
        <f>VLOOKUP(B255,'TBIP Enroll'!$A:$C,3,FALSE)</f>
        <v>96.66</v>
      </c>
      <c r="E255" s="454">
        <v>0</v>
      </c>
      <c r="F255" s="454">
        <f>IFERROR(VLOOKUP(B255,'Native American'!$A:$C,3,FALSE),0)</f>
        <v>1</v>
      </c>
      <c r="G255" s="99">
        <v>0</v>
      </c>
      <c r="I255" s="491">
        <f t="shared" si="3"/>
        <v>97.66</v>
      </c>
      <c r="J255">
        <v>0</v>
      </c>
      <c r="L255" s="89"/>
    </row>
    <row r="256" spans="2:12" ht="15">
      <c r="B256" s="839" t="s">
        <v>329</v>
      </c>
      <c r="C256" s="850" t="s">
        <v>1515</v>
      </c>
      <c r="D256" s="128">
        <f>VLOOKUP(B256,'TBIP Enroll'!$A:$C,3,FALSE)</f>
        <v>87.34</v>
      </c>
      <c r="E256" s="454">
        <v>0</v>
      </c>
      <c r="F256" s="454">
        <f>IFERROR(VLOOKUP(B256,'Native American'!$A:$C,3,FALSE),0)</f>
        <v>2</v>
      </c>
      <c r="G256" s="99">
        <v>0</v>
      </c>
      <c r="H256" s="57"/>
      <c r="I256" s="491">
        <f t="shared" si="3"/>
        <v>89.34</v>
      </c>
      <c r="J256">
        <v>0</v>
      </c>
      <c r="L256" s="89"/>
    </row>
    <row r="257" spans="2:12" ht="15">
      <c r="B257" s="839" t="s">
        <v>218</v>
      </c>
      <c r="C257" s="850" t="s">
        <v>1465</v>
      </c>
      <c r="D257" s="128">
        <f>VLOOKUP(B257,'TBIP Enroll'!$A:$C,3,FALSE)</f>
        <v>196</v>
      </c>
      <c r="E257" s="454">
        <v>1</v>
      </c>
      <c r="F257" s="454">
        <f>IFERROR(VLOOKUP(B257,'Native American'!$A:$C,3,FALSE),0)</f>
        <v>71.67</v>
      </c>
      <c r="G257" s="99">
        <v>0</v>
      </c>
      <c r="H257" s="57"/>
      <c r="I257" s="491">
        <f t="shared" si="3"/>
        <v>268.67</v>
      </c>
      <c r="J257">
        <v>0</v>
      </c>
      <c r="L257" s="89"/>
    </row>
    <row r="258" spans="2:12" ht="15">
      <c r="B258" s="839" t="s">
        <v>161</v>
      </c>
      <c r="C258" s="850" t="s">
        <v>1442</v>
      </c>
      <c r="D258" s="128">
        <f>VLOOKUP(B258,'TBIP Enroll'!$A:$C,3,FALSE)</f>
        <v>6.67</v>
      </c>
      <c r="E258" s="454">
        <v>0</v>
      </c>
      <c r="F258" s="454">
        <f>IFERROR(VLOOKUP(B258,'Native American'!$A:$C,3,FALSE),0)</f>
        <v>0</v>
      </c>
      <c r="G258" s="99">
        <v>0</v>
      </c>
      <c r="H258" s="57"/>
      <c r="I258" s="491">
        <f t="shared" si="3"/>
        <v>6.67</v>
      </c>
      <c r="J258">
        <v>0</v>
      </c>
      <c r="L258" s="89"/>
    </row>
    <row r="259" spans="2:12" ht="15">
      <c r="B259" s="839" t="s">
        <v>295</v>
      </c>
      <c r="C259" s="850" t="s">
        <v>1501</v>
      </c>
      <c r="D259" s="128">
        <f>VLOOKUP(B259,'TBIP Enroll'!$A:$C,3,FALSE)</f>
        <v>0</v>
      </c>
      <c r="E259" s="454">
        <v>0</v>
      </c>
      <c r="F259" s="454">
        <f>IFERROR(VLOOKUP(B259,'Native American'!$A:$C,3,FALSE),0)</f>
        <v>0</v>
      </c>
      <c r="G259" s="99">
        <v>0</v>
      </c>
      <c r="H259" s="57"/>
      <c r="I259" s="491">
        <f t="shared" si="3"/>
        <v>0</v>
      </c>
      <c r="J259">
        <v>0</v>
      </c>
      <c r="L259" s="89"/>
    </row>
    <row r="260" spans="2:12" ht="15">
      <c r="B260" s="839" t="s">
        <v>422</v>
      </c>
      <c r="C260" s="850" t="s">
        <v>1562</v>
      </c>
      <c r="D260" s="128">
        <f>VLOOKUP(B260,'TBIP Enroll'!$A:$C,3,FALSE)</f>
        <v>1747</v>
      </c>
      <c r="E260" s="454">
        <v>6</v>
      </c>
      <c r="F260" s="454">
        <f>IFERROR(VLOOKUP(B260,'Native American'!$A:$C,3,FALSE),0)</f>
        <v>162</v>
      </c>
      <c r="G260" s="99">
        <v>4</v>
      </c>
      <c r="H260" s="57"/>
      <c r="I260" s="491">
        <f t="shared" si="3"/>
        <v>1911</v>
      </c>
      <c r="J260">
        <v>0</v>
      </c>
      <c r="L260" s="89"/>
    </row>
    <row r="261" spans="2:12" ht="15">
      <c r="B261" s="839" t="s">
        <v>1691</v>
      </c>
      <c r="C261" s="850" t="s">
        <v>1767</v>
      </c>
      <c r="D261" s="128">
        <f>VLOOKUP(B261,'TBIP Enroll'!$A:$C,3,FALSE)</f>
        <v>7</v>
      </c>
      <c r="E261" s="454">
        <v>0</v>
      </c>
      <c r="F261" s="454">
        <f>IFERROR(VLOOKUP(B261,'Native American'!$A:$C,3,FALSE),0)</f>
        <v>0</v>
      </c>
      <c r="G261" s="99">
        <v>0</v>
      </c>
      <c r="I261" s="491">
        <f t="shared" si="3"/>
        <v>7</v>
      </c>
      <c r="J261">
        <v>0</v>
      </c>
      <c r="L261" s="89"/>
    </row>
    <row r="262" spans="2:12" ht="15">
      <c r="B262" s="839" t="s">
        <v>280</v>
      </c>
      <c r="C262" s="850" t="s">
        <v>1493</v>
      </c>
      <c r="D262" s="128">
        <f>VLOOKUP(B262,'TBIP Enroll'!$A:$C,3,FALSE)</f>
        <v>0</v>
      </c>
      <c r="E262" s="454">
        <v>0</v>
      </c>
      <c r="F262" s="454">
        <f>IFERROR(VLOOKUP(B262,'Native American'!$A:$C,3,FALSE),0)</f>
        <v>0</v>
      </c>
      <c r="G262" s="99">
        <v>0</v>
      </c>
      <c r="I262" s="491">
        <f t="shared" si="3"/>
        <v>0</v>
      </c>
      <c r="J262">
        <v>0</v>
      </c>
      <c r="L262" s="89"/>
    </row>
    <row r="263" spans="2:12" ht="15">
      <c r="B263" s="839" t="s">
        <v>539</v>
      </c>
      <c r="C263" s="850" t="s">
        <v>1618</v>
      </c>
      <c r="D263" s="128">
        <f>VLOOKUP(B263,'TBIP Enroll'!$A:$C,3,FALSE)</f>
        <v>0</v>
      </c>
      <c r="E263" s="454">
        <v>0</v>
      </c>
      <c r="F263" s="454">
        <f>IFERROR(VLOOKUP(B263,'Native American'!$A:$C,3,FALSE),0)</f>
        <v>0</v>
      </c>
      <c r="G263" s="99">
        <v>0</v>
      </c>
      <c r="I263" s="491">
        <f t="shared" si="3"/>
        <v>0</v>
      </c>
      <c r="J263">
        <v>0</v>
      </c>
      <c r="L263" s="89"/>
    </row>
    <row r="264" spans="2:12" ht="15">
      <c r="B264" s="839" t="s">
        <v>421</v>
      </c>
      <c r="C264" s="850" t="s">
        <v>1561</v>
      </c>
      <c r="D264" s="128">
        <f>VLOOKUP(B264,'TBIP Enroll'!$A:$C,3,FALSE)</f>
        <v>112.17</v>
      </c>
      <c r="E264" s="454">
        <v>0</v>
      </c>
      <c r="F264" s="454">
        <f>IFERROR(VLOOKUP(B264,'Native American'!$A:$C,3,FALSE),0)</f>
        <v>11</v>
      </c>
      <c r="G264" s="99">
        <v>0</v>
      </c>
      <c r="H264" s="57"/>
      <c r="I264" s="491">
        <f t="shared" ref="I264:I321" si="4">IF(D264+E264+F264-G264&lt;0,0,D264+E264+F264-G264)</f>
        <v>123.17</v>
      </c>
      <c r="J264">
        <v>0</v>
      </c>
      <c r="L264" s="89"/>
    </row>
    <row r="265" spans="2:12" ht="15">
      <c r="B265" s="839" t="s">
        <v>108</v>
      </c>
      <c r="C265" s="850" t="s">
        <v>1418</v>
      </c>
      <c r="D265" s="128">
        <f>VLOOKUP(B265,'TBIP Enroll'!$A:$C,3,FALSE)</f>
        <v>0</v>
      </c>
      <c r="E265" s="454">
        <v>0</v>
      </c>
      <c r="F265" s="454">
        <f>IFERROR(VLOOKUP(B265,'Native American'!$A:$C,3,FALSE),0)</f>
        <v>0</v>
      </c>
      <c r="G265" s="99">
        <v>0</v>
      </c>
      <c r="H265" s="57"/>
      <c r="I265" s="491">
        <f t="shared" si="4"/>
        <v>0</v>
      </c>
      <c r="J265">
        <v>0</v>
      </c>
      <c r="L265" s="89"/>
    </row>
    <row r="266" spans="2:12" ht="15">
      <c r="B266" s="839" t="s">
        <v>68</v>
      </c>
      <c r="C266" s="850" t="s">
        <v>1398</v>
      </c>
      <c r="D266" s="128">
        <f>VLOOKUP(B266,'TBIP Enroll'!$A:$C,3,FALSE)</f>
        <v>0</v>
      </c>
      <c r="E266" s="454">
        <v>0</v>
      </c>
      <c r="F266" s="454">
        <f>IFERROR(VLOOKUP(B266,'Native American'!$A:$C,3,FALSE),0)</f>
        <v>0</v>
      </c>
      <c r="G266" s="99">
        <v>0</v>
      </c>
      <c r="H266" s="57"/>
      <c r="I266" s="491">
        <f t="shared" si="4"/>
        <v>0</v>
      </c>
      <c r="J266">
        <v>0</v>
      </c>
      <c r="L266" s="89"/>
    </row>
    <row r="267" spans="2:12" ht="15">
      <c r="B267" s="839" t="s">
        <v>27</v>
      </c>
      <c r="C267" s="850" t="s">
        <v>1381</v>
      </c>
      <c r="D267" s="128">
        <f>VLOOKUP(B267,'TBIP Enroll'!$A:$C,3,FALSE)</f>
        <v>0</v>
      </c>
      <c r="E267" s="454">
        <v>0</v>
      </c>
      <c r="F267" s="454">
        <f>IFERROR(VLOOKUP(B267,'Native American'!$A:$C,3,FALSE),0)</f>
        <v>0</v>
      </c>
      <c r="G267" s="99">
        <v>0</v>
      </c>
      <c r="H267" s="57"/>
      <c r="I267" s="491">
        <f t="shared" si="4"/>
        <v>0</v>
      </c>
      <c r="J267">
        <v>0</v>
      </c>
      <c r="L267" s="89"/>
    </row>
    <row r="268" spans="2:12" ht="15">
      <c r="B268" s="839" t="s">
        <v>342</v>
      </c>
      <c r="C268" s="850" t="s">
        <v>1522</v>
      </c>
      <c r="D268" s="128">
        <f>VLOOKUP(B268,'TBIP Enroll'!$A:$C,3,FALSE)</f>
        <v>100.67</v>
      </c>
      <c r="E268" s="454">
        <v>0</v>
      </c>
      <c r="F268" s="454">
        <f>IFERROR(VLOOKUP(B268,'Native American'!$A:$C,3,FALSE),0)</f>
        <v>1</v>
      </c>
      <c r="G268" s="99">
        <v>0</v>
      </c>
      <c r="H268" s="57"/>
      <c r="I268" s="491">
        <f t="shared" si="4"/>
        <v>101.67</v>
      </c>
      <c r="J268">
        <v>0</v>
      </c>
      <c r="L268" s="89"/>
    </row>
    <row r="269" spans="2:12" ht="15">
      <c r="B269" s="839" t="s">
        <v>531</v>
      </c>
      <c r="C269" s="850" t="s">
        <v>1614</v>
      </c>
      <c r="D269" s="128">
        <f>VLOOKUP(B269,'TBIP Enroll'!$A:$C,3,FALSE)</f>
        <v>0</v>
      </c>
      <c r="E269" s="454">
        <v>0</v>
      </c>
      <c r="F269" s="454">
        <f>IFERROR(VLOOKUP(B269,'Native American'!$A:$C,3,FALSE),0)</f>
        <v>0</v>
      </c>
      <c r="G269" s="99">
        <v>0</v>
      </c>
      <c r="I269" s="491">
        <f t="shared" si="4"/>
        <v>0</v>
      </c>
      <c r="J269">
        <v>0</v>
      </c>
      <c r="L269" s="89"/>
    </row>
    <row r="270" spans="2:12" ht="15">
      <c r="B270" s="839" t="s">
        <v>393</v>
      </c>
      <c r="C270" s="850" t="s">
        <v>1548</v>
      </c>
      <c r="D270" s="128">
        <f>VLOOKUP(B270,'TBIP Enroll'!$A:$C,3,FALSE)</f>
        <v>18.84</v>
      </c>
      <c r="E270" s="454">
        <v>0</v>
      </c>
      <c r="F270" s="454">
        <f>IFERROR(VLOOKUP(B270,'Native American'!$A:$C,3,FALSE),0)</f>
        <v>5</v>
      </c>
      <c r="G270" s="99">
        <v>0</v>
      </c>
      <c r="H270" s="57"/>
      <c r="I270" s="491">
        <f t="shared" si="4"/>
        <v>23.84</v>
      </c>
      <c r="J270">
        <v>0</v>
      </c>
      <c r="L270" s="89"/>
    </row>
    <row r="271" spans="2:12" ht="15">
      <c r="B271" s="839" t="s">
        <v>415</v>
      </c>
      <c r="C271" s="850" t="s">
        <v>1558</v>
      </c>
      <c r="D271" s="128">
        <f>VLOOKUP(B271,'TBIP Enroll'!$A:$C,3,FALSE)</f>
        <v>206.5</v>
      </c>
      <c r="E271" s="454">
        <v>0</v>
      </c>
      <c r="F271" s="454">
        <f>IFERROR(VLOOKUP(B271,'Native American'!$A:$C,3,FALSE),0)</f>
        <v>1</v>
      </c>
      <c r="G271" s="99">
        <v>0</v>
      </c>
      <c r="H271" s="57"/>
      <c r="I271" s="491">
        <f t="shared" si="4"/>
        <v>207.5</v>
      </c>
      <c r="J271">
        <v>0</v>
      </c>
      <c r="L271" s="89"/>
    </row>
    <row r="272" spans="2:12" ht="15">
      <c r="B272" s="839" t="s">
        <v>1716</v>
      </c>
      <c r="C272" s="850" t="s">
        <v>1761</v>
      </c>
      <c r="D272" s="128">
        <f>VLOOKUP(B272,'TBIP Enroll'!$A:$C,3,FALSE)</f>
        <v>59.16</v>
      </c>
      <c r="E272" s="454">
        <v>0</v>
      </c>
      <c r="F272" s="454">
        <f>IFERROR(VLOOKUP(B272,'Native American'!$A:$C,3,FALSE),0)</f>
        <v>0</v>
      </c>
      <c r="G272" s="99">
        <v>0</v>
      </c>
      <c r="I272" s="491">
        <f t="shared" si="4"/>
        <v>59.16</v>
      </c>
      <c r="J272">
        <v>0</v>
      </c>
      <c r="L272" s="89"/>
    </row>
    <row r="273" spans="2:12" ht="15">
      <c r="B273" s="839" t="s">
        <v>1694</v>
      </c>
      <c r="C273" s="850" t="s">
        <v>1768</v>
      </c>
      <c r="D273" s="128">
        <f>VLOOKUP(B273,'TBIP Enroll'!$A:$C,3,FALSE)</f>
        <v>8.83</v>
      </c>
      <c r="E273" s="454">
        <v>0</v>
      </c>
      <c r="F273" s="454">
        <f>IFERROR(VLOOKUP(B273,'Native American'!$A:$C,3,FALSE),0)</f>
        <v>0</v>
      </c>
      <c r="G273" s="99">
        <v>0</v>
      </c>
      <c r="I273" s="491">
        <f t="shared" si="4"/>
        <v>8.83</v>
      </c>
      <c r="J273">
        <v>0</v>
      </c>
      <c r="L273" s="89"/>
    </row>
    <row r="274" spans="2:12" ht="15">
      <c r="B274" s="839" t="s">
        <v>1693</v>
      </c>
      <c r="C274" s="850" t="s">
        <v>1769</v>
      </c>
      <c r="D274" s="128">
        <f>VLOOKUP(B274,'TBIP Enroll'!$A:$C,3,FALSE)</f>
        <v>41.83</v>
      </c>
      <c r="E274" s="454">
        <v>0</v>
      </c>
      <c r="F274" s="454">
        <f>IFERROR(VLOOKUP(B274,'Native American'!$A:$C,3,FALSE),0)</f>
        <v>0</v>
      </c>
      <c r="G274" s="99">
        <v>0</v>
      </c>
      <c r="H274" s="57"/>
      <c r="I274" s="491">
        <f t="shared" si="4"/>
        <v>41.83</v>
      </c>
      <c r="J274">
        <v>0</v>
      </c>
      <c r="L274" s="89"/>
    </row>
    <row r="275" spans="2:12" ht="15">
      <c r="B275" s="839" t="s">
        <v>460</v>
      </c>
      <c r="C275" s="850" t="s">
        <v>1582</v>
      </c>
      <c r="D275" s="128">
        <f>VLOOKUP(B275,'TBIP Enroll'!$A:$C,3,FALSE)</f>
        <v>2.67</v>
      </c>
      <c r="E275" s="454">
        <v>0</v>
      </c>
      <c r="F275" s="454">
        <f>IFERROR(VLOOKUP(B275,'Native American'!$A:$C,3,FALSE),0)</f>
        <v>0</v>
      </c>
      <c r="G275" s="99">
        <v>0</v>
      </c>
      <c r="I275" s="491">
        <f t="shared" si="4"/>
        <v>2.67</v>
      </c>
      <c r="J275">
        <v>0</v>
      </c>
      <c r="L275" s="89"/>
    </row>
    <row r="276" spans="2:12" ht="15">
      <c r="B276" s="839" t="s">
        <v>351</v>
      </c>
      <c r="C276" s="850" t="s">
        <v>1527</v>
      </c>
      <c r="D276" s="128">
        <f>VLOOKUP(B276,'TBIP Enroll'!$A:$C,3,FALSE)</f>
        <v>376.83</v>
      </c>
      <c r="E276" s="454">
        <v>13</v>
      </c>
      <c r="F276" s="454">
        <f>IFERROR(VLOOKUP(B276,'Native American'!$A:$C,3,FALSE),0)</f>
        <v>5</v>
      </c>
      <c r="G276" s="99">
        <v>0</v>
      </c>
      <c r="I276" s="491">
        <f t="shared" si="4"/>
        <v>394.83</v>
      </c>
      <c r="J276">
        <v>0</v>
      </c>
      <c r="L276" s="89"/>
    </row>
    <row r="277" spans="2:12" ht="15">
      <c r="B277" s="839" t="s">
        <v>557</v>
      </c>
      <c r="C277" s="850" t="s">
        <v>1626</v>
      </c>
      <c r="D277" s="128">
        <f>VLOOKUP(B277,'TBIP Enroll'!$A:$C,3,FALSE)</f>
        <v>1976</v>
      </c>
      <c r="E277" s="454">
        <v>0</v>
      </c>
      <c r="F277" s="454">
        <f>IFERROR(VLOOKUP(B277,'Native American'!$A:$C,3,FALSE),0)</f>
        <v>4</v>
      </c>
      <c r="G277" s="99">
        <v>0</v>
      </c>
      <c r="H277" s="57"/>
      <c r="I277" s="491">
        <f t="shared" si="4"/>
        <v>1980</v>
      </c>
      <c r="J277">
        <v>0</v>
      </c>
      <c r="L277" s="89"/>
    </row>
    <row r="278" spans="2:12" ht="15">
      <c r="B278" s="839" t="s">
        <v>345</v>
      </c>
      <c r="C278" s="850" t="s">
        <v>1524</v>
      </c>
      <c r="D278" s="128">
        <f>VLOOKUP(B278,'TBIP Enroll'!$A:$C,3,FALSE)</f>
        <v>3032.83</v>
      </c>
      <c r="E278" s="454">
        <v>139</v>
      </c>
      <c r="F278" s="454">
        <f>IFERROR(VLOOKUP(B278,'Native American'!$A:$C,3,FALSE),0)</f>
        <v>136</v>
      </c>
      <c r="G278" s="99">
        <v>1</v>
      </c>
      <c r="H278" s="57"/>
      <c r="I278" s="491">
        <f t="shared" si="4"/>
        <v>3306.83</v>
      </c>
      <c r="J278">
        <v>0</v>
      </c>
      <c r="L278" s="89"/>
    </row>
    <row r="279" spans="2:12" ht="15">
      <c r="B279" s="839" t="s">
        <v>143</v>
      </c>
      <c r="C279" s="850" t="s">
        <v>1434</v>
      </c>
      <c r="D279" s="128">
        <f>VLOOKUP(B279,'TBIP Enroll'!$A:$C,3,FALSE)</f>
        <v>0</v>
      </c>
      <c r="E279" s="454">
        <v>0</v>
      </c>
      <c r="F279" s="454">
        <f>IFERROR(VLOOKUP(B279,'Native American'!$A:$C,3,FALSE),0)</f>
        <v>0</v>
      </c>
      <c r="G279" s="99">
        <v>0</v>
      </c>
      <c r="I279" s="491">
        <f t="shared" si="4"/>
        <v>0</v>
      </c>
      <c r="J279">
        <v>0</v>
      </c>
      <c r="L279" s="89"/>
    </row>
    <row r="280" spans="2:12" ht="15">
      <c r="B280" s="839" t="s">
        <v>197</v>
      </c>
      <c r="C280" s="850" t="s">
        <v>627</v>
      </c>
      <c r="D280" s="128">
        <f>VLOOKUP(B280,'TBIP Enroll'!$A:$C,3,FALSE)</f>
        <v>286.5</v>
      </c>
      <c r="E280" s="454">
        <v>0</v>
      </c>
      <c r="F280" s="454">
        <f>IFERROR(VLOOKUP(B280,'Native American'!$A:$C,3,FALSE),0)</f>
        <v>4</v>
      </c>
      <c r="G280" s="99">
        <v>0</v>
      </c>
      <c r="H280" s="57"/>
      <c r="I280" s="491">
        <f t="shared" si="4"/>
        <v>290.5</v>
      </c>
      <c r="J280">
        <v>0</v>
      </c>
      <c r="L280" s="89"/>
    </row>
    <row r="281" spans="2:12" ht="15">
      <c r="B281" s="839" t="s">
        <v>521</v>
      </c>
      <c r="C281" s="850" t="s">
        <v>1609</v>
      </c>
      <c r="D281" s="128">
        <f>VLOOKUP(B281,'TBIP Enroll'!$A:$C,3,FALSE)</f>
        <v>1</v>
      </c>
      <c r="E281" s="454">
        <v>0</v>
      </c>
      <c r="F281" s="454">
        <f>IFERROR(VLOOKUP(B281,'Native American'!$A:$C,3,FALSE),0)</f>
        <v>0</v>
      </c>
      <c r="G281" s="99">
        <v>0</v>
      </c>
      <c r="I281" s="491">
        <f t="shared" si="4"/>
        <v>1</v>
      </c>
      <c r="J281">
        <v>0</v>
      </c>
      <c r="L281" s="89"/>
    </row>
    <row r="282" spans="2:12" ht="15">
      <c r="B282" s="839" t="s">
        <v>486</v>
      </c>
      <c r="C282" s="850" t="s">
        <v>1594</v>
      </c>
      <c r="D282" s="128">
        <f>VLOOKUP(B282,'TBIP Enroll'!$A:$C,3,FALSE)</f>
        <v>12</v>
      </c>
      <c r="E282" s="454">
        <v>0</v>
      </c>
      <c r="F282" s="454">
        <f>IFERROR(VLOOKUP(B282,'Native American'!$A:$C,3,FALSE),0)</f>
        <v>0</v>
      </c>
      <c r="G282" s="99">
        <v>0</v>
      </c>
      <c r="H282" s="57"/>
      <c r="I282" s="491">
        <f t="shared" si="4"/>
        <v>12</v>
      </c>
      <c r="J282">
        <v>0</v>
      </c>
      <c r="L282" s="89"/>
    </row>
    <row r="283" spans="2:12" ht="15">
      <c r="B283" s="839" t="s">
        <v>224</v>
      </c>
      <c r="C283" s="850" t="s">
        <v>1468</v>
      </c>
      <c r="D283" s="128">
        <f>VLOOKUP(B283,'TBIP Enroll'!$A:$C,3,FALSE)</f>
        <v>3.66</v>
      </c>
      <c r="E283" s="454">
        <v>0</v>
      </c>
      <c r="F283" s="454">
        <f>IFERROR(VLOOKUP(B283,'Native American'!$A:$C,3,FALSE),0)</f>
        <v>0</v>
      </c>
      <c r="G283" s="99">
        <v>0</v>
      </c>
      <c r="I283" s="491">
        <f t="shared" si="4"/>
        <v>3.66</v>
      </c>
      <c r="J283">
        <v>0</v>
      </c>
      <c r="L283" s="89"/>
    </row>
    <row r="284" spans="2:12" ht="15">
      <c r="B284" s="839" t="s">
        <v>268</v>
      </c>
      <c r="C284" s="850" t="s">
        <v>1488</v>
      </c>
      <c r="D284" s="128">
        <f>VLOOKUP(B284,'TBIP Enroll'!$A:$C,3,FALSE)</f>
        <v>10.84</v>
      </c>
      <c r="E284" s="454">
        <v>0</v>
      </c>
      <c r="F284" s="454">
        <f>IFERROR(VLOOKUP(B284,'Native American'!$A:$C,3,FALSE),0)</f>
        <v>0</v>
      </c>
      <c r="G284" s="99">
        <v>0</v>
      </c>
      <c r="H284" s="57"/>
      <c r="I284" s="491">
        <f t="shared" si="4"/>
        <v>10.84</v>
      </c>
      <c r="J284">
        <v>0</v>
      </c>
      <c r="L284" s="89"/>
    </row>
    <row r="285" spans="2:12" ht="15">
      <c r="B285" s="839" t="s">
        <v>321</v>
      </c>
      <c r="C285" s="850" t="s">
        <v>612</v>
      </c>
      <c r="D285" s="128">
        <f>VLOOKUP(B285,'TBIP Enroll'!$A:$C,3,FALSE)</f>
        <v>134</v>
      </c>
      <c r="E285" s="454">
        <v>0</v>
      </c>
      <c r="F285" s="454">
        <f>IFERROR(VLOOKUP(B285,'Native American'!$A:$C,3,FALSE),0)</f>
        <v>0</v>
      </c>
      <c r="G285" s="99">
        <v>0</v>
      </c>
      <c r="I285" s="491">
        <f t="shared" si="4"/>
        <v>134</v>
      </c>
      <c r="J285">
        <v>0</v>
      </c>
      <c r="L285" s="89"/>
    </row>
    <row r="286" spans="2:12" ht="15">
      <c r="B286" s="839" t="s">
        <v>559</v>
      </c>
      <c r="C286" s="850" t="s">
        <v>633</v>
      </c>
      <c r="D286" s="128">
        <f>VLOOKUP(B286,'TBIP Enroll'!$A:$C,3,FALSE)</f>
        <v>1300.8399999999999</v>
      </c>
      <c r="E286" s="454">
        <v>0</v>
      </c>
      <c r="F286" s="454">
        <f>IFERROR(VLOOKUP(B286,'Native American'!$A:$C,3,FALSE),0)</f>
        <v>203.17</v>
      </c>
      <c r="G286" s="99">
        <v>0</v>
      </c>
      <c r="H286" s="57"/>
      <c r="I286" s="491">
        <f t="shared" si="4"/>
        <v>1504.01</v>
      </c>
      <c r="J286">
        <v>0</v>
      </c>
      <c r="L286" s="89"/>
    </row>
    <row r="287" spans="2:12" ht="15">
      <c r="B287" s="839" t="s">
        <v>496</v>
      </c>
      <c r="C287" s="850" t="s">
        <v>1598</v>
      </c>
      <c r="D287" s="128">
        <f>VLOOKUP(B287,'TBIP Enroll'!$A:$C,3,FALSE)</f>
        <v>35.33</v>
      </c>
      <c r="E287" s="454">
        <v>0</v>
      </c>
      <c r="F287" s="454">
        <f>IFERROR(VLOOKUP(B287,'Native American'!$A:$C,3,FALSE),0)</f>
        <v>0</v>
      </c>
      <c r="G287" s="99">
        <v>0</v>
      </c>
      <c r="H287" s="57"/>
      <c r="I287" s="491">
        <f t="shared" si="4"/>
        <v>35.33</v>
      </c>
      <c r="J287">
        <v>0</v>
      </c>
      <c r="L287" s="89"/>
    </row>
    <row r="288" spans="2:12" ht="15">
      <c r="B288" s="839" t="s">
        <v>72</v>
      </c>
      <c r="C288" s="850" t="s">
        <v>1400</v>
      </c>
      <c r="D288" s="128">
        <f>VLOOKUP(B288,'TBIP Enroll'!$A:$C,3,FALSE)</f>
        <v>0</v>
      </c>
      <c r="E288" s="454">
        <v>0</v>
      </c>
      <c r="F288" s="454">
        <f>IFERROR(VLOOKUP(B288,'Native American'!$A:$C,3,FALSE),0)</f>
        <v>0</v>
      </c>
      <c r="G288" s="99">
        <v>0</v>
      </c>
      <c r="I288" s="491">
        <f t="shared" si="4"/>
        <v>0</v>
      </c>
      <c r="J288">
        <v>0</v>
      </c>
      <c r="L288" s="89"/>
    </row>
    <row r="289" spans="2:12" ht="15">
      <c r="B289" s="839" t="s">
        <v>238</v>
      </c>
      <c r="C289" s="850" t="s">
        <v>1475</v>
      </c>
      <c r="D289" s="128">
        <f>VLOOKUP(B289,'TBIP Enroll'!$A:$C,3,FALSE)</f>
        <v>7.33</v>
      </c>
      <c r="E289" s="454">
        <v>0</v>
      </c>
      <c r="F289" s="454">
        <f>IFERROR(VLOOKUP(B289,'Native American'!$A:$C,3,FALSE),0)</f>
        <v>0</v>
      </c>
      <c r="G289" s="99">
        <v>0</v>
      </c>
      <c r="I289" s="491">
        <f t="shared" si="4"/>
        <v>7.33</v>
      </c>
      <c r="J289">
        <v>0</v>
      </c>
      <c r="L289" s="89"/>
    </row>
    <row r="290" spans="2:12" ht="15">
      <c r="B290" s="839" t="s">
        <v>191</v>
      </c>
      <c r="C290" s="850" t="s">
        <v>1456</v>
      </c>
      <c r="D290" s="128">
        <f>VLOOKUP(B290,'TBIP Enroll'!$A:$C,3,FALSE)</f>
        <v>1038.83</v>
      </c>
      <c r="E290" s="454">
        <v>56</v>
      </c>
      <c r="F290" s="454">
        <f>IFERROR(VLOOKUP(B290,'Native American'!$A:$C,3,FALSE),0)</f>
        <v>12</v>
      </c>
      <c r="G290" s="99">
        <v>0</v>
      </c>
      <c r="I290" s="491">
        <f t="shared" si="4"/>
        <v>1106.83</v>
      </c>
      <c r="J290">
        <v>0</v>
      </c>
      <c r="L290" s="89"/>
    </row>
    <row r="291" spans="2:12" ht="15">
      <c r="B291" s="839" t="s">
        <v>476</v>
      </c>
      <c r="C291" s="850" t="s">
        <v>1589</v>
      </c>
      <c r="D291" s="128">
        <f>VLOOKUP(B291,'TBIP Enroll'!$A:$C,3,FALSE)</f>
        <v>105.17</v>
      </c>
      <c r="E291" s="454">
        <v>0</v>
      </c>
      <c r="F291" s="454">
        <f>IFERROR(VLOOKUP(B291,'Native American'!$A:$C,3,FALSE),0)</f>
        <v>0</v>
      </c>
      <c r="G291" s="99">
        <v>2</v>
      </c>
      <c r="H291" s="57"/>
      <c r="I291" s="491">
        <f t="shared" si="4"/>
        <v>103.17</v>
      </c>
      <c r="J291">
        <v>0</v>
      </c>
      <c r="L291" s="89"/>
    </row>
    <row r="292" spans="2:12" ht="15">
      <c r="B292" s="839" t="s">
        <v>543</v>
      </c>
      <c r="C292" s="850" t="s">
        <v>1620</v>
      </c>
      <c r="D292" s="128">
        <f>VLOOKUP(B292,'TBIP Enroll'!$A:$C,3,FALSE)</f>
        <v>148.66999999999999</v>
      </c>
      <c r="E292" s="454">
        <v>0</v>
      </c>
      <c r="F292" s="454">
        <f>IFERROR(VLOOKUP(B292,'Native American'!$A:$C,3,FALSE),0)</f>
        <v>2</v>
      </c>
      <c r="G292" s="99">
        <v>0</v>
      </c>
      <c r="H292" s="57"/>
      <c r="I292" s="491">
        <f t="shared" si="4"/>
        <v>150.66999999999999</v>
      </c>
      <c r="J292">
        <v>0</v>
      </c>
      <c r="L292" s="89"/>
    </row>
    <row r="293" spans="2:12" ht="15">
      <c r="B293" s="839" t="s">
        <v>349</v>
      </c>
      <c r="C293" s="850" t="s">
        <v>1526</v>
      </c>
      <c r="D293" s="128">
        <f>VLOOKUP(B293,'TBIP Enroll'!$A:$C,3,FALSE)</f>
        <v>280.83999999999997</v>
      </c>
      <c r="E293" s="454">
        <v>0</v>
      </c>
      <c r="F293" s="454">
        <f>IFERROR(VLOOKUP(B293,'Native American'!$A:$C,3,FALSE),0)</f>
        <v>0</v>
      </c>
      <c r="G293" s="99">
        <v>0</v>
      </c>
      <c r="H293" s="57"/>
      <c r="I293" s="491">
        <f t="shared" si="4"/>
        <v>280.83999999999997</v>
      </c>
      <c r="J293">
        <v>0</v>
      </c>
      <c r="L293" s="89"/>
    </row>
    <row r="294" spans="2:12" ht="15">
      <c r="B294" s="839" t="s">
        <v>454</v>
      </c>
      <c r="C294" s="850" t="s">
        <v>1579</v>
      </c>
      <c r="D294" s="128">
        <f>VLOOKUP(B294,'TBIP Enroll'!$A:$C,3,FALSE)</f>
        <v>48.83</v>
      </c>
      <c r="E294" s="454">
        <v>0</v>
      </c>
      <c r="F294" s="454">
        <f>IFERROR(VLOOKUP(B294,'Native American'!$A:$C,3,FALSE),0)</f>
        <v>3</v>
      </c>
      <c r="G294" s="99">
        <v>0</v>
      </c>
      <c r="I294" s="491">
        <f t="shared" si="4"/>
        <v>51.83</v>
      </c>
      <c r="J294">
        <v>0</v>
      </c>
      <c r="L294" s="89"/>
    </row>
    <row r="295" spans="2:12" ht="15">
      <c r="B295" s="839" t="s">
        <v>49</v>
      </c>
      <c r="C295" s="850" t="s">
        <v>1390</v>
      </c>
      <c r="D295" s="128">
        <f>VLOOKUP(B295,'TBIP Enroll'!$A:$C,3,FALSE)</f>
        <v>2890.17</v>
      </c>
      <c r="E295" s="454">
        <v>0</v>
      </c>
      <c r="F295" s="454">
        <f>IFERROR(VLOOKUP(B295,'Native American'!$A:$C,3,FALSE),0)</f>
        <v>97.17</v>
      </c>
      <c r="G295" s="99">
        <v>4</v>
      </c>
      <c r="H295" s="57"/>
      <c r="I295" s="491">
        <f t="shared" si="4"/>
        <v>2983.34</v>
      </c>
      <c r="J295">
        <v>0</v>
      </c>
      <c r="L295" s="89"/>
    </row>
    <row r="296" spans="2:12" ht="15">
      <c r="B296" s="839" t="s">
        <v>183</v>
      </c>
      <c r="C296" s="850" t="s">
        <v>1453</v>
      </c>
      <c r="D296" s="128">
        <f>VLOOKUP(B296,'TBIP Enroll'!$A:$C,3,FALSE)</f>
        <v>76.67</v>
      </c>
      <c r="E296" s="454">
        <v>0</v>
      </c>
      <c r="F296" s="454">
        <f>IFERROR(VLOOKUP(B296,'Native American'!$A:$C,3,FALSE),0)</f>
        <v>0</v>
      </c>
      <c r="G296" s="99">
        <v>0</v>
      </c>
      <c r="I296" s="491">
        <f t="shared" si="4"/>
        <v>76.67</v>
      </c>
      <c r="J296">
        <v>0</v>
      </c>
      <c r="L296" s="89"/>
    </row>
    <row r="297" spans="2:12" ht="15">
      <c r="B297" s="839" t="s">
        <v>488</v>
      </c>
      <c r="C297" s="850" t="s">
        <v>1595</v>
      </c>
      <c r="D297" s="128">
        <f>VLOOKUP(B297,'TBIP Enroll'!$A:$C,3,FALSE)</f>
        <v>15.5</v>
      </c>
      <c r="E297" s="454">
        <v>0</v>
      </c>
      <c r="F297" s="454">
        <f>IFERROR(VLOOKUP(B297,'Native American'!$A:$C,3,FALSE),0)</f>
        <v>0</v>
      </c>
      <c r="G297" s="99">
        <v>0</v>
      </c>
      <c r="H297" s="57"/>
      <c r="I297" s="491">
        <f t="shared" si="4"/>
        <v>15.5</v>
      </c>
      <c r="J297">
        <v>0</v>
      </c>
      <c r="L297" s="89"/>
    </row>
    <row r="298" spans="2:12" ht="15">
      <c r="B298" s="839" t="s">
        <v>114</v>
      </c>
      <c r="C298" s="850" t="s">
        <v>634</v>
      </c>
      <c r="D298" s="128">
        <f>VLOOKUP(B298,'TBIP Enroll'!$A:$C,3,FALSE)</f>
        <v>1251.17</v>
      </c>
      <c r="E298" s="454">
        <v>0</v>
      </c>
      <c r="F298" s="454">
        <f>IFERROR(VLOOKUP(B298,'Native American'!$A:$C,3,FALSE),0)</f>
        <v>0</v>
      </c>
      <c r="G298" s="99">
        <v>0</v>
      </c>
      <c r="I298" s="491">
        <f t="shared" si="4"/>
        <v>1251.17</v>
      </c>
      <c r="J298">
        <v>0</v>
      </c>
      <c r="L298" s="89"/>
    </row>
    <row r="299" spans="2:12" ht="15">
      <c r="B299" s="839" t="s">
        <v>500</v>
      </c>
      <c r="C299" s="850" t="s">
        <v>1600</v>
      </c>
      <c r="D299" s="128">
        <f>VLOOKUP(B299,'TBIP Enroll'!$A:$C,3,FALSE)</f>
        <v>6.5</v>
      </c>
      <c r="E299" s="454">
        <v>0</v>
      </c>
      <c r="F299" s="454">
        <f>IFERROR(VLOOKUP(B299,'Native American'!$A:$C,3,FALSE),0)</f>
        <v>0</v>
      </c>
      <c r="G299" s="99">
        <v>0</v>
      </c>
      <c r="H299" s="57"/>
      <c r="I299" s="491">
        <f t="shared" si="4"/>
        <v>6.5</v>
      </c>
      <c r="J299">
        <v>0</v>
      </c>
      <c r="L299" s="89"/>
    </row>
    <row r="300" spans="2:12" ht="15">
      <c r="B300" s="839" t="s">
        <v>492</v>
      </c>
      <c r="C300" s="850" t="s">
        <v>641</v>
      </c>
      <c r="D300" s="128">
        <f>VLOOKUP(B300,'TBIP Enroll'!$A:$C,3,FALSE)</f>
        <v>816.5</v>
      </c>
      <c r="E300" s="454">
        <v>3</v>
      </c>
      <c r="F300" s="454">
        <f>IFERROR(VLOOKUP(B300,'Native American'!$A:$C,3,FALSE),0)</f>
        <v>4</v>
      </c>
      <c r="G300" s="99">
        <v>1</v>
      </c>
      <c r="H300" s="57"/>
      <c r="I300" s="491">
        <f t="shared" si="4"/>
        <v>822.5</v>
      </c>
      <c r="J300">
        <v>0</v>
      </c>
      <c r="L300" s="89"/>
    </row>
    <row r="301" spans="2:12" ht="15">
      <c r="B301" s="839" t="s">
        <v>567</v>
      </c>
      <c r="C301" s="850" t="s">
        <v>1630</v>
      </c>
      <c r="D301" s="128">
        <f>VLOOKUP(B301,'TBIP Enroll'!$A:$C,3,FALSE)</f>
        <v>1032.17</v>
      </c>
      <c r="E301" s="454">
        <v>0</v>
      </c>
      <c r="F301" s="454">
        <f>IFERROR(VLOOKUP(B301,'Native American'!$A:$C,3,FALSE),0)</f>
        <v>447.33</v>
      </c>
      <c r="G301" s="99">
        <v>0</v>
      </c>
      <c r="I301" s="491">
        <f t="shared" si="4"/>
        <v>1479.5</v>
      </c>
      <c r="J301">
        <v>0</v>
      </c>
      <c r="L301" s="89"/>
    </row>
    <row r="302" spans="2:12" ht="15">
      <c r="B302" s="845" t="s">
        <v>118</v>
      </c>
      <c r="C302" s="849" t="s">
        <v>1422</v>
      </c>
      <c r="D302" s="128">
        <f>VLOOKUP(B302,'TBIP Enroll'!$A:$C,3,FALSE)</f>
        <v>234.17</v>
      </c>
      <c r="E302" s="454">
        <v>0</v>
      </c>
      <c r="F302" s="454">
        <f>IFERROR(VLOOKUP(B302,'Native American'!$A:$C,3,FALSE),0)</f>
        <v>0</v>
      </c>
      <c r="G302" s="99">
        <v>0</v>
      </c>
      <c r="H302" s="57"/>
      <c r="I302" s="491">
        <f t="shared" si="4"/>
        <v>234.17</v>
      </c>
      <c r="J302">
        <v>0</v>
      </c>
      <c r="L302" s="89"/>
    </row>
    <row r="303" spans="2:12" ht="15">
      <c r="B303" s="845" t="s">
        <v>56</v>
      </c>
      <c r="C303" s="849" t="s">
        <v>854</v>
      </c>
      <c r="D303" s="128">
        <f>VLOOKUP(B303,'TBIP Enroll'!$A:$C,3,FALSE)</f>
        <v>65</v>
      </c>
      <c r="E303" s="454">
        <v>0</v>
      </c>
      <c r="F303" s="454">
        <f>IFERROR(VLOOKUP(B303,'Native American'!$A:$C,3,FALSE),0)</f>
        <v>0</v>
      </c>
      <c r="G303" s="99">
        <v>1</v>
      </c>
      <c r="I303" s="491">
        <f t="shared" si="4"/>
        <v>64</v>
      </c>
      <c r="J303">
        <v>0</v>
      </c>
      <c r="L303" s="89"/>
    </row>
    <row r="304" spans="2:12" ht="15">
      <c r="B304" s="838" t="s">
        <v>0</v>
      </c>
      <c r="C304" s="851" t="s">
        <v>1369</v>
      </c>
      <c r="D304" s="128">
        <f>VLOOKUP(B304,'TBIP Enroll'!$A:$C,3,FALSE)</f>
        <v>0.33</v>
      </c>
      <c r="E304" s="454">
        <v>0</v>
      </c>
      <c r="F304" s="454">
        <f>IFERROR(VLOOKUP(B304,'Native American'!$A:$C,3,FALSE),0)</f>
        <v>0</v>
      </c>
      <c r="G304" s="99">
        <v>0</v>
      </c>
      <c r="H304" s="57"/>
      <c r="I304" s="491">
        <f t="shared" si="4"/>
        <v>0.33</v>
      </c>
      <c r="J304">
        <v>0</v>
      </c>
      <c r="L304" s="89"/>
    </row>
    <row r="305" spans="2:12" ht="15">
      <c r="B305" s="845" t="s">
        <v>92</v>
      </c>
      <c r="C305" s="849" t="s">
        <v>1410</v>
      </c>
      <c r="D305" s="128">
        <f>VLOOKUP(B305,'TBIP Enroll'!$A:$C,3,FALSE)</f>
        <v>13.17</v>
      </c>
      <c r="E305" s="454">
        <v>0</v>
      </c>
      <c r="F305" s="454">
        <f>IFERROR(VLOOKUP(B305,'Native American'!$A:$C,3,FALSE),0)</f>
        <v>0</v>
      </c>
      <c r="G305" s="99">
        <v>0</v>
      </c>
      <c r="I305" s="491">
        <f t="shared" si="4"/>
        <v>13.17</v>
      </c>
      <c r="J305">
        <v>0</v>
      </c>
      <c r="L305" s="89"/>
    </row>
    <row r="306" spans="2:12" ht="15">
      <c r="B306" s="845" t="s">
        <v>452</v>
      </c>
      <c r="C306" s="849" t="s">
        <v>1578</v>
      </c>
      <c r="D306" s="128">
        <f>VLOOKUP(B306,'TBIP Enroll'!$A:$C,3,FALSE)</f>
        <v>0</v>
      </c>
      <c r="E306" s="454">
        <v>0</v>
      </c>
      <c r="F306" s="454">
        <f>IFERROR(VLOOKUP(B306,'Native American'!$A:$C,3,FALSE),0)</f>
        <v>91</v>
      </c>
      <c r="G306" s="99">
        <v>0</v>
      </c>
      <c r="I306" s="491">
        <f t="shared" si="4"/>
        <v>91</v>
      </c>
      <c r="J306">
        <v>0</v>
      </c>
      <c r="L306" s="89"/>
    </row>
    <row r="307" spans="2:12" ht="15">
      <c r="B307" s="845" t="s">
        <v>37</v>
      </c>
      <c r="C307" s="849" t="s">
        <v>1384</v>
      </c>
      <c r="D307" s="128">
        <f>VLOOKUP(B307,'TBIP Enroll'!$A:$C,3,FALSE)</f>
        <v>1589</v>
      </c>
      <c r="E307" s="454">
        <v>20</v>
      </c>
      <c r="F307" s="454">
        <f>IFERROR(VLOOKUP(B307,'Native American'!$A:$C,3,FALSE),0)</f>
        <v>8</v>
      </c>
      <c r="G307" s="99">
        <v>0</v>
      </c>
      <c r="H307" s="57"/>
      <c r="I307" s="491">
        <f t="shared" si="4"/>
        <v>1617</v>
      </c>
      <c r="J307">
        <v>0</v>
      </c>
      <c r="L307" s="89"/>
    </row>
    <row r="308" spans="2:12" ht="15">
      <c r="B308" s="846" t="s">
        <v>443</v>
      </c>
      <c r="C308" s="849" t="s">
        <v>1573</v>
      </c>
      <c r="D308" s="128">
        <f>VLOOKUP(B308,'TBIP Enroll'!$A:$C,3,FALSE)</f>
        <v>108</v>
      </c>
      <c r="E308" s="454">
        <v>0</v>
      </c>
      <c r="F308" s="454">
        <f>IFERROR(VLOOKUP(B308,'Native American'!$A:$C,3,FALSE),0)</f>
        <v>3</v>
      </c>
      <c r="G308" s="99">
        <v>0</v>
      </c>
      <c r="H308" s="57"/>
      <c r="I308" s="491">
        <f t="shared" si="4"/>
        <v>111</v>
      </c>
      <c r="J308">
        <v>0</v>
      </c>
      <c r="L308" s="89"/>
    </row>
    <row r="309" spans="2:12" ht="15">
      <c r="B309" s="845" t="s">
        <v>569</v>
      </c>
      <c r="C309" s="849" t="s">
        <v>1631</v>
      </c>
      <c r="D309" s="128">
        <f>VLOOKUP(B309,'TBIP Enroll'!$A:$C,3,FALSE)</f>
        <v>409.66</v>
      </c>
      <c r="E309" s="454">
        <v>0</v>
      </c>
      <c r="F309" s="454">
        <f>IFERROR(VLOOKUP(B309,'Native American'!$A:$C,3,FALSE),0)</f>
        <v>15.83</v>
      </c>
      <c r="G309" s="99">
        <v>0</v>
      </c>
      <c r="I309" s="491">
        <f t="shared" si="4"/>
        <v>425.49</v>
      </c>
      <c r="J309">
        <v>0</v>
      </c>
      <c r="L309" s="89"/>
    </row>
    <row r="310" spans="2:12" ht="15">
      <c r="B310" s="845" t="s">
        <v>1759</v>
      </c>
      <c r="C310" s="849" t="s">
        <v>1788</v>
      </c>
      <c r="D310" s="128">
        <f>VLOOKUP(B310,'TBIP Enroll'!$A:$C,3,FALSE)</f>
        <v>0</v>
      </c>
      <c r="E310" s="454">
        <v>0</v>
      </c>
      <c r="F310" s="454">
        <f>IFERROR(VLOOKUP(B310,'Native American'!$A:$C,3,FALSE),0)</f>
        <v>0</v>
      </c>
      <c r="G310" s="99">
        <v>0</v>
      </c>
      <c r="H310" s="57"/>
      <c r="I310" s="491">
        <f t="shared" si="4"/>
        <v>0</v>
      </c>
      <c r="J310">
        <v>0</v>
      </c>
      <c r="L310" s="89"/>
    </row>
    <row r="311" spans="2:12">
      <c r="B311" s="838" t="s">
        <v>276</v>
      </c>
      <c r="C311" t="s">
        <v>1492</v>
      </c>
      <c r="D311" s="128">
        <f>VLOOKUP(B311,'TBIP Enroll'!$A:$C,3,FALSE)</f>
        <v>0</v>
      </c>
      <c r="E311" s="454">
        <v>0</v>
      </c>
      <c r="F311" s="454">
        <f>IFERROR(VLOOKUP(B311,'Native American'!$A:$C,3,FALSE),0)</f>
        <v>0</v>
      </c>
      <c r="G311" s="99">
        <v>0</v>
      </c>
      <c r="H311" s="57"/>
      <c r="I311" s="491">
        <f t="shared" si="4"/>
        <v>0</v>
      </c>
      <c r="J311">
        <v>0</v>
      </c>
      <c r="L311" s="89"/>
    </row>
    <row r="312" spans="2:12">
      <c r="B312" s="838" t="s">
        <v>367</v>
      </c>
      <c r="C312" t="s">
        <v>1533</v>
      </c>
      <c r="D312" s="128">
        <f>VLOOKUP(B312,'TBIP Enroll'!$A:$C,3,FALSE)</f>
        <v>131.5</v>
      </c>
      <c r="E312" s="454">
        <v>0</v>
      </c>
      <c r="F312" s="454">
        <f>IFERROR(VLOOKUP(B312,'Native American'!$A:$C,3,FALSE),0)</f>
        <v>2</v>
      </c>
      <c r="G312" s="99">
        <v>2</v>
      </c>
      <c r="I312" s="491">
        <f t="shared" si="4"/>
        <v>131.5</v>
      </c>
      <c r="J312">
        <v>0</v>
      </c>
      <c r="L312" s="89"/>
    </row>
    <row r="313" spans="2:12">
      <c r="B313" s="838" t="s">
        <v>248</v>
      </c>
      <c r="C313" t="s">
        <v>1480</v>
      </c>
      <c r="D313" s="128">
        <f>VLOOKUP(B313,'TBIP Enroll'!$A:$C,3,FALSE)</f>
        <v>189.67</v>
      </c>
      <c r="E313" s="454">
        <v>0</v>
      </c>
      <c r="F313" s="454">
        <f>IFERROR(VLOOKUP(B313,'Native American'!$A:$C,3,FALSE),0)</f>
        <v>5.33</v>
      </c>
      <c r="G313" s="99">
        <v>0</v>
      </c>
      <c r="I313" s="491">
        <f t="shared" si="4"/>
        <v>195</v>
      </c>
      <c r="J313">
        <v>0</v>
      </c>
      <c r="L313" s="89"/>
    </row>
    <row r="314" spans="2:12">
      <c r="B314" s="838" t="s">
        <v>289</v>
      </c>
      <c r="C314" t="s">
        <v>1498</v>
      </c>
      <c r="D314" s="128">
        <f>VLOOKUP(B314,'TBIP Enroll'!$A:$C,3,FALSE)</f>
        <v>0</v>
      </c>
      <c r="E314" s="454">
        <v>0</v>
      </c>
      <c r="F314" s="454">
        <f>IFERROR(VLOOKUP(B314,'Native American'!$A:$C,3,FALSE),0)</f>
        <v>0</v>
      </c>
      <c r="G314" s="99">
        <v>0</v>
      </c>
      <c r="I314" s="491">
        <f t="shared" si="4"/>
        <v>0</v>
      </c>
      <c r="J314">
        <v>0</v>
      </c>
      <c r="L314" s="89"/>
    </row>
    <row r="315" spans="2:12">
      <c r="B315" s="838" t="s">
        <v>332</v>
      </c>
      <c r="C315" t="s">
        <v>1517</v>
      </c>
      <c r="D315" s="128">
        <f>VLOOKUP(B315,'TBIP Enroll'!$A:$C,3,FALSE)</f>
        <v>5.67</v>
      </c>
      <c r="E315" s="454">
        <v>0</v>
      </c>
      <c r="F315" s="454">
        <f>IFERROR(VLOOKUP(B315,'Native American'!$A:$C,3,FALSE),0)</f>
        <v>0</v>
      </c>
      <c r="G315" s="99">
        <v>0</v>
      </c>
      <c r="I315" s="491">
        <f t="shared" si="4"/>
        <v>5.67</v>
      </c>
      <c r="J315">
        <v>0</v>
      </c>
      <c r="L315" s="89"/>
    </row>
    <row r="316" spans="2:12">
      <c r="B316" s="838" t="s">
        <v>1717</v>
      </c>
      <c r="C316" t="s">
        <v>1791</v>
      </c>
      <c r="D316" s="128">
        <f>VLOOKUP(B316,'TBIP Enroll'!$A:$C,3,FALSE)</f>
        <v>9.33</v>
      </c>
      <c r="E316" s="454">
        <v>0</v>
      </c>
      <c r="F316" s="454">
        <f>IFERROR(VLOOKUP(B316,'Native American'!$A:$C,3,FALSE),0)</f>
        <v>0</v>
      </c>
      <c r="G316" s="99">
        <v>0</v>
      </c>
      <c r="I316" s="491">
        <f t="shared" si="4"/>
        <v>9.33</v>
      </c>
      <c r="L316" s="89"/>
    </row>
    <row r="317" spans="2:12">
      <c r="B317" s="784" t="s">
        <v>129</v>
      </c>
      <c r="C317" s="784" t="s">
        <v>1427</v>
      </c>
      <c r="D317" s="128">
        <f>VLOOKUP(B317,'TBIP Enroll'!$A:$C,3,FALSE)</f>
        <v>3</v>
      </c>
      <c r="E317" s="454">
        <v>0</v>
      </c>
      <c r="F317" s="454">
        <f>IFERROR(VLOOKUP(B317,'Native American'!$A:$C,3,FALSE),0)</f>
        <v>0</v>
      </c>
      <c r="G317" s="99">
        <v>0</v>
      </c>
      <c r="I317" s="491">
        <f t="shared" si="4"/>
        <v>3</v>
      </c>
      <c r="J317">
        <v>0</v>
      </c>
      <c r="L317" s="89"/>
    </row>
    <row r="318" spans="2:12">
      <c r="B318" s="784" t="s">
        <v>264</v>
      </c>
      <c r="C318" s="784" t="s">
        <v>1486</v>
      </c>
      <c r="D318" s="128">
        <f>VLOOKUP(B318,'TBIP Enroll'!$A:$C,3,FALSE)</f>
        <v>51.17</v>
      </c>
      <c r="E318" s="454">
        <v>0</v>
      </c>
      <c r="F318" s="454">
        <f>IFERROR(VLOOKUP(B318,'Native American'!$A:$C,3,FALSE),0)</f>
        <v>6</v>
      </c>
      <c r="G318" s="99">
        <v>0</v>
      </c>
      <c r="H318" s="57"/>
      <c r="I318" s="491">
        <f t="shared" si="4"/>
        <v>57.17</v>
      </c>
      <c r="J318">
        <v>0</v>
      </c>
      <c r="L318" s="89"/>
    </row>
    <row r="319" spans="2:12">
      <c r="B319" s="36" t="s">
        <v>151</v>
      </c>
      <c r="C319" s="23" t="s">
        <v>1437</v>
      </c>
      <c r="D319" s="128">
        <f>VLOOKUP(B319,'TBIP Enroll'!$A:$C,3,FALSE)</f>
        <v>0</v>
      </c>
      <c r="E319" s="454">
        <v>0</v>
      </c>
      <c r="F319" s="454">
        <f>IFERROR(VLOOKUP(B319,'Native American'!$A:$C,3,FALSE),0)</f>
        <v>0</v>
      </c>
      <c r="G319" s="99">
        <v>0</v>
      </c>
      <c r="I319" s="491">
        <f t="shared" si="4"/>
        <v>0</v>
      </c>
      <c r="J319">
        <v>0</v>
      </c>
      <c r="L319" s="89"/>
    </row>
    <row r="320" spans="2:12">
      <c r="B320" t="s">
        <v>232</v>
      </c>
      <c r="C320" t="s">
        <v>1472</v>
      </c>
      <c r="D320" s="128">
        <f>VLOOKUP(B320,'TBIP Enroll'!$A:$C,3,FALSE)</f>
        <v>0</v>
      </c>
      <c r="E320" s="454">
        <v>0</v>
      </c>
      <c r="F320" s="454">
        <f>IFERROR(VLOOKUP(B320,'Native American'!$A:$C,3,FALSE),0)</f>
        <v>0</v>
      </c>
      <c r="G320" s="99">
        <v>0</v>
      </c>
      <c r="I320" s="491">
        <f t="shared" si="4"/>
        <v>0</v>
      </c>
      <c r="J320">
        <v>1</v>
      </c>
      <c r="L320" s="89"/>
    </row>
    <row r="321" spans="2:12">
      <c r="B321" t="s">
        <v>78</v>
      </c>
      <c r="C321" t="s">
        <v>1403</v>
      </c>
      <c r="D321" s="128">
        <f>VLOOKUP(B321,'TBIP Enroll'!$A:$C,3,FALSE)</f>
        <v>190.5</v>
      </c>
      <c r="E321" s="454">
        <v>0</v>
      </c>
      <c r="F321" s="454">
        <f>IFERROR(VLOOKUP(B321,'Native American'!$A:$C,3,FALSE),0)</f>
        <v>0</v>
      </c>
      <c r="G321" s="99">
        <v>0</v>
      </c>
      <c r="I321" s="491">
        <f t="shared" si="4"/>
        <v>190.5</v>
      </c>
      <c r="J321">
        <v>0</v>
      </c>
      <c r="L321" s="89"/>
    </row>
    <row r="322" spans="2:12">
      <c r="B322" t="s">
        <v>547</v>
      </c>
      <c r="C322" t="s">
        <v>1622</v>
      </c>
      <c r="D322" s="128">
        <f>VLOOKUP(B322,'TBIP Enroll'!$A:$C,3,FALSE)</f>
        <v>4617</v>
      </c>
      <c r="E322" s="454">
        <v>0</v>
      </c>
      <c r="F322" s="454">
        <f>IFERROR(VLOOKUP(B322,'Native American'!$A:$C,3,FALSE),0)</f>
        <v>65.83</v>
      </c>
      <c r="G322" s="99">
        <v>1</v>
      </c>
      <c r="I322" s="491">
        <f t="shared" ref="I322:I324" si="5">IF(D322+E322+F322-G322&lt;0,0,D322+E322+F322-G322)</f>
        <v>4681.83</v>
      </c>
    </row>
    <row r="323" spans="2:12">
      <c r="B323" t="s">
        <v>472</v>
      </c>
      <c r="C323" t="s">
        <v>1588</v>
      </c>
      <c r="D323" s="128">
        <f>VLOOKUP(B323,'TBIP Enroll'!$A:$C,3,FALSE)</f>
        <v>149.16999999999999</v>
      </c>
      <c r="E323" s="454">
        <v>0</v>
      </c>
      <c r="F323" s="454">
        <f>IFERROR(VLOOKUP(B323,'Native American'!$A:$C,3,FALSE),0)</f>
        <v>0</v>
      </c>
      <c r="G323" s="99">
        <v>0</v>
      </c>
      <c r="I323" s="491">
        <f t="shared" si="5"/>
        <v>149.16999999999999</v>
      </c>
    </row>
    <row r="324" spans="2:12">
      <c r="B324" t="s">
        <v>565</v>
      </c>
      <c r="C324" t="s">
        <v>1629</v>
      </c>
      <c r="D324" s="128">
        <f>VLOOKUP(B324,'TBIP Enroll'!$A:$C,3,FALSE)</f>
        <v>137.5</v>
      </c>
      <c r="E324" s="454">
        <v>0</v>
      </c>
      <c r="F324" s="454">
        <f>IFERROR(VLOOKUP(B324,'Native American'!$A:$C,3,FALSE),0)</f>
        <v>12.33</v>
      </c>
      <c r="G324" s="99">
        <v>0</v>
      </c>
      <c r="I324" s="491">
        <f t="shared" si="5"/>
        <v>149.83000000000001</v>
      </c>
    </row>
  </sheetData>
  <autoFilter ref="A7:J324" xr:uid="{00000000-0009-0000-0000-00001E000000}">
    <sortState xmlns:xlrd2="http://schemas.microsoft.com/office/spreadsheetml/2017/richdata2" ref="A8:J323">
      <sortCondition ref="C7:C322"/>
    </sortState>
  </autoFilter>
  <mergeCells count="1">
    <mergeCell ref="D4:H4"/>
  </mergeCells>
  <conditionalFormatting sqref="C8:C319">
    <cfRule type="expression" dxfId="2" priority="1">
      <formula>AND($P8&lt;10000,$P8&gt;0,$L8="Y")</formula>
    </cfRule>
  </conditionalFormatting>
  <conditionalFormatting sqref="N8:N21">
    <cfRule type="duplicateValues" dxfId="1" priority="21"/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318"/>
  <sheetViews>
    <sheetView topLeftCell="A46" workbookViewId="0">
      <selection activeCell="AH28" sqref="AH28"/>
    </sheetView>
  </sheetViews>
  <sheetFormatPr defaultRowHeight="12.75"/>
  <cols>
    <col min="1" max="1" width="12.42578125" bestFit="1" customWidth="1"/>
    <col min="2" max="2" width="30.5703125" bestFit="1" customWidth="1"/>
    <col min="3" max="3" width="29.42578125" customWidth="1"/>
  </cols>
  <sheetData>
    <row r="1" spans="1:6" ht="15">
      <c r="A1" s="771" t="s">
        <v>898</v>
      </c>
      <c r="B1" s="771" t="s">
        <v>578</v>
      </c>
      <c r="C1" s="801" t="s">
        <v>1681</v>
      </c>
    </row>
    <row r="2" spans="1:6">
      <c r="A2" t="s">
        <v>132</v>
      </c>
      <c r="B2" t="s">
        <v>1429</v>
      </c>
      <c r="C2" s="2">
        <v>28.17</v>
      </c>
      <c r="F2" s="590" t="s">
        <v>1792</v>
      </c>
    </row>
    <row r="3" spans="1:6">
      <c r="A3" t="s">
        <v>262</v>
      </c>
      <c r="B3" t="s">
        <v>1485</v>
      </c>
      <c r="C3" s="2">
        <v>0</v>
      </c>
    </row>
    <row r="4" spans="1:6">
      <c r="A4" t="s">
        <v>283</v>
      </c>
      <c r="B4" t="s">
        <v>1495</v>
      </c>
      <c r="C4" s="2">
        <v>0</v>
      </c>
    </row>
    <row r="5" spans="1:6">
      <c r="A5" t="s">
        <v>380</v>
      </c>
      <c r="B5" t="s">
        <v>1541</v>
      </c>
      <c r="C5" s="2">
        <v>0</v>
      </c>
    </row>
    <row r="6" spans="1:6">
      <c r="A6" t="s">
        <v>403</v>
      </c>
      <c r="B6" t="s">
        <v>1552</v>
      </c>
      <c r="C6" s="2">
        <v>9.33</v>
      </c>
    </row>
    <row r="7" spans="1:6">
      <c r="A7" t="s">
        <v>12</v>
      </c>
      <c r="B7" t="s">
        <v>1374</v>
      </c>
      <c r="C7" s="2">
        <v>0</v>
      </c>
    </row>
    <row r="8" spans="1:6">
      <c r="A8" t="s">
        <v>195</v>
      </c>
      <c r="B8" t="s">
        <v>1362</v>
      </c>
      <c r="C8" s="2">
        <v>19</v>
      </c>
    </row>
    <row r="9" spans="1:6">
      <c r="A9" t="s">
        <v>213</v>
      </c>
      <c r="B9" t="s">
        <v>1463</v>
      </c>
      <c r="C9" s="2">
        <v>0</v>
      </c>
    </row>
    <row r="10" spans="1:6">
      <c r="A10" t="s">
        <v>62</v>
      </c>
      <c r="B10" t="s">
        <v>1396</v>
      </c>
      <c r="C10" s="2">
        <v>17.5</v>
      </c>
    </row>
    <row r="11" spans="1:6">
      <c r="A11" t="s">
        <v>189</v>
      </c>
      <c r="B11" t="s">
        <v>1455</v>
      </c>
      <c r="C11" s="2">
        <v>0</v>
      </c>
    </row>
    <row r="12" spans="1:6">
      <c r="A12" t="s">
        <v>504</v>
      </c>
      <c r="B12" t="s">
        <v>628</v>
      </c>
      <c r="C12" s="2">
        <v>13</v>
      </c>
    </row>
    <row r="13" spans="1:6">
      <c r="A13" t="s">
        <v>2</v>
      </c>
      <c r="B13" t="s">
        <v>1370</v>
      </c>
      <c r="C13" s="2">
        <v>0</v>
      </c>
    </row>
    <row r="14" spans="1:6">
      <c r="A14" t="s">
        <v>363</v>
      </c>
      <c r="B14" t="s">
        <v>1531</v>
      </c>
      <c r="C14" s="2">
        <v>5</v>
      </c>
    </row>
    <row r="15" spans="1:6">
      <c r="A15" t="s">
        <v>234</v>
      </c>
      <c r="B15" t="s">
        <v>1473</v>
      </c>
      <c r="C15" s="2">
        <v>0</v>
      </c>
    </row>
    <row r="16" spans="1:6">
      <c r="A16" t="s">
        <v>508</v>
      </c>
      <c r="B16" t="s">
        <v>1603</v>
      </c>
      <c r="C16" s="2">
        <v>7</v>
      </c>
    </row>
    <row r="17" spans="1:3">
      <c r="A17" t="s">
        <v>266</v>
      </c>
      <c r="B17" t="s">
        <v>1487</v>
      </c>
      <c r="C17" s="2">
        <v>0</v>
      </c>
    </row>
    <row r="18" spans="1:3">
      <c r="A18" t="s">
        <v>211</v>
      </c>
      <c r="B18" t="s">
        <v>1462</v>
      </c>
      <c r="C18" s="2">
        <v>4.83</v>
      </c>
    </row>
    <row r="19" spans="1:3">
      <c r="A19" t="s">
        <v>315</v>
      </c>
      <c r="B19" t="s">
        <v>1510</v>
      </c>
      <c r="C19" s="2">
        <v>0</v>
      </c>
    </row>
    <row r="20" spans="1:3">
      <c r="A20" t="s">
        <v>84</v>
      </c>
      <c r="B20" t="s">
        <v>1406</v>
      </c>
      <c r="C20" s="2">
        <v>0</v>
      </c>
    </row>
    <row r="21" spans="1:3">
      <c r="A21" s="64" t="s">
        <v>165</v>
      </c>
      <c r="B21" t="s">
        <v>1444</v>
      </c>
      <c r="C21" s="2">
        <v>0</v>
      </c>
    </row>
    <row r="22" spans="1:3">
      <c r="A22" t="s">
        <v>378</v>
      </c>
      <c r="B22" t="s">
        <v>629</v>
      </c>
      <c r="C22" s="2">
        <v>6</v>
      </c>
    </row>
    <row r="23" spans="1:3">
      <c r="A23" t="s">
        <v>60</v>
      </c>
      <c r="B23" t="s">
        <v>1395</v>
      </c>
      <c r="C23" s="2">
        <v>2.83</v>
      </c>
    </row>
    <row r="24" spans="1:3">
      <c r="A24" t="s">
        <v>45</v>
      </c>
      <c r="B24" t="s">
        <v>1388</v>
      </c>
      <c r="C24" s="2">
        <v>0</v>
      </c>
    </row>
    <row r="25" spans="1:3">
      <c r="A25" t="s">
        <v>347</v>
      </c>
      <c r="B25" t="s">
        <v>1525</v>
      </c>
      <c r="C25" s="2">
        <v>0</v>
      </c>
    </row>
    <row r="26" spans="1:3">
      <c r="A26" t="s">
        <v>35</v>
      </c>
      <c r="B26" t="s">
        <v>1383</v>
      </c>
      <c r="C26" s="2">
        <v>0</v>
      </c>
    </row>
    <row r="27" spans="1:3">
      <c r="A27" t="s">
        <v>1751</v>
      </c>
      <c r="B27" t="s">
        <v>1780</v>
      </c>
      <c r="C27" s="2">
        <v>0</v>
      </c>
    </row>
    <row r="28" spans="1:3">
      <c r="A28" t="s">
        <v>33</v>
      </c>
      <c r="B28" t="s">
        <v>878</v>
      </c>
      <c r="C28" s="2">
        <v>0</v>
      </c>
    </row>
    <row r="29" spans="1:3">
      <c r="A29" t="s">
        <v>74</v>
      </c>
      <c r="B29" t="s">
        <v>1401</v>
      </c>
      <c r="C29" s="2">
        <v>0</v>
      </c>
    </row>
    <row r="30" spans="1:3">
      <c r="A30" t="s">
        <v>1753</v>
      </c>
      <c r="B30" t="s">
        <v>1781</v>
      </c>
      <c r="C30" s="2">
        <v>0</v>
      </c>
    </row>
    <row r="31" spans="1:3">
      <c r="A31" t="s">
        <v>236</v>
      </c>
      <c r="B31" t="s">
        <v>1474</v>
      </c>
      <c r="C31" s="2">
        <v>0</v>
      </c>
    </row>
    <row r="32" spans="1:3">
      <c r="A32" t="s">
        <v>216</v>
      </c>
      <c r="B32" t="s">
        <v>1464</v>
      </c>
      <c r="C32" s="2">
        <v>16</v>
      </c>
    </row>
    <row r="33" spans="1:3">
      <c r="A33" t="s">
        <v>434</v>
      </c>
      <c r="B33" t="s">
        <v>1568</v>
      </c>
      <c r="C33" s="2">
        <v>7</v>
      </c>
    </row>
    <row r="34" spans="1:3">
      <c r="A34" t="s">
        <v>278</v>
      </c>
      <c r="B34" t="s">
        <v>622</v>
      </c>
      <c r="C34" s="2">
        <v>0</v>
      </c>
    </row>
    <row r="35" spans="1:3">
      <c r="A35" t="s">
        <v>274</v>
      </c>
      <c r="B35" t="s">
        <v>1491</v>
      </c>
      <c r="C35" s="2">
        <v>0</v>
      </c>
    </row>
    <row r="36" spans="1:3">
      <c r="A36" t="s">
        <v>438</v>
      </c>
      <c r="B36" t="s">
        <v>1570</v>
      </c>
      <c r="C36" s="2">
        <v>0</v>
      </c>
    </row>
    <row r="37" spans="1:3">
      <c r="A37" t="s">
        <v>450</v>
      </c>
      <c r="B37" t="s">
        <v>1577</v>
      </c>
      <c r="C37" s="2">
        <v>0</v>
      </c>
    </row>
    <row r="38" spans="1:3">
      <c r="A38" t="s">
        <v>169</v>
      </c>
      <c r="B38" t="s">
        <v>1446</v>
      </c>
      <c r="C38" s="2">
        <v>0</v>
      </c>
    </row>
    <row r="39" spans="1:3">
      <c r="A39" t="s">
        <v>10</v>
      </c>
      <c r="B39" t="s">
        <v>1373</v>
      </c>
      <c r="C39" s="2">
        <v>0</v>
      </c>
    </row>
    <row r="40" spans="1:3">
      <c r="A40" t="s">
        <v>230</v>
      </c>
      <c r="B40" t="s">
        <v>1471</v>
      </c>
      <c r="C40" s="2">
        <v>0</v>
      </c>
    </row>
    <row r="41" spans="1:3">
      <c r="A41" t="s">
        <v>357</v>
      </c>
      <c r="B41" t="s">
        <v>1530</v>
      </c>
      <c r="C41" s="2">
        <v>18</v>
      </c>
    </row>
    <row r="42" spans="1:3">
      <c r="A42" t="s">
        <v>525</v>
      </c>
      <c r="B42" t="s">
        <v>1611</v>
      </c>
      <c r="C42" s="2">
        <v>0</v>
      </c>
    </row>
    <row r="43" spans="1:3">
      <c r="A43" t="s">
        <v>494</v>
      </c>
      <c r="B43" t="s">
        <v>1597</v>
      </c>
      <c r="C43" s="2">
        <v>0</v>
      </c>
    </row>
    <row r="44" spans="1:3">
      <c r="A44" t="s">
        <v>533</v>
      </c>
      <c r="B44" t="s">
        <v>1615</v>
      </c>
      <c r="C44" s="2">
        <v>0</v>
      </c>
    </row>
    <row r="45" spans="1:3">
      <c r="A45" t="s">
        <v>464</v>
      </c>
      <c r="B45" t="s">
        <v>1584</v>
      </c>
      <c r="C45" s="2">
        <v>0</v>
      </c>
    </row>
    <row r="46" spans="1:3">
      <c r="A46" t="s">
        <v>498</v>
      </c>
      <c r="B46" t="s">
        <v>1599</v>
      </c>
      <c r="C46" s="2">
        <v>0</v>
      </c>
    </row>
    <row r="47" spans="1:3">
      <c r="A47" t="s">
        <v>456</v>
      </c>
      <c r="B47" t="s">
        <v>1580</v>
      </c>
      <c r="C47" s="2">
        <v>0</v>
      </c>
    </row>
    <row r="48" spans="1:3">
      <c r="A48" t="s">
        <v>376</v>
      </c>
      <c r="B48" t="s">
        <v>1540</v>
      </c>
      <c r="C48" s="2">
        <v>0</v>
      </c>
    </row>
    <row r="49" spans="1:3">
      <c r="A49" t="s">
        <v>384</v>
      </c>
      <c r="B49" t="s">
        <v>1543</v>
      </c>
      <c r="C49" s="2">
        <v>0</v>
      </c>
    </row>
    <row r="50" spans="1:3">
      <c r="A50" t="s">
        <v>147</v>
      </c>
      <c r="B50" t="s">
        <v>1435</v>
      </c>
      <c r="C50" s="2">
        <v>0</v>
      </c>
    </row>
    <row r="51" spans="1:3">
      <c r="A51" t="s">
        <v>120</v>
      </c>
      <c r="B51" t="s">
        <v>1423</v>
      </c>
      <c r="C51" s="2">
        <v>0</v>
      </c>
    </row>
    <row r="52" spans="1:3">
      <c r="A52" t="s">
        <v>159</v>
      </c>
      <c r="B52" t="s">
        <v>1441</v>
      </c>
      <c r="C52" s="2">
        <v>0</v>
      </c>
    </row>
    <row r="53" spans="1:3">
      <c r="A53" t="s">
        <v>41</v>
      </c>
      <c r="B53" t="s">
        <v>1386</v>
      </c>
      <c r="C53" s="2">
        <v>0</v>
      </c>
    </row>
    <row r="54" spans="1:3">
      <c r="A54" t="s">
        <v>285</v>
      </c>
      <c r="B54" t="s">
        <v>1496</v>
      </c>
      <c r="C54" s="2">
        <v>0</v>
      </c>
    </row>
    <row r="55" spans="1:3">
      <c r="A55" t="s">
        <v>96</v>
      </c>
      <c r="B55" t="s">
        <v>1412</v>
      </c>
      <c r="C55" s="2">
        <v>0</v>
      </c>
    </row>
    <row r="56" spans="1:3">
      <c r="A56" t="s">
        <v>338</v>
      </c>
      <c r="B56" t="s">
        <v>1520</v>
      </c>
      <c r="C56" s="2">
        <v>0</v>
      </c>
    </row>
    <row r="57" spans="1:3">
      <c r="A57" t="s">
        <v>220</v>
      </c>
      <c r="B57" t="s">
        <v>1466</v>
      </c>
      <c r="C57" s="2">
        <v>0</v>
      </c>
    </row>
    <row r="58" spans="1:3">
      <c r="A58" t="s">
        <v>417</v>
      </c>
      <c r="B58" t="s">
        <v>1559</v>
      </c>
      <c r="C58" s="2">
        <v>0</v>
      </c>
    </row>
    <row r="59" spans="1:3">
      <c r="A59" s="64" t="s">
        <v>293</v>
      </c>
      <c r="B59" t="s">
        <v>1500</v>
      </c>
      <c r="C59" s="2">
        <v>0</v>
      </c>
    </row>
    <row r="60" spans="1:3">
      <c r="A60" t="s">
        <v>66</v>
      </c>
      <c r="B60" t="s">
        <v>758</v>
      </c>
      <c r="C60" s="2">
        <v>0</v>
      </c>
    </row>
    <row r="61" spans="1:3">
      <c r="A61" t="s">
        <v>444</v>
      </c>
      <c r="B61" t="s">
        <v>1574</v>
      </c>
      <c r="C61" s="2">
        <v>0</v>
      </c>
    </row>
    <row r="62" spans="1:3">
      <c r="A62" t="s">
        <v>353</v>
      </c>
      <c r="B62" t="s">
        <v>1528</v>
      </c>
      <c r="C62" s="2">
        <v>0</v>
      </c>
    </row>
    <row r="63" spans="1:3">
      <c r="A63" t="s">
        <v>490</v>
      </c>
      <c r="B63" t="s">
        <v>1596</v>
      </c>
      <c r="C63" s="2">
        <v>0</v>
      </c>
    </row>
    <row r="64" spans="1:3">
      <c r="A64" t="s">
        <v>440</v>
      </c>
      <c r="B64" t="s">
        <v>1571</v>
      </c>
      <c r="C64" s="2">
        <v>4</v>
      </c>
    </row>
    <row r="65" spans="1:3">
      <c r="A65" t="s">
        <v>549</v>
      </c>
      <c r="B65" t="s">
        <v>1623</v>
      </c>
      <c r="C65" s="2">
        <v>0.67</v>
      </c>
    </row>
    <row r="66" spans="1:3">
      <c r="A66" t="s">
        <v>88</v>
      </c>
      <c r="B66" t="s">
        <v>1408</v>
      </c>
      <c r="C66" s="2">
        <v>0</v>
      </c>
    </row>
    <row r="67" spans="1:3">
      <c r="A67" t="s">
        <v>222</v>
      </c>
      <c r="B67" t="s">
        <v>1467</v>
      </c>
      <c r="C67" s="2">
        <v>0</v>
      </c>
    </row>
    <row r="68" spans="1:3">
      <c r="A68" t="s">
        <v>365</v>
      </c>
      <c r="B68" t="s">
        <v>1532</v>
      </c>
      <c r="C68" s="2">
        <v>0</v>
      </c>
    </row>
    <row r="69" spans="1:3">
      <c r="A69" t="s">
        <v>401</v>
      </c>
      <c r="B69" t="s">
        <v>1551</v>
      </c>
      <c r="C69" s="2">
        <v>15.17</v>
      </c>
    </row>
    <row r="70" spans="1:3">
      <c r="A70" t="s">
        <v>226</v>
      </c>
      <c r="B70" t="s">
        <v>1469</v>
      </c>
      <c r="C70" s="2">
        <v>8</v>
      </c>
    </row>
    <row r="71" spans="1:3">
      <c r="A71" t="s">
        <v>141</v>
      </c>
      <c r="B71" t="s">
        <v>1433</v>
      </c>
      <c r="C71" s="2">
        <v>3</v>
      </c>
    </row>
    <row r="72" spans="1:3">
      <c r="A72" t="s">
        <v>535</v>
      </c>
      <c r="B72" t="s">
        <v>1616</v>
      </c>
      <c r="C72" s="2">
        <v>0</v>
      </c>
    </row>
    <row r="73" spans="1:3">
      <c r="A73" t="s">
        <v>29</v>
      </c>
      <c r="B73" t="s">
        <v>1382</v>
      </c>
      <c r="C73" s="2">
        <v>0</v>
      </c>
    </row>
    <row r="74" spans="1:3">
      <c r="A74" t="s">
        <v>177</v>
      </c>
      <c r="B74" t="s">
        <v>1450</v>
      </c>
      <c r="C74" s="2">
        <v>4</v>
      </c>
    </row>
    <row r="75" spans="1:3">
      <c r="A75" t="s">
        <v>127</v>
      </c>
      <c r="B75" t="s">
        <v>623</v>
      </c>
      <c r="C75" s="2">
        <v>2</v>
      </c>
    </row>
    <row r="76" spans="1:3">
      <c r="A76" t="s">
        <v>1728</v>
      </c>
      <c r="B76" t="s">
        <v>681</v>
      </c>
      <c r="C76" s="2">
        <v>0</v>
      </c>
    </row>
    <row r="77" spans="1:3">
      <c r="A77" t="s">
        <v>651</v>
      </c>
      <c r="B77" t="s">
        <v>652</v>
      </c>
      <c r="C77" s="2">
        <v>0</v>
      </c>
    </row>
    <row r="78" spans="1:3">
      <c r="A78" t="s">
        <v>678</v>
      </c>
      <c r="B78" t="s">
        <v>679</v>
      </c>
      <c r="C78" s="2">
        <v>0</v>
      </c>
    </row>
    <row r="79" spans="1:3">
      <c r="A79" t="s">
        <v>256</v>
      </c>
      <c r="B79" t="s">
        <v>1483</v>
      </c>
      <c r="C79" s="2">
        <v>0</v>
      </c>
    </row>
    <row r="80" spans="1:3">
      <c r="A80" t="s">
        <v>395</v>
      </c>
      <c r="B80" t="s">
        <v>635</v>
      </c>
      <c r="C80" s="2">
        <v>97.67</v>
      </c>
    </row>
    <row r="81" spans="1:3">
      <c r="A81" t="s">
        <v>58</v>
      </c>
      <c r="B81" t="s">
        <v>1394</v>
      </c>
      <c r="C81" s="2">
        <v>94.33</v>
      </c>
    </row>
    <row r="82" spans="1:3">
      <c r="A82" t="s">
        <v>462</v>
      </c>
      <c r="B82" t="s">
        <v>1583</v>
      </c>
      <c r="C82" s="2">
        <v>0</v>
      </c>
    </row>
    <row r="83" spans="1:3">
      <c r="A83" t="s">
        <v>175</v>
      </c>
      <c r="B83" t="s">
        <v>1449</v>
      </c>
      <c r="C83" s="2">
        <v>43.33</v>
      </c>
    </row>
    <row r="84" spans="1:3">
      <c r="A84" t="s">
        <v>506</v>
      </c>
      <c r="B84" t="s">
        <v>1602</v>
      </c>
      <c r="C84" s="2">
        <v>7.83</v>
      </c>
    </row>
    <row r="85" spans="1:3">
      <c r="A85" t="s">
        <v>369</v>
      </c>
      <c r="B85" t="s">
        <v>1534</v>
      </c>
      <c r="C85" s="2">
        <v>0</v>
      </c>
    </row>
    <row r="86" spans="1:3">
      <c r="A86" t="s">
        <v>19</v>
      </c>
      <c r="B86" t="s">
        <v>1377</v>
      </c>
      <c r="C86" s="2">
        <v>3</v>
      </c>
    </row>
    <row r="87" spans="1:3">
      <c r="A87" t="s">
        <v>361</v>
      </c>
      <c r="B87" t="s">
        <v>630</v>
      </c>
      <c r="C87" s="2">
        <v>3.33</v>
      </c>
    </row>
    <row r="88" spans="1:3">
      <c r="A88" t="s">
        <v>436</v>
      </c>
      <c r="B88" t="s">
        <v>1569</v>
      </c>
      <c r="C88" s="2">
        <v>0</v>
      </c>
    </row>
    <row r="89" spans="1:3">
      <c r="A89" t="s">
        <v>529</v>
      </c>
      <c r="B89" t="s">
        <v>1613</v>
      </c>
      <c r="C89" s="2">
        <v>0</v>
      </c>
    </row>
    <row r="90" spans="1:3">
      <c r="A90" t="s">
        <v>240</v>
      </c>
      <c r="B90" t="s">
        <v>1476</v>
      </c>
      <c r="C90" s="2">
        <v>0</v>
      </c>
    </row>
    <row r="91" spans="1:3">
      <c r="A91" s="64" t="s">
        <v>246</v>
      </c>
      <c r="B91" t="s">
        <v>1479</v>
      </c>
      <c r="C91" s="2">
        <v>0.33</v>
      </c>
    </row>
    <row r="92" spans="1:3">
      <c r="A92" t="s">
        <v>131</v>
      </c>
      <c r="B92" t="s">
        <v>1428</v>
      </c>
      <c r="C92" s="2">
        <v>119.33</v>
      </c>
    </row>
    <row r="93" spans="1:3">
      <c r="A93" t="s">
        <v>555</v>
      </c>
      <c r="B93" t="s">
        <v>1625</v>
      </c>
      <c r="C93" s="2">
        <v>0</v>
      </c>
    </row>
    <row r="94" spans="1:3">
      <c r="A94" t="s">
        <v>563</v>
      </c>
      <c r="B94" t="s">
        <v>1628</v>
      </c>
      <c r="C94" s="2">
        <v>0</v>
      </c>
    </row>
    <row r="95" spans="1:3">
      <c r="A95" t="s">
        <v>419</v>
      </c>
      <c r="B95" t="s">
        <v>1560</v>
      </c>
      <c r="C95" s="2">
        <v>0</v>
      </c>
    </row>
    <row r="96" spans="1:3">
      <c r="A96" t="s">
        <v>297</v>
      </c>
      <c r="B96" t="s">
        <v>1502</v>
      </c>
      <c r="C96" s="2">
        <v>0</v>
      </c>
    </row>
    <row r="97" spans="1:3">
      <c r="A97" t="s">
        <v>426</v>
      </c>
      <c r="B97" t="s">
        <v>1564</v>
      </c>
      <c r="C97" s="2">
        <v>0</v>
      </c>
    </row>
    <row r="98" spans="1:3">
      <c r="A98" t="s">
        <v>54</v>
      </c>
      <c r="B98" t="s">
        <v>1393</v>
      </c>
      <c r="C98" s="2">
        <v>0</v>
      </c>
    </row>
    <row r="99" spans="1:3">
      <c r="A99" t="s">
        <v>482</v>
      </c>
      <c r="B99" t="s">
        <v>1592</v>
      </c>
      <c r="C99" s="2">
        <v>0</v>
      </c>
    </row>
    <row r="100" spans="1:3">
      <c r="A100" t="s">
        <v>291</v>
      </c>
      <c r="B100" t="s">
        <v>1499</v>
      </c>
      <c r="C100" s="2">
        <v>0</v>
      </c>
    </row>
    <row r="101" spans="1:3">
      <c r="A101" t="s">
        <v>561</v>
      </c>
      <c r="B101" t="s">
        <v>1627</v>
      </c>
      <c r="C101" s="2">
        <v>0</v>
      </c>
    </row>
    <row r="102" spans="1:3">
      <c r="A102" t="s">
        <v>181</v>
      </c>
      <c r="B102" t="s">
        <v>1452</v>
      </c>
      <c r="C102" s="2">
        <v>154.83000000000001</v>
      </c>
    </row>
    <row r="103" spans="1:3">
      <c r="A103" t="s">
        <v>51</v>
      </c>
      <c r="B103" t="s">
        <v>1391</v>
      </c>
      <c r="C103" s="2">
        <v>0</v>
      </c>
    </row>
    <row r="104" spans="1:3">
      <c r="A104" t="s">
        <v>307</v>
      </c>
      <c r="B104" t="s">
        <v>1507</v>
      </c>
      <c r="C104" s="2">
        <v>0</v>
      </c>
    </row>
    <row r="105" spans="1:3">
      <c r="A105" t="s">
        <v>134</v>
      </c>
      <c r="B105" t="s">
        <v>748</v>
      </c>
      <c r="C105" s="2">
        <v>0</v>
      </c>
    </row>
    <row r="106" spans="1:3">
      <c r="A106" t="s">
        <v>1777</v>
      </c>
      <c r="B106" t="s">
        <v>1782</v>
      </c>
      <c r="C106" s="2">
        <v>0</v>
      </c>
    </row>
    <row r="107" spans="1:3">
      <c r="A107" t="s">
        <v>1715</v>
      </c>
      <c r="B107" t="s">
        <v>1783</v>
      </c>
      <c r="C107" s="2">
        <v>0</v>
      </c>
    </row>
    <row r="108" spans="1:3">
      <c r="A108" t="s">
        <v>1755</v>
      </c>
      <c r="B108" t="s">
        <v>1784</v>
      </c>
      <c r="C108" s="2">
        <v>0</v>
      </c>
    </row>
    <row r="109" spans="1:3">
      <c r="A109" t="s">
        <v>100</v>
      </c>
      <c r="B109" t="s">
        <v>1414</v>
      </c>
      <c r="C109" s="2">
        <v>99.83</v>
      </c>
    </row>
    <row r="110" spans="1:3">
      <c r="A110" t="s">
        <v>407</v>
      </c>
      <c r="B110" t="s">
        <v>1554</v>
      </c>
      <c r="C110" s="2">
        <v>0</v>
      </c>
    </row>
    <row r="111" spans="1:3">
      <c r="A111" t="s">
        <v>201</v>
      </c>
      <c r="B111" t="s">
        <v>1458</v>
      </c>
      <c r="C111" s="2">
        <v>22.83</v>
      </c>
    </row>
    <row r="112" spans="1:3">
      <c r="A112" t="s">
        <v>110</v>
      </c>
      <c r="B112" t="s">
        <v>1419</v>
      </c>
      <c r="C112" s="2">
        <v>0</v>
      </c>
    </row>
    <row r="113" spans="1:3">
      <c r="A113" t="s">
        <v>76</v>
      </c>
      <c r="B113" t="s">
        <v>1402</v>
      </c>
      <c r="C113" s="2">
        <v>0</v>
      </c>
    </row>
    <row r="114" spans="1:3">
      <c r="A114" t="s">
        <v>94</v>
      </c>
      <c r="B114" t="s">
        <v>1411</v>
      </c>
      <c r="C114" s="2">
        <v>0</v>
      </c>
    </row>
    <row r="115" spans="1:3">
      <c r="A115" t="s">
        <v>80</v>
      </c>
      <c r="B115" t="s">
        <v>1404</v>
      </c>
      <c r="C115" s="2">
        <v>20.83</v>
      </c>
    </row>
    <row r="116" spans="1:3">
      <c r="A116" t="s">
        <v>14</v>
      </c>
      <c r="B116" t="s">
        <v>636</v>
      </c>
      <c r="C116" s="2">
        <v>0</v>
      </c>
    </row>
    <row r="117" spans="1:3">
      <c r="A117" t="s">
        <v>207</v>
      </c>
      <c r="B117" t="s">
        <v>1460</v>
      </c>
      <c r="C117" s="2">
        <v>19.829999999999998</v>
      </c>
    </row>
    <row r="118" spans="1:3">
      <c r="A118" t="s">
        <v>470</v>
      </c>
      <c r="B118" t="s">
        <v>1587</v>
      </c>
      <c r="C118" s="2">
        <v>0</v>
      </c>
    </row>
    <row r="119" spans="1:3">
      <c r="A119" t="s">
        <v>18</v>
      </c>
      <c r="B119" t="s">
        <v>1376</v>
      </c>
      <c r="C119" s="2">
        <v>3</v>
      </c>
    </row>
    <row r="120" spans="1:3">
      <c r="A120" t="s">
        <v>228</v>
      </c>
      <c r="B120" t="s">
        <v>1470</v>
      </c>
      <c r="C120" s="2">
        <v>0</v>
      </c>
    </row>
    <row r="121" spans="1:3">
      <c r="A121" t="s">
        <v>242</v>
      </c>
      <c r="B121" t="s">
        <v>1477</v>
      </c>
      <c r="C121" s="2">
        <v>0</v>
      </c>
    </row>
    <row r="122" spans="1:3">
      <c r="A122" t="s">
        <v>382</v>
      </c>
      <c r="B122" t="s">
        <v>1542</v>
      </c>
      <c r="C122" s="2">
        <v>143.5</v>
      </c>
    </row>
    <row r="123" spans="1:3">
      <c r="A123" t="s">
        <v>53</v>
      </c>
      <c r="B123" t="s">
        <v>1392</v>
      </c>
      <c r="C123" s="2">
        <v>0</v>
      </c>
    </row>
    <row r="124" spans="1:3">
      <c r="A124" t="s">
        <v>518</v>
      </c>
      <c r="B124" t="s">
        <v>1607</v>
      </c>
      <c r="C124" s="2">
        <v>0</v>
      </c>
    </row>
    <row r="125" spans="1:3">
      <c r="A125" t="s">
        <v>31</v>
      </c>
      <c r="B125" t="s">
        <v>624</v>
      </c>
      <c r="C125" s="2">
        <v>0</v>
      </c>
    </row>
    <row r="126" spans="1:3">
      <c r="A126" t="s">
        <v>397</v>
      </c>
      <c r="B126" t="s">
        <v>1549</v>
      </c>
      <c r="C126" s="2">
        <v>5</v>
      </c>
    </row>
    <row r="127" spans="1:3">
      <c r="A127" t="s">
        <v>205</v>
      </c>
      <c r="B127" t="s">
        <v>1459</v>
      </c>
      <c r="C127" s="2">
        <v>33.17</v>
      </c>
    </row>
    <row r="128" spans="1:3">
      <c r="A128" t="s">
        <v>413</v>
      </c>
      <c r="B128" t="s">
        <v>1557</v>
      </c>
      <c r="C128" s="2">
        <v>9</v>
      </c>
    </row>
    <row r="129" spans="1:3">
      <c r="A129" t="s">
        <v>519</v>
      </c>
      <c r="B129" t="s">
        <v>1608</v>
      </c>
      <c r="C129" s="2">
        <v>0</v>
      </c>
    </row>
    <row r="130" spans="1:3">
      <c r="A130" t="s">
        <v>441</v>
      </c>
      <c r="B130" t="s">
        <v>1572</v>
      </c>
      <c r="C130" s="2">
        <v>0</v>
      </c>
    </row>
    <row r="131" spans="1:3">
      <c r="A131" t="s">
        <v>6</v>
      </c>
      <c r="B131" t="s">
        <v>1371</v>
      </c>
      <c r="C131" s="2">
        <v>0</v>
      </c>
    </row>
    <row r="132" spans="1:3">
      <c r="A132" t="s">
        <v>70</v>
      </c>
      <c r="B132" t="s">
        <v>1399</v>
      </c>
      <c r="C132" s="2">
        <v>33.159999999999997</v>
      </c>
    </row>
    <row r="133" spans="1:3">
      <c r="A133" t="s">
        <v>458</v>
      </c>
      <c r="B133" t="s">
        <v>1581</v>
      </c>
      <c r="C133" s="2">
        <v>0</v>
      </c>
    </row>
    <row r="134" spans="1:3">
      <c r="A134" t="s">
        <v>373</v>
      </c>
      <c r="B134" t="s">
        <v>1539</v>
      </c>
      <c r="C134" s="2">
        <v>0</v>
      </c>
    </row>
    <row r="135" spans="1:3">
      <c r="A135" t="s">
        <v>1757</v>
      </c>
      <c r="B135" t="s">
        <v>1785</v>
      </c>
      <c r="C135" s="2">
        <v>0</v>
      </c>
    </row>
    <row r="136" spans="1:3">
      <c r="A136" t="s">
        <v>250</v>
      </c>
      <c r="B136" t="s">
        <v>1481</v>
      </c>
      <c r="C136" s="2">
        <v>0</v>
      </c>
    </row>
    <row r="137" spans="1:3">
      <c r="A137" t="s">
        <v>510</v>
      </c>
      <c r="B137" t="s">
        <v>1604</v>
      </c>
      <c r="C137" s="2">
        <v>0</v>
      </c>
    </row>
    <row r="138" spans="1:3">
      <c r="A138" t="s">
        <v>553</v>
      </c>
      <c r="B138" t="s">
        <v>639</v>
      </c>
      <c r="C138" s="2">
        <v>0</v>
      </c>
    </row>
    <row r="139" spans="1:3">
      <c r="A139" t="s">
        <v>90</v>
      </c>
      <c r="B139" t="s">
        <v>1409</v>
      </c>
      <c r="C139" s="2">
        <v>0</v>
      </c>
    </row>
    <row r="140" spans="1:3">
      <c r="A140" t="s">
        <v>25</v>
      </c>
      <c r="B140" t="s">
        <v>1380</v>
      </c>
      <c r="C140" s="2">
        <v>0</v>
      </c>
    </row>
    <row r="141" spans="1:3">
      <c r="A141" t="s">
        <v>301</v>
      </c>
      <c r="B141" t="s">
        <v>1504</v>
      </c>
      <c r="C141" s="2">
        <v>0</v>
      </c>
    </row>
    <row r="142" spans="1:3">
      <c r="A142" t="s">
        <v>466</v>
      </c>
      <c r="B142" t="s">
        <v>1585</v>
      </c>
      <c r="C142" s="2">
        <v>2.5</v>
      </c>
    </row>
    <row r="143" spans="1:3">
      <c r="A143" t="s">
        <v>405</v>
      </c>
      <c r="B143" t="s">
        <v>1553</v>
      </c>
      <c r="C143" s="2">
        <v>248.33</v>
      </c>
    </row>
    <row r="144" spans="1:3">
      <c r="A144" t="s">
        <v>138</v>
      </c>
      <c r="B144" t="s">
        <v>1431</v>
      </c>
      <c r="C144" s="2">
        <v>0</v>
      </c>
    </row>
    <row r="145" spans="1:3">
      <c r="A145" t="s">
        <v>432</v>
      </c>
      <c r="B145" t="s">
        <v>1567</v>
      </c>
      <c r="C145" s="2">
        <v>16</v>
      </c>
    </row>
    <row r="146" spans="1:3">
      <c r="A146" t="s">
        <v>430</v>
      </c>
      <c r="B146" t="s">
        <v>1566</v>
      </c>
      <c r="C146" s="2">
        <v>0</v>
      </c>
    </row>
    <row r="147" spans="1:3">
      <c r="A147" t="s">
        <v>179</v>
      </c>
      <c r="B147" t="s">
        <v>1451</v>
      </c>
      <c r="C147" s="2">
        <v>0</v>
      </c>
    </row>
    <row r="148" spans="1:3">
      <c r="A148" t="s">
        <v>512</v>
      </c>
      <c r="B148" t="s">
        <v>1605</v>
      </c>
      <c r="C148" s="2">
        <v>16</v>
      </c>
    </row>
    <row r="149" spans="1:3">
      <c r="A149" t="s">
        <v>319</v>
      </c>
      <c r="B149" t="s">
        <v>1512</v>
      </c>
      <c r="C149" s="2">
        <v>0</v>
      </c>
    </row>
    <row r="150" spans="1:3">
      <c r="A150" t="s">
        <v>391</v>
      </c>
      <c r="B150" t="s">
        <v>1547</v>
      </c>
      <c r="C150" s="2">
        <v>0</v>
      </c>
    </row>
    <row r="151" spans="1:3">
      <c r="A151" t="s">
        <v>409</v>
      </c>
      <c r="B151" t="s">
        <v>1555</v>
      </c>
      <c r="C151" s="2">
        <v>9</v>
      </c>
    </row>
    <row r="152" spans="1:3">
      <c r="A152" t="s">
        <v>139</v>
      </c>
      <c r="B152" t="s">
        <v>1432</v>
      </c>
      <c r="C152" s="2">
        <v>0</v>
      </c>
    </row>
    <row r="153" spans="1:3">
      <c r="A153" t="s">
        <v>260</v>
      </c>
      <c r="B153" t="s">
        <v>1484</v>
      </c>
      <c r="C153" s="2">
        <v>0</v>
      </c>
    </row>
    <row r="154" spans="1:3">
      <c r="A154" t="s">
        <v>125</v>
      </c>
      <c r="B154" t="s">
        <v>1426</v>
      </c>
      <c r="C154" s="2">
        <v>14.67</v>
      </c>
    </row>
    <row r="155" spans="1:3">
      <c r="A155" t="s">
        <v>258</v>
      </c>
      <c r="B155" t="s">
        <v>1356</v>
      </c>
      <c r="C155" s="2">
        <v>0</v>
      </c>
    </row>
    <row r="156" spans="1:3">
      <c r="A156" t="s">
        <v>571</v>
      </c>
      <c r="B156" t="s">
        <v>1632</v>
      </c>
      <c r="C156" s="2">
        <v>302.67</v>
      </c>
    </row>
    <row r="157" spans="1:3">
      <c r="A157" t="s">
        <v>516</v>
      </c>
      <c r="B157" t="s">
        <v>1606</v>
      </c>
      <c r="C157" s="2">
        <v>32</v>
      </c>
    </row>
    <row r="158" spans="1:3">
      <c r="A158" t="s">
        <v>389</v>
      </c>
      <c r="B158" t="s">
        <v>1546</v>
      </c>
      <c r="C158" s="2">
        <v>0</v>
      </c>
    </row>
    <row r="159" spans="1:3">
      <c r="A159" t="s">
        <v>386</v>
      </c>
      <c r="B159" t="s">
        <v>1544</v>
      </c>
      <c r="C159" s="2">
        <v>17</v>
      </c>
    </row>
    <row r="160" spans="1:3">
      <c r="A160" t="s">
        <v>399</v>
      </c>
      <c r="B160" t="s">
        <v>1550</v>
      </c>
      <c r="C160" s="2">
        <v>9.67</v>
      </c>
    </row>
    <row r="161" spans="1:3">
      <c r="A161" t="s">
        <v>545</v>
      </c>
      <c r="B161" t="s">
        <v>1621</v>
      </c>
      <c r="C161" s="2">
        <v>0</v>
      </c>
    </row>
    <row r="162" spans="1:3">
      <c r="A162" t="s">
        <v>252</v>
      </c>
      <c r="B162" t="s">
        <v>1482</v>
      </c>
      <c r="C162" s="2">
        <v>0</v>
      </c>
    </row>
    <row r="163" spans="1:3">
      <c r="A163" t="s">
        <v>331</v>
      </c>
      <c r="B163" t="s">
        <v>1516</v>
      </c>
      <c r="C163" s="2">
        <v>0</v>
      </c>
    </row>
    <row r="164" spans="1:3">
      <c r="A164" t="s">
        <v>309</v>
      </c>
      <c r="B164" t="s">
        <v>1309</v>
      </c>
      <c r="C164" s="2">
        <v>125.83</v>
      </c>
    </row>
    <row r="165" spans="1:3">
      <c r="A165" t="s">
        <v>336</v>
      </c>
      <c r="B165" t="s">
        <v>1519</v>
      </c>
      <c r="C165" s="2">
        <v>0</v>
      </c>
    </row>
    <row r="166" spans="1:3">
      <c r="A166" t="s">
        <v>428</v>
      </c>
      <c r="B166" t="s">
        <v>1565</v>
      </c>
      <c r="C166" s="2">
        <v>0</v>
      </c>
    </row>
    <row r="167" spans="1:3">
      <c r="A167" t="s">
        <v>514</v>
      </c>
      <c r="B167" t="s">
        <v>685</v>
      </c>
      <c r="C167" s="2">
        <v>13</v>
      </c>
    </row>
    <row r="168" spans="1:3">
      <c r="A168" t="s">
        <v>136</v>
      </c>
      <c r="B168" t="s">
        <v>1430</v>
      </c>
      <c r="C168" s="2">
        <v>32.83</v>
      </c>
    </row>
    <row r="169" spans="1:3">
      <c r="A169" t="s">
        <v>106</v>
      </c>
      <c r="B169" t="s">
        <v>1417</v>
      </c>
      <c r="C169" s="2">
        <v>1</v>
      </c>
    </row>
    <row r="170" spans="1:3">
      <c r="A170" t="s">
        <v>214</v>
      </c>
      <c r="B170" t="s">
        <v>625</v>
      </c>
      <c r="C170" s="2">
        <v>15.67</v>
      </c>
    </row>
    <row r="171" spans="1:3">
      <c r="A171" t="s">
        <v>305</v>
      </c>
      <c r="B171" t="s">
        <v>1506</v>
      </c>
      <c r="C171" s="2">
        <v>34.5</v>
      </c>
    </row>
    <row r="172" spans="1:3">
      <c r="A172" t="s">
        <v>334</v>
      </c>
      <c r="B172" t="s">
        <v>1518</v>
      </c>
      <c r="C172" s="2">
        <v>0</v>
      </c>
    </row>
    <row r="173" spans="1:3">
      <c r="A173" t="s">
        <v>474</v>
      </c>
      <c r="B173" t="s">
        <v>631</v>
      </c>
      <c r="C173" s="2">
        <v>46.5</v>
      </c>
    </row>
    <row r="174" spans="1:3">
      <c r="A174" t="s">
        <v>468</v>
      </c>
      <c r="B174" t="s">
        <v>1586</v>
      </c>
      <c r="C174" s="2">
        <v>0</v>
      </c>
    </row>
    <row r="175" spans="1:3">
      <c r="A175" t="s">
        <v>209</v>
      </c>
      <c r="B175" t="s">
        <v>637</v>
      </c>
      <c r="C175" s="2">
        <v>21.83</v>
      </c>
    </row>
    <row r="176" spans="1:3">
      <c r="A176" t="s">
        <v>157</v>
      </c>
      <c r="B176" t="s">
        <v>1440</v>
      </c>
      <c r="C176" s="2">
        <v>26.67</v>
      </c>
    </row>
    <row r="177" spans="1:3">
      <c r="A177" t="s">
        <v>541</v>
      </c>
      <c r="B177" t="s">
        <v>1619</v>
      </c>
      <c r="C177" s="2">
        <v>0</v>
      </c>
    </row>
    <row r="178" spans="1:3">
      <c r="A178" t="s">
        <v>155</v>
      </c>
      <c r="B178" t="s">
        <v>1439</v>
      </c>
      <c r="C178" s="2">
        <v>44.17</v>
      </c>
    </row>
    <row r="179" spans="1:3">
      <c r="A179" t="s">
        <v>325</v>
      </c>
      <c r="B179" t="s">
        <v>712</v>
      </c>
      <c r="C179" s="2">
        <v>4</v>
      </c>
    </row>
    <row r="180" spans="1:3">
      <c r="A180" t="s">
        <v>153</v>
      </c>
      <c r="B180" t="s">
        <v>1438</v>
      </c>
      <c r="C180" s="2">
        <v>0</v>
      </c>
    </row>
    <row r="181" spans="1:3">
      <c r="A181" t="s">
        <v>287</v>
      </c>
      <c r="B181" t="s">
        <v>1497</v>
      </c>
      <c r="C181" s="2">
        <v>0</v>
      </c>
    </row>
    <row r="182" spans="1:3">
      <c r="A182" t="s">
        <v>313</v>
      </c>
      <c r="B182" t="s">
        <v>1509</v>
      </c>
      <c r="C182" s="2">
        <v>0</v>
      </c>
    </row>
    <row r="183" spans="1:3">
      <c r="A183" t="s">
        <v>478</v>
      </c>
      <c r="B183" t="s">
        <v>1590</v>
      </c>
      <c r="C183" s="2">
        <v>10</v>
      </c>
    </row>
    <row r="184" spans="1:3">
      <c r="A184" t="s">
        <v>311</v>
      </c>
      <c r="B184" t="s">
        <v>1508</v>
      </c>
      <c r="C184" s="2">
        <v>7</v>
      </c>
    </row>
    <row r="185" spans="1:3">
      <c r="A185" t="s">
        <v>270</v>
      </c>
      <c r="B185" t="s">
        <v>1489</v>
      </c>
      <c r="C185" s="2">
        <v>0</v>
      </c>
    </row>
    <row r="186" spans="1:3">
      <c r="A186" t="s">
        <v>448</v>
      </c>
      <c r="B186" t="s">
        <v>1576</v>
      </c>
      <c r="C186" s="2">
        <v>0</v>
      </c>
    </row>
    <row r="187" spans="1:3">
      <c r="A187" t="s">
        <v>372</v>
      </c>
      <c r="B187" t="s">
        <v>1538</v>
      </c>
      <c r="C187" s="2">
        <v>0</v>
      </c>
    </row>
    <row r="188" spans="1:3">
      <c r="A188" t="s">
        <v>424</v>
      </c>
      <c r="B188" t="s">
        <v>1563</v>
      </c>
      <c r="C188" s="2">
        <v>0.83</v>
      </c>
    </row>
    <row r="189" spans="1:3">
      <c r="A189" t="s">
        <v>98</v>
      </c>
      <c r="B189" t="s">
        <v>1413</v>
      </c>
      <c r="C189" s="2">
        <v>0</v>
      </c>
    </row>
    <row r="190" spans="1:3">
      <c r="A190" t="s">
        <v>82</v>
      </c>
      <c r="B190" t="s">
        <v>1405</v>
      </c>
      <c r="C190" s="2">
        <v>0</v>
      </c>
    </row>
    <row r="191" spans="1:3">
      <c r="A191" t="s">
        <v>323</v>
      </c>
      <c r="B191" t="s">
        <v>1513</v>
      </c>
      <c r="C191" s="2">
        <v>0</v>
      </c>
    </row>
    <row r="192" spans="1:3">
      <c r="A192" t="s">
        <v>355</v>
      </c>
      <c r="B192" t="s">
        <v>1529</v>
      </c>
      <c r="C192" s="2">
        <v>10</v>
      </c>
    </row>
    <row r="193" spans="1:3">
      <c r="A193" t="s">
        <v>4</v>
      </c>
      <c r="B193" t="s">
        <v>632</v>
      </c>
      <c r="C193" s="2">
        <v>3</v>
      </c>
    </row>
    <row r="194" spans="1:3">
      <c r="A194" t="s">
        <v>86</v>
      </c>
      <c r="B194" t="s">
        <v>1407</v>
      </c>
      <c r="C194" s="2">
        <v>0</v>
      </c>
    </row>
    <row r="195" spans="1:3">
      <c r="A195" t="s">
        <v>527</v>
      </c>
      <c r="B195" t="s">
        <v>1612</v>
      </c>
      <c r="C195" s="2">
        <v>0</v>
      </c>
    </row>
    <row r="196" spans="1:3">
      <c r="A196" t="s">
        <v>104</v>
      </c>
      <c r="B196" t="s">
        <v>1416</v>
      </c>
      <c r="C196" s="2">
        <v>0</v>
      </c>
    </row>
    <row r="197" spans="1:3">
      <c r="A197" t="s">
        <v>317</v>
      </c>
      <c r="B197" t="s">
        <v>1511</v>
      </c>
      <c r="C197" s="2">
        <v>0</v>
      </c>
    </row>
    <row r="198" spans="1:3">
      <c r="A198" t="s">
        <v>16</v>
      </c>
      <c r="B198" t="s">
        <v>1375</v>
      </c>
      <c r="C198" s="2">
        <v>0</v>
      </c>
    </row>
    <row r="199" spans="1:3">
      <c r="A199" t="s">
        <v>272</v>
      </c>
      <c r="B199" t="s">
        <v>1490</v>
      </c>
      <c r="C199" s="2">
        <v>0</v>
      </c>
    </row>
    <row r="200" spans="1:3">
      <c r="A200" t="s">
        <v>359</v>
      </c>
      <c r="B200" t="s">
        <v>626</v>
      </c>
      <c r="C200" s="2">
        <v>6</v>
      </c>
    </row>
    <row r="201" spans="1:3">
      <c r="A201" t="s">
        <v>1778</v>
      </c>
      <c r="B201" t="s">
        <v>1786</v>
      </c>
      <c r="C201" s="2">
        <v>0</v>
      </c>
    </row>
    <row r="202" spans="1:3">
      <c r="A202" t="s">
        <v>303</v>
      </c>
      <c r="B202" t="s">
        <v>1505</v>
      </c>
      <c r="C202" s="2">
        <v>0</v>
      </c>
    </row>
    <row r="203" spans="1:3">
      <c r="A203" t="s">
        <v>112</v>
      </c>
      <c r="B203" t="s">
        <v>1420</v>
      </c>
      <c r="C203" s="2">
        <v>0</v>
      </c>
    </row>
    <row r="204" spans="1:3">
      <c r="A204" t="s">
        <v>39</v>
      </c>
      <c r="B204" t="s">
        <v>1385</v>
      </c>
      <c r="C204" s="2">
        <v>0</v>
      </c>
    </row>
    <row r="205" spans="1:3">
      <c r="A205" t="s">
        <v>171</v>
      </c>
      <c r="B205" t="s">
        <v>1447</v>
      </c>
      <c r="C205" s="2">
        <v>0</v>
      </c>
    </row>
    <row r="206" spans="1:3">
      <c r="A206" t="s">
        <v>502</v>
      </c>
      <c r="B206" t="s">
        <v>1601</v>
      </c>
      <c r="C206" s="2">
        <v>0</v>
      </c>
    </row>
    <row r="207" spans="1:3">
      <c r="A207" t="s">
        <v>1690</v>
      </c>
      <c r="B207" t="s">
        <v>1765</v>
      </c>
      <c r="C207" s="2">
        <v>0</v>
      </c>
    </row>
    <row r="208" spans="1:3">
      <c r="A208" t="s">
        <v>21</v>
      </c>
      <c r="B208" t="s">
        <v>1378</v>
      </c>
      <c r="C208" s="2">
        <v>2</v>
      </c>
    </row>
    <row r="209" spans="1:3">
      <c r="A209" t="s">
        <v>523</v>
      </c>
      <c r="B209" t="s">
        <v>1610</v>
      </c>
      <c r="C209" s="2">
        <v>1.83</v>
      </c>
    </row>
    <row r="210" spans="1:3">
      <c r="A210" t="s">
        <v>1779</v>
      </c>
      <c r="B210" t="s">
        <v>1787</v>
      </c>
      <c r="C210" s="2">
        <v>0</v>
      </c>
    </row>
    <row r="211" spans="1:3">
      <c r="A211" t="s">
        <v>343</v>
      </c>
      <c r="B211" t="s">
        <v>1523</v>
      </c>
      <c r="C211" s="2">
        <v>29.17</v>
      </c>
    </row>
    <row r="212" spans="1:3">
      <c r="A212" t="s">
        <v>163</v>
      </c>
      <c r="B212" t="s">
        <v>1443</v>
      </c>
      <c r="C212" s="2">
        <v>0</v>
      </c>
    </row>
    <row r="213" spans="1:3">
      <c r="A213" t="s">
        <v>167</v>
      </c>
      <c r="B213" t="s">
        <v>1445</v>
      </c>
      <c r="C213" s="2">
        <v>0</v>
      </c>
    </row>
    <row r="214" spans="1:3">
      <c r="A214" t="s">
        <v>47</v>
      </c>
      <c r="B214" t="s">
        <v>1389</v>
      </c>
      <c r="C214" s="2">
        <v>21.5</v>
      </c>
    </row>
    <row r="215" spans="1:3">
      <c r="A215" t="s">
        <v>145</v>
      </c>
      <c r="B215" t="s">
        <v>607</v>
      </c>
      <c r="C215" s="2">
        <v>5</v>
      </c>
    </row>
    <row r="216" spans="1:3">
      <c r="A216" t="s">
        <v>116</v>
      </c>
      <c r="B216" t="s">
        <v>1421</v>
      </c>
      <c r="C216" s="2">
        <v>0</v>
      </c>
    </row>
    <row r="217" spans="1:3">
      <c r="A217" t="s">
        <v>480</v>
      </c>
      <c r="B217" t="s">
        <v>1591</v>
      </c>
      <c r="C217" s="2">
        <v>0</v>
      </c>
    </row>
    <row r="218" spans="1:3">
      <c r="A218" t="s">
        <v>1686</v>
      </c>
      <c r="B218" t="s">
        <v>1766</v>
      </c>
      <c r="C218" s="2">
        <v>0</v>
      </c>
    </row>
    <row r="219" spans="1:3">
      <c r="A219" t="s">
        <v>1720</v>
      </c>
      <c r="B219" t="s">
        <v>1789</v>
      </c>
      <c r="C219" s="2">
        <v>0</v>
      </c>
    </row>
    <row r="220" spans="1:3">
      <c r="A220" t="s">
        <v>327</v>
      </c>
      <c r="B220" t="s">
        <v>1514</v>
      </c>
      <c r="C220" s="2">
        <v>0</v>
      </c>
    </row>
    <row r="221" spans="1:3">
      <c r="A221" t="s">
        <v>282</v>
      </c>
      <c r="B221" t="s">
        <v>1494</v>
      </c>
      <c r="C221" s="2">
        <v>5</v>
      </c>
    </row>
    <row r="222" spans="1:3">
      <c r="A222" t="s">
        <v>185</v>
      </c>
      <c r="B222" t="s">
        <v>638</v>
      </c>
      <c r="C222" s="2">
        <v>34</v>
      </c>
    </row>
    <row r="223" spans="1:3">
      <c r="A223" t="s">
        <v>102</v>
      </c>
      <c r="B223" t="s">
        <v>1415</v>
      </c>
      <c r="C223" s="2">
        <v>0</v>
      </c>
    </row>
    <row r="224" spans="1:3">
      <c r="A224" t="s">
        <v>23</v>
      </c>
      <c r="B224" t="s">
        <v>1379</v>
      </c>
      <c r="C224" s="2">
        <v>0</v>
      </c>
    </row>
    <row r="225" spans="1:3">
      <c r="A225" t="s">
        <v>64</v>
      </c>
      <c r="B225" t="s">
        <v>1397</v>
      </c>
      <c r="C225" s="2">
        <v>0</v>
      </c>
    </row>
    <row r="226" spans="1:3">
      <c r="A226" t="s">
        <v>8</v>
      </c>
      <c r="B226" t="s">
        <v>1372</v>
      </c>
      <c r="C226" s="2">
        <v>0</v>
      </c>
    </row>
    <row r="227" spans="1:3">
      <c r="A227" t="s">
        <v>446</v>
      </c>
      <c r="B227" t="s">
        <v>1575</v>
      </c>
      <c r="C227" s="2">
        <v>0</v>
      </c>
    </row>
    <row r="228" spans="1:3">
      <c r="A228" t="s">
        <v>193</v>
      </c>
      <c r="B228" t="s">
        <v>1457</v>
      </c>
      <c r="C228" s="2">
        <v>0</v>
      </c>
    </row>
    <row r="229" spans="1:3">
      <c r="A229" t="s">
        <v>484</v>
      </c>
      <c r="B229" t="s">
        <v>1593</v>
      </c>
      <c r="C229" s="2">
        <v>43</v>
      </c>
    </row>
    <row r="230" spans="1:3">
      <c r="A230" t="s">
        <v>244</v>
      </c>
      <c r="B230" t="s">
        <v>1478</v>
      </c>
      <c r="C230" s="2">
        <v>0</v>
      </c>
    </row>
    <row r="231" spans="1:3">
      <c r="A231" t="s">
        <v>537</v>
      </c>
      <c r="B231" t="s">
        <v>1617</v>
      </c>
      <c r="C231" s="2">
        <v>0</v>
      </c>
    </row>
    <row r="232" spans="1:3">
      <c r="A232" t="s">
        <v>123</v>
      </c>
      <c r="B232" t="s">
        <v>1425</v>
      </c>
      <c r="C232" s="2">
        <v>0</v>
      </c>
    </row>
    <row r="233" spans="1:3">
      <c r="A233" t="s">
        <v>375</v>
      </c>
      <c r="B233" t="s">
        <v>1269</v>
      </c>
      <c r="C233" s="2">
        <v>0</v>
      </c>
    </row>
    <row r="234" spans="1:3">
      <c r="A234" t="s">
        <v>149</v>
      </c>
      <c r="B234" t="s">
        <v>1436</v>
      </c>
      <c r="C234" s="2">
        <v>0</v>
      </c>
    </row>
    <row r="235" spans="1:3">
      <c r="A235" t="s">
        <v>1682</v>
      </c>
      <c r="B235" t="s">
        <v>1683</v>
      </c>
      <c r="C235" s="2">
        <v>0</v>
      </c>
    </row>
    <row r="236" spans="1:3">
      <c r="A236" t="s">
        <v>1684</v>
      </c>
      <c r="B236" t="s">
        <v>1685</v>
      </c>
      <c r="C236" s="2">
        <v>0</v>
      </c>
    </row>
    <row r="237" spans="1:3">
      <c r="A237" t="s">
        <v>173</v>
      </c>
      <c r="B237" t="s">
        <v>1448</v>
      </c>
      <c r="C237" s="2">
        <v>119</v>
      </c>
    </row>
    <row r="238" spans="1:3">
      <c r="A238" t="s">
        <v>379</v>
      </c>
      <c r="B238" t="s">
        <v>686</v>
      </c>
      <c r="C238" s="2">
        <v>33.67</v>
      </c>
    </row>
    <row r="239" spans="1:3">
      <c r="A239" t="s">
        <v>551</v>
      </c>
      <c r="B239" t="s">
        <v>1624</v>
      </c>
      <c r="C239" s="2">
        <v>20</v>
      </c>
    </row>
    <row r="240" spans="1:3">
      <c r="A240" t="s">
        <v>340</v>
      </c>
      <c r="B240" t="s">
        <v>1521</v>
      </c>
      <c r="C240" s="2">
        <v>0</v>
      </c>
    </row>
    <row r="241" spans="1:3">
      <c r="A241" t="s">
        <v>43</v>
      </c>
      <c r="B241" t="s">
        <v>1387</v>
      </c>
      <c r="C241" s="2">
        <v>0</v>
      </c>
    </row>
    <row r="242" spans="1:3">
      <c r="A242" t="s">
        <v>371</v>
      </c>
      <c r="B242" t="s">
        <v>1537</v>
      </c>
      <c r="C242" s="2">
        <v>0</v>
      </c>
    </row>
    <row r="243" spans="1:3">
      <c r="A243" t="s">
        <v>299</v>
      </c>
      <c r="B243" t="s">
        <v>1503</v>
      </c>
      <c r="C243" s="2">
        <v>49</v>
      </c>
    </row>
    <row r="244" spans="1:3">
      <c r="A244" t="s">
        <v>203</v>
      </c>
      <c r="B244" t="s">
        <v>640</v>
      </c>
      <c r="C244" s="2">
        <v>29</v>
      </c>
    </row>
    <row r="245" spans="1:3">
      <c r="A245" t="s">
        <v>387</v>
      </c>
      <c r="B245" t="s">
        <v>1545</v>
      </c>
      <c r="C245" s="2">
        <v>0</v>
      </c>
    </row>
    <row r="246" spans="1:3">
      <c r="A246" t="s">
        <v>187</v>
      </c>
      <c r="B246" t="s">
        <v>1454</v>
      </c>
      <c r="C246" s="2">
        <v>0</v>
      </c>
    </row>
    <row r="247" spans="1:3">
      <c r="A247" t="s">
        <v>411</v>
      </c>
      <c r="B247" t="s">
        <v>1556</v>
      </c>
      <c r="C247" s="2">
        <v>1</v>
      </c>
    </row>
    <row r="248" spans="1:3">
      <c r="A248" t="s">
        <v>199</v>
      </c>
      <c r="B248" t="s">
        <v>1272</v>
      </c>
      <c r="C248" s="2">
        <v>3</v>
      </c>
    </row>
    <row r="249" spans="1:3">
      <c r="A249" t="s">
        <v>121</v>
      </c>
      <c r="B249" t="s">
        <v>1424</v>
      </c>
      <c r="C249" s="2">
        <v>1</v>
      </c>
    </row>
    <row r="250" spans="1:3">
      <c r="A250" t="s">
        <v>329</v>
      </c>
      <c r="B250" t="s">
        <v>1515</v>
      </c>
      <c r="C250" s="2">
        <v>2</v>
      </c>
    </row>
    <row r="251" spans="1:3">
      <c r="A251" t="s">
        <v>218</v>
      </c>
      <c r="B251" t="s">
        <v>1465</v>
      </c>
      <c r="C251" s="2">
        <v>71.67</v>
      </c>
    </row>
    <row r="252" spans="1:3">
      <c r="A252" t="s">
        <v>161</v>
      </c>
      <c r="B252" t="s">
        <v>1442</v>
      </c>
      <c r="C252" s="2">
        <v>0</v>
      </c>
    </row>
    <row r="253" spans="1:3">
      <c r="A253" t="s">
        <v>295</v>
      </c>
      <c r="B253" t="s">
        <v>1501</v>
      </c>
      <c r="C253" s="2">
        <v>0</v>
      </c>
    </row>
    <row r="254" spans="1:3">
      <c r="A254" t="s">
        <v>422</v>
      </c>
      <c r="B254" t="s">
        <v>1562</v>
      </c>
      <c r="C254" s="2">
        <v>162</v>
      </c>
    </row>
    <row r="255" spans="1:3">
      <c r="A255" t="s">
        <v>1691</v>
      </c>
      <c r="B255" t="s">
        <v>1767</v>
      </c>
      <c r="C255" s="2">
        <v>0</v>
      </c>
    </row>
    <row r="256" spans="1:3">
      <c r="A256" t="s">
        <v>280</v>
      </c>
      <c r="B256" t="s">
        <v>1493</v>
      </c>
      <c r="C256" s="2">
        <v>0</v>
      </c>
    </row>
    <row r="257" spans="1:3">
      <c r="A257" t="s">
        <v>539</v>
      </c>
      <c r="B257" t="s">
        <v>1618</v>
      </c>
      <c r="C257" s="2">
        <v>0</v>
      </c>
    </row>
    <row r="258" spans="1:3">
      <c r="A258" t="s">
        <v>421</v>
      </c>
      <c r="B258" t="s">
        <v>1561</v>
      </c>
      <c r="C258" s="2">
        <v>11</v>
      </c>
    </row>
    <row r="259" spans="1:3">
      <c r="A259" t="s">
        <v>108</v>
      </c>
      <c r="B259" t="s">
        <v>1418</v>
      </c>
      <c r="C259" s="2">
        <v>0</v>
      </c>
    </row>
    <row r="260" spans="1:3">
      <c r="A260" t="s">
        <v>68</v>
      </c>
      <c r="B260" t="s">
        <v>1398</v>
      </c>
      <c r="C260" s="2">
        <v>0</v>
      </c>
    </row>
    <row r="261" spans="1:3">
      <c r="A261" t="s">
        <v>27</v>
      </c>
      <c r="B261" t="s">
        <v>1381</v>
      </c>
      <c r="C261" s="2">
        <v>0</v>
      </c>
    </row>
    <row r="262" spans="1:3">
      <c r="A262" t="s">
        <v>342</v>
      </c>
      <c r="B262" t="s">
        <v>1522</v>
      </c>
      <c r="C262" s="2">
        <v>1</v>
      </c>
    </row>
    <row r="263" spans="1:3">
      <c r="A263" t="s">
        <v>531</v>
      </c>
      <c r="B263" t="s">
        <v>1614</v>
      </c>
      <c r="C263" s="2">
        <v>0</v>
      </c>
    </row>
    <row r="264" spans="1:3">
      <c r="A264" t="s">
        <v>393</v>
      </c>
      <c r="B264" t="s">
        <v>1548</v>
      </c>
      <c r="C264" s="2">
        <v>5</v>
      </c>
    </row>
    <row r="265" spans="1:3">
      <c r="A265" t="s">
        <v>415</v>
      </c>
      <c r="B265" t="s">
        <v>1558</v>
      </c>
      <c r="C265" s="2">
        <v>1</v>
      </c>
    </row>
    <row r="266" spans="1:3">
      <c r="A266" t="s">
        <v>1716</v>
      </c>
      <c r="B266" t="s">
        <v>1761</v>
      </c>
      <c r="C266" s="2">
        <v>0</v>
      </c>
    </row>
    <row r="267" spans="1:3">
      <c r="A267" t="s">
        <v>1694</v>
      </c>
      <c r="B267" t="s">
        <v>1768</v>
      </c>
      <c r="C267" s="2">
        <v>0</v>
      </c>
    </row>
    <row r="268" spans="1:3">
      <c r="A268" t="s">
        <v>1693</v>
      </c>
      <c r="B268" t="s">
        <v>1769</v>
      </c>
      <c r="C268" s="2">
        <v>0</v>
      </c>
    </row>
    <row r="269" spans="1:3">
      <c r="A269" t="s">
        <v>460</v>
      </c>
      <c r="B269" t="s">
        <v>1582</v>
      </c>
      <c r="C269" s="2">
        <v>0</v>
      </c>
    </row>
    <row r="270" spans="1:3">
      <c r="A270" t="s">
        <v>351</v>
      </c>
      <c r="B270" t="s">
        <v>1527</v>
      </c>
      <c r="C270" s="2">
        <v>5</v>
      </c>
    </row>
    <row r="271" spans="1:3">
      <c r="A271" t="s">
        <v>557</v>
      </c>
      <c r="B271" t="s">
        <v>1626</v>
      </c>
      <c r="C271" s="2">
        <v>4</v>
      </c>
    </row>
    <row r="272" spans="1:3">
      <c r="A272" t="s">
        <v>345</v>
      </c>
      <c r="B272" t="s">
        <v>1524</v>
      </c>
      <c r="C272" s="2">
        <v>136</v>
      </c>
    </row>
    <row r="273" spans="1:3">
      <c r="A273" t="s">
        <v>143</v>
      </c>
      <c r="B273" t="s">
        <v>1434</v>
      </c>
      <c r="C273" s="2">
        <v>0</v>
      </c>
    </row>
    <row r="274" spans="1:3">
      <c r="A274" t="s">
        <v>197</v>
      </c>
      <c r="B274" t="s">
        <v>627</v>
      </c>
      <c r="C274" s="2">
        <v>4</v>
      </c>
    </row>
    <row r="275" spans="1:3">
      <c r="A275" t="s">
        <v>521</v>
      </c>
      <c r="B275" t="s">
        <v>1609</v>
      </c>
      <c r="C275" s="2">
        <v>0</v>
      </c>
    </row>
    <row r="276" spans="1:3">
      <c r="A276" t="s">
        <v>486</v>
      </c>
      <c r="B276" t="s">
        <v>1594</v>
      </c>
      <c r="C276" s="2">
        <v>0</v>
      </c>
    </row>
    <row r="277" spans="1:3">
      <c r="A277" t="s">
        <v>224</v>
      </c>
      <c r="B277" t="s">
        <v>1468</v>
      </c>
      <c r="C277" s="2">
        <v>0</v>
      </c>
    </row>
    <row r="278" spans="1:3">
      <c r="A278" t="s">
        <v>268</v>
      </c>
      <c r="B278" t="s">
        <v>1488</v>
      </c>
      <c r="C278" s="2">
        <v>0</v>
      </c>
    </row>
    <row r="279" spans="1:3">
      <c r="A279" t="s">
        <v>321</v>
      </c>
      <c r="B279" t="s">
        <v>612</v>
      </c>
      <c r="C279" s="2">
        <v>0</v>
      </c>
    </row>
    <row r="280" spans="1:3">
      <c r="A280" t="s">
        <v>559</v>
      </c>
      <c r="B280" t="s">
        <v>633</v>
      </c>
      <c r="C280" s="2">
        <v>203.17</v>
      </c>
    </row>
    <row r="281" spans="1:3">
      <c r="A281" t="s">
        <v>496</v>
      </c>
      <c r="B281" t="s">
        <v>1598</v>
      </c>
      <c r="C281" s="2">
        <v>0</v>
      </c>
    </row>
    <row r="282" spans="1:3">
      <c r="A282" t="s">
        <v>72</v>
      </c>
      <c r="B282" t="s">
        <v>1400</v>
      </c>
      <c r="C282" s="2">
        <v>0</v>
      </c>
    </row>
    <row r="283" spans="1:3">
      <c r="A283" t="s">
        <v>238</v>
      </c>
      <c r="B283" t="s">
        <v>1475</v>
      </c>
      <c r="C283" s="2">
        <v>0</v>
      </c>
    </row>
    <row r="284" spans="1:3">
      <c r="A284" t="s">
        <v>191</v>
      </c>
      <c r="B284" t="s">
        <v>1456</v>
      </c>
      <c r="C284" s="2">
        <v>12</v>
      </c>
    </row>
    <row r="285" spans="1:3">
      <c r="A285" t="s">
        <v>476</v>
      </c>
      <c r="B285" t="s">
        <v>1589</v>
      </c>
      <c r="C285" s="2">
        <v>0</v>
      </c>
    </row>
    <row r="286" spans="1:3">
      <c r="A286" t="s">
        <v>543</v>
      </c>
      <c r="B286" t="s">
        <v>1620</v>
      </c>
      <c r="C286" s="2">
        <v>2</v>
      </c>
    </row>
    <row r="287" spans="1:3">
      <c r="A287" t="s">
        <v>349</v>
      </c>
      <c r="B287" t="s">
        <v>1526</v>
      </c>
      <c r="C287" s="2">
        <v>0</v>
      </c>
    </row>
    <row r="288" spans="1:3">
      <c r="A288" t="s">
        <v>454</v>
      </c>
      <c r="B288" t="s">
        <v>1579</v>
      </c>
      <c r="C288" s="2">
        <v>3</v>
      </c>
    </row>
    <row r="289" spans="1:3">
      <c r="A289" t="s">
        <v>49</v>
      </c>
      <c r="B289" t="s">
        <v>1390</v>
      </c>
      <c r="C289" s="2">
        <v>97.17</v>
      </c>
    </row>
    <row r="290" spans="1:3">
      <c r="A290" t="s">
        <v>183</v>
      </c>
      <c r="B290" t="s">
        <v>1453</v>
      </c>
      <c r="C290" s="2">
        <v>0</v>
      </c>
    </row>
    <row r="291" spans="1:3">
      <c r="A291" t="s">
        <v>488</v>
      </c>
      <c r="B291" t="s">
        <v>1595</v>
      </c>
      <c r="C291" s="2">
        <v>0</v>
      </c>
    </row>
    <row r="292" spans="1:3">
      <c r="A292" t="s">
        <v>114</v>
      </c>
      <c r="B292" t="s">
        <v>634</v>
      </c>
      <c r="C292" s="2">
        <v>0</v>
      </c>
    </row>
    <row r="293" spans="1:3">
      <c r="A293" t="s">
        <v>500</v>
      </c>
      <c r="B293" t="s">
        <v>1600</v>
      </c>
      <c r="C293" s="2">
        <v>0</v>
      </c>
    </row>
    <row r="294" spans="1:3">
      <c r="A294" t="s">
        <v>492</v>
      </c>
      <c r="B294" t="s">
        <v>641</v>
      </c>
      <c r="C294" s="2">
        <v>4</v>
      </c>
    </row>
    <row r="295" spans="1:3">
      <c r="A295" t="s">
        <v>567</v>
      </c>
      <c r="B295" t="s">
        <v>1630</v>
      </c>
      <c r="C295" s="2">
        <v>447.33</v>
      </c>
    </row>
    <row r="296" spans="1:3">
      <c r="A296" t="s">
        <v>118</v>
      </c>
      <c r="B296" t="s">
        <v>1422</v>
      </c>
      <c r="C296" s="2">
        <v>0</v>
      </c>
    </row>
    <row r="297" spans="1:3">
      <c r="A297" t="s">
        <v>56</v>
      </c>
      <c r="B297" t="s">
        <v>854</v>
      </c>
      <c r="C297" s="2">
        <v>0</v>
      </c>
    </row>
    <row r="298" spans="1:3">
      <c r="A298" t="s">
        <v>0</v>
      </c>
      <c r="B298" t="s">
        <v>1369</v>
      </c>
      <c r="C298" s="2">
        <v>0</v>
      </c>
    </row>
    <row r="299" spans="1:3">
      <c r="A299" t="s">
        <v>92</v>
      </c>
      <c r="B299" t="s">
        <v>1410</v>
      </c>
      <c r="C299" s="2">
        <v>0</v>
      </c>
    </row>
    <row r="300" spans="1:3">
      <c r="A300" t="s">
        <v>452</v>
      </c>
      <c r="B300" t="s">
        <v>1578</v>
      </c>
      <c r="C300" s="2">
        <v>91</v>
      </c>
    </row>
    <row r="301" spans="1:3">
      <c r="A301" t="s">
        <v>37</v>
      </c>
      <c r="B301" t="s">
        <v>1384</v>
      </c>
      <c r="C301" s="2">
        <v>8</v>
      </c>
    </row>
    <row r="302" spans="1:3">
      <c r="A302" t="s">
        <v>443</v>
      </c>
      <c r="B302" t="s">
        <v>1573</v>
      </c>
      <c r="C302" s="2">
        <v>3</v>
      </c>
    </row>
    <row r="303" spans="1:3">
      <c r="A303" t="s">
        <v>569</v>
      </c>
      <c r="B303" t="s">
        <v>1631</v>
      </c>
      <c r="C303" s="2">
        <v>15.83</v>
      </c>
    </row>
    <row r="304" spans="1:3">
      <c r="A304" t="s">
        <v>1759</v>
      </c>
      <c r="B304" t="s">
        <v>1788</v>
      </c>
      <c r="C304" s="2">
        <v>0</v>
      </c>
    </row>
    <row r="305" spans="1:3">
      <c r="A305" t="s">
        <v>276</v>
      </c>
      <c r="B305" t="s">
        <v>1492</v>
      </c>
      <c r="C305" s="2">
        <v>0</v>
      </c>
    </row>
    <row r="306" spans="1:3">
      <c r="A306" t="s">
        <v>367</v>
      </c>
      <c r="B306" t="s">
        <v>1533</v>
      </c>
      <c r="C306" s="2">
        <v>2</v>
      </c>
    </row>
    <row r="307" spans="1:3">
      <c r="A307" t="s">
        <v>248</v>
      </c>
      <c r="B307" t="s">
        <v>1480</v>
      </c>
      <c r="C307" s="2">
        <v>5.33</v>
      </c>
    </row>
    <row r="308" spans="1:3">
      <c r="A308" t="s">
        <v>289</v>
      </c>
      <c r="B308" t="s">
        <v>1498</v>
      </c>
      <c r="C308" s="2">
        <v>0</v>
      </c>
    </row>
    <row r="309" spans="1:3">
      <c r="A309" t="s">
        <v>332</v>
      </c>
      <c r="B309" t="s">
        <v>1517</v>
      </c>
      <c r="C309" s="2">
        <v>0</v>
      </c>
    </row>
    <row r="310" spans="1:3">
      <c r="A310" t="s">
        <v>1717</v>
      </c>
      <c r="B310" t="s">
        <v>1791</v>
      </c>
      <c r="C310" s="2">
        <v>0</v>
      </c>
    </row>
    <row r="311" spans="1:3">
      <c r="A311" t="s">
        <v>129</v>
      </c>
      <c r="B311" t="s">
        <v>1427</v>
      </c>
      <c r="C311" s="2">
        <v>0</v>
      </c>
    </row>
    <row r="312" spans="1:3">
      <c r="A312" t="s">
        <v>264</v>
      </c>
      <c r="B312" t="s">
        <v>1486</v>
      </c>
      <c r="C312" s="2">
        <v>6</v>
      </c>
    </row>
    <row r="313" spans="1:3">
      <c r="A313" t="s">
        <v>151</v>
      </c>
      <c r="B313" t="s">
        <v>1437</v>
      </c>
      <c r="C313" s="2">
        <v>0</v>
      </c>
    </row>
    <row r="314" spans="1:3">
      <c r="A314" s="64" t="s">
        <v>232</v>
      </c>
      <c r="B314" t="s">
        <v>1472</v>
      </c>
      <c r="C314" s="2">
        <v>0</v>
      </c>
    </row>
    <row r="315" spans="1:3">
      <c r="A315" t="s">
        <v>78</v>
      </c>
      <c r="B315" t="s">
        <v>1403</v>
      </c>
      <c r="C315" s="2">
        <v>0</v>
      </c>
    </row>
    <row r="316" spans="1:3">
      <c r="A316" t="s">
        <v>547</v>
      </c>
      <c r="B316" t="s">
        <v>1622</v>
      </c>
      <c r="C316" s="2">
        <v>65.83</v>
      </c>
    </row>
    <row r="317" spans="1:3">
      <c r="A317" t="s">
        <v>472</v>
      </c>
      <c r="B317" t="s">
        <v>1588</v>
      </c>
      <c r="C317" s="2">
        <v>0</v>
      </c>
    </row>
    <row r="318" spans="1:3">
      <c r="A318" t="s">
        <v>565</v>
      </c>
      <c r="B318" t="s">
        <v>1629</v>
      </c>
      <c r="C318" s="20">
        <v>12.33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4"/>
  <sheetViews>
    <sheetView workbookViewId="0">
      <selection activeCell="Q44" sqref="Q44"/>
    </sheetView>
  </sheetViews>
  <sheetFormatPr defaultColWidth="9.140625" defaultRowHeight="15"/>
  <cols>
    <col min="1" max="1" width="9.140625" style="759"/>
    <col min="2" max="2" width="34.85546875" style="764" bestFit="1" customWidth="1"/>
    <col min="3" max="4" width="25.85546875" style="759" hidden="1" customWidth="1"/>
    <col min="5" max="5" width="17.42578125" style="763" customWidth="1"/>
    <col min="6" max="16384" width="9.140625" style="759"/>
  </cols>
  <sheetData>
    <row r="1" spans="1:7" ht="28.5">
      <c r="A1" s="759" t="s">
        <v>592</v>
      </c>
      <c r="B1" s="764" t="s">
        <v>1634</v>
      </c>
      <c r="C1" s="760" t="s">
        <v>1635</v>
      </c>
      <c r="D1" s="760" t="s">
        <v>1636</v>
      </c>
      <c r="E1" s="767" t="s">
        <v>1637</v>
      </c>
      <c r="G1" s="770" t="s">
        <v>1657</v>
      </c>
    </row>
    <row r="2" spans="1:7">
      <c r="A2" s="762" t="s">
        <v>132</v>
      </c>
      <c r="B2" s="764" t="s">
        <v>911</v>
      </c>
      <c r="C2" s="761">
        <v>2</v>
      </c>
      <c r="D2" s="761">
        <v>26</v>
      </c>
      <c r="E2" s="768">
        <v>28</v>
      </c>
    </row>
    <row r="3" spans="1:7">
      <c r="A3" s="762" t="s">
        <v>403</v>
      </c>
      <c r="B3" s="764" t="s">
        <v>914</v>
      </c>
      <c r="C3" s="761">
        <v>51</v>
      </c>
      <c r="D3" s="761">
        <v>7</v>
      </c>
      <c r="E3" s="768">
        <v>58</v>
      </c>
    </row>
    <row r="4" spans="1:7">
      <c r="A4" s="762" t="s">
        <v>195</v>
      </c>
      <c r="B4" s="764" t="s">
        <v>916</v>
      </c>
      <c r="C4" s="761">
        <v>0</v>
      </c>
      <c r="D4" s="761">
        <v>0</v>
      </c>
      <c r="E4" s="768">
        <v>37</v>
      </c>
    </row>
    <row r="5" spans="1:7">
      <c r="A5" s="762" t="s">
        <v>62</v>
      </c>
      <c r="B5" s="764" t="s">
        <v>923</v>
      </c>
      <c r="C5" s="761">
        <v>2</v>
      </c>
      <c r="D5" s="761">
        <v>9</v>
      </c>
      <c r="E5" s="768">
        <v>11</v>
      </c>
    </row>
    <row r="6" spans="1:7">
      <c r="A6" s="762" t="s">
        <v>508</v>
      </c>
      <c r="B6" s="765" t="s">
        <v>1638</v>
      </c>
      <c r="C6" s="761">
        <v>0</v>
      </c>
      <c r="D6" s="761">
        <v>0</v>
      </c>
      <c r="E6" s="768">
        <v>1</v>
      </c>
    </row>
    <row r="7" spans="1:7">
      <c r="A7" s="762" t="s">
        <v>211</v>
      </c>
      <c r="B7" s="765" t="s">
        <v>1639</v>
      </c>
      <c r="C7" s="761">
        <v>0</v>
      </c>
      <c r="D7" s="761">
        <v>0</v>
      </c>
      <c r="E7" s="768">
        <v>1</v>
      </c>
    </row>
    <row r="8" spans="1:7">
      <c r="A8" s="762" t="s">
        <v>378</v>
      </c>
      <c r="B8" s="764" t="s">
        <v>1640</v>
      </c>
      <c r="C8" s="761"/>
      <c r="D8" s="761"/>
      <c r="E8" s="768">
        <v>0</v>
      </c>
    </row>
    <row r="9" spans="1:7">
      <c r="A9" s="762" t="s">
        <v>33</v>
      </c>
      <c r="B9" s="764" t="s">
        <v>1320</v>
      </c>
      <c r="C9" s="761">
        <v>0</v>
      </c>
      <c r="D9" s="761">
        <v>0</v>
      </c>
      <c r="E9" s="768">
        <v>3</v>
      </c>
    </row>
    <row r="10" spans="1:7">
      <c r="A10" s="762" t="s">
        <v>216</v>
      </c>
      <c r="B10" s="764" t="s">
        <v>957</v>
      </c>
      <c r="C10" s="761">
        <v>0</v>
      </c>
      <c r="D10" s="761">
        <v>0</v>
      </c>
      <c r="E10" s="768">
        <v>3</v>
      </c>
    </row>
    <row r="11" spans="1:7">
      <c r="A11" s="762" t="s">
        <v>230</v>
      </c>
      <c r="B11" s="764" t="s">
        <v>1322</v>
      </c>
      <c r="C11" s="761">
        <v>1</v>
      </c>
      <c r="D11" s="761">
        <v>2</v>
      </c>
      <c r="E11" s="768">
        <v>3</v>
      </c>
    </row>
    <row r="12" spans="1:7">
      <c r="A12" s="762" t="s">
        <v>395</v>
      </c>
      <c r="B12" s="764" t="s">
        <v>992</v>
      </c>
      <c r="C12" s="761">
        <v>53</v>
      </c>
      <c r="D12" s="761">
        <v>60</v>
      </c>
      <c r="E12" s="768">
        <v>115</v>
      </c>
      <c r="F12" s="761"/>
    </row>
    <row r="13" spans="1:7">
      <c r="A13" s="762" t="s">
        <v>58</v>
      </c>
      <c r="B13" s="764" t="s">
        <v>999</v>
      </c>
      <c r="C13" s="761">
        <v>1</v>
      </c>
      <c r="D13" s="761">
        <v>102</v>
      </c>
      <c r="E13" s="768">
        <v>112</v>
      </c>
      <c r="F13" s="761"/>
    </row>
    <row r="14" spans="1:7">
      <c r="A14" s="762" t="s">
        <v>19</v>
      </c>
      <c r="B14" s="764" t="s">
        <v>1641</v>
      </c>
      <c r="C14" s="761">
        <v>1</v>
      </c>
      <c r="D14" s="761">
        <v>0</v>
      </c>
      <c r="E14" s="768">
        <v>1</v>
      </c>
    </row>
    <row r="15" spans="1:7">
      <c r="A15" s="762" t="s">
        <v>361</v>
      </c>
      <c r="B15" s="764" t="s">
        <v>1016</v>
      </c>
      <c r="C15" s="761">
        <v>0</v>
      </c>
      <c r="D15" s="761">
        <v>0</v>
      </c>
      <c r="E15" s="768">
        <v>2</v>
      </c>
    </row>
    <row r="16" spans="1:7">
      <c r="A16" s="762" t="s">
        <v>563</v>
      </c>
      <c r="B16" s="764" t="s">
        <v>1324</v>
      </c>
      <c r="C16" s="761">
        <v>4</v>
      </c>
      <c r="D16" s="761">
        <v>18</v>
      </c>
      <c r="E16" s="768">
        <v>22</v>
      </c>
    </row>
    <row r="17" spans="1:5">
      <c r="A17" s="762" t="s">
        <v>226</v>
      </c>
      <c r="B17" s="764" t="s">
        <v>1020</v>
      </c>
      <c r="C17" s="761">
        <v>0</v>
      </c>
      <c r="D17" s="761">
        <v>0</v>
      </c>
      <c r="E17" s="768">
        <v>39</v>
      </c>
    </row>
    <row r="18" spans="1:5">
      <c r="A18" s="762" t="s">
        <v>201</v>
      </c>
      <c r="B18" s="764" t="s">
        <v>1029</v>
      </c>
      <c r="C18" s="761">
        <v>4</v>
      </c>
      <c r="D18" s="761">
        <v>4</v>
      </c>
      <c r="E18" s="768">
        <v>8</v>
      </c>
    </row>
    <row r="19" spans="1:5">
      <c r="A19" s="762" t="s">
        <v>80</v>
      </c>
      <c r="B19" s="764" t="s">
        <v>1033</v>
      </c>
      <c r="C19" s="761">
        <v>3</v>
      </c>
      <c r="D19" s="761">
        <v>8</v>
      </c>
      <c r="E19" s="768">
        <v>11</v>
      </c>
    </row>
    <row r="20" spans="1:5">
      <c r="A20" s="762" t="s">
        <v>207</v>
      </c>
      <c r="B20" s="764" t="s">
        <v>1040</v>
      </c>
      <c r="C20" s="761">
        <v>4</v>
      </c>
      <c r="D20" s="761">
        <v>12</v>
      </c>
      <c r="E20" s="768">
        <v>16</v>
      </c>
    </row>
    <row r="21" spans="1:5">
      <c r="A21" s="762" t="s">
        <v>145</v>
      </c>
      <c r="B21" s="764" t="s">
        <v>1325</v>
      </c>
      <c r="C21" s="761">
        <v>5</v>
      </c>
      <c r="D21" s="761">
        <v>19</v>
      </c>
      <c r="E21" s="768">
        <v>24</v>
      </c>
    </row>
    <row r="22" spans="1:5">
      <c r="A22" s="762" t="s">
        <v>205</v>
      </c>
      <c r="B22" s="764" t="s">
        <v>1047</v>
      </c>
      <c r="C22" s="761">
        <v>0</v>
      </c>
      <c r="D22" s="761">
        <v>0</v>
      </c>
      <c r="E22" s="768">
        <v>9</v>
      </c>
    </row>
    <row r="23" spans="1:5">
      <c r="A23" s="762" t="s">
        <v>1656</v>
      </c>
      <c r="B23" s="764" t="s">
        <v>1642</v>
      </c>
      <c r="C23" s="761">
        <v>1</v>
      </c>
      <c r="D23" s="761">
        <v>0</v>
      </c>
      <c r="E23" s="768">
        <v>1</v>
      </c>
    </row>
    <row r="24" spans="1:5">
      <c r="A24" s="762" t="s">
        <v>90</v>
      </c>
      <c r="B24" s="764" t="s">
        <v>1345</v>
      </c>
      <c r="C24" s="761">
        <v>0</v>
      </c>
      <c r="D24" s="761">
        <v>0</v>
      </c>
      <c r="E24" s="768">
        <v>4</v>
      </c>
    </row>
    <row r="25" spans="1:5">
      <c r="A25" s="762" t="s">
        <v>405</v>
      </c>
      <c r="B25" s="764" t="s">
        <v>1060</v>
      </c>
      <c r="C25" s="761">
        <v>3</v>
      </c>
      <c r="D25" s="761">
        <v>345</v>
      </c>
      <c r="E25" s="768">
        <v>348</v>
      </c>
    </row>
    <row r="26" spans="1:5">
      <c r="A26" s="762" t="s">
        <v>432</v>
      </c>
      <c r="B26" s="764" t="s">
        <v>1062</v>
      </c>
      <c r="C26" s="761">
        <v>9</v>
      </c>
      <c r="D26" s="761">
        <v>0</v>
      </c>
      <c r="E26" s="768">
        <v>9</v>
      </c>
    </row>
    <row r="27" spans="1:5">
      <c r="A27" s="762" t="s">
        <v>319</v>
      </c>
      <c r="B27" s="764" t="s">
        <v>1070</v>
      </c>
      <c r="C27" s="761">
        <v>1</v>
      </c>
      <c r="D27" s="761">
        <v>0</v>
      </c>
      <c r="E27" s="768">
        <v>1</v>
      </c>
    </row>
    <row r="28" spans="1:5">
      <c r="A28" s="762" t="s">
        <v>409</v>
      </c>
      <c r="B28" s="764" t="s">
        <v>1072</v>
      </c>
      <c r="C28" s="761">
        <v>0</v>
      </c>
      <c r="D28" s="761">
        <v>0</v>
      </c>
      <c r="E28" s="768">
        <v>11</v>
      </c>
    </row>
    <row r="29" spans="1:5">
      <c r="A29" s="762" t="s">
        <v>258</v>
      </c>
      <c r="B29" s="764" t="s">
        <v>1643</v>
      </c>
      <c r="C29" s="761">
        <v>2</v>
      </c>
      <c r="D29" s="761">
        <v>0</v>
      </c>
      <c r="E29" s="768">
        <v>2</v>
      </c>
    </row>
    <row r="30" spans="1:5">
      <c r="A30" s="762" t="s">
        <v>571</v>
      </c>
      <c r="B30" s="764" t="s">
        <v>1075</v>
      </c>
      <c r="C30" s="761">
        <v>17</v>
      </c>
      <c r="D30" s="761">
        <v>149</v>
      </c>
      <c r="E30" s="768">
        <v>166</v>
      </c>
    </row>
    <row r="31" spans="1:5">
      <c r="A31" s="762" t="s">
        <v>516</v>
      </c>
      <c r="B31" s="764" t="s">
        <v>1644</v>
      </c>
      <c r="C31" s="761">
        <v>0</v>
      </c>
      <c r="D31" s="761">
        <v>0</v>
      </c>
      <c r="E31" s="768">
        <v>1</v>
      </c>
    </row>
    <row r="32" spans="1:5">
      <c r="A32" s="762" t="s">
        <v>309</v>
      </c>
      <c r="B32" s="764" t="s">
        <v>1326</v>
      </c>
      <c r="C32" s="761">
        <v>51</v>
      </c>
      <c r="D32" s="761">
        <v>29</v>
      </c>
      <c r="E32" s="768">
        <v>80</v>
      </c>
    </row>
    <row r="33" spans="1:5">
      <c r="A33" s="762" t="s">
        <v>214</v>
      </c>
      <c r="B33" s="764" t="s">
        <v>1084</v>
      </c>
      <c r="C33" s="761">
        <v>0</v>
      </c>
      <c r="D33" s="761">
        <v>0</v>
      </c>
      <c r="E33" s="768">
        <v>2</v>
      </c>
    </row>
    <row r="34" spans="1:5">
      <c r="A34" s="762" t="s">
        <v>474</v>
      </c>
      <c r="B34" s="764" t="s">
        <v>1087</v>
      </c>
      <c r="C34" s="761">
        <v>0</v>
      </c>
      <c r="D34" s="761">
        <v>0</v>
      </c>
      <c r="E34" s="768">
        <v>1</v>
      </c>
    </row>
    <row r="35" spans="1:5">
      <c r="A35" s="762" t="s">
        <v>209</v>
      </c>
      <c r="B35" s="764" t="s">
        <v>1091</v>
      </c>
      <c r="C35" s="761">
        <v>0</v>
      </c>
      <c r="D35" s="761">
        <v>0</v>
      </c>
      <c r="E35" s="768">
        <v>15</v>
      </c>
    </row>
    <row r="36" spans="1:5">
      <c r="A36" s="762" t="s">
        <v>157</v>
      </c>
      <c r="B36" s="764" t="s">
        <v>1096</v>
      </c>
      <c r="C36" s="761">
        <v>48</v>
      </c>
      <c r="D36" s="761">
        <v>10</v>
      </c>
      <c r="E36" s="768">
        <v>58</v>
      </c>
    </row>
    <row r="37" spans="1:5">
      <c r="A37" s="762" t="s">
        <v>325</v>
      </c>
      <c r="B37" s="764" t="s">
        <v>1645</v>
      </c>
      <c r="C37" s="761">
        <v>0</v>
      </c>
      <c r="D37" s="761">
        <v>0</v>
      </c>
      <c r="E37" s="768">
        <v>7</v>
      </c>
    </row>
    <row r="38" spans="1:5">
      <c r="A38" s="762" t="s">
        <v>478</v>
      </c>
      <c r="B38" s="764" t="s">
        <v>1101</v>
      </c>
      <c r="C38" s="761">
        <v>3</v>
      </c>
      <c r="D38" s="761">
        <v>5</v>
      </c>
      <c r="E38" s="768">
        <v>8</v>
      </c>
    </row>
    <row r="39" spans="1:5">
      <c r="A39" s="762" t="s">
        <v>355</v>
      </c>
      <c r="B39" s="764" t="s">
        <v>1646</v>
      </c>
      <c r="C39" s="761">
        <v>1</v>
      </c>
      <c r="D39" s="761">
        <v>0</v>
      </c>
      <c r="E39" s="768">
        <v>1</v>
      </c>
    </row>
    <row r="40" spans="1:5">
      <c r="A40" s="762" t="s">
        <v>4</v>
      </c>
      <c r="B40" s="764" t="s">
        <v>1647</v>
      </c>
      <c r="C40" s="761">
        <v>3</v>
      </c>
      <c r="D40" s="761">
        <v>0</v>
      </c>
      <c r="E40" s="768">
        <v>3</v>
      </c>
    </row>
    <row r="41" spans="1:5">
      <c r="A41" s="762" t="s">
        <v>484</v>
      </c>
      <c r="B41" s="765" t="s">
        <v>1648</v>
      </c>
      <c r="C41" s="761">
        <v>0</v>
      </c>
      <c r="D41" s="761">
        <v>0</v>
      </c>
      <c r="E41" s="768">
        <v>1</v>
      </c>
    </row>
    <row r="42" spans="1:5">
      <c r="A42" s="762" t="s">
        <v>375</v>
      </c>
      <c r="B42" s="764" t="s">
        <v>1140</v>
      </c>
      <c r="C42" s="761">
        <v>1</v>
      </c>
      <c r="D42" s="761">
        <v>0</v>
      </c>
      <c r="E42" s="768">
        <v>1</v>
      </c>
    </row>
    <row r="43" spans="1:5">
      <c r="A43" s="762" t="s">
        <v>173</v>
      </c>
      <c r="B43" s="764" t="s">
        <v>1142</v>
      </c>
      <c r="C43" s="761">
        <v>136</v>
      </c>
      <c r="D43" s="761">
        <v>11</v>
      </c>
      <c r="E43" s="768">
        <v>147</v>
      </c>
    </row>
    <row r="44" spans="1:5">
      <c r="A44" s="762" t="s">
        <v>203</v>
      </c>
      <c r="B44" s="764" t="s">
        <v>1189</v>
      </c>
      <c r="C44" s="761">
        <v>0</v>
      </c>
      <c r="D44" s="761">
        <v>0</v>
      </c>
      <c r="E44" s="768">
        <v>1</v>
      </c>
    </row>
    <row r="45" spans="1:5">
      <c r="A45" s="762" t="s">
        <v>411</v>
      </c>
      <c r="B45" s="765" t="s">
        <v>1649</v>
      </c>
      <c r="C45" s="761">
        <v>1</v>
      </c>
      <c r="D45" s="761">
        <v>0</v>
      </c>
      <c r="E45" s="768">
        <v>1</v>
      </c>
    </row>
    <row r="46" spans="1:5">
      <c r="A46" s="762" t="s">
        <v>199</v>
      </c>
      <c r="B46" s="764" t="s">
        <v>1329</v>
      </c>
      <c r="C46" s="761">
        <v>8</v>
      </c>
      <c r="D46" s="761">
        <v>7</v>
      </c>
      <c r="E46" s="768">
        <v>15</v>
      </c>
    </row>
    <row r="47" spans="1:5">
      <c r="A47" s="762" t="s">
        <v>329</v>
      </c>
      <c r="B47" s="764" t="s">
        <v>1650</v>
      </c>
      <c r="C47" s="761">
        <v>0</v>
      </c>
      <c r="D47" s="761">
        <v>0</v>
      </c>
      <c r="E47" s="768">
        <v>2</v>
      </c>
    </row>
    <row r="48" spans="1:5">
      <c r="A48" s="762" t="s">
        <v>421</v>
      </c>
      <c r="B48" s="764" t="s">
        <v>1651</v>
      </c>
      <c r="C48" s="761">
        <v>11</v>
      </c>
      <c r="D48" s="761">
        <v>1</v>
      </c>
      <c r="E48" s="768">
        <v>12</v>
      </c>
    </row>
    <row r="49" spans="1:6">
      <c r="A49" s="762" t="s">
        <v>351</v>
      </c>
      <c r="B49" s="764" t="s">
        <v>1330</v>
      </c>
      <c r="C49" s="761">
        <v>0</v>
      </c>
      <c r="D49" s="761">
        <v>0</v>
      </c>
      <c r="E49" s="768">
        <v>7</v>
      </c>
    </row>
    <row r="50" spans="1:6">
      <c r="A50" s="762" t="s">
        <v>345</v>
      </c>
      <c r="B50" s="764" t="s">
        <v>1221</v>
      </c>
      <c r="C50" s="761">
        <v>2</v>
      </c>
      <c r="D50" s="761">
        <v>1</v>
      </c>
      <c r="E50" s="768">
        <v>3</v>
      </c>
    </row>
    <row r="51" spans="1:6">
      <c r="A51" s="762" t="s">
        <v>559</v>
      </c>
      <c r="B51" s="764" t="s">
        <v>1331</v>
      </c>
      <c r="C51" s="761">
        <v>45</v>
      </c>
      <c r="D51" s="761">
        <v>192</v>
      </c>
      <c r="E51" s="768">
        <v>237</v>
      </c>
    </row>
    <row r="52" spans="1:6">
      <c r="A52" s="762" t="s">
        <v>496</v>
      </c>
      <c r="B52" s="764" t="s">
        <v>1332</v>
      </c>
      <c r="C52" s="761">
        <v>0</v>
      </c>
      <c r="D52" s="761">
        <v>0</v>
      </c>
      <c r="E52" s="768">
        <v>2</v>
      </c>
    </row>
    <row r="53" spans="1:6">
      <c r="A53" s="762" t="s">
        <v>543</v>
      </c>
      <c r="B53" s="764" t="s">
        <v>1652</v>
      </c>
      <c r="C53" s="761">
        <v>3</v>
      </c>
      <c r="D53" s="761">
        <v>0</v>
      </c>
      <c r="E53" s="768">
        <v>3</v>
      </c>
    </row>
    <row r="54" spans="1:6">
      <c r="A54" s="762" t="s">
        <v>49</v>
      </c>
      <c r="B54" s="764" t="s">
        <v>1234</v>
      </c>
      <c r="C54" s="761">
        <v>29</v>
      </c>
      <c r="D54" s="761">
        <v>88</v>
      </c>
      <c r="E54" s="768">
        <v>118</v>
      </c>
      <c r="F54" s="761"/>
    </row>
    <row r="55" spans="1:6">
      <c r="A55" s="762" t="s">
        <v>567</v>
      </c>
      <c r="B55" s="764" t="s">
        <v>1333</v>
      </c>
      <c r="C55" s="761">
        <v>99</v>
      </c>
      <c r="D55" s="761">
        <v>371</v>
      </c>
      <c r="E55" s="768">
        <v>471</v>
      </c>
      <c r="F55" s="761"/>
    </row>
    <row r="56" spans="1:6">
      <c r="A56" s="762" t="s">
        <v>452</v>
      </c>
      <c r="B56" s="764" t="s">
        <v>1334</v>
      </c>
      <c r="C56" s="761">
        <v>32</v>
      </c>
      <c r="D56" s="761">
        <v>128</v>
      </c>
      <c r="E56" s="768">
        <v>160</v>
      </c>
    </row>
    <row r="57" spans="1:6">
      <c r="A57" s="762" t="s">
        <v>37</v>
      </c>
      <c r="B57" s="764" t="s">
        <v>1242</v>
      </c>
      <c r="C57" s="761">
        <v>9</v>
      </c>
      <c r="D57" s="761">
        <v>10</v>
      </c>
      <c r="E57" s="768">
        <v>19</v>
      </c>
    </row>
    <row r="58" spans="1:6" ht="16.5" customHeight="1">
      <c r="A58" s="762" t="s">
        <v>443</v>
      </c>
      <c r="B58" s="764" t="s">
        <v>1653</v>
      </c>
      <c r="C58" s="761">
        <v>1</v>
      </c>
      <c r="D58" s="761">
        <v>0</v>
      </c>
      <c r="E58" s="768">
        <v>1</v>
      </c>
    </row>
    <row r="59" spans="1:6">
      <c r="A59" s="762" t="s">
        <v>569</v>
      </c>
      <c r="B59" s="764" t="s">
        <v>1654</v>
      </c>
      <c r="C59" s="761">
        <v>15</v>
      </c>
      <c r="D59" s="761">
        <v>71</v>
      </c>
      <c r="E59" s="768">
        <v>86</v>
      </c>
    </row>
    <row r="60" spans="1:6">
      <c r="A60" s="762" t="s">
        <v>248</v>
      </c>
      <c r="B60" s="764" t="s">
        <v>1335</v>
      </c>
      <c r="C60" s="761">
        <v>0</v>
      </c>
      <c r="D60" s="761">
        <v>0</v>
      </c>
      <c r="E60" s="768">
        <v>3</v>
      </c>
    </row>
    <row r="61" spans="1:6">
      <c r="A61" s="762" t="s">
        <v>264</v>
      </c>
      <c r="B61" s="764" t="s">
        <v>1336</v>
      </c>
      <c r="C61" s="761">
        <v>2</v>
      </c>
      <c r="D61" s="761">
        <v>9</v>
      </c>
      <c r="E61" s="768">
        <v>11</v>
      </c>
    </row>
    <row r="62" spans="1:6">
      <c r="A62" s="762" t="s">
        <v>547</v>
      </c>
      <c r="B62" s="764" t="s">
        <v>1246</v>
      </c>
      <c r="C62" s="761">
        <v>6</v>
      </c>
      <c r="D62" s="761">
        <v>27</v>
      </c>
      <c r="E62" s="768">
        <v>33</v>
      </c>
    </row>
    <row r="63" spans="1:6">
      <c r="B63" s="764" t="s">
        <v>1655</v>
      </c>
      <c r="C63" s="761">
        <v>0</v>
      </c>
      <c r="D63" s="761">
        <v>0</v>
      </c>
      <c r="E63" s="768"/>
    </row>
    <row r="64" spans="1:6">
      <c r="B64" s="766" t="s">
        <v>1258</v>
      </c>
      <c r="E64" s="769">
        <f>SUM(E2:E63)</f>
        <v>2556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296"/>
  <sheetViews>
    <sheetView workbookViewId="0">
      <selection activeCell="K41" sqref="K41"/>
    </sheetView>
  </sheetViews>
  <sheetFormatPr defaultRowHeight="12.75"/>
  <cols>
    <col min="2" max="3" width="22.140625" customWidth="1"/>
  </cols>
  <sheetData>
    <row r="1" spans="1:3" ht="15.75">
      <c r="A1" s="682" t="s">
        <v>592</v>
      </c>
      <c r="B1" s="680" t="s">
        <v>1347</v>
      </c>
      <c r="C1" s="701" t="s">
        <v>1348</v>
      </c>
    </row>
    <row r="2" spans="1:3" ht="15.75">
      <c r="A2" s="493" t="s">
        <v>132</v>
      </c>
      <c r="B2" s="576" t="s">
        <v>133</v>
      </c>
      <c r="C2" s="702">
        <v>36</v>
      </c>
    </row>
    <row r="3" spans="1:3">
      <c r="A3" s="493" t="s">
        <v>262</v>
      </c>
      <c r="B3" s="576" t="s">
        <v>263</v>
      </c>
      <c r="C3" s="576"/>
    </row>
    <row r="4" spans="1:3">
      <c r="A4" s="493" t="s">
        <v>283</v>
      </c>
      <c r="B4" s="576" t="s">
        <v>284</v>
      </c>
      <c r="C4" s="576"/>
    </row>
    <row r="5" spans="1:3">
      <c r="A5" s="494" t="s">
        <v>380</v>
      </c>
      <c r="B5" s="577" t="s">
        <v>381</v>
      </c>
      <c r="C5" s="577"/>
    </row>
    <row r="6" spans="1:3">
      <c r="A6" s="493" t="s">
        <v>403</v>
      </c>
      <c r="B6" s="576" t="s">
        <v>404</v>
      </c>
      <c r="C6" s="576"/>
    </row>
    <row r="7" spans="1:3">
      <c r="A7" s="493" t="s">
        <v>12</v>
      </c>
      <c r="B7" s="576" t="s">
        <v>13</v>
      </c>
      <c r="C7" s="576"/>
    </row>
    <row r="8" spans="1:3" ht="15.75">
      <c r="A8" s="493" t="s">
        <v>195</v>
      </c>
      <c r="B8" s="576" t="s">
        <v>196</v>
      </c>
      <c r="C8" s="702">
        <v>42.5</v>
      </c>
    </row>
    <row r="9" spans="1:3">
      <c r="A9" s="493" t="s">
        <v>213</v>
      </c>
      <c r="B9" s="576" t="s">
        <v>598</v>
      </c>
      <c r="C9" s="576"/>
    </row>
    <row r="10" spans="1:3">
      <c r="A10" s="493" t="s">
        <v>62</v>
      </c>
      <c r="B10" s="576" t="s">
        <v>63</v>
      </c>
      <c r="C10" s="576"/>
    </row>
    <row r="11" spans="1:3" ht="15.75">
      <c r="A11" s="493" t="s">
        <v>189</v>
      </c>
      <c r="B11" s="576" t="s">
        <v>190</v>
      </c>
      <c r="C11" s="702">
        <v>12.5</v>
      </c>
    </row>
    <row r="12" spans="1:3">
      <c r="A12" s="493" t="s">
        <v>504</v>
      </c>
      <c r="B12" s="576" t="s">
        <v>505</v>
      </c>
      <c r="C12" s="576"/>
    </row>
    <row r="13" spans="1:3">
      <c r="A13" s="493" t="s">
        <v>2</v>
      </c>
      <c r="B13" s="576" t="s">
        <v>3</v>
      </c>
      <c r="C13" s="576"/>
    </row>
    <row r="14" spans="1:3">
      <c r="A14" s="493" t="s">
        <v>363</v>
      </c>
      <c r="B14" s="576" t="s">
        <v>364</v>
      </c>
      <c r="C14" s="576"/>
    </row>
    <row r="15" spans="1:3">
      <c r="A15" s="493" t="s">
        <v>234</v>
      </c>
      <c r="B15" s="576" t="s">
        <v>235</v>
      </c>
      <c r="C15" s="576"/>
    </row>
    <row r="16" spans="1:3" ht="15.75">
      <c r="A16" s="493" t="s">
        <v>508</v>
      </c>
      <c r="B16" s="576" t="s">
        <v>509</v>
      </c>
      <c r="C16" s="702">
        <v>1</v>
      </c>
    </row>
    <row r="17" spans="1:3">
      <c r="A17" s="493" t="s">
        <v>266</v>
      </c>
      <c r="B17" s="576" t="s">
        <v>267</v>
      </c>
      <c r="C17" s="576"/>
    </row>
    <row r="18" spans="1:3" ht="15.75">
      <c r="A18" s="493" t="s">
        <v>211</v>
      </c>
      <c r="B18" s="576" t="s">
        <v>212</v>
      </c>
      <c r="C18" s="702">
        <v>1</v>
      </c>
    </row>
    <row r="19" spans="1:3">
      <c r="A19" s="493" t="s">
        <v>315</v>
      </c>
      <c r="B19" s="576" t="s">
        <v>316</v>
      </c>
      <c r="C19" s="576"/>
    </row>
    <row r="20" spans="1:3">
      <c r="A20" s="493" t="s">
        <v>84</v>
      </c>
      <c r="B20" s="576" t="s">
        <v>85</v>
      </c>
      <c r="C20" s="576"/>
    </row>
    <row r="21" spans="1:3">
      <c r="A21" s="493" t="s">
        <v>165</v>
      </c>
      <c r="B21" s="576" t="s">
        <v>166</v>
      </c>
      <c r="C21" s="576"/>
    </row>
    <row r="22" spans="1:3">
      <c r="A22" s="493" t="s">
        <v>378</v>
      </c>
      <c r="B22" s="576" t="s">
        <v>602</v>
      </c>
      <c r="C22" s="576"/>
    </row>
    <row r="23" spans="1:3">
      <c r="A23" s="493" t="s">
        <v>60</v>
      </c>
      <c r="B23" s="576" t="s">
        <v>61</v>
      </c>
      <c r="C23" s="576"/>
    </row>
    <row r="24" spans="1:3">
      <c r="A24" s="493" t="s">
        <v>45</v>
      </c>
      <c r="B24" s="576" t="s">
        <v>46</v>
      </c>
      <c r="C24" s="576"/>
    </row>
    <row r="25" spans="1:3">
      <c r="A25" s="493" t="s">
        <v>347</v>
      </c>
      <c r="B25" s="576" t="s">
        <v>348</v>
      </c>
      <c r="C25" s="576"/>
    </row>
    <row r="26" spans="1:3">
      <c r="A26" s="493" t="s">
        <v>35</v>
      </c>
      <c r="B26" s="576" t="s">
        <v>36</v>
      </c>
      <c r="C26" s="576"/>
    </row>
    <row r="27" spans="1:3" ht="15.75">
      <c r="A27" s="493" t="s">
        <v>33</v>
      </c>
      <c r="B27" s="576" t="s">
        <v>34</v>
      </c>
      <c r="C27" s="702">
        <v>3</v>
      </c>
    </row>
    <row r="28" spans="1:3">
      <c r="A28" s="493" t="s">
        <v>74</v>
      </c>
      <c r="B28" s="576" t="s">
        <v>75</v>
      </c>
      <c r="C28" s="576"/>
    </row>
    <row r="29" spans="1:3">
      <c r="A29" s="493" t="s">
        <v>236</v>
      </c>
      <c r="B29" s="576" t="s">
        <v>237</v>
      </c>
      <c r="C29" s="576"/>
    </row>
    <row r="30" spans="1:3">
      <c r="A30" s="493" t="s">
        <v>216</v>
      </c>
      <c r="B30" s="576" t="s">
        <v>217</v>
      </c>
      <c r="C30" s="576"/>
    </row>
    <row r="31" spans="1:3">
      <c r="A31" s="493" t="s">
        <v>434</v>
      </c>
      <c r="B31" s="576" t="s">
        <v>435</v>
      </c>
      <c r="C31" s="576"/>
    </row>
    <row r="32" spans="1:3">
      <c r="A32" s="493" t="s">
        <v>278</v>
      </c>
      <c r="B32" s="576" t="s">
        <v>279</v>
      </c>
      <c r="C32" s="576"/>
    </row>
    <row r="33" spans="1:3">
      <c r="A33" s="493" t="s">
        <v>274</v>
      </c>
      <c r="B33" s="576" t="s">
        <v>275</v>
      </c>
      <c r="C33" s="576"/>
    </row>
    <row r="34" spans="1:3" ht="15.75">
      <c r="A34" s="493" t="s">
        <v>438</v>
      </c>
      <c r="B34" s="576" t="s">
        <v>439</v>
      </c>
      <c r="C34" s="702">
        <v>2</v>
      </c>
    </row>
    <row r="35" spans="1:3">
      <c r="A35" s="493" t="s">
        <v>450</v>
      </c>
      <c r="B35" s="576" t="s">
        <v>451</v>
      </c>
      <c r="C35" s="576"/>
    </row>
    <row r="36" spans="1:3">
      <c r="A36" s="493" t="s">
        <v>169</v>
      </c>
      <c r="B36" s="576" t="s">
        <v>170</v>
      </c>
      <c r="C36" s="576"/>
    </row>
    <row r="37" spans="1:3">
      <c r="A37" s="493" t="s">
        <v>10</v>
      </c>
      <c r="B37" s="576" t="s">
        <v>11</v>
      </c>
      <c r="C37" s="576"/>
    </row>
    <row r="38" spans="1:3" ht="15.75">
      <c r="A38" s="493" t="s">
        <v>230</v>
      </c>
      <c r="B38" s="576" t="s">
        <v>231</v>
      </c>
      <c r="C38" s="702">
        <v>2</v>
      </c>
    </row>
    <row r="39" spans="1:3">
      <c r="A39" s="493" t="s">
        <v>357</v>
      </c>
      <c r="B39" s="576" t="s">
        <v>358</v>
      </c>
      <c r="C39" s="576"/>
    </row>
    <row r="40" spans="1:3">
      <c r="A40" s="493" t="s">
        <v>525</v>
      </c>
      <c r="B40" s="576" t="s">
        <v>526</v>
      </c>
      <c r="C40" s="576"/>
    </row>
    <row r="41" spans="1:3">
      <c r="A41" s="493" t="s">
        <v>494</v>
      </c>
      <c r="B41" s="576" t="s">
        <v>495</v>
      </c>
      <c r="C41" s="576"/>
    </row>
    <row r="42" spans="1:3">
      <c r="A42" s="493" t="s">
        <v>533</v>
      </c>
      <c r="B42" s="576" t="s">
        <v>534</v>
      </c>
      <c r="C42" s="576"/>
    </row>
    <row r="43" spans="1:3">
      <c r="A43" s="493" t="s">
        <v>464</v>
      </c>
      <c r="B43" s="576" t="s">
        <v>465</v>
      </c>
      <c r="C43" s="576"/>
    </row>
    <row r="44" spans="1:3">
      <c r="A44" s="493" t="s">
        <v>498</v>
      </c>
      <c r="B44" s="576" t="s">
        <v>499</v>
      </c>
      <c r="C44" s="576"/>
    </row>
    <row r="45" spans="1:3">
      <c r="A45" s="493" t="s">
        <v>456</v>
      </c>
      <c r="B45" s="576" t="s">
        <v>457</v>
      </c>
      <c r="C45" s="576"/>
    </row>
    <row r="46" spans="1:3">
      <c r="A46" s="493" t="s">
        <v>376</v>
      </c>
      <c r="B46" s="576" t="s">
        <v>377</v>
      </c>
      <c r="C46" s="576"/>
    </row>
    <row r="47" spans="1:3">
      <c r="A47" s="493" t="s">
        <v>384</v>
      </c>
      <c r="B47" s="576" t="s">
        <v>385</v>
      </c>
      <c r="C47" s="576"/>
    </row>
    <row r="48" spans="1:3">
      <c r="A48" s="493" t="s">
        <v>147</v>
      </c>
      <c r="B48" s="576" t="s">
        <v>148</v>
      </c>
      <c r="C48" s="576"/>
    </row>
    <row r="49" spans="1:3">
      <c r="A49" s="493" t="s">
        <v>120</v>
      </c>
      <c r="B49" s="576" t="s">
        <v>654</v>
      </c>
      <c r="C49" s="576"/>
    </row>
    <row r="50" spans="1:3">
      <c r="A50" s="493" t="s">
        <v>159</v>
      </c>
      <c r="B50" s="576" t="s">
        <v>160</v>
      </c>
      <c r="C50" s="576"/>
    </row>
    <row r="51" spans="1:3">
      <c r="A51" s="493" t="s">
        <v>41</v>
      </c>
      <c r="B51" s="576" t="s">
        <v>42</v>
      </c>
      <c r="C51" s="576"/>
    </row>
    <row r="52" spans="1:3">
      <c r="A52" s="493" t="s">
        <v>285</v>
      </c>
      <c r="B52" s="576" t="s">
        <v>286</v>
      </c>
      <c r="C52" s="576"/>
    </row>
    <row r="53" spans="1:3">
      <c r="A53" s="493" t="s">
        <v>96</v>
      </c>
      <c r="B53" s="576" t="s">
        <v>97</v>
      </c>
      <c r="C53" s="576"/>
    </row>
    <row r="54" spans="1:3">
      <c r="A54" s="493" t="s">
        <v>338</v>
      </c>
      <c r="B54" s="576" t="s">
        <v>339</v>
      </c>
      <c r="C54" s="576"/>
    </row>
    <row r="55" spans="1:3">
      <c r="A55" s="493" t="s">
        <v>220</v>
      </c>
      <c r="B55" s="576" t="s">
        <v>221</v>
      </c>
      <c r="C55" s="576"/>
    </row>
    <row r="56" spans="1:3">
      <c r="A56" s="493" t="s">
        <v>417</v>
      </c>
      <c r="B56" s="576" t="s">
        <v>418</v>
      </c>
      <c r="C56" s="576"/>
    </row>
    <row r="57" spans="1:3">
      <c r="A57" s="493" t="s">
        <v>293</v>
      </c>
      <c r="B57" s="576" t="s">
        <v>294</v>
      </c>
      <c r="C57" s="576"/>
    </row>
    <row r="58" spans="1:3">
      <c r="A58" s="493" t="s">
        <v>66</v>
      </c>
      <c r="B58" s="576" t="s">
        <v>67</v>
      </c>
      <c r="C58" s="576"/>
    </row>
    <row r="59" spans="1:3">
      <c r="A59" s="493" t="s">
        <v>444</v>
      </c>
      <c r="B59" s="576" t="s">
        <v>445</v>
      </c>
      <c r="C59" s="576"/>
    </row>
    <row r="60" spans="1:3">
      <c r="A60" s="493" t="s">
        <v>353</v>
      </c>
      <c r="B60" s="576" t="s">
        <v>354</v>
      </c>
      <c r="C60" s="576"/>
    </row>
    <row r="61" spans="1:3">
      <c r="A61" s="493" t="s">
        <v>490</v>
      </c>
      <c r="B61" s="576" t="s">
        <v>491</v>
      </c>
      <c r="C61" s="576"/>
    </row>
    <row r="62" spans="1:3">
      <c r="A62" s="493" t="s">
        <v>440</v>
      </c>
      <c r="B62" s="576" t="s">
        <v>674</v>
      </c>
      <c r="C62" s="576"/>
    </row>
    <row r="63" spans="1:3">
      <c r="A63" s="493" t="s">
        <v>549</v>
      </c>
      <c r="B63" s="576" t="s">
        <v>550</v>
      </c>
      <c r="C63" s="576"/>
    </row>
    <row r="64" spans="1:3">
      <c r="A64" s="493" t="s">
        <v>88</v>
      </c>
      <c r="B64" s="576" t="s">
        <v>89</v>
      </c>
      <c r="C64" s="576"/>
    </row>
    <row r="65" spans="1:3">
      <c r="A65" s="493" t="s">
        <v>222</v>
      </c>
      <c r="B65" s="576" t="s">
        <v>223</v>
      </c>
      <c r="C65" s="576"/>
    </row>
    <row r="66" spans="1:3">
      <c r="A66" s="493" t="s">
        <v>365</v>
      </c>
      <c r="B66" s="576" t="s">
        <v>366</v>
      </c>
      <c r="C66" s="576"/>
    </row>
    <row r="67" spans="1:3">
      <c r="A67" s="493" t="s">
        <v>401</v>
      </c>
      <c r="B67" s="576" t="s">
        <v>402</v>
      </c>
      <c r="C67" s="576"/>
    </row>
    <row r="68" spans="1:3">
      <c r="A68" s="493" t="s">
        <v>226</v>
      </c>
      <c r="B68" s="576" t="s">
        <v>227</v>
      </c>
      <c r="C68" s="576"/>
    </row>
    <row r="69" spans="1:3">
      <c r="A69" s="493" t="s">
        <v>141</v>
      </c>
      <c r="B69" s="576" t="s">
        <v>142</v>
      </c>
      <c r="C69" s="576"/>
    </row>
    <row r="70" spans="1:3">
      <c r="A70" s="493" t="s">
        <v>535</v>
      </c>
      <c r="B70" s="576" t="s">
        <v>536</v>
      </c>
      <c r="C70" s="576"/>
    </row>
    <row r="71" spans="1:3">
      <c r="A71" s="493" t="s">
        <v>29</v>
      </c>
      <c r="B71" s="576" t="s">
        <v>30</v>
      </c>
      <c r="C71" s="576"/>
    </row>
    <row r="72" spans="1:3">
      <c r="A72" s="493" t="s">
        <v>177</v>
      </c>
      <c r="B72" s="576" t="s">
        <v>178</v>
      </c>
      <c r="C72" s="576"/>
    </row>
    <row r="73" spans="1:3">
      <c r="A73" s="493" t="s">
        <v>127</v>
      </c>
      <c r="B73" s="576" t="s">
        <v>128</v>
      </c>
      <c r="C73" s="576"/>
    </row>
    <row r="74" spans="1:3">
      <c r="A74" s="493" t="s">
        <v>256</v>
      </c>
      <c r="B74" s="576" t="s">
        <v>257</v>
      </c>
      <c r="C74" s="576"/>
    </row>
    <row r="75" spans="1:3" ht="15.75">
      <c r="A75" s="493" t="s">
        <v>395</v>
      </c>
      <c r="B75" s="576" t="s">
        <v>396</v>
      </c>
      <c r="C75" s="702">
        <v>62.5</v>
      </c>
    </row>
    <row r="76" spans="1:3" ht="15.75">
      <c r="A76" s="493" t="s">
        <v>58</v>
      </c>
      <c r="B76" s="576" t="s">
        <v>59</v>
      </c>
      <c r="C76" s="702">
        <v>145.5</v>
      </c>
    </row>
    <row r="77" spans="1:3">
      <c r="A77" s="493" t="s">
        <v>462</v>
      </c>
      <c r="B77" s="576" t="s">
        <v>463</v>
      </c>
      <c r="C77" s="576"/>
    </row>
    <row r="78" spans="1:3">
      <c r="A78" s="493" t="s">
        <v>175</v>
      </c>
      <c r="B78" s="576" t="s">
        <v>176</v>
      </c>
      <c r="C78" s="576"/>
    </row>
    <row r="79" spans="1:3">
      <c r="A79" s="493" t="s">
        <v>506</v>
      </c>
      <c r="B79" s="576" t="s">
        <v>507</v>
      </c>
      <c r="C79" s="576"/>
    </row>
    <row r="80" spans="1:3">
      <c r="A80" s="493" t="s">
        <v>369</v>
      </c>
      <c r="B80" s="576" t="s">
        <v>370</v>
      </c>
      <c r="C80" s="576"/>
    </row>
    <row r="81" spans="1:3">
      <c r="A81" s="493" t="s">
        <v>19</v>
      </c>
      <c r="B81" s="576" t="s">
        <v>20</v>
      </c>
      <c r="C81" s="576"/>
    </row>
    <row r="82" spans="1:3">
      <c r="A82" s="493" t="s">
        <v>361</v>
      </c>
      <c r="B82" s="576" t="s">
        <v>362</v>
      </c>
      <c r="C82" s="576"/>
    </row>
    <row r="83" spans="1:3">
      <c r="A83" s="493" t="s">
        <v>436</v>
      </c>
      <c r="B83" s="576" t="s">
        <v>437</v>
      </c>
      <c r="C83" s="576"/>
    </row>
    <row r="84" spans="1:3">
      <c r="A84" s="493" t="s">
        <v>529</v>
      </c>
      <c r="B84" s="576" t="s">
        <v>530</v>
      </c>
      <c r="C84" s="576"/>
    </row>
    <row r="85" spans="1:3">
      <c r="A85" s="493" t="s">
        <v>240</v>
      </c>
      <c r="B85" s="576" t="s">
        <v>241</v>
      </c>
      <c r="C85" s="576"/>
    </row>
    <row r="86" spans="1:3">
      <c r="A86" s="493" t="s">
        <v>246</v>
      </c>
      <c r="B86" s="576" t="s">
        <v>247</v>
      </c>
      <c r="C86" s="576"/>
    </row>
    <row r="87" spans="1:3">
      <c r="A87" s="493" t="s">
        <v>131</v>
      </c>
      <c r="B87" s="576" t="s">
        <v>655</v>
      </c>
      <c r="C87" s="576"/>
    </row>
    <row r="88" spans="1:3">
      <c r="A88" s="493" t="s">
        <v>555</v>
      </c>
      <c r="B88" s="576" t="s">
        <v>556</v>
      </c>
      <c r="C88" s="576"/>
    </row>
    <row r="89" spans="1:3" ht="15.75">
      <c r="A89" s="493" t="s">
        <v>563</v>
      </c>
      <c r="B89" s="576" t="s">
        <v>564</v>
      </c>
      <c r="C89" s="702">
        <v>20</v>
      </c>
    </row>
    <row r="90" spans="1:3">
      <c r="A90" s="493" t="s">
        <v>419</v>
      </c>
      <c r="B90" s="576" t="s">
        <v>420</v>
      </c>
      <c r="C90" s="576"/>
    </row>
    <row r="91" spans="1:3">
      <c r="A91" s="493" t="s">
        <v>297</v>
      </c>
      <c r="B91" s="576" t="s">
        <v>298</v>
      </c>
      <c r="C91" s="576"/>
    </row>
    <row r="92" spans="1:3">
      <c r="A92" s="493" t="s">
        <v>426</v>
      </c>
      <c r="B92" s="576" t="s">
        <v>427</v>
      </c>
      <c r="C92" s="576"/>
    </row>
    <row r="93" spans="1:3">
      <c r="A93" s="493" t="s">
        <v>54</v>
      </c>
      <c r="B93" s="576" t="s">
        <v>55</v>
      </c>
      <c r="C93" s="576"/>
    </row>
    <row r="94" spans="1:3">
      <c r="A94" s="493" t="s">
        <v>482</v>
      </c>
      <c r="B94" s="576" t="s">
        <v>483</v>
      </c>
      <c r="C94" s="576"/>
    </row>
    <row r="95" spans="1:3">
      <c r="A95" s="493" t="s">
        <v>291</v>
      </c>
      <c r="B95" s="576" t="s">
        <v>292</v>
      </c>
      <c r="C95" s="576"/>
    </row>
    <row r="96" spans="1:3">
      <c r="A96" s="493" t="s">
        <v>561</v>
      </c>
      <c r="B96" s="576" t="s">
        <v>562</v>
      </c>
      <c r="C96" s="576"/>
    </row>
    <row r="97" spans="1:3" ht="15.75">
      <c r="A97" s="493" t="s">
        <v>181</v>
      </c>
      <c r="B97" s="576" t="s">
        <v>182</v>
      </c>
      <c r="C97" s="702">
        <v>52.5</v>
      </c>
    </row>
    <row r="98" spans="1:3">
      <c r="A98" s="493" t="s">
        <v>51</v>
      </c>
      <c r="B98" s="576" t="s">
        <v>52</v>
      </c>
      <c r="C98" s="576"/>
    </row>
    <row r="99" spans="1:3">
      <c r="A99" s="493" t="s">
        <v>307</v>
      </c>
      <c r="B99" s="576" t="s">
        <v>308</v>
      </c>
      <c r="C99" s="576"/>
    </row>
    <row r="100" spans="1:3">
      <c r="A100" s="493" t="s">
        <v>134</v>
      </c>
      <c r="B100" s="576" t="s">
        <v>135</v>
      </c>
      <c r="C100" s="576"/>
    </row>
    <row r="101" spans="1:3">
      <c r="A101" s="493" t="s">
        <v>100</v>
      </c>
      <c r="B101" s="576" t="s">
        <v>101</v>
      </c>
      <c r="C101" s="576"/>
    </row>
    <row r="102" spans="1:3">
      <c r="A102" s="493" t="s">
        <v>407</v>
      </c>
      <c r="B102" s="576" t="s">
        <v>408</v>
      </c>
      <c r="C102" s="576"/>
    </row>
    <row r="103" spans="1:3">
      <c r="A103" s="493" t="s">
        <v>201</v>
      </c>
      <c r="B103" s="576" t="s">
        <v>202</v>
      </c>
      <c r="C103" s="576"/>
    </row>
    <row r="104" spans="1:3">
      <c r="A104" s="493" t="s">
        <v>110</v>
      </c>
      <c r="B104" s="576" t="s">
        <v>111</v>
      </c>
      <c r="C104" s="576"/>
    </row>
    <row r="105" spans="1:3">
      <c r="A105" s="493" t="s">
        <v>76</v>
      </c>
      <c r="B105" s="576" t="s">
        <v>77</v>
      </c>
      <c r="C105" s="576"/>
    </row>
    <row r="106" spans="1:3">
      <c r="A106" s="496" t="s">
        <v>94</v>
      </c>
      <c r="B106" s="576" t="s">
        <v>95</v>
      </c>
      <c r="C106" s="576"/>
    </row>
    <row r="107" spans="1:3" ht="15.75">
      <c r="A107" s="493" t="s">
        <v>80</v>
      </c>
      <c r="B107" s="576" t="s">
        <v>81</v>
      </c>
      <c r="C107" s="702">
        <v>13</v>
      </c>
    </row>
    <row r="108" spans="1:3">
      <c r="A108" s="493" t="s">
        <v>14</v>
      </c>
      <c r="B108" s="576" t="s">
        <v>15</v>
      </c>
      <c r="C108" s="576"/>
    </row>
    <row r="109" spans="1:3" ht="15.75">
      <c r="A109" s="493" t="s">
        <v>207</v>
      </c>
      <c r="B109" s="576" t="s">
        <v>208</v>
      </c>
      <c r="C109" s="702">
        <v>11.5</v>
      </c>
    </row>
    <row r="110" spans="1:3">
      <c r="A110" s="493" t="s">
        <v>470</v>
      </c>
      <c r="B110" s="576" t="s">
        <v>471</v>
      </c>
      <c r="C110" s="576"/>
    </row>
    <row r="111" spans="1:3">
      <c r="A111" s="493" t="s">
        <v>18</v>
      </c>
      <c r="B111" s="576" t="s">
        <v>608</v>
      </c>
      <c r="C111" s="576"/>
    </row>
    <row r="112" spans="1:3">
      <c r="A112" s="493" t="s">
        <v>228</v>
      </c>
      <c r="B112" s="576" t="s">
        <v>229</v>
      </c>
      <c r="C112" s="576"/>
    </row>
    <row r="113" spans="1:3">
      <c r="A113" s="493" t="s">
        <v>242</v>
      </c>
      <c r="B113" s="576" t="s">
        <v>243</v>
      </c>
      <c r="C113" s="576"/>
    </row>
    <row r="114" spans="1:3">
      <c r="A114" s="493" t="s">
        <v>382</v>
      </c>
      <c r="B114" s="576" t="s">
        <v>383</v>
      </c>
      <c r="C114" s="576"/>
    </row>
    <row r="115" spans="1:3">
      <c r="A115" s="493" t="s">
        <v>53</v>
      </c>
      <c r="B115" s="576" t="s">
        <v>609</v>
      </c>
      <c r="C115" s="576"/>
    </row>
    <row r="116" spans="1:3">
      <c r="A116" s="493" t="s">
        <v>518</v>
      </c>
      <c r="B116" s="576" t="s">
        <v>645</v>
      </c>
      <c r="C116" s="576"/>
    </row>
    <row r="117" spans="1:3">
      <c r="A117" s="493" t="s">
        <v>31</v>
      </c>
      <c r="B117" s="576" t="s">
        <v>32</v>
      </c>
      <c r="C117" s="576"/>
    </row>
    <row r="118" spans="1:3" ht="15">
      <c r="A118" s="493" t="s">
        <v>145</v>
      </c>
      <c r="B118" s="576" t="s">
        <v>1284</v>
      </c>
      <c r="C118" s="703">
        <v>19</v>
      </c>
    </row>
    <row r="119" spans="1:3">
      <c r="A119" s="493" t="s">
        <v>397</v>
      </c>
      <c r="B119" s="576" t="s">
        <v>398</v>
      </c>
      <c r="C119" s="576"/>
    </row>
    <row r="120" spans="1:3">
      <c r="A120" s="493" t="s">
        <v>205</v>
      </c>
      <c r="B120" s="576" t="s">
        <v>206</v>
      </c>
      <c r="C120" s="576"/>
    </row>
    <row r="121" spans="1:3">
      <c r="A121" s="493" t="s">
        <v>413</v>
      </c>
      <c r="B121" s="576" t="s">
        <v>414</v>
      </c>
      <c r="C121" s="576"/>
    </row>
    <row r="122" spans="1:3">
      <c r="A122" s="493" t="s">
        <v>519</v>
      </c>
      <c r="B122" s="576" t="s">
        <v>520</v>
      </c>
      <c r="C122" s="576"/>
    </row>
    <row r="123" spans="1:3">
      <c r="A123" s="493" t="s">
        <v>441</v>
      </c>
      <c r="B123" s="576" t="s">
        <v>442</v>
      </c>
      <c r="C123" s="576"/>
    </row>
    <row r="124" spans="1:3">
      <c r="A124" s="493" t="s">
        <v>6</v>
      </c>
      <c r="B124" s="576" t="s">
        <v>7</v>
      </c>
      <c r="C124" s="576"/>
    </row>
    <row r="125" spans="1:3">
      <c r="A125" s="493" t="s">
        <v>70</v>
      </c>
      <c r="B125" s="576" t="s">
        <v>71</v>
      </c>
      <c r="C125" s="576"/>
    </row>
    <row r="126" spans="1:3">
      <c r="A126" s="493" t="s">
        <v>458</v>
      </c>
      <c r="B126" s="576" t="s">
        <v>459</v>
      </c>
      <c r="C126" s="576"/>
    </row>
    <row r="127" spans="1:3">
      <c r="A127" s="493" t="s">
        <v>373</v>
      </c>
      <c r="B127" s="576" t="s">
        <v>374</v>
      </c>
      <c r="C127" s="576"/>
    </row>
    <row r="128" spans="1:3">
      <c r="A128" s="493" t="s">
        <v>250</v>
      </c>
      <c r="B128" s="576" t="s">
        <v>251</v>
      </c>
      <c r="C128" s="576"/>
    </row>
    <row r="129" spans="1:3">
      <c r="A129" s="493" t="s">
        <v>510</v>
      </c>
      <c r="B129" s="576" t="s">
        <v>511</v>
      </c>
      <c r="C129" s="576"/>
    </row>
    <row r="130" spans="1:3">
      <c r="A130" s="493" t="s">
        <v>553</v>
      </c>
      <c r="B130" s="576" t="s">
        <v>554</v>
      </c>
      <c r="C130" s="576"/>
    </row>
    <row r="131" spans="1:3">
      <c r="A131" s="493" t="s">
        <v>90</v>
      </c>
      <c r="B131" s="576" t="s">
        <v>91</v>
      </c>
      <c r="C131" s="576"/>
    </row>
    <row r="132" spans="1:3">
      <c r="A132" s="493" t="s">
        <v>25</v>
      </c>
      <c r="B132" s="576" t="s">
        <v>26</v>
      </c>
      <c r="C132" s="576"/>
    </row>
    <row r="133" spans="1:3">
      <c r="A133" s="493" t="s">
        <v>301</v>
      </c>
      <c r="B133" s="576" t="s">
        <v>302</v>
      </c>
      <c r="C133" s="576"/>
    </row>
    <row r="134" spans="1:3">
      <c r="A134" s="493" t="s">
        <v>466</v>
      </c>
      <c r="B134" s="576" t="s">
        <v>467</v>
      </c>
      <c r="C134" s="576"/>
    </row>
    <row r="135" spans="1:3">
      <c r="A135" s="493" t="s">
        <v>405</v>
      </c>
      <c r="B135" s="576" t="s">
        <v>406</v>
      </c>
      <c r="C135" s="576"/>
    </row>
    <row r="136" spans="1:3">
      <c r="A136" s="493" t="s">
        <v>138</v>
      </c>
      <c r="B136" s="576" t="s">
        <v>656</v>
      </c>
      <c r="C136" s="576"/>
    </row>
    <row r="137" spans="1:3">
      <c r="A137" s="493" t="s">
        <v>432</v>
      </c>
      <c r="B137" s="576" t="s">
        <v>433</v>
      </c>
      <c r="C137" s="576"/>
    </row>
    <row r="138" spans="1:3">
      <c r="A138" s="493" t="s">
        <v>430</v>
      </c>
      <c r="B138" s="576" t="s">
        <v>431</v>
      </c>
      <c r="C138" s="576"/>
    </row>
    <row r="139" spans="1:3">
      <c r="A139" s="493" t="s">
        <v>179</v>
      </c>
      <c r="B139" s="576" t="s">
        <v>180</v>
      </c>
      <c r="C139" s="576"/>
    </row>
    <row r="140" spans="1:3">
      <c r="A140" s="493" t="s">
        <v>512</v>
      </c>
      <c r="B140" s="576" t="s">
        <v>513</v>
      </c>
      <c r="C140" s="576"/>
    </row>
    <row r="141" spans="1:3">
      <c r="A141" s="493" t="s">
        <v>319</v>
      </c>
      <c r="B141" s="576" t="s">
        <v>320</v>
      </c>
      <c r="C141" s="576"/>
    </row>
    <row r="142" spans="1:3">
      <c r="A142" s="493" t="s">
        <v>391</v>
      </c>
      <c r="B142" s="576" t="s">
        <v>392</v>
      </c>
      <c r="C142" s="576"/>
    </row>
    <row r="143" spans="1:3" ht="15.75">
      <c r="A143" s="493" t="s">
        <v>409</v>
      </c>
      <c r="B143" s="576" t="s">
        <v>410</v>
      </c>
      <c r="C143" s="702">
        <v>8</v>
      </c>
    </row>
    <row r="144" spans="1:3">
      <c r="A144" s="493" t="s">
        <v>139</v>
      </c>
      <c r="B144" s="576" t="s">
        <v>140</v>
      </c>
      <c r="C144" s="576"/>
    </row>
    <row r="145" spans="1:3">
      <c r="A145" s="493" t="s">
        <v>260</v>
      </c>
      <c r="B145" s="576" t="s">
        <v>261</v>
      </c>
      <c r="C145" s="576"/>
    </row>
    <row r="146" spans="1:3">
      <c r="A146" s="493" t="s">
        <v>125</v>
      </c>
      <c r="B146" s="576" t="s">
        <v>126</v>
      </c>
      <c r="C146" s="576"/>
    </row>
    <row r="147" spans="1:3">
      <c r="A147" s="493" t="s">
        <v>258</v>
      </c>
      <c r="B147" s="576" t="s">
        <v>259</v>
      </c>
      <c r="C147" s="576"/>
    </row>
    <row r="148" spans="1:3" ht="15.75">
      <c r="A148" s="493" t="s">
        <v>571</v>
      </c>
      <c r="B148" s="576" t="s">
        <v>572</v>
      </c>
      <c r="C148" s="702">
        <v>167.5</v>
      </c>
    </row>
    <row r="149" spans="1:3">
      <c r="A149" s="493" t="s">
        <v>516</v>
      </c>
      <c r="B149" s="576" t="s">
        <v>517</v>
      </c>
      <c r="C149" s="576"/>
    </row>
    <row r="150" spans="1:3">
      <c r="A150" s="493" t="s">
        <v>389</v>
      </c>
      <c r="B150" s="576" t="s">
        <v>390</v>
      </c>
      <c r="C150" s="576"/>
    </row>
    <row r="151" spans="1:3">
      <c r="A151" s="493" t="s">
        <v>386</v>
      </c>
      <c r="B151" s="576" t="s">
        <v>610</v>
      </c>
      <c r="C151" s="576"/>
    </row>
    <row r="152" spans="1:3">
      <c r="A152" s="493" t="s">
        <v>399</v>
      </c>
      <c r="B152" s="576" t="s">
        <v>400</v>
      </c>
      <c r="C152" s="576"/>
    </row>
    <row r="153" spans="1:3">
      <c r="A153" s="493" t="s">
        <v>545</v>
      </c>
      <c r="B153" s="576" t="s">
        <v>546</v>
      </c>
      <c r="C153" s="576"/>
    </row>
    <row r="154" spans="1:3">
      <c r="A154" s="493" t="s">
        <v>252</v>
      </c>
      <c r="B154" s="576" t="s">
        <v>253</v>
      </c>
      <c r="C154" s="576"/>
    </row>
    <row r="155" spans="1:3">
      <c r="A155" s="493" t="s">
        <v>331</v>
      </c>
      <c r="B155" s="576" t="s">
        <v>611</v>
      </c>
      <c r="C155" s="576"/>
    </row>
    <row r="156" spans="1:3" ht="15.75">
      <c r="A156" s="493" t="s">
        <v>309</v>
      </c>
      <c r="B156" s="576" t="s">
        <v>310</v>
      </c>
      <c r="C156" s="702">
        <v>87</v>
      </c>
    </row>
    <row r="157" spans="1:3">
      <c r="A157" s="493" t="s">
        <v>336</v>
      </c>
      <c r="B157" s="576" t="s">
        <v>337</v>
      </c>
      <c r="C157" s="576"/>
    </row>
    <row r="158" spans="1:3">
      <c r="A158" s="493" t="s">
        <v>428</v>
      </c>
      <c r="B158" s="576" t="s">
        <v>429</v>
      </c>
      <c r="C158" s="576"/>
    </row>
    <row r="159" spans="1:3">
      <c r="A159" s="493" t="s">
        <v>514</v>
      </c>
      <c r="B159" s="576" t="s">
        <v>515</v>
      </c>
      <c r="C159" s="576"/>
    </row>
    <row r="160" spans="1:3">
      <c r="A160" s="493" t="s">
        <v>136</v>
      </c>
      <c r="B160" s="576" t="s">
        <v>137</v>
      </c>
      <c r="C160" s="576"/>
    </row>
    <row r="161" spans="1:3">
      <c r="A161" s="493" t="s">
        <v>106</v>
      </c>
      <c r="B161" s="576" t="s">
        <v>107</v>
      </c>
      <c r="C161" s="576"/>
    </row>
    <row r="162" spans="1:3">
      <c r="A162" s="493" t="s">
        <v>214</v>
      </c>
      <c r="B162" s="576" t="s">
        <v>215</v>
      </c>
      <c r="C162" s="576"/>
    </row>
    <row r="163" spans="1:3">
      <c r="A163" s="493" t="s">
        <v>305</v>
      </c>
      <c r="B163" s="576" t="s">
        <v>306</v>
      </c>
      <c r="C163" s="576"/>
    </row>
    <row r="164" spans="1:3">
      <c r="A164" s="493" t="s">
        <v>334</v>
      </c>
      <c r="B164" s="576" t="s">
        <v>335</v>
      </c>
      <c r="C164" s="576"/>
    </row>
    <row r="165" spans="1:3">
      <c r="A165" s="493" t="s">
        <v>474</v>
      </c>
      <c r="B165" s="576" t="s">
        <v>475</v>
      </c>
      <c r="C165" s="576"/>
    </row>
    <row r="166" spans="1:3">
      <c r="A166" s="493" t="s">
        <v>468</v>
      </c>
      <c r="B166" s="576" t="s">
        <v>469</v>
      </c>
      <c r="C166" s="576"/>
    </row>
    <row r="167" spans="1:3" ht="15.75">
      <c r="A167" s="493" t="s">
        <v>209</v>
      </c>
      <c r="B167" s="576" t="s">
        <v>210</v>
      </c>
      <c r="C167" s="702">
        <v>19.5</v>
      </c>
    </row>
    <row r="168" spans="1:3">
      <c r="A168" s="493" t="s">
        <v>157</v>
      </c>
      <c r="B168" s="576" t="s">
        <v>158</v>
      </c>
      <c r="C168" s="576"/>
    </row>
    <row r="169" spans="1:3">
      <c r="A169" s="493" t="s">
        <v>541</v>
      </c>
      <c r="B169" s="576" t="s">
        <v>542</v>
      </c>
      <c r="C169" s="576"/>
    </row>
    <row r="170" spans="1:3">
      <c r="A170" s="493" t="s">
        <v>155</v>
      </c>
      <c r="B170" s="576" t="s">
        <v>156</v>
      </c>
      <c r="C170" s="576"/>
    </row>
    <row r="171" spans="1:3">
      <c r="A171" s="493" t="s">
        <v>325</v>
      </c>
      <c r="B171" s="576" t="s">
        <v>326</v>
      </c>
      <c r="C171" s="576"/>
    </row>
    <row r="172" spans="1:3">
      <c r="A172" s="493" t="s">
        <v>153</v>
      </c>
      <c r="B172" s="576" t="s">
        <v>154</v>
      </c>
      <c r="C172" s="576"/>
    </row>
    <row r="173" spans="1:3">
      <c r="A173" s="493" t="s">
        <v>287</v>
      </c>
      <c r="B173" s="576" t="s">
        <v>288</v>
      </c>
      <c r="C173" s="576"/>
    </row>
    <row r="174" spans="1:3">
      <c r="A174" s="493" t="s">
        <v>313</v>
      </c>
      <c r="B174" s="576" t="s">
        <v>314</v>
      </c>
      <c r="C174" s="576"/>
    </row>
    <row r="175" spans="1:3" ht="15.75">
      <c r="A175" s="493" t="s">
        <v>478</v>
      </c>
      <c r="B175" s="576" t="s">
        <v>479</v>
      </c>
      <c r="C175" s="702">
        <v>10.5</v>
      </c>
    </row>
    <row r="176" spans="1:3">
      <c r="A176" s="493" t="s">
        <v>311</v>
      </c>
      <c r="B176" s="576" t="s">
        <v>312</v>
      </c>
      <c r="C176" s="576"/>
    </row>
    <row r="177" spans="1:3">
      <c r="A177" s="493" t="s">
        <v>270</v>
      </c>
      <c r="B177" s="576" t="s">
        <v>271</v>
      </c>
      <c r="C177" s="576"/>
    </row>
    <row r="178" spans="1:3">
      <c r="A178" s="493" t="s">
        <v>448</v>
      </c>
      <c r="B178" s="576" t="s">
        <v>449</v>
      </c>
      <c r="C178" s="576"/>
    </row>
    <row r="179" spans="1:3">
      <c r="A179" s="493" t="s">
        <v>372</v>
      </c>
      <c r="B179" s="576" t="s">
        <v>613</v>
      </c>
      <c r="C179" s="576"/>
    </row>
    <row r="180" spans="1:3">
      <c r="A180" s="493" t="s">
        <v>424</v>
      </c>
      <c r="B180" s="576" t="s">
        <v>425</v>
      </c>
      <c r="C180" s="576"/>
    </row>
    <row r="181" spans="1:3">
      <c r="A181" s="493" t="s">
        <v>98</v>
      </c>
      <c r="B181" s="576" t="s">
        <v>99</v>
      </c>
      <c r="C181" s="576"/>
    </row>
    <row r="182" spans="1:3">
      <c r="A182" s="493" t="s">
        <v>82</v>
      </c>
      <c r="B182" s="576" t="s">
        <v>83</v>
      </c>
      <c r="C182" s="576"/>
    </row>
    <row r="183" spans="1:3">
      <c r="A183" s="493" t="s">
        <v>323</v>
      </c>
      <c r="B183" s="576" t="s">
        <v>324</v>
      </c>
      <c r="C183" s="576"/>
    </row>
    <row r="184" spans="1:3">
      <c r="A184" s="493" t="s">
        <v>355</v>
      </c>
      <c r="B184" s="576" t="s">
        <v>356</v>
      </c>
      <c r="C184" s="576"/>
    </row>
    <row r="185" spans="1:3">
      <c r="A185" s="493" t="s">
        <v>4</v>
      </c>
      <c r="B185" s="576" t="s">
        <v>5</v>
      </c>
      <c r="C185" s="576"/>
    </row>
    <row r="186" spans="1:3">
      <c r="A186" s="493" t="s">
        <v>86</v>
      </c>
      <c r="B186" s="576" t="s">
        <v>87</v>
      </c>
      <c r="C186" s="576"/>
    </row>
    <row r="187" spans="1:3">
      <c r="A187" s="493" t="s">
        <v>527</v>
      </c>
      <c r="B187" s="576" t="s">
        <v>528</v>
      </c>
      <c r="C187" s="576"/>
    </row>
    <row r="188" spans="1:3">
      <c r="A188" s="493" t="s">
        <v>104</v>
      </c>
      <c r="B188" s="576" t="s">
        <v>105</v>
      </c>
      <c r="C188" s="576"/>
    </row>
    <row r="189" spans="1:3">
      <c r="A189" s="493" t="s">
        <v>317</v>
      </c>
      <c r="B189" s="576" t="s">
        <v>318</v>
      </c>
      <c r="C189" s="576"/>
    </row>
    <row r="190" spans="1:3">
      <c r="A190" s="493" t="s">
        <v>16</v>
      </c>
      <c r="B190" s="576" t="s">
        <v>17</v>
      </c>
      <c r="C190" s="576"/>
    </row>
    <row r="191" spans="1:3">
      <c r="A191" s="493" t="s">
        <v>272</v>
      </c>
      <c r="B191" s="576" t="s">
        <v>273</v>
      </c>
      <c r="C191" s="576"/>
    </row>
    <row r="192" spans="1:3">
      <c r="A192" s="493" t="s">
        <v>359</v>
      </c>
      <c r="B192" s="576" t="s">
        <v>360</v>
      </c>
      <c r="C192" s="576"/>
    </row>
    <row r="193" spans="1:3">
      <c r="A193" s="493" t="s">
        <v>303</v>
      </c>
      <c r="B193" s="576" t="s">
        <v>304</v>
      </c>
      <c r="C193" s="576"/>
    </row>
    <row r="194" spans="1:3">
      <c r="A194" s="493" t="s">
        <v>112</v>
      </c>
      <c r="B194" s="576" t="s">
        <v>113</v>
      </c>
      <c r="C194" s="576"/>
    </row>
    <row r="195" spans="1:3">
      <c r="A195" s="493" t="s">
        <v>39</v>
      </c>
      <c r="B195" s="576" t="s">
        <v>40</v>
      </c>
      <c r="C195" s="576"/>
    </row>
    <row r="196" spans="1:3">
      <c r="A196" s="493" t="s">
        <v>171</v>
      </c>
      <c r="B196" s="576" t="s">
        <v>172</v>
      </c>
      <c r="C196" s="576"/>
    </row>
    <row r="197" spans="1:3">
      <c r="A197" s="493" t="s">
        <v>502</v>
      </c>
      <c r="B197" s="576" t="s">
        <v>503</v>
      </c>
      <c r="C197" s="576"/>
    </row>
    <row r="198" spans="1:3">
      <c r="A198" s="493" t="s">
        <v>21</v>
      </c>
      <c r="B198" s="576" t="s">
        <v>22</v>
      </c>
      <c r="C198" s="576"/>
    </row>
    <row r="199" spans="1:3">
      <c r="A199" s="493" t="s">
        <v>523</v>
      </c>
      <c r="B199" s="576" t="s">
        <v>524</v>
      </c>
      <c r="C199" s="576"/>
    </row>
    <row r="200" spans="1:3">
      <c r="A200" s="493" t="s">
        <v>343</v>
      </c>
      <c r="B200" s="576" t="s">
        <v>344</v>
      </c>
      <c r="C200" s="576"/>
    </row>
    <row r="201" spans="1:3">
      <c r="A201" s="493" t="s">
        <v>163</v>
      </c>
      <c r="B201" s="576" t="s">
        <v>164</v>
      </c>
      <c r="C201" s="576"/>
    </row>
    <row r="202" spans="1:3">
      <c r="A202" s="493" t="s">
        <v>167</v>
      </c>
      <c r="B202" s="576" t="s">
        <v>168</v>
      </c>
      <c r="C202" s="576"/>
    </row>
    <row r="203" spans="1:3">
      <c r="A203" s="493" t="s">
        <v>47</v>
      </c>
      <c r="B203" s="576" t="s">
        <v>48</v>
      </c>
      <c r="C203" s="576"/>
    </row>
    <row r="204" spans="1:3">
      <c r="A204" s="493" t="s">
        <v>116</v>
      </c>
      <c r="B204" s="576" t="s">
        <v>117</v>
      </c>
      <c r="C204" s="576"/>
    </row>
    <row r="205" spans="1:3">
      <c r="A205" s="493" t="s">
        <v>480</v>
      </c>
      <c r="B205" s="576" t="s">
        <v>481</v>
      </c>
      <c r="C205" s="576"/>
    </row>
    <row r="206" spans="1:3">
      <c r="A206" s="493" t="s">
        <v>327</v>
      </c>
      <c r="B206" s="576" t="s">
        <v>328</v>
      </c>
      <c r="C206" s="576"/>
    </row>
    <row r="207" spans="1:3">
      <c r="A207" s="493" t="s">
        <v>282</v>
      </c>
      <c r="B207" s="576" t="s">
        <v>665</v>
      </c>
      <c r="C207" s="576"/>
    </row>
    <row r="208" spans="1:3">
      <c r="A208" s="493" t="s">
        <v>185</v>
      </c>
      <c r="B208" s="576" t="s">
        <v>186</v>
      </c>
      <c r="C208" s="576"/>
    </row>
    <row r="209" spans="1:3">
      <c r="A209" s="493" t="s">
        <v>102</v>
      </c>
      <c r="B209" s="576" t="s">
        <v>103</v>
      </c>
      <c r="C209" s="576"/>
    </row>
    <row r="210" spans="1:3">
      <c r="A210" s="493" t="s">
        <v>23</v>
      </c>
      <c r="B210" s="576" t="s">
        <v>24</v>
      </c>
      <c r="C210" s="576"/>
    </row>
    <row r="211" spans="1:3">
      <c r="A211" s="493" t="s">
        <v>64</v>
      </c>
      <c r="B211" s="576" t="s">
        <v>65</v>
      </c>
      <c r="C211" s="576"/>
    </row>
    <row r="212" spans="1:3">
      <c r="A212" s="493" t="s">
        <v>8</v>
      </c>
      <c r="B212" s="576" t="s">
        <v>9</v>
      </c>
      <c r="C212" s="576"/>
    </row>
    <row r="213" spans="1:3">
      <c r="A213" s="493" t="s">
        <v>446</v>
      </c>
      <c r="B213" s="576" t="s">
        <v>447</v>
      </c>
      <c r="C213" s="576"/>
    </row>
    <row r="214" spans="1:3">
      <c r="A214" s="493" t="s">
        <v>193</v>
      </c>
      <c r="B214" s="576" t="s">
        <v>194</v>
      </c>
      <c r="C214" s="576"/>
    </row>
    <row r="215" spans="1:3" ht="15.75">
      <c r="A215" s="493" t="s">
        <v>484</v>
      </c>
      <c r="B215" s="576" t="s">
        <v>485</v>
      </c>
      <c r="C215" s="702">
        <v>9</v>
      </c>
    </row>
    <row r="216" spans="1:3">
      <c r="A216" s="493" t="s">
        <v>244</v>
      </c>
      <c r="B216" s="576" t="s">
        <v>245</v>
      </c>
      <c r="C216" s="576"/>
    </row>
    <row r="217" spans="1:3">
      <c r="A217" s="493" t="s">
        <v>537</v>
      </c>
      <c r="B217" s="576" t="s">
        <v>538</v>
      </c>
      <c r="C217" s="576"/>
    </row>
    <row r="218" spans="1:3">
      <c r="A218" s="493" t="s">
        <v>123</v>
      </c>
      <c r="B218" s="576" t="s">
        <v>124</v>
      </c>
      <c r="C218" s="576"/>
    </row>
    <row r="219" spans="1:3">
      <c r="A219" s="493" t="s">
        <v>375</v>
      </c>
      <c r="B219" s="576" t="s">
        <v>614</v>
      </c>
      <c r="C219" s="576"/>
    </row>
    <row r="220" spans="1:3">
      <c r="A220" s="493" t="s">
        <v>149</v>
      </c>
      <c r="B220" s="576" t="s">
        <v>150</v>
      </c>
      <c r="C220" s="576"/>
    </row>
    <row r="221" spans="1:3" ht="15.75">
      <c r="A221" s="493" t="s">
        <v>173</v>
      </c>
      <c r="B221" s="576" t="s">
        <v>174</v>
      </c>
      <c r="C221" s="702">
        <v>116.5</v>
      </c>
    </row>
    <row r="222" spans="1:3">
      <c r="A222" s="493" t="s">
        <v>379</v>
      </c>
      <c r="B222" s="576" t="s">
        <v>615</v>
      </c>
      <c r="C222" s="576"/>
    </row>
    <row r="223" spans="1:3">
      <c r="A223" s="494" t="s">
        <v>551</v>
      </c>
      <c r="B223" s="577" t="s">
        <v>552</v>
      </c>
      <c r="C223" s="577"/>
    </row>
    <row r="224" spans="1:3">
      <c r="A224" s="493" t="s">
        <v>340</v>
      </c>
      <c r="B224" s="576" t="s">
        <v>341</v>
      </c>
      <c r="C224" s="576"/>
    </row>
    <row r="225" spans="1:3">
      <c r="A225" s="493" t="s">
        <v>43</v>
      </c>
      <c r="B225" s="576" t="s">
        <v>44</v>
      </c>
      <c r="C225" s="576"/>
    </row>
    <row r="226" spans="1:3">
      <c r="A226" s="493" t="s">
        <v>371</v>
      </c>
      <c r="B226" s="576" t="s">
        <v>670</v>
      </c>
      <c r="C226" s="576"/>
    </row>
    <row r="227" spans="1:3">
      <c r="A227" s="493" t="s">
        <v>299</v>
      </c>
      <c r="B227" s="576" t="s">
        <v>300</v>
      </c>
      <c r="C227" s="576"/>
    </row>
    <row r="228" spans="1:3">
      <c r="A228" s="493" t="s">
        <v>203</v>
      </c>
      <c r="B228" s="576" t="s">
        <v>204</v>
      </c>
      <c r="C228" s="576"/>
    </row>
    <row r="229" spans="1:3">
      <c r="A229" s="493" t="s">
        <v>387</v>
      </c>
      <c r="B229" s="576" t="s">
        <v>388</v>
      </c>
      <c r="C229" s="576"/>
    </row>
    <row r="230" spans="1:3">
      <c r="A230" s="493" t="s">
        <v>187</v>
      </c>
      <c r="B230" s="576" t="s">
        <v>188</v>
      </c>
      <c r="C230" s="576"/>
    </row>
    <row r="231" spans="1:3">
      <c r="A231" s="493" t="s">
        <v>411</v>
      </c>
      <c r="B231" s="576" t="s">
        <v>412</v>
      </c>
      <c r="C231" s="576"/>
    </row>
    <row r="232" spans="1:3">
      <c r="A232" s="493" t="s">
        <v>199</v>
      </c>
      <c r="B232" s="576" t="s">
        <v>200</v>
      </c>
      <c r="C232" s="576"/>
    </row>
    <row r="233" spans="1:3">
      <c r="A233" s="493" t="s">
        <v>121</v>
      </c>
      <c r="B233" s="576" t="s">
        <v>122</v>
      </c>
      <c r="C233" s="576"/>
    </row>
    <row r="234" spans="1:3">
      <c r="A234" s="493" t="s">
        <v>329</v>
      </c>
      <c r="B234" s="576" t="s">
        <v>330</v>
      </c>
      <c r="C234" s="576"/>
    </row>
    <row r="235" spans="1:3">
      <c r="A235" s="493" t="s">
        <v>218</v>
      </c>
      <c r="B235" s="576" t="s">
        <v>219</v>
      </c>
      <c r="C235" s="576"/>
    </row>
    <row r="236" spans="1:3">
      <c r="A236" s="493" t="s">
        <v>161</v>
      </c>
      <c r="B236" s="576" t="s">
        <v>162</v>
      </c>
      <c r="C236" s="576"/>
    </row>
    <row r="237" spans="1:3">
      <c r="A237" s="493" t="s">
        <v>295</v>
      </c>
      <c r="B237" s="576" t="s">
        <v>296</v>
      </c>
      <c r="C237" s="576"/>
    </row>
    <row r="238" spans="1:3">
      <c r="A238" s="493" t="s">
        <v>422</v>
      </c>
      <c r="B238" s="576" t="s">
        <v>423</v>
      </c>
      <c r="C238" s="576"/>
    </row>
    <row r="239" spans="1:3">
      <c r="A239" s="493" t="s">
        <v>280</v>
      </c>
      <c r="B239" s="576" t="s">
        <v>281</v>
      </c>
      <c r="C239" s="576"/>
    </row>
    <row r="240" spans="1:3">
      <c r="A240" s="493" t="s">
        <v>539</v>
      </c>
      <c r="B240" s="576" t="s">
        <v>540</v>
      </c>
      <c r="C240" s="576"/>
    </row>
    <row r="241" spans="1:3">
      <c r="A241" s="493" t="s">
        <v>421</v>
      </c>
      <c r="B241" s="576" t="s">
        <v>673</v>
      </c>
      <c r="C241" s="576"/>
    </row>
    <row r="242" spans="1:3">
      <c r="A242" s="493" t="s">
        <v>108</v>
      </c>
      <c r="B242" s="576" t="s">
        <v>109</v>
      </c>
      <c r="C242" s="576"/>
    </row>
    <row r="243" spans="1:3">
      <c r="A243" s="493" t="s">
        <v>68</v>
      </c>
      <c r="B243" s="576" t="s">
        <v>69</v>
      </c>
      <c r="C243" s="576"/>
    </row>
    <row r="244" spans="1:3">
      <c r="A244" s="493" t="s">
        <v>27</v>
      </c>
      <c r="B244" s="576" t="s">
        <v>28</v>
      </c>
      <c r="C244" s="576"/>
    </row>
    <row r="245" spans="1:3">
      <c r="A245" s="493" t="s">
        <v>342</v>
      </c>
      <c r="B245" s="576" t="s">
        <v>617</v>
      </c>
      <c r="C245" s="576"/>
    </row>
    <row r="246" spans="1:3">
      <c r="A246" s="493" t="s">
        <v>531</v>
      </c>
      <c r="B246" s="576" t="s">
        <v>532</v>
      </c>
      <c r="C246" s="576"/>
    </row>
    <row r="247" spans="1:3">
      <c r="A247" s="493" t="s">
        <v>393</v>
      </c>
      <c r="B247" s="576" t="s">
        <v>394</v>
      </c>
      <c r="C247" s="576"/>
    </row>
    <row r="248" spans="1:3">
      <c r="A248" s="493" t="s">
        <v>415</v>
      </c>
      <c r="B248" s="576" t="s">
        <v>416</v>
      </c>
      <c r="C248" s="576"/>
    </row>
    <row r="249" spans="1:3">
      <c r="A249" s="493" t="s">
        <v>460</v>
      </c>
      <c r="B249" s="576" t="s">
        <v>461</v>
      </c>
      <c r="C249" s="576"/>
    </row>
    <row r="250" spans="1:3" ht="15.75">
      <c r="A250" s="493" t="s">
        <v>351</v>
      </c>
      <c r="B250" s="576" t="s">
        <v>352</v>
      </c>
      <c r="C250" s="702">
        <v>10.5</v>
      </c>
    </row>
    <row r="251" spans="1:3">
      <c r="A251" s="493" t="s">
        <v>557</v>
      </c>
      <c r="B251" s="576" t="s">
        <v>558</v>
      </c>
      <c r="C251" s="576"/>
    </row>
    <row r="252" spans="1:3">
      <c r="A252" s="493" t="s">
        <v>345</v>
      </c>
      <c r="B252" s="576" t="s">
        <v>346</v>
      </c>
      <c r="C252" s="576"/>
    </row>
    <row r="253" spans="1:3">
      <c r="A253" s="493" t="s">
        <v>143</v>
      </c>
      <c r="B253" s="576" t="s">
        <v>144</v>
      </c>
      <c r="C253" s="576"/>
    </row>
    <row r="254" spans="1:3">
      <c r="A254" s="493" t="s">
        <v>197</v>
      </c>
      <c r="B254" s="576" t="s">
        <v>198</v>
      </c>
      <c r="C254" s="576"/>
    </row>
    <row r="255" spans="1:3">
      <c r="A255" s="493" t="s">
        <v>521</v>
      </c>
      <c r="B255" s="576" t="s">
        <v>522</v>
      </c>
      <c r="C255" s="576"/>
    </row>
    <row r="256" spans="1:3">
      <c r="A256" s="493" t="s">
        <v>486</v>
      </c>
      <c r="B256" s="576" t="s">
        <v>487</v>
      </c>
      <c r="C256" s="576"/>
    </row>
    <row r="257" spans="1:3">
      <c r="A257" s="493" t="s">
        <v>224</v>
      </c>
      <c r="B257" s="576" t="s">
        <v>225</v>
      </c>
      <c r="C257" s="576"/>
    </row>
    <row r="258" spans="1:3">
      <c r="A258" s="493" t="s">
        <v>268</v>
      </c>
      <c r="B258" s="576" t="s">
        <v>269</v>
      </c>
      <c r="C258" s="576"/>
    </row>
    <row r="259" spans="1:3">
      <c r="A259" s="493" t="s">
        <v>321</v>
      </c>
      <c r="B259" s="576" t="s">
        <v>322</v>
      </c>
      <c r="C259" s="576"/>
    </row>
    <row r="260" spans="1:3" ht="15.75">
      <c r="A260" s="493" t="s">
        <v>559</v>
      </c>
      <c r="B260" s="576" t="s">
        <v>560</v>
      </c>
      <c r="C260" s="702">
        <v>227</v>
      </c>
    </row>
    <row r="261" spans="1:3">
      <c r="A261" s="493" t="s">
        <v>496</v>
      </c>
      <c r="B261" s="576" t="s">
        <v>497</v>
      </c>
      <c r="C261" s="576"/>
    </row>
    <row r="262" spans="1:3">
      <c r="A262" s="493" t="s">
        <v>72</v>
      </c>
      <c r="B262" s="576" t="s">
        <v>73</v>
      </c>
      <c r="C262" s="576"/>
    </row>
    <row r="263" spans="1:3">
      <c r="A263" s="493" t="s">
        <v>238</v>
      </c>
      <c r="B263" s="576" t="s">
        <v>239</v>
      </c>
      <c r="C263" s="576"/>
    </row>
    <row r="264" spans="1:3">
      <c r="A264" s="493" t="s">
        <v>191</v>
      </c>
      <c r="B264" s="576" t="s">
        <v>192</v>
      </c>
      <c r="C264" s="576"/>
    </row>
    <row r="265" spans="1:3">
      <c r="A265" s="493" t="s">
        <v>476</v>
      </c>
      <c r="B265" s="576" t="s">
        <v>477</v>
      </c>
      <c r="C265" s="576"/>
    </row>
    <row r="266" spans="1:3">
      <c r="A266" s="493" t="s">
        <v>543</v>
      </c>
      <c r="B266" s="576" t="s">
        <v>544</v>
      </c>
      <c r="C266" s="576"/>
    </row>
    <row r="267" spans="1:3">
      <c r="A267" s="494" t="s">
        <v>349</v>
      </c>
      <c r="B267" s="577" t="s">
        <v>350</v>
      </c>
      <c r="C267" s="577"/>
    </row>
    <row r="268" spans="1:3">
      <c r="A268" s="493" t="s">
        <v>454</v>
      </c>
      <c r="B268" s="576" t="s">
        <v>455</v>
      </c>
      <c r="C268" s="576"/>
    </row>
    <row r="269" spans="1:3" ht="15.75">
      <c r="A269" s="493" t="s">
        <v>49</v>
      </c>
      <c r="B269" s="576" t="s">
        <v>50</v>
      </c>
      <c r="C269" s="702">
        <v>99.5</v>
      </c>
    </row>
    <row r="270" spans="1:3">
      <c r="A270" s="494" t="s">
        <v>183</v>
      </c>
      <c r="B270" s="577" t="s">
        <v>184</v>
      </c>
      <c r="C270" s="577"/>
    </row>
    <row r="271" spans="1:3">
      <c r="A271" s="493" t="s">
        <v>488</v>
      </c>
      <c r="B271" s="576" t="s">
        <v>489</v>
      </c>
      <c r="C271" s="576"/>
    </row>
    <row r="272" spans="1:3">
      <c r="A272" s="493" t="s">
        <v>114</v>
      </c>
      <c r="B272" s="576" t="s">
        <v>115</v>
      </c>
      <c r="C272" s="576"/>
    </row>
    <row r="273" spans="1:3">
      <c r="A273" s="493" t="s">
        <v>500</v>
      </c>
      <c r="B273" s="576" t="s">
        <v>501</v>
      </c>
      <c r="C273" s="576"/>
    </row>
    <row r="274" spans="1:3">
      <c r="A274" s="493" t="s">
        <v>492</v>
      </c>
      <c r="B274" s="576" t="s">
        <v>493</v>
      </c>
      <c r="C274" s="576"/>
    </row>
    <row r="275" spans="1:3" ht="15.75">
      <c r="A275" s="493" t="s">
        <v>567</v>
      </c>
      <c r="B275" s="576" t="s">
        <v>568</v>
      </c>
      <c r="C275" s="702">
        <v>356.5</v>
      </c>
    </row>
    <row r="276" spans="1:3">
      <c r="A276" s="493" t="s">
        <v>118</v>
      </c>
      <c r="B276" s="576" t="s">
        <v>119</v>
      </c>
      <c r="C276" s="576"/>
    </row>
    <row r="277" spans="1:3">
      <c r="A277" s="493" t="s">
        <v>56</v>
      </c>
      <c r="B277" s="576" t="s">
        <v>57</v>
      </c>
      <c r="C277" s="576"/>
    </row>
    <row r="278" spans="1:3">
      <c r="A278" s="493" t="s">
        <v>0</v>
      </c>
      <c r="B278" s="576" t="s">
        <v>1</v>
      </c>
      <c r="C278" s="576"/>
    </row>
    <row r="279" spans="1:3">
      <c r="A279" s="493" t="s">
        <v>92</v>
      </c>
      <c r="B279" s="576" t="s">
        <v>93</v>
      </c>
      <c r="C279" s="576"/>
    </row>
    <row r="280" spans="1:3" ht="15.75">
      <c r="A280" s="493" t="s">
        <v>452</v>
      </c>
      <c r="B280" s="576" t="s">
        <v>453</v>
      </c>
      <c r="C280" s="702">
        <v>126.5</v>
      </c>
    </row>
    <row r="281" spans="1:3">
      <c r="A281" s="493" t="s">
        <v>37</v>
      </c>
      <c r="B281" s="576" t="s">
        <v>38</v>
      </c>
    </row>
    <row r="282" spans="1:3">
      <c r="A282" s="495" t="s">
        <v>443</v>
      </c>
      <c r="B282" s="105" t="s">
        <v>675</v>
      </c>
      <c r="C282" s="105"/>
    </row>
    <row r="283" spans="1:3">
      <c r="A283" s="493" t="s">
        <v>569</v>
      </c>
      <c r="B283" s="576" t="s">
        <v>570</v>
      </c>
      <c r="C283" s="576"/>
    </row>
    <row r="284" spans="1:3">
      <c r="A284" s="493" t="s">
        <v>276</v>
      </c>
      <c r="B284" s="576" t="s">
        <v>277</v>
      </c>
      <c r="C284" s="576"/>
    </row>
    <row r="285" spans="1:3">
      <c r="A285" s="493" t="s">
        <v>367</v>
      </c>
      <c r="B285" s="576" t="s">
        <v>368</v>
      </c>
      <c r="C285" s="576"/>
    </row>
    <row r="286" spans="1:3" ht="15.75">
      <c r="A286" s="493" t="s">
        <v>248</v>
      </c>
      <c r="B286" s="576" t="s">
        <v>249</v>
      </c>
      <c r="C286" s="704">
        <v>5.5</v>
      </c>
    </row>
    <row r="287" spans="1:3">
      <c r="A287" s="493" t="s">
        <v>289</v>
      </c>
      <c r="B287" s="576" t="s">
        <v>290</v>
      </c>
      <c r="C287" s="576"/>
    </row>
    <row r="288" spans="1:3">
      <c r="A288" s="493" t="s">
        <v>332</v>
      </c>
      <c r="B288" s="576" t="s">
        <v>333</v>
      </c>
      <c r="C288" s="576"/>
    </row>
    <row r="289" spans="1:3">
      <c r="A289" s="493" t="s">
        <v>129</v>
      </c>
      <c r="B289" s="576" t="s">
        <v>130</v>
      </c>
      <c r="C289" s="576"/>
    </row>
    <row r="290" spans="1:3" ht="15.75">
      <c r="A290" s="493" t="s">
        <v>264</v>
      </c>
      <c r="B290" s="576" t="s">
        <v>265</v>
      </c>
      <c r="C290" s="702">
        <v>11</v>
      </c>
    </row>
    <row r="291" spans="1:3">
      <c r="A291" s="493" t="s">
        <v>151</v>
      </c>
      <c r="B291" s="576" t="s">
        <v>152</v>
      </c>
      <c r="C291" s="576"/>
    </row>
    <row r="292" spans="1:3">
      <c r="A292" s="493" t="s">
        <v>232</v>
      </c>
      <c r="B292" s="576" t="s">
        <v>233</v>
      </c>
      <c r="C292" s="576"/>
    </row>
    <row r="293" spans="1:3">
      <c r="A293" s="493" t="s">
        <v>78</v>
      </c>
      <c r="B293" s="576" t="s">
        <v>79</v>
      </c>
      <c r="C293" s="576"/>
    </row>
    <row r="294" spans="1:3" ht="15.75">
      <c r="A294" s="493" t="s">
        <v>547</v>
      </c>
      <c r="B294" s="576" t="s">
        <v>548</v>
      </c>
      <c r="C294" s="702">
        <v>35</v>
      </c>
    </row>
    <row r="295" spans="1:3">
      <c r="A295" s="493" t="s">
        <v>472</v>
      </c>
      <c r="B295" s="576" t="s">
        <v>473</v>
      </c>
      <c r="C295" s="576"/>
    </row>
    <row r="296" spans="1:3" ht="13.5" thickBot="1">
      <c r="A296" s="497" t="s">
        <v>565</v>
      </c>
      <c r="B296" s="578" t="s">
        <v>566</v>
      </c>
      <c r="C296" s="57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5"/>
  <sheetViews>
    <sheetView workbookViewId="0">
      <selection activeCell="G44" sqref="G3:G44"/>
    </sheetView>
  </sheetViews>
  <sheetFormatPr defaultRowHeight="12.75"/>
  <cols>
    <col min="1" max="1" width="6" bestFit="1" customWidth="1"/>
    <col min="2" max="2" width="31.85546875" bestFit="1" customWidth="1"/>
    <col min="6" max="6" width="47.85546875" bestFit="1" customWidth="1"/>
    <col min="7" max="7" width="9.5703125" bestFit="1" customWidth="1"/>
  </cols>
  <sheetData>
    <row r="1" spans="1:8" ht="12.75" customHeight="1">
      <c r="A1" s="905" t="s">
        <v>1316</v>
      </c>
      <c r="B1" s="906"/>
      <c r="C1" s="907"/>
      <c r="F1" s="683" t="s">
        <v>1346</v>
      </c>
      <c r="G1" s="697"/>
    </row>
    <row r="2" spans="1:8">
      <c r="A2" s="662"/>
      <c r="B2" s="662" t="s">
        <v>1317</v>
      </c>
      <c r="C2" s="663" t="s">
        <v>1318</v>
      </c>
      <c r="F2" s="662" t="s">
        <v>1317</v>
      </c>
      <c r="G2" s="698">
        <v>41404</v>
      </c>
    </row>
    <row r="3" spans="1:8">
      <c r="A3" s="668" t="s">
        <v>132</v>
      </c>
      <c r="B3" s="3" t="s">
        <v>911</v>
      </c>
      <c r="C3" s="664">
        <v>53</v>
      </c>
      <c r="E3" s="138" t="s">
        <v>132</v>
      </c>
      <c r="F3" s="699" t="s">
        <v>911</v>
      </c>
      <c r="G3" s="700">
        <v>40</v>
      </c>
      <c r="H3">
        <f>VLOOKUP(E3,Enrollment_old!$B$8:$F$302,5,FALSE)</f>
        <v>28</v>
      </c>
    </row>
    <row r="4" spans="1:8">
      <c r="A4" s="668" t="s">
        <v>195</v>
      </c>
      <c r="B4" s="3" t="s">
        <v>916</v>
      </c>
      <c r="C4" s="664">
        <v>47</v>
      </c>
      <c r="E4" s="138" t="s">
        <v>195</v>
      </c>
      <c r="F4" s="699" t="s">
        <v>916</v>
      </c>
      <c r="G4" s="700">
        <v>47</v>
      </c>
      <c r="H4">
        <f>VLOOKUP(E4,Enrollment_old!$B$8:$F$302,5,FALSE)</f>
        <v>37</v>
      </c>
    </row>
    <row r="5" spans="1:8">
      <c r="A5" s="668" t="s">
        <v>62</v>
      </c>
      <c r="B5" s="3" t="s">
        <v>923</v>
      </c>
      <c r="C5" s="664">
        <v>5</v>
      </c>
      <c r="E5" s="138" t="s">
        <v>62</v>
      </c>
      <c r="F5" s="699" t="s">
        <v>923</v>
      </c>
      <c r="G5" s="700">
        <v>18</v>
      </c>
      <c r="H5">
        <f>VLOOKUP(E5,Enrollment_old!$B$8:$F$302,5,FALSE)</f>
        <v>11</v>
      </c>
    </row>
    <row r="6" spans="1:8">
      <c r="A6" s="668" t="s">
        <v>189</v>
      </c>
      <c r="B6" s="3" t="s">
        <v>926</v>
      </c>
      <c r="C6" s="664">
        <v>15</v>
      </c>
      <c r="E6" s="696" t="s">
        <v>189</v>
      </c>
      <c r="F6" s="699" t="s">
        <v>926</v>
      </c>
      <c r="G6" s="700">
        <v>13</v>
      </c>
      <c r="H6">
        <f>VLOOKUP(E6,Enrollment_old!$B$8:$F$302,5,FALSE)</f>
        <v>0</v>
      </c>
    </row>
    <row r="7" spans="1:8">
      <c r="A7" s="668" t="s">
        <v>508</v>
      </c>
      <c r="B7" s="3" t="s">
        <v>1319</v>
      </c>
      <c r="C7" s="664">
        <v>1</v>
      </c>
      <c r="E7" s="696" t="s">
        <v>508</v>
      </c>
      <c r="F7" s="699" t="s">
        <v>1319</v>
      </c>
      <c r="G7" s="700">
        <v>1</v>
      </c>
      <c r="H7">
        <f>VLOOKUP(E7,Enrollment_old!$B$8:$F$302,5,FALSE)</f>
        <v>1</v>
      </c>
    </row>
    <row r="8" spans="1:8">
      <c r="A8" s="668" t="s">
        <v>211</v>
      </c>
      <c r="B8" s="3" t="s">
        <v>950</v>
      </c>
      <c r="C8" s="664">
        <v>1</v>
      </c>
      <c r="E8" s="696" t="s">
        <v>211</v>
      </c>
      <c r="F8" s="699" t="s">
        <v>950</v>
      </c>
      <c r="G8" s="700">
        <v>1</v>
      </c>
      <c r="H8">
        <f>VLOOKUP(E8,Enrollment_old!$B$8:$F$302,5,FALSE)</f>
        <v>1</v>
      </c>
    </row>
    <row r="9" spans="1:8">
      <c r="A9" s="668" t="s">
        <v>33</v>
      </c>
      <c r="B9" s="3" t="s">
        <v>1320</v>
      </c>
      <c r="C9" s="664">
        <v>3</v>
      </c>
      <c r="E9" s="696" t="s">
        <v>33</v>
      </c>
      <c r="F9" s="699" t="s">
        <v>1320</v>
      </c>
      <c r="G9" s="700">
        <v>3</v>
      </c>
      <c r="H9">
        <f>VLOOKUP(E9,Enrollment_old!$B$8:$F$302,5,FALSE)</f>
        <v>3</v>
      </c>
    </row>
    <row r="10" spans="1:8">
      <c r="A10" s="668" t="s">
        <v>216</v>
      </c>
      <c r="B10" s="3" t="s">
        <v>957</v>
      </c>
      <c r="C10" s="664">
        <v>1</v>
      </c>
      <c r="E10" s="696" t="s">
        <v>216</v>
      </c>
      <c r="F10" s="699" t="s">
        <v>957</v>
      </c>
      <c r="G10" s="700">
        <v>1</v>
      </c>
      <c r="H10">
        <f>VLOOKUP(E10,Enrollment_old!$B$8:$F$302,5,FALSE)</f>
        <v>3</v>
      </c>
    </row>
    <row r="11" spans="1:8">
      <c r="A11" s="668" t="s">
        <v>438</v>
      </c>
      <c r="B11" s="3" t="s">
        <v>1321</v>
      </c>
      <c r="C11" s="664">
        <v>2</v>
      </c>
      <c r="E11" s="696" t="s">
        <v>438</v>
      </c>
      <c r="F11" s="699" t="s">
        <v>1321</v>
      </c>
      <c r="G11" s="700">
        <v>2</v>
      </c>
      <c r="H11">
        <f>VLOOKUP(E11,Enrollment_old!$B$8:$F$302,5,FALSE)</f>
        <v>0</v>
      </c>
    </row>
    <row r="12" spans="1:8">
      <c r="A12" s="668" t="s">
        <v>230</v>
      </c>
      <c r="B12" s="3" t="s">
        <v>1322</v>
      </c>
      <c r="C12" s="664">
        <v>2</v>
      </c>
      <c r="E12" s="696" t="s">
        <v>230</v>
      </c>
      <c r="F12" s="699" t="s">
        <v>1322</v>
      </c>
      <c r="G12" s="700">
        <v>2</v>
      </c>
      <c r="H12">
        <f>VLOOKUP(E12,Enrollment_old!$B$8:$F$302,5,FALSE)</f>
        <v>3</v>
      </c>
    </row>
    <row r="13" spans="1:8">
      <c r="A13" s="668" t="s">
        <v>395</v>
      </c>
      <c r="B13" s="3" t="s">
        <v>992</v>
      </c>
      <c r="C13" s="664">
        <v>70</v>
      </c>
      <c r="E13" s="696" t="s">
        <v>395</v>
      </c>
      <c r="F13" s="699" t="s">
        <v>992</v>
      </c>
      <c r="G13" s="700">
        <v>76</v>
      </c>
      <c r="H13">
        <f>VLOOKUP(E13,Enrollment_old!$B$8:$F$302,5,FALSE)</f>
        <v>115</v>
      </c>
    </row>
    <row r="14" spans="1:8">
      <c r="A14" s="668" t="s">
        <v>58</v>
      </c>
      <c r="B14" s="3" t="s">
        <v>1323</v>
      </c>
      <c r="C14" s="664">
        <v>139</v>
      </c>
      <c r="E14" s="696" t="s">
        <v>58</v>
      </c>
      <c r="F14" s="699" t="s">
        <v>999</v>
      </c>
      <c r="G14" s="700">
        <v>161</v>
      </c>
      <c r="H14">
        <f>VLOOKUP(E14,Enrollment_old!$B$8:$F$302,5,FALSE)</f>
        <v>112</v>
      </c>
    </row>
    <row r="15" spans="1:8">
      <c r="A15" s="668" t="s">
        <v>563</v>
      </c>
      <c r="B15" s="3" t="s">
        <v>1324</v>
      </c>
      <c r="C15" s="664">
        <v>22</v>
      </c>
      <c r="E15" s="696" t="s">
        <v>563</v>
      </c>
      <c r="F15" s="699" t="s">
        <v>1324</v>
      </c>
      <c r="G15" s="700">
        <v>23</v>
      </c>
      <c r="H15">
        <f>VLOOKUP(E15,Enrollment_old!$B$8:$F$302,5,FALSE)</f>
        <v>22</v>
      </c>
    </row>
    <row r="16" spans="1:8">
      <c r="A16" s="668" t="s">
        <v>181</v>
      </c>
      <c r="B16" s="3" t="s">
        <v>1020</v>
      </c>
      <c r="C16" s="664">
        <v>56</v>
      </c>
      <c r="E16" s="696" t="s">
        <v>181</v>
      </c>
      <c r="F16" s="699" t="s">
        <v>1020</v>
      </c>
      <c r="G16" s="700">
        <v>55</v>
      </c>
      <c r="H16">
        <f>VLOOKUP(E16,Enrollment_old!$B$8:$F$302,5,FALSE)</f>
        <v>0</v>
      </c>
    </row>
    <row r="17" spans="1:8">
      <c r="A17" s="668" t="s">
        <v>201</v>
      </c>
      <c r="B17" s="3" t="s">
        <v>1029</v>
      </c>
      <c r="C17" s="664">
        <v>4</v>
      </c>
      <c r="E17" s="696" t="s">
        <v>201</v>
      </c>
      <c r="F17" s="699" t="s">
        <v>1029</v>
      </c>
      <c r="G17" s="700">
        <v>4</v>
      </c>
      <c r="H17">
        <f>VLOOKUP(E17,Enrollment_old!$B$8:$F$302,5,FALSE)</f>
        <v>8</v>
      </c>
    </row>
    <row r="18" spans="1:8">
      <c r="A18" s="668" t="s">
        <v>80</v>
      </c>
      <c r="B18" s="3" t="s">
        <v>1033</v>
      </c>
      <c r="C18" s="664">
        <v>13</v>
      </c>
      <c r="E18" s="696" t="s">
        <v>80</v>
      </c>
      <c r="F18" s="699" t="s">
        <v>1033</v>
      </c>
      <c r="G18" s="700">
        <v>14</v>
      </c>
      <c r="H18">
        <f>VLOOKUP(E18,Enrollment_old!$B$8:$F$302,5,FALSE)</f>
        <v>11</v>
      </c>
    </row>
    <row r="19" spans="1:8">
      <c r="A19" s="668" t="s">
        <v>207</v>
      </c>
      <c r="B19" s="3" t="s">
        <v>1040</v>
      </c>
      <c r="C19" s="664">
        <v>14</v>
      </c>
      <c r="E19" s="696" t="s">
        <v>207</v>
      </c>
      <c r="F19" s="699" t="s">
        <v>1040</v>
      </c>
      <c r="G19" s="700">
        <v>14</v>
      </c>
      <c r="H19">
        <f>VLOOKUP(E19,Enrollment_old!$B$8:$F$302,5,FALSE)</f>
        <v>16</v>
      </c>
    </row>
    <row r="20" spans="1:8">
      <c r="A20" s="668" t="s">
        <v>145</v>
      </c>
      <c r="B20" s="3" t="s">
        <v>1325</v>
      </c>
      <c r="C20" s="664">
        <v>23</v>
      </c>
      <c r="E20" s="696" t="s">
        <v>145</v>
      </c>
      <c r="F20" s="699" t="s">
        <v>1325</v>
      </c>
      <c r="G20" s="700">
        <v>22</v>
      </c>
      <c r="H20">
        <f>VLOOKUP(E20,Enrollment_old!$B$8:$F$302,5,FALSE)</f>
        <v>24</v>
      </c>
    </row>
    <row r="21" spans="1:8">
      <c r="A21" s="668" t="s">
        <v>405</v>
      </c>
      <c r="B21" s="3" t="s">
        <v>1060</v>
      </c>
      <c r="C21" s="664">
        <v>1</v>
      </c>
      <c r="E21" s="696" t="s">
        <v>90</v>
      </c>
      <c r="F21" s="699" t="s">
        <v>1345</v>
      </c>
      <c r="G21" s="700"/>
      <c r="H21">
        <f>VLOOKUP(E21,Enrollment_old!$B$8:$F$302,5,FALSE)</f>
        <v>4</v>
      </c>
    </row>
    <row r="22" spans="1:8">
      <c r="A22" s="668" t="s">
        <v>409</v>
      </c>
      <c r="B22" s="3" t="s">
        <v>1072</v>
      </c>
      <c r="C22" s="664">
        <v>6</v>
      </c>
      <c r="E22" s="696" t="s">
        <v>405</v>
      </c>
      <c r="F22" s="699" t="s">
        <v>1060</v>
      </c>
      <c r="G22" s="700">
        <v>222</v>
      </c>
      <c r="H22">
        <f>VLOOKUP(E22,Enrollment_old!$B$8:$F$302,5,FALSE)</f>
        <v>348</v>
      </c>
    </row>
    <row r="23" spans="1:8">
      <c r="A23" s="668" t="s">
        <v>571</v>
      </c>
      <c r="B23" s="3" t="s">
        <v>1075</v>
      </c>
      <c r="C23" s="664">
        <v>195</v>
      </c>
      <c r="E23" s="696" t="s">
        <v>409</v>
      </c>
      <c r="F23" s="699" t="s">
        <v>1072</v>
      </c>
      <c r="G23" s="700">
        <v>9</v>
      </c>
      <c r="H23">
        <f>VLOOKUP(E23,Enrollment_old!$B$8:$F$302,5,FALSE)</f>
        <v>11</v>
      </c>
    </row>
    <row r="24" spans="1:8">
      <c r="A24" s="668" t="s">
        <v>309</v>
      </c>
      <c r="B24" s="3" t="s">
        <v>1326</v>
      </c>
      <c r="C24" s="664">
        <v>108</v>
      </c>
      <c r="E24" s="696" t="s">
        <v>571</v>
      </c>
      <c r="F24" s="699" t="s">
        <v>1075</v>
      </c>
      <c r="G24" s="700">
        <v>170</v>
      </c>
      <c r="H24">
        <f>VLOOKUP(E24,Enrollment_old!$B$8:$F$302,5,FALSE)</f>
        <v>166</v>
      </c>
    </row>
    <row r="25" spans="1:8">
      <c r="A25" s="668" t="s">
        <v>214</v>
      </c>
      <c r="B25" s="3" t="s">
        <v>1084</v>
      </c>
      <c r="C25" s="664">
        <v>2</v>
      </c>
      <c r="E25" s="696" t="s">
        <v>309</v>
      </c>
      <c r="F25" s="699" t="s">
        <v>1326</v>
      </c>
      <c r="G25" s="700">
        <v>92</v>
      </c>
      <c r="H25">
        <f>VLOOKUP(E25,Enrollment_old!$B$8:$F$302,5,FALSE)</f>
        <v>80</v>
      </c>
    </row>
    <row r="26" spans="1:8">
      <c r="A26" s="668" t="s">
        <v>476</v>
      </c>
      <c r="B26" s="3" t="s">
        <v>1087</v>
      </c>
      <c r="C26" s="664">
        <v>1</v>
      </c>
      <c r="E26" s="696" t="s">
        <v>214</v>
      </c>
      <c r="F26" s="699" t="s">
        <v>1084</v>
      </c>
      <c r="G26" s="700">
        <v>2</v>
      </c>
      <c r="H26">
        <f>VLOOKUP(E26,Enrollment_old!$B$8:$F$302,5,FALSE)</f>
        <v>2</v>
      </c>
    </row>
    <row r="27" spans="1:8">
      <c r="A27" s="668" t="s">
        <v>209</v>
      </c>
      <c r="B27" s="3" t="s">
        <v>1091</v>
      </c>
      <c r="C27" s="664">
        <v>19</v>
      </c>
      <c r="E27" s="696" t="s">
        <v>474</v>
      </c>
      <c r="F27" s="699" t="s">
        <v>1087</v>
      </c>
      <c r="G27" s="700">
        <v>1</v>
      </c>
      <c r="H27">
        <f>VLOOKUP(E27,Enrollment_old!$B$8:$F$302,5,FALSE)</f>
        <v>1</v>
      </c>
    </row>
    <row r="28" spans="1:8">
      <c r="A28" s="668" t="s">
        <v>478</v>
      </c>
      <c r="B28" s="3" t="s">
        <v>1101</v>
      </c>
      <c r="C28" s="664">
        <v>11</v>
      </c>
      <c r="E28" s="696" t="s">
        <v>209</v>
      </c>
      <c r="F28" s="699" t="s">
        <v>1091</v>
      </c>
      <c r="G28" s="700">
        <v>19</v>
      </c>
      <c r="H28">
        <f>VLOOKUP(E28,Enrollment_old!$B$8:$F$302,5,FALSE)</f>
        <v>15</v>
      </c>
    </row>
    <row r="29" spans="1:8">
      <c r="A29" s="668" t="s">
        <v>484</v>
      </c>
      <c r="B29" s="3" t="s">
        <v>1327</v>
      </c>
      <c r="C29" s="664">
        <v>10</v>
      </c>
      <c r="E29" s="696" t="s">
        <v>478</v>
      </c>
      <c r="F29" s="699" t="s">
        <v>1101</v>
      </c>
      <c r="G29" s="700">
        <v>11</v>
      </c>
      <c r="H29">
        <f>VLOOKUP(E29,Enrollment_old!$B$8:$F$302,5,FALSE)</f>
        <v>8</v>
      </c>
    </row>
    <row r="30" spans="1:8">
      <c r="A30" s="668" t="s">
        <v>123</v>
      </c>
      <c r="B30" s="3" t="s">
        <v>1328</v>
      </c>
      <c r="C30" s="664">
        <v>1</v>
      </c>
      <c r="E30" s="696" t="s">
        <v>484</v>
      </c>
      <c r="F30" s="699" t="s">
        <v>1327</v>
      </c>
      <c r="G30" s="700">
        <v>10</v>
      </c>
      <c r="H30">
        <f>VLOOKUP(E30,Enrollment_old!$B$8:$F$302,5,FALSE)</f>
        <v>1</v>
      </c>
    </row>
    <row r="31" spans="1:8">
      <c r="A31" s="668" t="s">
        <v>173</v>
      </c>
      <c r="B31" s="3" t="s">
        <v>1142</v>
      </c>
      <c r="C31" s="664">
        <v>148</v>
      </c>
      <c r="E31" s="696" t="s">
        <v>123</v>
      </c>
      <c r="F31" s="699" t="s">
        <v>1328</v>
      </c>
      <c r="G31" s="700">
        <v>1</v>
      </c>
      <c r="H31">
        <f>VLOOKUP(E31,Enrollment_old!$B$8:$F$302,5,FALSE)</f>
        <v>0</v>
      </c>
    </row>
    <row r="32" spans="1:8">
      <c r="A32" s="668" t="s">
        <v>199</v>
      </c>
      <c r="B32" s="3" t="s">
        <v>1329</v>
      </c>
      <c r="C32" s="664">
        <v>7</v>
      </c>
      <c r="E32" s="696" t="s">
        <v>173</v>
      </c>
      <c r="F32" s="699" t="s">
        <v>1142</v>
      </c>
      <c r="G32" s="700">
        <v>148</v>
      </c>
      <c r="H32">
        <f>VLOOKUP(E32,Enrollment_old!$B$8:$F$302,5,FALSE)</f>
        <v>147</v>
      </c>
    </row>
    <row r="33" spans="1:8">
      <c r="A33" s="668" t="s">
        <v>422</v>
      </c>
      <c r="B33" s="3" t="s">
        <v>1202</v>
      </c>
      <c r="C33" s="664">
        <v>2</v>
      </c>
      <c r="E33" s="696" t="s">
        <v>199</v>
      </c>
      <c r="F33" s="699" t="s">
        <v>1329</v>
      </c>
      <c r="G33" s="700">
        <v>7</v>
      </c>
      <c r="H33">
        <f>VLOOKUP(E33,Enrollment_old!$B$8:$F$302,5,FALSE)</f>
        <v>15</v>
      </c>
    </row>
    <row r="34" spans="1:8">
      <c r="A34" s="668" t="s">
        <v>351</v>
      </c>
      <c r="B34" s="3" t="s">
        <v>1330</v>
      </c>
      <c r="C34" s="664">
        <v>11</v>
      </c>
      <c r="E34" s="696" t="s">
        <v>422</v>
      </c>
      <c r="F34" s="699" t="s">
        <v>1202</v>
      </c>
      <c r="G34" s="700">
        <v>2</v>
      </c>
      <c r="H34">
        <f>VLOOKUP(E34,Enrollment_old!$B$8:$F$302,5,FALSE)</f>
        <v>0</v>
      </c>
    </row>
    <row r="35" spans="1:8">
      <c r="A35" s="668" t="s">
        <v>345</v>
      </c>
      <c r="B35" s="3" t="s">
        <v>1221</v>
      </c>
      <c r="C35" s="664">
        <v>1</v>
      </c>
      <c r="E35" s="696" t="s">
        <v>351</v>
      </c>
      <c r="F35" s="699" t="s">
        <v>1330</v>
      </c>
      <c r="G35" s="700">
        <v>11</v>
      </c>
      <c r="H35">
        <f>VLOOKUP(E35,Enrollment_old!$B$8:$F$302,5,FALSE)</f>
        <v>7</v>
      </c>
    </row>
    <row r="36" spans="1:8">
      <c r="A36" s="668" t="s">
        <v>559</v>
      </c>
      <c r="B36" s="3" t="s">
        <v>1331</v>
      </c>
      <c r="C36" s="664">
        <v>238</v>
      </c>
      <c r="E36" s="696" t="s">
        <v>345</v>
      </c>
      <c r="F36" s="699" t="s">
        <v>1221</v>
      </c>
      <c r="G36" s="700">
        <v>2</v>
      </c>
      <c r="H36">
        <f>VLOOKUP(E36,Enrollment_old!$B$8:$F$302,5,FALSE)</f>
        <v>3</v>
      </c>
    </row>
    <row r="37" spans="1:8">
      <c r="A37" s="668" t="s">
        <v>496</v>
      </c>
      <c r="B37" s="3" t="s">
        <v>1332</v>
      </c>
      <c r="C37" s="664">
        <v>2</v>
      </c>
      <c r="E37" s="696" t="s">
        <v>559</v>
      </c>
      <c r="F37" s="699" t="s">
        <v>1331</v>
      </c>
      <c r="G37" s="700">
        <v>240</v>
      </c>
      <c r="H37">
        <f>VLOOKUP(E37,Enrollment_old!$B$8:$F$302,5,FALSE)</f>
        <v>237</v>
      </c>
    </row>
    <row r="38" spans="1:8">
      <c r="A38" s="668" t="s">
        <v>49</v>
      </c>
      <c r="B38" s="3" t="s">
        <v>1234</v>
      </c>
      <c r="C38" s="664">
        <v>102</v>
      </c>
      <c r="E38" s="696" t="s">
        <v>496</v>
      </c>
      <c r="F38" s="699" t="s">
        <v>1332</v>
      </c>
      <c r="G38" s="700">
        <v>2</v>
      </c>
      <c r="H38">
        <f>VLOOKUP(E38,Enrollment_old!$B$8:$F$302,5,FALSE)</f>
        <v>2</v>
      </c>
    </row>
    <row r="39" spans="1:8">
      <c r="A39" s="668" t="s">
        <v>567</v>
      </c>
      <c r="B39" s="3" t="s">
        <v>1333</v>
      </c>
      <c r="C39" s="664">
        <v>367</v>
      </c>
      <c r="E39" s="696" t="s">
        <v>49</v>
      </c>
      <c r="F39" s="699" t="s">
        <v>1234</v>
      </c>
      <c r="G39" s="700">
        <v>103</v>
      </c>
      <c r="H39">
        <f>VLOOKUP(E39,Enrollment_old!$B$8:$F$302,5,FALSE)</f>
        <v>118</v>
      </c>
    </row>
    <row r="40" spans="1:8">
      <c r="A40" s="668" t="s">
        <v>452</v>
      </c>
      <c r="B40" s="3" t="s">
        <v>1334</v>
      </c>
      <c r="C40" s="664">
        <v>127</v>
      </c>
      <c r="E40" s="696" t="s">
        <v>567</v>
      </c>
      <c r="F40" s="699" t="s">
        <v>1333</v>
      </c>
      <c r="G40" s="700">
        <v>367</v>
      </c>
      <c r="H40">
        <f>VLOOKUP(E40,Enrollment_old!$B$8:$F$302,5,FALSE)</f>
        <v>471</v>
      </c>
    </row>
    <row r="41" spans="1:8">
      <c r="A41" s="668" t="s">
        <v>248</v>
      </c>
      <c r="B41" s="3" t="s">
        <v>1335</v>
      </c>
      <c r="C41" s="664">
        <v>8</v>
      </c>
      <c r="E41" s="696" t="s">
        <v>452</v>
      </c>
      <c r="F41" s="699" t="s">
        <v>1334</v>
      </c>
      <c r="G41" s="700">
        <v>141</v>
      </c>
      <c r="H41">
        <f>VLOOKUP(E41,Enrollment_old!$B$8:$F$302,5,FALSE)</f>
        <v>160</v>
      </c>
    </row>
    <row r="42" spans="1:8">
      <c r="A42" s="668" t="s">
        <v>264</v>
      </c>
      <c r="B42" s="3" t="s">
        <v>1336</v>
      </c>
      <c r="C42" s="664">
        <v>14</v>
      </c>
      <c r="E42" s="696" t="s">
        <v>248</v>
      </c>
      <c r="F42" s="699" t="s">
        <v>1335</v>
      </c>
      <c r="G42" s="700">
        <v>8</v>
      </c>
      <c r="H42">
        <f>VLOOKUP(E42,Enrollment_old!$B$8:$F$302,5,FALSE)</f>
        <v>3</v>
      </c>
    </row>
    <row r="43" spans="1:8">
      <c r="A43" s="669" t="s">
        <v>547</v>
      </c>
      <c r="B43" s="12" t="s">
        <v>1246</v>
      </c>
      <c r="C43" s="665">
        <v>38</v>
      </c>
      <c r="E43" s="696" t="s">
        <v>264</v>
      </c>
      <c r="F43" s="699" t="s">
        <v>1336</v>
      </c>
      <c r="G43" s="700">
        <v>12</v>
      </c>
      <c r="H43">
        <f>VLOOKUP(E43,Enrollment_old!$B$8:$F$302,5,FALSE)</f>
        <v>11</v>
      </c>
    </row>
    <row r="44" spans="1:8">
      <c r="A44" s="666"/>
      <c r="B44" s="666" t="s">
        <v>620</v>
      </c>
      <c r="C44" s="667">
        <v>1890</v>
      </c>
      <c r="E44" s="696" t="s">
        <v>547</v>
      </c>
      <c r="F44" s="699" t="s">
        <v>1246</v>
      </c>
      <c r="G44" s="700">
        <v>43</v>
      </c>
      <c r="H44">
        <f>VLOOKUP(E44,Enrollment_old!$B$8:$F$302,5,FALSE)</f>
        <v>33</v>
      </c>
    </row>
    <row r="45" spans="1:8">
      <c r="F45" s="666" t="s">
        <v>620</v>
      </c>
      <c r="G45" s="700">
        <v>2236</v>
      </c>
      <c r="H45" t="e">
        <f>VLOOKUP(E45,Enrollment_old!$B$8:$F$302,5,FALSE)</f>
        <v>#N/A</v>
      </c>
    </row>
  </sheetData>
  <mergeCells count="1">
    <mergeCell ref="A1:C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C00000"/>
  </sheetPr>
  <dimension ref="A1:P8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P45" sqref="P45"/>
    </sheetView>
  </sheetViews>
  <sheetFormatPr defaultRowHeight="15"/>
  <cols>
    <col min="1" max="1" width="7.140625" style="745" customWidth="1"/>
    <col min="2" max="2" width="19.5703125" style="744" customWidth="1"/>
    <col min="3" max="3" width="11.5703125" style="758" customWidth="1"/>
    <col min="4" max="5" width="9.140625" style="745"/>
    <col min="6" max="6" width="16.42578125" style="745" bestFit="1" customWidth="1"/>
    <col min="7" max="7" width="11.5703125" style="745" bestFit="1" customWidth="1"/>
    <col min="8" max="136" width="9.140625" style="745"/>
    <col min="137" max="137" width="9.140625" style="745" customWidth="1"/>
    <col min="138" max="139" width="10.5703125" style="745" customWidth="1"/>
    <col min="140" max="140" width="11.5703125" style="745" customWidth="1"/>
    <col min="141" max="141" width="10.5703125" style="745" customWidth="1"/>
    <col min="142" max="144" width="11.5703125" style="745" customWidth="1"/>
    <col min="145" max="149" width="9.140625" style="745" customWidth="1"/>
    <col min="150" max="150" width="10.5703125" style="745" customWidth="1"/>
    <col min="151" max="152" width="9.5703125" style="745" customWidth="1"/>
    <col min="153" max="153" width="9.140625" style="745" customWidth="1"/>
    <col min="154" max="157" width="9.140625" style="745"/>
    <col min="158" max="158" width="10.5703125" style="745" bestFit="1" customWidth="1"/>
    <col min="159" max="159" width="9.140625" style="745"/>
    <col min="160" max="163" width="10.5703125" style="745" bestFit="1" customWidth="1"/>
    <col min="164" max="167" width="9.42578125" style="745" bestFit="1" customWidth="1"/>
    <col min="168" max="168" width="10.5703125" style="745" bestFit="1" customWidth="1"/>
    <col min="169" max="171" width="9.140625" style="745"/>
    <col min="172" max="175" width="9.42578125" style="745" bestFit="1" customWidth="1"/>
    <col min="176" max="176" width="9.5703125" style="745" bestFit="1" customWidth="1"/>
    <col min="177" max="392" width="9.140625" style="745"/>
    <col min="393" max="393" width="9.140625" style="745" customWidth="1"/>
    <col min="394" max="395" width="10.5703125" style="745" customWidth="1"/>
    <col min="396" max="396" width="11.5703125" style="745" customWidth="1"/>
    <col min="397" max="397" width="10.5703125" style="745" customWidth="1"/>
    <col min="398" max="400" width="11.5703125" style="745" customWidth="1"/>
    <col min="401" max="405" width="9.140625" style="745" customWidth="1"/>
    <col min="406" max="406" width="10.5703125" style="745" customWidth="1"/>
    <col min="407" max="408" width="9.5703125" style="745" customWidth="1"/>
    <col min="409" max="409" width="9.140625" style="745" customWidth="1"/>
    <col min="410" max="413" width="9.140625" style="745"/>
    <col min="414" max="414" width="10.5703125" style="745" bestFit="1" customWidth="1"/>
    <col min="415" max="415" width="9.140625" style="745"/>
    <col min="416" max="419" width="10.5703125" style="745" bestFit="1" customWidth="1"/>
    <col min="420" max="423" width="9.42578125" style="745" bestFit="1" customWidth="1"/>
    <col min="424" max="424" width="10.5703125" style="745" bestFit="1" customWidth="1"/>
    <col min="425" max="427" width="9.140625" style="745"/>
    <col min="428" max="431" width="9.42578125" style="745" bestFit="1" customWidth="1"/>
    <col min="432" max="432" width="9.5703125" style="745" bestFit="1" customWidth="1"/>
    <col min="433" max="648" width="9.140625" style="745"/>
    <col min="649" max="649" width="9.140625" style="745" customWidth="1"/>
    <col min="650" max="651" width="10.5703125" style="745" customWidth="1"/>
    <col min="652" max="652" width="11.5703125" style="745" customWidth="1"/>
    <col min="653" max="653" width="10.5703125" style="745" customWidth="1"/>
    <col min="654" max="656" width="11.5703125" style="745" customWidth="1"/>
    <col min="657" max="661" width="9.140625" style="745" customWidth="1"/>
    <col min="662" max="662" width="10.5703125" style="745" customWidth="1"/>
    <col min="663" max="664" width="9.5703125" style="745" customWidth="1"/>
    <col min="665" max="665" width="9.140625" style="745" customWidth="1"/>
    <col min="666" max="669" width="9.140625" style="745"/>
    <col min="670" max="670" width="10.5703125" style="745" bestFit="1" customWidth="1"/>
    <col min="671" max="671" width="9.140625" style="745"/>
    <col min="672" max="675" width="10.5703125" style="745" bestFit="1" customWidth="1"/>
    <col min="676" max="679" width="9.42578125" style="745" bestFit="1" customWidth="1"/>
    <col min="680" max="680" width="10.5703125" style="745" bestFit="1" customWidth="1"/>
    <col min="681" max="683" width="9.140625" style="745"/>
    <col min="684" max="687" width="9.42578125" style="745" bestFit="1" customWidth="1"/>
    <col min="688" max="688" width="9.5703125" style="745" bestFit="1" customWidth="1"/>
    <col min="689" max="904" width="9.140625" style="745"/>
    <col min="905" max="905" width="9.140625" style="745" customWidth="1"/>
    <col min="906" max="907" width="10.5703125" style="745" customWidth="1"/>
    <col min="908" max="908" width="11.5703125" style="745" customWidth="1"/>
    <col min="909" max="909" width="10.5703125" style="745" customWidth="1"/>
    <col min="910" max="912" width="11.5703125" style="745" customWidth="1"/>
    <col min="913" max="917" width="9.140625" style="745" customWidth="1"/>
    <col min="918" max="918" width="10.5703125" style="745" customWidth="1"/>
    <col min="919" max="920" width="9.5703125" style="745" customWidth="1"/>
    <col min="921" max="921" width="9.140625" style="745" customWidth="1"/>
    <col min="922" max="925" width="9.140625" style="745"/>
    <col min="926" max="926" width="10.5703125" style="745" bestFit="1" customWidth="1"/>
    <col min="927" max="927" width="9.140625" style="745"/>
    <col min="928" max="931" width="10.5703125" style="745" bestFit="1" customWidth="1"/>
    <col min="932" max="935" width="9.42578125" style="745" bestFit="1" customWidth="1"/>
    <col min="936" max="936" width="10.5703125" style="745" bestFit="1" customWidth="1"/>
    <col min="937" max="939" width="9.140625" style="745"/>
    <col min="940" max="943" width="9.42578125" style="745" bestFit="1" customWidth="1"/>
    <col min="944" max="944" width="9.5703125" style="745" bestFit="1" customWidth="1"/>
    <col min="945" max="1160" width="9.140625" style="745"/>
    <col min="1161" max="1161" width="9.140625" style="745" customWidth="1"/>
    <col min="1162" max="1163" width="10.5703125" style="745" customWidth="1"/>
    <col min="1164" max="1164" width="11.5703125" style="745" customWidth="1"/>
    <col min="1165" max="1165" width="10.5703125" style="745" customWidth="1"/>
    <col min="1166" max="1168" width="11.5703125" style="745" customWidth="1"/>
    <col min="1169" max="1173" width="9.140625" style="745" customWidth="1"/>
    <col min="1174" max="1174" width="10.5703125" style="745" customWidth="1"/>
    <col min="1175" max="1176" width="9.5703125" style="745" customWidth="1"/>
    <col min="1177" max="1177" width="9.140625" style="745" customWidth="1"/>
    <col min="1178" max="1181" width="9.140625" style="745"/>
    <col min="1182" max="1182" width="10.5703125" style="745" bestFit="1" customWidth="1"/>
    <col min="1183" max="1183" width="9.140625" style="745"/>
    <col min="1184" max="1187" width="10.5703125" style="745" bestFit="1" customWidth="1"/>
    <col min="1188" max="1191" width="9.42578125" style="745" bestFit="1" customWidth="1"/>
    <col min="1192" max="1192" width="10.5703125" style="745" bestFit="1" customWidth="1"/>
    <col min="1193" max="1195" width="9.140625" style="745"/>
    <col min="1196" max="1199" width="9.42578125" style="745" bestFit="1" customWidth="1"/>
    <col min="1200" max="1200" width="9.5703125" style="745" bestFit="1" customWidth="1"/>
    <col min="1201" max="1416" width="9.140625" style="745"/>
    <col min="1417" max="1417" width="9.140625" style="745" customWidth="1"/>
    <col min="1418" max="1419" width="10.5703125" style="745" customWidth="1"/>
    <col min="1420" max="1420" width="11.5703125" style="745" customWidth="1"/>
    <col min="1421" max="1421" width="10.5703125" style="745" customWidth="1"/>
    <col min="1422" max="1424" width="11.5703125" style="745" customWidth="1"/>
    <col min="1425" max="1429" width="9.140625" style="745" customWidth="1"/>
    <col min="1430" max="1430" width="10.5703125" style="745" customWidth="1"/>
    <col min="1431" max="1432" width="9.5703125" style="745" customWidth="1"/>
    <col min="1433" max="1433" width="9.140625" style="745" customWidth="1"/>
    <col min="1434" max="1437" width="9.140625" style="745"/>
    <col min="1438" max="1438" width="10.5703125" style="745" bestFit="1" customWidth="1"/>
    <col min="1439" max="1439" width="9.140625" style="745"/>
    <col min="1440" max="1443" width="10.5703125" style="745" bestFit="1" customWidth="1"/>
    <col min="1444" max="1447" width="9.42578125" style="745" bestFit="1" customWidth="1"/>
    <col min="1448" max="1448" width="10.5703125" style="745" bestFit="1" customWidth="1"/>
    <col min="1449" max="1451" width="9.140625" style="745"/>
    <col min="1452" max="1455" width="9.42578125" style="745" bestFit="1" customWidth="1"/>
    <col min="1456" max="1456" width="9.5703125" style="745" bestFit="1" customWidth="1"/>
    <col min="1457" max="1672" width="9.140625" style="745"/>
    <col min="1673" max="1673" width="9.140625" style="745" customWidth="1"/>
    <col min="1674" max="1675" width="10.5703125" style="745" customWidth="1"/>
    <col min="1676" max="1676" width="11.5703125" style="745" customWidth="1"/>
    <col min="1677" max="1677" width="10.5703125" style="745" customWidth="1"/>
    <col min="1678" max="1680" width="11.5703125" style="745" customWidth="1"/>
    <col min="1681" max="1685" width="9.140625" style="745" customWidth="1"/>
    <col min="1686" max="1686" width="10.5703125" style="745" customWidth="1"/>
    <col min="1687" max="1688" width="9.5703125" style="745" customWidth="1"/>
    <col min="1689" max="1689" width="9.140625" style="745" customWidth="1"/>
    <col min="1690" max="1693" width="9.140625" style="745"/>
    <col min="1694" max="1694" width="10.5703125" style="745" bestFit="1" customWidth="1"/>
    <col min="1695" max="1695" width="9.140625" style="745"/>
    <col min="1696" max="1699" width="10.5703125" style="745" bestFit="1" customWidth="1"/>
    <col min="1700" max="1703" width="9.42578125" style="745" bestFit="1" customWidth="1"/>
    <col min="1704" max="1704" width="10.5703125" style="745" bestFit="1" customWidth="1"/>
    <col min="1705" max="1707" width="9.140625" style="745"/>
    <col min="1708" max="1711" width="9.42578125" style="745" bestFit="1" customWidth="1"/>
    <col min="1712" max="1712" width="9.5703125" style="745" bestFit="1" customWidth="1"/>
    <col min="1713" max="1928" width="9.140625" style="745"/>
    <col min="1929" max="1929" width="9.140625" style="745" customWidth="1"/>
    <col min="1930" max="1931" width="10.5703125" style="745" customWidth="1"/>
    <col min="1932" max="1932" width="11.5703125" style="745" customWidth="1"/>
    <col min="1933" max="1933" width="10.5703125" style="745" customWidth="1"/>
    <col min="1934" max="1936" width="11.5703125" style="745" customWidth="1"/>
    <col min="1937" max="1941" width="9.140625" style="745" customWidth="1"/>
    <col min="1942" max="1942" width="10.5703125" style="745" customWidth="1"/>
    <col min="1943" max="1944" width="9.5703125" style="745" customWidth="1"/>
    <col min="1945" max="1945" width="9.140625" style="745" customWidth="1"/>
    <col min="1946" max="1949" width="9.140625" style="745"/>
    <col min="1950" max="1950" width="10.5703125" style="745" bestFit="1" customWidth="1"/>
    <col min="1951" max="1951" width="9.140625" style="745"/>
    <col min="1952" max="1955" width="10.5703125" style="745" bestFit="1" customWidth="1"/>
    <col min="1956" max="1959" width="9.42578125" style="745" bestFit="1" customWidth="1"/>
    <col min="1960" max="1960" width="10.5703125" style="745" bestFit="1" customWidth="1"/>
    <col min="1961" max="1963" width="9.140625" style="745"/>
    <col min="1964" max="1967" width="9.42578125" style="745" bestFit="1" customWidth="1"/>
    <col min="1968" max="1968" width="9.5703125" style="745" bestFit="1" customWidth="1"/>
    <col min="1969" max="2184" width="9.140625" style="745"/>
    <col min="2185" max="2185" width="9.140625" style="745" customWidth="1"/>
    <col min="2186" max="2187" width="10.5703125" style="745" customWidth="1"/>
    <col min="2188" max="2188" width="11.5703125" style="745" customWidth="1"/>
    <col min="2189" max="2189" width="10.5703125" style="745" customWidth="1"/>
    <col min="2190" max="2192" width="11.5703125" style="745" customWidth="1"/>
    <col min="2193" max="2197" width="9.140625" style="745" customWidth="1"/>
    <col min="2198" max="2198" width="10.5703125" style="745" customWidth="1"/>
    <col min="2199" max="2200" width="9.5703125" style="745" customWidth="1"/>
    <col min="2201" max="2201" width="9.140625" style="745" customWidth="1"/>
    <col min="2202" max="2205" width="9.140625" style="745"/>
    <col min="2206" max="2206" width="10.5703125" style="745" bestFit="1" customWidth="1"/>
    <col min="2207" max="2207" width="9.140625" style="745"/>
    <col min="2208" max="2211" width="10.5703125" style="745" bestFit="1" customWidth="1"/>
    <col min="2212" max="2215" width="9.42578125" style="745" bestFit="1" customWidth="1"/>
    <col min="2216" max="2216" width="10.5703125" style="745" bestFit="1" customWidth="1"/>
    <col min="2217" max="2219" width="9.140625" style="745"/>
    <col min="2220" max="2223" width="9.42578125" style="745" bestFit="1" customWidth="1"/>
    <col min="2224" max="2224" width="9.5703125" style="745" bestFit="1" customWidth="1"/>
    <col min="2225" max="2440" width="9.140625" style="745"/>
    <col min="2441" max="2441" width="9.140625" style="745" customWidth="1"/>
    <col min="2442" max="2443" width="10.5703125" style="745" customWidth="1"/>
    <col min="2444" max="2444" width="11.5703125" style="745" customWidth="1"/>
    <col min="2445" max="2445" width="10.5703125" style="745" customWidth="1"/>
    <col min="2446" max="2448" width="11.5703125" style="745" customWidth="1"/>
    <col min="2449" max="2453" width="9.140625" style="745" customWidth="1"/>
    <col min="2454" max="2454" width="10.5703125" style="745" customWidth="1"/>
    <col min="2455" max="2456" width="9.5703125" style="745" customWidth="1"/>
    <col min="2457" max="2457" width="9.140625" style="745" customWidth="1"/>
    <col min="2458" max="2461" width="9.140625" style="745"/>
    <col min="2462" max="2462" width="10.5703125" style="745" bestFit="1" customWidth="1"/>
    <col min="2463" max="2463" width="9.140625" style="745"/>
    <col min="2464" max="2467" width="10.5703125" style="745" bestFit="1" customWidth="1"/>
    <col min="2468" max="2471" width="9.42578125" style="745" bestFit="1" customWidth="1"/>
    <col min="2472" max="2472" width="10.5703125" style="745" bestFit="1" customWidth="1"/>
    <col min="2473" max="2475" width="9.140625" style="745"/>
    <col min="2476" max="2479" width="9.42578125" style="745" bestFit="1" customWidth="1"/>
    <col min="2480" max="2480" width="9.5703125" style="745" bestFit="1" customWidth="1"/>
    <col min="2481" max="2696" width="9.140625" style="745"/>
    <col min="2697" max="2697" width="9.140625" style="745" customWidth="1"/>
    <col min="2698" max="2699" width="10.5703125" style="745" customWidth="1"/>
    <col min="2700" max="2700" width="11.5703125" style="745" customWidth="1"/>
    <col min="2701" max="2701" width="10.5703125" style="745" customWidth="1"/>
    <col min="2702" max="2704" width="11.5703125" style="745" customWidth="1"/>
    <col min="2705" max="2709" width="9.140625" style="745" customWidth="1"/>
    <col min="2710" max="2710" width="10.5703125" style="745" customWidth="1"/>
    <col min="2711" max="2712" width="9.5703125" style="745" customWidth="1"/>
    <col min="2713" max="2713" width="9.140625" style="745" customWidth="1"/>
    <col min="2714" max="2717" width="9.140625" style="745"/>
    <col min="2718" max="2718" width="10.5703125" style="745" bestFit="1" customWidth="1"/>
    <col min="2719" max="2719" width="9.140625" style="745"/>
    <col min="2720" max="2723" width="10.5703125" style="745" bestFit="1" customWidth="1"/>
    <col min="2724" max="2727" width="9.42578125" style="745" bestFit="1" customWidth="1"/>
    <col min="2728" max="2728" width="10.5703125" style="745" bestFit="1" customWidth="1"/>
    <col min="2729" max="2731" width="9.140625" style="745"/>
    <col min="2732" max="2735" width="9.42578125" style="745" bestFit="1" customWidth="1"/>
    <col min="2736" max="2736" width="9.5703125" style="745" bestFit="1" customWidth="1"/>
    <col min="2737" max="2952" width="9.140625" style="745"/>
    <col min="2953" max="2953" width="9.140625" style="745" customWidth="1"/>
    <col min="2954" max="2955" width="10.5703125" style="745" customWidth="1"/>
    <col min="2956" max="2956" width="11.5703125" style="745" customWidth="1"/>
    <col min="2957" max="2957" width="10.5703125" style="745" customWidth="1"/>
    <col min="2958" max="2960" width="11.5703125" style="745" customWidth="1"/>
    <col min="2961" max="2965" width="9.140625" style="745" customWidth="1"/>
    <col min="2966" max="2966" width="10.5703125" style="745" customWidth="1"/>
    <col min="2967" max="2968" width="9.5703125" style="745" customWidth="1"/>
    <col min="2969" max="2969" width="9.140625" style="745" customWidth="1"/>
    <col min="2970" max="2973" width="9.140625" style="745"/>
    <col min="2974" max="2974" width="10.5703125" style="745" bestFit="1" customWidth="1"/>
    <col min="2975" max="2975" width="9.140625" style="745"/>
    <col min="2976" max="2979" width="10.5703125" style="745" bestFit="1" customWidth="1"/>
    <col min="2980" max="2983" width="9.42578125" style="745" bestFit="1" customWidth="1"/>
    <col min="2984" max="2984" width="10.5703125" style="745" bestFit="1" customWidth="1"/>
    <col min="2985" max="2987" width="9.140625" style="745"/>
    <col min="2988" max="2991" width="9.42578125" style="745" bestFit="1" customWidth="1"/>
    <col min="2992" max="2992" width="9.5703125" style="745" bestFit="1" customWidth="1"/>
    <col min="2993" max="3208" width="9.140625" style="745"/>
    <col min="3209" max="3209" width="9.140625" style="745" customWidth="1"/>
    <col min="3210" max="3211" width="10.5703125" style="745" customWidth="1"/>
    <col min="3212" max="3212" width="11.5703125" style="745" customWidth="1"/>
    <col min="3213" max="3213" width="10.5703125" style="745" customWidth="1"/>
    <col min="3214" max="3216" width="11.5703125" style="745" customWidth="1"/>
    <col min="3217" max="3221" width="9.140625" style="745" customWidth="1"/>
    <col min="3222" max="3222" width="10.5703125" style="745" customWidth="1"/>
    <col min="3223" max="3224" width="9.5703125" style="745" customWidth="1"/>
    <col min="3225" max="3225" width="9.140625" style="745" customWidth="1"/>
    <col min="3226" max="3229" width="9.140625" style="745"/>
    <col min="3230" max="3230" width="10.5703125" style="745" bestFit="1" customWidth="1"/>
    <col min="3231" max="3231" width="9.140625" style="745"/>
    <col min="3232" max="3235" width="10.5703125" style="745" bestFit="1" customWidth="1"/>
    <col min="3236" max="3239" width="9.42578125" style="745" bestFit="1" customWidth="1"/>
    <col min="3240" max="3240" width="10.5703125" style="745" bestFit="1" customWidth="1"/>
    <col min="3241" max="3243" width="9.140625" style="745"/>
    <col min="3244" max="3247" width="9.42578125" style="745" bestFit="1" customWidth="1"/>
    <col min="3248" max="3248" width="9.5703125" style="745" bestFit="1" customWidth="1"/>
    <col min="3249" max="3464" width="9.140625" style="745"/>
    <col min="3465" max="3465" width="9.140625" style="745" customWidth="1"/>
    <col min="3466" max="3467" width="10.5703125" style="745" customWidth="1"/>
    <col min="3468" max="3468" width="11.5703125" style="745" customWidth="1"/>
    <col min="3469" max="3469" width="10.5703125" style="745" customWidth="1"/>
    <col min="3470" max="3472" width="11.5703125" style="745" customWidth="1"/>
    <col min="3473" max="3477" width="9.140625" style="745" customWidth="1"/>
    <col min="3478" max="3478" width="10.5703125" style="745" customWidth="1"/>
    <col min="3479" max="3480" width="9.5703125" style="745" customWidth="1"/>
    <col min="3481" max="3481" width="9.140625" style="745" customWidth="1"/>
    <col min="3482" max="3485" width="9.140625" style="745"/>
    <col min="3486" max="3486" width="10.5703125" style="745" bestFit="1" customWidth="1"/>
    <col min="3487" max="3487" width="9.140625" style="745"/>
    <col min="3488" max="3491" width="10.5703125" style="745" bestFit="1" customWidth="1"/>
    <col min="3492" max="3495" width="9.42578125" style="745" bestFit="1" customWidth="1"/>
    <col min="3496" max="3496" width="10.5703125" style="745" bestFit="1" customWidth="1"/>
    <col min="3497" max="3499" width="9.140625" style="745"/>
    <col min="3500" max="3503" width="9.42578125" style="745" bestFit="1" customWidth="1"/>
    <col min="3504" max="3504" width="9.5703125" style="745" bestFit="1" customWidth="1"/>
    <col min="3505" max="3720" width="9.140625" style="745"/>
    <col min="3721" max="3721" width="9.140625" style="745" customWidth="1"/>
    <col min="3722" max="3723" width="10.5703125" style="745" customWidth="1"/>
    <col min="3724" max="3724" width="11.5703125" style="745" customWidth="1"/>
    <col min="3725" max="3725" width="10.5703125" style="745" customWidth="1"/>
    <col min="3726" max="3728" width="11.5703125" style="745" customWidth="1"/>
    <col min="3729" max="3733" width="9.140625" style="745" customWidth="1"/>
    <col min="3734" max="3734" width="10.5703125" style="745" customWidth="1"/>
    <col min="3735" max="3736" width="9.5703125" style="745" customWidth="1"/>
    <col min="3737" max="3737" width="9.140625" style="745" customWidth="1"/>
    <col min="3738" max="3741" width="9.140625" style="745"/>
    <col min="3742" max="3742" width="10.5703125" style="745" bestFit="1" customWidth="1"/>
    <col min="3743" max="3743" width="9.140625" style="745"/>
    <col min="3744" max="3747" width="10.5703125" style="745" bestFit="1" customWidth="1"/>
    <col min="3748" max="3751" width="9.42578125" style="745" bestFit="1" customWidth="1"/>
    <col min="3752" max="3752" width="10.5703125" style="745" bestFit="1" customWidth="1"/>
    <col min="3753" max="3755" width="9.140625" style="745"/>
    <col min="3756" max="3759" width="9.42578125" style="745" bestFit="1" customWidth="1"/>
    <col min="3760" max="3760" width="9.5703125" style="745" bestFit="1" customWidth="1"/>
    <col min="3761" max="3976" width="9.140625" style="745"/>
    <col min="3977" max="3977" width="9.140625" style="745" customWidth="1"/>
    <col min="3978" max="3979" width="10.5703125" style="745" customWidth="1"/>
    <col min="3980" max="3980" width="11.5703125" style="745" customWidth="1"/>
    <col min="3981" max="3981" width="10.5703125" style="745" customWidth="1"/>
    <col min="3982" max="3984" width="11.5703125" style="745" customWidth="1"/>
    <col min="3985" max="3989" width="9.140625" style="745" customWidth="1"/>
    <col min="3990" max="3990" width="10.5703125" style="745" customWidth="1"/>
    <col min="3991" max="3992" width="9.5703125" style="745" customWidth="1"/>
    <col min="3993" max="3993" width="9.140625" style="745" customWidth="1"/>
    <col min="3994" max="3997" width="9.140625" style="745"/>
    <col min="3998" max="3998" width="10.5703125" style="745" bestFit="1" customWidth="1"/>
    <col min="3999" max="3999" width="9.140625" style="745"/>
    <col min="4000" max="4003" width="10.5703125" style="745" bestFit="1" customWidth="1"/>
    <col min="4004" max="4007" width="9.42578125" style="745" bestFit="1" customWidth="1"/>
    <col min="4008" max="4008" width="10.5703125" style="745" bestFit="1" customWidth="1"/>
    <col min="4009" max="4011" width="9.140625" style="745"/>
    <col min="4012" max="4015" width="9.42578125" style="745" bestFit="1" customWidth="1"/>
    <col min="4016" max="4016" width="9.5703125" style="745" bestFit="1" customWidth="1"/>
    <col min="4017" max="4232" width="9.140625" style="745"/>
    <col min="4233" max="4233" width="9.140625" style="745" customWidth="1"/>
    <col min="4234" max="4235" width="10.5703125" style="745" customWidth="1"/>
    <col min="4236" max="4236" width="11.5703125" style="745" customWidth="1"/>
    <col min="4237" max="4237" width="10.5703125" style="745" customWidth="1"/>
    <col min="4238" max="4240" width="11.5703125" style="745" customWidth="1"/>
    <col min="4241" max="4245" width="9.140625" style="745" customWidth="1"/>
    <col min="4246" max="4246" width="10.5703125" style="745" customWidth="1"/>
    <col min="4247" max="4248" width="9.5703125" style="745" customWidth="1"/>
    <col min="4249" max="4249" width="9.140625" style="745" customWidth="1"/>
    <col min="4250" max="4253" width="9.140625" style="745"/>
    <col min="4254" max="4254" width="10.5703125" style="745" bestFit="1" customWidth="1"/>
    <col min="4255" max="4255" width="9.140625" style="745"/>
    <col min="4256" max="4259" width="10.5703125" style="745" bestFit="1" customWidth="1"/>
    <col min="4260" max="4263" width="9.42578125" style="745" bestFit="1" customWidth="1"/>
    <col min="4264" max="4264" width="10.5703125" style="745" bestFit="1" customWidth="1"/>
    <col min="4265" max="4267" width="9.140625" style="745"/>
    <col min="4268" max="4271" width="9.42578125" style="745" bestFit="1" customWidth="1"/>
    <col min="4272" max="4272" width="9.5703125" style="745" bestFit="1" customWidth="1"/>
    <col min="4273" max="4488" width="9.140625" style="745"/>
    <col min="4489" max="4489" width="9.140625" style="745" customWidth="1"/>
    <col min="4490" max="4491" width="10.5703125" style="745" customWidth="1"/>
    <col min="4492" max="4492" width="11.5703125" style="745" customWidth="1"/>
    <col min="4493" max="4493" width="10.5703125" style="745" customWidth="1"/>
    <col min="4494" max="4496" width="11.5703125" style="745" customWidth="1"/>
    <col min="4497" max="4501" width="9.140625" style="745" customWidth="1"/>
    <col min="4502" max="4502" width="10.5703125" style="745" customWidth="1"/>
    <col min="4503" max="4504" width="9.5703125" style="745" customWidth="1"/>
    <col min="4505" max="4505" width="9.140625" style="745" customWidth="1"/>
    <col min="4506" max="4509" width="9.140625" style="745"/>
    <col min="4510" max="4510" width="10.5703125" style="745" bestFit="1" customWidth="1"/>
    <col min="4511" max="4511" width="9.140625" style="745"/>
    <col min="4512" max="4515" width="10.5703125" style="745" bestFit="1" customWidth="1"/>
    <col min="4516" max="4519" width="9.42578125" style="745" bestFit="1" customWidth="1"/>
    <col min="4520" max="4520" width="10.5703125" style="745" bestFit="1" customWidth="1"/>
    <col min="4521" max="4523" width="9.140625" style="745"/>
    <col min="4524" max="4527" width="9.42578125" style="745" bestFit="1" customWidth="1"/>
    <col min="4528" max="4528" width="9.5703125" style="745" bestFit="1" customWidth="1"/>
    <col min="4529" max="4744" width="9.140625" style="745"/>
    <col min="4745" max="4745" width="9.140625" style="745" customWidth="1"/>
    <col min="4746" max="4747" width="10.5703125" style="745" customWidth="1"/>
    <col min="4748" max="4748" width="11.5703125" style="745" customWidth="1"/>
    <col min="4749" max="4749" width="10.5703125" style="745" customWidth="1"/>
    <col min="4750" max="4752" width="11.5703125" style="745" customWidth="1"/>
    <col min="4753" max="4757" width="9.140625" style="745" customWidth="1"/>
    <col min="4758" max="4758" width="10.5703125" style="745" customWidth="1"/>
    <col min="4759" max="4760" width="9.5703125" style="745" customWidth="1"/>
    <col min="4761" max="4761" width="9.140625" style="745" customWidth="1"/>
    <col min="4762" max="4765" width="9.140625" style="745"/>
    <col min="4766" max="4766" width="10.5703125" style="745" bestFit="1" customWidth="1"/>
    <col min="4767" max="4767" width="9.140625" style="745"/>
    <col min="4768" max="4771" width="10.5703125" style="745" bestFit="1" customWidth="1"/>
    <col min="4772" max="4775" width="9.42578125" style="745" bestFit="1" customWidth="1"/>
    <col min="4776" max="4776" width="10.5703125" style="745" bestFit="1" customWidth="1"/>
    <col min="4777" max="4779" width="9.140625" style="745"/>
    <col min="4780" max="4783" width="9.42578125" style="745" bestFit="1" customWidth="1"/>
    <col min="4784" max="4784" width="9.5703125" style="745" bestFit="1" customWidth="1"/>
    <col min="4785" max="5000" width="9.140625" style="745"/>
    <col min="5001" max="5001" width="9.140625" style="745" customWidth="1"/>
    <col min="5002" max="5003" width="10.5703125" style="745" customWidth="1"/>
    <col min="5004" max="5004" width="11.5703125" style="745" customWidth="1"/>
    <col min="5005" max="5005" width="10.5703125" style="745" customWidth="1"/>
    <col min="5006" max="5008" width="11.5703125" style="745" customWidth="1"/>
    <col min="5009" max="5013" width="9.140625" style="745" customWidth="1"/>
    <col min="5014" max="5014" width="10.5703125" style="745" customWidth="1"/>
    <col min="5015" max="5016" width="9.5703125" style="745" customWidth="1"/>
    <col min="5017" max="5017" width="9.140625" style="745" customWidth="1"/>
    <col min="5018" max="5021" width="9.140625" style="745"/>
    <col min="5022" max="5022" width="10.5703125" style="745" bestFit="1" customWidth="1"/>
    <col min="5023" max="5023" width="9.140625" style="745"/>
    <col min="5024" max="5027" width="10.5703125" style="745" bestFit="1" customWidth="1"/>
    <col min="5028" max="5031" width="9.42578125" style="745" bestFit="1" customWidth="1"/>
    <col min="5032" max="5032" width="10.5703125" style="745" bestFit="1" customWidth="1"/>
    <col min="5033" max="5035" width="9.140625" style="745"/>
    <col min="5036" max="5039" width="9.42578125" style="745" bestFit="1" customWidth="1"/>
    <col min="5040" max="5040" width="9.5703125" style="745" bestFit="1" customWidth="1"/>
    <col min="5041" max="5256" width="9.140625" style="745"/>
    <col min="5257" max="5257" width="9.140625" style="745" customWidth="1"/>
    <col min="5258" max="5259" width="10.5703125" style="745" customWidth="1"/>
    <col min="5260" max="5260" width="11.5703125" style="745" customWidth="1"/>
    <col min="5261" max="5261" width="10.5703125" style="745" customWidth="1"/>
    <col min="5262" max="5264" width="11.5703125" style="745" customWidth="1"/>
    <col min="5265" max="5269" width="9.140625" style="745" customWidth="1"/>
    <col min="5270" max="5270" width="10.5703125" style="745" customWidth="1"/>
    <col min="5271" max="5272" width="9.5703125" style="745" customWidth="1"/>
    <col min="5273" max="5273" width="9.140625" style="745" customWidth="1"/>
    <col min="5274" max="5277" width="9.140625" style="745"/>
    <col min="5278" max="5278" width="10.5703125" style="745" bestFit="1" customWidth="1"/>
    <col min="5279" max="5279" width="9.140625" style="745"/>
    <col min="5280" max="5283" width="10.5703125" style="745" bestFit="1" customWidth="1"/>
    <col min="5284" max="5287" width="9.42578125" style="745" bestFit="1" customWidth="1"/>
    <col min="5288" max="5288" width="10.5703125" style="745" bestFit="1" customWidth="1"/>
    <col min="5289" max="5291" width="9.140625" style="745"/>
    <col min="5292" max="5295" width="9.42578125" style="745" bestFit="1" customWidth="1"/>
    <col min="5296" max="5296" width="9.5703125" style="745" bestFit="1" customWidth="1"/>
    <col min="5297" max="5512" width="9.140625" style="745"/>
    <col min="5513" max="5513" width="9.140625" style="745" customWidth="1"/>
    <col min="5514" max="5515" width="10.5703125" style="745" customWidth="1"/>
    <col min="5516" max="5516" width="11.5703125" style="745" customWidth="1"/>
    <col min="5517" max="5517" width="10.5703125" style="745" customWidth="1"/>
    <col min="5518" max="5520" width="11.5703125" style="745" customWidth="1"/>
    <col min="5521" max="5525" width="9.140625" style="745" customWidth="1"/>
    <col min="5526" max="5526" width="10.5703125" style="745" customWidth="1"/>
    <col min="5527" max="5528" width="9.5703125" style="745" customWidth="1"/>
    <col min="5529" max="5529" width="9.140625" style="745" customWidth="1"/>
    <col min="5530" max="5533" width="9.140625" style="745"/>
    <col min="5534" max="5534" width="10.5703125" style="745" bestFit="1" customWidth="1"/>
    <col min="5535" max="5535" width="9.140625" style="745"/>
    <col min="5536" max="5539" width="10.5703125" style="745" bestFit="1" customWidth="1"/>
    <col min="5540" max="5543" width="9.42578125" style="745" bestFit="1" customWidth="1"/>
    <col min="5544" max="5544" width="10.5703125" style="745" bestFit="1" customWidth="1"/>
    <col min="5545" max="5547" width="9.140625" style="745"/>
    <col min="5548" max="5551" width="9.42578125" style="745" bestFit="1" customWidth="1"/>
    <col min="5552" max="5552" width="9.5703125" style="745" bestFit="1" customWidth="1"/>
    <col min="5553" max="5768" width="9.140625" style="745"/>
    <col min="5769" max="5769" width="9.140625" style="745" customWidth="1"/>
    <col min="5770" max="5771" width="10.5703125" style="745" customWidth="1"/>
    <col min="5772" max="5772" width="11.5703125" style="745" customWidth="1"/>
    <col min="5773" max="5773" width="10.5703125" style="745" customWidth="1"/>
    <col min="5774" max="5776" width="11.5703125" style="745" customWidth="1"/>
    <col min="5777" max="5781" width="9.140625" style="745" customWidth="1"/>
    <col min="5782" max="5782" width="10.5703125" style="745" customWidth="1"/>
    <col min="5783" max="5784" width="9.5703125" style="745" customWidth="1"/>
    <col min="5785" max="5785" width="9.140625" style="745" customWidth="1"/>
    <col min="5786" max="5789" width="9.140625" style="745"/>
    <col min="5790" max="5790" width="10.5703125" style="745" bestFit="1" customWidth="1"/>
    <col min="5791" max="5791" width="9.140625" style="745"/>
    <col min="5792" max="5795" width="10.5703125" style="745" bestFit="1" customWidth="1"/>
    <col min="5796" max="5799" width="9.42578125" style="745" bestFit="1" customWidth="1"/>
    <col min="5800" max="5800" width="10.5703125" style="745" bestFit="1" customWidth="1"/>
    <col min="5801" max="5803" width="9.140625" style="745"/>
    <col min="5804" max="5807" width="9.42578125" style="745" bestFit="1" customWidth="1"/>
    <col min="5808" max="5808" width="9.5703125" style="745" bestFit="1" customWidth="1"/>
    <col min="5809" max="6024" width="9.140625" style="745"/>
    <col min="6025" max="6025" width="9.140625" style="745" customWidth="1"/>
    <col min="6026" max="6027" width="10.5703125" style="745" customWidth="1"/>
    <col min="6028" max="6028" width="11.5703125" style="745" customWidth="1"/>
    <col min="6029" max="6029" width="10.5703125" style="745" customWidth="1"/>
    <col min="6030" max="6032" width="11.5703125" style="745" customWidth="1"/>
    <col min="6033" max="6037" width="9.140625" style="745" customWidth="1"/>
    <col min="6038" max="6038" width="10.5703125" style="745" customWidth="1"/>
    <col min="6039" max="6040" width="9.5703125" style="745" customWidth="1"/>
    <col min="6041" max="6041" width="9.140625" style="745" customWidth="1"/>
    <col min="6042" max="6045" width="9.140625" style="745"/>
    <col min="6046" max="6046" width="10.5703125" style="745" bestFit="1" customWidth="1"/>
    <col min="6047" max="6047" width="9.140625" style="745"/>
    <col min="6048" max="6051" width="10.5703125" style="745" bestFit="1" customWidth="1"/>
    <col min="6052" max="6055" width="9.42578125" style="745" bestFit="1" customWidth="1"/>
    <col min="6056" max="6056" width="10.5703125" style="745" bestFit="1" customWidth="1"/>
    <col min="6057" max="6059" width="9.140625" style="745"/>
    <col min="6060" max="6063" width="9.42578125" style="745" bestFit="1" customWidth="1"/>
    <col min="6064" max="6064" width="9.5703125" style="745" bestFit="1" customWidth="1"/>
    <col min="6065" max="6280" width="9.140625" style="745"/>
    <col min="6281" max="6281" width="9.140625" style="745" customWidth="1"/>
    <col min="6282" max="6283" width="10.5703125" style="745" customWidth="1"/>
    <col min="6284" max="6284" width="11.5703125" style="745" customWidth="1"/>
    <col min="6285" max="6285" width="10.5703125" style="745" customWidth="1"/>
    <col min="6286" max="6288" width="11.5703125" style="745" customWidth="1"/>
    <col min="6289" max="6293" width="9.140625" style="745" customWidth="1"/>
    <col min="6294" max="6294" width="10.5703125" style="745" customWidth="1"/>
    <col min="6295" max="6296" width="9.5703125" style="745" customWidth="1"/>
    <col min="6297" max="6297" width="9.140625" style="745" customWidth="1"/>
    <col min="6298" max="6301" width="9.140625" style="745"/>
    <col min="6302" max="6302" width="10.5703125" style="745" bestFit="1" customWidth="1"/>
    <col min="6303" max="6303" width="9.140625" style="745"/>
    <col min="6304" max="6307" width="10.5703125" style="745" bestFit="1" customWidth="1"/>
    <col min="6308" max="6311" width="9.42578125" style="745" bestFit="1" customWidth="1"/>
    <col min="6312" max="6312" width="10.5703125" style="745" bestFit="1" customWidth="1"/>
    <col min="6313" max="6315" width="9.140625" style="745"/>
    <col min="6316" max="6319" width="9.42578125" style="745" bestFit="1" customWidth="1"/>
    <col min="6320" max="6320" width="9.5703125" style="745" bestFit="1" customWidth="1"/>
    <col min="6321" max="6536" width="9.140625" style="745"/>
    <col min="6537" max="6537" width="9.140625" style="745" customWidth="1"/>
    <col min="6538" max="6539" width="10.5703125" style="745" customWidth="1"/>
    <col min="6540" max="6540" width="11.5703125" style="745" customWidth="1"/>
    <col min="6541" max="6541" width="10.5703125" style="745" customWidth="1"/>
    <col min="6542" max="6544" width="11.5703125" style="745" customWidth="1"/>
    <col min="6545" max="6549" width="9.140625" style="745" customWidth="1"/>
    <col min="6550" max="6550" width="10.5703125" style="745" customWidth="1"/>
    <col min="6551" max="6552" width="9.5703125" style="745" customWidth="1"/>
    <col min="6553" max="6553" width="9.140625" style="745" customWidth="1"/>
    <col min="6554" max="6557" width="9.140625" style="745"/>
    <col min="6558" max="6558" width="10.5703125" style="745" bestFit="1" customWidth="1"/>
    <col min="6559" max="6559" width="9.140625" style="745"/>
    <col min="6560" max="6563" width="10.5703125" style="745" bestFit="1" customWidth="1"/>
    <col min="6564" max="6567" width="9.42578125" style="745" bestFit="1" customWidth="1"/>
    <col min="6568" max="6568" width="10.5703125" style="745" bestFit="1" customWidth="1"/>
    <col min="6569" max="6571" width="9.140625" style="745"/>
    <col min="6572" max="6575" width="9.42578125" style="745" bestFit="1" customWidth="1"/>
    <col min="6576" max="6576" width="9.5703125" style="745" bestFit="1" customWidth="1"/>
    <col min="6577" max="6792" width="9.140625" style="745"/>
    <col min="6793" max="6793" width="9.140625" style="745" customWidth="1"/>
    <col min="6794" max="6795" width="10.5703125" style="745" customWidth="1"/>
    <col min="6796" max="6796" width="11.5703125" style="745" customWidth="1"/>
    <col min="6797" max="6797" width="10.5703125" style="745" customWidth="1"/>
    <col min="6798" max="6800" width="11.5703125" style="745" customWidth="1"/>
    <col min="6801" max="6805" width="9.140625" style="745" customWidth="1"/>
    <col min="6806" max="6806" width="10.5703125" style="745" customWidth="1"/>
    <col min="6807" max="6808" width="9.5703125" style="745" customWidth="1"/>
    <col min="6809" max="6809" width="9.140625" style="745" customWidth="1"/>
    <col min="6810" max="6813" width="9.140625" style="745"/>
    <col min="6814" max="6814" width="10.5703125" style="745" bestFit="1" customWidth="1"/>
    <col min="6815" max="6815" width="9.140625" style="745"/>
    <col min="6816" max="6819" width="10.5703125" style="745" bestFit="1" customWidth="1"/>
    <col min="6820" max="6823" width="9.42578125" style="745" bestFit="1" customWidth="1"/>
    <col min="6824" max="6824" width="10.5703125" style="745" bestFit="1" customWidth="1"/>
    <col min="6825" max="6827" width="9.140625" style="745"/>
    <col min="6828" max="6831" width="9.42578125" style="745" bestFit="1" customWidth="1"/>
    <col min="6832" max="6832" width="9.5703125" style="745" bestFit="1" customWidth="1"/>
    <col min="6833" max="7048" width="9.140625" style="745"/>
    <col min="7049" max="7049" width="9.140625" style="745" customWidth="1"/>
    <col min="7050" max="7051" width="10.5703125" style="745" customWidth="1"/>
    <col min="7052" max="7052" width="11.5703125" style="745" customWidth="1"/>
    <col min="7053" max="7053" width="10.5703125" style="745" customWidth="1"/>
    <col min="7054" max="7056" width="11.5703125" style="745" customWidth="1"/>
    <col min="7057" max="7061" width="9.140625" style="745" customWidth="1"/>
    <col min="7062" max="7062" width="10.5703125" style="745" customWidth="1"/>
    <col min="7063" max="7064" width="9.5703125" style="745" customWidth="1"/>
    <col min="7065" max="7065" width="9.140625" style="745" customWidth="1"/>
    <col min="7066" max="7069" width="9.140625" style="745"/>
    <col min="7070" max="7070" width="10.5703125" style="745" bestFit="1" customWidth="1"/>
    <col min="7071" max="7071" width="9.140625" style="745"/>
    <col min="7072" max="7075" width="10.5703125" style="745" bestFit="1" customWidth="1"/>
    <col min="7076" max="7079" width="9.42578125" style="745" bestFit="1" customWidth="1"/>
    <col min="7080" max="7080" width="10.5703125" style="745" bestFit="1" customWidth="1"/>
    <col min="7081" max="7083" width="9.140625" style="745"/>
    <col min="7084" max="7087" width="9.42578125" style="745" bestFit="1" customWidth="1"/>
    <col min="7088" max="7088" width="9.5703125" style="745" bestFit="1" customWidth="1"/>
    <col min="7089" max="7304" width="9.140625" style="745"/>
    <col min="7305" max="7305" width="9.140625" style="745" customWidth="1"/>
    <col min="7306" max="7307" width="10.5703125" style="745" customWidth="1"/>
    <col min="7308" max="7308" width="11.5703125" style="745" customWidth="1"/>
    <col min="7309" max="7309" width="10.5703125" style="745" customWidth="1"/>
    <col min="7310" max="7312" width="11.5703125" style="745" customWidth="1"/>
    <col min="7313" max="7317" width="9.140625" style="745" customWidth="1"/>
    <col min="7318" max="7318" width="10.5703125" style="745" customWidth="1"/>
    <col min="7319" max="7320" width="9.5703125" style="745" customWidth="1"/>
    <col min="7321" max="7321" width="9.140625" style="745" customWidth="1"/>
    <col min="7322" max="7325" width="9.140625" style="745"/>
    <col min="7326" max="7326" width="10.5703125" style="745" bestFit="1" customWidth="1"/>
    <col min="7327" max="7327" width="9.140625" style="745"/>
    <col min="7328" max="7331" width="10.5703125" style="745" bestFit="1" customWidth="1"/>
    <col min="7332" max="7335" width="9.42578125" style="745" bestFit="1" customWidth="1"/>
    <col min="7336" max="7336" width="10.5703125" style="745" bestFit="1" customWidth="1"/>
    <col min="7337" max="7339" width="9.140625" style="745"/>
    <col min="7340" max="7343" width="9.42578125" style="745" bestFit="1" customWidth="1"/>
    <col min="7344" max="7344" width="9.5703125" style="745" bestFit="1" customWidth="1"/>
    <col min="7345" max="7560" width="9.140625" style="745"/>
    <col min="7561" max="7561" width="9.140625" style="745" customWidth="1"/>
    <col min="7562" max="7563" width="10.5703125" style="745" customWidth="1"/>
    <col min="7564" max="7564" width="11.5703125" style="745" customWidth="1"/>
    <col min="7565" max="7565" width="10.5703125" style="745" customWidth="1"/>
    <col min="7566" max="7568" width="11.5703125" style="745" customWidth="1"/>
    <col min="7569" max="7573" width="9.140625" style="745" customWidth="1"/>
    <col min="7574" max="7574" width="10.5703125" style="745" customWidth="1"/>
    <col min="7575" max="7576" width="9.5703125" style="745" customWidth="1"/>
    <col min="7577" max="7577" width="9.140625" style="745" customWidth="1"/>
    <col min="7578" max="7581" width="9.140625" style="745"/>
    <col min="7582" max="7582" width="10.5703125" style="745" bestFit="1" customWidth="1"/>
    <col min="7583" max="7583" width="9.140625" style="745"/>
    <col min="7584" max="7587" width="10.5703125" style="745" bestFit="1" customWidth="1"/>
    <col min="7588" max="7591" width="9.42578125" style="745" bestFit="1" customWidth="1"/>
    <col min="7592" max="7592" width="10.5703125" style="745" bestFit="1" customWidth="1"/>
    <col min="7593" max="7595" width="9.140625" style="745"/>
    <col min="7596" max="7599" width="9.42578125" style="745" bestFit="1" customWidth="1"/>
    <col min="7600" max="7600" width="9.5703125" style="745" bestFit="1" customWidth="1"/>
    <col min="7601" max="7816" width="9.140625" style="745"/>
    <col min="7817" max="7817" width="9.140625" style="745" customWidth="1"/>
    <col min="7818" max="7819" width="10.5703125" style="745" customWidth="1"/>
    <col min="7820" max="7820" width="11.5703125" style="745" customWidth="1"/>
    <col min="7821" max="7821" width="10.5703125" style="745" customWidth="1"/>
    <col min="7822" max="7824" width="11.5703125" style="745" customWidth="1"/>
    <col min="7825" max="7829" width="9.140625" style="745" customWidth="1"/>
    <col min="7830" max="7830" width="10.5703125" style="745" customWidth="1"/>
    <col min="7831" max="7832" width="9.5703125" style="745" customWidth="1"/>
    <col min="7833" max="7833" width="9.140625" style="745" customWidth="1"/>
    <col min="7834" max="7837" width="9.140625" style="745"/>
    <col min="7838" max="7838" width="10.5703125" style="745" bestFit="1" customWidth="1"/>
    <col min="7839" max="7839" width="9.140625" style="745"/>
    <col min="7840" max="7843" width="10.5703125" style="745" bestFit="1" customWidth="1"/>
    <col min="7844" max="7847" width="9.42578125" style="745" bestFit="1" customWidth="1"/>
    <col min="7848" max="7848" width="10.5703125" style="745" bestFit="1" customWidth="1"/>
    <col min="7849" max="7851" width="9.140625" style="745"/>
    <col min="7852" max="7855" width="9.42578125" style="745" bestFit="1" customWidth="1"/>
    <col min="7856" max="7856" width="9.5703125" style="745" bestFit="1" customWidth="1"/>
    <col min="7857" max="8072" width="9.140625" style="745"/>
    <col min="8073" max="8073" width="9.140625" style="745" customWidth="1"/>
    <col min="8074" max="8075" width="10.5703125" style="745" customWidth="1"/>
    <col min="8076" max="8076" width="11.5703125" style="745" customWidth="1"/>
    <col min="8077" max="8077" width="10.5703125" style="745" customWidth="1"/>
    <col min="8078" max="8080" width="11.5703125" style="745" customWidth="1"/>
    <col min="8081" max="8085" width="9.140625" style="745" customWidth="1"/>
    <col min="8086" max="8086" width="10.5703125" style="745" customWidth="1"/>
    <col min="8087" max="8088" width="9.5703125" style="745" customWidth="1"/>
    <col min="8089" max="8089" width="9.140625" style="745" customWidth="1"/>
    <col min="8090" max="8093" width="9.140625" style="745"/>
    <col min="8094" max="8094" width="10.5703125" style="745" bestFit="1" customWidth="1"/>
    <col min="8095" max="8095" width="9.140625" style="745"/>
    <col min="8096" max="8099" width="10.5703125" style="745" bestFit="1" customWidth="1"/>
    <col min="8100" max="8103" width="9.42578125" style="745" bestFit="1" customWidth="1"/>
    <col min="8104" max="8104" width="10.5703125" style="745" bestFit="1" customWidth="1"/>
    <col min="8105" max="8107" width="9.140625" style="745"/>
    <col min="8108" max="8111" width="9.42578125" style="745" bestFit="1" customWidth="1"/>
    <col min="8112" max="8112" width="9.5703125" style="745" bestFit="1" customWidth="1"/>
    <col min="8113" max="8328" width="9.140625" style="745"/>
    <col min="8329" max="8329" width="9.140625" style="745" customWidth="1"/>
    <col min="8330" max="8331" width="10.5703125" style="745" customWidth="1"/>
    <col min="8332" max="8332" width="11.5703125" style="745" customWidth="1"/>
    <col min="8333" max="8333" width="10.5703125" style="745" customWidth="1"/>
    <col min="8334" max="8336" width="11.5703125" style="745" customWidth="1"/>
    <col min="8337" max="8341" width="9.140625" style="745" customWidth="1"/>
    <col min="8342" max="8342" width="10.5703125" style="745" customWidth="1"/>
    <col min="8343" max="8344" width="9.5703125" style="745" customWidth="1"/>
    <col min="8345" max="8345" width="9.140625" style="745" customWidth="1"/>
    <col min="8346" max="8349" width="9.140625" style="745"/>
    <col min="8350" max="8350" width="10.5703125" style="745" bestFit="1" customWidth="1"/>
    <col min="8351" max="8351" width="9.140625" style="745"/>
    <col min="8352" max="8355" width="10.5703125" style="745" bestFit="1" customWidth="1"/>
    <col min="8356" max="8359" width="9.42578125" style="745" bestFit="1" customWidth="1"/>
    <col min="8360" max="8360" width="10.5703125" style="745" bestFit="1" customWidth="1"/>
    <col min="8361" max="8363" width="9.140625" style="745"/>
    <col min="8364" max="8367" width="9.42578125" style="745" bestFit="1" customWidth="1"/>
    <col min="8368" max="8368" width="9.5703125" style="745" bestFit="1" customWidth="1"/>
    <col min="8369" max="8584" width="9.140625" style="745"/>
    <col min="8585" max="8585" width="9.140625" style="745" customWidth="1"/>
    <col min="8586" max="8587" width="10.5703125" style="745" customWidth="1"/>
    <col min="8588" max="8588" width="11.5703125" style="745" customWidth="1"/>
    <col min="8589" max="8589" width="10.5703125" style="745" customWidth="1"/>
    <col min="8590" max="8592" width="11.5703125" style="745" customWidth="1"/>
    <col min="8593" max="8597" width="9.140625" style="745" customWidth="1"/>
    <col min="8598" max="8598" width="10.5703125" style="745" customWidth="1"/>
    <col min="8599" max="8600" width="9.5703125" style="745" customWidth="1"/>
    <col min="8601" max="8601" width="9.140625" style="745" customWidth="1"/>
    <col min="8602" max="8605" width="9.140625" style="745"/>
    <col min="8606" max="8606" width="10.5703125" style="745" bestFit="1" customWidth="1"/>
    <col min="8607" max="8607" width="9.140625" style="745"/>
    <col min="8608" max="8611" width="10.5703125" style="745" bestFit="1" customWidth="1"/>
    <col min="8612" max="8615" width="9.42578125" style="745" bestFit="1" customWidth="1"/>
    <col min="8616" max="8616" width="10.5703125" style="745" bestFit="1" customWidth="1"/>
    <col min="8617" max="8619" width="9.140625" style="745"/>
    <col min="8620" max="8623" width="9.42578125" style="745" bestFit="1" customWidth="1"/>
    <col min="8624" max="8624" width="9.5703125" style="745" bestFit="1" customWidth="1"/>
    <col min="8625" max="8840" width="9.140625" style="745"/>
    <col min="8841" max="8841" width="9.140625" style="745" customWidth="1"/>
    <col min="8842" max="8843" width="10.5703125" style="745" customWidth="1"/>
    <col min="8844" max="8844" width="11.5703125" style="745" customWidth="1"/>
    <col min="8845" max="8845" width="10.5703125" style="745" customWidth="1"/>
    <col min="8846" max="8848" width="11.5703125" style="745" customWidth="1"/>
    <col min="8849" max="8853" width="9.140625" style="745" customWidth="1"/>
    <col min="8854" max="8854" width="10.5703125" style="745" customWidth="1"/>
    <col min="8855" max="8856" width="9.5703125" style="745" customWidth="1"/>
    <col min="8857" max="8857" width="9.140625" style="745" customWidth="1"/>
    <col min="8858" max="8861" width="9.140625" style="745"/>
    <col min="8862" max="8862" width="10.5703125" style="745" bestFit="1" customWidth="1"/>
    <col min="8863" max="8863" width="9.140625" style="745"/>
    <col min="8864" max="8867" width="10.5703125" style="745" bestFit="1" customWidth="1"/>
    <col min="8868" max="8871" width="9.42578125" style="745" bestFit="1" customWidth="1"/>
    <col min="8872" max="8872" width="10.5703125" style="745" bestFit="1" customWidth="1"/>
    <col min="8873" max="8875" width="9.140625" style="745"/>
    <col min="8876" max="8879" width="9.42578125" style="745" bestFit="1" customWidth="1"/>
    <col min="8880" max="8880" width="9.5703125" style="745" bestFit="1" customWidth="1"/>
    <col min="8881" max="9096" width="9.140625" style="745"/>
    <col min="9097" max="9097" width="9.140625" style="745" customWidth="1"/>
    <col min="9098" max="9099" width="10.5703125" style="745" customWidth="1"/>
    <col min="9100" max="9100" width="11.5703125" style="745" customWidth="1"/>
    <col min="9101" max="9101" width="10.5703125" style="745" customWidth="1"/>
    <col min="9102" max="9104" width="11.5703125" style="745" customWidth="1"/>
    <col min="9105" max="9109" width="9.140625" style="745" customWidth="1"/>
    <col min="9110" max="9110" width="10.5703125" style="745" customWidth="1"/>
    <col min="9111" max="9112" width="9.5703125" style="745" customWidth="1"/>
    <col min="9113" max="9113" width="9.140625" style="745" customWidth="1"/>
    <col min="9114" max="9117" width="9.140625" style="745"/>
    <col min="9118" max="9118" width="10.5703125" style="745" bestFit="1" customWidth="1"/>
    <col min="9119" max="9119" width="9.140625" style="745"/>
    <col min="9120" max="9123" width="10.5703125" style="745" bestFit="1" customWidth="1"/>
    <col min="9124" max="9127" width="9.42578125" style="745" bestFit="1" customWidth="1"/>
    <col min="9128" max="9128" width="10.5703125" style="745" bestFit="1" customWidth="1"/>
    <col min="9129" max="9131" width="9.140625" style="745"/>
    <col min="9132" max="9135" width="9.42578125" style="745" bestFit="1" customWidth="1"/>
    <col min="9136" max="9136" width="9.5703125" style="745" bestFit="1" customWidth="1"/>
    <col min="9137" max="9352" width="9.140625" style="745"/>
    <col min="9353" max="9353" width="9.140625" style="745" customWidth="1"/>
    <col min="9354" max="9355" width="10.5703125" style="745" customWidth="1"/>
    <col min="9356" max="9356" width="11.5703125" style="745" customWidth="1"/>
    <col min="9357" max="9357" width="10.5703125" style="745" customWidth="1"/>
    <col min="9358" max="9360" width="11.5703125" style="745" customWidth="1"/>
    <col min="9361" max="9365" width="9.140625" style="745" customWidth="1"/>
    <col min="9366" max="9366" width="10.5703125" style="745" customWidth="1"/>
    <col min="9367" max="9368" width="9.5703125" style="745" customWidth="1"/>
    <col min="9369" max="9369" width="9.140625" style="745" customWidth="1"/>
    <col min="9370" max="9373" width="9.140625" style="745"/>
    <col min="9374" max="9374" width="10.5703125" style="745" bestFit="1" customWidth="1"/>
    <col min="9375" max="9375" width="9.140625" style="745"/>
    <col min="9376" max="9379" width="10.5703125" style="745" bestFit="1" customWidth="1"/>
    <col min="9380" max="9383" width="9.42578125" style="745" bestFit="1" customWidth="1"/>
    <col min="9384" max="9384" width="10.5703125" style="745" bestFit="1" customWidth="1"/>
    <col min="9385" max="9387" width="9.140625" style="745"/>
    <col min="9388" max="9391" width="9.42578125" style="745" bestFit="1" customWidth="1"/>
    <col min="9392" max="9392" width="9.5703125" style="745" bestFit="1" customWidth="1"/>
    <col min="9393" max="9608" width="9.140625" style="745"/>
    <col min="9609" max="9609" width="9.140625" style="745" customWidth="1"/>
    <col min="9610" max="9611" width="10.5703125" style="745" customWidth="1"/>
    <col min="9612" max="9612" width="11.5703125" style="745" customWidth="1"/>
    <col min="9613" max="9613" width="10.5703125" style="745" customWidth="1"/>
    <col min="9614" max="9616" width="11.5703125" style="745" customWidth="1"/>
    <col min="9617" max="9621" width="9.140625" style="745" customWidth="1"/>
    <col min="9622" max="9622" width="10.5703125" style="745" customWidth="1"/>
    <col min="9623" max="9624" width="9.5703125" style="745" customWidth="1"/>
    <col min="9625" max="9625" width="9.140625" style="745" customWidth="1"/>
    <col min="9626" max="9629" width="9.140625" style="745"/>
    <col min="9630" max="9630" width="10.5703125" style="745" bestFit="1" customWidth="1"/>
    <col min="9631" max="9631" width="9.140625" style="745"/>
    <col min="9632" max="9635" width="10.5703125" style="745" bestFit="1" customWidth="1"/>
    <col min="9636" max="9639" width="9.42578125" style="745" bestFit="1" customWidth="1"/>
    <col min="9640" max="9640" width="10.5703125" style="745" bestFit="1" customWidth="1"/>
    <col min="9641" max="9643" width="9.140625" style="745"/>
    <col min="9644" max="9647" width="9.42578125" style="745" bestFit="1" customWidth="1"/>
    <col min="9648" max="9648" width="9.5703125" style="745" bestFit="1" customWidth="1"/>
    <col min="9649" max="9864" width="9.140625" style="745"/>
    <col min="9865" max="9865" width="9.140625" style="745" customWidth="1"/>
    <col min="9866" max="9867" width="10.5703125" style="745" customWidth="1"/>
    <col min="9868" max="9868" width="11.5703125" style="745" customWidth="1"/>
    <col min="9869" max="9869" width="10.5703125" style="745" customWidth="1"/>
    <col min="9870" max="9872" width="11.5703125" style="745" customWidth="1"/>
    <col min="9873" max="9877" width="9.140625" style="745" customWidth="1"/>
    <col min="9878" max="9878" width="10.5703125" style="745" customWidth="1"/>
    <col min="9879" max="9880" width="9.5703125" style="745" customWidth="1"/>
    <col min="9881" max="9881" width="9.140625" style="745" customWidth="1"/>
    <col min="9882" max="9885" width="9.140625" style="745"/>
    <col min="9886" max="9886" width="10.5703125" style="745" bestFit="1" customWidth="1"/>
    <col min="9887" max="9887" width="9.140625" style="745"/>
    <col min="9888" max="9891" width="10.5703125" style="745" bestFit="1" customWidth="1"/>
    <col min="9892" max="9895" width="9.42578125" style="745" bestFit="1" customWidth="1"/>
    <col min="9896" max="9896" width="10.5703125" style="745" bestFit="1" customWidth="1"/>
    <col min="9897" max="9899" width="9.140625" style="745"/>
    <col min="9900" max="9903" width="9.42578125" style="745" bestFit="1" customWidth="1"/>
    <col min="9904" max="9904" width="9.5703125" style="745" bestFit="1" customWidth="1"/>
    <col min="9905" max="10120" width="9.140625" style="745"/>
    <col min="10121" max="10121" width="9.140625" style="745" customWidth="1"/>
    <col min="10122" max="10123" width="10.5703125" style="745" customWidth="1"/>
    <col min="10124" max="10124" width="11.5703125" style="745" customWidth="1"/>
    <col min="10125" max="10125" width="10.5703125" style="745" customWidth="1"/>
    <col min="10126" max="10128" width="11.5703125" style="745" customWidth="1"/>
    <col min="10129" max="10133" width="9.140625" style="745" customWidth="1"/>
    <col min="10134" max="10134" width="10.5703125" style="745" customWidth="1"/>
    <col min="10135" max="10136" width="9.5703125" style="745" customWidth="1"/>
    <col min="10137" max="10137" width="9.140625" style="745" customWidth="1"/>
    <col min="10138" max="10141" width="9.140625" style="745"/>
    <col min="10142" max="10142" width="10.5703125" style="745" bestFit="1" customWidth="1"/>
    <col min="10143" max="10143" width="9.140625" style="745"/>
    <col min="10144" max="10147" width="10.5703125" style="745" bestFit="1" customWidth="1"/>
    <col min="10148" max="10151" width="9.42578125" style="745" bestFit="1" customWidth="1"/>
    <col min="10152" max="10152" width="10.5703125" style="745" bestFit="1" customWidth="1"/>
    <col min="10153" max="10155" width="9.140625" style="745"/>
    <col min="10156" max="10159" width="9.42578125" style="745" bestFit="1" customWidth="1"/>
    <col min="10160" max="10160" width="9.5703125" style="745" bestFit="1" customWidth="1"/>
    <col min="10161" max="10376" width="9.140625" style="745"/>
    <col min="10377" max="10377" width="9.140625" style="745" customWidth="1"/>
    <col min="10378" max="10379" width="10.5703125" style="745" customWidth="1"/>
    <col min="10380" max="10380" width="11.5703125" style="745" customWidth="1"/>
    <col min="10381" max="10381" width="10.5703125" style="745" customWidth="1"/>
    <col min="10382" max="10384" width="11.5703125" style="745" customWidth="1"/>
    <col min="10385" max="10389" width="9.140625" style="745" customWidth="1"/>
    <col min="10390" max="10390" width="10.5703125" style="745" customWidth="1"/>
    <col min="10391" max="10392" width="9.5703125" style="745" customWidth="1"/>
    <col min="10393" max="10393" width="9.140625" style="745" customWidth="1"/>
    <col min="10394" max="10397" width="9.140625" style="745"/>
    <col min="10398" max="10398" width="10.5703125" style="745" bestFit="1" customWidth="1"/>
    <col min="10399" max="10399" width="9.140625" style="745"/>
    <col min="10400" max="10403" width="10.5703125" style="745" bestFit="1" customWidth="1"/>
    <col min="10404" max="10407" width="9.42578125" style="745" bestFit="1" customWidth="1"/>
    <col min="10408" max="10408" width="10.5703125" style="745" bestFit="1" customWidth="1"/>
    <col min="10409" max="10411" width="9.140625" style="745"/>
    <col min="10412" max="10415" width="9.42578125" style="745" bestFit="1" customWidth="1"/>
    <col min="10416" max="10416" width="9.5703125" style="745" bestFit="1" customWidth="1"/>
    <col min="10417" max="10632" width="9.140625" style="745"/>
    <col min="10633" max="10633" width="9.140625" style="745" customWidth="1"/>
    <col min="10634" max="10635" width="10.5703125" style="745" customWidth="1"/>
    <col min="10636" max="10636" width="11.5703125" style="745" customWidth="1"/>
    <col min="10637" max="10637" width="10.5703125" style="745" customWidth="1"/>
    <col min="10638" max="10640" width="11.5703125" style="745" customWidth="1"/>
    <col min="10641" max="10645" width="9.140625" style="745" customWidth="1"/>
    <col min="10646" max="10646" width="10.5703125" style="745" customWidth="1"/>
    <col min="10647" max="10648" width="9.5703125" style="745" customWidth="1"/>
    <col min="10649" max="10649" width="9.140625" style="745" customWidth="1"/>
    <col min="10650" max="10653" width="9.140625" style="745"/>
    <col min="10654" max="10654" width="10.5703125" style="745" bestFit="1" customWidth="1"/>
    <col min="10655" max="10655" width="9.140625" style="745"/>
    <col min="10656" max="10659" width="10.5703125" style="745" bestFit="1" customWidth="1"/>
    <col min="10660" max="10663" width="9.42578125" style="745" bestFit="1" customWidth="1"/>
    <col min="10664" max="10664" width="10.5703125" style="745" bestFit="1" customWidth="1"/>
    <col min="10665" max="10667" width="9.140625" style="745"/>
    <col min="10668" max="10671" width="9.42578125" style="745" bestFit="1" customWidth="1"/>
    <col min="10672" max="10672" width="9.5703125" style="745" bestFit="1" customWidth="1"/>
    <col min="10673" max="10888" width="9.140625" style="745"/>
    <col min="10889" max="10889" width="9.140625" style="745" customWidth="1"/>
    <col min="10890" max="10891" width="10.5703125" style="745" customWidth="1"/>
    <col min="10892" max="10892" width="11.5703125" style="745" customWidth="1"/>
    <col min="10893" max="10893" width="10.5703125" style="745" customWidth="1"/>
    <col min="10894" max="10896" width="11.5703125" style="745" customWidth="1"/>
    <col min="10897" max="10901" width="9.140625" style="745" customWidth="1"/>
    <col min="10902" max="10902" width="10.5703125" style="745" customWidth="1"/>
    <col min="10903" max="10904" width="9.5703125" style="745" customWidth="1"/>
    <col min="10905" max="10905" width="9.140625" style="745" customWidth="1"/>
    <col min="10906" max="10909" width="9.140625" style="745"/>
    <col min="10910" max="10910" width="10.5703125" style="745" bestFit="1" customWidth="1"/>
    <col min="10911" max="10911" width="9.140625" style="745"/>
    <col min="10912" max="10915" width="10.5703125" style="745" bestFit="1" customWidth="1"/>
    <col min="10916" max="10919" width="9.42578125" style="745" bestFit="1" customWidth="1"/>
    <col min="10920" max="10920" width="10.5703125" style="745" bestFit="1" customWidth="1"/>
    <col min="10921" max="10923" width="9.140625" style="745"/>
    <col min="10924" max="10927" width="9.42578125" style="745" bestFit="1" customWidth="1"/>
    <col min="10928" max="10928" width="9.5703125" style="745" bestFit="1" customWidth="1"/>
    <col min="10929" max="11144" width="9.140625" style="745"/>
    <col min="11145" max="11145" width="9.140625" style="745" customWidth="1"/>
    <col min="11146" max="11147" width="10.5703125" style="745" customWidth="1"/>
    <col min="11148" max="11148" width="11.5703125" style="745" customWidth="1"/>
    <col min="11149" max="11149" width="10.5703125" style="745" customWidth="1"/>
    <col min="11150" max="11152" width="11.5703125" style="745" customWidth="1"/>
    <col min="11153" max="11157" width="9.140625" style="745" customWidth="1"/>
    <col min="11158" max="11158" width="10.5703125" style="745" customWidth="1"/>
    <col min="11159" max="11160" width="9.5703125" style="745" customWidth="1"/>
    <col min="11161" max="11161" width="9.140625" style="745" customWidth="1"/>
    <col min="11162" max="11165" width="9.140625" style="745"/>
    <col min="11166" max="11166" width="10.5703125" style="745" bestFit="1" customWidth="1"/>
    <col min="11167" max="11167" width="9.140625" style="745"/>
    <col min="11168" max="11171" width="10.5703125" style="745" bestFit="1" customWidth="1"/>
    <col min="11172" max="11175" width="9.42578125" style="745" bestFit="1" customWidth="1"/>
    <col min="11176" max="11176" width="10.5703125" style="745" bestFit="1" customWidth="1"/>
    <col min="11177" max="11179" width="9.140625" style="745"/>
    <col min="11180" max="11183" width="9.42578125" style="745" bestFit="1" customWidth="1"/>
    <col min="11184" max="11184" width="9.5703125" style="745" bestFit="1" customWidth="1"/>
    <col min="11185" max="11400" width="9.140625" style="745"/>
    <col min="11401" max="11401" width="9.140625" style="745" customWidth="1"/>
    <col min="11402" max="11403" width="10.5703125" style="745" customWidth="1"/>
    <col min="11404" max="11404" width="11.5703125" style="745" customWidth="1"/>
    <col min="11405" max="11405" width="10.5703125" style="745" customWidth="1"/>
    <col min="11406" max="11408" width="11.5703125" style="745" customWidth="1"/>
    <col min="11409" max="11413" width="9.140625" style="745" customWidth="1"/>
    <col min="11414" max="11414" width="10.5703125" style="745" customWidth="1"/>
    <col min="11415" max="11416" width="9.5703125" style="745" customWidth="1"/>
    <col min="11417" max="11417" width="9.140625" style="745" customWidth="1"/>
    <col min="11418" max="11421" width="9.140625" style="745"/>
    <col min="11422" max="11422" width="10.5703125" style="745" bestFit="1" customWidth="1"/>
    <col min="11423" max="11423" width="9.140625" style="745"/>
    <col min="11424" max="11427" width="10.5703125" style="745" bestFit="1" customWidth="1"/>
    <col min="11428" max="11431" width="9.42578125" style="745" bestFit="1" customWidth="1"/>
    <col min="11432" max="11432" width="10.5703125" style="745" bestFit="1" customWidth="1"/>
    <col min="11433" max="11435" width="9.140625" style="745"/>
    <col min="11436" max="11439" width="9.42578125" style="745" bestFit="1" customWidth="1"/>
    <col min="11440" max="11440" width="9.5703125" style="745" bestFit="1" customWidth="1"/>
    <col min="11441" max="11656" width="9.140625" style="745"/>
    <col min="11657" max="11657" width="9.140625" style="745" customWidth="1"/>
    <col min="11658" max="11659" width="10.5703125" style="745" customWidth="1"/>
    <col min="11660" max="11660" width="11.5703125" style="745" customWidth="1"/>
    <col min="11661" max="11661" width="10.5703125" style="745" customWidth="1"/>
    <col min="11662" max="11664" width="11.5703125" style="745" customWidth="1"/>
    <col min="11665" max="11669" width="9.140625" style="745" customWidth="1"/>
    <col min="11670" max="11670" width="10.5703125" style="745" customWidth="1"/>
    <col min="11671" max="11672" width="9.5703125" style="745" customWidth="1"/>
    <col min="11673" max="11673" width="9.140625" style="745" customWidth="1"/>
    <col min="11674" max="11677" width="9.140625" style="745"/>
    <col min="11678" max="11678" width="10.5703125" style="745" bestFit="1" customWidth="1"/>
    <col min="11679" max="11679" width="9.140625" style="745"/>
    <col min="11680" max="11683" width="10.5703125" style="745" bestFit="1" customWidth="1"/>
    <col min="11684" max="11687" width="9.42578125" style="745" bestFit="1" customWidth="1"/>
    <col min="11688" max="11688" width="10.5703125" style="745" bestFit="1" customWidth="1"/>
    <col min="11689" max="11691" width="9.140625" style="745"/>
    <col min="11692" max="11695" width="9.42578125" style="745" bestFit="1" customWidth="1"/>
    <col min="11696" max="11696" width="9.5703125" style="745" bestFit="1" customWidth="1"/>
    <col min="11697" max="11912" width="9.140625" style="745"/>
    <col min="11913" max="11913" width="9.140625" style="745" customWidth="1"/>
    <col min="11914" max="11915" width="10.5703125" style="745" customWidth="1"/>
    <col min="11916" max="11916" width="11.5703125" style="745" customWidth="1"/>
    <col min="11917" max="11917" width="10.5703125" style="745" customWidth="1"/>
    <col min="11918" max="11920" width="11.5703125" style="745" customWidth="1"/>
    <col min="11921" max="11925" width="9.140625" style="745" customWidth="1"/>
    <col min="11926" max="11926" width="10.5703125" style="745" customWidth="1"/>
    <col min="11927" max="11928" width="9.5703125" style="745" customWidth="1"/>
    <col min="11929" max="11929" width="9.140625" style="745" customWidth="1"/>
    <col min="11930" max="11933" width="9.140625" style="745"/>
    <col min="11934" max="11934" width="10.5703125" style="745" bestFit="1" customWidth="1"/>
    <col min="11935" max="11935" width="9.140625" style="745"/>
    <col min="11936" max="11939" width="10.5703125" style="745" bestFit="1" customWidth="1"/>
    <col min="11940" max="11943" width="9.42578125" style="745" bestFit="1" customWidth="1"/>
    <col min="11944" max="11944" width="10.5703125" style="745" bestFit="1" customWidth="1"/>
    <col min="11945" max="11947" width="9.140625" style="745"/>
    <col min="11948" max="11951" width="9.42578125" style="745" bestFit="1" customWidth="1"/>
    <col min="11952" max="11952" width="9.5703125" style="745" bestFit="1" customWidth="1"/>
    <col min="11953" max="12168" width="9.140625" style="745"/>
    <col min="12169" max="12169" width="9.140625" style="745" customWidth="1"/>
    <col min="12170" max="12171" width="10.5703125" style="745" customWidth="1"/>
    <col min="12172" max="12172" width="11.5703125" style="745" customWidth="1"/>
    <col min="12173" max="12173" width="10.5703125" style="745" customWidth="1"/>
    <col min="12174" max="12176" width="11.5703125" style="745" customWidth="1"/>
    <col min="12177" max="12181" width="9.140625" style="745" customWidth="1"/>
    <col min="12182" max="12182" width="10.5703125" style="745" customWidth="1"/>
    <col min="12183" max="12184" width="9.5703125" style="745" customWidth="1"/>
    <col min="12185" max="12185" width="9.140625" style="745" customWidth="1"/>
    <col min="12186" max="12189" width="9.140625" style="745"/>
    <col min="12190" max="12190" width="10.5703125" style="745" bestFit="1" customWidth="1"/>
    <col min="12191" max="12191" width="9.140625" style="745"/>
    <col min="12192" max="12195" width="10.5703125" style="745" bestFit="1" customWidth="1"/>
    <col min="12196" max="12199" width="9.42578125" style="745" bestFit="1" customWidth="1"/>
    <col min="12200" max="12200" width="10.5703125" style="745" bestFit="1" customWidth="1"/>
    <col min="12201" max="12203" width="9.140625" style="745"/>
    <col min="12204" max="12207" width="9.42578125" style="745" bestFit="1" customWidth="1"/>
    <col min="12208" max="12208" width="9.5703125" style="745" bestFit="1" customWidth="1"/>
    <col min="12209" max="12424" width="9.140625" style="745"/>
    <col min="12425" max="12425" width="9.140625" style="745" customWidth="1"/>
    <col min="12426" max="12427" width="10.5703125" style="745" customWidth="1"/>
    <col min="12428" max="12428" width="11.5703125" style="745" customWidth="1"/>
    <col min="12429" max="12429" width="10.5703125" style="745" customWidth="1"/>
    <col min="12430" max="12432" width="11.5703125" style="745" customWidth="1"/>
    <col min="12433" max="12437" width="9.140625" style="745" customWidth="1"/>
    <col min="12438" max="12438" width="10.5703125" style="745" customWidth="1"/>
    <col min="12439" max="12440" width="9.5703125" style="745" customWidth="1"/>
    <col min="12441" max="12441" width="9.140625" style="745" customWidth="1"/>
    <col min="12442" max="12445" width="9.140625" style="745"/>
    <col min="12446" max="12446" width="10.5703125" style="745" bestFit="1" customWidth="1"/>
    <col min="12447" max="12447" width="9.140625" style="745"/>
    <col min="12448" max="12451" width="10.5703125" style="745" bestFit="1" customWidth="1"/>
    <col min="12452" max="12455" width="9.42578125" style="745" bestFit="1" customWidth="1"/>
    <col min="12456" max="12456" width="10.5703125" style="745" bestFit="1" customWidth="1"/>
    <col min="12457" max="12459" width="9.140625" style="745"/>
    <col min="12460" max="12463" width="9.42578125" style="745" bestFit="1" customWidth="1"/>
    <col min="12464" max="12464" width="9.5703125" style="745" bestFit="1" customWidth="1"/>
    <col min="12465" max="12680" width="9.140625" style="745"/>
    <col min="12681" max="12681" width="9.140625" style="745" customWidth="1"/>
    <col min="12682" max="12683" width="10.5703125" style="745" customWidth="1"/>
    <col min="12684" max="12684" width="11.5703125" style="745" customWidth="1"/>
    <col min="12685" max="12685" width="10.5703125" style="745" customWidth="1"/>
    <col min="12686" max="12688" width="11.5703125" style="745" customWidth="1"/>
    <col min="12689" max="12693" width="9.140625" style="745" customWidth="1"/>
    <col min="12694" max="12694" width="10.5703125" style="745" customWidth="1"/>
    <col min="12695" max="12696" width="9.5703125" style="745" customWidth="1"/>
    <col min="12697" max="12697" width="9.140625" style="745" customWidth="1"/>
    <col min="12698" max="12701" width="9.140625" style="745"/>
    <col min="12702" max="12702" width="10.5703125" style="745" bestFit="1" customWidth="1"/>
    <col min="12703" max="12703" width="9.140625" style="745"/>
    <col min="12704" max="12707" width="10.5703125" style="745" bestFit="1" customWidth="1"/>
    <col min="12708" max="12711" width="9.42578125" style="745" bestFit="1" customWidth="1"/>
    <col min="12712" max="12712" width="10.5703125" style="745" bestFit="1" customWidth="1"/>
    <col min="12713" max="12715" width="9.140625" style="745"/>
    <col min="12716" max="12719" width="9.42578125" style="745" bestFit="1" customWidth="1"/>
    <col min="12720" max="12720" width="9.5703125" style="745" bestFit="1" customWidth="1"/>
    <col min="12721" max="12936" width="9.140625" style="745"/>
    <col min="12937" max="12937" width="9.140625" style="745" customWidth="1"/>
    <col min="12938" max="12939" width="10.5703125" style="745" customWidth="1"/>
    <col min="12940" max="12940" width="11.5703125" style="745" customWidth="1"/>
    <col min="12941" max="12941" width="10.5703125" style="745" customWidth="1"/>
    <col min="12942" max="12944" width="11.5703125" style="745" customWidth="1"/>
    <col min="12945" max="12949" width="9.140625" style="745" customWidth="1"/>
    <col min="12950" max="12950" width="10.5703125" style="745" customWidth="1"/>
    <col min="12951" max="12952" width="9.5703125" style="745" customWidth="1"/>
    <col min="12953" max="12953" width="9.140625" style="745" customWidth="1"/>
    <col min="12954" max="12957" width="9.140625" style="745"/>
    <col min="12958" max="12958" width="10.5703125" style="745" bestFit="1" customWidth="1"/>
    <col min="12959" max="12959" width="9.140625" style="745"/>
    <col min="12960" max="12963" width="10.5703125" style="745" bestFit="1" customWidth="1"/>
    <col min="12964" max="12967" width="9.42578125" style="745" bestFit="1" customWidth="1"/>
    <col min="12968" max="12968" width="10.5703125" style="745" bestFit="1" customWidth="1"/>
    <col min="12969" max="12971" width="9.140625" style="745"/>
    <col min="12972" max="12975" width="9.42578125" style="745" bestFit="1" customWidth="1"/>
    <col min="12976" max="12976" width="9.5703125" style="745" bestFit="1" customWidth="1"/>
    <col min="12977" max="13192" width="9.140625" style="745"/>
    <col min="13193" max="13193" width="9.140625" style="745" customWidth="1"/>
    <col min="13194" max="13195" width="10.5703125" style="745" customWidth="1"/>
    <col min="13196" max="13196" width="11.5703125" style="745" customWidth="1"/>
    <col min="13197" max="13197" width="10.5703125" style="745" customWidth="1"/>
    <col min="13198" max="13200" width="11.5703125" style="745" customWidth="1"/>
    <col min="13201" max="13205" width="9.140625" style="745" customWidth="1"/>
    <col min="13206" max="13206" width="10.5703125" style="745" customWidth="1"/>
    <col min="13207" max="13208" width="9.5703125" style="745" customWidth="1"/>
    <col min="13209" max="13209" width="9.140625" style="745" customWidth="1"/>
    <col min="13210" max="13213" width="9.140625" style="745"/>
    <col min="13214" max="13214" width="10.5703125" style="745" bestFit="1" customWidth="1"/>
    <col min="13215" max="13215" width="9.140625" style="745"/>
    <col min="13216" max="13219" width="10.5703125" style="745" bestFit="1" customWidth="1"/>
    <col min="13220" max="13223" width="9.42578125" style="745" bestFit="1" customWidth="1"/>
    <col min="13224" max="13224" width="10.5703125" style="745" bestFit="1" customWidth="1"/>
    <col min="13225" max="13227" width="9.140625" style="745"/>
    <col min="13228" max="13231" width="9.42578125" style="745" bestFit="1" customWidth="1"/>
    <col min="13232" max="13232" width="9.5703125" style="745" bestFit="1" customWidth="1"/>
    <col min="13233" max="13448" width="9.140625" style="745"/>
    <col min="13449" max="13449" width="9.140625" style="745" customWidth="1"/>
    <col min="13450" max="13451" width="10.5703125" style="745" customWidth="1"/>
    <col min="13452" max="13452" width="11.5703125" style="745" customWidth="1"/>
    <col min="13453" max="13453" width="10.5703125" style="745" customWidth="1"/>
    <col min="13454" max="13456" width="11.5703125" style="745" customWidth="1"/>
    <col min="13457" max="13461" width="9.140625" style="745" customWidth="1"/>
    <col min="13462" max="13462" width="10.5703125" style="745" customWidth="1"/>
    <col min="13463" max="13464" width="9.5703125" style="745" customWidth="1"/>
    <col min="13465" max="13465" width="9.140625" style="745" customWidth="1"/>
    <col min="13466" max="13469" width="9.140625" style="745"/>
    <col min="13470" max="13470" width="10.5703125" style="745" bestFit="1" customWidth="1"/>
    <col min="13471" max="13471" width="9.140625" style="745"/>
    <col min="13472" max="13475" width="10.5703125" style="745" bestFit="1" customWidth="1"/>
    <col min="13476" max="13479" width="9.42578125" style="745" bestFit="1" customWidth="1"/>
    <col min="13480" max="13480" width="10.5703125" style="745" bestFit="1" customWidth="1"/>
    <col min="13481" max="13483" width="9.140625" style="745"/>
    <col min="13484" max="13487" width="9.42578125" style="745" bestFit="1" customWidth="1"/>
    <col min="13488" max="13488" width="9.5703125" style="745" bestFit="1" customWidth="1"/>
    <col min="13489" max="13704" width="9.140625" style="745"/>
    <col min="13705" max="13705" width="9.140625" style="745" customWidth="1"/>
    <col min="13706" max="13707" width="10.5703125" style="745" customWidth="1"/>
    <col min="13708" max="13708" width="11.5703125" style="745" customWidth="1"/>
    <col min="13709" max="13709" width="10.5703125" style="745" customWidth="1"/>
    <col min="13710" max="13712" width="11.5703125" style="745" customWidth="1"/>
    <col min="13713" max="13717" width="9.140625" style="745" customWidth="1"/>
    <col min="13718" max="13718" width="10.5703125" style="745" customWidth="1"/>
    <col min="13719" max="13720" width="9.5703125" style="745" customWidth="1"/>
    <col min="13721" max="13721" width="9.140625" style="745" customWidth="1"/>
    <col min="13722" max="13725" width="9.140625" style="745"/>
    <col min="13726" max="13726" width="10.5703125" style="745" bestFit="1" customWidth="1"/>
    <col min="13727" max="13727" width="9.140625" style="745"/>
    <col min="13728" max="13731" width="10.5703125" style="745" bestFit="1" customWidth="1"/>
    <col min="13732" max="13735" width="9.42578125" style="745" bestFit="1" customWidth="1"/>
    <col min="13736" max="13736" width="10.5703125" style="745" bestFit="1" customWidth="1"/>
    <col min="13737" max="13739" width="9.140625" style="745"/>
    <col min="13740" max="13743" width="9.42578125" style="745" bestFit="1" customWidth="1"/>
    <col min="13744" max="13744" width="9.5703125" style="745" bestFit="1" customWidth="1"/>
    <col min="13745" max="13960" width="9.140625" style="745"/>
    <col min="13961" max="13961" width="9.140625" style="745" customWidth="1"/>
    <col min="13962" max="13963" width="10.5703125" style="745" customWidth="1"/>
    <col min="13964" max="13964" width="11.5703125" style="745" customWidth="1"/>
    <col min="13965" max="13965" width="10.5703125" style="745" customWidth="1"/>
    <col min="13966" max="13968" width="11.5703125" style="745" customWidth="1"/>
    <col min="13969" max="13973" width="9.140625" style="745" customWidth="1"/>
    <col min="13974" max="13974" width="10.5703125" style="745" customWidth="1"/>
    <col min="13975" max="13976" width="9.5703125" style="745" customWidth="1"/>
    <col min="13977" max="13977" width="9.140625" style="745" customWidth="1"/>
    <col min="13978" max="13981" width="9.140625" style="745"/>
    <col min="13982" max="13982" width="10.5703125" style="745" bestFit="1" customWidth="1"/>
    <col min="13983" max="13983" width="9.140625" style="745"/>
    <col min="13984" max="13987" width="10.5703125" style="745" bestFit="1" customWidth="1"/>
    <col min="13988" max="13991" width="9.42578125" style="745" bestFit="1" customWidth="1"/>
    <col min="13992" max="13992" width="10.5703125" style="745" bestFit="1" customWidth="1"/>
    <col min="13993" max="13995" width="9.140625" style="745"/>
    <col min="13996" max="13999" width="9.42578125" style="745" bestFit="1" customWidth="1"/>
    <col min="14000" max="14000" width="9.5703125" style="745" bestFit="1" customWidth="1"/>
    <col min="14001" max="14216" width="9.140625" style="745"/>
    <col min="14217" max="14217" width="9.140625" style="745" customWidth="1"/>
    <col min="14218" max="14219" width="10.5703125" style="745" customWidth="1"/>
    <col min="14220" max="14220" width="11.5703125" style="745" customWidth="1"/>
    <col min="14221" max="14221" width="10.5703125" style="745" customWidth="1"/>
    <col min="14222" max="14224" width="11.5703125" style="745" customWidth="1"/>
    <col min="14225" max="14229" width="9.140625" style="745" customWidth="1"/>
    <col min="14230" max="14230" width="10.5703125" style="745" customWidth="1"/>
    <col min="14231" max="14232" width="9.5703125" style="745" customWidth="1"/>
    <col min="14233" max="14233" width="9.140625" style="745" customWidth="1"/>
    <col min="14234" max="14237" width="9.140625" style="745"/>
    <col min="14238" max="14238" width="10.5703125" style="745" bestFit="1" customWidth="1"/>
    <col min="14239" max="14239" width="9.140625" style="745"/>
    <col min="14240" max="14243" width="10.5703125" style="745" bestFit="1" customWidth="1"/>
    <col min="14244" max="14247" width="9.42578125" style="745" bestFit="1" customWidth="1"/>
    <col min="14248" max="14248" width="10.5703125" style="745" bestFit="1" customWidth="1"/>
    <col min="14249" max="14251" width="9.140625" style="745"/>
    <col min="14252" max="14255" width="9.42578125" style="745" bestFit="1" customWidth="1"/>
    <col min="14256" max="14256" width="9.5703125" style="745" bestFit="1" customWidth="1"/>
    <col min="14257" max="14472" width="9.140625" style="745"/>
    <col min="14473" max="14473" width="9.140625" style="745" customWidth="1"/>
    <col min="14474" max="14475" width="10.5703125" style="745" customWidth="1"/>
    <col min="14476" max="14476" width="11.5703125" style="745" customWidth="1"/>
    <col min="14477" max="14477" width="10.5703125" style="745" customWidth="1"/>
    <col min="14478" max="14480" width="11.5703125" style="745" customWidth="1"/>
    <col min="14481" max="14485" width="9.140625" style="745" customWidth="1"/>
    <col min="14486" max="14486" width="10.5703125" style="745" customWidth="1"/>
    <col min="14487" max="14488" width="9.5703125" style="745" customWidth="1"/>
    <col min="14489" max="14489" width="9.140625" style="745" customWidth="1"/>
    <col min="14490" max="14493" width="9.140625" style="745"/>
    <col min="14494" max="14494" width="10.5703125" style="745" bestFit="1" customWidth="1"/>
    <col min="14495" max="14495" width="9.140625" style="745"/>
    <col min="14496" max="14499" width="10.5703125" style="745" bestFit="1" customWidth="1"/>
    <col min="14500" max="14503" width="9.42578125" style="745" bestFit="1" customWidth="1"/>
    <col min="14504" max="14504" width="10.5703125" style="745" bestFit="1" customWidth="1"/>
    <col min="14505" max="14507" width="9.140625" style="745"/>
    <col min="14508" max="14511" width="9.42578125" style="745" bestFit="1" customWidth="1"/>
    <col min="14512" max="14512" width="9.5703125" style="745" bestFit="1" customWidth="1"/>
    <col min="14513" max="14728" width="9.140625" style="745"/>
    <col min="14729" max="14729" width="9.140625" style="745" customWidth="1"/>
    <col min="14730" max="14731" width="10.5703125" style="745" customWidth="1"/>
    <col min="14732" max="14732" width="11.5703125" style="745" customWidth="1"/>
    <col min="14733" max="14733" width="10.5703125" style="745" customWidth="1"/>
    <col min="14734" max="14736" width="11.5703125" style="745" customWidth="1"/>
    <col min="14737" max="14741" width="9.140625" style="745" customWidth="1"/>
    <col min="14742" max="14742" width="10.5703125" style="745" customWidth="1"/>
    <col min="14743" max="14744" width="9.5703125" style="745" customWidth="1"/>
    <col min="14745" max="14745" width="9.140625" style="745" customWidth="1"/>
    <col min="14746" max="14749" width="9.140625" style="745"/>
    <col min="14750" max="14750" width="10.5703125" style="745" bestFit="1" customWidth="1"/>
    <col min="14751" max="14751" width="9.140625" style="745"/>
    <col min="14752" max="14755" width="10.5703125" style="745" bestFit="1" customWidth="1"/>
    <col min="14756" max="14759" width="9.42578125" style="745" bestFit="1" customWidth="1"/>
    <col min="14760" max="14760" width="10.5703125" style="745" bestFit="1" customWidth="1"/>
    <col min="14761" max="14763" width="9.140625" style="745"/>
    <col min="14764" max="14767" width="9.42578125" style="745" bestFit="1" customWidth="1"/>
    <col min="14768" max="14768" width="9.5703125" style="745" bestFit="1" customWidth="1"/>
    <col min="14769" max="14984" width="9.140625" style="745"/>
    <col min="14985" max="14985" width="9.140625" style="745" customWidth="1"/>
    <col min="14986" max="14987" width="10.5703125" style="745" customWidth="1"/>
    <col min="14988" max="14988" width="11.5703125" style="745" customWidth="1"/>
    <col min="14989" max="14989" width="10.5703125" style="745" customWidth="1"/>
    <col min="14990" max="14992" width="11.5703125" style="745" customWidth="1"/>
    <col min="14993" max="14997" width="9.140625" style="745" customWidth="1"/>
    <col min="14998" max="14998" width="10.5703125" style="745" customWidth="1"/>
    <col min="14999" max="15000" width="9.5703125" style="745" customWidth="1"/>
    <col min="15001" max="15001" width="9.140625" style="745" customWidth="1"/>
    <col min="15002" max="15005" width="9.140625" style="745"/>
    <col min="15006" max="15006" width="10.5703125" style="745" bestFit="1" customWidth="1"/>
    <col min="15007" max="15007" width="9.140625" style="745"/>
    <col min="15008" max="15011" width="10.5703125" style="745" bestFit="1" customWidth="1"/>
    <col min="15012" max="15015" width="9.42578125" style="745" bestFit="1" customWidth="1"/>
    <col min="15016" max="15016" width="10.5703125" style="745" bestFit="1" customWidth="1"/>
    <col min="15017" max="15019" width="9.140625" style="745"/>
    <col min="15020" max="15023" width="9.42578125" style="745" bestFit="1" customWidth="1"/>
    <col min="15024" max="15024" width="9.5703125" style="745" bestFit="1" customWidth="1"/>
    <col min="15025" max="15240" width="9.140625" style="745"/>
    <col min="15241" max="15241" width="9.140625" style="745" customWidth="1"/>
    <col min="15242" max="15243" width="10.5703125" style="745" customWidth="1"/>
    <col min="15244" max="15244" width="11.5703125" style="745" customWidth="1"/>
    <col min="15245" max="15245" width="10.5703125" style="745" customWidth="1"/>
    <col min="15246" max="15248" width="11.5703125" style="745" customWidth="1"/>
    <col min="15249" max="15253" width="9.140625" style="745" customWidth="1"/>
    <col min="15254" max="15254" width="10.5703125" style="745" customWidth="1"/>
    <col min="15255" max="15256" width="9.5703125" style="745" customWidth="1"/>
    <col min="15257" max="15257" width="9.140625" style="745" customWidth="1"/>
    <col min="15258" max="15261" width="9.140625" style="745"/>
    <col min="15262" max="15262" width="10.5703125" style="745" bestFit="1" customWidth="1"/>
    <col min="15263" max="15263" width="9.140625" style="745"/>
    <col min="15264" max="15267" width="10.5703125" style="745" bestFit="1" customWidth="1"/>
    <col min="15268" max="15271" width="9.42578125" style="745" bestFit="1" customWidth="1"/>
    <col min="15272" max="15272" width="10.5703125" style="745" bestFit="1" customWidth="1"/>
    <col min="15273" max="15275" width="9.140625" style="745"/>
    <col min="15276" max="15279" width="9.42578125" style="745" bestFit="1" customWidth="1"/>
    <col min="15280" max="15280" width="9.5703125" style="745" bestFit="1" customWidth="1"/>
    <col min="15281" max="15496" width="9.140625" style="745"/>
    <col min="15497" max="15497" width="9.140625" style="745" customWidth="1"/>
    <col min="15498" max="15499" width="10.5703125" style="745" customWidth="1"/>
    <col min="15500" max="15500" width="11.5703125" style="745" customWidth="1"/>
    <col min="15501" max="15501" width="10.5703125" style="745" customWidth="1"/>
    <col min="15502" max="15504" width="11.5703125" style="745" customWidth="1"/>
    <col min="15505" max="15509" width="9.140625" style="745" customWidth="1"/>
    <col min="15510" max="15510" width="10.5703125" style="745" customWidth="1"/>
    <col min="15511" max="15512" width="9.5703125" style="745" customWidth="1"/>
    <col min="15513" max="15513" width="9.140625" style="745" customWidth="1"/>
    <col min="15514" max="15517" width="9.140625" style="745"/>
    <col min="15518" max="15518" width="10.5703125" style="745" bestFit="1" customWidth="1"/>
    <col min="15519" max="15519" width="9.140625" style="745"/>
    <col min="15520" max="15523" width="10.5703125" style="745" bestFit="1" customWidth="1"/>
    <col min="15524" max="15527" width="9.42578125" style="745" bestFit="1" customWidth="1"/>
    <col min="15528" max="15528" width="10.5703125" style="745" bestFit="1" customWidth="1"/>
    <col min="15529" max="15531" width="9.140625" style="745"/>
    <col min="15532" max="15535" width="9.42578125" style="745" bestFit="1" customWidth="1"/>
    <col min="15536" max="15536" width="9.5703125" style="745" bestFit="1" customWidth="1"/>
    <col min="15537" max="15752" width="9.140625" style="745"/>
    <col min="15753" max="15753" width="9.140625" style="745" customWidth="1"/>
    <col min="15754" max="15755" width="10.5703125" style="745" customWidth="1"/>
    <col min="15756" max="15756" width="11.5703125" style="745" customWidth="1"/>
    <col min="15757" max="15757" width="10.5703125" style="745" customWidth="1"/>
    <col min="15758" max="15760" width="11.5703125" style="745" customWidth="1"/>
    <col min="15761" max="15765" width="9.140625" style="745" customWidth="1"/>
    <col min="15766" max="15766" width="10.5703125" style="745" customWidth="1"/>
    <col min="15767" max="15768" width="9.5703125" style="745" customWidth="1"/>
    <col min="15769" max="15769" width="9.140625" style="745" customWidth="1"/>
    <col min="15770" max="15773" width="9.140625" style="745"/>
    <col min="15774" max="15774" width="10.5703125" style="745" bestFit="1" customWidth="1"/>
    <col min="15775" max="15775" width="9.140625" style="745"/>
    <col min="15776" max="15779" width="10.5703125" style="745" bestFit="1" customWidth="1"/>
    <col min="15780" max="15783" width="9.42578125" style="745" bestFit="1" customWidth="1"/>
    <col min="15784" max="15784" width="10.5703125" style="745" bestFit="1" customWidth="1"/>
    <col min="15785" max="15787" width="9.140625" style="745"/>
    <col min="15788" max="15791" width="9.42578125" style="745" bestFit="1" customWidth="1"/>
    <col min="15792" max="15792" width="9.5703125" style="745" bestFit="1" customWidth="1"/>
    <col min="15793" max="16008" width="9.140625" style="745"/>
    <col min="16009" max="16009" width="9.140625" style="745" customWidth="1"/>
    <col min="16010" max="16011" width="10.5703125" style="745" customWidth="1"/>
    <col min="16012" max="16012" width="11.5703125" style="745" customWidth="1"/>
    <col min="16013" max="16013" width="10.5703125" style="745" customWidth="1"/>
    <col min="16014" max="16016" width="11.5703125" style="745" customWidth="1"/>
    <col min="16017" max="16021" width="9.140625" style="745" customWidth="1"/>
    <col min="16022" max="16022" width="10.5703125" style="745" customWidth="1"/>
    <col min="16023" max="16024" width="9.5703125" style="745" customWidth="1"/>
    <col min="16025" max="16025" width="9.140625" style="745" customWidth="1"/>
    <col min="16026" max="16029" width="9.140625" style="745"/>
    <col min="16030" max="16030" width="10.5703125" style="745" bestFit="1" customWidth="1"/>
    <col min="16031" max="16031" width="9.140625" style="745"/>
    <col min="16032" max="16035" width="10.5703125" style="745" bestFit="1" customWidth="1"/>
    <col min="16036" max="16039" width="9.42578125" style="745" bestFit="1" customWidth="1"/>
    <col min="16040" max="16040" width="10.5703125" style="745" bestFit="1" customWidth="1"/>
    <col min="16041" max="16043" width="9.140625" style="745"/>
    <col min="16044" max="16047" width="9.42578125" style="745" bestFit="1" customWidth="1"/>
    <col min="16048" max="16048" width="9.5703125" style="745" bestFit="1" customWidth="1"/>
    <col min="16049" max="16384" width="9.140625" style="745"/>
  </cols>
  <sheetData>
    <row r="1" spans="1:16" ht="15.75" thickBot="1">
      <c r="A1" s="742" t="s">
        <v>1366</v>
      </c>
      <c r="B1" s="743"/>
      <c r="C1" s="742"/>
      <c r="D1" s="744"/>
    </row>
    <row r="2" spans="1:16" ht="15.75" thickBot="1">
      <c r="A2" s="746" t="s">
        <v>592</v>
      </c>
      <c r="B2" s="747" t="s">
        <v>578</v>
      </c>
      <c r="C2" s="748" t="s">
        <v>1367</v>
      </c>
      <c r="D2" s="744"/>
    </row>
    <row r="3" spans="1:16">
      <c r="A3" s="749" t="s">
        <v>895</v>
      </c>
      <c r="B3" s="749" t="s">
        <v>1368</v>
      </c>
      <c r="C3" s="750">
        <v>101653.16999999998</v>
      </c>
    </row>
    <row r="4" spans="1:16">
      <c r="A4" s="751" t="s">
        <v>0</v>
      </c>
      <c r="B4" s="751" t="s">
        <v>1369</v>
      </c>
      <c r="C4" s="752">
        <v>0</v>
      </c>
      <c r="D4" s="753"/>
      <c r="E4" s="753"/>
      <c r="F4" s="754"/>
      <c r="G4" s="754"/>
      <c r="H4" s="754"/>
      <c r="I4" s="744"/>
      <c r="J4" s="744"/>
      <c r="K4" s="744"/>
      <c r="L4" s="744"/>
      <c r="M4" s="744"/>
      <c r="N4" s="744"/>
      <c r="O4" s="744"/>
      <c r="P4" s="744"/>
    </row>
    <row r="5" spans="1:16">
      <c r="A5" s="751" t="s">
        <v>2</v>
      </c>
      <c r="B5" s="751" t="s">
        <v>1370</v>
      </c>
      <c r="C5" s="752">
        <v>0</v>
      </c>
      <c r="D5" s="753"/>
      <c r="E5" s="753"/>
      <c r="F5" s="754"/>
      <c r="G5" s="754"/>
      <c r="H5" s="754"/>
      <c r="I5" s="744"/>
      <c r="J5" s="744"/>
      <c r="K5" s="744"/>
      <c r="L5" s="744"/>
      <c r="M5" s="744"/>
      <c r="N5" s="744"/>
      <c r="O5" s="744"/>
      <c r="P5" s="744"/>
    </row>
    <row r="6" spans="1:16">
      <c r="A6" s="751" t="s">
        <v>4</v>
      </c>
      <c r="B6" s="751" t="s">
        <v>632</v>
      </c>
      <c r="C6" s="752">
        <v>1538.43</v>
      </c>
      <c r="D6" s="753"/>
      <c r="E6" s="753"/>
      <c r="F6" s="754"/>
      <c r="G6" s="754"/>
      <c r="H6" s="754"/>
      <c r="I6" s="744"/>
      <c r="J6" s="744"/>
      <c r="K6" s="744"/>
      <c r="L6" s="744"/>
      <c r="M6" s="744"/>
      <c r="N6" s="744"/>
      <c r="O6" s="744"/>
      <c r="P6" s="744"/>
    </row>
    <row r="7" spans="1:16">
      <c r="A7" s="751" t="s">
        <v>6</v>
      </c>
      <c r="B7" s="751" t="s">
        <v>1371</v>
      </c>
      <c r="C7" s="752">
        <v>21.71</v>
      </c>
      <c r="D7" s="753"/>
      <c r="E7" s="753"/>
      <c r="F7" s="754"/>
      <c r="G7" s="754"/>
      <c r="H7" s="754"/>
      <c r="I7" s="744"/>
      <c r="J7" s="744"/>
      <c r="K7" s="744"/>
      <c r="L7" s="744"/>
      <c r="M7" s="744"/>
      <c r="N7" s="744"/>
      <c r="O7" s="744"/>
      <c r="P7" s="744"/>
    </row>
    <row r="8" spans="1:16">
      <c r="A8" s="751" t="s">
        <v>8</v>
      </c>
      <c r="B8" s="751" t="s">
        <v>1372</v>
      </c>
      <c r="C8" s="752">
        <v>0</v>
      </c>
      <c r="D8" s="753"/>
      <c r="E8" s="753"/>
      <c r="F8" s="754"/>
      <c r="G8" s="754"/>
      <c r="H8" s="754"/>
      <c r="I8" s="744"/>
      <c r="J8" s="744"/>
      <c r="K8" s="744"/>
      <c r="L8" s="744"/>
      <c r="M8" s="744"/>
      <c r="N8" s="744"/>
      <c r="O8" s="744"/>
      <c r="P8" s="744"/>
    </row>
    <row r="9" spans="1:16">
      <c r="A9" s="751" t="s">
        <v>10</v>
      </c>
      <c r="B9" s="751" t="s">
        <v>1373</v>
      </c>
      <c r="C9" s="752">
        <v>33.14</v>
      </c>
      <c r="D9" s="753"/>
      <c r="E9" s="753"/>
      <c r="F9" s="754"/>
      <c r="G9" s="754"/>
      <c r="H9" s="754"/>
      <c r="I9" s="744"/>
      <c r="J9" s="744"/>
      <c r="K9" s="744"/>
      <c r="L9" s="744"/>
      <c r="M9" s="744"/>
      <c r="N9" s="744"/>
      <c r="O9" s="744"/>
      <c r="P9" s="744"/>
    </row>
    <row r="10" spans="1:16">
      <c r="A10" s="751" t="s">
        <v>12</v>
      </c>
      <c r="B10" s="751" t="s">
        <v>1374</v>
      </c>
      <c r="C10" s="752">
        <v>0</v>
      </c>
      <c r="D10" s="753"/>
      <c r="E10" s="753"/>
      <c r="F10" s="754"/>
      <c r="G10" s="754"/>
      <c r="H10" s="754"/>
      <c r="I10" s="744"/>
      <c r="J10" s="744"/>
      <c r="K10" s="744"/>
      <c r="L10" s="744"/>
      <c r="M10" s="744"/>
      <c r="N10" s="744"/>
      <c r="O10" s="744"/>
      <c r="P10" s="744"/>
    </row>
    <row r="11" spans="1:16">
      <c r="A11" s="751" t="s">
        <v>14</v>
      </c>
      <c r="B11" s="751" t="s">
        <v>636</v>
      </c>
      <c r="C11" s="752">
        <v>2259.4299999999998</v>
      </c>
      <c r="D11" s="753"/>
      <c r="E11" s="753"/>
      <c r="F11" s="754"/>
      <c r="G11" s="754"/>
      <c r="H11" s="754"/>
      <c r="I11" s="744"/>
      <c r="J11" s="744"/>
      <c r="K11" s="744"/>
      <c r="L11" s="744"/>
      <c r="M11" s="744"/>
      <c r="N11" s="744"/>
      <c r="O11" s="744"/>
      <c r="P11" s="744"/>
    </row>
    <row r="12" spans="1:16">
      <c r="A12" s="751" t="s">
        <v>16</v>
      </c>
      <c r="B12" s="751" t="s">
        <v>1375</v>
      </c>
      <c r="C12" s="752">
        <v>37</v>
      </c>
      <c r="D12" s="753"/>
      <c r="E12" s="753"/>
      <c r="F12" s="754"/>
      <c r="G12" s="754"/>
      <c r="H12" s="754"/>
      <c r="I12" s="744"/>
      <c r="J12" s="744"/>
      <c r="K12" s="744"/>
      <c r="L12" s="744"/>
      <c r="M12" s="744"/>
      <c r="N12" s="744"/>
      <c r="O12" s="744"/>
      <c r="P12" s="744"/>
    </row>
    <row r="13" spans="1:16">
      <c r="A13" s="751" t="s">
        <v>18</v>
      </c>
      <c r="B13" s="751" t="s">
        <v>1376</v>
      </c>
      <c r="C13" s="752">
        <v>230</v>
      </c>
      <c r="D13" s="753"/>
      <c r="E13" s="753"/>
      <c r="F13" s="754"/>
      <c r="G13" s="754"/>
      <c r="H13" s="754"/>
      <c r="I13" s="744"/>
      <c r="J13" s="744"/>
      <c r="K13" s="744"/>
      <c r="L13" s="744"/>
      <c r="M13" s="744"/>
      <c r="N13" s="744"/>
      <c r="O13" s="744"/>
      <c r="P13" s="744"/>
    </row>
    <row r="14" spans="1:16">
      <c r="A14" s="751" t="s">
        <v>19</v>
      </c>
      <c r="B14" s="751" t="s">
        <v>1377</v>
      </c>
      <c r="C14" s="752">
        <v>127.86</v>
      </c>
      <c r="D14" s="753"/>
      <c r="E14" s="753"/>
      <c r="F14" s="754"/>
      <c r="G14" s="754"/>
      <c r="H14" s="754"/>
      <c r="I14" s="744"/>
      <c r="J14" s="744"/>
      <c r="K14" s="744"/>
      <c r="L14" s="744"/>
      <c r="M14" s="744"/>
      <c r="N14" s="744"/>
      <c r="O14" s="744"/>
      <c r="P14" s="744"/>
    </row>
    <row r="15" spans="1:16">
      <c r="A15" s="751" t="s">
        <v>21</v>
      </c>
      <c r="B15" s="751" t="s">
        <v>1378</v>
      </c>
      <c r="C15" s="752">
        <v>614</v>
      </c>
      <c r="D15" s="753"/>
      <c r="E15" s="753"/>
      <c r="F15" s="754"/>
      <c r="G15" s="754"/>
      <c r="H15" s="754"/>
      <c r="I15" s="744"/>
      <c r="J15" s="744"/>
      <c r="K15" s="744"/>
      <c r="L15" s="744"/>
      <c r="M15" s="744"/>
      <c r="N15" s="744"/>
      <c r="O15" s="744"/>
      <c r="P15" s="744"/>
    </row>
    <row r="16" spans="1:16">
      <c r="A16" s="751" t="s">
        <v>23</v>
      </c>
      <c r="B16" s="751" t="s">
        <v>1379</v>
      </c>
      <c r="C16" s="752">
        <v>388.86</v>
      </c>
      <c r="D16" s="753"/>
      <c r="E16" s="753"/>
      <c r="F16" s="754"/>
      <c r="G16" s="754"/>
      <c r="H16" s="754"/>
      <c r="I16" s="744"/>
      <c r="J16" s="744"/>
      <c r="K16" s="744"/>
      <c r="L16" s="744"/>
      <c r="M16" s="744"/>
      <c r="N16" s="744"/>
      <c r="O16" s="744"/>
      <c r="P16" s="744"/>
    </row>
    <row r="17" spans="1:16">
      <c r="A17" s="751" t="s">
        <v>25</v>
      </c>
      <c r="B17" s="751" t="s">
        <v>1380</v>
      </c>
      <c r="C17" s="752">
        <v>242.14</v>
      </c>
      <c r="D17" s="753"/>
      <c r="E17" s="753"/>
      <c r="F17" s="754"/>
      <c r="G17" s="754"/>
      <c r="H17" s="754"/>
      <c r="I17" s="744"/>
      <c r="J17" s="744"/>
      <c r="K17" s="744"/>
      <c r="L17" s="744"/>
      <c r="M17" s="744"/>
      <c r="N17" s="744"/>
      <c r="O17" s="744"/>
      <c r="P17" s="744"/>
    </row>
    <row r="18" spans="1:16">
      <c r="A18" s="751" t="s">
        <v>27</v>
      </c>
      <c r="B18" s="751" t="s">
        <v>1381</v>
      </c>
      <c r="C18" s="752">
        <v>0</v>
      </c>
      <c r="D18" s="753"/>
      <c r="E18" s="753"/>
      <c r="F18" s="754"/>
      <c r="G18" s="754"/>
      <c r="H18" s="754"/>
      <c r="I18" s="744"/>
      <c r="J18" s="744"/>
      <c r="K18" s="744"/>
      <c r="L18" s="744"/>
      <c r="M18" s="744"/>
      <c r="N18" s="744"/>
      <c r="O18" s="744"/>
      <c r="P18" s="744"/>
    </row>
    <row r="19" spans="1:16">
      <c r="A19" s="751" t="s">
        <v>29</v>
      </c>
      <c r="B19" s="751" t="s">
        <v>1382</v>
      </c>
      <c r="C19" s="752">
        <v>48.29</v>
      </c>
      <c r="D19" s="753"/>
      <c r="E19" s="753"/>
      <c r="F19" s="754"/>
      <c r="G19" s="754"/>
      <c r="H19" s="754"/>
      <c r="I19" s="744"/>
      <c r="J19" s="744"/>
      <c r="K19" s="744"/>
      <c r="L19" s="744"/>
      <c r="M19" s="744"/>
      <c r="N19" s="744"/>
      <c r="O19" s="744"/>
      <c r="P19" s="744"/>
    </row>
    <row r="20" spans="1:16">
      <c r="A20" s="751" t="s">
        <v>31</v>
      </c>
      <c r="B20" s="751" t="s">
        <v>624</v>
      </c>
      <c r="C20" s="752">
        <v>367.29</v>
      </c>
      <c r="D20" s="753"/>
      <c r="E20" s="753"/>
      <c r="F20" s="754"/>
      <c r="G20" s="754"/>
      <c r="H20" s="754"/>
      <c r="I20" s="744"/>
      <c r="J20" s="744"/>
      <c r="K20" s="744"/>
      <c r="L20" s="744"/>
      <c r="M20" s="744"/>
      <c r="N20" s="744"/>
      <c r="O20" s="744"/>
      <c r="P20" s="744"/>
    </row>
    <row r="21" spans="1:16">
      <c r="A21" s="751" t="s">
        <v>33</v>
      </c>
      <c r="B21" s="751" t="s">
        <v>878</v>
      </c>
      <c r="C21" s="752">
        <v>245</v>
      </c>
      <c r="D21" s="753"/>
      <c r="E21" s="753"/>
      <c r="F21" s="754"/>
      <c r="G21" s="754"/>
      <c r="H21" s="754"/>
      <c r="I21" s="744"/>
      <c r="J21" s="744"/>
      <c r="K21" s="744"/>
      <c r="L21" s="744"/>
      <c r="M21" s="744"/>
      <c r="N21" s="744"/>
      <c r="O21" s="744"/>
      <c r="P21" s="744"/>
    </row>
    <row r="22" spans="1:16">
      <c r="A22" s="751" t="s">
        <v>35</v>
      </c>
      <c r="B22" s="751" t="s">
        <v>1383</v>
      </c>
      <c r="C22" s="752">
        <v>170.57</v>
      </c>
      <c r="D22" s="753"/>
      <c r="E22" s="753"/>
      <c r="F22" s="754"/>
      <c r="G22" s="754"/>
      <c r="H22" s="754"/>
      <c r="I22" s="744"/>
      <c r="J22" s="744"/>
      <c r="K22" s="744"/>
      <c r="L22" s="744"/>
      <c r="M22" s="744"/>
      <c r="N22" s="744"/>
      <c r="O22" s="744"/>
      <c r="P22" s="744"/>
    </row>
    <row r="23" spans="1:16">
      <c r="A23" s="751" t="s">
        <v>37</v>
      </c>
      <c r="B23" s="751" t="s">
        <v>1384</v>
      </c>
      <c r="C23" s="752">
        <v>1666.86</v>
      </c>
      <c r="D23" s="753"/>
      <c r="E23" s="753"/>
      <c r="F23" s="754"/>
      <c r="G23" s="754"/>
      <c r="H23" s="754"/>
      <c r="I23" s="744"/>
      <c r="J23" s="744"/>
      <c r="K23" s="744"/>
      <c r="L23" s="744"/>
      <c r="M23" s="744"/>
      <c r="N23" s="744"/>
      <c r="O23" s="744"/>
      <c r="P23" s="744"/>
    </row>
    <row r="24" spans="1:16">
      <c r="A24" s="751" t="s">
        <v>39</v>
      </c>
      <c r="B24" s="751" t="s">
        <v>1385</v>
      </c>
      <c r="C24" s="752">
        <v>43.29</v>
      </c>
      <c r="D24" s="753"/>
      <c r="E24" s="753"/>
      <c r="F24" s="754"/>
      <c r="G24" s="754"/>
      <c r="H24" s="754"/>
      <c r="I24" s="744"/>
      <c r="J24" s="744"/>
      <c r="K24" s="744"/>
      <c r="L24" s="744"/>
      <c r="M24" s="744"/>
      <c r="N24" s="744"/>
      <c r="O24" s="744"/>
      <c r="P24" s="744"/>
    </row>
    <row r="25" spans="1:16">
      <c r="A25" s="751" t="s">
        <v>41</v>
      </c>
      <c r="B25" s="751" t="s">
        <v>1386</v>
      </c>
      <c r="C25" s="752">
        <v>0</v>
      </c>
      <c r="D25" s="753"/>
      <c r="E25" s="753"/>
      <c r="F25" s="754"/>
      <c r="G25" s="754"/>
      <c r="H25" s="754"/>
      <c r="I25" s="744"/>
      <c r="J25" s="744"/>
      <c r="K25" s="744"/>
      <c r="L25" s="744"/>
      <c r="M25" s="744"/>
      <c r="N25" s="744"/>
      <c r="O25" s="744"/>
      <c r="P25" s="744"/>
    </row>
    <row r="26" spans="1:16">
      <c r="A26" s="751" t="s">
        <v>43</v>
      </c>
      <c r="B26" s="751" t="s">
        <v>1387</v>
      </c>
      <c r="C26" s="752">
        <v>38.86</v>
      </c>
      <c r="D26" s="753"/>
      <c r="E26" s="753"/>
      <c r="F26" s="754"/>
      <c r="G26" s="754"/>
      <c r="H26" s="754"/>
      <c r="I26" s="744"/>
      <c r="J26" s="744"/>
      <c r="K26" s="744"/>
      <c r="L26" s="744"/>
      <c r="M26" s="744"/>
      <c r="N26" s="744"/>
      <c r="O26" s="744"/>
      <c r="P26" s="744"/>
    </row>
    <row r="27" spans="1:16">
      <c r="A27" s="751" t="s">
        <v>45</v>
      </c>
      <c r="B27" s="751" t="s">
        <v>1388</v>
      </c>
      <c r="C27" s="752">
        <v>0</v>
      </c>
      <c r="D27" s="753"/>
      <c r="E27" s="753"/>
      <c r="F27" s="754"/>
      <c r="G27" s="754"/>
      <c r="H27" s="754"/>
      <c r="I27" s="744"/>
      <c r="J27" s="744"/>
      <c r="K27" s="744"/>
      <c r="L27" s="744"/>
      <c r="M27" s="744"/>
      <c r="N27" s="744"/>
      <c r="O27" s="744"/>
      <c r="P27" s="744"/>
    </row>
    <row r="28" spans="1:16">
      <c r="A28" s="751" t="s">
        <v>47</v>
      </c>
      <c r="B28" s="751" t="s">
        <v>1389</v>
      </c>
      <c r="C28" s="752">
        <v>92.57</v>
      </c>
      <c r="D28" s="753"/>
      <c r="E28" s="753"/>
      <c r="F28" s="754"/>
      <c r="G28" s="754"/>
      <c r="H28" s="754"/>
      <c r="I28" s="744"/>
      <c r="J28" s="744"/>
      <c r="K28" s="744"/>
      <c r="L28" s="744"/>
      <c r="M28" s="744"/>
      <c r="N28" s="744"/>
      <c r="O28" s="744"/>
      <c r="P28" s="744"/>
    </row>
    <row r="29" spans="1:16">
      <c r="A29" s="751" t="s">
        <v>49</v>
      </c>
      <c r="B29" s="751" t="s">
        <v>1390</v>
      </c>
      <c r="C29" s="752">
        <v>2561.4299999999998</v>
      </c>
      <c r="D29" s="753"/>
      <c r="E29" s="753"/>
      <c r="F29" s="754"/>
      <c r="G29" s="754"/>
      <c r="H29" s="754"/>
      <c r="I29" s="744"/>
      <c r="J29" s="744"/>
      <c r="K29" s="744"/>
      <c r="L29" s="744"/>
      <c r="M29" s="744"/>
      <c r="N29" s="744"/>
      <c r="O29" s="744"/>
      <c r="P29" s="744"/>
    </row>
    <row r="30" spans="1:16">
      <c r="A30" s="751" t="s">
        <v>51</v>
      </c>
      <c r="B30" s="751" t="s">
        <v>1391</v>
      </c>
      <c r="C30" s="752">
        <v>13.57</v>
      </c>
      <c r="D30" s="753"/>
      <c r="E30" s="753"/>
      <c r="F30" s="754"/>
      <c r="G30" s="754"/>
      <c r="H30" s="754"/>
      <c r="I30" s="744"/>
      <c r="J30" s="744"/>
      <c r="K30" s="744"/>
      <c r="L30" s="744"/>
      <c r="M30" s="744"/>
      <c r="N30" s="744"/>
      <c r="O30" s="744"/>
      <c r="P30" s="744"/>
    </row>
    <row r="31" spans="1:16">
      <c r="A31" s="751" t="s">
        <v>53</v>
      </c>
      <c r="B31" s="751" t="s">
        <v>1392</v>
      </c>
      <c r="C31" s="752">
        <v>25.57</v>
      </c>
      <c r="D31" s="753"/>
      <c r="E31" s="753"/>
      <c r="F31" s="754"/>
      <c r="G31" s="754"/>
      <c r="H31" s="754"/>
      <c r="I31" s="744"/>
      <c r="J31" s="744"/>
      <c r="K31" s="744"/>
      <c r="L31" s="744"/>
      <c r="M31" s="744"/>
      <c r="N31" s="744"/>
      <c r="O31" s="744"/>
      <c r="P31" s="744"/>
    </row>
    <row r="32" spans="1:16">
      <c r="A32" s="751" t="s">
        <v>54</v>
      </c>
      <c r="B32" s="751" t="s">
        <v>1393</v>
      </c>
      <c r="C32" s="752">
        <v>0</v>
      </c>
      <c r="D32" s="753"/>
      <c r="E32" s="753"/>
      <c r="F32" s="754"/>
      <c r="G32" s="754"/>
      <c r="H32" s="754"/>
      <c r="I32" s="744"/>
      <c r="J32" s="744"/>
      <c r="K32" s="744"/>
      <c r="L32" s="744"/>
      <c r="M32" s="744"/>
      <c r="N32" s="744"/>
      <c r="O32" s="744"/>
      <c r="P32" s="744"/>
    </row>
    <row r="33" spans="1:16">
      <c r="A33" s="751" t="s">
        <v>56</v>
      </c>
      <c r="B33" s="751" t="s">
        <v>854</v>
      </c>
      <c r="C33" s="752">
        <v>64.290000000000006</v>
      </c>
      <c r="D33" s="753"/>
      <c r="E33" s="753"/>
      <c r="F33" s="754"/>
      <c r="G33" s="754"/>
      <c r="H33" s="754"/>
      <c r="I33" s="744"/>
      <c r="J33" s="744"/>
      <c r="K33" s="744"/>
      <c r="L33" s="744"/>
      <c r="M33" s="744"/>
      <c r="N33" s="744"/>
      <c r="O33" s="744"/>
      <c r="P33" s="744"/>
    </row>
    <row r="34" spans="1:16">
      <c r="A34" s="751" t="s">
        <v>58</v>
      </c>
      <c r="B34" s="751" t="s">
        <v>1394</v>
      </c>
      <c r="C34" s="752">
        <v>2839.14</v>
      </c>
      <c r="D34" s="753"/>
      <c r="E34" s="753"/>
      <c r="F34" s="754"/>
      <c r="G34" s="754"/>
      <c r="H34" s="754"/>
      <c r="I34" s="744"/>
      <c r="J34" s="744"/>
      <c r="K34" s="744"/>
      <c r="L34" s="744"/>
      <c r="M34" s="744"/>
      <c r="N34" s="744"/>
      <c r="O34" s="744"/>
      <c r="P34" s="744"/>
    </row>
    <row r="35" spans="1:16">
      <c r="A35" s="751" t="s">
        <v>60</v>
      </c>
      <c r="B35" s="751" t="s">
        <v>1395</v>
      </c>
      <c r="C35" s="752">
        <v>118.86</v>
      </c>
      <c r="D35" s="753"/>
      <c r="E35" s="753"/>
      <c r="F35" s="754"/>
      <c r="G35" s="754"/>
      <c r="H35" s="754"/>
      <c r="I35" s="744"/>
      <c r="J35" s="744"/>
      <c r="K35" s="744"/>
      <c r="L35" s="744"/>
      <c r="M35" s="744"/>
      <c r="N35" s="744"/>
      <c r="O35" s="744"/>
      <c r="P35" s="744"/>
    </row>
    <row r="36" spans="1:16">
      <c r="A36" s="751" t="s">
        <v>62</v>
      </c>
      <c r="B36" s="751" t="s">
        <v>1396</v>
      </c>
      <c r="C36" s="752">
        <v>724.14</v>
      </c>
      <c r="D36" s="753"/>
      <c r="E36" s="753"/>
      <c r="F36" s="754"/>
      <c r="G36" s="754"/>
      <c r="H36" s="754"/>
      <c r="I36" s="744"/>
      <c r="J36" s="744"/>
      <c r="K36" s="744"/>
      <c r="L36" s="744"/>
      <c r="M36" s="744"/>
      <c r="N36" s="744"/>
      <c r="O36" s="744"/>
      <c r="P36" s="744"/>
    </row>
    <row r="37" spans="1:16">
      <c r="A37" s="751" t="s">
        <v>64</v>
      </c>
      <c r="B37" s="751" t="s">
        <v>1397</v>
      </c>
      <c r="C37" s="752">
        <v>66</v>
      </c>
      <c r="D37" s="753"/>
      <c r="E37" s="753"/>
      <c r="F37" s="754"/>
      <c r="G37" s="754"/>
      <c r="H37" s="754"/>
      <c r="I37" s="744"/>
      <c r="J37" s="744"/>
      <c r="K37" s="744"/>
      <c r="L37" s="744"/>
      <c r="M37" s="744"/>
      <c r="N37" s="744"/>
      <c r="O37" s="744"/>
      <c r="P37" s="744"/>
    </row>
    <row r="38" spans="1:16">
      <c r="A38" s="755" t="s">
        <v>651</v>
      </c>
      <c r="B38" s="751" t="s">
        <v>652</v>
      </c>
      <c r="C38" s="752">
        <v>0</v>
      </c>
      <c r="D38" s="753"/>
      <c r="E38" s="753"/>
      <c r="F38" s="754"/>
      <c r="G38" s="754"/>
      <c r="H38" s="754"/>
      <c r="I38" s="744"/>
      <c r="J38" s="744"/>
      <c r="K38" s="744"/>
      <c r="L38" s="744"/>
      <c r="M38" s="744"/>
      <c r="N38" s="744"/>
      <c r="O38" s="744"/>
      <c r="P38" s="744"/>
    </row>
    <row r="39" spans="1:16">
      <c r="A39" s="751" t="s">
        <v>66</v>
      </c>
      <c r="B39" s="751" t="s">
        <v>758</v>
      </c>
      <c r="C39" s="752">
        <v>1</v>
      </c>
      <c r="D39" s="753"/>
      <c r="E39" s="753"/>
      <c r="F39" s="754"/>
      <c r="G39" s="754"/>
      <c r="H39" s="754"/>
      <c r="I39" s="744"/>
      <c r="J39" s="744"/>
      <c r="K39" s="744"/>
      <c r="L39" s="744"/>
      <c r="M39" s="744"/>
      <c r="N39" s="744"/>
      <c r="O39" s="744"/>
      <c r="P39" s="744"/>
    </row>
    <row r="40" spans="1:16">
      <c r="A40" s="751" t="s">
        <v>68</v>
      </c>
      <c r="B40" s="751" t="s">
        <v>1398</v>
      </c>
      <c r="C40" s="752">
        <v>0</v>
      </c>
      <c r="D40" s="753"/>
      <c r="E40" s="753"/>
      <c r="F40" s="754"/>
      <c r="G40" s="754"/>
      <c r="H40" s="754"/>
      <c r="I40" s="744"/>
      <c r="J40" s="744"/>
      <c r="K40" s="744"/>
      <c r="L40" s="744"/>
      <c r="M40" s="744"/>
      <c r="N40" s="744"/>
      <c r="O40" s="744"/>
      <c r="P40" s="744"/>
    </row>
    <row r="41" spans="1:16">
      <c r="A41" s="751" t="s">
        <v>70</v>
      </c>
      <c r="B41" s="751" t="s">
        <v>1399</v>
      </c>
      <c r="C41" s="752">
        <v>362.57</v>
      </c>
      <c r="D41" s="753"/>
      <c r="E41" s="753"/>
      <c r="F41" s="754"/>
      <c r="G41" s="754"/>
      <c r="H41" s="754"/>
      <c r="I41" s="744"/>
      <c r="J41" s="744"/>
      <c r="K41" s="744"/>
      <c r="L41" s="744"/>
      <c r="M41" s="744"/>
      <c r="N41" s="744"/>
      <c r="O41" s="744"/>
      <c r="P41" s="744"/>
    </row>
    <row r="42" spans="1:16">
      <c r="A42" s="751" t="s">
        <v>72</v>
      </c>
      <c r="B42" s="751" t="s">
        <v>1400</v>
      </c>
      <c r="C42" s="752">
        <v>0</v>
      </c>
      <c r="D42" s="753"/>
      <c r="E42" s="753"/>
      <c r="F42" s="754"/>
      <c r="G42" s="754"/>
      <c r="H42" s="754"/>
      <c r="I42" s="744"/>
      <c r="J42" s="744"/>
      <c r="K42" s="744"/>
      <c r="L42" s="744"/>
      <c r="M42" s="744"/>
      <c r="N42" s="744"/>
      <c r="O42" s="744"/>
      <c r="P42" s="744"/>
    </row>
    <row r="43" spans="1:16">
      <c r="A43" s="751" t="s">
        <v>74</v>
      </c>
      <c r="B43" s="751" t="s">
        <v>1401</v>
      </c>
      <c r="C43" s="752">
        <v>22</v>
      </c>
      <c r="D43" s="753"/>
      <c r="E43" s="753"/>
      <c r="F43" s="754"/>
      <c r="G43" s="754"/>
      <c r="H43" s="754"/>
      <c r="I43" s="744"/>
      <c r="J43" s="744"/>
      <c r="K43" s="744"/>
      <c r="L43" s="744"/>
      <c r="M43" s="744"/>
      <c r="N43" s="744"/>
      <c r="O43" s="744"/>
      <c r="P43" s="744"/>
    </row>
    <row r="44" spans="1:16">
      <c r="A44" s="751" t="s">
        <v>76</v>
      </c>
      <c r="B44" s="751" t="s">
        <v>1402</v>
      </c>
      <c r="C44" s="752">
        <v>0</v>
      </c>
      <c r="D44" s="753"/>
      <c r="E44" s="753"/>
      <c r="F44" s="754"/>
      <c r="G44" s="754"/>
      <c r="H44" s="754"/>
      <c r="I44" s="744"/>
      <c r="J44" s="744"/>
      <c r="K44" s="744"/>
      <c r="L44" s="744"/>
      <c r="M44" s="744"/>
      <c r="N44" s="744"/>
      <c r="O44" s="744"/>
      <c r="P44" s="744"/>
    </row>
    <row r="45" spans="1:16">
      <c r="A45" s="751" t="s">
        <v>78</v>
      </c>
      <c r="B45" s="751" t="s">
        <v>1403</v>
      </c>
      <c r="C45" s="752">
        <v>141.13999999999999</v>
      </c>
      <c r="D45" s="753"/>
      <c r="E45" s="753"/>
      <c r="F45" s="754"/>
      <c r="G45" s="754"/>
      <c r="H45" s="754"/>
      <c r="I45" s="744"/>
      <c r="J45" s="744"/>
      <c r="K45" s="744"/>
      <c r="L45" s="744"/>
      <c r="M45" s="744"/>
      <c r="N45" s="744"/>
      <c r="O45" s="744"/>
      <c r="P45" s="744"/>
    </row>
    <row r="46" spans="1:16">
      <c r="A46" s="751" t="s">
        <v>80</v>
      </c>
      <c r="B46" s="751" t="s">
        <v>1404</v>
      </c>
      <c r="C46" s="752">
        <v>224.57</v>
      </c>
      <c r="D46" s="753"/>
      <c r="E46" s="753"/>
      <c r="F46" s="754"/>
      <c r="G46" s="754"/>
      <c r="H46" s="754"/>
      <c r="I46" s="744"/>
      <c r="J46" s="744"/>
      <c r="K46" s="744"/>
      <c r="L46" s="744"/>
      <c r="M46" s="744"/>
      <c r="N46" s="744"/>
      <c r="O46" s="744"/>
      <c r="P46" s="744"/>
    </row>
    <row r="47" spans="1:16">
      <c r="A47" s="751" t="s">
        <v>82</v>
      </c>
      <c r="B47" s="751" t="s">
        <v>1405</v>
      </c>
      <c r="C47" s="752">
        <v>104.57</v>
      </c>
      <c r="D47" s="753"/>
      <c r="E47" s="753"/>
      <c r="F47" s="754"/>
      <c r="G47" s="754"/>
      <c r="H47" s="754"/>
      <c r="I47" s="744"/>
      <c r="J47" s="744"/>
      <c r="K47" s="744"/>
      <c r="L47" s="744"/>
      <c r="M47" s="744"/>
      <c r="N47" s="744"/>
      <c r="O47" s="744"/>
      <c r="P47" s="744"/>
    </row>
    <row r="48" spans="1:16">
      <c r="A48" s="751" t="s">
        <v>84</v>
      </c>
      <c r="B48" s="751" t="s">
        <v>1406</v>
      </c>
      <c r="C48" s="752">
        <v>322.43</v>
      </c>
      <c r="D48" s="753"/>
      <c r="E48" s="753"/>
      <c r="F48" s="754"/>
      <c r="G48" s="754"/>
      <c r="H48" s="754"/>
      <c r="I48" s="744"/>
      <c r="J48" s="744"/>
      <c r="K48" s="744"/>
      <c r="L48" s="744"/>
      <c r="M48" s="744"/>
      <c r="N48" s="744"/>
      <c r="O48" s="744"/>
      <c r="P48" s="744"/>
    </row>
    <row r="49" spans="1:16">
      <c r="A49" s="751" t="s">
        <v>86</v>
      </c>
      <c r="B49" s="751" t="s">
        <v>1407</v>
      </c>
      <c r="C49" s="752">
        <v>10.86</v>
      </c>
      <c r="D49" s="753"/>
      <c r="E49" s="753"/>
      <c r="F49" s="754"/>
      <c r="G49" s="754"/>
      <c r="H49" s="754"/>
      <c r="I49" s="744"/>
      <c r="J49" s="744"/>
      <c r="K49" s="744"/>
      <c r="L49" s="744"/>
      <c r="M49" s="744"/>
      <c r="N49" s="744"/>
      <c r="O49" s="744"/>
      <c r="P49" s="744"/>
    </row>
    <row r="50" spans="1:16">
      <c r="A50" s="751" t="s">
        <v>88</v>
      </c>
      <c r="B50" s="751" t="s">
        <v>1408</v>
      </c>
      <c r="C50" s="752">
        <v>1037.8599999999999</v>
      </c>
      <c r="D50" s="753"/>
      <c r="E50" s="753"/>
      <c r="F50" s="754"/>
      <c r="G50" s="754"/>
      <c r="H50" s="754"/>
      <c r="I50" s="744"/>
      <c r="J50" s="744"/>
      <c r="K50" s="744"/>
      <c r="L50" s="744"/>
      <c r="M50" s="744"/>
      <c r="N50" s="744"/>
      <c r="O50" s="744"/>
      <c r="P50" s="744"/>
    </row>
    <row r="51" spans="1:16">
      <c r="A51" s="751" t="s">
        <v>90</v>
      </c>
      <c r="B51" s="751" t="s">
        <v>1409</v>
      </c>
      <c r="C51" s="752">
        <v>0</v>
      </c>
      <c r="D51" s="753"/>
      <c r="E51" s="753"/>
      <c r="F51" s="754"/>
      <c r="G51" s="754"/>
      <c r="H51" s="754"/>
      <c r="I51" s="744"/>
      <c r="J51" s="744"/>
      <c r="K51" s="744"/>
      <c r="L51" s="744"/>
      <c r="M51" s="744"/>
      <c r="N51" s="744"/>
      <c r="O51" s="744"/>
      <c r="P51" s="744"/>
    </row>
    <row r="52" spans="1:16">
      <c r="A52" s="751" t="s">
        <v>92</v>
      </c>
      <c r="B52" s="751" t="s">
        <v>1410</v>
      </c>
      <c r="C52" s="752">
        <v>17.29</v>
      </c>
      <c r="D52" s="753"/>
      <c r="E52" s="753"/>
      <c r="F52" s="754"/>
      <c r="G52" s="754"/>
      <c r="H52" s="754"/>
      <c r="I52" s="744"/>
      <c r="J52" s="744"/>
      <c r="K52" s="744"/>
      <c r="L52" s="744"/>
      <c r="M52" s="744"/>
      <c r="N52" s="744"/>
      <c r="O52" s="744"/>
      <c r="P52" s="744"/>
    </row>
    <row r="53" spans="1:16">
      <c r="A53" s="751" t="s">
        <v>94</v>
      </c>
      <c r="B53" s="751" t="s">
        <v>1411</v>
      </c>
      <c r="C53" s="752">
        <v>0</v>
      </c>
      <c r="D53" s="753"/>
      <c r="E53" s="753"/>
      <c r="F53" s="754"/>
      <c r="G53" s="754"/>
      <c r="H53" s="754"/>
      <c r="I53" s="744"/>
      <c r="J53" s="744"/>
      <c r="K53" s="744"/>
      <c r="L53" s="744"/>
      <c r="M53" s="744"/>
      <c r="N53" s="744"/>
      <c r="O53" s="744"/>
      <c r="P53" s="744"/>
    </row>
    <row r="54" spans="1:16">
      <c r="A54" s="751" t="s">
        <v>96</v>
      </c>
      <c r="B54" s="751" t="s">
        <v>1412</v>
      </c>
      <c r="C54" s="752">
        <v>0</v>
      </c>
      <c r="D54" s="753"/>
      <c r="E54" s="753"/>
      <c r="F54" s="754"/>
      <c r="G54" s="754"/>
      <c r="H54" s="754"/>
      <c r="I54" s="744"/>
      <c r="J54" s="744"/>
      <c r="K54" s="744"/>
      <c r="L54" s="744"/>
      <c r="M54" s="744"/>
      <c r="N54" s="744"/>
      <c r="O54" s="744"/>
      <c r="P54" s="744"/>
    </row>
    <row r="55" spans="1:16">
      <c r="A55" s="751" t="s">
        <v>98</v>
      </c>
      <c r="B55" s="751" t="s">
        <v>1413</v>
      </c>
      <c r="C55" s="752">
        <v>0</v>
      </c>
      <c r="D55" s="753"/>
      <c r="E55" s="753"/>
      <c r="F55" s="754"/>
      <c r="G55" s="754"/>
      <c r="H55" s="754"/>
      <c r="I55" s="744"/>
      <c r="J55" s="744"/>
      <c r="K55" s="744"/>
      <c r="L55" s="744"/>
      <c r="M55" s="744"/>
      <c r="N55" s="744"/>
      <c r="O55" s="744"/>
      <c r="P55" s="744"/>
    </row>
    <row r="56" spans="1:16">
      <c r="A56" s="751" t="s">
        <v>100</v>
      </c>
      <c r="B56" s="751" t="s">
        <v>1414</v>
      </c>
      <c r="C56" s="752">
        <v>0</v>
      </c>
      <c r="D56" s="753"/>
      <c r="E56" s="753"/>
      <c r="F56" s="754"/>
      <c r="G56" s="754"/>
      <c r="H56" s="754"/>
      <c r="I56" s="744"/>
      <c r="J56" s="744"/>
      <c r="K56" s="744"/>
      <c r="L56" s="744"/>
      <c r="M56" s="744"/>
      <c r="N56" s="744"/>
      <c r="O56" s="744"/>
      <c r="P56" s="744"/>
    </row>
    <row r="57" spans="1:16">
      <c r="A57" s="751" t="s">
        <v>102</v>
      </c>
      <c r="B57" s="751" t="s">
        <v>1415</v>
      </c>
      <c r="C57" s="752">
        <v>0</v>
      </c>
      <c r="D57" s="753"/>
      <c r="E57" s="753"/>
      <c r="F57" s="754"/>
      <c r="G57" s="754"/>
      <c r="H57" s="754"/>
      <c r="I57" s="744"/>
      <c r="J57" s="744"/>
      <c r="K57" s="744"/>
      <c r="L57" s="744"/>
      <c r="M57" s="744"/>
      <c r="N57" s="744"/>
      <c r="O57" s="744"/>
      <c r="P57" s="744"/>
    </row>
    <row r="58" spans="1:16">
      <c r="A58" s="751" t="s">
        <v>104</v>
      </c>
      <c r="B58" s="751" t="s">
        <v>1416</v>
      </c>
      <c r="C58" s="752">
        <v>5808.57</v>
      </c>
      <c r="D58" s="753"/>
      <c r="E58" s="753"/>
      <c r="F58" s="754"/>
      <c r="G58" s="754"/>
      <c r="H58" s="754"/>
      <c r="I58" s="744"/>
      <c r="J58" s="744"/>
      <c r="K58" s="744"/>
      <c r="L58" s="744"/>
      <c r="M58" s="744"/>
      <c r="N58" s="744"/>
      <c r="O58" s="744"/>
      <c r="P58" s="744"/>
    </row>
    <row r="59" spans="1:16">
      <c r="A59" s="751" t="s">
        <v>106</v>
      </c>
      <c r="B59" s="751" t="s">
        <v>1417</v>
      </c>
      <c r="C59" s="752">
        <v>715</v>
      </c>
      <c r="D59" s="753"/>
      <c r="E59" s="753"/>
      <c r="F59" s="754"/>
      <c r="G59" s="754"/>
      <c r="H59" s="754"/>
      <c r="I59" s="744"/>
      <c r="J59" s="744"/>
      <c r="K59" s="744"/>
      <c r="L59" s="744"/>
      <c r="M59" s="744"/>
      <c r="N59" s="744"/>
      <c r="O59" s="744"/>
      <c r="P59" s="744"/>
    </row>
    <row r="60" spans="1:16">
      <c r="A60" s="751" t="s">
        <v>108</v>
      </c>
      <c r="B60" s="751" t="s">
        <v>1418</v>
      </c>
      <c r="C60" s="752">
        <v>0</v>
      </c>
      <c r="D60" s="753"/>
      <c r="E60" s="753"/>
      <c r="F60" s="754"/>
      <c r="G60" s="754"/>
      <c r="H60" s="754"/>
      <c r="I60" s="744"/>
      <c r="J60" s="744"/>
      <c r="K60" s="744"/>
      <c r="L60" s="744"/>
      <c r="M60" s="744"/>
      <c r="N60" s="744"/>
      <c r="O60" s="744"/>
      <c r="P60" s="744"/>
    </row>
    <row r="61" spans="1:16">
      <c r="A61" s="751" t="s">
        <v>110</v>
      </c>
      <c r="B61" s="751" t="s">
        <v>1419</v>
      </c>
      <c r="C61" s="752">
        <v>0</v>
      </c>
      <c r="D61" s="753"/>
      <c r="E61" s="753"/>
      <c r="F61" s="754"/>
      <c r="G61" s="754"/>
      <c r="H61" s="754"/>
      <c r="I61" s="744"/>
      <c r="J61" s="744"/>
      <c r="K61" s="744"/>
      <c r="L61" s="744"/>
      <c r="M61" s="744"/>
      <c r="N61" s="744"/>
      <c r="O61" s="744"/>
      <c r="P61" s="744"/>
    </row>
    <row r="62" spans="1:16">
      <c r="A62" s="751" t="s">
        <v>112</v>
      </c>
      <c r="B62" s="751" t="s">
        <v>1420</v>
      </c>
      <c r="C62" s="752">
        <v>3</v>
      </c>
      <c r="D62" s="753"/>
      <c r="E62" s="753"/>
      <c r="F62" s="754"/>
      <c r="G62" s="754"/>
      <c r="H62" s="754"/>
      <c r="I62" s="744"/>
      <c r="J62" s="744"/>
      <c r="K62" s="744"/>
      <c r="L62" s="744"/>
      <c r="M62" s="744"/>
      <c r="N62" s="744"/>
      <c r="O62" s="744"/>
      <c r="P62" s="744"/>
    </row>
    <row r="63" spans="1:16">
      <c r="A63" s="751" t="s">
        <v>114</v>
      </c>
      <c r="B63" s="751" t="s">
        <v>634</v>
      </c>
      <c r="C63" s="752">
        <v>1320.29</v>
      </c>
      <c r="D63" s="753"/>
      <c r="E63" s="753"/>
      <c r="F63" s="754"/>
      <c r="G63" s="754"/>
      <c r="H63" s="754"/>
      <c r="I63" s="744"/>
      <c r="J63" s="744"/>
      <c r="K63" s="744"/>
      <c r="L63" s="744"/>
      <c r="M63" s="744"/>
      <c r="N63" s="744"/>
      <c r="O63" s="744"/>
      <c r="P63" s="744"/>
    </row>
    <row r="64" spans="1:16">
      <c r="A64" s="751" t="s">
        <v>116</v>
      </c>
      <c r="B64" s="751" t="s">
        <v>1421</v>
      </c>
      <c r="C64" s="752">
        <v>1083</v>
      </c>
      <c r="D64" s="753"/>
      <c r="E64" s="753"/>
      <c r="F64" s="754"/>
      <c r="G64" s="754"/>
      <c r="H64" s="754"/>
      <c r="I64" s="744"/>
      <c r="J64" s="744"/>
      <c r="K64" s="744"/>
      <c r="L64" s="744"/>
      <c r="M64" s="744"/>
      <c r="N64" s="744"/>
      <c r="O64" s="744"/>
      <c r="P64" s="744"/>
    </row>
    <row r="65" spans="1:16">
      <c r="A65" s="751" t="s">
        <v>118</v>
      </c>
      <c r="B65" s="751" t="s">
        <v>1422</v>
      </c>
      <c r="C65" s="752">
        <v>334.57</v>
      </c>
      <c r="D65" s="753"/>
      <c r="E65" s="753"/>
      <c r="F65" s="754"/>
      <c r="G65" s="754"/>
      <c r="H65" s="754"/>
      <c r="I65" s="744"/>
      <c r="J65" s="744"/>
      <c r="K65" s="744"/>
      <c r="L65" s="744"/>
      <c r="M65" s="744"/>
      <c r="N65" s="744"/>
      <c r="O65" s="744"/>
      <c r="P65" s="744"/>
    </row>
    <row r="66" spans="1:16">
      <c r="A66" s="751" t="s">
        <v>120</v>
      </c>
      <c r="B66" s="751" t="s">
        <v>1423</v>
      </c>
      <c r="C66" s="752">
        <v>0</v>
      </c>
      <c r="D66" s="753"/>
      <c r="E66" s="753"/>
      <c r="F66" s="754"/>
      <c r="G66" s="754"/>
      <c r="H66" s="754"/>
      <c r="I66" s="744"/>
      <c r="J66" s="744"/>
      <c r="K66" s="744"/>
      <c r="L66" s="744"/>
      <c r="M66" s="744"/>
      <c r="N66" s="744"/>
      <c r="O66" s="744"/>
      <c r="P66" s="744"/>
    </row>
    <row r="67" spans="1:16">
      <c r="A67" s="751" t="s">
        <v>121</v>
      </c>
      <c r="B67" s="751" t="s">
        <v>1424</v>
      </c>
      <c r="C67" s="752">
        <v>74.290000000000006</v>
      </c>
      <c r="D67" s="753"/>
      <c r="E67" s="753"/>
      <c r="F67" s="754"/>
      <c r="G67" s="754"/>
      <c r="H67" s="754"/>
      <c r="I67" s="744"/>
      <c r="J67" s="744"/>
      <c r="K67" s="744"/>
      <c r="L67" s="744"/>
      <c r="M67" s="744"/>
      <c r="N67" s="744"/>
      <c r="O67" s="744"/>
      <c r="P67" s="744"/>
    </row>
    <row r="68" spans="1:16">
      <c r="A68" s="751" t="s">
        <v>123</v>
      </c>
      <c r="B68" s="751" t="s">
        <v>1425</v>
      </c>
      <c r="C68" s="752">
        <v>713.43</v>
      </c>
      <c r="D68" s="753"/>
      <c r="E68" s="753"/>
      <c r="F68" s="754"/>
      <c r="G68" s="754"/>
      <c r="H68" s="754"/>
      <c r="I68" s="744"/>
      <c r="J68" s="744"/>
      <c r="K68" s="744"/>
      <c r="L68" s="744"/>
      <c r="M68" s="744"/>
      <c r="N68" s="744"/>
      <c r="O68" s="744"/>
      <c r="P68" s="744"/>
    </row>
    <row r="69" spans="1:16">
      <c r="A69" s="751" t="s">
        <v>125</v>
      </c>
      <c r="B69" s="751" t="s">
        <v>1426</v>
      </c>
      <c r="C69" s="752">
        <v>818.43</v>
      </c>
      <c r="D69" s="753"/>
      <c r="E69" s="753"/>
      <c r="F69" s="754"/>
      <c r="G69" s="754"/>
      <c r="H69" s="754"/>
      <c r="I69" s="744"/>
      <c r="J69" s="744"/>
      <c r="K69" s="744"/>
      <c r="L69" s="744"/>
      <c r="M69" s="744"/>
      <c r="N69" s="744"/>
      <c r="O69" s="744"/>
      <c r="P69" s="744"/>
    </row>
    <row r="70" spans="1:16">
      <c r="A70" s="751" t="s">
        <v>127</v>
      </c>
      <c r="B70" s="751" t="s">
        <v>623</v>
      </c>
      <c r="C70" s="752">
        <v>226.43</v>
      </c>
      <c r="D70" s="753"/>
      <c r="E70" s="753"/>
      <c r="F70" s="754"/>
      <c r="G70" s="754"/>
      <c r="H70" s="754"/>
      <c r="I70" s="744"/>
      <c r="J70" s="744"/>
      <c r="K70" s="744"/>
      <c r="L70" s="744"/>
      <c r="M70" s="744"/>
      <c r="N70" s="744"/>
      <c r="O70" s="744"/>
      <c r="P70" s="744"/>
    </row>
    <row r="71" spans="1:16">
      <c r="A71" s="751" t="s">
        <v>129</v>
      </c>
      <c r="B71" s="751" t="s">
        <v>1427</v>
      </c>
      <c r="C71" s="752">
        <v>0</v>
      </c>
      <c r="D71" s="753"/>
      <c r="E71" s="753"/>
      <c r="F71" s="754"/>
      <c r="G71" s="754"/>
      <c r="H71" s="754"/>
      <c r="I71" s="744"/>
      <c r="J71" s="744"/>
      <c r="K71" s="744"/>
      <c r="L71" s="744"/>
      <c r="M71" s="744"/>
      <c r="N71" s="744"/>
      <c r="O71" s="744"/>
      <c r="P71" s="744"/>
    </row>
    <row r="72" spans="1:16">
      <c r="A72" s="751" t="s">
        <v>131</v>
      </c>
      <c r="B72" s="751" t="s">
        <v>1428</v>
      </c>
      <c r="C72" s="752">
        <v>0</v>
      </c>
      <c r="D72" s="753"/>
      <c r="E72" s="753"/>
      <c r="F72" s="754"/>
      <c r="G72" s="754"/>
      <c r="H72" s="754"/>
      <c r="I72" s="744"/>
      <c r="J72" s="744"/>
      <c r="K72" s="744"/>
      <c r="L72" s="744"/>
      <c r="M72" s="744"/>
      <c r="N72" s="744"/>
      <c r="O72" s="744"/>
      <c r="P72" s="744"/>
    </row>
    <row r="73" spans="1:16">
      <c r="A73" s="751" t="s">
        <v>132</v>
      </c>
      <c r="B73" s="751" t="s">
        <v>1429</v>
      </c>
      <c r="C73" s="752">
        <v>320.86</v>
      </c>
      <c r="D73" s="753"/>
      <c r="E73" s="753"/>
      <c r="F73" s="754"/>
      <c r="G73" s="754"/>
      <c r="H73" s="754"/>
      <c r="I73" s="744"/>
      <c r="J73" s="744"/>
      <c r="K73" s="744"/>
      <c r="L73" s="744"/>
      <c r="M73" s="744"/>
      <c r="N73" s="744"/>
      <c r="O73" s="744"/>
      <c r="P73" s="744"/>
    </row>
    <row r="74" spans="1:16">
      <c r="A74" s="751" t="s">
        <v>134</v>
      </c>
      <c r="B74" s="751" t="s">
        <v>748</v>
      </c>
      <c r="C74" s="752">
        <v>48.14</v>
      </c>
      <c r="D74" s="753"/>
      <c r="E74" s="753"/>
      <c r="F74" s="754"/>
      <c r="G74" s="754"/>
      <c r="H74" s="754"/>
      <c r="I74" s="744"/>
      <c r="J74" s="744"/>
      <c r="K74" s="744"/>
      <c r="L74" s="744"/>
      <c r="M74" s="744"/>
      <c r="N74" s="744"/>
      <c r="O74" s="744"/>
      <c r="P74" s="744"/>
    </row>
    <row r="75" spans="1:16">
      <c r="A75" s="751" t="s">
        <v>136</v>
      </c>
      <c r="B75" s="751" t="s">
        <v>1430</v>
      </c>
      <c r="C75" s="752">
        <v>0</v>
      </c>
      <c r="D75" s="753"/>
      <c r="E75" s="753"/>
      <c r="F75" s="754"/>
      <c r="G75" s="754"/>
      <c r="H75" s="754"/>
      <c r="I75" s="744"/>
      <c r="J75" s="744"/>
      <c r="K75" s="744"/>
      <c r="L75" s="744"/>
      <c r="M75" s="744"/>
      <c r="N75" s="744"/>
      <c r="O75" s="744"/>
      <c r="P75" s="744"/>
    </row>
    <row r="76" spans="1:16">
      <c r="A76" s="751" t="s">
        <v>138</v>
      </c>
      <c r="B76" s="751" t="s">
        <v>1431</v>
      </c>
      <c r="C76" s="752">
        <v>0</v>
      </c>
      <c r="D76" s="753"/>
      <c r="E76" s="753"/>
      <c r="F76" s="754"/>
      <c r="G76" s="754"/>
      <c r="H76" s="754"/>
      <c r="I76" s="744"/>
      <c r="J76" s="744"/>
      <c r="K76" s="744"/>
      <c r="L76" s="744"/>
      <c r="M76" s="744"/>
      <c r="N76" s="744"/>
      <c r="O76" s="744"/>
      <c r="P76" s="744"/>
    </row>
    <row r="77" spans="1:16">
      <c r="A77" s="751" t="s">
        <v>139</v>
      </c>
      <c r="B77" s="751" t="s">
        <v>1432</v>
      </c>
      <c r="C77" s="752">
        <v>17.71</v>
      </c>
      <c r="D77" s="753"/>
      <c r="E77" s="753"/>
      <c r="F77" s="754"/>
      <c r="G77" s="754"/>
      <c r="H77" s="754"/>
      <c r="I77" s="744"/>
      <c r="J77" s="744"/>
      <c r="K77" s="744"/>
      <c r="L77" s="744"/>
      <c r="M77" s="744"/>
      <c r="N77" s="744"/>
      <c r="O77" s="744"/>
      <c r="P77" s="744"/>
    </row>
    <row r="78" spans="1:16">
      <c r="A78" s="751" t="s">
        <v>141</v>
      </c>
      <c r="B78" s="751" t="s">
        <v>1433</v>
      </c>
      <c r="C78" s="752">
        <v>104.29</v>
      </c>
      <c r="D78" s="753"/>
      <c r="E78" s="753"/>
      <c r="F78" s="754"/>
      <c r="G78" s="754"/>
      <c r="H78" s="754"/>
      <c r="I78" s="744"/>
      <c r="J78" s="744"/>
      <c r="K78" s="744"/>
      <c r="L78" s="744"/>
      <c r="M78" s="744"/>
      <c r="N78" s="744"/>
      <c r="O78" s="744"/>
      <c r="P78" s="744"/>
    </row>
    <row r="79" spans="1:16">
      <c r="A79" s="751" t="s">
        <v>143</v>
      </c>
      <c r="B79" s="751" t="s">
        <v>1434</v>
      </c>
      <c r="C79" s="752">
        <v>0</v>
      </c>
      <c r="D79" s="753"/>
      <c r="E79" s="753"/>
      <c r="F79" s="754"/>
      <c r="G79" s="754"/>
      <c r="H79" s="754"/>
      <c r="I79" s="744"/>
      <c r="J79" s="744"/>
      <c r="K79" s="744"/>
      <c r="L79" s="744"/>
      <c r="M79" s="744"/>
      <c r="N79" s="744"/>
      <c r="O79" s="744"/>
      <c r="P79" s="744"/>
    </row>
    <row r="80" spans="1:16">
      <c r="A80" s="751" t="s">
        <v>145</v>
      </c>
      <c r="B80" s="751" t="s">
        <v>607</v>
      </c>
      <c r="C80" s="752">
        <v>32.86</v>
      </c>
      <c r="D80" s="753"/>
      <c r="E80" s="753"/>
      <c r="F80" s="754"/>
      <c r="G80" s="754"/>
      <c r="H80" s="754"/>
      <c r="I80" s="744"/>
      <c r="J80" s="744"/>
      <c r="K80" s="744"/>
      <c r="L80" s="744"/>
      <c r="M80" s="744"/>
      <c r="N80" s="744"/>
      <c r="O80" s="744"/>
      <c r="P80" s="744"/>
    </row>
    <row r="81" spans="1:16">
      <c r="A81" s="751" t="s">
        <v>147</v>
      </c>
      <c r="B81" s="751" t="s">
        <v>1435</v>
      </c>
      <c r="C81" s="752">
        <v>3.29</v>
      </c>
      <c r="D81" s="753"/>
      <c r="E81" s="753"/>
      <c r="F81" s="754"/>
      <c r="G81" s="754"/>
      <c r="H81" s="754"/>
      <c r="I81" s="744"/>
      <c r="J81" s="744"/>
      <c r="K81" s="744"/>
      <c r="L81" s="744"/>
      <c r="M81" s="744"/>
      <c r="N81" s="744"/>
      <c r="O81" s="744"/>
      <c r="P81" s="744"/>
    </row>
    <row r="82" spans="1:16">
      <c r="A82" s="751" t="s">
        <v>149</v>
      </c>
      <c r="B82" s="751" t="s">
        <v>1436</v>
      </c>
      <c r="C82" s="752">
        <v>0</v>
      </c>
      <c r="D82" s="753"/>
      <c r="E82" s="753"/>
      <c r="F82" s="754"/>
      <c r="G82" s="754"/>
      <c r="H82" s="754"/>
      <c r="I82" s="744"/>
      <c r="J82" s="744"/>
      <c r="K82" s="744"/>
      <c r="L82" s="744"/>
      <c r="M82" s="744"/>
      <c r="N82" s="744"/>
      <c r="O82" s="744"/>
      <c r="P82" s="744"/>
    </row>
    <row r="83" spans="1:16">
      <c r="A83" s="751" t="s">
        <v>151</v>
      </c>
      <c r="B83" s="751" t="s">
        <v>1437</v>
      </c>
      <c r="C83" s="752">
        <v>0</v>
      </c>
      <c r="D83" s="753"/>
      <c r="E83" s="753"/>
      <c r="F83" s="754"/>
      <c r="G83" s="754"/>
      <c r="H83" s="754"/>
      <c r="I83" s="744"/>
      <c r="J83" s="744"/>
      <c r="K83" s="744"/>
      <c r="L83" s="744"/>
      <c r="M83" s="744"/>
      <c r="N83" s="744"/>
      <c r="O83" s="744"/>
      <c r="P83" s="744"/>
    </row>
    <row r="84" spans="1:16">
      <c r="A84" s="751" t="s">
        <v>153</v>
      </c>
      <c r="B84" s="751" t="s">
        <v>1438</v>
      </c>
      <c r="C84" s="752">
        <v>56.57</v>
      </c>
      <c r="D84" s="753"/>
      <c r="E84" s="753"/>
      <c r="F84" s="754"/>
      <c r="G84" s="754"/>
      <c r="H84" s="754"/>
      <c r="I84" s="744"/>
      <c r="J84" s="744"/>
      <c r="K84" s="744"/>
      <c r="L84" s="744"/>
      <c r="M84" s="744"/>
      <c r="N84" s="744"/>
      <c r="O84" s="744"/>
      <c r="P84" s="744"/>
    </row>
    <row r="85" spans="1:16">
      <c r="A85" s="751" t="s">
        <v>155</v>
      </c>
      <c r="B85" s="751" t="s">
        <v>1439</v>
      </c>
      <c r="C85" s="752">
        <v>0</v>
      </c>
      <c r="D85" s="753"/>
      <c r="E85" s="753"/>
      <c r="F85" s="754"/>
      <c r="G85" s="754"/>
      <c r="H85" s="754"/>
      <c r="I85" s="744"/>
      <c r="J85" s="744"/>
      <c r="K85" s="744"/>
      <c r="L85" s="744"/>
      <c r="M85" s="744"/>
      <c r="N85" s="744"/>
      <c r="O85" s="744"/>
      <c r="P85" s="744"/>
    </row>
    <row r="86" spans="1:16">
      <c r="A86" s="751" t="s">
        <v>157</v>
      </c>
      <c r="B86" s="751" t="s">
        <v>1440</v>
      </c>
      <c r="C86" s="752">
        <v>148.86000000000001</v>
      </c>
      <c r="D86" s="753"/>
      <c r="E86" s="753"/>
      <c r="F86" s="754"/>
      <c r="G86" s="754"/>
      <c r="H86" s="754"/>
      <c r="I86" s="744"/>
      <c r="J86" s="744"/>
      <c r="K86" s="744"/>
      <c r="L86" s="744"/>
      <c r="M86" s="744"/>
      <c r="N86" s="744"/>
      <c r="O86" s="744"/>
      <c r="P86" s="744"/>
    </row>
    <row r="87" spans="1:16">
      <c r="A87" s="751" t="s">
        <v>159</v>
      </c>
      <c r="B87" s="751" t="s">
        <v>1441</v>
      </c>
      <c r="C87" s="752">
        <v>24</v>
      </c>
      <c r="D87" s="753"/>
      <c r="E87" s="753"/>
      <c r="F87" s="754"/>
      <c r="G87" s="754"/>
      <c r="H87" s="754"/>
      <c r="I87" s="744"/>
      <c r="J87" s="744"/>
      <c r="K87" s="744"/>
      <c r="L87" s="744"/>
      <c r="M87" s="744"/>
      <c r="N87" s="744"/>
      <c r="O87" s="744"/>
      <c r="P87" s="744"/>
    </row>
    <row r="88" spans="1:16">
      <c r="A88" s="751" t="s">
        <v>161</v>
      </c>
      <c r="B88" s="751" t="s">
        <v>1442</v>
      </c>
      <c r="C88" s="752">
        <v>8</v>
      </c>
      <c r="D88" s="753"/>
      <c r="E88" s="753"/>
      <c r="F88" s="754"/>
      <c r="G88" s="754"/>
      <c r="H88" s="754"/>
      <c r="I88" s="744"/>
      <c r="J88" s="744"/>
      <c r="K88" s="744"/>
      <c r="L88" s="744"/>
      <c r="M88" s="744"/>
      <c r="N88" s="744"/>
      <c r="O88" s="744"/>
      <c r="P88" s="744"/>
    </row>
    <row r="89" spans="1:16">
      <c r="A89" s="751" t="s">
        <v>163</v>
      </c>
      <c r="B89" s="751" t="s">
        <v>1443</v>
      </c>
      <c r="C89" s="752">
        <v>0</v>
      </c>
      <c r="D89" s="753"/>
      <c r="E89" s="753"/>
      <c r="F89" s="754"/>
      <c r="G89" s="754"/>
      <c r="H89" s="754"/>
      <c r="I89" s="744"/>
      <c r="J89" s="744"/>
      <c r="K89" s="744"/>
      <c r="L89" s="744"/>
      <c r="M89" s="744"/>
      <c r="N89" s="744"/>
      <c r="O89" s="744"/>
      <c r="P89" s="744"/>
    </row>
    <row r="90" spans="1:16">
      <c r="A90" s="751" t="s">
        <v>165</v>
      </c>
      <c r="B90" s="751" t="s">
        <v>1444</v>
      </c>
      <c r="C90" s="752">
        <v>0</v>
      </c>
      <c r="D90" s="753"/>
      <c r="E90" s="753"/>
      <c r="F90" s="754"/>
      <c r="G90" s="754"/>
      <c r="H90" s="754"/>
      <c r="I90" s="744"/>
      <c r="J90" s="744"/>
      <c r="K90" s="744"/>
      <c r="L90" s="744"/>
      <c r="M90" s="744"/>
      <c r="N90" s="744"/>
      <c r="O90" s="744"/>
      <c r="P90" s="744"/>
    </row>
    <row r="91" spans="1:16">
      <c r="A91" s="751" t="s">
        <v>167</v>
      </c>
      <c r="B91" s="751" t="s">
        <v>1445</v>
      </c>
      <c r="C91" s="752">
        <v>0</v>
      </c>
      <c r="D91" s="753"/>
      <c r="E91" s="753"/>
      <c r="F91" s="754"/>
      <c r="G91" s="754"/>
      <c r="H91" s="754"/>
      <c r="I91" s="744"/>
      <c r="J91" s="744"/>
      <c r="K91" s="744"/>
      <c r="L91" s="744"/>
      <c r="M91" s="744"/>
      <c r="N91" s="744"/>
      <c r="O91" s="744"/>
      <c r="P91" s="744"/>
    </row>
    <row r="92" spans="1:16">
      <c r="A92" s="751" t="s">
        <v>169</v>
      </c>
      <c r="B92" s="751" t="s">
        <v>1446</v>
      </c>
      <c r="C92" s="752">
        <v>12</v>
      </c>
      <c r="D92" s="753"/>
      <c r="E92" s="753"/>
      <c r="F92" s="754"/>
      <c r="G92" s="754"/>
      <c r="H92" s="754"/>
      <c r="I92" s="744"/>
      <c r="J92" s="744"/>
      <c r="K92" s="744"/>
      <c r="L92" s="744"/>
      <c r="M92" s="744"/>
      <c r="N92" s="744"/>
      <c r="O92" s="744"/>
      <c r="P92" s="744"/>
    </row>
    <row r="93" spans="1:16">
      <c r="A93" s="751" t="s">
        <v>171</v>
      </c>
      <c r="B93" s="751" t="s">
        <v>1447</v>
      </c>
      <c r="C93" s="752">
        <v>10.71</v>
      </c>
      <c r="D93" s="753"/>
      <c r="E93" s="753"/>
      <c r="F93" s="754"/>
      <c r="G93" s="754"/>
      <c r="H93" s="754"/>
      <c r="I93" s="744"/>
      <c r="J93" s="744"/>
      <c r="K93" s="744"/>
      <c r="L93" s="744"/>
      <c r="M93" s="744"/>
      <c r="N93" s="744"/>
      <c r="O93" s="744"/>
      <c r="P93" s="744"/>
    </row>
    <row r="94" spans="1:16">
      <c r="A94" s="751" t="s">
        <v>173</v>
      </c>
      <c r="B94" s="751" t="s">
        <v>1448</v>
      </c>
      <c r="C94" s="752">
        <v>5754.14</v>
      </c>
      <c r="D94" s="753"/>
      <c r="E94" s="753"/>
      <c r="F94" s="754"/>
      <c r="G94" s="754"/>
      <c r="H94" s="754"/>
      <c r="I94" s="744"/>
      <c r="J94" s="744"/>
      <c r="K94" s="744"/>
      <c r="L94" s="744"/>
      <c r="M94" s="744"/>
      <c r="N94" s="744"/>
      <c r="O94" s="744"/>
      <c r="P94" s="744"/>
    </row>
    <row r="95" spans="1:16">
      <c r="A95" s="751" t="s">
        <v>175</v>
      </c>
      <c r="B95" s="751" t="s">
        <v>1449</v>
      </c>
      <c r="C95" s="752">
        <v>3389</v>
      </c>
      <c r="D95" s="753"/>
      <c r="E95" s="753"/>
      <c r="F95" s="754"/>
      <c r="G95" s="754"/>
      <c r="H95" s="754"/>
      <c r="I95" s="744"/>
      <c r="J95" s="744"/>
      <c r="K95" s="744"/>
      <c r="L95" s="744"/>
      <c r="M95" s="744"/>
      <c r="N95" s="744"/>
      <c r="O95" s="744"/>
      <c r="P95" s="744"/>
    </row>
    <row r="96" spans="1:16">
      <c r="A96" s="751" t="s">
        <v>177</v>
      </c>
      <c r="B96" s="751" t="s">
        <v>1450</v>
      </c>
      <c r="C96" s="752">
        <v>204.43</v>
      </c>
      <c r="D96" s="753"/>
      <c r="E96" s="753"/>
      <c r="F96" s="754"/>
      <c r="G96" s="754"/>
      <c r="H96" s="754"/>
      <c r="I96" s="744"/>
      <c r="J96" s="744"/>
      <c r="K96" s="744"/>
      <c r="L96" s="744"/>
      <c r="M96" s="744"/>
      <c r="N96" s="744"/>
      <c r="O96" s="744"/>
      <c r="P96" s="744"/>
    </row>
    <row r="97" spans="1:16">
      <c r="A97" s="751" t="s">
        <v>179</v>
      </c>
      <c r="B97" s="751" t="s">
        <v>1451</v>
      </c>
      <c r="C97" s="752">
        <v>83.29</v>
      </c>
      <c r="D97" s="753"/>
      <c r="E97" s="753"/>
      <c r="F97" s="754"/>
      <c r="G97" s="754"/>
      <c r="H97" s="754"/>
      <c r="I97" s="744"/>
      <c r="J97" s="744"/>
      <c r="K97" s="744"/>
      <c r="L97" s="744"/>
      <c r="M97" s="744"/>
      <c r="N97" s="744"/>
      <c r="O97" s="744"/>
      <c r="P97" s="744"/>
    </row>
    <row r="98" spans="1:16">
      <c r="A98" s="751" t="s">
        <v>181</v>
      </c>
      <c r="B98" s="751" t="s">
        <v>1452</v>
      </c>
      <c r="C98" s="752">
        <v>4408</v>
      </c>
      <c r="D98" s="753"/>
      <c r="E98" s="753"/>
      <c r="F98" s="754"/>
      <c r="G98" s="754"/>
      <c r="H98" s="754"/>
      <c r="I98" s="744"/>
      <c r="J98" s="744"/>
      <c r="K98" s="744"/>
      <c r="L98" s="744"/>
      <c r="M98" s="744"/>
      <c r="N98" s="744"/>
      <c r="O98" s="744"/>
      <c r="P98" s="744"/>
    </row>
    <row r="99" spans="1:16">
      <c r="A99" s="751" t="s">
        <v>183</v>
      </c>
      <c r="B99" s="751" t="s">
        <v>1453</v>
      </c>
      <c r="C99" s="752">
        <v>39.43</v>
      </c>
      <c r="D99" s="753"/>
      <c r="E99" s="753"/>
      <c r="F99" s="756"/>
      <c r="G99" s="757"/>
      <c r="H99" s="757"/>
      <c r="I99" s="744"/>
      <c r="J99" s="744"/>
      <c r="K99" s="744"/>
      <c r="L99" s="744"/>
      <c r="M99" s="744"/>
      <c r="N99" s="744"/>
      <c r="O99" s="744"/>
      <c r="P99" s="744"/>
    </row>
    <row r="100" spans="1:16">
      <c r="A100" s="751" t="s">
        <v>185</v>
      </c>
      <c r="B100" s="751" t="s">
        <v>638</v>
      </c>
      <c r="C100" s="752">
        <v>2462.4299999999998</v>
      </c>
      <c r="D100" s="753"/>
      <c r="E100" s="753"/>
      <c r="F100" s="756"/>
      <c r="G100" s="757"/>
      <c r="H100" s="757"/>
      <c r="I100" s="744"/>
      <c r="J100" s="744"/>
      <c r="K100" s="744"/>
      <c r="L100" s="744"/>
      <c r="M100" s="744"/>
      <c r="N100" s="744"/>
      <c r="O100" s="744"/>
      <c r="P100" s="744"/>
    </row>
    <row r="101" spans="1:16">
      <c r="A101" s="751" t="s">
        <v>187</v>
      </c>
      <c r="B101" s="751" t="s">
        <v>1454</v>
      </c>
      <c r="C101" s="752">
        <v>0</v>
      </c>
      <c r="D101" s="753"/>
      <c r="E101" s="753"/>
      <c r="F101" s="756"/>
      <c r="G101" s="757"/>
      <c r="H101" s="757"/>
      <c r="I101" s="744"/>
      <c r="J101" s="744"/>
      <c r="K101" s="744"/>
      <c r="L101" s="744"/>
      <c r="M101" s="744"/>
      <c r="N101" s="744"/>
      <c r="O101" s="744"/>
      <c r="P101" s="744"/>
    </row>
    <row r="102" spans="1:16">
      <c r="A102" s="751" t="s">
        <v>189</v>
      </c>
      <c r="B102" s="751" t="s">
        <v>1455</v>
      </c>
      <c r="C102" s="752">
        <v>1901</v>
      </c>
      <c r="D102" s="753"/>
      <c r="E102" s="753"/>
      <c r="F102" s="756"/>
      <c r="G102" s="757"/>
      <c r="H102" s="757"/>
      <c r="I102" s="744"/>
      <c r="J102" s="744"/>
      <c r="K102" s="744"/>
      <c r="L102" s="744"/>
      <c r="M102" s="744"/>
      <c r="N102" s="744"/>
      <c r="O102" s="744"/>
      <c r="P102" s="744"/>
    </row>
    <row r="103" spans="1:16">
      <c r="A103" s="751" t="s">
        <v>191</v>
      </c>
      <c r="B103" s="751" t="s">
        <v>1456</v>
      </c>
      <c r="C103" s="752">
        <v>1146.71</v>
      </c>
      <c r="D103" s="753"/>
      <c r="E103" s="753"/>
      <c r="F103" s="756"/>
      <c r="G103" s="757"/>
      <c r="H103" s="757"/>
      <c r="I103" s="744"/>
      <c r="J103" s="744"/>
      <c r="K103" s="744"/>
      <c r="L103" s="744"/>
      <c r="M103" s="744"/>
      <c r="N103" s="744"/>
      <c r="O103" s="744"/>
      <c r="P103" s="744"/>
    </row>
    <row r="104" spans="1:16">
      <c r="A104" s="751" t="s">
        <v>193</v>
      </c>
      <c r="B104" s="751" t="s">
        <v>1457</v>
      </c>
      <c r="C104" s="752">
        <v>88.29</v>
      </c>
      <c r="D104" s="753"/>
      <c r="E104" s="753"/>
      <c r="F104" s="756"/>
      <c r="G104" s="757"/>
      <c r="H104" s="757"/>
      <c r="I104" s="744"/>
      <c r="J104" s="744"/>
      <c r="K104" s="744"/>
      <c r="L104" s="744"/>
      <c r="M104" s="744"/>
      <c r="N104" s="744"/>
      <c r="O104" s="744"/>
      <c r="P104" s="744"/>
    </row>
    <row r="105" spans="1:16">
      <c r="A105" s="751" t="s">
        <v>195</v>
      </c>
      <c r="B105" s="751" t="s">
        <v>1362</v>
      </c>
      <c r="C105" s="752">
        <v>2130.14</v>
      </c>
      <c r="D105" s="753"/>
      <c r="E105" s="753"/>
      <c r="F105" s="756"/>
      <c r="G105" s="757"/>
      <c r="H105" s="757"/>
      <c r="I105" s="744"/>
      <c r="J105" s="744"/>
      <c r="K105" s="744"/>
      <c r="L105" s="744"/>
      <c r="M105" s="744"/>
      <c r="N105" s="744"/>
      <c r="O105" s="744"/>
      <c r="P105" s="744"/>
    </row>
    <row r="106" spans="1:16">
      <c r="A106" s="751" t="s">
        <v>197</v>
      </c>
      <c r="B106" s="751" t="s">
        <v>627</v>
      </c>
      <c r="C106" s="752">
        <v>135.71</v>
      </c>
      <c r="D106" s="753"/>
      <c r="E106" s="753"/>
      <c r="F106" s="756"/>
      <c r="G106" s="757"/>
      <c r="H106" s="757"/>
      <c r="I106" s="744"/>
      <c r="J106" s="744"/>
      <c r="K106" s="744"/>
      <c r="L106" s="744"/>
      <c r="M106" s="744"/>
      <c r="N106" s="744"/>
      <c r="O106" s="744"/>
      <c r="P106" s="744"/>
    </row>
    <row r="107" spans="1:16">
      <c r="A107" s="751" t="s">
        <v>199</v>
      </c>
      <c r="B107" s="751" t="s">
        <v>1272</v>
      </c>
      <c r="C107" s="752">
        <v>114.14</v>
      </c>
      <c r="D107" s="753"/>
      <c r="E107" s="753"/>
      <c r="F107" s="756"/>
      <c r="G107" s="757"/>
      <c r="H107" s="757"/>
      <c r="I107" s="744"/>
      <c r="J107" s="744"/>
      <c r="K107" s="744"/>
      <c r="L107" s="744"/>
      <c r="M107" s="744"/>
      <c r="N107" s="744"/>
      <c r="O107" s="744"/>
      <c r="P107" s="744"/>
    </row>
    <row r="108" spans="1:16">
      <c r="A108" s="751" t="s">
        <v>201</v>
      </c>
      <c r="B108" s="751" t="s">
        <v>1458</v>
      </c>
      <c r="C108" s="752">
        <v>850.29</v>
      </c>
      <c r="D108" s="753"/>
      <c r="E108" s="753"/>
      <c r="F108" s="756"/>
      <c r="G108" s="757"/>
      <c r="H108" s="757"/>
      <c r="I108" s="744"/>
      <c r="J108" s="744"/>
      <c r="K108" s="744"/>
      <c r="L108" s="744"/>
      <c r="M108" s="744"/>
      <c r="N108" s="744"/>
      <c r="O108" s="744"/>
      <c r="P108" s="744"/>
    </row>
    <row r="109" spans="1:16">
      <c r="A109" s="751" t="s">
        <v>203</v>
      </c>
      <c r="B109" s="751" t="s">
        <v>640</v>
      </c>
      <c r="C109" s="752">
        <v>562.71</v>
      </c>
      <c r="D109" s="753"/>
      <c r="E109" s="753"/>
      <c r="F109" s="756"/>
      <c r="G109" s="757"/>
      <c r="H109" s="757"/>
      <c r="I109" s="744"/>
      <c r="J109" s="744"/>
      <c r="K109" s="744"/>
      <c r="L109" s="744"/>
      <c r="M109" s="744"/>
      <c r="N109" s="744"/>
      <c r="O109" s="744"/>
      <c r="P109" s="744"/>
    </row>
    <row r="110" spans="1:16">
      <c r="A110" s="751" t="s">
        <v>205</v>
      </c>
      <c r="B110" s="751" t="s">
        <v>1459</v>
      </c>
      <c r="C110" s="752">
        <v>1752.14</v>
      </c>
      <c r="D110" s="753"/>
      <c r="E110" s="753"/>
      <c r="F110" s="756"/>
      <c r="G110" s="757"/>
      <c r="H110" s="757"/>
      <c r="I110" s="744"/>
      <c r="J110" s="744"/>
      <c r="K110" s="744"/>
      <c r="L110" s="744"/>
      <c r="M110" s="744"/>
      <c r="N110" s="744"/>
      <c r="O110" s="744"/>
      <c r="P110" s="744"/>
    </row>
    <row r="111" spans="1:16">
      <c r="A111" s="751" t="s">
        <v>207</v>
      </c>
      <c r="B111" s="751" t="s">
        <v>1460</v>
      </c>
      <c r="C111" s="752">
        <v>4863.1400000000003</v>
      </c>
      <c r="D111" s="753"/>
      <c r="E111" s="753"/>
      <c r="F111" s="756"/>
      <c r="G111" s="757"/>
      <c r="H111" s="757"/>
      <c r="I111" s="744"/>
      <c r="J111" s="744"/>
      <c r="K111" s="744"/>
      <c r="L111" s="744"/>
      <c r="M111" s="744"/>
      <c r="N111" s="744"/>
      <c r="O111" s="744"/>
      <c r="P111" s="744"/>
    </row>
    <row r="112" spans="1:16">
      <c r="A112" s="751" t="s">
        <v>209</v>
      </c>
      <c r="B112" s="751" t="s">
        <v>637</v>
      </c>
      <c r="C112" s="752">
        <v>1196.43</v>
      </c>
      <c r="D112" s="753"/>
      <c r="E112" s="753"/>
      <c r="I112" s="744"/>
      <c r="J112" s="744"/>
      <c r="K112" s="744"/>
      <c r="L112" s="744"/>
      <c r="M112" s="744"/>
      <c r="N112" s="744"/>
      <c r="O112" s="744"/>
      <c r="P112" s="744"/>
    </row>
    <row r="113" spans="1:16">
      <c r="A113" s="751" t="s">
        <v>659</v>
      </c>
      <c r="B113" s="751" t="s">
        <v>1461</v>
      </c>
      <c r="C113" s="752">
        <v>0</v>
      </c>
      <c r="D113" s="753"/>
      <c r="E113" s="753"/>
      <c r="I113" s="744"/>
      <c r="J113" s="744"/>
      <c r="K113" s="744"/>
      <c r="L113" s="744"/>
      <c r="M113" s="744"/>
      <c r="N113" s="744"/>
      <c r="O113" s="744"/>
      <c r="P113" s="744"/>
    </row>
    <row r="114" spans="1:16">
      <c r="A114" s="751" t="s">
        <v>211</v>
      </c>
      <c r="B114" s="751" t="s">
        <v>1462</v>
      </c>
      <c r="C114" s="752">
        <v>178.57</v>
      </c>
      <c r="D114" s="753"/>
      <c r="E114" s="753"/>
      <c r="I114" s="744"/>
      <c r="J114" s="744"/>
      <c r="K114" s="744"/>
      <c r="L114" s="744"/>
      <c r="M114" s="744"/>
      <c r="N114" s="744"/>
      <c r="O114" s="744"/>
      <c r="P114" s="744"/>
    </row>
    <row r="115" spans="1:16">
      <c r="A115" s="751" t="s">
        <v>213</v>
      </c>
      <c r="B115" s="751" t="s">
        <v>1463</v>
      </c>
      <c r="C115" s="752">
        <v>26.86</v>
      </c>
      <c r="D115" s="753"/>
      <c r="E115" s="753"/>
      <c r="I115" s="744"/>
      <c r="J115" s="744"/>
      <c r="K115" s="744"/>
      <c r="L115" s="744"/>
      <c r="M115" s="744"/>
      <c r="N115" s="744"/>
      <c r="O115" s="744"/>
      <c r="P115" s="744"/>
    </row>
    <row r="116" spans="1:16">
      <c r="A116" s="751" t="s">
        <v>214</v>
      </c>
      <c r="B116" s="751" t="s">
        <v>625</v>
      </c>
      <c r="C116" s="752">
        <v>176.43</v>
      </c>
      <c r="D116" s="753"/>
      <c r="E116" s="753"/>
      <c r="I116" s="744"/>
      <c r="J116" s="744"/>
      <c r="K116" s="744"/>
      <c r="L116" s="744"/>
      <c r="M116" s="744"/>
      <c r="N116" s="744"/>
      <c r="O116" s="744"/>
      <c r="P116" s="744"/>
    </row>
    <row r="117" spans="1:16">
      <c r="A117" s="751" t="s">
        <v>216</v>
      </c>
      <c r="B117" s="751" t="s">
        <v>1464</v>
      </c>
      <c r="C117" s="752">
        <v>250.86</v>
      </c>
      <c r="D117" s="753"/>
      <c r="E117" s="753"/>
      <c r="I117" s="744"/>
      <c r="J117" s="744"/>
      <c r="K117" s="744"/>
      <c r="L117" s="744"/>
      <c r="M117" s="744"/>
      <c r="N117" s="744"/>
      <c r="O117" s="744"/>
      <c r="P117" s="744"/>
    </row>
    <row r="118" spans="1:16">
      <c r="A118" s="751" t="s">
        <v>218</v>
      </c>
      <c r="B118" s="751" t="s">
        <v>1465</v>
      </c>
      <c r="C118" s="752">
        <v>73.569999999999993</v>
      </c>
      <c r="D118" s="753"/>
      <c r="E118" s="753"/>
      <c r="I118" s="744"/>
      <c r="J118" s="744"/>
      <c r="K118" s="744"/>
      <c r="L118" s="744"/>
      <c r="M118" s="744"/>
      <c r="N118" s="744"/>
      <c r="O118" s="744"/>
      <c r="P118" s="744"/>
    </row>
    <row r="119" spans="1:16">
      <c r="A119" s="751" t="s">
        <v>220</v>
      </c>
      <c r="B119" s="751" t="s">
        <v>1466</v>
      </c>
      <c r="C119" s="752">
        <v>0</v>
      </c>
      <c r="D119" s="753"/>
      <c r="E119" s="753"/>
      <c r="F119" s="754"/>
      <c r="G119" s="754"/>
      <c r="H119" s="754"/>
      <c r="I119" s="744"/>
      <c r="J119" s="744"/>
      <c r="K119" s="744"/>
      <c r="L119" s="744"/>
      <c r="M119" s="744"/>
      <c r="N119" s="744"/>
      <c r="O119" s="744"/>
      <c r="P119" s="744"/>
    </row>
    <row r="120" spans="1:16">
      <c r="A120" s="751" t="s">
        <v>222</v>
      </c>
      <c r="B120" s="751" t="s">
        <v>1467</v>
      </c>
      <c r="C120" s="752">
        <v>13.57</v>
      </c>
      <c r="D120" s="753"/>
      <c r="E120" s="753"/>
      <c r="F120" s="754"/>
      <c r="G120" s="754"/>
      <c r="H120" s="754"/>
      <c r="I120" s="744"/>
      <c r="J120" s="744"/>
      <c r="K120" s="744"/>
      <c r="L120" s="744"/>
      <c r="M120" s="744"/>
      <c r="N120" s="744"/>
      <c r="O120" s="744"/>
      <c r="P120" s="744"/>
    </row>
    <row r="121" spans="1:16">
      <c r="A121" s="751" t="s">
        <v>224</v>
      </c>
      <c r="B121" s="751" t="s">
        <v>1468</v>
      </c>
      <c r="C121" s="752">
        <v>0</v>
      </c>
      <c r="D121" s="753"/>
      <c r="E121" s="753"/>
      <c r="F121" s="754"/>
      <c r="G121" s="754"/>
      <c r="H121" s="754"/>
      <c r="I121" s="744"/>
      <c r="J121" s="744"/>
      <c r="K121" s="744"/>
      <c r="L121" s="744"/>
      <c r="M121" s="744"/>
      <c r="N121" s="744"/>
      <c r="O121" s="744"/>
      <c r="P121" s="744"/>
    </row>
    <row r="122" spans="1:16">
      <c r="A122" s="751" t="s">
        <v>226</v>
      </c>
      <c r="B122" s="751" t="s">
        <v>1469</v>
      </c>
      <c r="C122" s="752">
        <v>231.86</v>
      </c>
      <c r="D122" s="753"/>
      <c r="E122" s="753"/>
      <c r="F122" s="754"/>
      <c r="G122" s="754"/>
      <c r="H122" s="754"/>
      <c r="I122" s="744"/>
      <c r="J122" s="744"/>
      <c r="K122" s="744"/>
      <c r="L122" s="744"/>
      <c r="M122" s="744"/>
      <c r="N122" s="744"/>
      <c r="O122" s="744"/>
      <c r="P122" s="744"/>
    </row>
    <row r="123" spans="1:16">
      <c r="A123" s="751" t="s">
        <v>228</v>
      </c>
      <c r="B123" s="751" t="s">
        <v>1470</v>
      </c>
      <c r="C123" s="752">
        <v>55.86</v>
      </c>
      <c r="D123" s="753"/>
      <c r="E123" s="753"/>
      <c r="F123" s="754"/>
      <c r="G123" s="754"/>
      <c r="H123" s="754"/>
      <c r="I123" s="744"/>
      <c r="J123" s="744"/>
      <c r="K123" s="744"/>
      <c r="L123" s="744"/>
      <c r="M123" s="744"/>
      <c r="N123" s="744"/>
      <c r="O123" s="744"/>
      <c r="P123" s="744"/>
    </row>
    <row r="124" spans="1:16">
      <c r="A124" s="751" t="s">
        <v>230</v>
      </c>
      <c r="B124" s="751" t="s">
        <v>1471</v>
      </c>
      <c r="C124" s="752">
        <v>15.29</v>
      </c>
      <c r="D124" s="753"/>
      <c r="E124" s="753"/>
      <c r="F124" s="754"/>
      <c r="G124" s="754"/>
      <c r="H124" s="754"/>
      <c r="I124" s="744"/>
      <c r="J124" s="744"/>
      <c r="K124" s="744"/>
      <c r="L124" s="744"/>
      <c r="M124" s="744"/>
      <c r="N124" s="744"/>
      <c r="O124" s="744"/>
      <c r="P124" s="744"/>
    </row>
    <row r="125" spans="1:16">
      <c r="A125" s="751" t="s">
        <v>232</v>
      </c>
      <c r="B125" s="751" t="s">
        <v>1472</v>
      </c>
      <c r="C125" s="752">
        <v>0</v>
      </c>
      <c r="D125" s="753"/>
      <c r="E125" s="753"/>
      <c r="F125" s="754"/>
      <c r="G125" s="754"/>
      <c r="H125" s="754"/>
      <c r="I125" s="744"/>
      <c r="J125" s="744"/>
      <c r="K125" s="744"/>
      <c r="L125" s="744"/>
      <c r="M125" s="744"/>
      <c r="N125" s="744"/>
      <c r="O125" s="744"/>
      <c r="P125" s="744"/>
    </row>
    <row r="126" spans="1:16">
      <c r="A126" s="751" t="s">
        <v>234</v>
      </c>
      <c r="B126" s="751" t="s">
        <v>1473</v>
      </c>
      <c r="C126" s="752">
        <v>0</v>
      </c>
      <c r="D126" s="753"/>
      <c r="E126" s="753"/>
      <c r="F126" s="754"/>
      <c r="G126" s="754"/>
      <c r="H126" s="754"/>
      <c r="I126" s="744"/>
      <c r="J126" s="744"/>
      <c r="K126" s="744"/>
      <c r="L126" s="744"/>
      <c r="M126" s="744"/>
      <c r="N126" s="744"/>
      <c r="O126" s="744"/>
      <c r="P126" s="744"/>
    </row>
    <row r="127" spans="1:16">
      <c r="A127" s="751" t="s">
        <v>236</v>
      </c>
      <c r="B127" s="751" t="s">
        <v>1474</v>
      </c>
      <c r="C127" s="752">
        <v>0</v>
      </c>
      <c r="D127" s="753"/>
      <c r="E127" s="753"/>
      <c r="F127" s="754"/>
      <c r="G127" s="754"/>
      <c r="H127" s="754"/>
      <c r="I127" s="744"/>
      <c r="J127" s="744"/>
      <c r="K127" s="744"/>
      <c r="L127" s="744"/>
      <c r="M127" s="744"/>
      <c r="N127" s="744"/>
      <c r="O127" s="744"/>
      <c r="P127" s="744"/>
    </row>
    <row r="128" spans="1:16">
      <c r="A128" s="751" t="s">
        <v>238</v>
      </c>
      <c r="B128" s="751" t="s">
        <v>1475</v>
      </c>
      <c r="C128" s="752">
        <v>0</v>
      </c>
      <c r="D128" s="753"/>
      <c r="E128" s="753"/>
      <c r="F128" s="754"/>
      <c r="G128" s="754"/>
      <c r="H128" s="754"/>
      <c r="I128" s="744"/>
      <c r="J128" s="744"/>
      <c r="K128" s="744"/>
      <c r="L128" s="744"/>
      <c r="M128" s="744"/>
      <c r="N128" s="744"/>
      <c r="O128" s="744"/>
      <c r="P128" s="744"/>
    </row>
    <row r="129" spans="1:16">
      <c r="A129" s="751" t="s">
        <v>240</v>
      </c>
      <c r="B129" s="751" t="s">
        <v>1476</v>
      </c>
      <c r="C129" s="752">
        <v>0</v>
      </c>
      <c r="D129" s="753"/>
      <c r="E129" s="753"/>
      <c r="F129" s="754"/>
      <c r="G129" s="754"/>
      <c r="H129" s="754"/>
      <c r="I129" s="744"/>
      <c r="J129" s="744"/>
      <c r="K129" s="744"/>
      <c r="L129" s="744"/>
      <c r="M129" s="744"/>
      <c r="N129" s="744"/>
      <c r="O129" s="744"/>
      <c r="P129" s="744"/>
    </row>
    <row r="130" spans="1:16">
      <c r="A130" s="751" t="s">
        <v>242</v>
      </c>
      <c r="B130" s="751" t="s">
        <v>1477</v>
      </c>
      <c r="C130" s="752">
        <v>0</v>
      </c>
      <c r="D130" s="753"/>
      <c r="E130" s="753"/>
      <c r="F130" s="754"/>
      <c r="G130" s="754"/>
      <c r="H130" s="754"/>
      <c r="I130" s="744"/>
      <c r="J130" s="744"/>
      <c r="K130" s="744"/>
      <c r="L130" s="744"/>
      <c r="M130" s="744"/>
      <c r="N130" s="744"/>
      <c r="O130" s="744"/>
      <c r="P130" s="744"/>
    </row>
    <row r="131" spans="1:16">
      <c r="A131" s="751" t="s">
        <v>244</v>
      </c>
      <c r="B131" s="751" t="s">
        <v>1478</v>
      </c>
      <c r="C131" s="752">
        <v>11.14</v>
      </c>
      <c r="D131" s="753"/>
      <c r="E131" s="753"/>
      <c r="F131" s="754"/>
      <c r="G131" s="754"/>
      <c r="H131" s="754"/>
      <c r="I131" s="744"/>
      <c r="J131" s="744"/>
      <c r="K131" s="744"/>
      <c r="L131" s="744"/>
      <c r="M131" s="744"/>
      <c r="N131" s="744"/>
      <c r="O131" s="744"/>
      <c r="P131" s="744"/>
    </row>
    <row r="132" spans="1:16">
      <c r="A132" s="751" t="s">
        <v>246</v>
      </c>
      <c r="B132" s="751" t="s">
        <v>1479</v>
      </c>
      <c r="C132" s="752">
        <v>29</v>
      </c>
      <c r="D132" s="753"/>
      <c r="E132" s="753"/>
      <c r="F132" s="754"/>
      <c r="G132" s="754"/>
      <c r="H132" s="754"/>
      <c r="I132" s="744"/>
      <c r="J132" s="744"/>
      <c r="K132" s="744"/>
      <c r="L132" s="744"/>
      <c r="M132" s="744"/>
      <c r="N132" s="744"/>
      <c r="O132" s="744"/>
      <c r="P132" s="744"/>
    </row>
    <row r="133" spans="1:16">
      <c r="A133" s="751" t="s">
        <v>248</v>
      </c>
      <c r="B133" s="751" t="s">
        <v>1480</v>
      </c>
      <c r="C133" s="752">
        <v>192.86</v>
      </c>
      <c r="D133" s="753"/>
      <c r="E133" s="753"/>
      <c r="F133" s="754"/>
      <c r="G133" s="754"/>
      <c r="H133" s="754"/>
      <c r="I133" s="744"/>
      <c r="J133" s="744"/>
      <c r="K133" s="744"/>
      <c r="L133" s="744"/>
      <c r="M133" s="744"/>
      <c r="N133" s="744"/>
      <c r="O133" s="744"/>
      <c r="P133" s="744"/>
    </row>
    <row r="134" spans="1:16">
      <c r="A134" s="751" t="s">
        <v>250</v>
      </c>
      <c r="B134" s="751" t="s">
        <v>1481</v>
      </c>
      <c r="C134" s="752">
        <v>0</v>
      </c>
      <c r="D134" s="753"/>
      <c r="E134" s="753"/>
      <c r="F134" s="754"/>
      <c r="G134" s="754"/>
      <c r="H134" s="754"/>
      <c r="I134" s="744"/>
      <c r="J134" s="744"/>
      <c r="K134" s="744"/>
      <c r="L134" s="744"/>
      <c r="M134" s="744"/>
      <c r="N134" s="744"/>
      <c r="O134" s="744"/>
      <c r="P134" s="744"/>
    </row>
    <row r="135" spans="1:16">
      <c r="A135" s="751" t="s">
        <v>252</v>
      </c>
      <c r="B135" s="751" t="s">
        <v>1482</v>
      </c>
      <c r="C135" s="752">
        <v>18.29</v>
      </c>
      <c r="D135" s="753"/>
      <c r="E135" s="753"/>
      <c r="F135" s="754"/>
      <c r="G135" s="754"/>
      <c r="H135" s="754"/>
      <c r="I135" s="744"/>
      <c r="J135" s="744"/>
      <c r="K135" s="744"/>
      <c r="L135" s="744"/>
      <c r="M135" s="744"/>
      <c r="N135" s="744"/>
      <c r="O135" s="744"/>
      <c r="P135" s="744"/>
    </row>
    <row r="136" spans="1:16">
      <c r="A136" s="751" t="s">
        <v>256</v>
      </c>
      <c r="B136" s="751" t="s">
        <v>1483</v>
      </c>
      <c r="C136" s="752">
        <v>0</v>
      </c>
      <c r="D136" s="753"/>
      <c r="E136" s="753"/>
      <c r="F136" s="754"/>
      <c r="G136" s="754"/>
      <c r="H136" s="754"/>
      <c r="I136" s="744"/>
      <c r="J136" s="744"/>
      <c r="K136" s="744"/>
      <c r="L136" s="744"/>
      <c r="M136" s="744"/>
      <c r="N136" s="744"/>
      <c r="O136" s="744"/>
      <c r="P136" s="744"/>
    </row>
    <row r="137" spans="1:16">
      <c r="A137" s="751" t="s">
        <v>258</v>
      </c>
      <c r="B137" s="751" t="s">
        <v>1356</v>
      </c>
      <c r="C137" s="752">
        <v>58.57</v>
      </c>
      <c r="D137" s="753"/>
      <c r="E137" s="753"/>
      <c r="F137" s="754"/>
      <c r="G137" s="754"/>
      <c r="H137" s="754"/>
      <c r="I137" s="744"/>
      <c r="J137" s="744"/>
      <c r="K137" s="744"/>
      <c r="L137" s="744"/>
      <c r="M137" s="744"/>
      <c r="N137" s="744"/>
      <c r="O137" s="744"/>
      <c r="P137" s="744"/>
    </row>
    <row r="138" spans="1:16">
      <c r="A138" s="751" t="s">
        <v>260</v>
      </c>
      <c r="B138" s="751" t="s">
        <v>1484</v>
      </c>
      <c r="C138" s="752">
        <v>0</v>
      </c>
      <c r="D138" s="753"/>
      <c r="E138" s="753"/>
      <c r="F138" s="754"/>
      <c r="G138" s="754"/>
      <c r="H138" s="754"/>
      <c r="I138" s="744"/>
      <c r="J138" s="744"/>
      <c r="K138" s="744"/>
      <c r="L138" s="744"/>
      <c r="M138" s="744"/>
      <c r="N138" s="744"/>
      <c r="O138" s="744"/>
      <c r="P138" s="744"/>
    </row>
    <row r="139" spans="1:16">
      <c r="A139" s="751" t="s">
        <v>262</v>
      </c>
      <c r="B139" s="751" t="s">
        <v>1485</v>
      </c>
      <c r="C139" s="752">
        <v>0</v>
      </c>
      <c r="D139" s="753"/>
      <c r="E139" s="753"/>
      <c r="F139" s="754"/>
      <c r="G139" s="754"/>
      <c r="H139" s="754"/>
      <c r="I139" s="744"/>
      <c r="J139" s="744"/>
      <c r="K139" s="744"/>
      <c r="L139" s="744"/>
      <c r="M139" s="744"/>
      <c r="N139" s="744"/>
      <c r="O139" s="744"/>
      <c r="P139" s="744"/>
    </row>
    <row r="140" spans="1:16">
      <c r="A140" s="751" t="s">
        <v>264</v>
      </c>
      <c r="B140" s="751" t="s">
        <v>1486</v>
      </c>
      <c r="C140" s="752">
        <v>72.290000000000006</v>
      </c>
      <c r="D140" s="753"/>
      <c r="E140" s="753"/>
      <c r="F140" s="754"/>
      <c r="G140" s="754"/>
      <c r="H140" s="754"/>
      <c r="I140" s="744"/>
      <c r="J140" s="744"/>
      <c r="K140" s="744"/>
      <c r="L140" s="744"/>
      <c r="M140" s="744"/>
      <c r="N140" s="744"/>
      <c r="O140" s="744"/>
      <c r="P140" s="744"/>
    </row>
    <row r="141" spans="1:16">
      <c r="A141" s="751" t="s">
        <v>266</v>
      </c>
      <c r="B141" s="751" t="s">
        <v>1487</v>
      </c>
      <c r="C141" s="752">
        <v>0</v>
      </c>
      <c r="D141" s="753"/>
      <c r="E141" s="753"/>
      <c r="F141" s="754"/>
      <c r="G141" s="754"/>
      <c r="H141" s="754"/>
      <c r="I141" s="744"/>
      <c r="J141" s="744"/>
      <c r="K141" s="744"/>
      <c r="L141" s="744"/>
      <c r="M141" s="744"/>
      <c r="N141" s="744"/>
      <c r="O141" s="744"/>
      <c r="P141" s="744"/>
    </row>
    <row r="142" spans="1:16">
      <c r="A142" s="751" t="s">
        <v>268</v>
      </c>
      <c r="B142" s="751" t="s">
        <v>1488</v>
      </c>
      <c r="C142" s="752">
        <v>16.14</v>
      </c>
      <c r="D142" s="753"/>
      <c r="E142" s="753"/>
      <c r="F142" s="754"/>
      <c r="G142" s="754"/>
      <c r="H142" s="754"/>
      <c r="I142" s="744"/>
      <c r="J142" s="744"/>
      <c r="K142" s="744"/>
      <c r="L142" s="744"/>
      <c r="M142" s="744"/>
      <c r="N142" s="744"/>
      <c r="O142" s="744"/>
      <c r="P142" s="744"/>
    </row>
    <row r="143" spans="1:16">
      <c r="A143" s="751" t="s">
        <v>270</v>
      </c>
      <c r="B143" s="751" t="s">
        <v>1489</v>
      </c>
      <c r="C143" s="752">
        <v>25.71</v>
      </c>
      <c r="D143" s="753"/>
      <c r="E143" s="753"/>
      <c r="F143" s="754"/>
      <c r="G143" s="754"/>
      <c r="H143" s="754"/>
      <c r="I143" s="744"/>
      <c r="J143" s="744"/>
      <c r="K143" s="744"/>
      <c r="L143" s="744"/>
      <c r="M143" s="744"/>
      <c r="N143" s="744"/>
      <c r="O143" s="744"/>
      <c r="P143" s="744"/>
    </row>
    <row r="144" spans="1:16">
      <c r="A144" s="751" t="s">
        <v>272</v>
      </c>
      <c r="B144" s="751" t="s">
        <v>1490</v>
      </c>
      <c r="C144" s="752">
        <v>0</v>
      </c>
      <c r="D144" s="753"/>
      <c r="E144" s="753"/>
      <c r="F144" s="754"/>
      <c r="G144" s="754"/>
      <c r="H144" s="754"/>
      <c r="I144" s="744"/>
      <c r="J144" s="744"/>
      <c r="K144" s="744"/>
      <c r="L144" s="744"/>
      <c r="M144" s="744"/>
      <c r="N144" s="744"/>
      <c r="O144" s="744"/>
      <c r="P144" s="744"/>
    </row>
    <row r="145" spans="1:16">
      <c r="A145" s="751" t="s">
        <v>274</v>
      </c>
      <c r="B145" s="751" t="s">
        <v>1491</v>
      </c>
      <c r="C145" s="752">
        <v>103.43</v>
      </c>
      <c r="D145" s="753"/>
      <c r="E145" s="753"/>
      <c r="F145" s="754"/>
      <c r="G145" s="754"/>
      <c r="H145" s="754"/>
      <c r="I145" s="744"/>
      <c r="J145" s="744"/>
      <c r="K145" s="744"/>
      <c r="L145" s="744"/>
      <c r="M145" s="744"/>
      <c r="N145" s="744"/>
      <c r="O145" s="744"/>
      <c r="P145" s="744"/>
    </row>
    <row r="146" spans="1:16">
      <c r="A146" s="751" t="s">
        <v>276</v>
      </c>
      <c r="B146" s="751" t="s">
        <v>1492</v>
      </c>
      <c r="C146" s="752">
        <v>0</v>
      </c>
      <c r="D146" s="753"/>
      <c r="E146" s="753"/>
      <c r="F146" s="754"/>
      <c r="G146" s="754"/>
      <c r="H146" s="754"/>
      <c r="I146" s="744"/>
      <c r="J146" s="744"/>
      <c r="K146" s="744"/>
      <c r="L146" s="744"/>
      <c r="M146" s="744"/>
      <c r="N146" s="744"/>
      <c r="O146" s="744"/>
      <c r="P146" s="744"/>
    </row>
    <row r="147" spans="1:16">
      <c r="A147" s="751" t="s">
        <v>278</v>
      </c>
      <c r="B147" s="751" t="s">
        <v>622</v>
      </c>
      <c r="C147" s="752">
        <v>315.43</v>
      </c>
      <c r="D147" s="753"/>
      <c r="E147" s="753"/>
      <c r="F147" s="754"/>
      <c r="G147" s="754"/>
      <c r="H147" s="754"/>
      <c r="I147" s="744"/>
      <c r="J147" s="744"/>
      <c r="K147" s="744"/>
      <c r="L147" s="744"/>
      <c r="M147" s="744"/>
      <c r="N147" s="744"/>
      <c r="O147" s="744"/>
      <c r="P147" s="744"/>
    </row>
    <row r="148" spans="1:16">
      <c r="A148" s="751" t="s">
        <v>280</v>
      </c>
      <c r="B148" s="751" t="s">
        <v>1493</v>
      </c>
      <c r="C148" s="752">
        <v>0</v>
      </c>
      <c r="D148" s="753"/>
      <c r="E148" s="753"/>
      <c r="F148" s="754"/>
      <c r="G148" s="754"/>
      <c r="H148" s="754"/>
      <c r="I148" s="744"/>
      <c r="J148" s="744"/>
      <c r="K148" s="744"/>
      <c r="L148" s="744"/>
      <c r="M148" s="744"/>
      <c r="N148" s="744"/>
      <c r="O148" s="744"/>
      <c r="P148" s="744"/>
    </row>
    <row r="149" spans="1:16">
      <c r="A149" s="751" t="s">
        <v>282</v>
      </c>
      <c r="B149" s="751" t="s">
        <v>1494</v>
      </c>
      <c r="C149" s="752">
        <v>26</v>
      </c>
      <c r="D149" s="753"/>
      <c r="E149" s="753"/>
      <c r="F149" s="754"/>
      <c r="G149" s="754"/>
      <c r="H149" s="754"/>
      <c r="I149" s="744"/>
      <c r="J149" s="744"/>
      <c r="K149" s="744"/>
      <c r="L149" s="744"/>
      <c r="M149" s="744"/>
      <c r="N149" s="744"/>
      <c r="O149" s="744"/>
      <c r="P149" s="744"/>
    </row>
    <row r="150" spans="1:16">
      <c r="A150" s="751" t="s">
        <v>283</v>
      </c>
      <c r="B150" s="751" t="s">
        <v>1495</v>
      </c>
      <c r="C150" s="752">
        <v>0</v>
      </c>
      <c r="D150" s="753"/>
      <c r="E150" s="753"/>
      <c r="F150" s="754"/>
      <c r="G150" s="754"/>
      <c r="H150" s="754"/>
      <c r="I150" s="744"/>
      <c r="J150" s="744"/>
      <c r="K150" s="744"/>
      <c r="L150" s="744"/>
      <c r="M150" s="744"/>
      <c r="N150" s="744"/>
      <c r="O150" s="744"/>
      <c r="P150" s="744"/>
    </row>
    <row r="151" spans="1:16">
      <c r="A151" s="751" t="s">
        <v>285</v>
      </c>
      <c r="B151" s="751" t="s">
        <v>1496</v>
      </c>
      <c r="C151" s="752">
        <v>0</v>
      </c>
      <c r="D151" s="753"/>
      <c r="E151" s="753"/>
      <c r="F151" s="754"/>
      <c r="G151" s="754"/>
      <c r="H151" s="754"/>
      <c r="I151" s="744"/>
      <c r="J151" s="744"/>
      <c r="K151" s="744"/>
      <c r="L151" s="744"/>
      <c r="M151" s="744"/>
      <c r="N151" s="744"/>
      <c r="O151" s="744"/>
      <c r="P151" s="744"/>
    </row>
    <row r="152" spans="1:16">
      <c r="A152" s="751" t="s">
        <v>287</v>
      </c>
      <c r="B152" s="751" t="s">
        <v>1497</v>
      </c>
      <c r="C152" s="752">
        <v>0</v>
      </c>
      <c r="D152" s="753"/>
      <c r="E152" s="753"/>
      <c r="F152" s="754"/>
      <c r="G152" s="754"/>
      <c r="H152" s="754"/>
      <c r="I152" s="744"/>
      <c r="J152" s="744"/>
      <c r="K152" s="744"/>
      <c r="L152" s="744"/>
      <c r="M152" s="744"/>
      <c r="N152" s="744"/>
      <c r="O152" s="744"/>
      <c r="P152" s="744"/>
    </row>
    <row r="153" spans="1:16">
      <c r="A153" s="751" t="s">
        <v>289</v>
      </c>
      <c r="B153" s="751" t="s">
        <v>1498</v>
      </c>
      <c r="C153" s="752">
        <v>0</v>
      </c>
      <c r="D153" s="753"/>
      <c r="E153" s="753"/>
      <c r="F153" s="754"/>
      <c r="G153" s="754"/>
      <c r="H153" s="754"/>
      <c r="I153" s="744"/>
      <c r="J153" s="744"/>
      <c r="K153" s="744"/>
      <c r="L153" s="744"/>
      <c r="M153" s="744"/>
      <c r="N153" s="744"/>
      <c r="O153" s="744"/>
      <c r="P153" s="744"/>
    </row>
    <row r="154" spans="1:16">
      <c r="A154" s="751" t="s">
        <v>291</v>
      </c>
      <c r="B154" s="751" t="s">
        <v>1499</v>
      </c>
      <c r="C154" s="752">
        <v>0</v>
      </c>
      <c r="D154" s="753"/>
      <c r="E154" s="753"/>
      <c r="F154" s="754"/>
      <c r="G154" s="754"/>
      <c r="H154" s="754"/>
      <c r="I154" s="744"/>
      <c r="J154" s="744"/>
      <c r="K154" s="744"/>
      <c r="L154" s="744"/>
      <c r="M154" s="744"/>
      <c r="N154" s="744"/>
      <c r="O154" s="744"/>
      <c r="P154" s="744"/>
    </row>
    <row r="155" spans="1:16">
      <c r="A155" s="751" t="s">
        <v>293</v>
      </c>
      <c r="B155" s="751" t="s">
        <v>1500</v>
      </c>
      <c r="C155" s="752">
        <v>0</v>
      </c>
      <c r="D155" s="753"/>
      <c r="E155" s="753"/>
      <c r="F155" s="754"/>
      <c r="G155" s="754"/>
      <c r="H155" s="754"/>
      <c r="I155" s="744"/>
      <c r="J155" s="744"/>
      <c r="K155" s="744"/>
      <c r="L155" s="744"/>
      <c r="M155" s="744"/>
      <c r="N155" s="744"/>
      <c r="O155" s="744"/>
      <c r="P155" s="744"/>
    </row>
    <row r="156" spans="1:16">
      <c r="A156" s="751" t="s">
        <v>295</v>
      </c>
      <c r="B156" s="751" t="s">
        <v>1501</v>
      </c>
      <c r="C156" s="752">
        <v>2.29</v>
      </c>
      <c r="D156" s="753"/>
      <c r="E156" s="753"/>
      <c r="F156" s="754"/>
      <c r="G156" s="754"/>
      <c r="H156" s="754"/>
      <c r="I156" s="744"/>
      <c r="J156" s="744"/>
      <c r="K156" s="744"/>
      <c r="L156" s="744"/>
      <c r="M156" s="744"/>
      <c r="N156" s="744"/>
      <c r="O156" s="744"/>
      <c r="P156" s="744"/>
    </row>
    <row r="157" spans="1:16">
      <c r="A157" s="751" t="s">
        <v>297</v>
      </c>
      <c r="B157" s="751" t="s">
        <v>1502</v>
      </c>
      <c r="C157" s="752">
        <v>0</v>
      </c>
      <c r="D157" s="753"/>
      <c r="E157" s="753"/>
      <c r="F157" s="754"/>
      <c r="G157" s="754"/>
      <c r="H157" s="754"/>
      <c r="I157" s="744"/>
      <c r="J157" s="744"/>
      <c r="K157" s="744"/>
      <c r="L157" s="744"/>
      <c r="M157" s="744"/>
      <c r="N157" s="744"/>
      <c r="O157" s="744"/>
      <c r="P157" s="744"/>
    </row>
    <row r="158" spans="1:16">
      <c r="A158" s="751" t="s">
        <v>299</v>
      </c>
      <c r="B158" s="751" t="s">
        <v>1503</v>
      </c>
      <c r="C158" s="752">
        <v>390</v>
      </c>
      <c r="D158" s="753"/>
      <c r="E158" s="753"/>
      <c r="F158" s="754"/>
      <c r="G158" s="754"/>
      <c r="H158" s="754"/>
      <c r="I158" s="744"/>
      <c r="J158" s="744"/>
      <c r="K158" s="744"/>
      <c r="L158" s="744"/>
      <c r="M158" s="744"/>
      <c r="N158" s="744"/>
      <c r="O158" s="744"/>
      <c r="P158" s="744"/>
    </row>
    <row r="159" spans="1:16">
      <c r="A159" s="751" t="s">
        <v>301</v>
      </c>
      <c r="B159" s="751" t="s">
        <v>1504</v>
      </c>
      <c r="C159" s="752">
        <v>0</v>
      </c>
      <c r="D159" s="753"/>
      <c r="E159" s="753"/>
      <c r="F159" s="754"/>
      <c r="G159" s="754"/>
      <c r="H159" s="754"/>
      <c r="I159" s="744"/>
      <c r="J159" s="744"/>
      <c r="K159" s="744"/>
      <c r="L159" s="744"/>
      <c r="M159" s="744"/>
      <c r="N159" s="744"/>
      <c r="O159" s="744"/>
      <c r="P159" s="744"/>
    </row>
    <row r="160" spans="1:16">
      <c r="A160" s="751" t="s">
        <v>303</v>
      </c>
      <c r="B160" s="751" t="s">
        <v>1505</v>
      </c>
      <c r="C160" s="752">
        <v>0</v>
      </c>
      <c r="D160" s="753"/>
      <c r="E160" s="753"/>
      <c r="F160" s="754"/>
      <c r="G160" s="754"/>
      <c r="H160" s="754"/>
      <c r="I160" s="744"/>
      <c r="J160" s="744"/>
      <c r="K160" s="744"/>
      <c r="L160" s="744"/>
      <c r="M160" s="744"/>
      <c r="N160" s="744"/>
      <c r="O160" s="744"/>
      <c r="P160" s="744"/>
    </row>
    <row r="161" spans="1:16">
      <c r="A161" s="751" t="s">
        <v>305</v>
      </c>
      <c r="B161" s="751" t="s">
        <v>1506</v>
      </c>
      <c r="C161" s="752">
        <v>141</v>
      </c>
      <c r="D161" s="753"/>
      <c r="E161" s="753"/>
      <c r="F161" s="754"/>
      <c r="G161" s="754"/>
      <c r="H161" s="754"/>
      <c r="I161" s="744"/>
      <c r="J161" s="744"/>
      <c r="K161" s="744"/>
      <c r="L161" s="744"/>
      <c r="M161" s="744"/>
      <c r="N161" s="744"/>
      <c r="O161" s="744"/>
      <c r="P161" s="744"/>
    </row>
    <row r="162" spans="1:16">
      <c r="A162" s="751" t="s">
        <v>307</v>
      </c>
      <c r="B162" s="751" t="s">
        <v>1507</v>
      </c>
      <c r="C162" s="752">
        <v>0</v>
      </c>
      <c r="D162" s="753"/>
      <c r="E162" s="753"/>
      <c r="F162" s="754"/>
      <c r="G162" s="754"/>
      <c r="H162" s="754"/>
      <c r="I162" s="744"/>
      <c r="J162" s="744"/>
      <c r="K162" s="744"/>
      <c r="L162" s="744"/>
      <c r="M162" s="744"/>
      <c r="N162" s="744"/>
      <c r="O162" s="744"/>
      <c r="P162" s="744"/>
    </row>
    <row r="163" spans="1:16">
      <c r="A163" s="751" t="s">
        <v>309</v>
      </c>
      <c r="B163" s="751" t="s">
        <v>1309</v>
      </c>
      <c r="C163" s="752">
        <v>0</v>
      </c>
      <c r="D163" s="753"/>
      <c r="E163" s="753"/>
      <c r="F163" s="754"/>
      <c r="G163" s="754"/>
      <c r="H163" s="754"/>
      <c r="I163" s="744"/>
      <c r="J163" s="744"/>
      <c r="K163" s="744"/>
      <c r="L163" s="744"/>
      <c r="M163" s="744"/>
      <c r="N163" s="744"/>
      <c r="O163" s="744"/>
      <c r="P163" s="744"/>
    </row>
    <row r="164" spans="1:16">
      <c r="A164" s="751" t="s">
        <v>311</v>
      </c>
      <c r="B164" s="751" t="s">
        <v>1508</v>
      </c>
      <c r="C164" s="752">
        <v>106.29</v>
      </c>
      <c r="D164" s="753"/>
      <c r="E164" s="753"/>
      <c r="F164" s="754"/>
      <c r="G164" s="754"/>
      <c r="H164" s="754"/>
      <c r="I164" s="744"/>
      <c r="J164" s="744"/>
      <c r="K164" s="744"/>
      <c r="L164" s="744"/>
      <c r="M164" s="744"/>
      <c r="N164" s="744"/>
      <c r="O164" s="744"/>
      <c r="P164" s="744"/>
    </row>
    <row r="165" spans="1:16">
      <c r="A165" s="751" t="s">
        <v>313</v>
      </c>
      <c r="B165" s="751" t="s">
        <v>1509</v>
      </c>
      <c r="C165" s="752">
        <v>94.57</v>
      </c>
      <c r="D165" s="753"/>
      <c r="E165" s="753"/>
      <c r="F165" s="754"/>
      <c r="G165" s="754"/>
      <c r="H165" s="754"/>
      <c r="I165" s="744"/>
      <c r="J165" s="744"/>
      <c r="K165" s="744"/>
      <c r="L165" s="744"/>
      <c r="M165" s="744"/>
      <c r="N165" s="744"/>
      <c r="O165" s="744"/>
      <c r="P165" s="744"/>
    </row>
    <row r="166" spans="1:16">
      <c r="A166" s="751" t="s">
        <v>315</v>
      </c>
      <c r="B166" s="751" t="s">
        <v>1510</v>
      </c>
      <c r="C166" s="752">
        <v>446.86</v>
      </c>
      <c r="D166" s="753"/>
      <c r="E166" s="753"/>
      <c r="F166" s="754"/>
      <c r="G166" s="754"/>
      <c r="H166" s="754"/>
      <c r="I166" s="744"/>
      <c r="J166" s="744"/>
      <c r="K166" s="744"/>
      <c r="L166" s="744"/>
      <c r="M166" s="744"/>
      <c r="N166" s="744"/>
      <c r="O166" s="744"/>
      <c r="P166" s="744"/>
    </row>
    <row r="167" spans="1:16">
      <c r="A167" s="751" t="s">
        <v>317</v>
      </c>
      <c r="B167" s="751" t="s">
        <v>1511</v>
      </c>
      <c r="C167" s="752">
        <v>33.86</v>
      </c>
      <c r="D167" s="753"/>
      <c r="E167" s="753"/>
      <c r="F167" s="754"/>
      <c r="G167" s="754"/>
      <c r="H167" s="754"/>
      <c r="I167" s="744"/>
      <c r="J167" s="744"/>
      <c r="K167" s="744"/>
      <c r="L167" s="744"/>
      <c r="M167" s="744"/>
      <c r="N167" s="744"/>
      <c r="O167" s="744"/>
      <c r="P167" s="744"/>
    </row>
    <row r="168" spans="1:16">
      <c r="A168" s="751" t="s">
        <v>319</v>
      </c>
      <c r="B168" s="751" t="s">
        <v>1512</v>
      </c>
      <c r="C168" s="752">
        <v>4.29</v>
      </c>
      <c r="D168" s="753"/>
      <c r="E168" s="753"/>
      <c r="F168" s="754"/>
      <c r="G168" s="754"/>
      <c r="H168" s="754"/>
      <c r="I168" s="744"/>
      <c r="J168" s="744"/>
      <c r="K168" s="744"/>
      <c r="L168" s="744"/>
      <c r="M168" s="744"/>
      <c r="N168" s="744"/>
      <c r="O168" s="744"/>
      <c r="P168" s="744"/>
    </row>
    <row r="169" spans="1:16">
      <c r="A169" s="751" t="s">
        <v>321</v>
      </c>
      <c r="B169" s="751" t="s">
        <v>612</v>
      </c>
      <c r="C169" s="752">
        <v>172.71</v>
      </c>
      <c r="D169" s="753"/>
      <c r="E169" s="753"/>
      <c r="F169" s="754"/>
      <c r="G169" s="754"/>
      <c r="H169" s="754"/>
      <c r="I169" s="744"/>
      <c r="J169" s="744"/>
      <c r="K169" s="744"/>
      <c r="L169" s="744"/>
      <c r="M169" s="744"/>
      <c r="N169" s="744"/>
      <c r="O169" s="744"/>
      <c r="P169" s="744"/>
    </row>
    <row r="170" spans="1:16">
      <c r="A170" s="751" t="s">
        <v>323</v>
      </c>
      <c r="B170" s="751" t="s">
        <v>1513</v>
      </c>
      <c r="C170" s="752">
        <v>91.29</v>
      </c>
      <c r="D170" s="753"/>
      <c r="E170" s="753"/>
      <c r="F170" s="754"/>
      <c r="G170" s="754"/>
      <c r="H170" s="754"/>
      <c r="I170" s="744"/>
      <c r="J170" s="744"/>
      <c r="K170" s="744"/>
      <c r="L170" s="744"/>
      <c r="M170" s="744"/>
      <c r="N170" s="744"/>
      <c r="O170" s="744"/>
      <c r="P170" s="744"/>
    </row>
    <row r="171" spans="1:16">
      <c r="A171" s="751" t="s">
        <v>325</v>
      </c>
      <c r="B171" s="751" t="s">
        <v>712</v>
      </c>
      <c r="C171" s="752">
        <v>53</v>
      </c>
      <c r="D171" s="753"/>
      <c r="E171" s="753"/>
      <c r="F171" s="754"/>
      <c r="G171" s="754"/>
      <c r="H171" s="754"/>
      <c r="I171" s="744"/>
      <c r="J171" s="744"/>
      <c r="K171" s="744"/>
      <c r="L171" s="744"/>
      <c r="M171" s="744"/>
      <c r="N171" s="744"/>
      <c r="O171" s="744"/>
      <c r="P171" s="744"/>
    </row>
    <row r="172" spans="1:16">
      <c r="A172" s="751" t="s">
        <v>327</v>
      </c>
      <c r="B172" s="751" t="s">
        <v>1514</v>
      </c>
      <c r="C172" s="752">
        <v>70.14</v>
      </c>
      <c r="D172" s="753"/>
      <c r="E172" s="753"/>
      <c r="F172" s="754"/>
      <c r="G172" s="754"/>
      <c r="H172" s="754"/>
      <c r="I172" s="744"/>
      <c r="J172" s="744"/>
      <c r="K172" s="744"/>
      <c r="L172" s="744"/>
      <c r="M172" s="744"/>
      <c r="N172" s="744"/>
      <c r="O172" s="744"/>
      <c r="P172" s="744"/>
    </row>
    <row r="173" spans="1:16">
      <c r="A173" s="751" t="s">
        <v>329</v>
      </c>
      <c r="B173" s="751" t="s">
        <v>1515</v>
      </c>
      <c r="C173" s="752">
        <v>86.71</v>
      </c>
      <c r="D173" s="753"/>
      <c r="E173" s="753"/>
      <c r="F173" s="754"/>
      <c r="G173" s="754"/>
      <c r="H173" s="754"/>
      <c r="I173" s="744"/>
      <c r="J173" s="744"/>
      <c r="K173" s="744"/>
      <c r="L173" s="744"/>
      <c r="M173" s="744"/>
      <c r="N173" s="744"/>
      <c r="O173" s="744"/>
      <c r="P173" s="744"/>
    </row>
    <row r="174" spans="1:16">
      <c r="A174" s="751" t="s">
        <v>331</v>
      </c>
      <c r="B174" s="751" t="s">
        <v>1516</v>
      </c>
      <c r="C174" s="752">
        <v>11</v>
      </c>
      <c r="D174" s="753"/>
      <c r="E174" s="753"/>
      <c r="F174" s="754"/>
      <c r="G174" s="754"/>
      <c r="H174" s="754"/>
      <c r="I174" s="744"/>
      <c r="J174" s="744"/>
      <c r="K174" s="744"/>
      <c r="L174" s="744"/>
      <c r="M174" s="744"/>
      <c r="N174" s="744"/>
      <c r="O174" s="744"/>
      <c r="P174" s="744"/>
    </row>
    <row r="175" spans="1:16">
      <c r="A175" s="751" t="s">
        <v>332</v>
      </c>
      <c r="B175" s="751" t="s">
        <v>1517</v>
      </c>
      <c r="C175" s="752">
        <v>6.86</v>
      </c>
      <c r="D175" s="753"/>
      <c r="E175" s="753"/>
      <c r="F175" s="754"/>
      <c r="G175" s="754"/>
      <c r="H175" s="754"/>
      <c r="I175" s="744"/>
      <c r="J175" s="744"/>
      <c r="K175" s="744"/>
      <c r="L175" s="744"/>
      <c r="M175" s="744"/>
      <c r="N175" s="744"/>
      <c r="O175" s="744"/>
      <c r="P175" s="744"/>
    </row>
    <row r="176" spans="1:16">
      <c r="A176" s="751" t="s">
        <v>334</v>
      </c>
      <c r="B176" s="751" t="s">
        <v>1518</v>
      </c>
      <c r="C176" s="752">
        <v>0</v>
      </c>
      <c r="D176" s="753"/>
      <c r="E176" s="753"/>
      <c r="F176" s="754"/>
      <c r="G176" s="754"/>
      <c r="H176" s="754"/>
      <c r="I176" s="744"/>
      <c r="J176" s="744"/>
      <c r="K176" s="744"/>
      <c r="L176" s="744"/>
      <c r="M176" s="744"/>
      <c r="N176" s="744"/>
      <c r="O176" s="744"/>
      <c r="P176" s="744"/>
    </row>
    <row r="177" spans="1:16">
      <c r="A177" s="751" t="s">
        <v>336</v>
      </c>
      <c r="B177" s="751" t="s">
        <v>1519</v>
      </c>
      <c r="C177" s="752">
        <v>0.14000000000000001</v>
      </c>
      <c r="D177" s="753"/>
      <c r="E177" s="753"/>
      <c r="F177" s="754"/>
      <c r="G177" s="754"/>
      <c r="H177" s="754"/>
      <c r="I177" s="744"/>
      <c r="J177" s="744"/>
      <c r="K177" s="744"/>
      <c r="L177" s="744"/>
      <c r="M177" s="744"/>
      <c r="N177" s="744"/>
      <c r="O177" s="744"/>
      <c r="P177" s="744"/>
    </row>
    <row r="178" spans="1:16">
      <c r="A178" s="751" t="s">
        <v>338</v>
      </c>
      <c r="B178" s="751" t="s">
        <v>1520</v>
      </c>
      <c r="C178" s="752">
        <v>0</v>
      </c>
      <c r="D178" s="753"/>
      <c r="E178" s="753"/>
      <c r="F178" s="754"/>
      <c r="G178" s="754"/>
      <c r="H178" s="754"/>
      <c r="I178" s="744"/>
      <c r="J178" s="744"/>
      <c r="K178" s="744"/>
      <c r="L178" s="744"/>
      <c r="M178" s="744"/>
      <c r="N178" s="744"/>
      <c r="O178" s="744"/>
      <c r="P178" s="744"/>
    </row>
    <row r="179" spans="1:16">
      <c r="A179" s="751" t="s">
        <v>340</v>
      </c>
      <c r="B179" s="751" t="s">
        <v>1521</v>
      </c>
      <c r="C179" s="752">
        <v>0</v>
      </c>
      <c r="D179" s="753"/>
      <c r="E179" s="753"/>
      <c r="F179" s="754"/>
      <c r="G179" s="754"/>
      <c r="H179" s="754"/>
      <c r="I179" s="744"/>
      <c r="J179" s="744"/>
      <c r="K179" s="744"/>
      <c r="L179" s="744"/>
      <c r="M179" s="744"/>
      <c r="N179" s="744"/>
      <c r="O179" s="744"/>
      <c r="P179" s="744"/>
    </row>
    <row r="180" spans="1:16">
      <c r="A180" s="751" t="s">
        <v>342</v>
      </c>
      <c r="B180" s="751" t="s">
        <v>1522</v>
      </c>
      <c r="C180" s="752">
        <v>69.569999999999993</v>
      </c>
      <c r="D180" s="753"/>
      <c r="E180" s="753"/>
      <c r="F180" s="754"/>
      <c r="G180" s="754"/>
      <c r="H180" s="754"/>
      <c r="I180" s="744"/>
      <c r="J180" s="744"/>
      <c r="K180" s="744"/>
      <c r="L180" s="744"/>
      <c r="M180" s="744"/>
      <c r="N180" s="744"/>
      <c r="O180" s="744"/>
      <c r="P180" s="744"/>
    </row>
    <row r="181" spans="1:16">
      <c r="A181" s="751" t="s">
        <v>343</v>
      </c>
      <c r="B181" s="751" t="s">
        <v>1523</v>
      </c>
      <c r="C181" s="752">
        <v>821.57</v>
      </c>
      <c r="D181" s="753"/>
      <c r="E181" s="753"/>
      <c r="F181" s="754"/>
      <c r="G181" s="754"/>
      <c r="H181" s="754"/>
      <c r="I181" s="744"/>
      <c r="J181" s="744"/>
      <c r="K181" s="744"/>
      <c r="L181" s="744"/>
      <c r="M181" s="744"/>
      <c r="N181" s="744"/>
      <c r="O181" s="744"/>
      <c r="P181" s="744"/>
    </row>
    <row r="182" spans="1:16">
      <c r="A182" s="751" t="s">
        <v>345</v>
      </c>
      <c r="B182" s="751" t="s">
        <v>1524</v>
      </c>
      <c r="C182" s="752">
        <v>2558.71</v>
      </c>
      <c r="D182" s="753"/>
      <c r="E182" s="753"/>
      <c r="F182" s="754"/>
      <c r="G182" s="754"/>
      <c r="H182" s="754"/>
      <c r="I182" s="744"/>
      <c r="J182" s="744"/>
      <c r="K182" s="744"/>
      <c r="L182" s="744"/>
      <c r="M182" s="744"/>
      <c r="N182" s="744"/>
      <c r="O182" s="744"/>
      <c r="P182" s="744"/>
    </row>
    <row r="183" spans="1:16">
      <c r="A183" s="751" t="s">
        <v>347</v>
      </c>
      <c r="B183" s="751" t="s">
        <v>1525</v>
      </c>
      <c r="C183" s="752">
        <v>0</v>
      </c>
      <c r="D183" s="753"/>
      <c r="E183" s="753"/>
      <c r="F183" s="754"/>
      <c r="G183" s="754"/>
      <c r="H183" s="754"/>
      <c r="I183" s="744"/>
      <c r="J183" s="744"/>
      <c r="K183" s="744"/>
      <c r="L183" s="744"/>
      <c r="M183" s="744"/>
      <c r="N183" s="744"/>
      <c r="O183" s="744"/>
      <c r="P183" s="744"/>
    </row>
    <row r="184" spans="1:16">
      <c r="A184" s="751" t="s">
        <v>349</v>
      </c>
      <c r="B184" s="751" t="s">
        <v>1526</v>
      </c>
      <c r="C184" s="752">
        <v>183</v>
      </c>
      <c r="D184" s="753"/>
      <c r="E184" s="753"/>
      <c r="F184" s="754"/>
      <c r="G184" s="754"/>
      <c r="H184" s="754"/>
      <c r="I184" s="744"/>
      <c r="J184" s="744"/>
      <c r="K184" s="744"/>
      <c r="L184" s="744"/>
      <c r="M184" s="744"/>
      <c r="N184" s="744"/>
      <c r="O184" s="744"/>
      <c r="P184" s="744"/>
    </row>
    <row r="185" spans="1:16">
      <c r="A185" s="751" t="s">
        <v>351</v>
      </c>
      <c r="B185" s="751" t="s">
        <v>1527</v>
      </c>
      <c r="C185" s="752">
        <v>292</v>
      </c>
      <c r="D185" s="753"/>
      <c r="E185" s="753"/>
      <c r="F185" s="754"/>
      <c r="G185" s="754"/>
      <c r="H185" s="754"/>
      <c r="I185" s="744"/>
      <c r="J185" s="744"/>
      <c r="K185" s="744"/>
      <c r="L185" s="744"/>
      <c r="M185" s="744"/>
      <c r="N185" s="744"/>
      <c r="O185" s="744"/>
      <c r="P185" s="744"/>
    </row>
    <row r="186" spans="1:16">
      <c r="A186" s="751" t="s">
        <v>353</v>
      </c>
      <c r="B186" s="751" t="s">
        <v>1528</v>
      </c>
      <c r="C186" s="752">
        <v>26.57</v>
      </c>
      <c r="D186" s="753"/>
      <c r="E186" s="753"/>
      <c r="F186" s="754"/>
      <c r="G186" s="754"/>
      <c r="H186" s="754"/>
      <c r="I186" s="744"/>
      <c r="J186" s="744"/>
      <c r="K186" s="744"/>
      <c r="L186" s="744"/>
      <c r="M186" s="744"/>
      <c r="N186" s="744"/>
      <c r="O186" s="744"/>
      <c r="P186" s="744"/>
    </row>
    <row r="187" spans="1:16">
      <c r="A187" s="751" t="s">
        <v>355</v>
      </c>
      <c r="B187" s="751" t="s">
        <v>1529</v>
      </c>
      <c r="C187" s="752">
        <v>38.86</v>
      </c>
      <c r="D187" s="753"/>
      <c r="E187" s="753"/>
      <c r="F187" s="754"/>
      <c r="G187" s="754"/>
      <c r="H187" s="754"/>
      <c r="I187" s="744"/>
      <c r="J187" s="744"/>
      <c r="K187" s="744"/>
      <c r="L187" s="744"/>
      <c r="M187" s="744"/>
      <c r="N187" s="744"/>
      <c r="O187" s="744"/>
      <c r="P187" s="744"/>
    </row>
    <row r="188" spans="1:16">
      <c r="A188" s="751" t="s">
        <v>357</v>
      </c>
      <c r="B188" s="751" t="s">
        <v>1530</v>
      </c>
      <c r="C188" s="752">
        <v>1340.57</v>
      </c>
      <c r="D188" s="753"/>
      <c r="E188" s="753"/>
      <c r="F188" s="754"/>
      <c r="G188" s="754"/>
      <c r="H188" s="754"/>
      <c r="I188" s="744"/>
      <c r="J188" s="744"/>
      <c r="K188" s="744"/>
      <c r="L188" s="744"/>
      <c r="M188" s="744"/>
      <c r="N188" s="744"/>
      <c r="O188" s="744"/>
      <c r="P188" s="744"/>
    </row>
    <row r="189" spans="1:16">
      <c r="A189" s="751" t="s">
        <v>359</v>
      </c>
      <c r="B189" s="751" t="s">
        <v>626</v>
      </c>
      <c r="C189" s="752">
        <v>77.569999999999993</v>
      </c>
      <c r="D189" s="753"/>
      <c r="E189" s="753"/>
      <c r="F189" s="754"/>
      <c r="G189" s="754"/>
      <c r="H189" s="754"/>
      <c r="I189" s="744"/>
      <c r="J189" s="744"/>
      <c r="K189" s="744"/>
      <c r="L189" s="744"/>
      <c r="M189" s="744"/>
      <c r="N189" s="744"/>
      <c r="O189" s="744"/>
      <c r="P189" s="744"/>
    </row>
    <row r="190" spans="1:16">
      <c r="A190" s="751" t="s">
        <v>361</v>
      </c>
      <c r="B190" s="751" t="s">
        <v>630</v>
      </c>
      <c r="C190" s="752">
        <v>582.29</v>
      </c>
      <c r="D190" s="753"/>
      <c r="E190" s="753"/>
      <c r="F190" s="754"/>
      <c r="G190" s="754"/>
      <c r="H190" s="754"/>
      <c r="I190" s="744"/>
      <c r="J190" s="744"/>
      <c r="K190" s="744"/>
      <c r="L190" s="744"/>
      <c r="M190" s="744"/>
      <c r="N190" s="744"/>
      <c r="O190" s="744"/>
      <c r="P190" s="744"/>
    </row>
    <row r="191" spans="1:16">
      <c r="A191" s="751" t="s">
        <v>363</v>
      </c>
      <c r="B191" s="751" t="s">
        <v>1531</v>
      </c>
      <c r="C191" s="752">
        <v>277.29000000000002</v>
      </c>
      <c r="D191" s="753"/>
      <c r="E191" s="753"/>
      <c r="F191" s="754"/>
      <c r="G191" s="754"/>
      <c r="H191" s="754"/>
      <c r="I191" s="744"/>
      <c r="J191" s="744"/>
      <c r="K191" s="744"/>
      <c r="L191" s="744"/>
      <c r="M191" s="744"/>
      <c r="N191" s="744"/>
      <c r="O191" s="744"/>
      <c r="P191" s="744"/>
    </row>
    <row r="192" spans="1:16">
      <c r="A192" s="751" t="s">
        <v>365</v>
      </c>
      <c r="B192" s="751" t="s">
        <v>1532</v>
      </c>
      <c r="C192" s="752">
        <v>7</v>
      </c>
      <c r="D192" s="753"/>
      <c r="E192" s="753"/>
      <c r="F192" s="754"/>
      <c r="G192" s="754"/>
      <c r="H192" s="754"/>
      <c r="I192" s="744"/>
      <c r="J192" s="744"/>
      <c r="K192" s="744"/>
      <c r="L192" s="744"/>
      <c r="M192" s="744"/>
      <c r="N192" s="744"/>
      <c r="O192" s="744"/>
      <c r="P192" s="744"/>
    </row>
    <row r="193" spans="1:16">
      <c r="A193" s="751" t="s">
        <v>367</v>
      </c>
      <c r="B193" s="751" t="s">
        <v>1533</v>
      </c>
      <c r="C193" s="752">
        <v>64.430000000000007</v>
      </c>
      <c r="D193" s="753"/>
      <c r="E193" s="753"/>
      <c r="F193" s="754"/>
      <c r="G193" s="754"/>
      <c r="H193" s="754"/>
      <c r="I193" s="744"/>
      <c r="J193" s="744"/>
      <c r="K193" s="744"/>
      <c r="L193" s="744"/>
      <c r="M193" s="744"/>
      <c r="N193" s="744"/>
      <c r="O193" s="744"/>
      <c r="P193" s="744"/>
    </row>
    <row r="194" spans="1:16">
      <c r="A194" s="751" t="s">
        <v>369</v>
      </c>
      <c r="B194" s="751" t="s">
        <v>1534</v>
      </c>
      <c r="C194" s="752">
        <v>372.57</v>
      </c>
      <c r="D194" s="753"/>
      <c r="E194" s="753"/>
      <c r="F194" s="754"/>
      <c r="G194" s="754"/>
      <c r="H194" s="754"/>
      <c r="I194" s="744"/>
      <c r="J194" s="744"/>
      <c r="K194" s="744"/>
      <c r="L194" s="744"/>
      <c r="M194" s="744"/>
      <c r="N194" s="744"/>
      <c r="O194" s="744"/>
      <c r="P194" s="744"/>
    </row>
    <row r="195" spans="1:16">
      <c r="A195" s="751" t="s">
        <v>666</v>
      </c>
      <c r="B195" s="751" t="s">
        <v>1535</v>
      </c>
      <c r="C195" s="752">
        <v>0</v>
      </c>
      <c r="D195" s="753"/>
      <c r="E195" s="753"/>
      <c r="F195" s="754"/>
      <c r="G195" s="754"/>
      <c r="H195" s="754"/>
      <c r="I195" s="744"/>
      <c r="J195" s="744"/>
      <c r="K195" s="744"/>
      <c r="L195" s="744"/>
      <c r="M195" s="744"/>
      <c r="N195" s="744"/>
      <c r="O195" s="744"/>
      <c r="P195" s="744"/>
    </row>
    <row r="196" spans="1:16">
      <c r="A196" s="751" t="s">
        <v>668</v>
      </c>
      <c r="B196" s="751" t="s">
        <v>1536</v>
      </c>
      <c r="C196" s="752">
        <v>0</v>
      </c>
      <c r="D196" s="753"/>
      <c r="E196" s="753"/>
      <c r="F196" s="754"/>
      <c r="G196" s="754"/>
      <c r="H196" s="754"/>
      <c r="I196" s="744"/>
      <c r="J196" s="744"/>
      <c r="K196" s="744"/>
      <c r="L196" s="744"/>
      <c r="M196" s="744"/>
      <c r="N196" s="744"/>
      <c r="O196" s="744"/>
      <c r="P196" s="744"/>
    </row>
    <row r="197" spans="1:16">
      <c r="A197" s="751" t="s">
        <v>371</v>
      </c>
      <c r="B197" s="751" t="s">
        <v>1537</v>
      </c>
      <c r="C197" s="752">
        <v>0</v>
      </c>
      <c r="D197" s="753"/>
      <c r="E197" s="753"/>
      <c r="F197" s="754"/>
      <c r="G197" s="754"/>
      <c r="H197" s="754"/>
      <c r="I197" s="744"/>
      <c r="J197" s="744"/>
      <c r="K197" s="744"/>
      <c r="L197" s="744"/>
      <c r="M197" s="744"/>
      <c r="N197" s="744"/>
      <c r="O197" s="744"/>
      <c r="P197" s="744"/>
    </row>
    <row r="198" spans="1:16">
      <c r="A198" s="751" t="s">
        <v>372</v>
      </c>
      <c r="B198" s="751" t="s">
        <v>1538</v>
      </c>
      <c r="C198" s="752">
        <v>25.14</v>
      </c>
      <c r="D198" s="753"/>
      <c r="E198" s="753"/>
      <c r="F198" s="754"/>
      <c r="G198" s="754"/>
      <c r="H198" s="754"/>
      <c r="I198" s="744"/>
      <c r="J198" s="744"/>
      <c r="K198" s="744"/>
      <c r="L198" s="744"/>
      <c r="M198" s="744"/>
      <c r="N198" s="744"/>
      <c r="O198" s="744"/>
      <c r="P198" s="744"/>
    </row>
    <row r="199" spans="1:16">
      <c r="A199" s="751" t="s">
        <v>373</v>
      </c>
      <c r="B199" s="751" t="s">
        <v>1539</v>
      </c>
      <c r="C199" s="752">
        <v>16</v>
      </c>
      <c r="D199" s="753"/>
      <c r="E199" s="753"/>
      <c r="F199" s="754"/>
      <c r="G199" s="754"/>
      <c r="H199" s="754"/>
      <c r="I199" s="744"/>
      <c r="J199" s="744"/>
      <c r="K199" s="744"/>
      <c r="L199" s="744"/>
      <c r="M199" s="744"/>
      <c r="N199" s="744"/>
      <c r="O199" s="744"/>
      <c r="P199" s="744"/>
    </row>
    <row r="200" spans="1:16">
      <c r="A200" s="751" t="s">
        <v>375</v>
      </c>
      <c r="B200" s="751" t="s">
        <v>1269</v>
      </c>
      <c r="C200" s="752">
        <v>32.57</v>
      </c>
      <c r="D200" s="753"/>
      <c r="E200" s="753"/>
      <c r="F200" s="754"/>
      <c r="G200" s="754"/>
      <c r="H200" s="754"/>
      <c r="I200" s="744"/>
      <c r="J200" s="744"/>
      <c r="K200" s="744"/>
      <c r="L200" s="744"/>
      <c r="M200" s="744"/>
      <c r="N200" s="744"/>
      <c r="O200" s="744"/>
      <c r="P200" s="744"/>
    </row>
    <row r="201" spans="1:16">
      <c r="A201" s="751" t="s">
        <v>376</v>
      </c>
      <c r="B201" s="751" t="s">
        <v>1540</v>
      </c>
      <c r="C201" s="752">
        <v>0</v>
      </c>
      <c r="D201" s="753"/>
      <c r="E201" s="753"/>
      <c r="F201" s="754"/>
      <c r="G201" s="754"/>
      <c r="H201" s="754"/>
      <c r="I201" s="744"/>
      <c r="J201" s="744"/>
      <c r="K201" s="744"/>
      <c r="L201" s="744"/>
      <c r="M201" s="744"/>
      <c r="N201" s="744"/>
      <c r="O201" s="744"/>
      <c r="P201" s="744"/>
    </row>
    <row r="202" spans="1:16">
      <c r="A202" s="751" t="s">
        <v>378</v>
      </c>
      <c r="B202" s="751" t="s">
        <v>629</v>
      </c>
      <c r="C202" s="752">
        <v>701.29</v>
      </c>
      <c r="D202" s="753"/>
      <c r="E202" s="753"/>
      <c r="F202" s="754"/>
      <c r="G202" s="754"/>
      <c r="H202" s="754"/>
      <c r="I202" s="744"/>
      <c r="J202" s="744"/>
      <c r="K202" s="744"/>
      <c r="L202" s="744"/>
      <c r="M202" s="744"/>
      <c r="N202" s="744"/>
      <c r="O202" s="744"/>
      <c r="P202" s="744"/>
    </row>
    <row r="203" spans="1:16">
      <c r="A203" s="751" t="s">
        <v>379</v>
      </c>
      <c r="B203" s="751" t="s">
        <v>686</v>
      </c>
      <c r="C203" s="752">
        <v>251.71</v>
      </c>
      <c r="D203" s="753"/>
      <c r="E203" s="753"/>
      <c r="F203" s="754"/>
      <c r="G203" s="754"/>
      <c r="H203" s="754"/>
      <c r="I203" s="744"/>
      <c r="J203" s="744"/>
      <c r="K203" s="744"/>
      <c r="L203" s="744"/>
      <c r="M203" s="744"/>
      <c r="N203" s="744"/>
      <c r="O203" s="744"/>
      <c r="P203" s="744"/>
    </row>
    <row r="204" spans="1:16">
      <c r="A204" s="751" t="s">
        <v>380</v>
      </c>
      <c r="B204" s="751" t="s">
        <v>1541</v>
      </c>
      <c r="C204" s="752">
        <v>54</v>
      </c>
      <c r="D204" s="753"/>
      <c r="E204" s="753"/>
      <c r="F204" s="754"/>
      <c r="G204" s="754"/>
      <c r="H204" s="754"/>
      <c r="I204" s="744"/>
      <c r="J204" s="744"/>
      <c r="K204" s="744"/>
      <c r="L204" s="744"/>
      <c r="M204" s="744"/>
      <c r="N204" s="744"/>
      <c r="O204" s="744"/>
      <c r="P204" s="744"/>
    </row>
    <row r="205" spans="1:16">
      <c r="A205" s="751" t="s">
        <v>382</v>
      </c>
      <c r="B205" s="751" t="s">
        <v>1542</v>
      </c>
      <c r="C205" s="752">
        <v>0</v>
      </c>
      <c r="D205" s="753"/>
      <c r="E205" s="753"/>
      <c r="F205" s="754"/>
      <c r="G205" s="754"/>
      <c r="H205" s="754"/>
      <c r="I205" s="744"/>
      <c r="J205" s="744"/>
      <c r="K205" s="744"/>
      <c r="L205" s="744"/>
      <c r="M205" s="744"/>
      <c r="N205" s="744"/>
      <c r="O205" s="744"/>
      <c r="P205" s="744"/>
    </row>
    <row r="206" spans="1:16">
      <c r="A206" s="751" t="s">
        <v>384</v>
      </c>
      <c r="B206" s="751" t="s">
        <v>1543</v>
      </c>
      <c r="C206" s="752">
        <v>28.71</v>
      </c>
      <c r="D206" s="753"/>
      <c r="E206" s="753"/>
      <c r="F206" s="754"/>
      <c r="G206" s="754"/>
      <c r="H206" s="754"/>
      <c r="I206" s="744"/>
      <c r="J206" s="744"/>
      <c r="K206" s="744"/>
      <c r="L206" s="744"/>
      <c r="M206" s="744"/>
      <c r="N206" s="744"/>
      <c r="O206" s="744"/>
      <c r="P206" s="744"/>
    </row>
    <row r="207" spans="1:16">
      <c r="A207" s="751" t="s">
        <v>386</v>
      </c>
      <c r="B207" s="751" t="s">
        <v>1544</v>
      </c>
      <c r="C207" s="752">
        <v>1590.57</v>
      </c>
      <c r="D207" s="753"/>
      <c r="E207" s="753"/>
      <c r="F207" s="754"/>
      <c r="G207" s="754"/>
      <c r="H207" s="754"/>
      <c r="I207" s="744"/>
      <c r="J207" s="744"/>
      <c r="K207" s="744"/>
      <c r="L207" s="744"/>
      <c r="M207" s="744"/>
      <c r="N207" s="744"/>
      <c r="O207" s="744"/>
      <c r="P207" s="744"/>
    </row>
    <row r="208" spans="1:16">
      <c r="A208" s="751" t="s">
        <v>387</v>
      </c>
      <c r="B208" s="751" t="s">
        <v>1545</v>
      </c>
      <c r="C208" s="752">
        <v>0</v>
      </c>
      <c r="D208" s="753"/>
      <c r="E208" s="753"/>
      <c r="F208" s="754"/>
      <c r="G208" s="754"/>
      <c r="H208" s="754"/>
      <c r="I208" s="744"/>
      <c r="J208" s="744"/>
      <c r="K208" s="744"/>
      <c r="L208" s="744"/>
      <c r="M208" s="744"/>
      <c r="N208" s="744"/>
      <c r="O208" s="744"/>
      <c r="P208" s="744"/>
    </row>
    <row r="209" spans="1:16">
      <c r="A209" s="751" t="s">
        <v>389</v>
      </c>
      <c r="B209" s="751" t="s">
        <v>1546</v>
      </c>
      <c r="C209" s="752">
        <v>0</v>
      </c>
      <c r="D209" s="753"/>
      <c r="E209" s="753"/>
      <c r="F209" s="754"/>
      <c r="G209" s="754"/>
      <c r="H209" s="754"/>
      <c r="I209" s="744"/>
      <c r="J209" s="744"/>
      <c r="K209" s="744"/>
      <c r="L209" s="744"/>
      <c r="M209" s="744"/>
      <c r="N209" s="744"/>
      <c r="O209" s="744"/>
      <c r="P209" s="744"/>
    </row>
    <row r="210" spans="1:16">
      <c r="A210" s="751" t="s">
        <v>391</v>
      </c>
      <c r="B210" s="751" t="s">
        <v>1547</v>
      </c>
      <c r="C210" s="752">
        <v>0</v>
      </c>
      <c r="D210" s="753"/>
      <c r="E210" s="753"/>
      <c r="F210" s="754"/>
      <c r="G210" s="754"/>
      <c r="H210" s="754"/>
      <c r="I210" s="744"/>
      <c r="J210" s="744"/>
      <c r="K210" s="744"/>
      <c r="L210" s="744"/>
      <c r="M210" s="744"/>
      <c r="N210" s="744"/>
      <c r="O210" s="744"/>
      <c r="P210" s="744"/>
    </row>
    <row r="211" spans="1:16">
      <c r="A211" s="751" t="s">
        <v>393</v>
      </c>
      <c r="B211" s="751" t="s">
        <v>1548</v>
      </c>
      <c r="C211" s="752">
        <v>23.57</v>
      </c>
      <c r="D211" s="753"/>
      <c r="E211" s="753"/>
      <c r="F211" s="754"/>
      <c r="G211" s="754"/>
      <c r="H211" s="754"/>
      <c r="I211" s="744"/>
      <c r="J211" s="744"/>
      <c r="K211" s="744"/>
      <c r="L211" s="744"/>
      <c r="M211" s="744"/>
      <c r="N211" s="744"/>
      <c r="O211" s="744"/>
      <c r="P211" s="744"/>
    </row>
    <row r="212" spans="1:16">
      <c r="A212" s="751" t="s">
        <v>395</v>
      </c>
      <c r="B212" s="751" t="s">
        <v>635</v>
      </c>
      <c r="C212" s="752">
        <v>2016.57</v>
      </c>
      <c r="D212" s="753"/>
      <c r="E212" s="753"/>
      <c r="F212" s="754"/>
      <c r="G212" s="754"/>
      <c r="H212" s="754"/>
      <c r="I212" s="744"/>
      <c r="J212" s="744"/>
      <c r="K212" s="744"/>
      <c r="L212" s="744"/>
      <c r="M212" s="744"/>
      <c r="N212" s="744"/>
      <c r="O212" s="744"/>
      <c r="P212" s="744"/>
    </row>
    <row r="213" spans="1:16">
      <c r="A213" s="751" t="s">
        <v>397</v>
      </c>
      <c r="B213" s="751" t="s">
        <v>1549</v>
      </c>
      <c r="C213" s="752">
        <v>289.43</v>
      </c>
      <c r="D213" s="753"/>
      <c r="E213" s="753"/>
      <c r="F213" s="754"/>
      <c r="G213" s="754"/>
      <c r="H213" s="754"/>
      <c r="I213" s="744"/>
      <c r="J213" s="744"/>
      <c r="K213" s="744"/>
      <c r="L213" s="744"/>
      <c r="M213" s="744"/>
      <c r="N213" s="744"/>
      <c r="O213" s="744"/>
      <c r="P213" s="744"/>
    </row>
    <row r="214" spans="1:16">
      <c r="A214" s="751" t="s">
        <v>399</v>
      </c>
      <c r="B214" s="751" t="s">
        <v>1550</v>
      </c>
      <c r="C214" s="752">
        <v>2578.14</v>
      </c>
      <c r="D214" s="753"/>
      <c r="E214" s="753"/>
      <c r="F214" s="754"/>
      <c r="G214" s="754"/>
      <c r="H214" s="754"/>
      <c r="I214" s="744"/>
      <c r="J214" s="744"/>
      <c r="K214" s="744"/>
      <c r="L214" s="744"/>
      <c r="M214" s="744"/>
      <c r="N214" s="744"/>
      <c r="O214" s="744"/>
      <c r="P214" s="744"/>
    </row>
    <row r="215" spans="1:16">
      <c r="A215" s="751" t="s">
        <v>401</v>
      </c>
      <c r="B215" s="751" t="s">
        <v>1551</v>
      </c>
      <c r="C215" s="752">
        <v>2230</v>
      </c>
      <c r="D215" s="753"/>
      <c r="E215" s="753"/>
      <c r="F215" s="754"/>
      <c r="G215" s="754"/>
      <c r="H215" s="754"/>
      <c r="I215" s="744"/>
      <c r="J215" s="744"/>
      <c r="K215" s="744"/>
      <c r="L215" s="744"/>
      <c r="M215" s="744"/>
      <c r="N215" s="744"/>
      <c r="O215" s="744"/>
      <c r="P215" s="744"/>
    </row>
    <row r="216" spans="1:16">
      <c r="A216" s="751" t="s">
        <v>403</v>
      </c>
      <c r="B216" s="751" t="s">
        <v>1552</v>
      </c>
      <c r="C216" s="752">
        <v>194.43</v>
      </c>
      <c r="D216" s="753"/>
      <c r="E216" s="753"/>
      <c r="F216" s="756"/>
      <c r="G216" s="756"/>
      <c r="H216" s="757"/>
      <c r="I216" s="757"/>
      <c r="J216" s="744"/>
      <c r="K216" s="744"/>
      <c r="L216" s="744"/>
      <c r="M216" s="744"/>
      <c r="N216" s="744"/>
      <c r="O216" s="744"/>
      <c r="P216" s="744"/>
    </row>
    <row r="217" spans="1:16">
      <c r="A217" s="751" t="s">
        <v>405</v>
      </c>
      <c r="B217" s="751" t="s">
        <v>1553</v>
      </c>
      <c r="C217" s="752">
        <v>834.86</v>
      </c>
      <c r="D217" s="753"/>
      <c r="E217" s="753"/>
      <c r="F217" s="756"/>
      <c r="G217" s="756"/>
      <c r="H217" s="757"/>
      <c r="I217" s="757"/>
      <c r="J217" s="744"/>
      <c r="K217" s="744"/>
      <c r="L217" s="744"/>
      <c r="M217" s="744"/>
      <c r="N217" s="744"/>
      <c r="O217" s="744"/>
      <c r="P217" s="744"/>
    </row>
    <row r="218" spans="1:16">
      <c r="A218" s="751" t="s">
        <v>407</v>
      </c>
      <c r="B218" s="751" t="s">
        <v>1554</v>
      </c>
      <c r="C218" s="752">
        <v>0</v>
      </c>
      <c r="D218" s="753"/>
      <c r="E218" s="753"/>
      <c r="F218" s="756"/>
      <c r="G218" s="756"/>
      <c r="H218" s="757"/>
      <c r="I218" s="757"/>
      <c r="J218" s="744"/>
      <c r="K218" s="744"/>
      <c r="L218" s="744"/>
      <c r="M218" s="744"/>
      <c r="N218" s="744"/>
      <c r="O218" s="744"/>
      <c r="P218" s="744"/>
    </row>
    <row r="219" spans="1:16">
      <c r="A219" s="751" t="s">
        <v>409</v>
      </c>
      <c r="B219" s="751" t="s">
        <v>1555</v>
      </c>
      <c r="C219" s="752">
        <v>525.42999999999995</v>
      </c>
      <c r="D219" s="753"/>
      <c r="E219" s="753"/>
      <c r="F219" s="756"/>
      <c r="G219" s="756"/>
      <c r="H219" s="757"/>
      <c r="I219" s="757"/>
      <c r="J219" s="744"/>
      <c r="K219" s="744"/>
      <c r="L219" s="744"/>
      <c r="M219" s="744"/>
      <c r="N219" s="744"/>
      <c r="O219" s="744"/>
      <c r="P219" s="744"/>
    </row>
    <row r="220" spans="1:16">
      <c r="A220" s="751" t="s">
        <v>411</v>
      </c>
      <c r="B220" s="751" t="s">
        <v>1556</v>
      </c>
      <c r="C220" s="752">
        <v>310.70999999999998</v>
      </c>
      <c r="D220" s="753"/>
      <c r="E220" s="753"/>
      <c r="F220" s="756"/>
      <c r="G220" s="756"/>
      <c r="H220" s="757"/>
      <c r="I220" s="757"/>
      <c r="J220" s="744"/>
      <c r="K220" s="744"/>
      <c r="L220" s="744"/>
      <c r="M220" s="744"/>
      <c r="N220" s="744"/>
      <c r="O220" s="744"/>
      <c r="P220" s="744"/>
    </row>
    <row r="221" spans="1:16">
      <c r="A221" s="751" t="s">
        <v>413</v>
      </c>
      <c r="B221" s="751" t="s">
        <v>1557</v>
      </c>
      <c r="C221" s="752">
        <v>105</v>
      </c>
      <c r="D221" s="753"/>
      <c r="E221" s="753"/>
      <c r="F221" s="756"/>
      <c r="G221" s="756"/>
      <c r="H221" s="757"/>
      <c r="I221" s="757"/>
      <c r="J221" s="744"/>
      <c r="K221" s="744"/>
      <c r="L221" s="744"/>
      <c r="M221" s="744"/>
      <c r="N221" s="744"/>
      <c r="O221" s="744"/>
      <c r="P221" s="744"/>
    </row>
    <row r="222" spans="1:16">
      <c r="A222" s="751" t="s">
        <v>415</v>
      </c>
      <c r="B222" s="751" t="s">
        <v>1558</v>
      </c>
      <c r="C222" s="752">
        <v>130</v>
      </c>
      <c r="D222" s="753"/>
      <c r="E222" s="753"/>
      <c r="F222" s="756"/>
      <c r="G222" s="756"/>
      <c r="H222" s="757"/>
      <c r="I222" s="757"/>
      <c r="J222" s="744"/>
      <c r="K222" s="744"/>
      <c r="L222" s="744"/>
      <c r="M222" s="744"/>
      <c r="N222" s="744"/>
      <c r="O222" s="744"/>
      <c r="P222" s="744"/>
    </row>
    <row r="223" spans="1:16">
      <c r="A223" s="751" t="s">
        <v>417</v>
      </c>
      <c r="B223" s="751" t="s">
        <v>1559</v>
      </c>
      <c r="C223" s="752">
        <v>0</v>
      </c>
      <c r="D223" s="753"/>
      <c r="E223" s="753"/>
      <c r="F223" s="754"/>
      <c r="G223" s="754"/>
      <c r="H223" s="754"/>
      <c r="I223" s="744"/>
      <c r="J223" s="744"/>
      <c r="K223" s="744"/>
      <c r="L223" s="744"/>
      <c r="M223" s="744"/>
      <c r="N223" s="744"/>
      <c r="O223" s="744"/>
      <c r="P223" s="744"/>
    </row>
    <row r="224" spans="1:16">
      <c r="A224" s="751" t="s">
        <v>419</v>
      </c>
      <c r="B224" s="751" t="s">
        <v>1560</v>
      </c>
      <c r="C224" s="752">
        <v>33.57</v>
      </c>
      <c r="D224" s="753"/>
      <c r="E224" s="753"/>
      <c r="F224" s="754"/>
      <c r="G224" s="754"/>
      <c r="H224" s="754"/>
      <c r="I224" s="744"/>
      <c r="J224" s="744"/>
      <c r="K224" s="744"/>
      <c r="L224" s="744"/>
      <c r="M224" s="744"/>
      <c r="N224" s="744"/>
      <c r="O224" s="744"/>
      <c r="P224" s="744"/>
    </row>
    <row r="225" spans="1:16">
      <c r="A225" s="751" t="s">
        <v>421</v>
      </c>
      <c r="B225" s="751" t="s">
        <v>1561</v>
      </c>
      <c r="C225" s="752">
        <v>81.86</v>
      </c>
      <c r="D225" s="753"/>
      <c r="E225" s="753"/>
      <c r="F225" s="754"/>
      <c r="G225" s="754"/>
      <c r="H225" s="754"/>
      <c r="I225" s="744"/>
      <c r="J225" s="744"/>
      <c r="K225" s="744"/>
      <c r="L225" s="744"/>
      <c r="M225" s="744"/>
      <c r="N225" s="744"/>
      <c r="O225" s="744"/>
      <c r="P225" s="744"/>
    </row>
    <row r="226" spans="1:16">
      <c r="A226" s="751" t="s">
        <v>422</v>
      </c>
      <c r="B226" s="751" t="s">
        <v>1562</v>
      </c>
      <c r="C226" s="752">
        <v>1431</v>
      </c>
      <c r="D226" s="753"/>
      <c r="E226" s="753"/>
      <c r="F226" s="754"/>
      <c r="G226" s="754"/>
      <c r="H226" s="754"/>
      <c r="I226" s="744"/>
      <c r="J226" s="744"/>
      <c r="K226" s="744"/>
      <c r="L226" s="744"/>
      <c r="M226" s="744"/>
      <c r="N226" s="744"/>
      <c r="O226" s="744"/>
      <c r="P226" s="744"/>
    </row>
    <row r="227" spans="1:16">
      <c r="A227" s="751" t="s">
        <v>424</v>
      </c>
      <c r="B227" s="751" t="s">
        <v>1563</v>
      </c>
      <c r="C227" s="752">
        <v>0</v>
      </c>
      <c r="D227" s="753"/>
      <c r="E227" s="753"/>
      <c r="F227" s="754"/>
      <c r="G227" s="754"/>
      <c r="H227" s="754"/>
      <c r="I227" s="744"/>
      <c r="J227" s="744"/>
      <c r="K227" s="744"/>
      <c r="L227" s="744"/>
      <c r="M227" s="744"/>
      <c r="N227" s="744"/>
      <c r="O227" s="744"/>
      <c r="P227" s="744"/>
    </row>
    <row r="228" spans="1:16">
      <c r="A228" s="751" t="s">
        <v>426</v>
      </c>
      <c r="B228" s="751" t="s">
        <v>1564</v>
      </c>
      <c r="C228" s="752">
        <v>0</v>
      </c>
      <c r="D228" s="753"/>
      <c r="E228" s="753"/>
      <c r="F228" s="754"/>
      <c r="G228" s="754"/>
      <c r="H228" s="754"/>
      <c r="I228" s="744"/>
      <c r="J228" s="744"/>
      <c r="K228" s="744"/>
      <c r="L228" s="744"/>
      <c r="M228" s="744"/>
      <c r="N228" s="744"/>
      <c r="O228" s="744"/>
      <c r="P228" s="744"/>
    </row>
    <row r="229" spans="1:16">
      <c r="A229" s="751" t="s">
        <v>428</v>
      </c>
      <c r="B229" s="751" t="s">
        <v>1565</v>
      </c>
      <c r="C229" s="752">
        <v>0</v>
      </c>
      <c r="D229" s="753"/>
      <c r="E229" s="753"/>
      <c r="F229" s="754"/>
      <c r="G229" s="754"/>
      <c r="H229" s="754"/>
      <c r="I229" s="744"/>
      <c r="J229" s="744"/>
      <c r="K229" s="744"/>
      <c r="L229" s="744"/>
      <c r="M229" s="744"/>
      <c r="N229" s="744"/>
      <c r="O229" s="744"/>
      <c r="P229" s="744"/>
    </row>
    <row r="230" spans="1:16">
      <c r="A230" s="751" t="s">
        <v>430</v>
      </c>
      <c r="B230" s="751" t="s">
        <v>1566</v>
      </c>
      <c r="C230" s="752">
        <v>7.43</v>
      </c>
      <c r="D230" s="753"/>
      <c r="E230" s="753"/>
      <c r="F230" s="754"/>
      <c r="G230" s="754"/>
      <c r="H230" s="754"/>
      <c r="I230" s="744"/>
      <c r="J230" s="744"/>
      <c r="K230" s="744"/>
      <c r="L230" s="744"/>
      <c r="M230" s="744"/>
      <c r="N230" s="744"/>
      <c r="O230" s="744"/>
      <c r="P230" s="744"/>
    </row>
    <row r="231" spans="1:16">
      <c r="A231" s="751" t="s">
        <v>432</v>
      </c>
      <c r="B231" s="751" t="s">
        <v>1567</v>
      </c>
      <c r="C231" s="752">
        <v>251.14</v>
      </c>
      <c r="D231" s="753"/>
      <c r="E231" s="753"/>
      <c r="F231" s="754"/>
      <c r="G231" s="754"/>
      <c r="H231" s="754"/>
      <c r="I231" s="744"/>
      <c r="J231" s="744"/>
      <c r="K231" s="744"/>
      <c r="L231" s="744"/>
      <c r="M231" s="744"/>
      <c r="N231" s="744"/>
      <c r="O231" s="744"/>
      <c r="P231" s="744"/>
    </row>
    <row r="232" spans="1:16">
      <c r="A232" s="751" t="s">
        <v>434</v>
      </c>
      <c r="B232" s="751" t="s">
        <v>1568</v>
      </c>
      <c r="C232" s="752">
        <v>336.86</v>
      </c>
      <c r="D232" s="753"/>
      <c r="E232" s="753"/>
      <c r="F232" s="754"/>
      <c r="G232" s="754"/>
      <c r="H232" s="754"/>
      <c r="I232" s="744"/>
      <c r="J232" s="744"/>
      <c r="K232" s="744"/>
      <c r="L232" s="744"/>
      <c r="M232" s="744"/>
      <c r="N232" s="744"/>
      <c r="O232" s="744"/>
      <c r="P232" s="744"/>
    </row>
    <row r="233" spans="1:16">
      <c r="A233" s="751" t="s">
        <v>436</v>
      </c>
      <c r="B233" s="751" t="s">
        <v>1569</v>
      </c>
      <c r="C233" s="752">
        <v>0</v>
      </c>
      <c r="D233" s="753"/>
      <c r="E233" s="753"/>
      <c r="F233" s="754"/>
      <c r="G233" s="754"/>
      <c r="H233" s="754"/>
      <c r="I233" s="744"/>
      <c r="J233" s="744"/>
      <c r="K233" s="744"/>
      <c r="L233" s="744"/>
      <c r="M233" s="744"/>
      <c r="N233" s="744"/>
      <c r="O233" s="744"/>
      <c r="P233" s="744"/>
    </row>
    <row r="234" spans="1:16">
      <c r="A234" s="751" t="s">
        <v>438</v>
      </c>
      <c r="B234" s="751" t="s">
        <v>1570</v>
      </c>
      <c r="C234" s="752">
        <v>96.71</v>
      </c>
      <c r="D234" s="753"/>
      <c r="E234" s="753"/>
      <c r="F234" s="754"/>
      <c r="G234" s="754"/>
      <c r="H234" s="754"/>
      <c r="I234" s="744"/>
      <c r="J234" s="744"/>
      <c r="K234" s="744"/>
      <c r="L234" s="744"/>
      <c r="M234" s="744"/>
      <c r="N234" s="744"/>
      <c r="O234" s="744"/>
      <c r="P234" s="744"/>
    </row>
    <row r="235" spans="1:16">
      <c r="A235" s="751" t="s">
        <v>440</v>
      </c>
      <c r="B235" s="751" t="s">
        <v>1571</v>
      </c>
      <c r="C235" s="752">
        <v>119.71</v>
      </c>
      <c r="D235" s="753"/>
      <c r="E235" s="753"/>
      <c r="F235" s="754"/>
      <c r="G235" s="754"/>
      <c r="H235" s="754"/>
      <c r="I235" s="744"/>
      <c r="J235" s="744"/>
      <c r="K235" s="744"/>
      <c r="L235" s="744"/>
      <c r="M235" s="744"/>
      <c r="N235" s="744"/>
      <c r="O235" s="744"/>
      <c r="P235" s="744"/>
    </row>
    <row r="236" spans="1:16">
      <c r="A236" s="751" t="s">
        <v>441</v>
      </c>
      <c r="B236" s="751" t="s">
        <v>1572</v>
      </c>
      <c r="C236" s="752">
        <v>0</v>
      </c>
      <c r="D236" s="753"/>
      <c r="E236" s="753"/>
      <c r="F236" s="754"/>
      <c r="G236" s="754"/>
      <c r="H236" s="754"/>
      <c r="I236" s="744"/>
      <c r="J236" s="744"/>
      <c r="K236" s="744"/>
      <c r="L236" s="744"/>
      <c r="M236" s="744"/>
      <c r="N236" s="744"/>
      <c r="O236" s="744"/>
      <c r="P236" s="744"/>
    </row>
    <row r="237" spans="1:16">
      <c r="A237" s="751" t="s">
        <v>443</v>
      </c>
      <c r="B237" s="751" t="s">
        <v>1573</v>
      </c>
      <c r="C237" s="752">
        <v>107.14</v>
      </c>
      <c r="D237" s="753"/>
      <c r="E237" s="753"/>
      <c r="F237" s="754"/>
      <c r="G237" s="754"/>
      <c r="H237" s="754"/>
      <c r="I237" s="744"/>
      <c r="J237" s="744"/>
      <c r="K237" s="744"/>
      <c r="L237" s="744"/>
      <c r="M237" s="744"/>
      <c r="N237" s="744"/>
      <c r="O237" s="744"/>
      <c r="P237" s="744"/>
    </row>
    <row r="238" spans="1:16">
      <c r="A238" s="751" t="s">
        <v>444</v>
      </c>
      <c r="B238" s="751" t="s">
        <v>1574</v>
      </c>
      <c r="C238" s="752">
        <v>7.43</v>
      </c>
      <c r="D238" s="753"/>
      <c r="E238" s="753"/>
      <c r="F238" s="754"/>
      <c r="G238" s="754"/>
      <c r="H238" s="754"/>
      <c r="I238" s="744"/>
      <c r="J238" s="744"/>
      <c r="K238" s="744"/>
      <c r="L238" s="744"/>
      <c r="M238" s="744"/>
      <c r="N238" s="744"/>
      <c r="O238" s="744"/>
      <c r="P238" s="744"/>
    </row>
    <row r="239" spans="1:16">
      <c r="A239" s="751" t="s">
        <v>446</v>
      </c>
      <c r="B239" s="751" t="s">
        <v>1575</v>
      </c>
      <c r="C239" s="752">
        <v>13.43</v>
      </c>
      <c r="D239" s="753"/>
      <c r="E239" s="753"/>
      <c r="F239" s="754"/>
      <c r="G239" s="754"/>
      <c r="H239" s="754"/>
      <c r="I239" s="744"/>
      <c r="J239" s="744"/>
      <c r="K239" s="744"/>
      <c r="L239" s="744"/>
      <c r="M239" s="744"/>
      <c r="N239" s="744"/>
      <c r="O239" s="744"/>
      <c r="P239" s="744"/>
    </row>
    <row r="240" spans="1:16">
      <c r="A240" s="751" t="s">
        <v>448</v>
      </c>
      <c r="B240" s="751" t="s">
        <v>1576</v>
      </c>
      <c r="C240" s="752">
        <v>0</v>
      </c>
      <c r="D240" s="753"/>
      <c r="E240" s="753"/>
      <c r="F240" s="754"/>
      <c r="G240" s="754"/>
      <c r="H240" s="754"/>
      <c r="I240" s="744"/>
      <c r="J240" s="744"/>
      <c r="K240" s="744"/>
      <c r="L240" s="744"/>
      <c r="M240" s="744"/>
      <c r="N240" s="744"/>
      <c r="O240" s="744"/>
      <c r="P240" s="744"/>
    </row>
    <row r="241" spans="1:16">
      <c r="A241" s="751" t="s">
        <v>450</v>
      </c>
      <c r="B241" s="751" t="s">
        <v>1577</v>
      </c>
      <c r="C241" s="752">
        <v>5.14</v>
      </c>
      <c r="D241" s="753"/>
      <c r="E241" s="753"/>
      <c r="F241" s="754"/>
      <c r="G241" s="754"/>
      <c r="H241" s="754"/>
      <c r="I241" s="744"/>
      <c r="J241" s="744"/>
      <c r="K241" s="744"/>
      <c r="L241" s="744"/>
      <c r="M241" s="744"/>
      <c r="N241" s="744"/>
      <c r="O241" s="744"/>
      <c r="P241" s="744"/>
    </row>
    <row r="242" spans="1:16">
      <c r="A242" s="751" t="s">
        <v>452</v>
      </c>
      <c r="B242" s="751" t="s">
        <v>1578</v>
      </c>
      <c r="C242" s="752">
        <v>0</v>
      </c>
      <c r="D242" s="753"/>
      <c r="E242" s="753"/>
      <c r="F242" s="754"/>
      <c r="G242" s="754"/>
      <c r="H242" s="754"/>
      <c r="I242" s="744"/>
      <c r="J242" s="744"/>
      <c r="K242" s="744"/>
      <c r="L242" s="744"/>
      <c r="M242" s="744"/>
      <c r="N242" s="744"/>
      <c r="O242" s="744"/>
      <c r="P242" s="744"/>
    </row>
    <row r="243" spans="1:16">
      <c r="A243" s="751" t="s">
        <v>454</v>
      </c>
      <c r="B243" s="751" t="s">
        <v>1579</v>
      </c>
      <c r="C243" s="752">
        <v>0</v>
      </c>
      <c r="D243" s="753"/>
      <c r="E243" s="753"/>
      <c r="F243" s="754"/>
      <c r="G243" s="754"/>
      <c r="H243" s="754"/>
      <c r="I243" s="744"/>
      <c r="J243" s="744"/>
      <c r="K243" s="744"/>
      <c r="L243" s="744"/>
      <c r="M243" s="744"/>
      <c r="N243" s="744"/>
      <c r="O243" s="744"/>
      <c r="P243" s="744"/>
    </row>
    <row r="244" spans="1:16">
      <c r="A244" s="751" t="s">
        <v>456</v>
      </c>
      <c r="B244" s="751" t="s">
        <v>1580</v>
      </c>
      <c r="C244" s="752">
        <v>31.71</v>
      </c>
      <c r="D244" s="753"/>
      <c r="E244" s="753"/>
      <c r="F244" s="754"/>
      <c r="G244" s="754"/>
      <c r="H244" s="754"/>
      <c r="I244" s="744"/>
      <c r="J244" s="744"/>
      <c r="K244" s="744"/>
      <c r="L244" s="744"/>
      <c r="M244" s="744"/>
      <c r="N244" s="744"/>
      <c r="O244" s="744"/>
      <c r="P244" s="744"/>
    </row>
    <row r="245" spans="1:16">
      <c r="A245" s="751" t="s">
        <v>458</v>
      </c>
      <c r="B245" s="751" t="s">
        <v>1581</v>
      </c>
      <c r="C245" s="752">
        <v>0</v>
      </c>
      <c r="D245" s="753"/>
      <c r="E245" s="753"/>
      <c r="F245" s="754"/>
      <c r="G245" s="754"/>
      <c r="H245" s="754"/>
      <c r="I245" s="744"/>
      <c r="J245" s="744"/>
      <c r="K245" s="744"/>
      <c r="L245" s="744"/>
      <c r="M245" s="744"/>
      <c r="N245" s="744"/>
      <c r="O245" s="744"/>
      <c r="P245" s="744"/>
    </row>
    <row r="246" spans="1:16">
      <c r="A246" s="751" t="s">
        <v>460</v>
      </c>
      <c r="B246" s="751" t="s">
        <v>1582</v>
      </c>
      <c r="C246" s="752">
        <v>0</v>
      </c>
      <c r="D246" s="753"/>
      <c r="E246" s="753"/>
      <c r="F246" s="754"/>
      <c r="G246" s="754"/>
      <c r="H246" s="754"/>
      <c r="I246" s="744"/>
      <c r="J246" s="744"/>
      <c r="K246" s="744"/>
      <c r="L246" s="744"/>
      <c r="M246" s="744"/>
      <c r="N246" s="744"/>
      <c r="O246" s="744"/>
      <c r="P246" s="744"/>
    </row>
    <row r="247" spans="1:16">
      <c r="A247" s="751" t="s">
        <v>462</v>
      </c>
      <c r="B247" s="751" t="s">
        <v>1583</v>
      </c>
      <c r="C247" s="752">
        <v>0</v>
      </c>
      <c r="D247" s="753"/>
      <c r="E247" s="753"/>
      <c r="F247" s="754"/>
      <c r="G247" s="754"/>
      <c r="H247" s="754"/>
      <c r="I247" s="744"/>
      <c r="J247" s="744"/>
      <c r="K247" s="744"/>
      <c r="L247" s="744"/>
      <c r="M247" s="744"/>
      <c r="N247" s="744"/>
      <c r="O247" s="744"/>
      <c r="P247" s="744"/>
    </row>
    <row r="248" spans="1:16">
      <c r="A248" s="751" t="s">
        <v>464</v>
      </c>
      <c r="B248" s="751" t="s">
        <v>1584</v>
      </c>
      <c r="C248" s="752">
        <v>0</v>
      </c>
      <c r="D248" s="753"/>
      <c r="E248" s="753"/>
      <c r="F248" s="754"/>
      <c r="G248" s="754"/>
      <c r="H248" s="754"/>
      <c r="I248" s="744"/>
      <c r="J248" s="744"/>
      <c r="K248" s="744"/>
      <c r="L248" s="744"/>
      <c r="M248" s="744"/>
      <c r="N248" s="744"/>
      <c r="O248" s="744"/>
      <c r="P248" s="744"/>
    </row>
    <row r="249" spans="1:16">
      <c r="A249" s="751" t="s">
        <v>466</v>
      </c>
      <c r="B249" s="751" t="s">
        <v>1585</v>
      </c>
      <c r="C249" s="752">
        <v>0</v>
      </c>
      <c r="D249" s="753"/>
      <c r="E249" s="753"/>
      <c r="F249" s="754"/>
      <c r="G249" s="754"/>
      <c r="H249" s="754"/>
      <c r="I249" s="744"/>
      <c r="J249" s="744"/>
      <c r="K249" s="744"/>
      <c r="L249" s="744"/>
      <c r="M249" s="744"/>
      <c r="N249" s="744"/>
      <c r="O249" s="744"/>
      <c r="P249" s="744"/>
    </row>
    <row r="250" spans="1:16">
      <c r="A250" s="751" t="s">
        <v>468</v>
      </c>
      <c r="B250" s="751" t="s">
        <v>1586</v>
      </c>
      <c r="C250" s="752">
        <v>0</v>
      </c>
      <c r="D250" s="753"/>
      <c r="E250" s="753"/>
      <c r="F250" s="754"/>
      <c r="G250" s="754"/>
      <c r="H250" s="754"/>
      <c r="I250" s="744"/>
      <c r="J250" s="744"/>
      <c r="K250" s="744"/>
      <c r="L250" s="744"/>
      <c r="M250" s="744"/>
      <c r="N250" s="744"/>
      <c r="O250" s="744"/>
      <c r="P250" s="744"/>
    </row>
    <row r="251" spans="1:16">
      <c r="A251" s="751" t="s">
        <v>470</v>
      </c>
      <c r="B251" s="751" t="s">
        <v>1587</v>
      </c>
      <c r="C251" s="752">
        <v>0</v>
      </c>
      <c r="D251" s="753"/>
      <c r="E251" s="753"/>
      <c r="F251" s="754"/>
      <c r="G251" s="754"/>
      <c r="H251" s="754"/>
      <c r="I251" s="744"/>
      <c r="J251" s="744"/>
      <c r="K251" s="744"/>
      <c r="L251" s="744"/>
      <c r="M251" s="744"/>
      <c r="N251" s="744"/>
      <c r="O251" s="744"/>
      <c r="P251" s="744"/>
    </row>
    <row r="252" spans="1:16">
      <c r="A252" s="751" t="s">
        <v>472</v>
      </c>
      <c r="B252" s="751" t="s">
        <v>1588</v>
      </c>
      <c r="C252" s="752">
        <v>98.43</v>
      </c>
      <c r="D252" s="753"/>
      <c r="E252" s="753"/>
      <c r="F252" s="754"/>
      <c r="G252" s="754"/>
      <c r="H252" s="754"/>
      <c r="I252" s="744"/>
      <c r="J252" s="744"/>
      <c r="K252" s="744"/>
      <c r="L252" s="744"/>
      <c r="M252" s="744"/>
      <c r="N252" s="744"/>
      <c r="O252" s="744"/>
      <c r="P252" s="744"/>
    </row>
    <row r="253" spans="1:16">
      <c r="A253" s="751" t="s">
        <v>474</v>
      </c>
      <c r="B253" s="751" t="s">
        <v>631</v>
      </c>
      <c r="C253" s="752">
        <v>606.57000000000005</v>
      </c>
      <c r="D253" s="753"/>
      <c r="E253" s="753"/>
      <c r="F253" s="754"/>
      <c r="G253" s="754"/>
      <c r="H253" s="754"/>
      <c r="I253" s="744"/>
      <c r="J253" s="744"/>
      <c r="K253" s="744"/>
      <c r="L253" s="744"/>
      <c r="M253" s="744"/>
      <c r="N253" s="744"/>
      <c r="O253" s="744"/>
      <c r="P253" s="744"/>
    </row>
    <row r="254" spans="1:16">
      <c r="A254" s="751" t="s">
        <v>476</v>
      </c>
      <c r="B254" s="751" t="s">
        <v>1589</v>
      </c>
      <c r="C254" s="752">
        <v>87.86</v>
      </c>
      <c r="D254" s="753"/>
      <c r="E254" s="753"/>
      <c r="F254" s="754"/>
      <c r="G254" s="754"/>
      <c r="H254" s="754"/>
      <c r="I254" s="744"/>
      <c r="J254" s="744"/>
      <c r="K254" s="744"/>
      <c r="L254" s="744"/>
      <c r="M254" s="744"/>
      <c r="N254" s="744"/>
      <c r="O254" s="744"/>
      <c r="P254" s="744"/>
    </row>
    <row r="255" spans="1:16">
      <c r="A255" s="751" t="s">
        <v>478</v>
      </c>
      <c r="B255" s="751" t="s">
        <v>1590</v>
      </c>
      <c r="C255" s="752">
        <v>191.86</v>
      </c>
      <c r="D255" s="753"/>
      <c r="E255" s="753"/>
      <c r="F255" s="754"/>
      <c r="G255" s="754"/>
      <c r="H255" s="754"/>
      <c r="I255" s="744"/>
      <c r="J255" s="744"/>
      <c r="K255" s="744"/>
      <c r="L255" s="744"/>
      <c r="M255" s="744"/>
      <c r="N255" s="744"/>
      <c r="O255" s="744"/>
      <c r="P255" s="744"/>
    </row>
    <row r="256" spans="1:16">
      <c r="A256" s="751" t="s">
        <v>480</v>
      </c>
      <c r="B256" s="751" t="s">
        <v>1591</v>
      </c>
      <c r="C256" s="752">
        <v>0</v>
      </c>
      <c r="D256" s="753"/>
      <c r="E256" s="753"/>
      <c r="F256" s="754"/>
      <c r="G256" s="754"/>
      <c r="H256" s="754"/>
      <c r="I256" s="744"/>
      <c r="J256" s="744"/>
      <c r="K256" s="744"/>
      <c r="L256" s="744"/>
      <c r="M256" s="744"/>
      <c r="N256" s="744"/>
      <c r="O256" s="744"/>
      <c r="P256" s="744"/>
    </row>
    <row r="257" spans="1:16">
      <c r="A257" s="751" t="s">
        <v>482</v>
      </c>
      <c r="B257" s="751" t="s">
        <v>1592</v>
      </c>
      <c r="C257" s="752">
        <v>5</v>
      </c>
      <c r="D257" s="753"/>
      <c r="E257" s="753"/>
      <c r="F257" s="754"/>
      <c r="G257" s="754"/>
      <c r="H257" s="754"/>
      <c r="I257" s="744"/>
      <c r="J257" s="744"/>
      <c r="K257" s="744"/>
      <c r="L257" s="744"/>
      <c r="M257" s="744"/>
      <c r="N257" s="744"/>
      <c r="O257" s="744"/>
      <c r="P257" s="744"/>
    </row>
    <row r="258" spans="1:16">
      <c r="A258" s="751" t="s">
        <v>484</v>
      </c>
      <c r="B258" s="751" t="s">
        <v>1593</v>
      </c>
      <c r="C258" s="752">
        <v>123.14</v>
      </c>
      <c r="D258" s="753"/>
      <c r="E258" s="753"/>
      <c r="F258" s="754"/>
      <c r="G258" s="754"/>
      <c r="H258" s="754"/>
      <c r="I258" s="744"/>
      <c r="J258" s="744"/>
      <c r="K258" s="744"/>
      <c r="L258" s="744"/>
      <c r="M258" s="744"/>
      <c r="N258" s="744"/>
      <c r="O258" s="744"/>
      <c r="P258" s="744"/>
    </row>
    <row r="259" spans="1:16">
      <c r="A259" s="751" t="s">
        <v>486</v>
      </c>
      <c r="B259" s="751" t="s">
        <v>1594</v>
      </c>
      <c r="C259" s="752">
        <v>13.14</v>
      </c>
      <c r="D259" s="753"/>
      <c r="E259" s="753"/>
      <c r="F259" s="754"/>
      <c r="G259" s="754"/>
      <c r="H259" s="754"/>
      <c r="I259" s="744"/>
      <c r="J259" s="744"/>
      <c r="K259" s="744"/>
      <c r="L259" s="744"/>
      <c r="M259" s="744"/>
      <c r="N259" s="744"/>
      <c r="O259" s="744"/>
      <c r="P259" s="744"/>
    </row>
    <row r="260" spans="1:16">
      <c r="A260" s="755" t="s">
        <v>678</v>
      </c>
      <c r="B260" s="751" t="s">
        <v>679</v>
      </c>
      <c r="C260" s="752">
        <v>0</v>
      </c>
      <c r="D260" s="753"/>
      <c r="E260" s="753"/>
      <c r="F260" s="754"/>
      <c r="G260" s="754"/>
      <c r="H260" s="754"/>
      <c r="I260" s="744"/>
      <c r="J260" s="744"/>
      <c r="K260" s="744"/>
      <c r="L260" s="744"/>
      <c r="M260" s="744"/>
      <c r="N260" s="744"/>
      <c r="O260" s="744"/>
      <c r="P260" s="744"/>
    </row>
    <row r="261" spans="1:16">
      <c r="A261" s="751" t="s">
        <v>488</v>
      </c>
      <c r="B261" s="751" t="s">
        <v>1595</v>
      </c>
      <c r="C261" s="752">
        <v>14</v>
      </c>
      <c r="D261" s="753"/>
      <c r="E261" s="753"/>
      <c r="F261" s="754"/>
      <c r="G261" s="754"/>
      <c r="H261" s="754"/>
      <c r="I261" s="744"/>
      <c r="J261" s="744"/>
      <c r="K261" s="744"/>
      <c r="L261" s="744"/>
      <c r="M261" s="744"/>
      <c r="N261" s="744"/>
      <c r="O261" s="744"/>
      <c r="P261" s="744"/>
    </row>
    <row r="262" spans="1:16">
      <c r="A262" s="751" t="s">
        <v>490</v>
      </c>
      <c r="B262" s="751" t="s">
        <v>1596</v>
      </c>
      <c r="C262" s="752">
        <v>0</v>
      </c>
      <c r="D262" s="753"/>
      <c r="E262" s="753"/>
      <c r="F262" s="754"/>
      <c r="G262" s="754"/>
      <c r="H262" s="754"/>
      <c r="I262" s="744"/>
      <c r="J262" s="744"/>
      <c r="K262" s="744"/>
      <c r="L262" s="744"/>
      <c r="M262" s="744"/>
      <c r="N262" s="744"/>
      <c r="O262" s="744"/>
      <c r="P262" s="744"/>
    </row>
    <row r="263" spans="1:16">
      <c r="A263" s="751" t="s">
        <v>492</v>
      </c>
      <c r="B263" s="751" t="s">
        <v>641</v>
      </c>
      <c r="C263" s="752">
        <v>777.14</v>
      </c>
      <c r="D263" s="753"/>
      <c r="E263" s="753"/>
      <c r="F263" s="754"/>
      <c r="G263" s="754"/>
      <c r="H263" s="754"/>
      <c r="I263" s="744"/>
      <c r="J263" s="744"/>
      <c r="K263" s="744"/>
      <c r="L263" s="744"/>
      <c r="M263" s="744"/>
      <c r="N263" s="744"/>
      <c r="O263" s="744"/>
      <c r="P263" s="744"/>
    </row>
    <row r="264" spans="1:16">
      <c r="A264" s="751" t="s">
        <v>494</v>
      </c>
      <c r="B264" s="751" t="s">
        <v>1597</v>
      </c>
      <c r="C264" s="752">
        <v>188.43</v>
      </c>
      <c r="D264" s="753"/>
      <c r="E264" s="753"/>
      <c r="F264" s="754"/>
      <c r="G264" s="754"/>
      <c r="H264" s="754"/>
      <c r="I264" s="744"/>
      <c r="J264" s="744"/>
      <c r="K264" s="744"/>
      <c r="L264" s="744"/>
      <c r="M264" s="744"/>
      <c r="N264" s="744"/>
      <c r="O264" s="744"/>
      <c r="P264" s="744"/>
    </row>
    <row r="265" spans="1:16">
      <c r="A265" s="751" t="s">
        <v>496</v>
      </c>
      <c r="B265" s="751" t="s">
        <v>1598</v>
      </c>
      <c r="C265" s="752">
        <v>29</v>
      </c>
      <c r="D265" s="753"/>
      <c r="E265" s="753"/>
      <c r="F265" s="754"/>
      <c r="G265" s="754"/>
      <c r="H265" s="754"/>
      <c r="I265" s="744"/>
      <c r="J265" s="744"/>
      <c r="K265" s="744"/>
      <c r="L265" s="744"/>
      <c r="M265" s="744"/>
      <c r="N265" s="744"/>
      <c r="O265" s="744"/>
      <c r="P265" s="744"/>
    </row>
    <row r="266" spans="1:16">
      <c r="A266" s="751" t="s">
        <v>498</v>
      </c>
      <c r="B266" s="751" t="s">
        <v>1599</v>
      </c>
      <c r="C266" s="752">
        <v>109.86</v>
      </c>
      <c r="D266" s="753"/>
      <c r="E266" s="753"/>
      <c r="F266" s="754"/>
      <c r="G266" s="754"/>
      <c r="H266" s="754"/>
      <c r="I266" s="744"/>
      <c r="J266" s="744"/>
      <c r="K266" s="744"/>
      <c r="L266" s="744"/>
      <c r="M266" s="744"/>
      <c r="N266" s="744"/>
      <c r="O266" s="744"/>
      <c r="P266" s="744"/>
    </row>
    <row r="267" spans="1:16">
      <c r="A267" s="751" t="s">
        <v>500</v>
      </c>
      <c r="B267" s="751" t="s">
        <v>1600</v>
      </c>
      <c r="C267" s="752">
        <v>0</v>
      </c>
      <c r="D267" s="753"/>
      <c r="E267" s="753"/>
      <c r="F267" s="754"/>
      <c r="G267" s="754"/>
      <c r="H267" s="754"/>
      <c r="I267" s="744"/>
      <c r="J267" s="744"/>
      <c r="K267" s="744"/>
      <c r="L267" s="744"/>
      <c r="M267" s="744"/>
      <c r="N267" s="744"/>
      <c r="O267" s="744"/>
      <c r="P267" s="744"/>
    </row>
    <row r="268" spans="1:16">
      <c r="A268" s="751" t="s">
        <v>502</v>
      </c>
      <c r="B268" s="751" t="s">
        <v>1601</v>
      </c>
      <c r="C268" s="752">
        <v>120.43</v>
      </c>
      <c r="D268" s="753"/>
      <c r="E268" s="753"/>
      <c r="F268" s="754"/>
      <c r="G268" s="754"/>
      <c r="H268" s="754"/>
      <c r="I268" s="744"/>
      <c r="J268" s="744"/>
      <c r="K268" s="744"/>
      <c r="L268" s="744"/>
      <c r="M268" s="744"/>
      <c r="N268" s="744"/>
      <c r="O268" s="744"/>
      <c r="P268" s="744"/>
    </row>
    <row r="269" spans="1:16">
      <c r="A269" s="751" t="s">
        <v>504</v>
      </c>
      <c r="B269" s="751" t="s">
        <v>628</v>
      </c>
      <c r="C269" s="752">
        <v>639.14</v>
      </c>
      <c r="D269" s="753"/>
      <c r="E269" s="753"/>
      <c r="F269" s="754"/>
      <c r="G269" s="754"/>
      <c r="H269" s="754"/>
      <c r="I269" s="744"/>
      <c r="J269" s="744"/>
      <c r="K269" s="744"/>
      <c r="L269" s="744"/>
      <c r="M269" s="744"/>
      <c r="N269" s="744"/>
      <c r="O269" s="744"/>
      <c r="P269" s="744"/>
    </row>
    <row r="270" spans="1:16">
      <c r="A270" s="751" t="s">
        <v>506</v>
      </c>
      <c r="B270" s="751" t="s">
        <v>1602</v>
      </c>
      <c r="C270" s="752">
        <v>233.71</v>
      </c>
      <c r="D270" s="753"/>
      <c r="E270" s="753"/>
      <c r="F270" s="754"/>
      <c r="G270" s="754"/>
      <c r="H270" s="754"/>
      <c r="I270" s="744"/>
      <c r="J270" s="744"/>
      <c r="K270" s="744"/>
      <c r="L270" s="744"/>
      <c r="M270" s="744"/>
      <c r="N270" s="744"/>
      <c r="O270" s="744"/>
      <c r="P270" s="744"/>
    </row>
    <row r="271" spans="1:16">
      <c r="A271" s="751" t="s">
        <v>508</v>
      </c>
      <c r="B271" s="751" t="s">
        <v>1603</v>
      </c>
      <c r="C271" s="752">
        <v>81.709999999999994</v>
      </c>
      <c r="D271" s="753"/>
      <c r="E271" s="753"/>
      <c r="F271" s="754"/>
      <c r="G271" s="754"/>
      <c r="H271" s="754"/>
      <c r="I271" s="744"/>
      <c r="J271" s="744"/>
      <c r="K271" s="744"/>
      <c r="L271" s="744"/>
      <c r="M271" s="744"/>
      <c r="N271" s="744"/>
      <c r="O271" s="744"/>
      <c r="P271" s="744"/>
    </row>
    <row r="272" spans="1:16">
      <c r="A272" s="751" t="s">
        <v>510</v>
      </c>
      <c r="B272" s="751" t="s">
        <v>1604</v>
      </c>
      <c r="C272" s="752">
        <v>241.43</v>
      </c>
      <c r="D272" s="753"/>
      <c r="E272" s="753"/>
      <c r="F272" s="754"/>
      <c r="G272" s="754"/>
      <c r="H272" s="754"/>
      <c r="I272" s="744"/>
      <c r="J272" s="744"/>
      <c r="K272" s="744"/>
      <c r="L272" s="744"/>
      <c r="M272" s="744"/>
      <c r="N272" s="744"/>
      <c r="O272" s="744"/>
      <c r="P272" s="744"/>
    </row>
    <row r="273" spans="1:16">
      <c r="A273" s="751" t="s">
        <v>512</v>
      </c>
      <c r="B273" s="751" t="s">
        <v>1605</v>
      </c>
      <c r="C273" s="752">
        <v>104.71</v>
      </c>
      <c r="D273" s="753"/>
      <c r="E273" s="753"/>
      <c r="F273" s="754"/>
      <c r="G273" s="754"/>
      <c r="H273" s="754"/>
      <c r="I273" s="744"/>
      <c r="J273" s="744"/>
      <c r="K273" s="744"/>
      <c r="L273" s="744"/>
      <c r="M273" s="744"/>
      <c r="N273" s="744"/>
      <c r="O273" s="744"/>
      <c r="P273" s="744"/>
    </row>
    <row r="274" spans="1:16">
      <c r="A274" s="751" t="s">
        <v>514</v>
      </c>
      <c r="B274" s="751" t="s">
        <v>685</v>
      </c>
      <c r="C274" s="752">
        <v>209.29</v>
      </c>
      <c r="D274" s="753"/>
      <c r="E274" s="753"/>
      <c r="F274" s="754"/>
      <c r="G274" s="754"/>
      <c r="H274" s="754"/>
      <c r="I274" s="744"/>
      <c r="J274" s="744"/>
      <c r="K274" s="744"/>
      <c r="L274" s="744"/>
      <c r="M274" s="744"/>
      <c r="N274" s="744"/>
      <c r="O274" s="744"/>
      <c r="P274" s="744"/>
    </row>
    <row r="275" spans="1:16">
      <c r="A275" s="751" t="s">
        <v>516</v>
      </c>
      <c r="B275" s="751" t="s">
        <v>1606</v>
      </c>
      <c r="C275" s="752">
        <v>93.14</v>
      </c>
      <c r="D275" s="753"/>
      <c r="E275" s="753"/>
      <c r="F275" s="754"/>
      <c r="G275" s="754"/>
      <c r="H275" s="754"/>
      <c r="I275" s="744"/>
      <c r="J275" s="744"/>
      <c r="K275" s="744"/>
      <c r="L275" s="744"/>
      <c r="M275" s="744"/>
      <c r="N275" s="744"/>
      <c r="O275" s="744"/>
      <c r="P275" s="744"/>
    </row>
    <row r="276" spans="1:16">
      <c r="A276" s="751" t="s">
        <v>518</v>
      </c>
      <c r="B276" s="751" t="s">
        <v>1607</v>
      </c>
      <c r="C276" s="752">
        <v>0</v>
      </c>
      <c r="D276" s="753"/>
      <c r="E276" s="753"/>
      <c r="F276" s="754"/>
      <c r="G276" s="754"/>
      <c r="H276" s="754"/>
      <c r="I276" s="744"/>
      <c r="J276" s="744"/>
      <c r="K276" s="744"/>
      <c r="L276" s="744"/>
      <c r="M276" s="744"/>
      <c r="N276" s="744"/>
      <c r="O276" s="744"/>
      <c r="P276" s="744"/>
    </row>
    <row r="277" spans="1:16">
      <c r="A277" s="751" t="s">
        <v>519</v>
      </c>
      <c r="B277" s="751" t="s">
        <v>1608</v>
      </c>
      <c r="C277" s="752">
        <v>0</v>
      </c>
      <c r="D277" s="753"/>
      <c r="E277" s="753"/>
      <c r="F277" s="754"/>
      <c r="G277" s="754"/>
      <c r="H277" s="754"/>
      <c r="I277" s="744"/>
      <c r="J277" s="744"/>
      <c r="K277" s="744"/>
      <c r="L277" s="744"/>
      <c r="M277" s="744"/>
      <c r="N277" s="744"/>
      <c r="O277" s="744"/>
      <c r="P277" s="744"/>
    </row>
    <row r="278" spans="1:16">
      <c r="A278" s="751" t="s">
        <v>521</v>
      </c>
      <c r="B278" s="751" t="s">
        <v>1609</v>
      </c>
      <c r="C278" s="752">
        <v>0</v>
      </c>
      <c r="D278" s="753"/>
      <c r="E278" s="753"/>
      <c r="F278" s="754"/>
      <c r="G278" s="754"/>
      <c r="H278" s="754"/>
      <c r="I278" s="744"/>
      <c r="J278" s="744"/>
      <c r="K278" s="744"/>
      <c r="L278" s="744"/>
      <c r="M278" s="744"/>
      <c r="N278" s="744"/>
      <c r="O278" s="744"/>
      <c r="P278" s="744"/>
    </row>
    <row r="279" spans="1:16">
      <c r="A279" s="751" t="s">
        <v>523</v>
      </c>
      <c r="B279" s="751" t="s">
        <v>1610</v>
      </c>
      <c r="C279" s="752">
        <v>117.14</v>
      </c>
      <c r="D279" s="753"/>
      <c r="E279" s="753"/>
      <c r="F279" s="754"/>
      <c r="G279" s="754"/>
      <c r="H279" s="754"/>
      <c r="I279" s="744"/>
      <c r="J279" s="744"/>
      <c r="K279" s="744"/>
      <c r="L279" s="744"/>
      <c r="M279" s="744"/>
      <c r="N279" s="744"/>
      <c r="O279" s="744"/>
      <c r="P279" s="744"/>
    </row>
    <row r="280" spans="1:16">
      <c r="A280" s="751" t="s">
        <v>525</v>
      </c>
      <c r="B280" s="751" t="s">
        <v>1611</v>
      </c>
      <c r="C280" s="752">
        <v>0</v>
      </c>
      <c r="D280" s="753"/>
      <c r="E280" s="753"/>
      <c r="F280" s="754"/>
      <c r="G280" s="754"/>
      <c r="H280" s="754"/>
      <c r="I280" s="744"/>
      <c r="J280" s="744"/>
      <c r="K280" s="744"/>
      <c r="L280" s="744"/>
      <c r="M280" s="744"/>
      <c r="N280" s="744"/>
      <c r="O280" s="744"/>
      <c r="P280" s="744"/>
    </row>
    <row r="281" spans="1:16">
      <c r="A281" s="751" t="s">
        <v>527</v>
      </c>
      <c r="B281" s="751" t="s">
        <v>1612</v>
      </c>
      <c r="C281" s="752">
        <v>0</v>
      </c>
      <c r="D281" s="753"/>
      <c r="E281" s="753"/>
      <c r="F281" s="754"/>
      <c r="G281" s="754"/>
      <c r="H281" s="754"/>
      <c r="I281" s="744"/>
      <c r="J281" s="744"/>
      <c r="K281" s="744"/>
      <c r="L281" s="744"/>
      <c r="M281" s="744"/>
      <c r="N281" s="744"/>
      <c r="O281" s="744"/>
      <c r="P281" s="744"/>
    </row>
    <row r="282" spans="1:16">
      <c r="A282" s="751" t="s">
        <v>529</v>
      </c>
      <c r="B282" s="751" t="s">
        <v>1613</v>
      </c>
      <c r="C282" s="752">
        <v>0</v>
      </c>
      <c r="D282" s="753"/>
      <c r="E282" s="753"/>
      <c r="F282" s="754"/>
      <c r="G282" s="754"/>
      <c r="H282" s="754"/>
      <c r="I282" s="744"/>
      <c r="J282" s="744"/>
      <c r="K282" s="744"/>
      <c r="L282" s="744"/>
      <c r="M282" s="744"/>
      <c r="N282" s="744"/>
      <c r="O282" s="744"/>
      <c r="P282" s="744"/>
    </row>
    <row r="283" spans="1:16">
      <c r="A283" s="751" t="s">
        <v>531</v>
      </c>
      <c r="B283" s="751" t="s">
        <v>1614</v>
      </c>
      <c r="C283" s="752">
        <v>0</v>
      </c>
      <c r="D283" s="753"/>
      <c r="E283" s="753"/>
      <c r="F283" s="754"/>
      <c r="G283" s="754"/>
      <c r="H283" s="754"/>
      <c r="I283" s="744"/>
      <c r="J283" s="744"/>
      <c r="K283" s="744"/>
      <c r="L283" s="744"/>
      <c r="M283" s="744"/>
      <c r="N283" s="744"/>
      <c r="O283" s="744"/>
      <c r="P283" s="744"/>
    </row>
    <row r="284" spans="1:16">
      <c r="A284" s="751" t="s">
        <v>533</v>
      </c>
      <c r="B284" s="751" t="s">
        <v>1615</v>
      </c>
      <c r="C284" s="752">
        <v>0</v>
      </c>
      <c r="D284" s="753"/>
      <c r="E284" s="753"/>
      <c r="F284" s="754"/>
      <c r="G284" s="754"/>
      <c r="H284" s="754"/>
      <c r="I284" s="744"/>
      <c r="J284" s="744"/>
      <c r="K284" s="744"/>
      <c r="L284" s="744"/>
      <c r="M284" s="744"/>
      <c r="N284" s="744"/>
      <c r="O284" s="744"/>
      <c r="P284" s="744"/>
    </row>
    <row r="285" spans="1:16">
      <c r="A285" s="751" t="s">
        <v>535</v>
      </c>
      <c r="B285" s="751" t="s">
        <v>1616</v>
      </c>
      <c r="C285" s="752">
        <v>0</v>
      </c>
      <c r="D285" s="753"/>
      <c r="E285" s="753"/>
      <c r="F285" s="754"/>
      <c r="G285" s="754"/>
      <c r="H285" s="754"/>
      <c r="I285" s="744"/>
      <c r="J285" s="744"/>
      <c r="K285" s="744"/>
      <c r="L285" s="744"/>
      <c r="M285" s="744"/>
      <c r="N285" s="744"/>
      <c r="O285" s="744"/>
      <c r="P285" s="744"/>
    </row>
    <row r="286" spans="1:16">
      <c r="A286" s="751" t="s">
        <v>537</v>
      </c>
      <c r="B286" s="751" t="s">
        <v>1617</v>
      </c>
      <c r="C286" s="752">
        <v>0</v>
      </c>
      <c r="D286" s="753"/>
      <c r="E286" s="753"/>
      <c r="F286" s="754"/>
      <c r="G286" s="754"/>
      <c r="H286" s="754"/>
      <c r="I286" s="744"/>
      <c r="J286" s="744"/>
      <c r="K286" s="744"/>
      <c r="L286" s="744"/>
      <c r="M286" s="744"/>
      <c r="N286" s="744"/>
      <c r="O286" s="744"/>
      <c r="P286" s="744"/>
    </row>
    <row r="287" spans="1:16">
      <c r="A287" s="751" t="s">
        <v>539</v>
      </c>
      <c r="B287" s="751" t="s">
        <v>1618</v>
      </c>
      <c r="C287" s="752">
        <v>0</v>
      </c>
      <c r="D287" s="753"/>
      <c r="E287" s="753"/>
      <c r="F287" s="754"/>
      <c r="G287" s="754"/>
      <c r="H287" s="754"/>
      <c r="I287" s="744"/>
      <c r="J287" s="744"/>
      <c r="K287" s="744"/>
      <c r="L287" s="744"/>
      <c r="M287" s="744"/>
      <c r="N287" s="744"/>
      <c r="O287" s="744"/>
      <c r="P287" s="744"/>
    </row>
    <row r="288" spans="1:16">
      <c r="A288" s="751" t="s">
        <v>541</v>
      </c>
      <c r="B288" s="751" t="s">
        <v>1619</v>
      </c>
      <c r="C288" s="752">
        <v>0</v>
      </c>
      <c r="D288" s="753"/>
      <c r="E288" s="753"/>
      <c r="F288" s="754"/>
      <c r="G288" s="754"/>
      <c r="H288" s="754"/>
      <c r="I288" s="744"/>
      <c r="J288" s="744"/>
      <c r="K288" s="744"/>
      <c r="L288" s="744"/>
      <c r="M288" s="744"/>
      <c r="N288" s="744"/>
      <c r="O288" s="744"/>
      <c r="P288" s="744"/>
    </row>
    <row r="289" spans="1:16">
      <c r="A289" s="751" t="s">
        <v>543</v>
      </c>
      <c r="B289" s="751" t="s">
        <v>1620</v>
      </c>
      <c r="C289" s="752">
        <v>168.86</v>
      </c>
      <c r="D289" s="753"/>
      <c r="E289" s="753"/>
      <c r="F289" s="754"/>
      <c r="G289" s="754"/>
      <c r="H289" s="754"/>
      <c r="I289" s="744"/>
      <c r="J289" s="744"/>
      <c r="K289" s="744"/>
      <c r="L289" s="744"/>
      <c r="M289" s="744"/>
      <c r="N289" s="744"/>
      <c r="O289" s="744"/>
      <c r="P289" s="744"/>
    </row>
    <row r="290" spans="1:16">
      <c r="A290" s="751" t="s">
        <v>545</v>
      </c>
      <c r="B290" s="751" t="s">
        <v>1621</v>
      </c>
      <c r="C290" s="752">
        <v>77</v>
      </c>
      <c r="D290" s="753"/>
      <c r="E290" s="753"/>
      <c r="F290" s="754"/>
      <c r="G290" s="754"/>
      <c r="H290" s="754"/>
      <c r="I290" s="744"/>
      <c r="J290" s="744"/>
      <c r="K290" s="744"/>
      <c r="L290" s="744"/>
      <c r="M290" s="744"/>
      <c r="N290" s="744"/>
      <c r="O290" s="744"/>
      <c r="P290" s="744"/>
    </row>
    <row r="291" spans="1:16">
      <c r="A291" s="751" t="s">
        <v>547</v>
      </c>
      <c r="B291" s="751" t="s">
        <v>1622</v>
      </c>
      <c r="C291" s="752">
        <v>5011.1400000000003</v>
      </c>
      <c r="D291" s="753"/>
      <c r="E291" s="753"/>
      <c r="F291" s="754"/>
      <c r="G291" s="754"/>
      <c r="H291" s="754"/>
      <c r="I291" s="744"/>
      <c r="J291" s="744"/>
      <c r="K291" s="744"/>
      <c r="L291" s="744"/>
      <c r="M291" s="744"/>
      <c r="N291" s="744"/>
      <c r="O291" s="744"/>
      <c r="P291" s="744"/>
    </row>
    <row r="292" spans="1:16">
      <c r="A292" s="751" t="s">
        <v>549</v>
      </c>
      <c r="B292" s="751" t="s">
        <v>1623</v>
      </c>
      <c r="C292" s="752">
        <v>350.86</v>
      </c>
      <c r="D292" s="753"/>
      <c r="E292" s="753"/>
      <c r="F292" s="754"/>
      <c r="G292" s="754"/>
      <c r="H292" s="754"/>
      <c r="I292" s="744"/>
      <c r="J292" s="744"/>
      <c r="K292" s="744"/>
      <c r="L292" s="744"/>
      <c r="M292" s="744"/>
      <c r="N292" s="744"/>
      <c r="O292" s="744"/>
      <c r="P292" s="744"/>
    </row>
    <row r="293" spans="1:16">
      <c r="A293" s="751" t="s">
        <v>551</v>
      </c>
      <c r="B293" s="751" t="s">
        <v>1624</v>
      </c>
      <c r="C293" s="752">
        <v>185.29</v>
      </c>
      <c r="D293" s="753"/>
      <c r="E293" s="753"/>
      <c r="F293" s="754"/>
      <c r="G293" s="754"/>
      <c r="H293" s="754"/>
      <c r="I293" s="744"/>
      <c r="J293" s="744"/>
      <c r="K293" s="744"/>
      <c r="L293" s="744"/>
      <c r="M293" s="744"/>
      <c r="N293" s="744"/>
      <c r="O293" s="744"/>
      <c r="P293" s="744"/>
    </row>
    <row r="294" spans="1:16">
      <c r="A294" s="751" t="s">
        <v>553</v>
      </c>
      <c r="B294" s="751" t="s">
        <v>639</v>
      </c>
      <c r="C294" s="752">
        <v>349.29</v>
      </c>
      <c r="D294" s="753"/>
      <c r="E294" s="753"/>
      <c r="F294" s="754"/>
      <c r="G294" s="754"/>
      <c r="H294" s="754"/>
      <c r="I294" s="744"/>
      <c r="J294" s="744"/>
      <c r="K294" s="744"/>
      <c r="L294" s="744"/>
      <c r="M294" s="744"/>
      <c r="N294" s="744"/>
      <c r="O294" s="744"/>
      <c r="P294" s="744"/>
    </row>
    <row r="295" spans="1:16">
      <c r="A295" s="751" t="s">
        <v>555</v>
      </c>
      <c r="B295" s="751" t="s">
        <v>1625</v>
      </c>
      <c r="C295" s="752">
        <v>1201.43</v>
      </c>
      <c r="D295" s="753"/>
      <c r="E295" s="753"/>
      <c r="F295" s="754"/>
      <c r="G295" s="754"/>
      <c r="H295" s="754"/>
      <c r="I295" s="744"/>
      <c r="J295" s="744"/>
      <c r="K295" s="744"/>
      <c r="L295" s="744"/>
      <c r="M295" s="744"/>
      <c r="N295" s="744"/>
      <c r="O295" s="744"/>
      <c r="P295" s="744"/>
    </row>
    <row r="296" spans="1:16">
      <c r="A296" s="751" t="s">
        <v>557</v>
      </c>
      <c r="B296" s="751" t="s">
        <v>1626</v>
      </c>
      <c r="C296" s="752">
        <v>2104.71</v>
      </c>
      <c r="D296" s="753"/>
      <c r="E296" s="753"/>
      <c r="F296" s="754"/>
      <c r="G296" s="754"/>
      <c r="H296" s="754"/>
      <c r="I296" s="744"/>
      <c r="J296" s="744"/>
      <c r="K296" s="744"/>
      <c r="L296" s="744"/>
      <c r="M296" s="744"/>
      <c r="N296" s="744"/>
      <c r="O296" s="744"/>
      <c r="P296" s="744"/>
    </row>
    <row r="297" spans="1:16">
      <c r="A297" s="751" t="s">
        <v>559</v>
      </c>
      <c r="B297" s="751" t="s">
        <v>633</v>
      </c>
      <c r="C297" s="752">
        <v>1113.1400000000001</v>
      </c>
      <c r="D297" s="753"/>
      <c r="E297" s="753"/>
      <c r="F297" s="754"/>
      <c r="G297" s="754"/>
      <c r="H297" s="754"/>
      <c r="I297" s="744"/>
      <c r="J297" s="744"/>
      <c r="K297" s="744"/>
      <c r="L297" s="744"/>
      <c r="M297" s="744"/>
      <c r="N297" s="744"/>
      <c r="O297" s="744"/>
      <c r="P297" s="744"/>
    </row>
    <row r="298" spans="1:16">
      <c r="A298" s="751" t="s">
        <v>561</v>
      </c>
      <c r="B298" s="751" t="s">
        <v>1627</v>
      </c>
      <c r="C298" s="752">
        <v>292.29000000000002</v>
      </c>
      <c r="D298" s="753"/>
      <c r="E298" s="753"/>
      <c r="F298" s="754"/>
      <c r="G298" s="754"/>
      <c r="H298" s="754"/>
      <c r="I298" s="744"/>
      <c r="J298" s="744"/>
      <c r="K298" s="744"/>
      <c r="L298" s="744"/>
      <c r="M298" s="744"/>
      <c r="N298" s="744"/>
      <c r="O298" s="744"/>
      <c r="P298" s="744"/>
    </row>
    <row r="299" spans="1:16">
      <c r="A299" s="751" t="s">
        <v>563</v>
      </c>
      <c r="B299" s="751" t="s">
        <v>1628</v>
      </c>
      <c r="C299" s="752">
        <v>571.42999999999995</v>
      </c>
      <c r="D299" s="753"/>
      <c r="E299" s="753"/>
      <c r="F299" s="754"/>
      <c r="G299" s="754"/>
      <c r="H299" s="754"/>
      <c r="I299" s="744"/>
      <c r="J299" s="744"/>
      <c r="K299" s="744"/>
      <c r="L299" s="744"/>
      <c r="M299" s="744"/>
      <c r="N299" s="744"/>
      <c r="O299" s="744"/>
      <c r="P299" s="744"/>
    </row>
    <row r="300" spans="1:16">
      <c r="A300" s="751" t="s">
        <v>565</v>
      </c>
      <c r="B300" s="751" t="s">
        <v>1629</v>
      </c>
      <c r="C300" s="752">
        <v>130.29</v>
      </c>
      <c r="D300" s="753"/>
      <c r="E300" s="753"/>
      <c r="F300" s="754"/>
      <c r="G300" s="754"/>
      <c r="H300" s="754"/>
      <c r="I300" s="744"/>
      <c r="J300" s="744"/>
      <c r="K300" s="744"/>
      <c r="L300" s="744"/>
      <c r="M300" s="744"/>
      <c r="N300" s="744"/>
      <c r="O300" s="744"/>
      <c r="P300" s="744"/>
    </row>
    <row r="301" spans="1:16">
      <c r="A301" s="751" t="s">
        <v>567</v>
      </c>
      <c r="B301" s="751" t="s">
        <v>1630</v>
      </c>
      <c r="C301" s="752">
        <v>983.14</v>
      </c>
      <c r="D301" s="753"/>
      <c r="E301" s="753"/>
      <c r="F301" s="754"/>
      <c r="G301" s="754"/>
      <c r="H301" s="754"/>
      <c r="I301" s="744"/>
      <c r="J301" s="744"/>
      <c r="K301" s="744"/>
      <c r="L301" s="744"/>
      <c r="M301" s="744"/>
      <c r="N301" s="744"/>
      <c r="O301" s="744"/>
      <c r="P301" s="744"/>
    </row>
    <row r="302" spans="1:16">
      <c r="A302" s="751" t="s">
        <v>569</v>
      </c>
      <c r="B302" s="751" t="s">
        <v>1631</v>
      </c>
      <c r="C302" s="752">
        <v>339.43</v>
      </c>
      <c r="D302" s="753"/>
      <c r="E302" s="753"/>
      <c r="F302" s="754"/>
      <c r="G302" s="754"/>
      <c r="H302" s="754"/>
      <c r="I302" s="744"/>
      <c r="J302" s="744"/>
      <c r="K302" s="744"/>
      <c r="L302" s="744"/>
      <c r="M302" s="744"/>
      <c r="N302" s="744"/>
      <c r="O302" s="744"/>
      <c r="P302" s="744"/>
    </row>
    <row r="303" spans="1:16">
      <c r="A303" s="751" t="s">
        <v>571</v>
      </c>
      <c r="B303" s="751" t="s">
        <v>1632</v>
      </c>
      <c r="C303" s="752">
        <v>125.43</v>
      </c>
      <c r="D303" s="753"/>
      <c r="E303" s="753"/>
      <c r="F303" s="754"/>
      <c r="G303" s="754"/>
      <c r="H303" s="754"/>
      <c r="I303" s="744"/>
      <c r="J303" s="744"/>
      <c r="K303" s="744"/>
      <c r="L303" s="744"/>
      <c r="M303" s="744"/>
      <c r="N303" s="744"/>
      <c r="O303" s="744"/>
      <c r="P303" s="744"/>
    </row>
    <row r="304" spans="1:16">
      <c r="A304" s="744"/>
      <c r="C304" s="743"/>
      <c r="D304" s="744"/>
      <c r="E304" s="744"/>
      <c r="F304" s="744"/>
      <c r="G304" s="744"/>
      <c r="H304" s="744"/>
      <c r="I304" s="744"/>
      <c r="J304" s="744"/>
      <c r="K304" s="744"/>
      <c r="L304" s="744"/>
      <c r="M304" s="744"/>
      <c r="N304" s="744"/>
      <c r="O304" s="744"/>
      <c r="P304" s="744"/>
    </row>
    <row r="305" spans="1:16">
      <c r="A305" s="744"/>
      <c r="C305" s="743"/>
      <c r="D305" s="744"/>
      <c r="E305" s="744"/>
      <c r="F305" s="744"/>
      <c r="G305" s="744"/>
      <c r="H305" s="744"/>
      <c r="I305" s="744"/>
      <c r="J305" s="744"/>
      <c r="K305" s="744"/>
      <c r="L305" s="744"/>
      <c r="M305" s="744"/>
      <c r="N305" s="744"/>
      <c r="O305" s="744"/>
      <c r="P305" s="744"/>
    </row>
    <row r="306" spans="1:16">
      <c r="A306" s="744"/>
      <c r="C306" s="743"/>
      <c r="D306" s="744"/>
      <c r="E306" s="744"/>
      <c r="F306" s="744"/>
      <c r="G306" s="744"/>
      <c r="H306" s="744"/>
      <c r="I306" s="744"/>
      <c r="J306" s="744"/>
      <c r="K306" s="744"/>
      <c r="L306" s="744"/>
      <c r="M306" s="744"/>
      <c r="N306" s="744"/>
      <c r="O306" s="744"/>
      <c r="P306" s="744"/>
    </row>
    <row r="307" spans="1:16">
      <c r="A307" s="744"/>
      <c r="C307" s="743"/>
      <c r="D307" s="744"/>
      <c r="E307" s="744"/>
      <c r="F307" s="744"/>
      <c r="G307" s="744"/>
      <c r="H307" s="744"/>
      <c r="I307" s="744"/>
      <c r="J307" s="744"/>
      <c r="K307" s="744"/>
      <c r="L307" s="744"/>
      <c r="M307" s="744"/>
      <c r="N307" s="744"/>
      <c r="O307" s="744"/>
      <c r="P307" s="744"/>
    </row>
    <row r="308" spans="1:16">
      <c r="A308" s="744"/>
      <c r="C308" s="743"/>
      <c r="D308" s="744"/>
      <c r="E308" s="744"/>
      <c r="F308" s="744"/>
      <c r="G308" s="744"/>
      <c r="H308" s="744"/>
      <c r="I308" s="744"/>
      <c r="J308" s="744"/>
      <c r="K308" s="744"/>
      <c r="L308" s="744"/>
      <c r="M308" s="744"/>
      <c r="N308" s="744"/>
      <c r="O308" s="744"/>
      <c r="P308" s="744"/>
    </row>
    <row r="309" spans="1:16">
      <c r="A309" s="744"/>
      <c r="C309" s="743"/>
      <c r="D309" s="744"/>
      <c r="E309" s="744"/>
      <c r="F309" s="744"/>
      <c r="G309" s="744"/>
      <c r="H309" s="744"/>
      <c r="I309" s="744"/>
      <c r="J309" s="744"/>
      <c r="K309" s="744"/>
      <c r="L309" s="744"/>
      <c r="M309" s="744"/>
      <c r="N309" s="744"/>
      <c r="O309" s="744"/>
      <c r="P309" s="744"/>
    </row>
    <row r="310" spans="1:16">
      <c r="A310" s="744"/>
      <c r="C310" s="743"/>
      <c r="D310" s="744"/>
      <c r="E310" s="744"/>
      <c r="F310" s="744"/>
      <c r="G310" s="744"/>
      <c r="H310" s="744"/>
      <c r="I310" s="744"/>
      <c r="J310" s="744"/>
      <c r="K310" s="744"/>
      <c r="L310" s="744"/>
      <c r="M310" s="744"/>
      <c r="N310" s="744"/>
      <c r="O310" s="744"/>
      <c r="P310" s="744"/>
    </row>
    <row r="311" spans="1:16">
      <c r="A311" s="744"/>
      <c r="C311" s="743"/>
      <c r="D311" s="744"/>
      <c r="E311" s="744"/>
      <c r="F311" s="744"/>
      <c r="G311" s="744"/>
      <c r="H311" s="744"/>
      <c r="I311" s="744"/>
      <c r="J311" s="744"/>
      <c r="K311" s="744"/>
      <c r="L311" s="744"/>
      <c r="M311" s="744"/>
      <c r="N311" s="744"/>
      <c r="O311" s="744"/>
      <c r="P311" s="744"/>
    </row>
    <row r="312" spans="1:16">
      <c r="A312" s="744"/>
      <c r="C312" s="743"/>
      <c r="D312" s="744"/>
      <c r="E312" s="744"/>
      <c r="F312" s="744"/>
      <c r="G312" s="744"/>
      <c r="H312" s="744"/>
      <c r="I312" s="744"/>
      <c r="J312" s="744"/>
      <c r="K312" s="744"/>
      <c r="L312" s="744"/>
      <c r="M312" s="744"/>
      <c r="N312" s="744"/>
      <c r="O312" s="744"/>
      <c r="P312" s="744"/>
    </row>
    <row r="313" spans="1:16">
      <c r="A313" s="744"/>
      <c r="C313" s="743"/>
      <c r="D313" s="744"/>
      <c r="E313" s="744"/>
      <c r="F313" s="744"/>
      <c r="G313" s="744"/>
      <c r="H313" s="744"/>
      <c r="I313" s="744"/>
      <c r="J313" s="744"/>
      <c r="K313" s="744"/>
      <c r="L313" s="744"/>
      <c r="M313" s="744"/>
      <c r="N313" s="744"/>
      <c r="O313" s="744"/>
      <c r="P313" s="744"/>
    </row>
    <row r="314" spans="1:16">
      <c r="A314" s="744"/>
      <c r="C314" s="743"/>
      <c r="D314" s="744"/>
      <c r="E314" s="744"/>
      <c r="F314" s="744"/>
      <c r="G314" s="744"/>
      <c r="H314" s="744"/>
      <c r="I314" s="744"/>
      <c r="J314" s="744"/>
      <c r="K314" s="744"/>
      <c r="L314" s="744"/>
      <c r="M314" s="744"/>
      <c r="N314" s="744"/>
      <c r="O314" s="744"/>
      <c r="P314" s="744"/>
    </row>
    <row r="315" spans="1:16">
      <c r="A315" s="744"/>
      <c r="C315" s="743"/>
      <c r="D315" s="744"/>
      <c r="E315" s="744"/>
      <c r="F315" s="744"/>
      <c r="G315" s="744"/>
      <c r="H315" s="744"/>
      <c r="I315" s="744"/>
      <c r="J315" s="744"/>
      <c r="K315" s="744"/>
      <c r="L315" s="744"/>
      <c r="M315" s="744"/>
      <c r="N315" s="744"/>
      <c r="O315" s="744"/>
      <c r="P315" s="744"/>
    </row>
    <row r="316" spans="1:16">
      <c r="A316" s="744"/>
      <c r="C316" s="743"/>
      <c r="D316" s="744"/>
      <c r="E316" s="744"/>
      <c r="F316" s="744"/>
      <c r="G316" s="744"/>
      <c r="H316" s="744"/>
      <c r="I316" s="744"/>
      <c r="J316" s="744"/>
      <c r="K316" s="744"/>
      <c r="L316" s="744"/>
      <c r="M316" s="744"/>
      <c r="N316" s="744"/>
      <c r="O316" s="744"/>
      <c r="P316" s="744"/>
    </row>
    <row r="317" spans="1:16">
      <c r="A317" s="744"/>
      <c r="C317" s="743"/>
      <c r="D317" s="744"/>
      <c r="E317" s="744"/>
      <c r="F317" s="744"/>
      <c r="G317" s="744"/>
      <c r="H317" s="744"/>
      <c r="I317" s="744"/>
      <c r="J317" s="744"/>
      <c r="K317" s="744"/>
      <c r="L317" s="744"/>
      <c r="M317" s="744"/>
      <c r="N317" s="744"/>
      <c r="O317" s="744"/>
      <c r="P317" s="744"/>
    </row>
    <row r="318" spans="1:16">
      <c r="A318" s="744"/>
      <c r="C318" s="743"/>
      <c r="D318" s="744"/>
      <c r="E318" s="744"/>
      <c r="F318" s="744"/>
      <c r="G318" s="744"/>
      <c r="H318" s="744"/>
      <c r="I318" s="744"/>
      <c r="J318" s="744"/>
      <c r="K318" s="744"/>
      <c r="L318" s="744"/>
      <c r="M318" s="744"/>
      <c r="N318" s="744"/>
      <c r="O318" s="744"/>
      <c r="P318" s="744"/>
    </row>
    <row r="319" spans="1:16">
      <c r="A319" s="744"/>
      <c r="C319" s="743"/>
      <c r="D319" s="744"/>
      <c r="E319" s="744"/>
      <c r="F319" s="744"/>
      <c r="G319" s="744"/>
      <c r="H319" s="744"/>
      <c r="I319" s="744"/>
      <c r="J319" s="744"/>
      <c r="K319" s="744"/>
      <c r="L319" s="744"/>
      <c r="M319" s="744"/>
      <c r="N319" s="744"/>
      <c r="O319" s="744"/>
      <c r="P319" s="744"/>
    </row>
    <row r="320" spans="1:16">
      <c r="A320" s="744"/>
      <c r="C320" s="743"/>
      <c r="D320" s="744"/>
      <c r="E320" s="744"/>
      <c r="F320" s="744"/>
      <c r="G320" s="744"/>
      <c r="H320" s="744"/>
      <c r="I320" s="744"/>
      <c r="J320" s="744"/>
      <c r="K320" s="744"/>
      <c r="L320" s="744"/>
      <c r="M320" s="744"/>
      <c r="N320" s="744"/>
      <c r="O320" s="744"/>
      <c r="P320" s="744"/>
    </row>
    <row r="321" spans="1:16">
      <c r="A321" s="744"/>
      <c r="C321" s="743"/>
      <c r="D321" s="744"/>
      <c r="E321" s="744"/>
      <c r="F321" s="744"/>
      <c r="G321" s="744"/>
      <c r="H321" s="744"/>
      <c r="I321" s="744"/>
      <c r="J321" s="744"/>
      <c r="K321" s="744"/>
      <c r="L321" s="744"/>
      <c r="M321" s="744"/>
      <c r="N321" s="744"/>
      <c r="O321" s="744"/>
      <c r="P321" s="744"/>
    </row>
    <row r="322" spans="1:16">
      <c r="A322" s="744"/>
      <c r="C322" s="743"/>
      <c r="D322" s="744"/>
      <c r="E322" s="744"/>
      <c r="F322" s="744"/>
      <c r="G322" s="744"/>
      <c r="H322" s="744"/>
      <c r="I322" s="744"/>
      <c r="J322" s="744"/>
      <c r="K322" s="744"/>
      <c r="L322" s="744"/>
      <c r="M322" s="744"/>
      <c r="N322" s="744"/>
      <c r="O322" s="744"/>
      <c r="P322" s="744"/>
    </row>
    <row r="323" spans="1:16">
      <c r="A323" s="744"/>
      <c r="C323" s="743"/>
      <c r="D323" s="744"/>
      <c r="E323" s="744"/>
      <c r="F323" s="744"/>
      <c r="G323" s="744"/>
      <c r="H323" s="744"/>
      <c r="I323" s="744"/>
      <c r="J323" s="744"/>
      <c r="K323" s="744"/>
      <c r="L323" s="744"/>
      <c r="M323" s="744"/>
      <c r="N323" s="744"/>
      <c r="O323" s="744"/>
      <c r="P323" s="744"/>
    </row>
    <row r="324" spans="1:16">
      <c r="A324" s="744"/>
      <c r="C324" s="743"/>
      <c r="D324" s="744"/>
      <c r="E324" s="744"/>
      <c r="F324" s="744"/>
      <c r="G324" s="744"/>
      <c r="H324" s="744"/>
      <c r="I324" s="744"/>
      <c r="J324" s="744"/>
      <c r="K324" s="744"/>
      <c r="L324" s="744"/>
      <c r="M324" s="744"/>
      <c r="N324" s="744"/>
      <c r="O324" s="744"/>
      <c r="P324" s="744"/>
    </row>
    <row r="325" spans="1:16">
      <c r="A325" s="744"/>
      <c r="C325" s="743"/>
      <c r="D325" s="744"/>
      <c r="E325" s="744"/>
      <c r="F325" s="744"/>
      <c r="G325" s="744"/>
      <c r="H325" s="744"/>
      <c r="I325" s="744"/>
      <c r="J325" s="744"/>
      <c r="K325" s="744"/>
      <c r="L325" s="744"/>
      <c r="M325" s="744"/>
      <c r="N325" s="744"/>
      <c r="O325" s="744"/>
      <c r="P325" s="744"/>
    </row>
    <row r="326" spans="1:16">
      <c r="A326" s="744"/>
      <c r="C326" s="743"/>
      <c r="D326" s="744"/>
      <c r="E326" s="744"/>
      <c r="F326" s="744"/>
      <c r="G326" s="744"/>
      <c r="H326" s="744"/>
      <c r="I326" s="744"/>
      <c r="J326" s="744"/>
      <c r="K326" s="744"/>
      <c r="L326" s="744"/>
      <c r="M326" s="744"/>
      <c r="N326" s="744"/>
      <c r="O326" s="744"/>
      <c r="P326" s="744"/>
    </row>
    <row r="327" spans="1:16">
      <c r="A327" s="744"/>
      <c r="C327" s="743"/>
      <c r="D327" s="744"/>
      <c r="E327" s="744"/>
      <c r="F327" s="744"/>
      <c r="G327" s="744"/>
      <c r="H327" s="744"/>
      <c r="I327" s="744"/>
      <c r="J327" s="744"/>
      <c r="K327" s="744"/>
      <c r="L327" s="744"/>
      <c r="M327" s="744"/>
      <c r="N327" s="744"/>
      <c r="O327" s="744"/>
      <c r="P327" s="744"/>
    </row>
    <row r="328" spans="1:16">
      <c r="A328" s="744"/>
      <c r="C328" s="743"/>
      <c r="D328" s="744"/>
      <c r="E328" s="744"/>
      <c r="F328" s="744"/>
      <c r="G328" s="744"/>
      <c r="H328" s="744"/>
      <c r="I328" s="744"/>
      <c r="J328" s="744"/>
      <c r="K328" s="744"/>
      <c r="L328" s="744"/>
      <c r="M328" s="744"/>
      <c r="N328" s="744"/>
      <c r="O328" s="744"/>
      <c r="P328" s="744"/>
    </row>
    <row r="329" spans="1:16">
      <c r="A329" s="744"/>
      <c r="C329" s="743"/>
      <c r="D329" s="744"/>
      <c r="E329" s="744"/>
      <c r="F329" s="744"/>
      <c r="G329" s="744"/>
      <c r="H329" s="744"/>
      <c r="I329" s="744"/>
      <c r="J329" s="744"/>
      <c r="K329" s="744"/>
      <c r="L329" s="744"/>
      <c r="M329" s="744"/>
      <c r="N329" s="744"/>
      <c r="O329" s="744"/>
      <c r="P329" s="744"/>
    </row>
    <row r="330" spans="1:16">
      <c r="A330" s="744"/>
      <c r="C330" s="743"/>
      <c r="D330" s="744"/>
      <c r="E330" s="744"/>
      <c r="F330" s="744"/>
      <c r="G330" s="744"/>
      <c r="H330" s="744"/>
      <c r="I330" s="744"/>
      <c r="J330" s="744"/>
      <c r="K330" s="744"/>
      <c r="L330" s="744"/>
      <c r="M330" s="744"/>
      <c r="N330" s="744"/>
      <c r="O330" s="744"/>
      <c r="P330" s="744"/>
    </row>
    <row r="331" spans="1:16">
      <c r="A331" s="744"/>
      <c r="C331" s="743"/>
      <c r="D331" s="744"/>
      <c r="E331" s="744"/>
      <c r="F331" s="744"/>
      <c r="G331" s="744"/>
      <c r="H331" s="744"/>
      <c r="I331" s="744"/>
      <c r="J331" s="744"/>
      <c r="K331" s="744"/>
      <c r="L331" s="744"/>
      <c r="M331" s="744"/>
      <c r="N331" s="744"/>
      <c r="O331" s="744"/>
      <c r="P331" s="744"/>
    </row>
    <row r="332" spans="1:16">
      <c r="A332" s="744"/>
      <c r="C332" s="743"/>
      <c r="D332" s="744"/>
      <c r="E332" s="744"/>
      <c r="F332" s="744"/>
      <c r="G332" s="744"/>
      <c r="H332" s="744"/>
      <c r="I332" s="744"/>
      <c r="J332" s="744"/>
      <c r="K332" s="744"/>
      <c r="L332" s="744"/>
      <c r="M332" s="744"/>
      <c r="N332" s="744"/>
      <c r="O332" s="744"/>
      <c r="P332" s="744"/>
    </row>
    <row r="333" spans="1:16">
      <c r="A333" s="744"/>
      <c r="C333" s="743"/>
      <c r="D333" s="744"/>
      <c r="E333" s="744"/>
      <c r="F333" s="744"/>
      <c r="G333" s="744"/>
      <c r="H333" s="744"/>
      <c r="I333" s="744"/>
      <c r="J333" s="744"/>
      <c r="K333" s="744"/>
      <c r="L333" s="744"/>
      <c r="M333" s="744"/>
      <c r="N333" s="744"/>
      <c r="O333" s="744"/>
      <c r="P333" s="744"/>
    </row>
    <row r="334" spans="1:16">
      <c r="A334" s="744"/>
      <c r="C334" s="743"/>
      <c r="D334" s="744"/>
      <c r="E334" s="744"/>
      <c r="F334" s="744"/>
      <c r="G334" s="744"/>
      <c r="H334" s="744"/>
      <c r="I334" s="744"/>
      <c r="J334" s="744"/>
      <c r="K334" s="744"/>
      <c r="L334" s="744"/>
      <c r="M334" s="744"/>
      <c r="N334" s="744"/>
      <c r="O334" s="744"/>
      <c r="P334" s="744"/>
    </row>
    <row r="335" spans="1:16">
      <c r="A335" s="744"/>
      <c r="C335" s="743"/>
      <c r="D335" s="744"/>
      <c r="E335" s="744"/>
      <c r="F335" s="744"/>
      <c r="G335" s="744"/>
      <c r="H335" s="744"/>
      <c r="I335" s="744"/>
      <c r="J335" s="744"/>
      <c r="K335" s="744"/>
      <c r="L335" s="744"/>
      <c r="M335" s="744"/>
      <c r="N335" s="744"/>
      <c r="O335" s="744"/>
      <c r="P335" s="744"/>
    </row>
    <row r="336" spans="1:16">
      <c r="A336" s="744"/>
      <c r="C336" s="743"/>
      <c r="D336" s="744"/>
      <c r="E336" s="744"/>
      <c r="F336" s="744"/>
      <c r="G336" s="744"/>
      <c r="H336" s="744"/>
      <c r="I336" s="744"/>
      <c r="J336" s="744"/>
      <c r="K336" s="744"/>
      <c r="L336" s="744"/>
      <c r="M336" s="744"/>
      <c r="N336" s="744"/>
      <c r="O336" s="744"/>
      <c r="P336" s="744"/>
    </row>
    <row r="337" spans="1:16">
      <c r="A337" s="744"/>
      <c r="C337" s="743"/>
      <c r="D337" s="744"/>
      <c r="E337" s="744"/>
      <c r="F337" s="744"/>
      <c r="G337" s="744"/>
      <c r="H337" s="744"/>
      <c r="I337" s="744"/>
      <c r="J337" s="744"/>
      <c r="K337" s="744"/>
      <c r="L337" s="744"/>
      <c r="M337" s="744"/>
      <c r="N337" s="744"/>
      <c r="O337" s="744"/>
      <c r="P337" s="744"/>
    </row>
    <row r="338" spans="1:16">
      <c r="A338" s="744"/>
      <c r="C338" s="743"/>
      <c r="D338" s="744"/>
      <c r="E338" s="744"/>
      <c r="F338" s="744"/>
      <c r="G338" s="744"/>
      <c r="H338" s="744"/>
      <c r="I338" s="744"/>
      <c r="J338" s="744"/>
      <c r="K338" s="744"/>
      <c r="L338" s="744"/>
      <c r="M338" s="744"/>
      <c r="N338" s="744"/>
      <c r="O338" s="744"/>
      <c r="P338" s="744"/>
    </row>
    <row r="339" spans="1:16">
      <c r="A339" s="744"/>
      <c r="C339" s="743"/>
      <c r="D339" s="744"/>
      <c r="E339" s="744"/>
      <c r="F339" s="744"/>
      <c r="G339" s="744"/>
      <c r="H339" s="744"/>
      <c r="I339" s="744"/>
      <c r="J339" s="744"/>
      <c r="K339" s="744"/>
      <c r="L339" s="744"/>
      <c r="M339" s="744"/>
      <c r="N339" s="744"/>
      <c r="O339" s="744"/>
      <c r="P339" s="744"/>
    </row>
    <row r="340" spans="1:16">
      <c r="A340" s="744"/>
      <c r="C340" s="743"/>
      <c r="D340" s="744"/>
      <c r="E340" s="744"/>
      <c r="F340" s="744"/>
      <c r="G340" s="744"/>
      <c r="H340" s="744"/>
      <c r="I340" s="744"/>
      <c r="J340" s="744"/>
      <c r="K340" s="744"/>
      <c r="L340" s="744"/>
      <c r="M340" s="744"/>
      <c r="N340" s="744"/>
      <c r="O340" s="744"/>
      <c r="P340" s="744"/>
    </row>
    <row r="341" spans="1:16">
      <c r="A341" s="744"/>
      <c r="C341" s="743"/>
      <c r="D341" s="744"/>
      <c r="E341" s="744"/>
      <c r="F341" s="744"/>
      <c r="G341" s="744"/>
      <c r="H341" s="744"/>
      <c r="I341" s="744"/>
      <c r="J341" s="744"/>
      <c r="K341" s="744"/>
      <c r="L341" s="744"/>
      <c r="M341" s="744"/>
      <c r="N341" s="744"/>
      <c r="O341" s="744"/>
      <c r="P341" s="744"/>
    </row>
    <row r="342" spans="1:16">
      <c r="A342" s="744"/>
      <c r="C342" s="743"/>
      <c r="D342" s="744"/>
      <c r="E342" s="744"/>
      <c r="F342" s="744"/>
      <c r="G342" s="744"/>
      <c r="H342" s="744"/>
      <c r="I342" s="744"/>
      <c r="J342" s="744"/>
      <c r="K342" s="744"/>
      <c r="L342" s="744"/>
      <c r="M342" s="744"/>
      <c r="N342" s="744"/>
      <c r="O342" s="744"/>
      <c r="P342" s="744"/>
    </row>
    <row r="343" spans="1:16">
      <c r="A343" s="744"/>
      <c r="C343" s="743"/>
      <c r="D343" s="744"/>
      <c r="E343" s="744"/>
      <c r="F343" s="744"/>
      <c r="G343" s="744"/>
      <c r="H343" s="744"/>
      <c r="I343" s="744"/>
      <c r="J343" s="744"/>
      <c r="K343" s="744"/>
      <c r="L343" s="744"/>
      <c r="M343" s="744"/>
      <c r="N343" s="744"/>
      <c r="O343" s="744"/>
      <c r="P343" s="744"/>
    </row>
    <row r="344" spans="1:16">
      <c r="A344" s="744"/>
      <c r="C344" s="743"/>
      <c r="D344" s="744"/>
      <c r="E344" s="744"/>
      <c r="F344" s="744"/>
      <c r="G344" s="744"/>
      <c r="H344" s="744"/>
      <c r="I344" s="744"/>
      <c r="J344" s="744"/>
      <c r="K344" s="744"/>
      <c r="L344" s="744"/>
      <c r="M344" s="744"/>
      <c r="N344" s="744"/>
      <c r="O344" s="744"/>
      <c r="P344" s="744"/>
    </row>
    <row r="345" spans="1:16">
      <c r="A345" s="744"/>
      <c r="C345" s="743"/>
      <c r="D345" s="744"/>
      <c r="E345" s="744"/>
      <c r="F345" s="744"/>
      <c r="G345" s="744"/>
      <c r="H345" s="744"/>
      <c r="I345" s="744"/>
      <c r="J345" s="744"/>
      <c r="K345" s="744"/>
      <c r="L345" s="744"/>
      <c r="M345" s="744"/>
      <c r="N345" s="744"/>
      <c r="O345" s="744"/>
      <c r="P345" s="744"/>
    </row>
    <row r="346" spans="1:16">
      <c r="A346" s="744"/>
      <c r="C346" s="743"/>
      <c r="D346" s="744"/>
      <c r="E346" s="744"/>
      <c r="F346" s="744"/>
      <c r="G346" s="744"/>
      <c r="H346" s="744"/>
      <c r="I346" s="744"/>
      <c r="J346" s="744"/>
      <c r="K346" s="744"/>
      <c r="L346" s="744"/>
      <c r="M346" s="744"/>
      <c r="N346" s="744"/>
      <c r="O346" s="744"/>
      <c r="P346" s="744"/>
    </row>
    <row r="347" spans="1:16">
      <c r="A347" s="744"/>
      <c r="C347" s="743"/>
      <c r="D347" s="744"/>
      <c r="E347" s="744"/>
      <c r="F347" s="744"/>
      <c r="G347" s="744"/>
      <c r="H347" s="744"/>
      <c r="I347" s="744"/>
      <c r="J347" s="744"/>
      <c r="K347" s="744"/>
      <c r="L347" s="744"/>
      <c r="M347" s="744"/>
      <c r="N347" s="744"/>
      <c r="O347" s="744"/>
      <c r="P347" s="744"/>
    </row>
    <row r="348" spans="1:16">
      <c r="A348" s="744"/>
      <c r="C348" s="743"/>
      <c r="D348" s="744"/>
      <c r="E348" s="744"/>
      <c r="F348" s="744"/>
      <c r="G348" s="744"/>
      <c r="H348" s="744"/>
      <c r="I348" s="744"/>
      <c r="J348" s="744"/>
      <c r="K348" s="744"/>
      <c r="L348" s="744"/>
      <c r="M348" s="744"/>
      <c r="N348" s="744"/>
      <c r="O348" s="744"/>
      <c r="P348" s="744"/>
    </row>
    <row r="349" spans="1:16">
      <c r="A349" s="744"/>
      <c r="C349" s="743"/>
      <c r="D349" s="744"/>
      <c r="E349" s="744"/>
      <c r="F349" s="744"/>
      <c r="G349" s="744"/>
      <c r="H349" s="744"/>
      <c r="I349" s="744"/>
      <c r="J349" s="744"/>
      <c r="K349" s="744"/>
      <c r="L349" s="744"/>
      <c r="M349" s="744"/>
      <c r="N349" s="744"/>
      <c r="O349" s="744"/>
      <c r="P349" s="744"/>
    </row>
    <row r="350" spans="1:16">
      <c r="A350" s="744"/>
      <c r="C350" s="743"/>
      <c r="D350" s="744"/>
      <c r="E350" s="744"/>
      <c r="F350" s="744"/>
      <c r="G350" s="744"/>
      <c r="H350" s="744"/>
      <c r="I350" s="744"/>
      <c r="J350" s="744"/>
      <c r="K350" s="744"/>
      <c r="L350" s="744"/>
      <c r="M350" s="744"/>
      <c r="N350" s="744"/>
      <c r="O350" s="744"/>
      <c r="P350" s="744"/>
    </row>
    <row r="351" spans="1:16">
      <c r="A351" s="744"/>
      <c r="C351" s="743"/>
      <c r="D351" s="744"/>
      <c r="E351" s="744"/>
      <c r="F351" s="744"/>
      <c r="G351" s="744"/>
      <c r="H351" s="744"/>
      <c r="I351" s="744"/>
      <c r="J351" s="744"/>
      <c r="K351" s="744"/>
      <c r="L351" s="744"/>
      <c r="M351" s="744"/>
      <c r="N351" s="744"/>
      <c r="O351" s="744"/>
      <c r="P351" s="744"/>
    </row>
    <row r="352" spans="1:16">
      <c r="A352" s="744"/>
      <c r="C352" s="743"/>
      <c r="D352" s="744"/>
      <c r="E352" s="744"/>
      <c r="F352" s="744"/>
      <c r="G352" s="744"/>
      <c r="H352" s="744"/>
      <c r="I352" s="744"/>
      <c r="J352" s="744"/>
      <c r="K352" s="744"/>
      <c r="L352" s="744"/>
      <c r="M352" s="744"/>
      <c r="N352" s="744"/>
      <c r="O352" s="744"/>
      <c r="P352" s="744"/>
    </row>
    <row r="353" spans="1:16">
      <c r="A353" s="744"/>
      <c r="C353" s="743"/>
      <c r="D353" s="744"/>
      <c r="E353" s="744"/>
      <c r="F353" s="744"/>
      <c r="G353" s="744"/>
      <c r="H353" s="744"/>
      <c r="I353" s="744"/>
      <c r="J353" s="744"/>
      <c r="K353" s="744"/>
      <c r="L353" s="744"/>
      <c r="M353" s="744"/>
      <c r="N353" s="744"/>
      <c r="O353" s="744"/>
      <c r="P353" s="744"/>
    </row>
    <row r="354" spans="1:16">
      <c r="A354" s="744"/>
      <c r="C354" s="743"/>
      <c r="D354" s="744"/>
      <c r="E354" s="744"/>
      <c r="F354" s="744"/>
      <c r="G354" s="744"/>
      <c r="H354" s="744"/>
      <c r="I354" s="744"/>
      <c r="J354" s="744"/>
      <c r="K354" s="744"/>
      <c r="L354" s="744"/>
      <c r="M354" s="744"/>
      <c r="N354" s="744"/>
      <c r="O354" s="744"/>
      <c r="P354" s="744"/>
    </row>
    <row r="355" spans="1:16">
      <c r="A355" s="744"/>
      <c r="C355" s="743"/>
      <c r="D355" s="744"/>
      <c r="E355" s="744"/>
      <c r="F355" s="744"/>
      <c r="G355" s="744"/>
      <c r="H355" s="744"/>
      <c r="I355" s="744"/>
      <c r="J355" s="744"/>
      <c r="K355" s="744"/>
      <c r="L355" s="744"/>
      <c r="M355" s="744"/>
      <c r="N355" s="744"/>
      <c r="O355" s="744"/>
      <c r="P355" s="744"/>
    </row>
    <row r="356" spans="1:16">
      <c r="A356" s="744"/>
      <c r="C356" s="743"/>
      <c r="D356" s="744"/>
      <c r="E356" s="744"/>
      <c r="F356" s="744"/>
      <c r="G356" s="744"/>
      <c r="H356" s="744"/>
      <c r="I356" s="744"/>
      <c r="J356" s="744"/>
      <c r="K356" s="744"/>
      <c r="L356" s="744"/>
      <c r="M356" s="744"/>
      <c r="N356" s="744"/>
      <c r="O356" s="744"/>
      <c r="P356" s="744"/>
    </row>
    <row r="357" spans="1:16">
      <c r="A357" s="744"/>
      <c r="C357" s="743"/>
      <c r="D357" s="744"/>
      <c r="E357" s="744"/>
      <c r="F357" s="744"/>
      <c r="G357" s="744"/>
      <c r="H357" s="744"/>
      <c r="I357" s="744"/>
      <c r="J357" s="744"/>
      <c r="K357" s="744"/>
      <c r="L357" s="744"/>
      <c r="M357" s="744"/>
      <c r="N357" s="744"/>
      <c r="O357" s="744"/>
      <c r="P357" s="744"/>
    </row>
    <row r="358" spans="1:16">
      <c r="A358" s="744"/>
      <c r="C358" s="743"/>
      <c r="D358" s="744"/>
      <c r="E358" s="744"/>
      <c r="F358" s="744"/>
      <c r="G358" s="744"/>
      <c r="H358" s="744"/>
      <c r="I358" s="744"/>
      <c r="J358" s="744"/>
      <c r="K358" s="744"/>
      <c r="L358" s="744"/>
      <c r="M358" s="744"/>
      <c r="N358" s="744"/>
      <c r="O358" s="744"/>
      <c r="P358" s="744"/>
    </row>
    <row r="359" spans="1:16">
      <c r="A359" s="744"/>
      <c r="C359" s="743"/>
      <c r="D359" s="744"/>
      <c r="E359" s="744"/>
      <c r="F359" s="744"/>
      <c r="G359" s="744"/>
      <c r="H359" s="744"/>
      <c r="I359" s="744"/>
      <c r="J359" s="744"/>
      <c r="K359" s="744"/>
      <c r="L359" s="744"/>
      <c r="M359" s="744"/>
      <c r="N359" s="744"/>
      <c r="O359" s="744"/>
      <c r="P359" s="744"/>
    </row>
    <row r="360" spans="1:16">
      <c r="A360" s="744"/>
      <c r="C360" s="743"/>
      <c r="D360" s="744"/>
      <c r="E360" s="744"/>
      <c r="F360" s="744"/>
      <c r="G360" s="744"/>
      <c r="H360" s="744"/>
      <c r="I360" s="744"/>
      <c r="J360" s="744"/>
      <c r="K360" s="744"/>
      <c r="L360" s="744"/>
      <c r="M360" s="744"/>
      <c r="N360" s="744"/>
      <c r="O360" s="744"/>
      <c r="P360" s="744"/>
    </row>
    <row r="361" spans="1:16">
      <c r="A361" s="744"/>
      <c r="C361" s="743"/>
      <c r="D361" s="744"/>
      <c r="E361" s="744"/>
      <c r="F361" s="744"/>
      <c r="G361" s="744"/>
      <c r="H361" s="744"/>
      <c r="I361" s="744"/>
      <c r="J361" s="744"/>
      <c r="K361" s="744"/>
      <c r="L361" s="744"/>
      <c r="M361" s="744"/>
      <c r="N361" s="744"/>
      <c r="O361" s="744"/>
      <c r="P361" s="744"/>
    </row>
    <row r="362" spans="1:16">
      <c r="A362" s="744"/>
      <c r="C362" s="743"/>
      <c r="D362" s="744"/>
      <c r="E362" s="744"/>
      <c r="F362" s="744"/>
      <c r="G362" s="744"/>
      <c r="H362" s="744"/>
      <c r="I362" s="744"/>
      <c r="J362" s="744"/>
      <c r="K362" s="744"/>
      <c r="L362" s="744"/>
      <c r="M362" s="744"/>
      <c r="N362" s="744"/>
      <c r="O362" s="744"/>
      <c r="P362" s="744"/>
    </row>
    <row r="363" spans="1:16">
      <c r="A363" s="744"/>
      <c r="C363" s="743"/>
      <c r="D363" s="744"/>
      <c r="E363" s="744"/>
      <c r="F363" s="744"/>
      <c r="G363" s="744"/>
      <c r="H363" s="744"/>
      <c r="I363" s="744"/>
      <c r="J363" s="744"/>
      <c r="K363" s="744"/>
      <c r="L363" s="744"/>
      <c r="M363" s="744"/>
      <c r="N363" s="744"/>
      <c r="O363" s="744"/>
      <c r="P363" s="744"/>
    </row>
    <row r="364" spans="1:16">
      <c r="A364" s="744"/>
      <c r="C364" s="743"/>
      <c r="D364" s="744"/>
      <c r="E364" s="744"/>
      <c r="F364" s="744"/>
      <c r="G364" s="744"/>
      <c r="H364" s="744"/>
      <c r="I364" s="744"/>
      <c r="J364" s="744"/>
      <c r="K364" s="744"/>
      <c r="L364" s="744"/>
      <c r="M364" s="744"/>
      <c r="N364" s="744"/>
      <c r="O364" s="744"/>
      <c r="P364" s="744"/>
    </row>
    <row r="365" spans="1:16">
      <c r="A365" s="744"/>
      <c r="C365" s="743"/>
      <c r="D365" s="744"/>
      <c r="E365" s="744"/>
      <c r="F365" s="744"/>
      <c r="G365" s="744"/>
      <c r="H365" s="744"/>
      <c r="I365" s="744"/>
      <c r="J365" s="744"/>
      <c r="K365" s="744"/>
      <c r="L365" s="744"/>
      <c r="M365" s="744"/>
      <c r="N365" s="744"/>
      <c r="O365" s="744"/>
      <c r="P365" s="744"/>
    </row>
    <row r="366" spans="1:16">
      <c r="A366" s="744"/>
      <c r="C366" s="743"/>
      <c r="D366" s="744"/>
      <c r="E366" s="744"/>
      <c r="F366" s="744"/>
      <c r="G366" s="744"/>
      <c r="H366" s="744"/>
      <c r="I366" s="744"/>
      <c r="J366" s="744"/>
      <c r="K366" s="744"/>
      <c r="L366" s="744"/>
      <c r="M366" s="744"/>
      <c r="N366" s="744"/>
      <c r="O366" s="744"/>
      <c r="P366" s="744"/>
    </row>
    <row r="367" spans="1:16">
      <c r="A367" s="744"/>
      <c r="C367" s="743"/>
      <c r="D367" s="744"/>
      <c r="E367" s="744"/>
      <c r="F367" s="744"/>
      <c r="G367" s="744"/>
      <c r="H367" s="744"/>
      <c r="I367" s="744"/>
      <c r="J367" s="744"/>
      <c r="K367" s="744"/>
      <c r="L367" s="744"/>
      <c r="M367" s="744"/>
      <c r="N367" s="744"/>
      <c r="O367" s="744"/>
      <c r="P367" s="744"/>
    </row>
    <row r="368" spans="1:16">
      <c r="A368" s="744"/>
      <c r="C368" s="743"/>
      <c r="D368" s="744"/>
      <c r="E368" s="744"/>
      <c r="F368" s="744"/>
      <c r="G368" s="744"/>
      <c r="H368" s="744"/>
      <c r="I368" s="744"/>
      <c r="J368" s="744"/>
      <c r="K368" s="744"/>
      <c r="L368" s="744"/>
      <c r="M368" s="744"/>
      <c r="N368" s="744"/>
      <c r="O368" s="744"/>
      <c r="P368" s="744"/>
    </row>
    <row r="369" spans="1:16">
      <c r="A369" s="744"/>
      <c r="C369" s="743"/>
      <c r="D369" s="744"/>
      <c r="E369" s="744"/>
      <c r="F369" s="744"/>
      <c r="G369" s="744"/>
      <c r="H369" s="744"/>
      <c r="I369" s="744"/>
      <c r="J369" s="744"/>
      <c r="K369" s="744"/>
      <c r="L369" s="744"/>
      <c r="M369" s="744"/>
      <c r="N369" s="744"/>
      <c r="O369" s="744"/>
      <c r="P369" s="744"/>
    </row>
    <row r="370" spans="1:16">
      <c r="A370" s="744"/>
      <c r="C370" s="743"/>
      <c r="D370" s="744"/>
      <c r="E370" s="744"/>
      <c r="F370" s="744"/>
      <c r="G370" s="744"/>
      <c r="H370" s="744"/>
      <c r="I370" s="744"/>
      <c r="J370" s="744"/>
      <c r="K370" s="744"/>
      <c r="L370" s="744"/>
      <c r="M370" s="744"/>
      <c r="N370" s="744"/>
      <c r="O370" s="744"/>
      <c r="P370" s="744"/>
    </row>
    <row r="371" spans="1:16">
      <c r="A371" s="744"/>
      <c r="C371" s="743"/>
      <c r="D371" s="744"/>
      <c r="E371" s="744"/>
      <c r="F371" s="744"/>
      <c r="G371" s="744"/>
      <c r="H371" s="744"/>
      <c r="I371" s="744"/>
      <c r="J371" s="744"/>
      <c r="K371" s="744"/>
      <c r="L371" s="744"/>
      <c r="M371" s="744"/>
      <c r="N371" s="744"/>
      <c r="O371" s="744"/>
      <c r="P371" s="744"/>
    </row>
    <row r="372" spans="1:16">
      <c r="A372" s="744"/>
      <c r="C372" s="743"/>
      <c r="D372" s="744"/>
      <c r="E372" s="744"/>
      <c r="F372" s="744"/>
      <c r="G372" s="744"/>
      <c r="H372" s="744"/>
      <c r="I372" s="744"/>
      <c r="J372" s="744"/>
      <c r="K372" s="744"/>
      <c r="L372" s="744"/>
      <c r="M372" s="744"/>
      <c r="N372" s="744"/>
      <c r="O372" s="744"/>
      <c r="P372" s="744"/>
    </row>
    <row r="373" spans="1:16">
      <c r="A373" s="744"/>
      <c r="C373" s="743"/>
      <c r="D373" s="744"/>
      <c r="E373" s="744"/>
      <c r="F373" s="744"/>
      <c r="G373" s="744"/>
      <c r="H373" s="744"/>
      <c r="I373" s="744"/>
      <c r="J373" s="744"/>
      <c r="K373" s="744"/>
      <c r="L373" s="744"/>
      <c r="M373" s="744"/>
      <c r="N373" s="744"/>
      <c r="O373" s="744"/>
      <c r="P373" s="744"/>
    </row>
    <row r="374" spans="1:16">
      <c r="A374" s="744"/>
      <c r="C374" s="743"/>
      <c r="D374" s="744"/>
      <c r="E374" s="744"/>
      <c r="F374" s="744"/>
      <c r="G374" s="744"/>
      <c r="H374" s="744"/>
      <c r="I374" s="744"/>
      <c r="J374" s="744"/>
      <c r="K374" s="744"/>
      <c r="L374" s="744"/>
      <c r="M374" s="744"/>
      <c r="N374" s="744"/>
      <c r="O374" s="744"/>
      <c r="P374" s="744"/>
    </row>
    <row r="375" spans="1:16">
      <c r="A375" s="744"/>
      <c r="C375" s="743"/>
      <c r="D375" s="744"/>
      <c r="E375" s="744"/>
      <c r="F375" s="744"/>
      <c r="G375" s="744"/>
      <c r="H375" s="744"/>
      <c r="I375" s="744"/>
      <c r="J375" s="744"/>
      <c r="K375" s="744"/>
      <c r="L375" s="744"/>
      <c r="M375" s="744"/>
      <c r="N375" s="744"/>
      <c r="O375" s="744"/>
      <c r="P375" s="744"/>
    </row>
    <row r="376" spans="1:16">
      <c r="A376" s="744"/>
      <c r="C376" s="743"/>
      <c r="D376" s="744"/>
      <c r="E376" s="744"/>
      <c r="F376" s="744"/>
      <c r="G376" s="744"/>
      <c r="H376" s="744"/>
      <c r="I376" s="744"/>
      <c r="J376" s="744"/>
      <c r="K376" s="744"/>
      <c r="L376" s="744"/>
      <c r="M376" s="744"/>
      <c r="N376" s="744"/>
      <c r="O376" s="744"/>
      <c r="P376" s="744"/>
    </row>
    <row r="377" spans="1:16">
      <c r="A377" s="744"/>
      <c r="C377" s="743"/>
      <c r="D377" s="744"/>
      <c r="E377" s="744"/>
      <c r="F377" s="744"/>
      <c r="G377" s="744"/>
      <c r="H377" s="744"/>
      <c r="I377" s="744"/>
      <c r="J377" s="744"/>
      <c r="K377" s="744"/>
      <c r="L377" s="744"/>
      <c r="M377" s="744"/>
      <c r="N377" s="744"/>
      <c r="O377" s="744"/>
      <c r="P377" s="744"/>
    </row>
    <row r="378" spans="1:16">
      <c r="A378" s="744"/>
      <c r="C378" s="743"/>
      <c r="D378" s="744"/>
      <c r="E378" s="744"/>
      <c r="F378" s="744"/>
      <c r="G378" s="744"/>
      <c r="H378" s="744"/>
      <c r="I378" s="744"/>
      <c r="J378" s="744"/>
      <c r="K378" s="744"/>
      <c r="L378" s="744"/>
      <c r="M378" s="744"/>
      <c r="N378" s="744"/>
      <c r="O378" s="744"/>
      <c r="P378" s="744"/>
    </row>
    <row r="379" spans="1:16">
      <c r="A379" s="744"/>
      <c r="C379" s="743"/>
      <c r="D379" s="744"/>
      <c r="E379" s="744"/>
      <c r="F379" s="744"/>
      <c r="G379" s="744"/>
      <c r="H379" s="744"/>
      <c r="I379" s="744"/>
      <c r="J379" s="744"/>
      <c r="K379" s="744"/>
      <c r="L379" s="744"/>
      <c r="M379" s="744"/>
      <c r="N379" s="744"/>
      <c r="O379" s="744"/>
      <c r="P379" s="744"/>
    </row>
    <row r="380" spans="1:16">
      <c r="A380" s="744"/>
      <c r="C380" s="743"/>
      <c r="D380" s="744"/>
      <c r="E380" s="744"/>
      <c r="F380" s="744"/>
      <c r="G380" s="744"/>
      <c r="H380" s="744"/>
      <c r="I380" s="744"/>
      <c r="J380" s="744"/>
      <c r="K380" s="744"/>
      <c r="L380" s="744"/>
      <c r="M380" s="744"/>
      <c r="N380" s="744"/>
      <c r="O380" s="744"/>
      <c r="P380" s="744"/>
    </row>
    <row r="381" spans="1:16">
      <c r="A381" s="744"/>
      <c r="C381" s="743"/>
      <c r="D381" s="744"/>
      <c r="E381" s="744"/>
      <c r="F381" s="744"/>
      <c r="G381" s="744"/>
      <c r="H381" s="744"/>
      <c r="I381" s="744"/>
      <c r="J381" s="744"/>
      <c r="K381" s="744"/>
      <c r="L381" s="744"/>
      <c r="M381" s="744"/>
      <c r="N381" s="744"/>
      <c r="O381" s="744"/>
      <c r="P381" s="744"/>
    </row>
    <row r="382" spans="1:16">
      <c r="A382" s="744"/>
      <c r="C382" s="743"/>
      <c r="D382" s="744"/>
      <c r="E382" s="744"/>
      <c r="F382" s="744"/>
      <c r="G382" s="744"/>
      <c r="H382" s="744"/>
      <c r="I382" s="744"/>
      <c r="J382" s="744"/>
      <c r="K382" s="744"/>
      <c r="L382" s="744"/>
      <c r="M382" s="744"/>
      <c r="N382" s="744"/>
      <c r="O382" s="744"/>
      <c r="P382" s="744"/>
    </row>
    <row r="383" spans="1:16">
      <c r="A383" s="744"/>
      <c r="C383" s="743"/>
      <c r="D383" s="744"/>
      <c r="E383" s="744"/>
      <c r="F383" s="744"/>
      <c r="G383" s="744"/>
      <c r="H383" s="744"/>
      <c r="I383" s="744"/>
      <c r="J383" s="744"/>
      <c r="K383" s="744"/>
      <c r="L383" s="744"/>
      <c r="M383" s="744"/>
      <c r="N383" s="744"/>
      <c r="O383" s="744"/>
      <c r="P383" s="744"/>
    </row>
    <row r="384" spans="1:16">
      <c r="A384" s="744"/>
      <c r="C384" s="743"/>
      <c r="D384" s="744"/>
      <c r="E384" s="744"/>
      <c r="F384" s="744"/>
      <c r="G384" s="744"/>
      <c r="H384" s="744"/>
      <c r="I384" s="744"/>
      <c r="J384" s="744"/>
      <c r="K384" s="744"/>
      <c r="L384" s="744"/>
      <c r="M384" s="744"/>
      <c r="N384" s="744"/>
      <c r="O384" s="744"/>
      <c r="P384" s="744"/>
    </row>
    <row r="385" spans="1:16">
      <c r="A385" s="744"/>
      <c r="C385" s="743"/>
      <c r="D385" s="744"/>
      <c r="E385" s="744"/>
      <c r="F385" s="744"/>
      <c r="G385" s="744"/>
      <c r="H385" s="744"/>
      <c r="I385" s="744"/>
      <c r="J385" s="744"/>
      <c r="K385" s="744"/>
      <c r="L385" s="744"/>
      <c r="M385" s="744"/>
      <c r="N385" s="744"/>
      <c r="O385" s="744"/>
      <c r="P385" s="744"/>
    </row>
    <row r="386" spans="1:16">
      <c r="A386" s="744"/>
      <c r="C386" s="743"/>
      <c r="D386" s="744"/>
      <c r="E386" s="744"/>
      <c r="F386" s="744"/>
      <c r="G386" s="744"/>
      <c r="H386" s="744"/>
      <c r="I386" s="744"/>
      <c r="J386" s="744"/>
      <c r="K386" s="744"/>
      <c r="L386" s="744"/>
      <c r="M386" s="744"/>
      <c r="N386" s="744"/>
      <c r="O386" s="744"/>
      <c r="P386" s="744"/>
    </row>
    <row r="387" spans="1:16">
      <c r="A387" s="744"/>
      <c r="C387" s="743"/>
      <c r="D387" s="744"/>
      <c r="E387" s="744"/>
      <c r="F387" s="744"/>
      <c r="G387" s="744"/>
      <c r="H387" s="744"/>
      <c r="I387" s="744"/>
      <c r="J387" s="744"/>
      <c r="K387" s="744"/>
      <c r="L387" s="744"/>
      <c r="M387" s="744"/>
      <c r="N387" s="744"/>
      <c r="O387" s="744"/>
      <c r="P387" s="744"/>
    </row>
    <row r="388" spans="1:16">
      <c r="A388" s="744"/>
      <c r="C388" s="743"/>
      <c r="D388" s="744"/>
      <c r="E388" s="744"/>
      <c r="F388" s="744"/>
      <c r="G388" s="744"/>
      <c r="H388" s="744"/>
      <c r="I388" s="744"/>
      <c r="J388" s="744"/>
      <c r="K388" s="744"/>
      <c r="L388" s="744"/>
      <c r="M388" s="744"/>
      <c r="N388" s="744"/>
      <c r="O388" s="744"/>
      <c r="P388" s="744"/>
    </row>
    <row r="389" spans="1:16">
      <c r="A389" s="744"/>
      <c r="C389" s="743"/>
      <c r="D389" s="744"/>
      <c r="E389" s="744"/>
      <c r="F389" s="744"/>
      <c r="G389" s="744"/>
      <c r="H389" s="744"/>
      <c r="I389" s="744"/>
      <c r="J389" s="744"/>
      <c r="K389" s="744"/>
      <c r="L389" s="744"/>
      <c r="M389" s="744"/>
      <c r="N389" s="744"/>
      <c r="O389" s="744"/>
      <c r="P389" s="744"/>
    </row>
    <row r="390" spans="1:16">
      <c r="A390" s="744"/>
      <c r="C390" s="743"/>
      <c r="D390" s="744"/>
      <c r="E390" s="744"/>
      <c r="F390" s="744"/>
      <c r="G390" s="744"/>
      <c r="H390" s="744"/>
      <c r="I390" s="744"/>
      <c r="J390" s="744"/>
      <c r="K390" s="744"/>
      <c r="L390" s="744"/>
      <c r="M390" s="744"/>
      <c r="N390" s="744"/>
      <c r="O390" s="744"/>
      <c r="P390" s="744"/>
    </row>
    <row r="391" spans="1:16">
      <c r="A391" s="744"/>
      <c r="C391" s="743"/>
      <c r="D391" s="744"/>
      <c r="E391" s="744"/>
      <c r="F391" s="744"/>
      <c r="G391" s="744"/>
      <c r="H391" s="744"/>
      <c r="I391" s="744"/>
      <c r="J391" s="744"/>
      <c r="K391" s="744"/>
      <c r="L391" s="744"/>
      <c r="M391" s="744"/>
      <c r="N391" s="744"/>
      <c r="O391" s="744"/>
      <c r="P391" s="744"/>
    </row>
    <row r="392" spans="1:16">
      <c r="A392" s="744"/>
      <c r="C392" s="743"/>
      <c r="D392" s="744"/>
      <c r="E392" s="744"/>
      <c r="F392" s="744"/>
      <c r="G392" s="744"/>
      <c r="H392" s="744"/>
      <c r="I392" s="744"/>
      <c r="J392" s="744"/>
      <c r="K392" s="744"/>
      <c r="L392" s="744"/>
      <c r="M392" s="744"/>
      <c r="N392" s="744"/>
      <c r="O392" s="744"/>
      <c r="P392" s="744"/>
    </row>
    <row r="393" spans="1:16">
      <c r="A393" s="744"/>
      <c r="C393" s="743"/>
      <c r="D393" s="744"/>
      <c r="E393" s="744"/>
      <c r="F393" s="744"/>
      <c r="G393" s="744"/>
      <c r="H393" s="744"/>
      <c r="I393" s="744"/>
      <c r="J393" s="744"/>
      <c r="K393" s="744"/>
      <c r="L393" s="744"/>
      <c r="M393" s="744"/>
      <c r="N393" s="744"/>
      <c r="O393" s="744"/>
      <c r="P393" s="744"/>
    </row>
    <row r="394" spans="1:16">
      <c r="A394" s="744"/>
      <c r="C394" s="743"/>
      <c r="D394" s="744"/>
      <c r="E394" s="744"/>
      <c r="F394" s="744"/>
      <c r="G394" s="744"/>
      <c r="H394" s="744"/>
      <c r="I394" s="744"/>
      <c r="J394" s="744"/>
      <c r="K394" s="744"/>
      <c r="L394" s="744"/>
      <c r="M394" s="744"/>
      <c r="N394" s="744"/>
      <c r="O394" s="744"/>
      <c r="P394" s="744"/>
    </row>
    <row r="395" spans="1:16">
      <c r="A395" s="744"/>
      <c r="C395" s="743"/>
      <c r="D395" s="744"/>
      <c r="E395" s="744"/>
      <c r="F395" s="744"/>
      <c r="G395" s="744"/>
      <c r="H395" s="744"/>
      <c r="I395" s="744"/>
      <c r="J395" s="744"/>
      <c r="K395" s="744"/>
      <c r="L395" s="744"/>
      <c r="M395" s="744"/>
      <c r="N395" s="744"/>
      <c r="O395" s="744"/>
      <c r="P395" s="744"/>
    </row>
    <row r="396" spans="1:16">
      <c r="A396" s="744"/>
      <c r="C396" s="743"/>
      <c r="D396" s="744"/>
      <c r="E396" s="744"/>
      <c r="F396" s="744"/>
      <c r="G396" s="744"/>
      <c r="H396" s="744"/>
      <c r="I396" s="744"/>
      <c r="J396" s="744"/>
      <c r="K396" s="744"/>
      <c r="L396" s="744"/>
      <c r="M396" s="744"/>
      <c r="N396" s="744"/>
      <c r="O396" s="744"/>
      <c r="P396" s="744"/>
    </row>
    <row r="397" spans="1:16">
      <c r="A397" s="744"/>
      <c r="C397" s="743"/>
      <c r="D397" s="744"/>
      <c r="E397" s="744"/>
      <c r="F397" s="744"/>
      <c r="G397" s="744"/>
      <c r="H397" s="744"/>
      <c r="I397" s="744"/>
      <c r="J397" s="744"/>
      <c r="K397" s="744"/>
      <c r="L397" s="744"/>
      <c r="M397" s="744"/>
      <c r="N397" s="744"/>
      <c r="O397" s="744"/>
      <c r="P397" s="744"/>
    </row>
    <row r="398" spans="1:16">
      <c r="A398" s="744"/>
      <c r="C398" s="743"/>
      <c r="D398" s="744"/>
      <c r="E398" s="744"/>
      <c r="F398" s="744"/>
      <c r="G398" s="744"/>
      <c r="H398" s="744"/>
      <c r="I398" s="744"/>
      <c r="J398" s="744"/>
      <c r="K398" s="744"/>
      <c r="L398" s="744"/>
      <c r="M398" s="744"/>
      <c r="N398" s="744"/>
      <c r="O398" s="744"/>
      <c r="P398" s="744"/>
    </row>
    <row r="399" spans="1:16">
      <c r="A399" s="744"/>
      <c r="C399" s="743"/>
      <c r="D399" s="744"/>
      <c r="E399" s="744"/>
      <c r="F399" s="744"/>
      <c r="G399" s="744"/>
      <c r="H399" s="744"/>
      <c r="I399" s="744"/>
      <c r="J399" s="744"/>
      <c r="K399" s="744"/>
      <c r="L399" s="744"/>
      <c r="M399" s="744"/>
      <c r="N399" s="744"/>
      <c r="O399" s="744"/>
      <c r="P399" s="744"/>
    </row>
    <row r="400" spans="1:16">
      <c r="A400" s="744"/>
      <c r="C400" s="743"/>
      <c r="D400" s="744"/>
      <c r="E400" s="744"/>
      <c r="F400" s="744"/>
      <c r="G400" s="744"/>
      <c r="H400" s="744"/>
      <c r="I400" s="744"/>
      <c r="J400" s="744"/>
      <c r="K400" s="744"/>
      <c r="L400" s="744"/>
      <c r="M400" s="744"/>
      <c r="N400" s="744"/>
      <c r="O400" s="744"/>
      <c r="P400" s="744"/>
    </row>
    <row r="401" spans="1:16">
      <c r="A401" s="744"/>
      <c r="C401" s="743"/>
      <c r="D401" s="744"/>
      <c r="E401" s="744"/>
      <c r="F401" s="744"/>
      <c r="G401" s="744"/>
      <c r="H401" s="744"/>
      <c r="I401" s="744"/>
      <c r="J401" s="744"/>
      <c r="K401" s="744"/>
      <c r="L401" s="744"/>
      <c r="M401" s="744"/>
      <c r="N401" s="744"/>
      <c r="O401" s="744"/>
      <c r="P401" s="744"/>
    </row>
    <row r="402" spans="1:16">
      <c r="A402" s="744"/>
      <c r="C402" s="743"/>
      <c r="D402" s="744"/>
      <c r="E402" s="744"/>
      <c r="F402" s="744"/>
      <c r="G402" s="744"/>
      <c r="H402" s="744"/>
      <c r="I402" s="744"/>
      <c r="J402" s="744"/>
      <c r="K402" s="744"/>
      <c r="L402" s="744"/>
      <c r="M402" s="744"/>
      <c r="N402" s="744"/>
      <c r="O402" s="744"/>
      <c r="P402" s="744"/>
    </row>
    <row r="403" spans="1:16">
      <c r="A403" s="744"/>
      <c r="C403" s="743"/>
      <c r="D403" s="744"/>
      <c r="E403" s="744"/>
      <c r="F403" s="744"/>
      <c r="G403" s="744"/>
      <c r="H403" s="744"/>
      <c r="I403" s="744"/>
      <c r="J403" s="744"/>
      <c r="K403" s="744"/>
      <c r="L403" s="744"/>
      <c r="M403" s="744"/>
      <c r="N403" s="744"/>
      <c r="O403" s="744"/>
      <c r="P403" s="744"/>
    </row>
    <row r="404" spans="1:16">
      <c r="A404" s="744"/>
      <c r="C404" s="743"/>
      <c r="D404" s="744"/>
      <c r="E404" s="744"/>
      <c r="F404" s="744"/>
      <c r="G404" s="744"/>
      <c r="H404" s="744"/>
      <c r="I404" s="744"/>
      <c r="J404" s="744"/>
      <c r="K404" s="744"/>
      <c r="L404" s="744"/>
      <c r="M404" s="744"/>
      <c r="N404" s="744"/>
      <c r="O404" s="744"/>
      <c r="P404" s="744"/>
    </row>
    <row r="405" spans="1:16">
      <c r="A405" s="744"/>
      <c r="C405" s="743"/>
      <c r="D405" s="744"/>
      <c r="E405" s="744"/>
      <c r="F405" s="744"/>
      <c r="G405" s="744"/>
      <c r="H405" s="744"/>
      <c r="I405" s="744"/>
      <c r="J405" s="744"/>
      <c r="K405" s="744"/>
      <c r="L405" s="744"/>
      <c r="M405" s="744"/>
      <c r="N405" s="744"/>
      <c r="O405" s="744"/>
      <c r="P405" s="744"/>
    </row>
    <row r="406" spans="1:16">
      <c r="A406" s="744"/>
      <c r="C406" s="743"/>
      <c r="D406" s="744"/>
      <c r="E406" s="744"/>
      <c r="F406" s="744"/>
      <c r="G406" s="744"/>
      <c r="H406" s="744"/>
      <c r="I406" s="744"/>
      <c r="J406" s="744"/>
      <c r="K406" s="744"/>
      <c r="L406" s="744"/>
      <c r="M406" s="744"/>
      <c r="N406" s="744"/>
      <c r="O406" s="744"/>
      <c r="P406" s="744"/>
    </row>
    <row r="407" spans="1:16">
      <c r="A407" s="744"/>
      <c r="C407" s="743"/>
      <c r="D407" s="744"/>
      <c r="E407" s="744"/>
      <c r="F407" s="744"/>
      <c r="G407" s="744"/>
      <c r="H407" s="744"/>
      <c r="I407" s="744"/>
      <c r="J407" s="744"/>
      <c r="K407" s="744"/>
      <c r="L407" s="744"/>
      <c r="M407" s="744"/>
      <c r="N407" s="744"/>
      <c r="O407" s="744"/>
      <c r="P407" s="744"/>
    </row>
    <row r="408" spans="1:16">
      <c r="A408" s="744"/>
      <c r="C408" s="743"/>
      <c r="D408" s="744"/>
      <c r="E408" s="744"/>
      <c r="F408" s="744"/>
      <c r="G408" s="744"/>
      <c r="H408" s="744"/>
      <c r="I408" s="744"/>
      <c r="J408" s="744"/>
      <c r="K408" s="744"/>
      <c r="L408" s="744"/>
      <c r="M408" s="744"/>
      <c r="N408" s="744"/>
      <c r="O408" s="744"/>
      <c r="P408" s="744"/>
    </row>
    <row r="409" spans="1:16">
      <c r="A409" s="744"/>
      <c r="C409" s="743"/>
      <c r="D409" s="744"/>
      <c r="E409" s="744"/>
      <c r="F409" s="744"/>
      <c r="G409" s="744"/>
      <c r="H409" s="744"/>
      <c r="I409" s="744"/>
      <c r="J409" s="744"/>
      <c r="K409" s="744"/>
      <c r="L409" s="744"/>
      <c r="M409" s="744"/>
      <c r="N409" s="744"/>
      <c r="O409" s="744"/>
      <c r="P409" s="744"/>
    </row>
    <row r="410" spans="1:16">
      <c r="A410" s="744"/>
      <c r="C410" s="743"/>
      <c r="D410" s="744"/>
      <c r="E410" s="744"/>
      <c r="F410" s="744"/>
      <c r="G410" s="744"/>
      <c r="H410" s="744"/>
      <c r="I410" s="744"/>
      <c r="J410" s="744"/>
      <c r="K410" s="744"/>
      <c r="L410" s="744"/>
      <c r="M410" s="744"/>
      <c r="N410" s="744"/>
      <c r="O410" s="744"/>
      <c r="P410" s="744"/>
    </row>
    <row r="411" spans="1:16">
      <c r="A411" s="744"/>
      <c r="C411" s="743"/>
      <c r="D411" s="744"/>
      <c r="E411" s="744"/>
      <c r="F411" s="744"/>
      <c r="G411" s="744"/>
      <c r="H411" s="744"/>
      <c r="I411" s="744"/>
      <c r="J411" s="744"/>
      <c r="K411" s="744"/>
      <c r="L411" s="744"/>
      <c r="M411" s="744"/>
      <c r="N411" s="744"/>
      <c r="O411" s="744"/>
      <c r="P411" s="744"/>
    </row>
    <row r="412" spans="1:16">
      <c r="A412" s="744"/>
      <c r="C412" s="743"/>
      <c r="D412" s="744"/>
      <c r="E412" s="744"/>
      <c r="F412" s="744"/>
      <c r="G412" s="744"/>
      <c r="H412" s="744"/>
      <c r="I412" s="744"/>
      <c r="J412" s="744"/>
      <c r="K412" s="744"/>
      <c r="L412" s="744"/>
      <c r="M412" s="744"/>
      <c r="N412" s="744"/>
      <c r="O412" s="744"/>
      <c r="P412" s="744"/>
    </row>
    <row r="413" spans="1:16">
      <c r="A413" s="744"/>
      <c r="C413" s="743"/>
      <c r="D413" s="744"/>
      <c r="E413" s="744"/>
      <c r="F413" s="744"/>
      <c r="G413" s="744"/>
      <c r="H413" s="744"/>
      <c r="I413" s="744"/>
      <c r="J413" s="744"/>
      <c r="K413" s="744"/>
      <c r="L413" s="744"/>
      <c r="M413" s="744"/>
      <c r="N413" s="744"/>
      <c r="O413" s="744"/>
      <c r="P413" s="744"/>
    </row>
    <row r="414" spans="1:16">
      <c r="A414" s="744"/>
      <c r="C414" s="743"/>
      <c r="D414" s="744"/>
      <c r="E414" s="744"/>
      <c r="F414" s="744"/>
      <c r="G414" s="744"/>
      <c r="H414" s="744"/>
      <c r="I414" s="744"/>
      <c r="J414" s="744"/>
      <c r="K414" s="744"/>
      <c r="L414" s="744"/>
      <c r="M414" s="744"/>
      <c r="N414" s="744"/>
      <c r="O414" s="744"/>
      <c r="P414" s="744"/>
    </row>
    <row r="415" spans="1:16">
      <c r="A415" s="744"/>
      <c r="C415" s="743"/>
      <c r="D415" s="744"/>
      <c r="E415" s="744"/>
      <c r="F415" s="744"/>
      <c r="G415" s="744"/>
      <c r="H415" s="744"/>
      <c r="I415" s="744"/>
      <c r="J415" s="744"/>
      <c r="K415" s="744"/>
      <c r="L415" s="744"/>
      <c r="M415" s="744"/>
      <c r="N415" s="744"/>
      <c r="O415" s="744"/>
      <c r="P415" s="744"/>
    </row>
    <row r="416" spans="1:16">
      <c r="A416" s="744"/>
      <c r="C416" s="743"/>
      <c r="D416" s="744"/>
      <c r="E416" s="744"/>
      <c r="F416" s="744"/>
      <c r="G416" s="744"/>
      <c r="H416" s="744"/>
      <c r="I416" s="744"/>
      <c r="J416" s="744"/>
      <c r="K416" s="744"/>
      <c r="L416" s="744"/>
      <c r="M416" s="744"/>
      <c r="N416" s="744"/>
      <c r="O416" s="744"/>
      <c r="P416" s="744"/>
    </row>
    <row r="417" spans="1:16">
      <c r="A417" s="744"/>
      <c r="C417" s="743"/>
      <c r="D417" s="744"/>
      <c r="E417" s="744"/>
      <c r="F417" s="744"/>
      <c r="G417" s="744"/>
      <c r="H417" s="744"/>
      <c r="I417" s="744"/>
      <c r="J417" s="744"/>
      <c r="K417" s="744"/>
      <c r="L417" s="744"/>
      <c r="M417" s="744"/>
      <c r="N417" s="744"/>
      <c r="O417" s="744"/>
      <c r="P417" s="744"/>
    </row>
    <row r="418" spans="1:16">
      <c r="A418" s="744"/>
      <c r="C418" s="743"/>
      <c r="D418" s="744"/>
      <c r="E418" s="744"/>
      <c r="F418" s="744"/>
      <c r="G418" s="744"/>
      <c r="H418" s="744"/>
      <c r="I418" s="744"/>
      <c r="J418" s="744"/>
      <c r="K418" s="744"/>
      <c r="L418" s="744"/>
      <c r="M418" s="744"/>
      <c r="N418" s="744"/>
      <c r="O418" s="744"/>
      <c r="P418" s="744"/>
    </row>
    <row r="419" spans="1:16">
      <c r="A419" s="744"/>
      <c r="C419" s="743"/>
      <c r="D419" s="744"/>
      <c r="E419" s="744"/>
      <c r="F419" s="744"/>
      <c r="G419" s="744"/>
      <c r="H419" s="744"/>
      <c r="I419" s="744"/>
      <c r="J419" s="744"/>
      <c r="K419" s="744"/>
      <c r="L419" s="744"/>
      <c r="M419" s="744"/>
      <c r="N419" s="744"/>
      <c r="O419" s="744"/>
      <c r="P419" s="744"/>
    </row>
    <row r="420" spans="1:16">
      <c r="A420" s="744"/>
      <c r="C420" s="743"/>
      <c r="D420" s="744"/>
      <c r="E420" s="744"/>
      <c r="F420" s="744"/>
      <c r="G420" s="744"/>
      <c r="H420" s="744"/>
      <c r="I420" s="744"/>
      <c r="J420" s="744"/>
      <c r="K420" s="744"/>
      <c r="L420" s="744"/>
      <c r="M420" s="744"/>
      <c r="N420" s="744"/>
      <c r="O420" s="744"/>
      <c r="P420" s="744"/>
    </row>
    <row r="421" spans="1:16">
      <c r="A421" s="744"/>
      <c r="C421" s="743"/>
      <c r="D421" s="744"/>
      <c r="E421" s="744"/>
      <c r="F421" s="744"/>
      <c r="G421" s="744"/>
      <c r="H421" s="744"/>
      <c r="I421" s="744"/>
      <c r="J421" s="744"/>
      <c r="K421" s="744"/>
      <c r="L421" s="744"/>
      <c r="M421" s="744"/>
      <c r="N421" s="744"/>
      <c r="O421" s="744"/>
      <c r="P421" s="744"/>
    </row>
    <row r="422" spans="1:16">
      <c r="A422" s="744"/>
      <c r="C422" s="743"/>
      <c r="D422" s="744"/>
      <c r="E422" s="744"/>
      <c r="F422" s="744"/>
      <c r="G422" s="744"/>
      <c r="H422" s="744"/>
      <c r="I422" s="744"/>
      <c r="J422" s="744"/>
      <c r="K422" s="744"/>
      <c r="L422" s="744"/>
      <c r="M422" s="744"/>
      <c r="N422" s="744"/>
      <c r="O422" s="744"/>
      <c r="P422" s="744"/>
    </row>
    <row r="423" spans="1:16">
      <c r="A423" s="744"/>
      <c r="C423" s="743"/>
      <c r="D423" s="744"/>
      <c r="E423" s="744"/>
      <c r="F423" s="744"/>
      <c r="G423" s="744"/>
      <c r="H423" s="744"/>
      <c r="I423" s="744"/>
      <c r="J423" s="744"/>
      <c r="K423" s="744"/>
      <c r="L423" s="744"/>
      <c r="M423" s="744"/>
      <c r="N423" s="744"/>
      <c r="O423" s="744"/>
      <c r="P423" s="744"/>
    </row>
    <row r="424" spans="1:16">
      <c r="A424" s="744"/>
      <c r="C424" s="743"/>
      <c r="D424" s="744"/>
      <c r="E424" s="744"/>
      <c r="F424" s="744"/>
      <c r="G424" s="744"/>
      <c r="H424" s="744"/>
      <c r="I424" s="744"/>
      <c r="J424" s="744"/>
      <c r="K424" s="744"/>
      <c r="L424" s="744"/>
      <c r="M424" s="744"/>
      <c r="N424" s="744"/>
      <c r="O424" s="744"/>
      <c r="P424" s="744"/>
    </row>
    <row r="425" spans="1:16">
      <c r="A425" s="744"/>
      <c r="C425" s="743"/>
      <c r="D425" s="744"/>
      <c r="E425" s="744"/>
      <c r="F425" s="744"/>
      <c r="G425" s="744"/>
      <c r="H425" s="744"/>
      <c r="I425" s="744"/>
      <c r="J425" s="744"/>
      <c r="K425" s="744"/>
      <c r="L425" s="744"/>
      <c r="M425" s="744"/>
      <c r="N425" s="744"/>
      <c r="O425" s="744"/>
      <c r="P425" s="744"/>
    </row>
    <row r="426" spans="1:16">
      <c r="A426" s="744"/>
      <c r="C426" s="743"/>
      <c r="D426" s="744"/>
      <c r="E426" s="744"/>
      <c r="F426" s="744"/>
      <c r="G426" s="744"/>
      <c r="H426" s="744"/>
      <c r="I426" s="744"/>
      <c r="J426" s="744"/>
      <c r="K426" s="744"/>
      <c r="L426" s="744"/>
      <c r="M426" s="744"/>
      <c r="N426" s="744"/>
      <c r="O426" s="744"/>
      <c r="P426" s="744"/>
    </row>
    <row r="427" spans="1:16">
      <c r="A427" s="744"/>
      <c r="C427" s="743"/>
      <c r="D427" s="744"/>
      <c r="E427" s="744"/>
      <c r="F427" s="744"/>
      <c r="G427" s="744"/>
      <c r="H427" s="744"/>
      <c r="I427" s="744"/>
      <c r="J427" s="744"/>
      <c r="K427" s="744"/>
      <c r="L427" s="744"/>
      <c r="M427" s="744"/>
      <c r="N427" s="744"/>
      <c r="O427" s="744"/>
      <c r="P427" s="744"/>
    </row>
    <row r="428" spans="1:16">
      <c r="A428" s="744"/>
      <c r="C428" s="743"/>
      <c r="D428" s="744"/>
      <c r="E428" s="744"/>
      <c r="F428" s="744"/>
      <c r="G428" s="744"/>
      <c r="H428" s="744"/>
      <c r="I428" s="744"/>
      <c r="J428" s="744"/>
      <c r="K428" s="744"/>
      <c r="L428" s="744"/>
      <c r="M428" s="744"/>
      <c r="N428" s="744"/>
      <c r="O428" s="744"/>
      <c r="P428" s="744"/>
    </row>
    <row r="429" spans="1:16">
      <c r="A429" s="744"/>
      <c r="C429" s="743"/>
      <c r="D429" s="744"/>
      <c r="E429" s="744"/>
      <c r="F429" s="744"/>
      <c r="G429" s="744"/>
      <c r="H429" s="744"/>
      <c r="I429" s="744"/>
      <c r="J429" s="744"/>
      <c r="K429" s="744"/>
      <c r="L429" s="744"/>
      <c r="M429" s="744"/>
      <c r="N429" s="744"/>
      <c r="O429" s="744"/>
      <c r="P429" s="744"/>
    </row>
    <row r="430" spans="1:16">
      <c r="A430" s="744"/>
      <c r="C430" s="743"/>
      <c r="D430" s="744"/>
      <c r="E430" s="744"/>
      <c r="F430" s="744"/>
      <c r="G430" s="744"/>
      <c r="H430" s="744"/>
      <c r="I430" s="744"/>
      <c r="J430" s="744"/>
      <c r="K430" s="744"/>
      <c r="L430" s="744"/>
      <c r="M430" s="744"/>
      <c r="N430" s="744"/>
      <c r="O430" s="744"/>
      <c r="P430" s="744"/>
    </row>
    <row r="431" spans="1:16">
      <c r="A431" s="744"/>
      <c r="C431" s="743"/>
      <c r="D431" s="744"/>
      <c r="E431" s="744"/>
      <c r="F431" s="744"/>
      <c r="G431" s="744"/>
      <c r="H431" s="744"/>
      <c r="I431" s="744"/>
      <c r="J431" s="744"/>
      <c r="K431" s="744"/>
      <c r="L431" s="744"/>
      <c r="M431" s="744"/>
      <c r="N431" s="744"/>
      <c r="O431" s="744"/>
      <c r="P431" s="744"/>
    </row>
    <row r="432" spans="1:16">
      <c r="A432" s="744"/>
      <c r="C432" s="743"/>
      <c r="D432" s="744"/>
      <c r="E432" s="744"/>
      <c r="F432" s="744"/>
      <c r="G432" s="744"/>
      <c r="H432" s="744"/>
      <c r="I432" s="744"/>
      <c r="J432" s="744"/>
      <c r="K432" s="744"/>
      <c r="L432" s="744"/>
      <c r="M432" s="744"/>
      <c r="N432" s="744"/>
      <c r="O432" s="744"/>
      <c r="P432" s="744"/>
    </row>
    <row r="433" spans="1:16">
      <c r="A433" s="744"/>
      <c r="C433" s="743"/>
      <c r="D433" s="744"/>
      <c r="E433" s="744"/>
      <c r="F433" s="744"/>
      <c r="G433" s="744"/>
      <c r="H433" s="744"/>
      <c r="I433" s="744"/>
      <c r="J433" s="744"/>
      <c r="K433" s="744"/>
      <c r="L433" s="744"/>
      <c r="M433" s="744"/>
      <c r="N433" s="744"/>
      <c r="O433" s="744"/>
      <c r="P433" s="744"/>
    </row>
    <row r="434" spans="1:16">
      <c r="A434" s="744"/>
      <c r="C434" s="743"/>
      <c r="D434" s="744"/>
      <c r="E434" s="744"/>
      <c r="F434" s="744"/>
      <c r="G434" s="744"/>
      <c r="H434" s="744"/>
      <c r="I434" s="744"/>
      <c r="J434" s="744"/>
      <c r="K434" s="744"/>
      <c r="L434" s="744"/>
      <c r="M434" s="744"/>
      <c r="N434" s="744"/>
      <c r="O434" s="744"/>
      <c r="P434" s="744"/>
    </row>
    <row r="435" spans="1:16">
      <c r="A435" s="744"/>
      <c r="C435" s="743"/>
      <c r="D435" s="744"/>
      <c r="E435" s="744"/>
      <c r="F435" s="744"/>
      <c r="G435" s="744"/>
      <c r="H435" s="744"/>
      <c r="I435" s="744"/>
      <c r="J435" s="744"/>
      <c r="K435" s="744"/>
      <c r="L435" s="744"/>
      <c r="M435" s="744"/>
      <c r="N435" s="744"/>
      <c r="O435" s="744"/>
      <c r="P435" s="744"/>
    </row>
    <row r="436" spans="1:16">
      <c r="A436" s="744"/>
      <c r="C436" s="743"/>
      <c r="D436" s="744"/>
      <c r="E436" s="744"/>
      <c r="F436" s="744"/>
      <c r="G436" s="744"/>
      <c r="H436" s="744"/>
      <c r="I436" s="744"/>
      <c r="J436" s="744"/>
      <c r="K436" s="744"/>
      <c r="L436" s="744"/>
      <c r="M436" s="744"/>
      <c r="N436" s="744"/>
      <c r="O436" s="744"/>
      <c r="P436" s="744"/>
    </row>
    <row r="437" spans="1:16">
      <c r="A437" s="744"/>
      <c r="C437" s="743"/>
      <c r="D437" s="744"/>
      <c r="E437" s="744"/>
      <c r="F437" s="744"/>
      <c r="G437" s="744"/>
      <c r="H437" s="744"/>
      <c r="I437" s="744"/>
      <c r="J437" s="744"/>
      <c r="K437" s="744"/>
      <c r="L437" s="744"/>
      <c r="M437" s="744"/>
      <c r="N437" s="744"/>
      <c r="O437" s="744"/>
      <c r="P437" s="744"/>
    </row>
    <row r="438" spans="1:16">
      <c r="A438" s="744"/>
      <c r="C438" s="743"/>
      <c r="D438" s="744"/>
      <c r="E438" s="744"/>
      <c r="F438" s="744"/>
      <c r="G438" s="744"/>
      <c r="H438" s="744"/>
      <c r="I438" s="744"/>
      <c r="J438" s="744"/>
      <c r="K438" s="744"/>
      <c r="L438" s="744"/>
      <c r="M438" s="744"/>
      <c r="N438" s="744"/>
      <c r="O438" s="744"/>
      <c r="P438" s="744"/>
    </row>
    <row r="439" spans="1:16">
      <c r="A439" s="744"/>
      <c r="C439" s="743"/>
      <c r="D439" s="744"/>
      <c r="E439" s="744"/>
      <c r="F439" s="744"/>
      <c r="G439" s="744"/>
      <c r="H439" s="744"/>
      <c r="I439" s="744"/>
      <c r="J439" s="744"/>
      <c r="K439" s="744"/>
      <c r="L439" s="744"/>
      <c r="M439" s="744"/>
      <c r="N439" s="744"/>
      <c r="O439" s="744"/>
      <c r="P439" s="744"/>
    </row>
    <row r="440" spans="1:16">
      <c r="A440" s="744"/>
      <c r="C440" s="743"/>
      <c r="D440" s="744"/>
      <c r="E440" s="744"/>
      <c r="F440" s="744"/>
      <c r="G440" s="744"/>
      <c r="H440" s="744"/>
      <c r="I440" s="744"/>
      <c r="J440" s="744"/>
      <c r="K440" s="744"/>
      <c r="L440" s="744"/>
      <c r="M440" s="744"/>
      <c r="N440" s="744"/>
      <c r="O440" s="744"/>
      <c r="P440" s="744"/>
    </row>
    <row r="441" spans="1:16">
      <c r="A441" s="744"/>
      <c r="C441" s="743"/>
      <c r="D441" s="744"/>
      <c r="E441" s="744"/>
      <c r="F441" s="744"/>
      <c r="G441" s="744"/>
      <c r="H441" s="744"/>
      <c r="I441" s="744"/>
      <c r="J441" s="744"/>
      <c r="K441" s="744"/>
      <c r="L441" s="744"/>
      <c r="M441" s="744"/>
      <c r="N441" s="744"/>
      <c r="O441" s="744"/>
      <c r="P441" s="744"/>
    </row>
    <row r="442" spans="1:16">
      <c r="A442" s="744"/>
      <c r="C442" s="743"/>
      <c r="D442" s="744"/>
      <c r="E442" s="744"/>
      <c r="F442" s="744"/>
      <c r="G442" s="744"/>
      <c r="H442" s="744"/>
      <c r="I442" s="744"/>
      <c r="J442" s="744"/>
      <c r="K442" s="744"/>
      <c r="L442" s="744"/>
      <c r="M442" s="744"/>
      <c r="N442" s="744"/>
      <c r="O442" s="744"/>
      <c r="P442" s="744"/>
    </row>
    <row r="443" spans="1:16">
      <c r="A443" s="744"/>
      <c r="C443" s="743"/>
      <c r="D443" s="744"/>
      <c r="E443" s="744"/>
      <c r="F443" s="744"/>
      <c r="G443" s="744"/>
      <c r="H443" s="744"/>
      <c r="I443" s="744"/>
      <c r="J443" s="744"/>
      <c r="K443" s="744"/>
      <c r="L443" s="744"/>
      <c r="M443" s="744"/>
      <c r="N443" s="744"/>
      <c r="O443" s="744"/>
      <c r="P443" s="744"/>
    </row>
    <row r="444" spans="1:16">
      <c r="A444" s="744"/>
      <c r="C444" s="743"/>
      <c r="D444" s="744"/>
      <c r="E444" s="744"/>
      <c r="F444" s="744"/>
      <c r="G444" s="744"/>
      <c r="H444" s="744"/>
      <c r="I444" s="744"/>
      <c r="J444" s="744"/>
      <c r="K444" s="744"/>
      <c r="L444" s="744"/>
      <c r="M444" s="744"/>
      <c r="N444" s="744"/>
      <c r="O444" s="744"/>
      <c r="P444" s="744"/>
    </row>
    <row r="445" spans="1:16">
      <c r="A445" s="744"/>
      <c r="C445" s="743"/>
      <c r="D445" s="744"/>
      <c r="E445" s="744"/>
      <c r="F445" s="744"/>
      <c r="G445" s="744"/>
      <c r="H445" s="744"/>
      <c r="I445" s="744"/>
      <c r="J445" s="744"/>
      <c r="K445" s="744"/>
      <c r="L445" s="744"/>
      <c r="M445" s="744"/>
      <c r="N445" s="744"/>
      <c r="O445" s="744"/>
      <c r="P445" s="744"/>
    </row>
    <row r="446" spans="1:16">
      <c r="A446" s="744"/>
      <c r="C446" s="743"/>
      <c r="D446" s="744"/>
      <c r="E446" s="744"/>
      <c r="F446" s="744"/>
      <c r="G446" s="744"/>
      <c r="H446" s="744"/>
      <c r="I446" s="744"/>
      <c r="J446" s="744"/>
      <c r="K446" s="744"/>
      <c r="L446" s="744"/>
      <c r="M446" s="744"/>
      <c r="N446" s="744"/>
      <c r="O446" s="744"/>
      <c r="P446" s="744"/>
    </row>
    <row r="447" spans="1:16">
      <c r="A447" s="744"/>
      <c r="C447" s="743"/>
      <c r="D447" s="744"/>
      <c r="E447" s="744"/>
      <c r="F447" s="744"/>
      <c r="G447" s="744"/>
      <c r="H447" s="744"/>
      <c r="I447" s="744"/>
      <c r="J447" s="744"/>
      <c r="K447" s="744"/>
      <c r="L447" s="744"/>
      <c r="M447" s="744"/>
      <c r="N447" s="744"/>
      <c r="O447" s="744"/>
      <c r="P447" s="744"/>
    </row>
    <row r="448" spans="1:16">
      <c r="A448" s="744"/>
      <c r="C448" s="743"/>
      <c r="D448" s="744"/>
      <c r="E448" s="744"/>
      <c r="F448" s="744"/>
      <c r="G448" s="744"/>
      <c r="H448" s="744"/>
      <c r="I448" s="744"/>
      <c r="J448" s="744"/>
      <c r="K448" s="744"/>
      <c r="L448" s="744"/>
      <c r="M448" s="744"/>
      <c r="N448" s="744"/>
      <c r="O448" s="744"/>
      <c r="P448" s="744"/>
    </row>
    <row r="449" spans="1:16">
      <c r="A449" s="744"/>
      <c r="C449" s="743"/>
      <c r="D449" s="744"/>
      <c r="E449" s="744"/>
      <c r="F449" s="744"/>
      <c r="G449" s="744"/>
      <c r="H449" s="744"/>
      <c r="I449" s="744"/>
      <c r="J449" s="744"/>
      <c r="K449" s="744"/>
      <c r="L449" s="744"/>
      <c r="M449" s="744"/>
      <c r="N449" s="744"/>
      <c r="O449" s="744"/>
      <c r="P449" s="744"/>
    </row>
    <row r="450" spans="1:16">
      <c r="A450" s="744"/>
      <c r="C450" s="743"/>
      <c r="D450" s="744"/>
      <c r="E450" s="744"/>
      <c r="F450" s="744"/>
      <c r="G450" s="744"/>
      <c r="H450" s="744"/>
      <c r="I450" s="744"/>
      <c r="J450" s="744"/>
      <c r="K450" s="744"/>
      <c r="L450" s="744"/>
      <c r="M450" s="744"/>
      <c r="N450" s="744"/>
      <c r="O450" s="744"/>
      <c r="P450" s="744"/>
    </row>
    <row r="451" spans="1:16">
      <c r="A451" s="744"/>
      <c r="C451" s="743"/>
      <c r="D451" s="744"/>
      <c r="E451" s="744"/>
      <c r="F451" s="744"/>
      <c r="G451" s="744"/>
      <c r="H451" s="744"/>
      <c r="I451" s="744"/>
      <c r="J451" s="744"/>
      <c r="K451" s="744"/>
      <c r="L451" s="744"/>
      <c r="M451" s="744"/>
      <c r="N451" s="744"/>
      <c r="O451" s="744"/>
      <c r="P451" s="744"/>
    </row>
    <row r="452" spans="1:16">
      <c r="A452" s="744"/>
      <c r="C452" s="743"/>
      <c r="D452" s="744"/>
      <c r="E452" s="744"/>
      <c r="F452" s="744"/>
      <c r="G452" s="744"/>
      <c r="H452" s="744"/>
      <c r="I452" s="744"/>
      <c r="J452" s="744"/>
      <c r="K452" s="744"/>
      <c r="L452" s="744"/>
      <c r="M452" s="744"/>
      <c r="N452" s="744"/>
      <c r="O452" s="744"/>
      <c r="P452" s="744"/>
    </row>
    <row r="453" spans="1:16">
      <c r="A453" s="744"/>
      <c r="C453" s="743"/>
      <c r="D453" s="744"/>
      <c r="E453" s="744"/>
      <c r="F453" s="744"/>
      <c r="G453" s="744"/>
      <c r="H453" s="744"/>
      <c r="I453" s="744"/>
      <c r="J453" s="744"/>
      <c r="K453" s="744"/>
      <c r="L453" s="744"/>
      <c r="M453" s="744"/>
      <c r="N453" s="744"/>
      <c r="O453" s="744"/>
      <c r="P453" s="744"/>
    </row>
    <row r="454" spans="1:16">
      <c r="A454" s="744"/>
      <c r="C454" s="743"/>
      <c r="D454" s="744"/>
      <c r="E454" s="744"/>
      <c r="F454" s="744"/>
      <c r="G454" s="744"/>
      <c r="H454" s="744"/>
      <c r="I454" s="744"/>
      <c r="J454" s="744"/>
      <c r="K454" s="744"/>
      <c r="L454" s="744"/>
      <c r="M454" s="744"/>
      <c r="N454" s="744"/>
      <c r="O454" s="744"/>
      <c r="P454" s="744"/>
    </row>
    <row r="455" spans="1:16">
      <c r="A455" s="744"/>
      <c r="C455" s="743"/>
      <c r="D455" s="744"/>
      <c r="E455" s="744"/>
      <c r="F455" s="744"/>
      <c r="G455" s="744"/>
      <c r="H455" s="744"/>
      <c r="I455" s="744"/>
      <c r="J455" s="744"/>
      <c r="K455" s="744"/>
      <c r="L455" s="744"/>
      <c r="M455" s="744"/>
      <c r="N455" s="744"/>
      <c r="O455" s="744"/>
      <c r="P455" s="744"/>
    </row>
    <row r="456" spans="1:16">
      <c r="A456" s="744"/>
      <c r="C456" s="743"/>
      <c r="D456" s="744"/>
      <c r="E456" s="744"/>
      <c r="F456" s="744"/>
      <c r="G456" s="744"/>
      <c r="H456" s="744"/>
      <c r="I456" s="744"/>
      <c r="J456" s="744"/>
      <c r="K456" s="744"/>
      <c r="L456" s="744"/>
      <c r="M456" s="744"/>
      <c r="N456" s="744"/>
      <c r="O456" s="744"/>
      <c r="P456" s="744"/>
    </row>
    <row r="457" spans="1:16">
      <c r="A457" s="744"/>
      <c r="C457" s="743"/>
      <c r="D457" s="744"/>
      <c r="E457" s="744"/>
      <c r="F457" s="744"/>
      <c r="G457" s="744"/>
      <c r="H457" s="744"/>
      <c r="I457" s="744"/>
      <c r="J457" s="744"/>
      <c r="K457" s="744"/>
      <c r="L457" s="744"/>
      <c r="M457" s="744"/>
      <c r="N457" s="744"/>
      <c r="O457" s="744"/>
      <c r="P457" s="744"/>
    </row>
    <row r="458" spans="1:16">
      <c r="A458" s="744"/>
      <c r="C458" s="743"/>
      <c r="D458" s="744"/>
      <c r="E458" s="744"/>
      <c r="F458" s="744"/>
      <c r="G458" s="744"/>
      <c r="H458" s="744"/>
      <c r="I458" s="744"/>
      <c r="J458" s="744"/>
      <c r="K458" s="744"/>
      <c r="L458" s="744"/>
      <c r="M458" s="744"/>
      <c r="N458" s="744"/>
      <c r="O458" s="744"/>
      <c r="P458" s="744"/>
    </row>
    <row r="459" spans="1:16">
      <c r="A459" s="744"/>
      <c r="C459" s="743"/>
      <c r="D459" s="744"/>
      <c r="E459" s="744"/>
      <c r="F459" s="744"/>
      <c r="G459" s="744"/>
      <c r="H459" s="744"/>
      <c r="I459" s="744"/>
      <c r="J459" s="744"/>
      <c r="K459" s="744"/>
      <c r="L459" s="744"/>
      <c r="M459" s="744"/>
      <c r="N459" s="744"/>
      <c r="O459" s="744"/>
      <c r="P459" s="744"/>
    </row>
    <row r="460" spans="1:16">
      <c r="A460" s="744"/>
      <c r="C460" s="743"/>
      <c r="D460" s="744"/>
      <c r="E460" s="744"/>
      <c r="F460" s="744"/>
      <c r="G460" s="744"/>
      <c r="H460" s="744"/>
      <c r="I460" s="744"/>
      <c r="J460" s="744"/>
      <c r="K460" s="744"/>
      <c r="L460" s="744"/>
      <c r="M460" s="744"/>
      <c r="N460" s="744"/>
      <c r="O460" s="744"/>
      <c r="P460" s="744"/>
    </row>
    <row r="461" spans="1:16">
      <c r="A461" s="744"/>
      <c r="C461" s="743"/>
      <c r="D461" s="744"/>
      <c r="E461" s="744"/>
      <c r="F461" s="744"/>
      <c r="G461" s="744"/>
      <c r="H461" s="744"/>
      <c r="I461" s="744"/>
      <c r="J461" s="744"/>
      <c r="K461" s="744"/>
      <c r="L461" s="744"/>
      <c r="M461" s="744"/>
      <c r="N461" s="744"/>
      <c r="O461" s="744"/>
      <c r="P461" s="744"/>
    </row>
    <row r="462" spans="1:16">
      <c r="A462" s="744"/>
      <c r="C462" s="743"/>
      <c r="D462" s="744"/>
      <c r="E462" s="744"/>
      <c r="F462" s="744"/>
      <c r="G462" s="744"/>
      <c r="H462" s="744"/>
      <c r="I462" s="744"/>
      <c r="J462" s="744"/>
      <c r="K462" s="744"/>
      <c r="L462" s="744"/>
      <c r="M462" s="744"/>
      <c r="N462" s="744"/>
      <c r="O462" s="744"/>
      <c r="P462" s="744"/>
    </row>
    <row r="463" spans="1:16">
      <c r="A463" s="744"/>
      <c r="C463" s="743"/>
      <c r="D463" s="744"/>
      <c r="E463" s="744"/>
      <c r="F463" s="744"/>
      <c r="G463" s="744"/>
      <c r="H463" s="744"/>
      <c r="I463" s="744"/>
      <c r="J463" s="744"/>
      <c r="K463" s="744"/>
      <c r="L463" s="744"/>
      <c r="M463" s="744"/>
      <c r="N463" s="744"/>
      <c r="O463" s="744"/>
      <c r="P463" s="744"/>
    </row>
    <row r="464" spans="1:16">
      <c r="A464" s="744"/>
      <c r="C464" s="743"/>
      <c r="D464" s="744"/>
      <c r="E464" s="744"/>
      <c r="F464" s="744"/>
      <c r="G464" s="744"/>
      <c r="H464" s="744"/>
      <c r="I464" s="744"/>
      <c r="J464" s="744"/>
      <c r="K464" s="744"/>
      <c r="L464" s="744"/>
      <c r="M464" s="744"/>
      <c r="N464" s="744"/>
      <c r="O464" s="744"/>
      <c r="P464" s="744"/>
    </row>
    <row r="465" spans="1:16">
      <c r="A465" s="744"/>
      <c r="C465" s="743"/>
      <c r="D465" s="744"/>
      <c r="E465" s="744"/>
      <c r="F465" s="744"/>
      <c r="G465" s="744"/>
      <c r="H465" s="744"/>
      <c r="I465" s="744"/>
      <c r="J465" s="744"/>
      <c r="K465" s="744"/>
      <c r="L465" s="744"/>
      <c r="M465" s="744"/>
      <c r="N465" s="744"/>
      <c r="O465" s="744"/>
      <c r="P465" s="744"/>
    </row>
    <row r="466" spans="1:16">
      <c r="A466" s="744"/>
      <c r="C466" s="743"/>
      <c r="D466" s="744"/>
      <c r="E466" s="744"/>
      <c r="F466" s="744"/>
      <c r="G466" s="744"/>
      <c r="H466" s="744"/>
      <c r="I466" s="744"/>
      <c r="J466" s="744"/>
      <c r="K466" s="744"/>
      <c r="L466" s="744"/>
      <c r="M466" s="744"/>
      <c r="N466" s="744"/>
      <c r="O466" s="744"/>
      <c r="P466" s="744"/>
    </row>
    <row r="467" spans="1:16">
      <c r="A467" s="744"/>
      <c r="C467" s="743"/>
      <c r="D467" s="744"/>
      <c r="E467" s="744"/>
      <c r="F467" s="744"/>
      <c r="G467" s="744"/>
      <c r="H467" s="744"/>
      <c r="I467" s="744"/>
      <c r="J467" s="744"/>
      <c r="K467" s="744"/>
      <c r="L467" s="744"/>
      <c r="M467" s="744"/>
      <c r="N467" s="744"/>
      <c r="O467" s="744"/>
      <c r="P467" s="744"/>
    </row>
    <row r="468" spans="1:16">
      <c r="A468" s="744"/>
      <c r="C468" s="743"/>
      <c r="D468" s="744"/>
      <c r="E468" s="744"/>
      <c r="F468" s="744"/>
      <c r="G468" s="744"/>
      <c r="H468" s="744"/>
      <c r="I468" s="744"/>
      <c r="J468" s="744"/>
      <c r="K468" s="744"/>
      <c r="L468" s="744"/>
      <c r="M468" s="744"/>
      <c r="N468" s="744"/>
      <c r="O468" s="744"/>
      <c r="P468" s="744"/>
    </row>
    <row r="469" spans="1:16">
      <c r="A469" s="744"/>
      <c r="C469" s="743"/>
      <c r="D469" s="744"/>
      <c r="E469" s="744"/>
      <c r="F469" s="744"/>
      <c r="G469" s="744"/>
      <c r="H469" s="744"/>
      <c r="I469" s="744"/>
      <c r="J469" s="744"/>
      <c r="K469" s="744"/>
      <c r="L469" s="744"/>
      <c r="M469" s="744"/>
      <c r="N469" s="744"/>
      <c r="O469" s="744"/>
      <c r="P469" s="744"/>
    </row>
    <row r="470" spans="1:16">
      <c r="A470" s="744"/>
      <c r="C470" s="743"/>
      <c r="D470" s="744"/>
      <c r="E470" s="744"/>
      <c r="F470" s="744"/>
      <c r="G470" s="744"/>
      <c r="H470" s="744"/>
      <c r="I470" s="744"/>
      <c r="J470" s="744"/>
      <c r="K470" s="744"/>
      <c r="L470" s="744"/>
      <c r="M470" s="744"/>
      <c r="N470" s="744"/>
      <c r="O470" s="744"/>
      <c r="P470" s="744"/>
    </row>
    <row r="471" spans="1:16">
      <c r="A471" s="744"/>
      <c r="C471" s="743"/>
      <c r="D471" s="744"/>
      <c r="E471" s="744"/>
      <c r="F471" s="744"/>
      <c r="G471" s="744"/>
      <c r="H471" s="744"/>
      <c r="I471" s="744"/>
      <c r="J471" s="744"/>
      <c r="K471" s="744"/>
      <c r="L471" s="744"/>
      <c r="M471" s="744"/>
      <c r="N471" s="744"/>
      <c r="O471" s="744"/>
      <c r="P471" s="744"/>
    </row>
    <row r="472" spans="1:16">
      <c r="A472" s="744"/>
      <c r="C472" s="743"/>
      <c r="D472" s="744"/>
      <c r="E472" s="744"/>
      <c r="F472" s="744"/>
      <c r="G472" s="744"/>
      <c r="H472" s="744"/>
      <c r="I472" s="744"/>
      <c r="J472" s="744"/>
      <c r="K472" s="744"/>
      <c r="L472" s="744"/>
      <c r="M472" s="744"/>
      <c r="N472" s="744"/>
      <c r="O472" s="744"/>
      <c r="P472" s="744"/>
    </row>
    <row r="473" spans="1:16">
      <c r="A473" s="744"/>
      <c r="C473" s="743"/>
      <c r="D473" s="744"/>
      <c r="E473" s="744"/>
      <c r="F473" s="744"/>
      <c r="G473" s="744"/>
      <c r="H473" s="744"/>
      <c r="I473" s="744"/>
      <c r="J473" s="744"/>
      <c r="K473" s="744"/>
      <c r="L473" s="744"/>
      <c r="M473" s="744"/>
      <c r="N473" s="744"/>
      <c r="O473" s="744"/>
      <c r="P473" s="744"/>
    </row>
    <row r="474" spans="1:16">
      <c r="A474" s="744"/>
      <c r="C474" s="743"/>
      <c r="D474" s="744"/>
      <c r="E474" s="744"/>
      <c r="F474" s="744"/>
      <c r="G474" s="744"/>
      <c r="H474" s="744"/>
      <c r="I474" s="744"/>
      <c r="J474" s="744"/>
      <c r="K474" s="744"/>
      <c r="L474" s="744"/>
      <c r="M474" s="744"/>
      <c r="N474" s="744"/>
      <c r="O474" s="744"/>
      <c r="P474" s="744"/>
    </row>
    <row r="475" spans="1:16">
      <c r="A475" s="744"/>
      <c r="C475" s="743"/>
      <c r="D475" s="744"/>
      <c r="E475" s="744"/>
      <c r="F475" s="744"/>
      <c r="G475" s="744"/>
      <c r="H475" s="744"/>
      <c r="I475" s="744"/>
      <c r="J475" s="744"/>
      <c r="K475" s="744"/>
      <c r="L475" s="744"/>
      <c r="M475" s="744"/>
      <c r="N475" s="744"/>
      <c r="O475" s="744"/>
      <c r="P475" s="744"/>
    </row>
    <row r="476" spans="1:16">
      <c r="A476" s="744"/>
      <c r="C476" s="743"/>
      <c r="D476" s="744"/>
      <c r="E476" s="744"/>
      <c r="F476" s="744"/>
      <c r="G476" s="744"/>
      <c r="H476" s="744"/>
      <c r="I476" s="744"/>
      <c r="J476" s="744"/>
      <c r="K476" s="744"/>
      <c r="L476" s="744"/>
      <c r="M476" s="744"/>
      <c r="N476" s="744"/>
      <c r="O476" s="744"/>
      <c r="P476" s="744"/>
    </row>
    <row r="477" spans="1:16">
      <c r="A477" s="744"/>
      <c r="C477" s="743"/>
      <c r="D477" s="744"/>
      <c r="E477" s="744"/>
      <c r="F477" s="744"/>
      <c r="G477" s="744"/>
      <c r="H477" s="744"/>
      <c r="I477" s="744"/>
      <c r="J477" s="744"/>
      <c r="K477" s="744"/>
      <c r="L477" s="744"/>
      <c r="M477" s="744"/>
      <c r="N477" s="744"/>
      <c r="O477" s="744"/>
      <c r="P477" s="744"/>
    </row>
    <row r="478" spans="1:16">
      <c r="A478" s="744"/>
      <c r="C478" s="743"/>
      <c r="D478" s="744"/>
      <c r="E478" s="744"/>
      <c r="F478" s="744"/>
      <c r="G478" s="744"/>
      <c r="H478" s="744"/>
      <c r="I478" s="744"/>
      <c r="J478" s="744"/>
      <c r="K478" s="744"/>
      <c r="L478" s="744"/>
      <c r="M478" s="744"/>
      <c r="N478" s="744"/>
      <c r="O478" s="744"/>
      <c r="P478" s="744"/>
    </row>
    <row r="479" spans="1:16">
      <c r="A479" s="744"/>
      <c r="C479" s="743"/>
      <c r="D479" s="744"/>
      <c r="E479" s="744"/>
      <c r="F479" s="744"/>
      <c r="G479" s="744"/>
      <c r="H479" s="744"/>
      <c r="I479" s="744"/>
      <c r="J479" s="744"/>
      <c r="K479" s="744"/>
      <c r="L479" s="744"/>
      <c r="M479" s="744"/>
      <c r="N479" s="744"/>
      <c r="O479" s="744"/>
      <c r="P479" s="744"/>
    </row>
    <row r="480" spans="1:16">
      <c r="A480" s="744"/>
      <c r="C480" s="743"/>
      <c r="D480" s="744"/>
      <c r="E480" s="744"/>
      <c r="F480" s="744"/>
      <c r="G480" s="744"/>
      <c r="H480" s="744"/>
      <c r="I480" s="744"/>
      <c r="J480" s="744"/>
      <c r="K480" s="744"/>
      <c r="L480" s="744"/>
      <c r="M480" s="744"/>
      <c r="N480" s="744"/>
      <c r="O480" s="744"/>
      <c r="P480" s="744"/>
    </row>
    <row r="481" spans="1:16">
      <c r="A481" s="744"/>
      <c r="C481" s="743"/>
      <c r="D481" s="744"/>
      <c r="E481" s="744"/>
      <c r="F481" s="744"/>
      <c r="G481" s="744"/>
      <c r="H481" s="744"/>
      <c r="I481" s="744"/>
      <c r="J481" s="744"/>
      <c r="K481" s="744"/>
      <c r="L481" s="744"/>
      <c r="M481" s="744"/>
      <c r="N481" s="744"/>
      <c r="O481" s="744"/>
      <c r="P481" s="744"/>
    </row>
    <row r="482" spans="1:16">
      <c r="A482" s="744"/>
      <c r="C482" s="743"/>
      <c r="D482" s="744"/>
      <c r="E482" s="744"/>
      <c r="F482" s="744"/>
      <c r="G482" s="744"/>
      <c r="H482" s="744"/>
      <c r="I482" s="744"/>
      <c r="J482" s="744"/>
      <c r="K482" s="744"/>
      <c r="L482" s="744"/>
      <c r="M482" s="744"/>
      <c r="N482" s="744"/>
      <c r="O482" s="744"/>
      <c r="P482" s="744"/>
    </row>
    <row r="483" spans="1:16">
      <c r="A483" s="744"/>
      <c r="C483" s="743"/>
      <c r="D483" s="744"/>
      <c r="E483" s="744"/>
      <c r="F483" s="744"/>
      <c r="G483" s="744"/>
      <c r="H483" s="744"/>
      <c r="I483" s="744"/>
      <c r="J483" s="744"/>
      <c r="K483" s="744"/>
      <c r="L483" s="744"/>
      <c r="M483" s="744"/>
      <c r="N483" s="744"/>
      <c r="O483" s="744"/>
      <c r="P483" s="744"/>
    </row>
    <row r="484" spans="1:16">
      <c r="A484" s="744"/>
      <c r="C484" s="743"/>
      <c r="D484" s="744"/>
      <c r="E484" s="744"/>
      <c r="F484" s="744"/>
      <c r="G484" s="744"/>
      <c r="H484" s="744"/>
      <c r="I484" s="744"/>
      <c r="J484" s="744"/>
      <c r="K484" s="744"/>
      <c r="L484" s="744"/>
      <c r="M484" s="744"/>
      <c r="N484" s="744"/>
      <c r="O484" s="744"/>
      <c r="P484" s="744"/>
    </row>
    <row r="485" spans="1:16">
      <c r="A485" s="744"/>
      <c r="C485" s="743"/>
      <c r="D485" s="744"/>
      <c r="E485" s="744"/>
      <c r="F485" s="744"/>
      <c r="G485" s="744"/>
      <c r="H485" s="744"/>
      <c r="I485" s="744"/>
      <c r="J485" s="744"/>
      <c r="K485" s="744"/>
      <c r="L485" s="744"/>
      <c r="M485" s="744"/>
      <c r="N485" s="744"/>
      <c r="O485" s="744"/>
      <c r="P485" s="744"/>
    </row>
    <row r="486" spans="1:16">
      <c r="A486" s="744"/>
      <c r="C486" s="743"/>
      <c r="D486" s="744"/>
      <c r="E486" s="744"/>
      <c r="F486" s="744"/>
      <c r="G486" s="744"/>
      <c r="H486" s="744"/>
      <c r="I486" s="744"/>
      <c r="J486" s="744"/>
      <c r="K486" s="744"/>
      <c r="L486" s="744"/>
      <c r="M486" s="744"/>
      <c r="N486" s="744"/>
      <c r="O486" s="744"/>
      <c r="P486" s="744"/>
    </row>
    <row r="487" spans="1:16">
      <c r="A487" s="744"/>
      <c r="C487" s="743"/>
      <c r="D487" s="744"/>
      <c r="E487" s="744"/>
      <c r="F487" s="744"/>
      <c r="G487" s="744"/>
      <c r="H487" s="744"/>
      <c r="I487" s="744"/>
      <c r="J487" s="744"/>
      <c r="K487" s="744"/>
      <c r="L487" s="744"/>
      <c r="M487" s="744"/>
      <c r="N487" s="744"/>
      <c r="O487" s="744"/>
      <c r="P487" s="744"/>
    </row>
    <row r="488" spans="1:16">
      <c r="A488" s="744"/>
      <c r="C488" s="743"/>
      <c r="D488" s="744"/>
      <c r="E488" s="744"/>
      <c r="F488" s="744"/>
      <c r="G488" s="744"/>
      <c r="H488" s="744"/>
      <c r="I488" s="744"/>
      <c r="J488" s="744"/>
      <c r="K488" s="744"/>
      <c r="L488" s="744"/>
      <c r="M488" s="744"/>
      <c r="N488" s="744"/>
      <c r="O488" s="744"/>
      <c r="P488" s="744"/>
    </row>
    <row r="489" spans="1:16">
      <c r="A489" s="744"/>
      <c r="C489" s="743"/>
      <c r="D489" s="744"/>
      <c r="E489" s="744"/>
      <c r="F489" s="744"/>
      <c r="G489" s="744"/>
      <c r="H489" s="744"/>
      <c r="I489" s="744"/>
      <c r="J489" s="744"/>
      <c r="K489" s="744"/>
      <c r="L489" s="744"/>
      <c r="M489" s="744"/>
      <c r="N489" s="744"/>
      <c r="O489" s="744"/>
      <c r="P489" s="744"/>
    </row>
    <row r="490" spans="1:16">
      <c r="A490" s="744"/>
      <c r="C490" s="743"/>
      <c r="D490" s="744"/>
      <c r="E490" s="744"/>
      <c r="F490" s="744"/>
      <c r="G490" s="744"/>
      <c r="H490" s="744"/>
      <c r="I490" s="744"/>
      <c r="J490" s="744"/>
      <c r="K490" s="744"/>
      <c r="L490" s="744"/>
      <c r="M490" s="744"/>
      <c r="N490" s="744"/>
      <c r="O490" s="744"/>
      <c r="P490" s="744"/>
    </row>
    <row r="491" spans="1:16">
      <c r="A491" s="744"/>
      <c r="C491" s="743"/>
      <c r="D491" s="744"/>
      <c r="E491" s="744"/>
      <c r="F491" s="744"/>
      <c r="G491" s="744"/>
      <c r="H491" s="744"/>
      <c r="I491" s="744"/>
      <c r="J491" s="744"/>
      <c r="K491" s="744"/>
      <c r="L491" s="744"/>
      <c r="M491" s="744"/>
      <c r="N491" s="744"/>
      <c r="O491" s="744"/>
      <c r="P491" s="744"/>
    </row>
    <row r="492" spans="1:16">
      <c r="A492" s="744"/>
      <c r="C492" s="743"/>
      <c r="D492" s="744"/>
      <c r="E492" s="744"/>
      <c r="F492" s="744"/>
      <c r="G492" s="744"/>
      <c r="H492" s="744"/>
      <c r="I492" s="744"/>
      <c r="J492" s="744"/>
      <c r="K492" s="744"/>
      <c r="L492" s="744"/>
      <c r="M492" s="744"/>
      <c r="N492" s="744"/>
      <c r="O492" s="744"/>
      <c r="P492" s="744"/>
    </row>
    <row r="493" spans="1:16">
      <c r="A493" s="744"/>
      <c r="C493" s="743"/>
      <c r="D493" s="744"/>
      <c r="E493" s="744"/>
      <c r="F493" s="744"/>
      <c r="G493" s="744"/>
      <c r="H493" s="744"/>
      <c r="I493" s="744"/>
      <c r="J493" s="744"/>
      <c r="K493" s="744"/>
      <c r="L493" s="744"/>
      <c r="M493" s="744"/>
      <c r="N493" s="744"/>
      <c r="O493" s="744"/>
      <c r="P493" s="744"/>
    </row>
    <row r="494" spans="1:16">
      <c r="A494" s="744"/>
      <c r="C494" s="743"/>
      <c r="D494" s="744"/>
      <c r="E494" s="744"/>
      <c r="F494" s="744"/>
      <c r="G494" s="744"/>
      <c r="H494" s="744"/>
      <c r="I494" s="744"/>
      <c r="J494" s="744"/>
      <c r="K494" s="744"/>
      <c r="L494" s="744"/>
      <c r="M494" s="744"/>
      <c r="N494" s="744"/>
      <c r="O494" s="744"/>
      <c r="P494" s="744"/>
    </row>
    <row r="495" spans="1:16">
      <c r="A495" s="744"/>
      <c r="C495" s="743"/>
      <c r="D495" s="744"/>
      <c r="E495" s="744"/>
      <c r="F495" s="744"/>
      <c r="G495" s="744"/>
      <c r="H495" s="744"/>
      <c r="I495" s="744"/>
      <c r="J495" s="744"/>
      <c r="K495" s="744"/>
      <c r="L495" s="744"/>
      <c r="M495" s="744"/>
      <c r="N495" s="744"/>
      <c r="O495" s="744"/>
      <c r="P495" s="744"/>
    </row>
    <row r="496" spans="1:16">
      <c r="A496" s="744"/>
      <c r="C496" s="743"/>
      <c r="D496" s="744"/>
      <c r="E496" s="744"/>
      <c r="F496" s="744"/>
      <c r="G496" s="744"/>
      <c r="H496" s="744"/>
      <c r="I496" s="744"/>
      <c r="J496" s="744"/>
      <c r="K496" s="744"/>
      <c r="L496" s="744"/>
      <c r="M496" s="744"/>
      <c r="N496" s="744"/>
      <c r="O496" s="744"/>
      <c r="P496" s="744"/>
    </row>
    <row r="497" spans="1:16">
      <c r="A497" s="744"/>
      <c r="C497" s="743"/>
      <c r="D497" s="744"/>
      <c r="E497" s="744"/>
      <c r="F497" s="744"/>
      <c r="G497" s="744"/>
      <c r="H497" s="744"/>
      <c r="I497" s="744"/>
      <c r="J497" s="744"/>
      <c r="K497" s="744"/>
      <c r="L497" s="744"/>
      <c r="M497" s="744"/>
      <c r="N497" s="744"/>
      <c r="O497" s="744"/>
      <c r="P497" s="744"/>
    </row>
    <row r="498" spans="1:16">
      <c r="A498" s="744"/>
      <c r="C498" s="743"/>
      <c r="D498" s="744"/>
      <c r="E498" s="744"/>
      <c r="F498" s="744"/>
      <c r="G498" s="744"/>
      <c r="H498" s="744"/>
      <c r="I498" s="744"/>
      <c r="J498" s="744"/>
      <c r="K498" s="744"/>
      <c r="L498" s="744"/>
      <c r="M498" s="744"/>
      <c r="N498" s="744"/>
      <c r="O498" s="744"/>
      <c r="P498" s="744"/>
    </row>
    <row r="499" spans="1:16">
      <c r="A499" s="744"/>
      <c r="C499" s="743"/>
      <c r="D499" s="744"/>
      <c r="E499" s="744"/>
      <c r="F499" s="744"/>
      <c r="G499" s="744"/>
      <c r="H499" s="744"/>
      <c r="I499" s="744"/>
      <c r="J499" s="744"/>
      <c r="K499" s="744"/>
      <c r="L499" s="744"/>
      <c r="M499" s="744"/>
      <c r="N499" s="744"/>
      <c r="O499" s="744"/>
      <c r="P499" s="744"/>
    </row>
    <row r="500" spans="1:16">
      <c r="A500" s="744"/>
      <c r="C500" s="743"/>
      <c r="D500" s="744"/>
      <c r="E500" s="744"/>
      <c r="F500" s="744"/>
      <c r="G500" s="744"/>
      <c r="H500" s="744"/>
      <c r="I500" s="744"/>
      <c r="J500" s="744"/>
      <c r="K500" s="744"/>
      <c r="L500" s="744"/>
      <c r="M500" s="744"/>
      <c r="N500" s="744"/>
      <c r="O500" s="744"/>
      <c r="P500" s="744"/>
    </row>
    <row r="501" spans="1:16">
      <c r="A501" s="744"/>
      <c r="C501" s="743"/>
      <c r="D501" s="744"/>
      <c r="E501" s="744"/>
      <c r="F501" s="744"/>
      <c r="G501" s="744"/>
      <c r="H501" s="744"/>
      <c r="I501" s="744"/>
      <c r="J501" s="744"/>
      <c r="K501" s="744"/>
      <c r="L501" s="744"/>
      <c r="M501" s="744"/>
      <c r="N501" s="744"/>
      <c r="O501" s="744"/>
      <c r="P501" s="744"/>
    </row>
    <row r="502" spans="1:16">
      <c r="A502" s="744"/>
      <c r="C502" s="743"/>
      <c r="D502" s="744"/>
      <c r="E502" s="744"/>
      <c r="F502" s="744"/>
      <c r="G502" s="744"/>
      <c r="H502" s="744"/>
      <c r="I502" s="744"/>
      <c r="J502" s="744"/>
      <c r="K502" s="744"/>
      <c r="L502" s="744"/>
      <c r="M502" s="744"/>
      <c r="N502" s="744"/>
      <c r="O502" s="744"/>
      <c r="P502" s="744"/>
    </row>
    <row r="503" spans="1:16">
      <c r="A503" s="744"/>
      <c r="C503" s="743"/>
      <c r="D503" s="744"/>
      <c r="E503" s="744"/>
      <c r="F503" s="744"/>
      <c r="G503" s="744"/>
      <c r="H503" s="744"/>
      <c r="I503" s="744"/>
      <c r="J503" s="744"/>
      <c r="K503" s="744"/>
      <c r="L503" s="744"/>
      <c r="M503" s="744"/>
      <c r="N503" s="744"/>
      <c r="O503" s="744"/>
      <c r="P503" s="744"/>
    </row>
    <row r="504" spans="1:16">
      <c r="A504" s="744"/>
      <c r="C504" s="743"/>
      <c r="D504" s="744"/>
      <c r="E504" s="744"/>
      <c r="F504" s="744"/>
      <c r="G504" s="744"/>
      <c r="H504" s="744"/>
      <c r="I504" s="744"/>
      <c r="J504" s="744"/>
      <c r="K504" s="744"/>
      <c r="L504" s="744"/>
      <c r="M504" s="744"/>
      <c r="N504" s="744"/>
      <c r="O504" s="744"/>
      <c r="P504" s="744"/>
    </row>
    <row r="505" spans="1:16">
      <c r="A505" s="744"/>
      <c r="C505" s="743"/>
      <c r="D505" s="744"/>
      <c r="E505" s="744"/>
      <c r="F505" s="744"/>
      <c r="G505" s="744"/>
      <c r="H505" s="744"/>
      <c r="I505" s="744"/>
      <c r="J505" s="744"/>
      <c r="K505" s="744"/>
      <c r="L505" s="744"/>
      <c r="M505" s="744"/>
      <c r="N505" s="744"/>
      <c r="O505" s="744"/>
      <c r="P505" s="744"/>
    </row>
    <row r="506" spans="1:16">
      <c r="A506" s="744"/>
      <c r="C506" s="743"/>
      <c r="D506" s="744"/>
      <c r="E506" s="744"/>
      <c r="F506" s="744"/>
      <c r="G506" s="744"/>
      <c r="H506" s="744"/>
      <c r="I506" s="744"/>
      <c r="J506" s="744"/>
      <c r="K506" s="744"/>
      <c r="L506" s="744"/>
      <c r="M506" s="744"/>
      <c r="N506" s="744"/>
      <c r="O506" s="744"/>
      <c r="P506" s="744"/>
    </row>
    <row r="507" spans="1:16">
      <c r="A507" s="744"/>
      <c r="C507" s="743"/>
      <c r="D507" s="744"/>
      <c r="E507" s="744"/>
      <c r="F507" s="744"/>
      <c r="G507" s="744"/>
      <c r="H507" s="744"/>
      <c r="I507" s="744"/>
      <c r="J507" s="744"/>
      <c r="K507" s="744"/>
      <c r="L507" s="744"/>
      <c r="M507" s="744"/>
      <c r="N507" s="744"/>
      <c r="O507" s="744"/>
      <c r="P507" s="744"/>
    </row>
    <row r="508" spans="1:16">
      <c r="A508" s="744"/>
      <c r="C508" s="743"/>
      <c r="D508" s="744"/>
      <c r="E508" s="744"/>
      <c r="F508" s="744"/>
      <c r="G508" s="744"/>
      <c r="H508" s="744"/>
      <c r="I508" s="744"/>
      <c r="J508" s="744"/>
      <c r="K508" s="744"/>
      <c r="L508" s="744"/>
      <c r="M508" s="744"/>
      <c r="N508" s="744"/>
      <c r="O508" s="744"/>
      <c r="P508" s="744"/>
    </row>
    <row r="509" spans="1:16">
      <c r="A509" s="744"/>
      <c r="C509" s="743"/>
      <c r="D509" s="744"/>
      <c r="E509" s="744"/>
      <c r="F509" s="744"/>
      <c r="G509" s="744"/>
      <c r="H509" s="744"/>
      <c r="I509" s="744"/>
      <c r="J509" s="744"/>
      <c r="K509" s="744"/>
      <c r="L509" s="744"/>
      <c r="M509" s="744"/>
      <c r="N509" s="744"/>
      <c r="O509" s="744"/>
      <c r="P509" s="744"/>
    </row>
    <row r="510" spans="1:16">
      <c r="A510" s="744"/>
      <c r="C510" s="743"/>
      <c r="D510" s="744"/>
      <c r="E510" s="744"/>
      <c r="F510" s="744"/>
      <c r="G510" s="744"/>
      <c r="H510" s="744"/>
      <c r="I510" s="744"/>
      <c r="J510" s="744"/>
      <c r="K510" s="744"/>
      <c r="L510" s="744"/>
      <c r="M510" s="744"/>
      <c r="N510" s="744"/>
      <c r="O510" s="744"/>
      <c r="P510" s="744"/>
    </row>
    <row r="511" spans="1:16">
      <c r="A511" s="744"/>
      <c r="C511" s="743"/>
      <c r="D511" s="744"/>
      <c r="E511" s="744"/>
      <c r="F511" s="744"/>
      <c r="G511" s="744"/>
      <c r="H511" s="744"/>
      <c r="I511" s="744"/>
      <c r="J511" s="744"/>
      <c r="K511" s="744"/>
      <c r="L511" s="744"/>
      <c r="M511" s="744"/>
      <c r="N511" s="744"/>
      <c r="O511" s="744"/>
      <c r="P511" s="744"/>
    </row>
    <row r="512" spans="1:16">
      <c r="A512" s="744"/>
      <c r="C512" s="743"/>
      <c r="D512" s="744"/>
      <c r="E512" s="744"/>
      <c r="F512" s="744"/>
      <c r="G512" s="744"/>
      <c r="H512" s="744"/>
      <c r="I512" s="744"/>
      <c r="J512" s="744"/>
      <c r="K512" s="744"/>
      <c r="L512" s="744"/>
      <c r="M512" s="744"/>
      <c r="N512" s="744"/>
      <c r="O512" s="744"/>
      <c r="P512" s="744"/>
    </row>
    <row r="513" spans="1:16">
      <c r="A513" s="744"/>
      <c r="C513" s="743"/>
      <c r="D513" s="744"/>
      <c r="E513" s="744"/>
      <c r="F513" s="744"/>
      <c r="G513" s="744"/>
      <c r="H513" s="744"/>
      <c r="I513" s="744"/>
      <c r="J513" s="744"/>
      <c r="K513" s="744"/>
      <c r="L513" s="744"/>
      <c r="M513" s="744"/>
      <c r="N513" s="744"/>
      <c r="O513" s="744"/>
      <c r="P513" s="744"/>
    </row>
    <row r="514" spans="1:16">
      <c r="A514" s="744"/>
      <c r="C514" s="743"/>
      <c r="D514" s="744"/>
      <c r="E514" s="744"/>
      <c r="F514" s="744"/>
      <c r="G514" s="744"/>
      <c r="H514" s="744"/>
      <c r="I514" s="744"/>
      <c r="J514" s="744"/>
      <c r="K514" s="744"/>
      <c r="L514" s="744"/>
      <c r="M514" s="744"/>
      <c r="N514" s="744"/>
      <c r="O514" s="744"/>
      <c r="P514" s="744"/>
    </row>
    <row r="515" spans="1:16">
      <c r="A515" s="744"/>
      <c r="C515" s="743"/>
      <c r="D515" s="744"/>
      <c r="E515" s="744"/>
      <c r="F515" s="744"/>
      <c r="G515" s="744"/>
      <c r="H515" s="744"/>
      <c r="I515" s="744"/>
      <c r="J515" s="744"/>
      <c r="K515" s="744"/>
      <c r="L515" s="744"/>
      <c r="M515" s="744"/>
      <c r="N515" s="744"/>
      <c r="O515" s="744"/>
      <c r="P515" s="744"/>
    </row>
    <row r="516" spans="1:16">
      <c r="A516" s="744"/>
      <c r="C516" s="743"/>
      <c r="D516" s="744"/>
      <c r="E516" s="744"/>
      <c r="F516" s="744"/>
      <c r="G516" s="744"/>
      <c r="H516" s="744"/>
      <c r="I516" s="744"/>
      <c r="J516" s="744"/>
      <c r="K516" s="744"/>
      <c r="L516" s="744"/>
      <c r="M516" s="744"/>
      <c r="N516" s="744"/>
      <c r="O516" s="744"/>
      <c r="P516" s="744"/>
    </row>
    <row r="517" spans="1:16">
      <c r="A517" s="744"/>
      <c r="C517" s="743"/>
      <c r="D517" s="744"/>
      <c r="E517" s="744"/>
      <c r="F517" s="744"/>
      <c r="G517" s="744"/>
      <c r="H517" s="744"/>
      <c r="I517" s="744"/>
      <c r="J517" s="744"/>
      <c r="K517" s="744"/>
      <c r="L517" s="744"/>
      <c r="M517" s="744"/>
      <c r="N517" s="744"/>
      <c r="O517" s="744"/>
      <c r="P517" s="744"/>
    </row>
    <row r="518" spans="1:16">
      <c r="A518" s="744"/>
      <c r="C518" s="743"/>
      <c r="D518" s="744"/>
      <c r="E518" s="744"/>
      <c r="F518" s="744"/>
      <c r="G518" s="744"/>
      <c r="H518" s="744"/>
      <c r="I518" s="744"/>
      <c r="J518" s="744"/>
      <c r="K518" s="744"/>
      <c r="L518" s="744"/>
      <c r="M518" s="744"/>
      <c r="N518" s="744"/>
      <c r="O518" s="744"/>
      <c r="P518" s="744"/>
    </row>
    <row r="519" spans="1:16">
      <c r="A519" s="744"/>
      <c r="C519" s="743"/>
      <c r="D519" s="744"/>
      <c r="E519" s="744"/>
      <c r="F519" s="744"/>
      <c r="G519" s="744"/>
      <c r="H519" s="744"/>
      <c r="I519" s="744"/>
      <c r="J519" s="744"/>
      <c r="K519" s="744"/>
      <c r="L519" s="744"/>
      <c r="M519" s="744"/>
      <c r="N519" s="744"/>
      <c r="O519" s="744"/>
      <c r="P519" s="744"/>
    </row>
    <row r="520" spans="1:16">
      <c r="A520" s="744"/>
      <c r="C520" s="743"/>
      <c r="D520" s="744"/>
      <c r="E520" s="744"/>
      <c r="F520" s="744"/>
      <c r="G520" s="744"/>
      <c r="H520" s="744"/>
      <c r="I520" s="744"/>
      <c r="J520" s="744"/>
      <c r="K520" s="744"/>
      <c r="L520" s="744"/>
      <c r="M520" s="744"/>
      <c r="N520" s="744"/>
      <c r="O520" s="744"/>
      <c r="P520" s="744"/>
    </row>
    <row r="521" spans="1:16">
      <c r="A521" s="744"/>
      <c r="C521" s="743"/>
      <c r="D521" s="744"/>
      <c r="E521" s="744"/>
      <c r="F521" s="744"/>
      <c r="G521" s="744"/>
      <c r="H521" s="744"/>
      <c r="I521" s="744"/>
      <c r="J521" s="744"/>
      <c r="K521" s="744"/>
      <c r="L521" s="744"/>
      <c r="M521" s="744"/>
      <c r="N521" s="744"/>
      <c r="O521" s="744"/>
      <c r="P521" s="744"/>
    </row>
    <row r="522" spans="1:16">
      <c r="A522" s="744"/>
      <c r="C522" s="743"/>
      <c r="D522" s="744"/>
      <c r="E522" s="744"/>
      <c r="F522" s="744"/>
      <c r="G522" s="744"/>
      <c r="H522" s="744"/>
      <c r="I522" s="744"/>
      <c r="J522" s="744"/>
      <c r="K522" s="744"/>
      <c r="L522" s="744"/>
      <c r="M522" s="744"/>
      <c r="N522" s="744"/>
      <c r="O522" s="744"/>
      <c r="P522" s="744"/>
    </row>
    <row r="523" spans="1:16">
      <c r="A523" s="744"/>
      <c r="C523" s="743"/>
      <c r="D523" s="744"/>
      <c r="E523" s="744"/>
      <c r="F523" s="744"/>
      <c r="G523" s="744"/>
      <c r="H523" s="744"/>
      <c r="I523" s="744"/>
      <c r="J523" s="744"/>
      <c r="K523" s="744"/>
      <c r="L523" s="744"/>
      <c r="M523" s="744"/>
      <c r="N523" s="744"/>
      <c r="O523" s="744"/>
      <c r="P523" s="744"/>
    </row>
    <row r="524" spans="1:16">
      <c r="A524" s="744"/>
      <c r="C524" s="743"/>
      <c r="D524" s="744"/>
      <c r="E524" s="744"/>
      <c r="F524" s="744"/>
      <c r="G524" s="744"/>
      <c r="H524" s="744"/>
      <c r="I524" s="744"/>
      <c r="J524" s="744"/>
      <c r="K524" s="744"/>
      <c r="L524" s="744"/>
      <c r="M524" s="744"/>
      <c r="N524" s="744"/>
      <c r="O524" s="744"/>
      <c r="P524" s="744"/>
    </row>
    <row r="525" spans="1:16">
      <c r="A525" s="744"/>
      <c r="C525" s="743"/>
      <c r="D525" s="744"/>
      <c r="E525" s="744"/>
      <c r="F525" s="744"/>
      <c r="G525" s="744"/>
      <c r="H525" s="744"/>
      <c r="I525" s="744"/>
      <c r="J525" s="744"/>
      <c r="K525" s="744"/>
      <c r="L525" s="744"/>
      <c r="M525" s="744"/>
      <c r="N525" s="744"/>
      <c r="O525" s="744"/>
      <c r="P525" s="744"/>
    </row>
    <row r="526" spans="1:16">
      <c r="A526" s="744"/>
      <c r="C526" s="743"/>
      <c r="D526" s="744"/>
      <c r="E526" s="744"/>
      <c r="F526" s="744"/>
      <c r="G526" s="744"/>
      <c r="H526" s="744"/>
      <c r="I526" s="744"/>
      <c r="J526" s="744"/>
      <c r="K526" s="744"/>
      <c r="L526" s="744"/>
      <c r="M526" s="744"/>
      <c r="N526" s="744"/>
      <c r="O526" s="744"/>
      <c r="P526" s="744"/>
    </row>
    <row r="527" spans="1:16">
      <c r="A527" s="744"/>
      <c r="C527" s="743"/>
      <c r="D527" s="744"/>
      <c r="E527" s="744"/>
      <c r="F527" s="744"/>
      <c r="G527" s="744"/>
      <c r="H527" s="744"/>
      <c r="I527" s="744"/>
      <c r="J527" s="744"/>
      <c r="K527" s="744"/>
      <c r="L527" s="744"/>
      <c r="M527" s="744"/>
      <c r="N527" s="744"/>
      <c r="O527" s="744"/>
      <c r="P527" s="744"/>
    </row>
    <row r="528" spans="1:16">
      <c r="A528" s="744"/>
      <c r="C528" s="743"/>
      <c r="D528" s="744"/>
      <c r="E528" s="744"/>
      <c r="F528" s="744"/>
      <c r="G528" s="744"/>
      <c r="H528" s="744"/>
      <c r="I528" s="744"/>
      <c r="J528" s="744"/>
      <c r="K528" s="744"/>
      <c r="L528" s="744"/>
      <c r="M528" s="744"/>
      <c r="N528" s="744"/>
      <c r="O528" s="744"/>
      <c r="P528" s="744"/>
    </row>
    <row r="529" spans="1:16">
      <c r="A529" s="744"/>
      <c r="C529" s="743"/>
      <c r="D529" s="744"/>
      <c r="E529" s="744"/>
      <c r="F529" s="744"/>
      <c r="G529" s="744"/>
      <c r="H529" s="744"/>
      <c r="I529" s="744"/>
      <c r="J529" s="744"/>
      <c r="K529" s="744"/>
      <c r="L529" s="744"/>
      <c r="M529" s="744"/>
      <c r="N529" s="744"/>
      <c r="O529" s="744"/>
      <c r="P529" s="744"/>
    </row>
    <row r="530" spans="1:16">
      <c r="A530" s="744"/>
      <c r="C530" s="743"/>
      <c r="D530" s="744"/>
      <c r="E530" s="744"/>
      <c r="F530" s="744"/>
      <c r="G530" s="744"/>
      <c r="H530" s="744"/>
      <c r="I530" s="744"/>
      <c r="J530" s="744"/>
      <c r="K530" s="744"/>
      <c r="L530" s="744"/>
      <c r="M530" s="744"/>
      <c r="N530" s="744"/>
      <c r="O530" s="744"/>
      <c r="P530" s="744"/>
    </row>
    <row r="531" spans="1:16">
      <c r="A531" s="744"/>
      <c r="C531" s="743"/>
      <c r="D531" s="744"/>
      <c r="E531" s="744"/>
      <c r="F531" s="744"/>
      <c r="G531" s="744"/>
      <c r="H531" s="744"/>
      <c r="I531" s="744"/>
      <c r="J531" s="744"/>
      <c r="K531" s="744"/>
      <c r="L531" s="744"/>
      <c r="M531" s="744"/>
      <c r="N531" s="744"/>
      <c r="O531" s="744"/>
      <c r="P531" s="744"/>
    </row>
    <row r="532" spans="1:16">
      <c r="A532" s="744"/>
      <c r="C532" s="743"/>
      <c r="D532" s="744"/>
      <c r="E532" s="744"/>
      <c r="F532" s="744"/>
      <c r="G532" s="744"/>
      <c r="H532" s="744"/>
      <c r="I532" s="744"/>
      <c r="J532" s="744"/>
      <c r="K532" s="744"/>
      <c r="L532" s="744"/>
      <c r="M532" s="744"/>
      <c r="N532" s="744"/>
      <c r="O532" s="744"/>
      <c r="P532" s="744"/>
    </row>
    <row r="533" spans="1:16">
      <c r="A533" s="744"/>
      <c r="C533" s="743"/>
      <c r="D533" s="744"/>
      <c r="E533" s="744"/>
      <c r="F533" s="744"/>
      <c r="G533" s="744"/>
      <c r="H533" s="744"/>
      <c r="I533" s="744"/>
      <c r="J533" s="744"/>
      <c r="K533" s="744"/>
      <c r="L533" s="744"/>
      <c r="M533" s="744"/>
      <c r="N533" s="744"/>
      <c r="O533" s="744"/>
      <c r="P533" s="744"/>
    </row>
    <row r="534" spans="1:16">
      <c r="A534" s="744"/>
      <c r="C534" s="743"/>
      <c r="D534" s="744"/>
      <c r="E534" s="744"/>
      <c r="F534" s="744"/>
      <c r="G534" s="744"/>
      <c r="H534" s="744"/>
      <c r="I534" s="744"/>
      <c r="J534" s="744"/>
      <c r="K534" s="744"/>
      <c r="L534" s="744"/>
      <c r="M534" s="744"/>
      <c r="N534" s="744"/>
      <c r="O534" s="744"/>
      <c r="P534" s="744"/>
    </row>
    <row r="535" spans="1:16">
      <c r="A535" s="744"/>
      <c r="C535" s="743"/>
      <c r="D535" s="744"/>
      <c r="E535" s="744"/>
      <c r="F535" s="744"/>
      <c r="G535" s="744"/>
      <c r="H535" s="744"/>
      <c r="I535" s="744"/>
      <c r="J535" s="744"/>
      <c r="K535" s="744"/>
      <c r="L535" s="744"/>
      <c r="M535" s="744"/>
      <c r="N535" s="744"/>
      <c r="O535" s="744"/>
      <c r="P535" s="744"/>
    </row>
    <row r="536" spans="1:16">
      <c r="A536" s="744"/>
      <c r="C536" s="743"/>
      <c r="D536" s="744"/>
      <c r="E536" s="744"/>
      <c r="F536" s="744"/>
      <c r="G536" s="744"/>
      <c r="H536" s="744"/>
      <c r="I536" s="744"/>
      <c r="J536" s="744"/>
      <c r="K536" s="744"/>
      <c r="L536" s="744"/>
      <c r="M536" s="744"/>
      <c r="N536" s="744"/>
      <c r="O536" s="744"/>
      <c r="P536" s="744"/>
    </row>
    <row r="537" spans="1:16">
      <c r="A537" s="744"/>
      <c r="C537" s="743"/>
      <c r="D537" s="744"/>
      <c r="E537" s="744"/>
      <c r="F537" s="744"/>
      <c r="G537" s="744"/>
      <c r="H537" s="744"/>
      <c r="I537" s="744"/>
      <c r="J537" s="744"/>
      <c r="K537" s="744"/>
      <c r="L537" s="744"/>
      <c r="M537" s="744"/>
      <c r="N537" s="744"/>
      <c r="O537" s="744"/>
      <c r="P537" s="744"/>
    </row>
    <row r="538" spans="1:16">
      <c r="A538" s="744"/>
      <c r="C538" s="743"/>
      <c r="D538" s="744"/>
      <c r="E538" s="744"/>
      <c r="F538" s="744"/>
      <c r="G538" s="744"/>
      <c r="H538" s="744"/>
      <c r="I538" s="744"/>
      <c r="J538" s="744"/>
      <c r="K538" s="744"/>
      <c r="L538" s="744"/>
      <c r="M538" s="744"/>
      <c r="N538" s="744"/>
      <c r="O538" s="744"/>
      <c r="P538" s="744"/>
    </row>
    <row r="539" spans="1:16">
      <c r="A539" s="744"/>
      <c r="C539" s="743"/>
      <c r="D539" s="744"/>
      <c r="E539" s="744"/>
      <c r="F539" s="744"/>
      <c r="G539" s="744"/>
      <c r="H539" s="744"/>
      <c r="I539" s="744"/>
      <c r="J539" s="744"/>
      <c r="K539" s="744"/>
      <c r="L539" s="744"/>
      <c r="M539" s="744"/>
      <c r="N539" s="744"/>
      <c r="O539" s="744"/>
      <c r="P539" s="744"/>
    </row>
    <row r="540" spans="1:16">
      <c r="A540" s="744"/>
      <c r="C540" s="743"/>
      <c r="D540" s="744"/>
      <c r="E540" s="744"/>
      <c r="F540" s="744"/>
      <c r="G540" s="744"/>
      <c r="H540" s="744"/>
      <c r="I540" s="744"/>
      <c r="J540" s="744"/>
      <c r="K540" s="744"/>
      <c r="L540" s="744"/>
      <c r="M540" s="744"/>
      <c r="N540" s="744"/>
      <c r="O540" s="744"/>
      <c r="P540" s="744"/>
    </row>
    <row r="541" spans="1:16">
      <c r="A541" s="744"/>
      <c r="C541" s="743"/>
      <c r="D541" s="744"/>
      <c r="E541" s="744"/>
      <c r="F541" s="744"/>
      <c r="G541" s="744"/>
      <c r="H541" s="744"/>
      <c r="I541" s="744"/>
      <c r="J541" s="744"/>
      <c r="K541" s="744"/>
      <c r="L541" s="744"/>
      <c r="M541" s="744"/>
      <c r="N541" s="744"/>
      <c r="O541" s="744"/>
      <c r="P541" s="744"/>
    </row>
    <row r="542" spans="1:16">
      <c r="A542" s="744"/>
      <c r="C542" s="743"/>
      <c r="D542" s="744"/>
      <c r="E542" s="744"/>
      <c r="F542" s="744"/>
      <c r="G542" s="744"/>
      <c r="H542" s="744"/>
      <c r="I542" s="744"/>
      <c r="J542" s="744"/>
      <c r="K542" s="744"/>
      <c r="L542" s="744"/>
      <c r="M542" s="744"/>
      <c r="N542" s="744"/>
      <c r="O542" s="744"/>
      <c r="P542" s="744"/>
    </row>
    <row r="543" spans="1:16">
      <c r="A543" s="744"/>
      <c r="C543" s="743"/>
      <c r="D543" s="744"/>
      <c r="E543" s="744"/>
      <c r="F543" s="744"/>
      <c r="G543" s="744"/>
      <c r="H543" s="744"/>
      <c r="I543" s="744"/>
      <c r="J543" s="744"/>
      <c r="K543" s="744"/>
      <c r="L543" s="744"/>
      <c r="M543" s="744"/>
      <c r="N543" s="744"/>
      <c r="O543" s="744"/>
      <c r="P543" s="744"/>
    </row>
    <row r="544" spans="1:16">
      <c r="A544" s="744"/>
      <c r="C544" s="743"/>
      <c r="D544" s="744"/>
      <c r="E544" s="744"/>
      <c r="F544" s="744"/>
      <c r="G544" s="744"/>
      <c r="H544" s="744"/>
      <c r="I544" s="744"/>
      <c r="J544" s="744"/>
      <c r="K544" s="744"/>
      <c r="L544" s="744"/>
      <c r="M544" s="744"/>
      <c r="N544" s="744"/>
      <c r="O544" s="744"/>
      <c r="P544" s="744"/>
    </row>
    <row r="545" spans="1:16">
      <c r="A545" s="744"/>
      <c r="C545" s="743"/>
      <c r="D545" s="744"/>
      <c r="E545" s="744"/>
      <c r="F545" s="744"/>
      <c r="G545" s="744"/>
      <c r="H545" s="744"/>
      <c r="I545" s="744"/>
      <c r="J545" s="744"/>
      <c r="K545" s="744"/>
      <c r="L545" s="744"/>
      <c r="M545" s="744"/>
      <c r="N545" s="744"/>
      <c r="O545" s="744"/>
      <c r="P545" s="744"/>
    </row>
    <row r="546" spans="1:16">
      <c r="A546" s="744"/>
      <c r="C546" s="743"/>
      <c r="D546" s="744"/>
      <c r="E546" s="744"/>
      <c r="F546" s="744"/>
      <c r="G546" s="744"/>
      <c r="H546" s="744"/>
      <c r="I546" s="744"/>
      <c r="J546" s="744"/>
      <c r="K546" s="744"/>
      <c r="L546" s="744"/>
      <c r="M546" s="744"/>
      <c r="N546" s="744"/>
      <c r="O546" s="744"/>
      <c r="P546" s="744"/>
    </row>
    <row r="547" spans="1:16">
      <c r="A547" s="744"/>
      <c r="C547" s="743"/>
      <c r="D547" s="744"/>
      <c r="E547" s="744"/>
      <c r="F547" s="744"/>
      <c r="G547" s="744"/>
      <c r="H547" s="744"/>
      <c r="I547" s="744"/>
      <c r="J547" s="744"/>
      <c r="K547" s="744"/>
      <c r="L547" s="744"/>
      <c r="M547" s="744"/>
      <c r="N547" s="744"/>
      <c r="O547" s="744"/>
      <c r="P547" s="744"/>
    </row>
    <row r="548" spans="1:16">
      <c r="A548" s="744"/>
      <c r="C548" s="743"/>
      <c r="D548" s="744"/>
      <c r="E548" s="744"/>
      <c r="F548" s="744"/>
      <c r="G548" s="744"/>
      <c r="H548" s="744"/>
      <c r="I548" s="744"/>
      <c r="J548" s="744"/>
      <c r="K548" s="744"/>
      <c r="L548" s="744"/>
      <c r="M548" s="744"/>
      <c r="N548" s="744"/>
      <c r="O548" s="744"/>
      <c r="P548" s="744"/>
    </row>
    <row r="549" spans="1:16">
      <c r="A549" s="744"/>
      <c r="C549" s="743"/>
      <c r="D549" s="744"/>
      <c r="E549" s="744"/>
      <c r="F549" s="744"/>
      <c r="G549" s="744"/>
      <c r="H549" s="744"/>
      <c r="I549" s="744"/>
      <c r="J549" s="744"/>
      <c r="K549" s="744"/>
      <c r="L549" s="744"/>
      <c r="M549" s="744"/>
      <c r="N549" s="744"/>
      <c r="O549" s="744"/>
      <c r="P549" s="744"/>
    </row>
    <row r="550" spans="1:16">
      <c r="A550" s="744"/>
      <c r="C550" s="743"/>
      <c r="D550" s="744"/>
      <c r="E550" s="744"/>
      <c r="F550" s="744"/>
      <c r="G550" s="744"/>
      <c r="H550" s="744"/>
      <c r="I550" s="744"/>
      <c r="J550" s="744"/>
      <c r="K550" s="744"/>
      <c r="L550" s="744"/>
      <c r="M550" s="744"/>
      <c r="N550" s="744"/>
      <c r="O550" s="744"/>
      <c r="P550" s="744"/>
    </row>
    <row r="551" spans="1:16">
      <c r="A551" s="744"/>
      <c r="C551" s="743"/>
      <c r="D551" s="744"/>
      <c r="E551" s="744"/>
      <c r="F551" s="744"/>
      <c r="G551" s="744"/>
      <c r="H551" s="744"/>
      <c r="I551" s="744"/>
      <c r="J551" s="744"/>
      <c r="K551" s="744"/>
      <c r="L551" s="744"/>
      <c r="M551" s="744"/>
      <c r="N551" s="744"/>
      <c r="O551" s="744"/>
      <c r="P551" s="744"/>
    </row>
    <row r="552" spans="1:16">
      <c r="A552" s="744"/>
      <c r="C552" s="743"/>
      <c r="D552" s="744"/>
      <c r="E552" s="744"/>
      <c r="F552" s="744"/>
      <c r="G552" s="744"/>
      <c r="H552" s="744"/>
      <c r="I552" s="744"/>
      <c r="J552" s="744"/>
      <c r="K552" s="744"/>
      <c r="L552" s="744"/>
      <c r="M552" s="744"/>
      <c r="N552" s="744"/>
      <c r="O552" s="744"/>
      <c r="P552" s="744"/>
    </row>
    <row r="553" spans="1:16">
      <c r="A553" s="744"/>
      <c r="C553" s="743"/>
      <c r="D553" s="744"/>
      <c r="E553" s="744"/>
      <c r="F553" s="744"/>
      <c r="G553" s="744"/>
      <c r="H553" s="744"/>
      <c r="I553" s="744"/>
      <c r="J553" s="744"/>
      <c r="K553" s="744"/>
      <c r="L553" s="744"/>
      <c r="M553" s="744"/>
      <c r="N553" s="744"/>
      <c r="O553" s="744"/>
      <c r="P553" s="744"/>
    </row>
    <row r="554" spans="1:16">
      <c r="A554" s="744"/>
      <c r="C554" s="743"/>
      <c r="D554" s="744"/>
      <c r="E554" s="744"/>
      <c r="F554" s="744"/>
      <c r="G554" s="744"/>
      <c r="H554" s="744"/>
      <c r="I554" s="744"/>
      <c r="J554" s="744"/>
      <c r="K554" s="744"/>
      <c r="L554" s="744"/>
      <c r="M554" s="744"/>
      <c r="N554" s="744"/>
      <c r="O554" s="744"/>
      <c r="P554" s="744"/>
    </row>
    <row r="555" spans="1:16">
      <c r="A555" s="744"/>
      <c r="C555" s="743"/>
      <c r="D555" s="744"/>
      <c r="E555" s="744"/>
      <c r="F555" s="744"/>
      <c r="G555" s="744"/>
      <c r="H555" s="744"/>
      <c r="I555" s="744"/>
      <c r="J555" s="744"/>
      <c r="K555" s="744"/>
      <c r="L555" s="744"/>
      <c r="M555" s="744"/>
      <c r="N555" s="744"/>
      <c r="O555" s="744"/>
      <c r="P555" s="744"/>
    </row>
    <row r="556" spans="1:16">
      <c r="A556" s="744"/>
      <c r="C556" s="743"/>
      <c r="D556" s="744"/>
      <c r="E556" s="744"/>
      <c r="F556" s="744"/>
      <c r="G556" s="744"/>
      <c r="H556" s="744"/>
      <c r="I556" s="744"/>
      <c r="J556" s="744"/>
      <c r="K556" s="744"/>
      <c r="L556" s="744"/>
      <c r="M556" s="744"/>
      <c r="N556" s="744"/>
      <c r="O556" s="744"/>
      <c r="P556" s="744"/>
    </row>
    <row r="557" spans="1:16">
      <c r="A557" s="744"/>
      <c r="C557" s="743"/>
      <c r="D557" s="744"/>
      <c r="E557" s="744"/>
      <c r="F557" s="744"/>
      <c r="G557" s="744"/>
      <c r="H557" s="744"/>
      <c r="I557" s="744"/>
      <c r="J557" s="744"/>
      <c r="K557" s="744"/>
      <c r="L557" s="744"/>
      <c r="M557" s="744"/>
      <c r="N557" s="744"/>
      <c r="O557" s="744"/>
      <c r="P557" s="744"/>
    </row>
    <row r="558" spans="1:16">
      <c r="A558" s="744"/>
      <c r="C558" s="743"/>
      <c r="D558" s="744"/>
      <c r="E558" s="744"/>
      <c r="F558" s="744"/>
      <c r="G558" s="744"/>
      <c r="H558" s="744"/>
      <c r="I558" s="744"/>
      <c r="J558" s="744"/>
      <c r="K558" s="744"/>
      <c r="L558" s="744"/>
      <c r="M558" s="744"/>
      <c r="N558" s="744"/>
      <c r="O558" s="744"/>
      <c r="P558" s="744"/>
    </row>
    <row r="559" spans="1:16">
      <c r="A559" s="744"/>
      <c r="C559" s="743"/>
      <c r="D559" s="744"/>
      <c r="E559" s="744"/>
      <c r="F559" s="744"/>
      <c r="G559" s="744"/>
      <c r="H559" s="744"/>
      <c r="I559" s="744"/>
      <c r="J559" s="744"/>
      <c r="K559" s="744"/>
      <c r="L559" s="744"/>
      <c r="M559" s="744"/>
      <c r="N559" s="744"/>
      <c r="O559" s="744"/>
      <c r="P559" s="744"/>
    </row>
    <row r="560" spans="1:16">
      <c r="A560" s="744"/>
      <c r="C560" s="743"/>
      <c r="D560" s="744"/>
      <c r="E560" s="744"/>
      <c r="F560" s="744"/>
      <c r="G560" s="744"/>
      <c r="H560" s="744"/>
      <c r="I560" s="744"/>
      <c r="J560" s="744"/>
      <c r="K560" s="744"/>
      <c r="L560" s="744"/>
      <c r="M560" s="744"/>
      <c r="N560" s="744"/>
      <c r="O560" s="744"/>
      <c r="P560" s="744"/>
    </row>
    <row r="561" spans="1:16">
      <c r="A561" s="744"/>
      <c r="C561" s="743"/>
      <c r="D561" s="744"/>
      <c r="E561" s="744"/>
      <c r="F561" s="744"/>
      <c r="G561" s="744"/>
      <c r="H561" s="744"/>
      <c r="I561" s="744"/>
      <c r="J561" s="744"/>
      <c r="K561" s="744"/>
      <c r="L561" s="744"/>
      <c r="M561" s="744"/>
      <c r="N561" s="744"/>
      <c r="O561" s="744"/>
      <c r="P561" s="744"/>
    </row>
    <row r="562" spans="1:16">
      <c r="A562" s="744"/>
      <c r="C562" s="743"/>
      <c r="D562" s="744"/>
      <c r="E562" s="744"/>
      <c r="F562" s="744"/>
      <c r="G562" s="744"/>
      <c r="H562" s="744"/>
      <c r="I562" s="744"/>
      <c r="J562" s="744"/>
      <c r="K562" s="744"/>
      <c r="L562" s="744"/>
      <c r="M562" s="744"/>
      <c r="N562" s="744"/>
      <c r="O562" s="744"/>
      <c r="P562" s="744"/>
    </row>
    <row r="563" spans="1:16">
      <c r="A563" s="744"/>
      <c r="C563" s="743"/>
      <c r="D563" s="744"/>
      <c r="E563" s="744"/>
      <c r="F563" s="744"/>
      <c r="G563" s="744"/>
      <c r="H563" s="744"/>
      <c r="I563" s="744"/>
      <c r="J563" s="744"/>
      <c r="K563" s="744"/>
      <c r="L563" s="744"/>
      <c r="M563" s="744"/>
      <c r="N563" s="744"/>
      <c r="O563" s="744"/>
      <c r="P563" s="744"/>
    </row>
    <row r="564" spans="1:16">
      <c r="A564" s="744"/>
      <c r="C564" s="743"/>
      <c r="D564" s="744"/>
      <c r="E564" s="744"/>
      <c r="F564" s="744"/>
      <c r="G564" s="744"/>
      <c r="H564" s="744"/>
      <c r="I564" s="744"/>
      <c r="J564" s="744"/>
      <c r="K564" s="744"/>
      <c r="L564" s="744"/>
      <c r="M564" s="744"/>
      <c r="N564" s="744"/>
      <c r="O564" s="744"/>
      <c r="P564" s="744"/>
    </row>
    <row r="565" spans="1:16">
      <c r="A565" s="744"/>
      <c r="C565" s="743"/>
      <c r="D565" s="744"/>
      <c r="E565" s="744"/>
      <c r="F565" s="744"/>
      <c r="G565" s="744"/>
      <c r="H565" s="744"/>
      <c r="I565" s="744"/>
      <c r="J565" s="744"/>
      <c r="K565" s="744"/>
      <c r="L565" s="744"/>
      <c r="M565" s="744"/>
      <c r="N565" s="744"/>
      <c r="O565" s="744"/>
      <c r="P565" s="744"/>
    </row>
    <row r="566" spans="1:16">
      <c r="A566" s="744"/>
      <c r="C566" s="743"/>
      <c r="D566" s="744"/>
      <c r="E566" s="744"/>
      <c r="F566" s="744"/>
      <c r="G566" s="744"/>
      <c r="H566" s="744"/>
      <c r="I566" s="744"/>
      <c r="J566" s="744"/>
      <c r="K566" s="744"/>
      <c r="L566" s="744"/>
      <c r="M566" s="744"/>
      <c r="N566" s="744"/>
      <c r="O566" s="744"/>
      <c r="P566" s="744"/>
    </row>
    <row r="567" spans="1:16">
      <c r="A567" s="744"/>
      <c r="C567" s="743"/>
      <c r="D567" s="744"/>
      <c r="E567" s="744"/>
      <c r="F567" s="744"/>
      <c r="G567" s="744"/>
      <c r="H567" s="744"/>
      <c r="I567" s="744"/>
      <c r="J567" s="744"/>
      <c r="K567" s="744"/>
      <c r="L567" s="744"/>
      <c r="M567" s="744"/>
      <c r="N567" s="744"/>
      <c r="O567" s="744"/>
      <c r="P567" s="744"/>
    </row>
    <row r="568" spans="1:16">
      <c r="A568" s="744"/>
      <c r="C568" s="743"/>
      <c r="D568" s="744"/>
      <c r="E568" s="744"/>
      <c r="F568" s="744"/>
      <c r="G568" s="744"/>
      <c r="H568" s="744"/>
      <c r="I568" s="744"/>
      <c r="J568" s="744"/>
      <c r="K568" s="744"/>
      <c r="L568" s="744"/>
      <c r="M568" s="744"/>
      <c r="N568" s="744"/>
      <c r="O568" s="744"/>
      <c r="P568" s="744"/>
    </row>
    <row r="569" spans="1:16">
      <c r="A569" s="744"/>
      <c r="C569" s="743"/>
      <c r="D569" s="744"/>
      <c r="E569" s="744"/>
      <c r="F569" s="744"/>
      <c r="G569" s="744"/>
      <c r="H569" s="744"/>
      <c r="I569" s="744"/>
      <c r="J569" s="744"/>
      <c r="K569" s="744"/>
      <c r="L569" s="744"/>
      <c r="M569" s="744"/>
      <c r="N569" s="744"/>
      <c r="O569" s="744"/>
      <c r="P569" s="744"/>
    </row>
    <row r="570" spans="1:16">
      <c r="A570" s="744"/>
      <c r="C570" s="743"/>
      <c r="D570" s="744"/>
      <c r="E570" s="744"/>
      <c r="F570" s="744"/>
      <c r="G570" s="744"/>
      <c r="H570" s="744"/>
      <c r="I570" s="744"/>
      <c r="J570" s="744"/>
      <c r="K570" s="744"/>
      <c r="L570" s="744"/>
      <c r="M570" s="744"/>
      <c r="N570" s="744"/>
      <c r="O570" s="744"/>
      <c r="P570" s="744"/>
    </row>
    <row r="571" spans="1:16">
      <c r="A571" s="744"/>
      <c r="C571" s="743"/>
      <c r="D571" s="744"/>
      <c r="E571" s="744"/>
      <c r="F571" s="744"/>
      <c r="G571" s="744"/>
      <c r="H571" s="744"/>
      <c r="I571" s="744"/>
      <c r="J571" s="744"/>
      <c r="K571" s="744"/>
      <c r="L571" s="744"/>
      <c r="M571" s="744"/>
      <c r="N571" s="744"/>
      <c r="O571" s="744"/>
      <c r="P571" s="744"/>
    </row>
    <row r="572" spans="1:16">
      <c r="A572" s="744"/>
      <c r="C572" s="743"/>
      <c r="D572" s="744"/>
      <c r="E572" s="744"/>
      <c r="F572" s="744"/>
      <c r="G572" s="744"/>
      <c r="H572" s="744"/>
      <c r="I572" s="744"/>
      <c r="J572" s="744"/>
      <c r="K572" s="744"/>
      <c r="L572" s="744"/>
      <c r="M572" s="744"/>
      <c r="N572" s="744"/>
      <c r="O572" s="744"/>
      <c r="P572" s="744"/>
    </row>
    <row r="573" spans="1:16">
      <c r="A573" s="744"/>
      <c r="C573" s="743"/>
      <c r="D573" s="744"/>
      <c r="E573" s="744"/>
      <c r="F573" s="744"/>
      <c r="G573" s="744"/>
      <c r="H573" s="744"/>
      <c r="I573" s="744"/>
      <c r="J573" s="744"/>
      <c r="K573" s="744"/>
      <c r="L573" s="744"/>
      <c r="M573" s="744"/>
      <c r="N573" s="744"/>
      <c r="O573" s="744"/>
      <c r="P573" s="744"/>
    </row>
    <row r="574" spans="1:16">
      <c r="A574" s="744"/>
      <c r="C574" s="743"/>
      <c r="D574" s="744"/>
      <c r="E574" s="744"/>
      <c r="F574" s="744"/>
      <c r="G574" s="744"/>
      <c r="H574" s="744"/>
      <c r="I574" s="744"/>
      <c r="J574" s="744"/>
      <c r="K574" s="744"/>
      <c r="L574" s="744"/>
      <c r="M574" s="744"/>
      <c r="N574" s="744"/>
      <c r="O574" s="744"/>
      <c r="P574" s="744"/>
    </row>
    <row r="575" spans="1:16">
      <c r="A575" s="744"/>
      <c r="C575" s="743"/>
      <c r="D575" s="744"/>
      <c r="E575" s="744"/>
      <c r="F575" s="744"/>
      <c r="G575" s="744"/>
      <c r="H575" s="744"/>
      <c r="I575" s="744"/>
      <c r="J575" s="744"/>
      <c r="K575" s="744"/>
      <c r="L575" s="744"/>
      <c r="M575" s="744"/>
      <c r="N575" s="744"/>
      <c r="O575" s="744"/>
      <c r="P575" s="744"/>
    </row>
    <row r="576" spans="1:16">
      <c r="A576" s="744"/>
      <c r="C576" s="743"/>
      <c r="D576" s="744"/>
      <c r="E576" s="744"/>
      <c r="F576" s="744"/>
      <c r="G576" s="744"/>
      <c r="H576" s="744"/>
      <c r="I576" s="744"/>
      <c r="J576" s="744"/>
      <c r="K576" s="744"/>
      <c r="L576" s="744"/>
      <c r="M576" s="744"/>
      <c r="N576" s="744"/>
      <c r="O576" s="744"/>
      <c r="P576" s="744"/>
    </row>
    <row r="577" spans="1:16">
      <c r="A577" s="744"/>
      <c r="C577" s="743"/>
      <c r="D577" s="744"/>
      <c r="E577" s="744"/>
      <c r="F577" s="744"/>
      <c r="G577" s="744"/>
      <c r="H577" s="744"/>
      <c r="I577" s="744"/>
      <c r="J577" s="744"/>
      <c r="K577" s="744"/>
      <c r="L577" s="744"/>
      <c r="M577" s="744"/>
      <c r="N577" s="744"/>
      <c r="O577" s="744"/>
      <c r="P577" s="744"/>
    </row>
    <row r="578" spans="1:16">
      <c r="A578" s="744"/>
      <c r="C578" s="743"/>
      <c r="D578" s="744"/>
      <c r="E578" s="744"/>
      <c r="F578" s="744"/>
      <c r="G578" s="744"/>
      <c r="H578" s="744"/>
      <c r="I578" s="744"/>
      <c r="J578" s="744"/>
      <c r="K578" s="744"/>
      <c r="L578" s="744"/>
      <c r="M578" s="744"/>
      <c r="N578" s="744"/>
      <c r="O578" s="744"/>
      <c r="P578" s="744"/>
    </row>
    <row r="579" spans="1:16">
      <c r="A579" s="744"/>
      <c r="C579" s="743"/>
      <c r="D579" s="744"/>
      <c r="E579" s="744"/>
      <c r="F579" s="744"/>
      <c r="G579" s="744"/>
      <c r="H579" s="744"/>
      <c r="I579" s="744"/>
      <c r="J579" s="744"/>
      <c r="K579" s="744"/>
      <c r="L579" s="744"/>
      <c r="M579" s="744"/>
      <c r="N579" s="744"/>
      <c r="O579" s="744"/>
      <c r="P579" s="744"/>
    </row>
    <row r="580" spans="1:16">
      <c r="A580" s="744"/>
      <c r="C580" s="743"/>
      <c r="D580" s="744"/>
      <c r="E580" s="744"/>
      <c r="F580" s="744"/>
      <c r="G580" s="744"/>
      <c r="H580" s="744"/>
      <c r="I580" s="744"/>
      <c r="J580" s="744"/>
      <c r="K580" s="744"/>
      <c r="L580" s="744"/>
      <c r="M580" s="744"/>
      <c r="N580" s="744"/>
      <c r="O580" s="744"/>
      <c r="P580" s="744"/>
    </row>
    <row r="581" spans="1:16">
      <c r="A581" s="744"/>
      <c r="C581" s="743"/>
      <c r="D581" s="744"/>
      <c r="E581" s="744"/>
      <c r="F581" s="744"/>
      <c r="G581" s="744"/>
      <c r="H581" s="744"/>
      <c r="I581" s="744"/>
      <c r="J581" s="744"/>
      <c r="K581" s="744"/>
      <c r="L581" s="744"/>
      <c r="M581" s="744"/>
      <c r="N581" s="744"/>
      <c r="O581" s="744"/>
      <c r="P581" s="744"/>
    </row>
    <row r="582" spans="1:16">
      <c r="A582" s="744"/>
      <c r="C582" s="743"/>
      <c r="D582" s="744"/>
      <c r="E582" s="744"/>
      <c r="F582" s="744"/>
      <c r="G582" s="744"/>
      <c r="H582" s="744"/>
      <c r="I582" s="744"/>
      <c r="J582" s="744"/>
      <c r="K582" s="744"/>
      <c r="L582" s="744"/>
      <c r="M582" s="744"/>
      <c r="N582" s="744"/>
      <c r="O582" s="744"/>
      <c r="P582" s="744"/>
    </row>
    <row r="583" spans="1:16">
      <c r="A583" s="744"/>
      <c r="C583" s="743"/>
      <c r="D583" s="744"/>
      <c r="E583" s="744"/>
      <c r="F583" s="744"/>
      <c r="G583" s="744"/>
      <c r="H583" s="744"/>
      <c r="I583" s="744"/>
      <c r="J583" s="744"/>
      <c r="K583" s="744"/>
      <c r="L583" s="744"/>
      <c r="M583" s="744"/>
      <c r="N583" s="744"/>
      <c r="O583" s="744"/>
      <c r="P583" s="744"/>
    </row>
    <row r="584" spans="1:16">
      <c r="A584" s="744"/>
      <c r="C584" s="743"/>
      <c r="D584" s="744"/>
      <c r="E584" s="744"/>
      <c r="F584" s="744"/>
      <c r="G584" s="744"/>
      <c r="H584" s="744"/>
      <c r="I584" s="744"/>
      <c r="J584" s="744"/>
      <c r="K584" s="744"/>
      <c r="L584" s="744"/>
      <c r="M584" s="744"/>
      <c r="N584" s="744"/>
      <c r="O584" s="744"/>
      <c r="P584" s="744"/>
    </row>
    <row r="585" spans="1:16">
      <c r="A585" s="744"/>
      <c r="C585" s="743"/>
      <c r="D585" s="744"/>
      <c r="E585" s="744"/>
      <c r="F585" s="744"/>
      <c r="G585" s="744"/>
      <c r="H585" s="744"/>
      <c r="I585" s="744"/>
      <c r="J585" s="744"/>
      <c r="K585" s="744"/>
      <c r="L585" s="744"/>
      <c r="M585" s="744"/>
      <c r="N585" s="744"/>
      <c r="O585" s="744"/>
      <c r="P585" s="744"/>
    </row>
    <row r="586" spans="1:16">
      <c r="A586" s="744"/>
      <c r="C586" s="743"/>
      <c r="D586" s="744"/>
      <c r="E586" s="744"/>
      <c r="F586" s="744"/>
      <c r="G586" s="744"/>
      <c r="H586" s="744"/>
      <c r="I586" s="744"/>
      <c r="J586" s="744"/>
      <c r="K586" s="744"/>
      <c r="L586" s="744"/>
      <c r="M586" s="744"/>
      <c r="N586" s="744"/>
      <c r="O586" s="744"/>
      <c r="P586" s="744"/>
    </row>
    <row r="587" spans="1:16">
      <c r="A587" s="744"/>
      <c r="C587" s="743"/>
      <c r="D587" s="744"/>
      <c r="E587" s="744"/>
      <c r="F587" s="744"/>
      <c r="G587" s="744"/>
      <c r="H587" s="744"/>
      <c r="I587" s="744"/>
      <c r="J587" s="744"/>
      <c r="K587" s="744"/>
      <c r="L587" s="744"/>
      <c r="M587" s="744"/>
      <c r="N587" s="744"/>
      <c r="O587" s="744"/>
      <c r="P587" s="744"/>
    </row>
    <row r="588" spans="1:16">
      <c r="A588" s="744"/>
      <c r="C588" s="743"/>
      <c r="D588" s="744"/>
      <c r="E588" s="744"/>
      <c r="F588" s="744"/>
      <c r="G588" s="744"/>
      <c r="H588" s="744"/>
      <c r="I588" s="744"/>
      <c r="J588" s="744"/>
      <c r="K588" s="744"/>
      <c r="L588" s="744"/>
      <c r="M588" s="744"/>
      <c r="N588" s="744"/>
      <c r="O588" s="744"/>
      <c r="P588" s="744"/>
    </row>
    <row r="589" spans="1:16">
      <c r="A589" s="744"/>
      <c r="C589" s="743"/>
      <c r="D589" s="744"/>
      <c r="E589" s="744"/>
      <c r="F589" s="744"/>
      <c r="G589" s="744"/>
      <c r="H589" s="744"/>
      <c r="I589" s="744"/>
      <c r="J589" s="744"/>
      <c r="K589" s="744"/>
      <c r="L589" s="744"/>
      <c r="M589" s="744"/>
      <c r="N589" s="744"/>
      <c r="O589" s="744"/>
      <c r="P589" s="744"/>
    </row>
    <row r="590" spans="1:16">
      <c r="A590" s="744"/>
      <c r="C590" s="743"/>
      <c r="D590" s="744"/>
      <c r="E590" s="744"/>
      <c r="F590" s="744"/>
      <c r="G590" s="744"/>
      <c r="H590" s="744"/>
      <c r="I590" s="744"/>
      <c r="J590" s="744"/>
      <c r="K590" s="744"/>
      <c r="L590" s="744"/>
      <c r="M590" s="744"/>
      <c r="N590" s="744"/>
      <c r="O590" s="744"/>
      <c r="P590" s="744"/>
    </row>
    <row r="591" spans="1:16">
      <c r="A591" s="744"/>
      <c r="C591" s="743"/>
      <c r="D591" s="744"/>
      <c r="E591" s="744"/>
      <c r="F591" s="744"/>
      <c r="G591" s="744"/>
      <c r="H591" s="744"/>
      <c r="I591" s="744"/>
      <c r="J591" s="744"/>
      <c r="K591" s="744"/>
      <c r="L591" s="744"/>
      <c r="M591" s="744"/>
      <c r="N591" s="744"/>
      <c r="O591" s="744"/>
      <c r="P591" s="744"/>
    </row>
    <row r="592" spans="1:16">
      <c r="A592" s="744"/>
      <c r="C592" s="743"/>
      <c r="D592" s="744"/>
      <c r="E592" s="744"/>
      <c r="F592" s="744"/>
      <c r="G592" s="744"/>
      <c r="H592" s="744"/>
      <c r="I592" s="744"/>
      <c r="J592" s="744"/>
      <c r="K592" s="744"/>
      <c r="L592" s="744"/>
      <c r="M592" s="744"/>
      <c r="N592" s="744"/>
      <c r="O592" s="744"/>
      <c r="P592" s="744"/>
    </row>
    <row r="593" spans="1:16">
      <c r="A593" s="744"/>
      <c r="C593" s="743"/>
      <c r="D593" s="744"/>
      <c r="E593" s="744"/>
      <c r="F593" s="744"/>
      <c r="G593" s="744"/>
      <c r="H593" s="744"/>
      <c r="I593" s="744"/>
      <c r="J593" s="744"/>
      <c r="K593" s="744"/>
      <c r="L593" s="744"/>
      <c r="M593" s="744"/>
      <c r="N593" s="744"/>
      <c r="O593" s="744"/>
      <c r="P593" s="744"/>
    </row>
    <row r="594" spans="1:16">
      <c r="A594" s="744"/>
      <c r="C594" s="743"/>
      <c r="D594" s="744"/>
      <c r="E594" s="744"/>
      <c r="F594" s="744"/>
      <c r="G594" s="744"/>
      <c r="H594" s="744"/>
      <c r="I594" s="744"/>
      <c r="J594" s="744"/>
      <c r="K594" s="744"/>
      <c r="L594" s="744"/>
      <c r="M594" s="744"/>
      <c r="N594" s="744"/>
      <c r="O594" s="744"/>
      <c r="P594" s="744"/>
    </row>
    <row r="595" spans="1:16">
      <c r="A595" s="744"/>
      <c r="C595" s="743"/>
      <c r="D595" s="744"/>
      <c r="E595" s="744"/>
      <c r="F595" s="744"/>
      <c r="G595" s="744"/>
      <c r="H595" s="744"/>
      <c r="I595" s="744"/>
      <c r="J595" s="744"/>
      <c r="K595" s="744"/>
      <c r="L595" s="744"/>
      <c r="M595" s="744"/>
      <c r="N595" s="744"/>
      <c r="O595" s="744"/>
      <c r="P595" s="744"/>
    </row>
    <row r="596" spans="1:16">
      <c r="A596" s="744"/>
      <c r="C596" s="743"/>
      <c r="D596" s="744"/>
      <c r="E596" s="744"/>
      <c r="F596" s="744"/>
      <c r="G596" s="744"/>
      <c r="H596" s="744"/>
      <c r="I596" s="744"/>
      <c r="J596" s="744"/>
      <c r="K596" s="744"/>
      <c r="L596" s="744"/>
      <c r="M596" s="744"/>
      <c r="N596" s="744"/>
      <c r="O596" s="744"/>
      <c r="P596" s="744"/>
    </row>
    <row r="597" spans="1:16">
      <c r="A597" s="744"/>
      <c r="C597" s="743"/>
      <c r="D597" s="744"/>
      <c r="E597" s="744"/>
      <c r="F597" s="744"/>
      <c r="G597" s="744"/>
      <c r="H597" s="744"/>
      <c r="I597" s="744"/>
      <c r="J597" s="744"/>
      <c r="K597" s="744"/>
      <c r="L597" s="744"/>
      <c r="M597" s="744"/>
      <c r="N597" s="744"/>
      <c r="O597" s="744"/>
      <c r="P597" s="744"/>
    </row>
    <row r="598" spans="1:16">
      <c r="A598" s="744"/>
      <c r="C598" s="743"/>
      <c r="D598" s="744"/>
      <c r="E598" s="744"/>
      <c r="F598" s="744"/>
      <c r="G598" s="744"/>
      <c r="H598" s="744"/>
      <c r="I598" s="744"/>
      <c r="J598" s="744"/>
      <c r="K598" s="744"/>
      <c r="L598" s="744"/>
      <c r="M598" s="744"/>
      <c r="N598" s="744"/>
      <c r="O598" s="744"/>
      <c r="P598" s="744"/>
    </row>
    <row r="599" spans="1:16">
      <c r="A599" s="744"/>
      <c r="C599" s="743"/>
      <c r="D599" s="744"/>
      <c r="E599" s="744"/>
      <c r="F599" s="744"/>
      <c r="G599" s="744"/>
      <c r="H599" s="744"/>
      <c r="I599" s="744"/>
      <c r="J599" s="744"/>
      <c r="K599" s="744"/>
      <c r="L599" s="744"/>
      <c r="M599" s="744"/>
      <c r="N599" s="744"/>
      <c r="O599" s="744"/>
      <c r="P599" s="744"/>
    </row>
    <row r="600" spans="1:16">
      <c r="A600" s="744"/>
      <c r="C600" s="743"/>
      <c r="D600" s="744"/>
      <c r="E600" s="744"/>
      <c r="F600" s="744"/>
      <c r="G600" s="744"/>
      <c r="H600" s="744"/>
      <c r="I600" s="744"/>
      <c r="J600" s="744"/>
      <c r="K600" s="744"/>
      <c r="L600" s="744"/>
      <c r="M600" s="744"/>
      <c r="N600" s="744"/>
      <c r="O600" s="744"/>
      <c r="P600" s="744"/>
    </row>
    <row r="601" spans="1:16">
      <c r="A601" s="744"/>
      <c r="C601" s="743"/>
      <c r="D601" s="744"/>
      <c r="E601" s="744"/>
      <c r="F601" s="744"/>
      <c r="G601" s="744"/>
      <c r="H601" s="744"/>
      <c r="I601" s="744"/>
      <c r="J601" s="744"/>
      <c r="K601" s="744"/>
      <c r="L601" s="744"/>
      <c r="M601" s="744"/>
      <c r="N601" s="744"/>
      <c r="O601" s="744"/>
      <c r="P601" s="744"/>
    </row>
    <row r="602" spans="1:16">
      <c r="A602" s="744"/>
      <c r="C602" s="743"/>
      <c r="D602" s="744"/>
      <c r="E602" s="744"/>
      <c r="F602" s="744"/>
      <c r="G602" s="744"/>
      <c r="H602" s="744"/>
      <c r="I602" s="744"/>
      <c r="J602" s="744"/>
      <c r="K602" s="744"/>
      <c r="L602" s="744"/>
      <c r="M602" s="744"/>
      <c r="N602" s="744"/>
      <c r="O602" s="744"/>
      <c r="P602" s="744"/>
    </row>
    <row r="603" spans="1:16">
      <c r="A603" s="744"/>
      <c r="C603" s="743"/>
      <c r="D603" s="744"/>
      <c r="E603" s="744"/>
      <c r="F603" s="744"/>
      <c r="G603" s="744"/>
      <c r="H603" s="744"/>
      <c r="I603" s="744"/>
      <c r="J603" s="744"/>
      <c r="K603" s="744"/>
      <c r="L603" s="744"/>
      <c r="M603" s="744"/>
      <c r="N603" s="744"/>
      <c r="O603" s="744"/>
      <c r="P603" s="744"/>
    </row>
    <row r="604" spans="1:16">
      <c r="A604" s="744"/>
      <c r="C604" s="743"/>
      <c r="D604" s="744"/>
      <c r="E604" s="744"/>
      <c r="F604" s="744"/>
      <c r="G604" s="744"/>
      <c r="H604" s="744"/>
      <c r="I604" s="744"/>
      <c r="J604" s="744"/>
      <c r="K604" s="744"/>
      <c r="L604" s="744"/>
      <c r="M604" s="744"/>
      <c r="N604" s="744"/>
      <c r="O604" s="744"/>
      <c r="P604" s="744"/>
    </row>
    <row r="605" spans="1:16">
      <c r="A605" s="744"/>
      <c r="C605" s="743"/>
      <c r="D605" s="744"/>
      <c r="E605" s="744"/>
      <c r="F605" s="744"/>
      <c r="G605" s="744"/>
      <c r="H605" s="744"/>
      <c r="I605" s="744"/>
      <c r="J605" s="744"/>
      <c r="K605" s="744"/>
      <c r="L605" s="744"/>
      <c r="M605" s="744"/>
      <c r="N605" s="744"/>
      <c r="O605" s="744"/>
      <c r="P605" s="744"/>
    </row>
    <row r="606" spans="1:16">
      <c r="A606" s="744"/>
      <c r="C606" s="743"/>
      <c r="D606" s="744"/>
      <c r="E606" s="744"/>
      <c r="F606" s="744"/>
      <c r="G606" s="744"/>
      <c r="H606" s="744"/>
      <c r="I606" s="744"/>
      <c r="J606" s="744"/>
      <c r="K606" s="744"/>
      <c r="L606" s="744"/>
      <c r="M606" s="744"/>
      <c r="N606" s="744"/>
      <c r="O606" s="744"/>
      <c r="P606" s="744"/>
    </row>
    <row r="607" spans="1:16">
      <c r="A607" s="744"/>
      <c r="C607" s="743"/>
      <c r="D607" s="744"/>
      <c r="E607" s="744"/>
      <c r="F607" s="744"/>
      <c r="G607" s="744"/>
      <c r="H607" s="744"/>
      <c r="I607" s="744"/>
      <c r="J607" s="744"/>
      <c r="K607" s="744"/>
      <c r="L607" s="744"/>
      <c r="M607" s="744"/>
      <c r="N607" s="744"/>
      <c r="O607" s="744"/>
      <c r="P607" s="744"/>
    </row>
    <row r="608" spans="1:16">
      <c r="A608" s="744"/>
      <c r="C608" s="743"/>
      <c r="D608" s="744"/>
      <c r="E608" s="744"/>
      <c r="F608" s="744"/>
      <c r="G608" s="744"/>
      <c r="H608" s="744"/>
      <c r="I608" s="744"/>
      <c r="J608" s="744"/>
      <c r="K608" s="744"/>
      <c r="L608" s="744"/>
      <c r="M608" s="744"/>
      <c r="N608" s="744"/>
      <c r="O608" s="744"/>
      <c r="P608" s="744"/>
    </row>
    <row r="609" spans="1:16">
      <c r="A609" s="744"/>
      <c r="C609" s="743"/>
      <c r="D609" s="744"/>
      <c r="E609" s="744"/>
      <c r="F609" s="744"/>
      <c r="G609" s="744"/>
      <c r="H609" s="744"/>
      <c r="I609" s="744"/>
      <c r="J609" s="744"/>
      <c r="K609" s="744"/>
      <c r="L609" s="744"/>
      <c r="M609" s="744"/>
      <c r="N609" s="744"/>
      <c r="O609" s="744"/>
      <c r="P609" s="744"/>
    </row>
    <row r="610" spans="1:16">
      <c r="A610" s="744"/>
      <c r="C610" s="743"/>
      <c r="D610" s="744"/>
      <c r="E610" s="744"/>
      <c r="F610" s="744"/>
      <c r="G610" s="744"/>
      <c r="H610" s="744"/>
      <c r="I610" s="744"/>
      <c r="J610" s="744"/>
      <c r="K610" s="744"/>
      <c r="L610" s="744"/>
      <c r="M610" s="744"/>
      <c r="N610" s="744"/>
      <c r="O610" s="744"/>
      <c r="P610" s="744"/>
    </row>
    <row r="611" spans="1:16">
      <c r="A611" s="744"/>
      <c r="C611" s="743"/>
      <c r="D611" s="744"/>
      <c r="E611" s="744"/>
      <c r="F611" s="744"/>
      <c r="G611" s="744"/>
      <c r="H611" s="744"/>
      <c r="I611" s="744"/>
      <c r="J611" s="744"/>
      <c r="K611" s="744"/>
      <c r="L611" s="744"/>
      <c r="M611" s="744"/>
      <c r="N611" s="744"/>
      <c r="O611" s="744"/>
      <c r="P611" s="744"/>
    </row>
    <row r="612" spans="1:16">
      <c r="A612" s="744"/>
      <c r="C612" s="743"/>
      <c r="D612" s="744"/>
      <c r="E612" s="744"/>
      <c r="F612" s="744"/>
      <c r="G612" s="744"/>
      <c r="H612" s="744"/>
      <c r="I612" s="744"/>
      <c r="J612" s="744"/>
      <c r="K612" s="744"/>
      <c r="L612" s="744"/>
      <c r="M612" s="744"/>
      <c r="N612" s="744"/>
      <c r="O612" s="744"/>
      <c r="P612" s="744"/>
    </row>
    <row r="613" spans="1:16">
      <c r="A613" s="744"/>
      <c r="C613" s="743"/>
      <c r="D613" s="744"/>
      <c r="E613" s="744"/>
      <c r="F613" s="744"/>
      <c r="G613" s="744"/>
      <c r="H613" s="744"/>
      <c r="I613" s="744"/>
      <c r="J613" s="744"/>
      <c r="K613" s="744"/>
      <c r="L613" s="744"/>
      <c r="M613" s="744"/>
      <c r="N613" s="744"/>
      <c r="O613" s="744"/>
      <c r="P613" s="744"/>
    </row>
    <row r="614" spans="1:16">
      <c r="A614" s="744"/>
      <c r="C614" s="743"/>
      <c r="D614" s="744"/>
      <c r="E614" s="744"/>
      <c r="F614" s="744"/>
      <c r="G614" s="744"/>
      <c r="H614" s="744"/>
      <c r="I614" s="744"/>
      <c r="J614" s="744"/>
      <c r="K614" s="744"/>
      <c r="L614" s="744"/>
      <c r="M614" s="744"/>
      <c r="N614" s="744"/>
      <c r="O614" s="744"/>
      <c r="P614" s="744"/>
    </row>
    <row r="615" spans="1:16">
      <c r="A615" s="744"/>
      <c r="C615" s="743"/>
      <c r="D615" s="744"/>
      <c r="E615" s="744"/>
      <c r="F615" s="744"/>
      <c r="G615" s="744"/>
      <c r="H615" s="744"/>
      <c r="I615" s="744"/>
      <c r="J615" s="744"/>
      <c r="K615" s="744"/>
      <c r="L615" s="744"/>
      <c r="M615" s="744"/>
      <c r="N615" s="744"/>
      <c r="O615" s="744"/>
      <c r="P615" s="744"/>
    </row>
    <row r="616" spans="1:16">
      <c r="A616" s="744"/>
      <c r="C616" s="743"/>
      <c r="D616" s="744"/>
      <c r="E616" s="744"/>
      <c r="F616" s="744"/>
      <c r="G616" s="744"/>
      <c r="H616" s="744"/>
      <c r="I616" s="744"/>
      <c r="J616" s="744"/>
      <c r="K616" s="744"/>
      <c r="L616" s="744"/>
      <c r="M616" s="744"/>
      <c r="N616" s="744"/>
      <c r="O616" s="744"/>
      <c r="P616" s="744"/>
    </row>
    <row r="617" spans="1:16">
      <c r="A617" s="744"/>
      <c r="C617" s="743"/>
      <c r="D617" s="744"/>
      <c r="E617" s="744"/>
      <c r="F617" s="744"/>
      <c r="G617" s="744"/>
      <c r="H617" s="744"/>
      <c r="I617" s="744"/>
      <c r="J617" s="744"/>
      <c r="K617" s="744"/>
      <c r="L617" s="744"/>
      <c r="M617" s="744"/>
      <c r="N617" s="744"/>
      <c r="O617" s="744"/>
      <c r="P617" s="744"/>
    </row>
    <row r="618" spans="1:16">
      <c r="A618" s="744"/>
      <c r="C618" s="743"/>
      <c r="D618" s="744"/>
      <c r="E618" s="744"/>
      <c r="F618" s="744"/>
      <c r="G618" s="744"/>
      <c r="H618" s="744"/>
      <c r="I618" s="744"/>
      <c r="J618" s="744"/>
      <c r="K618" s="744"/>
      <c r="L618" s="744"/>
      <c r="M618" s="744"/>
      <c r="N618" s="744"/>
      <c r="O618" s="744"/>
      <c r="P618" s="744"/>
    </row>
    <row r="619" spans="1:16">
      <c r="A619" s="744"/>
      <c r="C619" s="743"/>
      <c r="D619" s="744"/>
      <c r="E619" s="744"/>
      <c r="F619" s="744"/>
      <c r="G619" s="744"/>
      <c r="H619" s="744"/>
      <c r="I619" s="744"/>
      <c r="J619" s="744"/>
      <c r="K619" s="744"/>
      <c r="L619" s="744"/>
      <c r="M619" s="744"/>
      <c r="N619" s="744"/>
      <c r="O619" s="744"/>
      <c r="P619" s="744"/>
    </row>
    <row r="620" spans="1:16">
      <c r="A620" s="744"/>
      <c r="C620" s="743"/>
      <c r="D620" s="744"/>
      <c r="E620" s="744"/>
      <c r="F620" s="744"/>
      <c r="G620" s="744"/>
      <c r="H620" s="744"/>
      <c r="I620" s="744"/>
      <c r="J620" s="744"/>
      <c r="K620" s="744"/>
      <c r="L620" s="744"/>
      <c r="M620" s="744"/>
      <c r="N620" s="744"/>
      <c r="O620" s="744"/>
      <c r="P620" s="744"/>
    </row>
    <row r="621" spans="1:16">
      <c r="A621" s="744"/>
      <c r="C621" s="743"/>
      <c r="D621" s="744"/>
      <c r="E621" s="744"/>
      <c r="F621" s="744"/>
      <c r="G621" s="744"/>
      <c r="H621" s="744"/>
      <c r="I621" s="744"/>
      <c r="J621" s="744"/>
      <c r="K621" s="744"/>
      <c r="L621" s="744"/>
      <c r="M621" s="744"/>
      <c r="N621" s="744"/>
      <c r="O621" s="744"/>
      <c r="P621" s="744"/>
    </row>
    <row r="622" spans="1:16">
      <c r="A622" s="744"/>
      <c r="C622" s="743"/>
      <c r="D622" s="744"/>
      <c r="E622" s="744"/>
      <c r="F622" s="744"/>
      <c r="G622" s="744"/>
      <c r="H622" s="744"/>
      <c r="I622" s="744"/>
      <c r="J622" s="744"/>
      <c r="K622" s="744"/>
      <c r="L622" s="744"/>
      <c r="M622" s="744"/>
      <c r="N622" s="744"/>
      <c r="O622" s="744"/>
      <c r="P622" s="744"/>
    </row>
    <row r="623" spans="1:16">
      <c r="A623" s="744"/>
      <c r="C623" s="743"/>
      <c r="D623" s="744"/>
      <c r="E623" s="744"/>
      <c r="F623" s="744"/>
      <c r="G623" s="744"/>
      <c r="H623" s="744"/>
      <c r="I623" s="744"/>
      <c r="J623" s="744"/>
      <c r="K623" s="744"/>
      <c r="L623" s="744"/>
      <c r="M623" s="744"/>
      <c r="N623" s="744"/>
      <c r="O623" s="744"/>
      <c r="P623" s="744"/>
    </row>
    <row r="624" spans="1:16">
      <c r="A624" s="744"/>
      <c r="C624" s="743"/>
      <c r="D624" s="744"/>
      <c r="E624" s="744"/>
      <c r="F624" s="744"/>
      <c r="G624" s="744"/>
      <c r="H624" s="744"/>
      <c r="I624" s="744"/>
      <c r="J624" s="744"/>
      <c r="K624" s="744"/>
      <c r="L624" s="744"/>
      <c r="M624" s="744"/>
      <c r="N624" s="744"/>
      <c r="O624" s="744"/>
      <c r="P624" s="744"/>
    </row>
    <row r="625" spans="1:16">
      <c r="A625" s="744"/>
      <c r="C625" s="743"/>
      <c r="D625" s="744"/>
      <c r="E625" s="744"/>
      <c r="F625" s="744"/>
      <c r="G625" s="744"/>
      <c r="H625" s="744"/>
      <c r="I625" s="744"/>
      <c r="J625" s="744"/>
      <c r="K625" s="744"/>
      <c r="L625" s="744"/>
      <c r="M625" s="744"/>
      <c r="N625" s="744"/>
      <c r="O625" s="744"/>
      <c r="P625" s="744"/>
    </row>
    <row r="626" spans="1:16">
      <c r="A626" s="744"/>
      <c r="C626" s="743"/>
      <c r="D626" s="744"/>
      <c r="E626" s="744"/>
      <c r="F626" s="744"/>
      <c r="G626" s="744"/>
      <c r="H626" s="744"/>
      <c r="I626" s="744"/>
      <c r="J626" s="744"/>
      <c r="K626" s="744"/>
      <c r="L626" s="744"/>
      <c r="M626" s="744"/>
      <c r="N626" s="744"/>
      <c r="O626" s="744"/>
      <c r="P626" s="744"/>
    </row>
    <row r="627" spans="1:16">
      <c r="A627" s="744"/>
      <c r="C627" s="743"/>
      <c r="D627" s="744"/>
      <c r="E627" s="744"/>
      <c r="F627" s="744"/>
      <c r="G627" s="744"/>
      <c r="H627" s="744"/>
      <c r="I627" s="744"/>
      <c r="J627" s="744"/>
      <c r="K627" s="744"/>
      <c r="L627" s="744"/>
      <c r="M627" s="744"/>
      <c r="N627" s="744"/>
      <c r="O627" s="744"/>
      <c r="P627" s="744"/>
    </row>
    <row r="628" spans="1:16">
      <c r="A628" s="744"/>
      <c r="C628" s="743"/>
      <c r="D628" s="744"/>
      <c r="E628" s="744"/>
      <c r="F628" s="744"/>
      <c r="G628" s="744"/>
      <c r="H628" s="744"/>
      <c r="I628" s="744"/>
      <c r="J628" s="744"/>
      <c r="K628" s="744"/>
      <c r="L628" s="744"/>
      <c r="M628" s="744"/>
      <c r="N628" s="744"/>
      <c r="O628" s="744"/>
      <c r="P628" s="744"/>
    </row>
    <row r="629" spans="1:16">
      <c r="A629" s="744"/>
      <c r="C629" s="743"/>
      <c r="D629" s="744"/>
      <c r="E629" s="744"/>
      <c r="F629" s="744"/>
      <c r="G629" s="744"/>
      <c r="H629" s="744"/>
      <c r="I629" s="744"/>
      <c r="J629" s="744"/>
      <c r="K629" s="744"/>
      <c r="L629" s="744"/>
      <c r="M629" s="744"/>
      <c r="N629" s="744"/>
      <c r="O629" s="744"/>
      <c r="P629" s="744"/>
    </row>
    <row r="630" spans="1:16">
      <c r="A630" s="744"/>
      <c r="C630" s="743"/>
      <c r="D630" s="744"/>
      <c r="E630" s="744"/>
      <c r="F630" s="744"/>
      <c r="G630" s="744"/>
      <c r="H630" s="744"/>
      <c r="I630" s="744"/>
      <c r="J630" s="744"/>
      <c r="K630" s="744"/>
      <c r="L630" s="744"/>
      <c r="M630" s="744"/>
      <c r="N630" s="744"/>
      <c r="O630" s="744"/>
      <c r="P630" s="744"/>
    </row>
    <row r="631" spans="1:16">
      <c r="A631" s="744"/>
      <c r="C631" s="743"/>
      <c r="D631" s="744"/>
      <c r="E631" s="744"/>
      <c r="F631" s="744"/>
      <c r="G631" s="744"/>
      <c r="H631" s="744"/>
      <c r="I631" s="744"/>
      <c r="J631" s="744"/>
      <c r="K631" s="744"/>
      <c r="L631" s="744"/>
      <c r="M631" s="744"/>
      <c r="N631" s="744"/>
      <c r="O631" s="744"/>
      <c r="P631" s="744"/>
    </row>
    <row r="632" spans="1:16">
      <c r="A632" s="744"/>
      <c r="C632" s="743"/>
      <c r="D632" s="744"/>
      <c r="E632" s="744"/>
      <c r="F632" s="744"/>
      <c r="G632" s="744"/>
      <c r="H632" s="744"/>
      <c r="I632" s="744"/>
      <c r="J632" s="744"/>
      <c r="K632" s="744"/>
      <c r="L632" s="744"/>
      <c r="M632" s="744"/>
      <c r="N632" s="744"/>
      <c r="O632" s="744"/>
      <c r="P632" s="744"/>
    </row>
    <row r="633" spans="1:16">
      <c r="A633" s="744"/>
      <c r="C633" s="743"/>
      <c r="D633" s="744"/>
      <c r="E633" s="744"/>
      <c r="F633" s="744"/>
      <c r="G633" s="744"/>
      <c r="H633" s="744"/>
      <c r="I633" s="744"/>
      <c r="J633" s="744"/>
      <c r="K633" s="744"/>
      <c r="L633" s="744"/>
      <c r="M633" s="744"/>
      <c r="N633" s="744"/>
      <c r="O633" s="744"/>
      <c r="P633" s="744"/>
    </row>
    <row r="634" spans="1:16">
      <c r="A634" s="744"/>
      <c r="C634" s="743"/>
      <c r="D634" s="744"/>
      <c r="E634" s="744"/>
      <c r="F634" s="744"/>
      <c r="G634" s="744"/>
      <c r="H634" s="744"/>
      <c r="I634" s="744"/>
      <c r="J634" s="744"/>
      <c r="K634" s="744"/>
      <c r="L634" s="744"/>
      <c r="M634" s="744"/>
      <c r="N634" s="744"/>
      <c r="O634" s="744"/>
      <c r="P634" s="744"/>
    </row>
    <row r="635" spans="1:16">
      <c r="A635" s="744"/>
      <c r="C635" s="743"/>
      <c r="D635" s="744"/>
      <c r="E635" s="744"/>
      <c r="F635" s="744"/>
      <c r="G635" s="744"/>
      <c r="H635" s="744"/>
      <c r="I635" s="744"/>
      <c r="J635" s="744"/>
      <c r="K635" s="744"/>
      <c r="L635" s="744"/>
      <c r="M635" s="744"/>
      <c r="N635" s="744"/>
      <c r="O635" s="744"/>
      <c r="P635" s="744"/>
    </row>
    <row r="636" spans="1:16">
      <c r="A636" s="744"/>
      <c r="C636" s="743"/>
      <c r="D636" s="744"/>
      <c r="E636" s="744"/>
      <c r="F636" s="744"/>
      <c r="G636" s="744"/>
      <c r="H636" s="744"/>
      <c r="I636" s="744"/>
      <c r="J636" s="744"/>
      <c r="K636" s="744"/>
      <c r="L636" s="744"/>
      <c r="M636" s="744"/>
      <c r="N636" s="744"/>
      <c r="O636" s="744"/>
      <c r="P636" s="744"/>
    </row>
    <row r="637" spans="1:16">
      <c r="A637" s="744"/>
      <c r="C637" s="743"/>
      <c r="D637" s="744"/>
      <c r="E637" s="744"/>
      <c r="F637" s="744"/>
      <c r="G637" s="744"/>
      <c r="H637" s="744"/>
      <c r="I637" s="744"/>
      <c r="J637" s="744"/>
      <c r="K637" s="744"/>
      <c r="L637" s="744"/>
      <c r="M637" s="744"/>
      <c r="N637" s="744"/>
      <c r="O637" s="744"/>
      <c r="P637" s="744"/>
    </row>
    <row r="638" spans="1:16">
      <c r="A638" s="744"/>
      <c r="C638" s="743"/>
      <c r="D638" s="744"/>
      <c r="E638" s="744"/>
      <c r="F638" s="744"/>
      <c r="G638" s="744"/>
      <c r="H638" s="744"/>
      <c r="I638" s="744"/>
      <c r="J638" s="744"/>
      <c r="K638" s="744"/>
      <c r="L638" s="744"/>
      <c r="M638" s="744"/>
      <c r="N638" s="744"/>
      <c r="O638" s="744"/>
      <c r="P638" s="744"/>
    </row>
    <row r="639" spans="1:16">
      <c r="A639" s="744"/>
      <c r="C639" s="743"/>
      <c r="D639" s="744"/>
      <c r="E639" s="744"/>
      <c r="F639" s="744"/>
      <c r="G639" s="744"/>
      <c r="H639" s="744"/>
      <c r="I639" s="744"/>
      <c r="J639" s="744"/>
      <c r="K639" s="744"/>
      <c r="L639" s="744"/>
      <c r="M639" s="744"/>
      <c r="N639" s="744"/>
      <c r="O639" s="744"/>
      <c r="P639" s="744"/>
    </row>
    <row r="640" spans="1:16">
      <c r="A640" s="744"/>
      <c r="C640" s="743"/>
      <c r="D640" s="744"/>
      <c r="E640" s="744"/>
      <c r="F640" s="744"/>
      <c r="G640" s="744"/>
      <c r="H640" s="744"/>
      <c r="I640" s="744"/>
      <c r="J640" s="744"/>
      <c r="K640" s="744"/>
      <c r="L640" s="744"/>
      <c r="M640" s="744"/>
      <c r="N640" s="744"/>
      <c r="O640" s="744"/>
      <c r="P640" s="744"/>
    </row>
    <row r="641" spans="1:16">
      <c r="A641" s="744"/>
      <c r="C641" s="743"/>
      <c r="D641" s="744"/>
      <c r="E641" s="744"/>
      <c r="F641" s="744"/>
      <c r="G641" s="744"/>
      <c r="H641" s="744"/>
      <c r="I641" s="744"/>
      <c r="J641" s="744"/>
      <c r="K641" s="744"/>
      <c r="L641" s="744"/>
      <c r="M641" s="744"/>
      <c r="N641" s="744"/>
      <c r="O641" s="744"/>
      <c r="P641" s="744"/>
    </row>
    <row r="642" spans="1:16">
      <c r="A642" s="744"/>
      <c r="C642" s="743"/>
      <c r="D642" s="744"/>
      <c r="E642" s="744"/>
      <c r="F642" s="744"/>
      <c r="G642" s="744"/>
      <c r="H642" s="744"/>
      <c r="I642" s="744"/>
      <c r="J642" s="744"/>
      <c r="K642" s="744"/>
      <c r="L642" s="744"/>
      <c r="M642" s="744"/>
      <c r="N642" s="744"/>
      <c r="O642" s="744"/>
      <c r="P642" s="744"/>
    </row>
    <row r="643" spans="1:16">
      <c r="A643" s="744"/>
      <c r="C643" s="743"/>
      <c r="D643" s="744"/>
      <c r="E643" s="744"/>
      <c r="F643" s="744"/>
      <c r="G643" s="744"/>
      <c r="H643" s="744"/>
      <c r="I643" s="744"/>
      <c r="J643" s="744"/>
      <c r="K643" s="744"/>
      <c r="L643" s="744"/>
      <c r="M643" s="744"/>
      <c r="N643" s="744"/>
      <c r="O643" s="744"/>
      <c r="P643" s="744"/>
    </row>
    <row r="644" spans="1:16">
      <c r="A644" s="744"/>
      <c r="C644" s="743"/>
      <c r="D644" s="744"/>
      <c r="E644" s="744"/>
      <c r="F644" s="744"/>
      <c r="G644" s="744"/>
      <c r="H644" s="744"/>
      <c r="I644" s="744"/>
      <c r="J644" s="744"/>
      <c r="K644" s="744"/>
      <c r="L644" s="744"/>
      <c r="M644" s="744"/>
      <c r="N644" s="744"/>
      <c r="O644" s="744"/>
      <c r="P644" s="744"/>
    </row>
    <row r="645" spans="1:16">
      <c r="A645" s="744"/>
      <c r="C645" s="743"/>
      <c r="D645" s="744"/>
      <c r="E645" s="744"/>
      <c r="F645" s="744"/>
      <c r="G645" s="744"/>
      <c r="H645" s="744"/>
      <c r="I645" s="744"/>
      <c r="J645" s="744"/>
      <c r="K645" s="744"/>
      <c r="L645" s="744"/>
      <c r="M645" s="744"/>
      <c r="N645" s="744"/>
      <c r="O645" s="744"/>
      <c r="P645" s="744"/>
    </row>
    <row r="646" spans="1:16">
      <c r="A646" s="744"/>
      <c r="C646" s="743"/>
      <c r="D646" s="744"/>
      <c r="E646" s="744"/>
      <c r="F646" s="744"/>
      <c r="G646" s="744"/>
      <c r="H646" s="744"/>
      <c r="I646" s="744"/>
      <c r="J646" s="744"/>
      <c r="K646" s="744"/>
      <c r="L646" s="744"/>
      <c r="M646" s="744"/>
      <c r="N646" s="744"/>
      <c r="O646" s="744"/>
      <c r="P646" s="744"/>
    </row>
    <row r="647" spans="1:16">
      <c r="A647" s="744"/>
      <c r="C647" s="743"/>
      <c r="D647" s="744"/>
      <c r="E647" s="744"/>
      <c r="F647" s="744"/>
      <c r="G647" s="744"/>
      <c r="H647" s="744"/>
      <c r="I647" s="744"/>
      <c r="J647" s="744"/>
      <c r="K647" s="744"/>
      <c r="L647" s="744"/>
      <c r="M647" s="744"/>
      <c r="N647" s="744"/>
      <c r="O647" s="744"/>
      <c r="P647" s="744"/>
    </row>
    <row r="648" spans="1:16">
      <c r="A648" s="744"/>
      <c r="C648" s="743"/>
      <c r="D648" s="744"/>
      <c r="E648" s="744"/>
      <c r="F648" s="744"/>
      <c r="G648" s="744"/>
      <c r="H648" s="744"/>
      <c r="I648" s="744"/>
      <c r="J648" s="744"/>
      <c r="K648" s="744"/>
      <c r="L648" s="744"/>
      <c r="M648" s="744"/>
      <c r="N648" s="744"/>
      <c r="O648" s="744"/>
      <c r="P648" s="744"/>
    </row>
    <row r="649" spans="1:16">
      <c r="A649" s="744"/>
      <c r="C649" s="743"/>
      <c r="D649" s="744"/>
      <c r="E649" s="744"/>
      <c r="F649" s="744"/>
      <c r="G649" s="744"/>
      <c r="H649" s="744"/>
      <c r="I649" s="744"/>
      <c r="J649" s="744"/>
      <c r="K649" s="744"/>
      <c r="L649" s="744"/>
      <c r="M649" s="744"/>
      <c r="N649" s="744"/>
      <c r="O649" s="744"/>
      <c r="P649" s="744"/>
    </row>
    <row r="650" spans="1:16">
      <c r="A650" s="744"/>
      <c r="C650" s="743"/>
      <c r="D650" s="744"/>
      <c r="E650" s="744"/>
      <c r="F650" s="744"/>
      <c r="G650" s="744"/>
      <c r="H650" s="744"/>
      <c r="I650" s="744"/>
      <c r="J650" s="744"/>
      <c r="K650" s="744"/>
      <c r="L650" s="744"/>
      <c r="M650" s="744"/>
      <c r="N650" s="744"/>
      <c r="O650" s="744"/>
      <c r="P650" s="744"/>
    </row>
    <row r="651" spans="1:16">
      <c r="A651" s="744"/>
      <c r="C651" s="743"/>
      <c r="D651" s="744"/>
      <c r="E651" s="744"/>
      <c r="F651" s="744"/>
      <c r="G651" s="744"/>
      <c r="H651" s="744"/>
      <c r="I651" s="744"/>
      <c r="J651" s="744"/>
      <c r="K651" s="744"/>
      <c r="L651" s="744"/>
      <c r="M651" s="744"/>
      <c r="N651" s="744"/>
      <c r="O651" s="744"/>
      <c r="P651" s="744"/>
    </row>
    <row r="652" spans="1:16">
      <c r="A652" s="744"/>
      <c r="C652" s="743"/>
      <c r="D652" s="744"/>
      <c r="E652" s="744"/>
      <c r="F652" s="744"/>
      <c r="G652" s="744"/>
      <c r="H652" s="744"/>
      <c r="I652" s="744"/>
      <c r="J652" s="744"/>
      <c r="K652" s="744"/>
      <c r="L652" s="744"/>
      <c r="M652" s="744"/>
      <c r="N652" s="744"/>
      <c r="O652" s="744"/>
      <c r="P652" s="744"/>
    </row>
    <row r="653" spans="1:16">
      <c r="A653" s="744"/>
      <c r="C653" s="743"/>
      <c r="D653" s="744"/>
      <c r="E653" s="744"/>
      <c r="F653" s="744"/>
      <c r="G653" s="744"/>
      <c r="H653" s="744"/>
      <c r="I653" s="744"/>
      <c r="J653" s="744"/>
      <c r="K653" s="744"/>
      <c r="L653" s="744"/>
      <c r="M653" s="744"/>
      <c r="N653" s="744"/>
      <c r="O653" s="744"/>
      <c r="P653" s="744"/>
    </row>
    <row r="654" spans="1:16">
      <c r="A654" s="744"/>
      <c r="C654" s="743"/>
      <c r="D654" s="744"/>
      <c r="E654" s="744"/>
      <c r="F654" s="744"/>
      <c r="G654" s="744"/>
      <c r="H654" s="744"/>
      <c r="I654" s="744"/>
      <c r="J654" s="744"/>
      <c r="K654" s="744"/>
      <c r="L654" s="744"/>
      <c r="M654" s="744"/>
      <c r="N654" s="744"/>
      <c r="O654" s="744"/>
      <c r="P654" s="744"/>
    </row>
    <row r="655" spans="1:16">
      <c r="A655" s="744"/>
      <c r="C655" s="743"/>
      <c r="D655" s="744"/>
      <c r="E655" s="744"/>
      <c r="F655" s="744"/>
      <c r="G655" s="744"/>
      <c r="H655" s="744"/>
      <c r="I655" s="744"/>
      <c r="J655" s="744"/>
      <c r="K655" s="744"/>
      <c r="L655" s="744"/>
      <c r="M655" s="744"/>
      <c r="N655" s="744"/>
      <c r="O655" s="744"/>
      <c r="P655" s="744"/>
    </row>
    <row r="656" spans="1:16">
      <c r="A656" s="744"/>
      <c r="C656" s="743"/>
      <c r="D656" s="744"/>
      <c r="E656" s="744"/>
      <c r="F656" s="744"/>
      <c r="G656" s="744"/>
      <c r="H656" s="744"/>
      <c r="I656" s="744"/>
      <c r="J656" s="744"/>
      <c r="K656" s="744"/>
      <c r="L656" s="744"/>
      <c r="M656" s="744"/>
      <c r="N656" s="744"/>
      <c r="O656" s="744"/>
      <c r="P656" s="744"/>
    </row>
    <row r="657" spans="1:16">
      <c r="A657" s="744"/>
      <c r="C657" s="743"/>
      <c r="D657" s="744"/>
      <c r="E657" s="744"/>
      <c r="F657" s="744"/>
      <c r="G657" s="744"/>
      <c r="H657" s="744"/>
      <c r="I657" s="744"/>
      <c r="J657" s="744"/>
      <c r="K657" s="744"/>
      <c r="L657" s="744"/>
      <c r="M657" s="744"/>
      <c r="N657" s="744"/>
      <c r="O657" s="744"/>
      <c r="P657" s="744"/>
    </row>
    <row r="658" spans="1:16">
      <c r="A658" s="744"/>
      <c r="C658" s="743"/>
      <c r="D658" s="744"/>
      <c r="E658" s="744"/>
      <c r="F658" s="744"/>
      <c r="G658" s="744"/>
      <c r="H658" s="744"/>
      <c r="I658" s="744"/>
      <c r="J658" s="744"/>
      <c r="K658" s="744"/>
      <c r="L658" s="744"/>
      <c r="M658" s="744"/>
      <c r="N658" s="744"/>
      <c r="O658" s="744"/>
      <c r="P658" s="744"/>
    </row>
    <row r="659" spans="1:16">
      <c r="A659" s="744"/>
      <c r="C659" s="743"/>
      <c r="D659" s="744"/>
      <c r="E659" s="744"/>
      <c r="F659" s="744"/>
      <c r="G659" s="744"/>
      <c r="H659" s="744"/>
      <c r="I659" s="744"/>
      <c r="J659" s="744"/>
      <c r="K659" s="744"/>
      <c r="L659" s="744"/>
      <c r="M659" s="744"/>
      <c r="N659" s="744"/>
      <c r="O659" s="744"/>
      <c r="P659" s="744"/>
    </row>
    <row r="660" spans="1:16">
      <c r="A660" s="744"/>
      <c r="C660" s="743"/>
      <c r="D660" s="744"/>
      <c r="E660" s="744"/>
      <c r="F660" s="744"/>
      <c r="G660" s="744"/>
      <c r="H660" s="744"/>
      <c r="I660" s="744"/>
      <c r="J660" s="744"/>
      <c r="K660" s="744"/>
      <c r="L660" s="744"/>
      <c r="M660" s="744"/>
      <c r="N660" s="744"/>
      <c r="O660" s="744"/>
      <c r="P660" s="744"/>
    </row>
    <row r="661" spans="1:16">
      <c r="A661" s="744"/>
      <c r="C661" s="743"/>
      <c r="D661" s="744"/>
      <c r="E661" s="744"/>
      <c r="F661" s="744"/>
      <c r="G661" s="744"/>
      <c r="H661" s="744"/>
      <c r="I661" s="744"/>
      <c r="J661" s="744"/>
      <c r="K661" s="744"/>
      <c r="L661" s="744"/>
      <c r="M661" s="744"/>
      <c r="N661" s="744"/>
      <c r="O661" s="744"/>
      <c r="P661" s="744"/>
    </row>
    <row r="662" spans="1:16">
      <c r="A662" s="744"/>
      <c r="C662" s="743"/>
      <c r="D662" s="744"/>
      <c r="E662" s="744"/>
      <c r="F662" s="744"/>
      <c r="G662" s="744"/>
      <c r="H662" s="744"/>
      <c r="I662" s="744"/>
      <c r="J662" s="744"/>
      <c r="K662" s="744"/>
      <c r="L662" s="744"/>
      <c r="M662" s="744"/>
      <c r="N662" s="744"/>
      <c r="O662" s="744"/>
      <c r="P662" s="744"/>
    </row>
    <row r="663" spans="1:16">
      <c r="A663" s="744"/>
      <c r="C663" s="743"/>
      <c r="D663" s="744"/>
      <c r="E663" s="744"/>
      <c r="F663" s="744"/>
      <c r="G663" s="744"/>
      <c r="H663" s="744"/>
      <c r="I663" s="744"/>
      <c r="J663" s="744"/>
      <c r="K663" s="744"/>
      <c r="L663" s="744"/>
      <c r="M663" s="744"/>
      <c r="N663" s="744"/>
      <c r="O663" s="744"/>
      <c r="P663" s="744"/>
    </row>
    <row r="664" spans="1:16">
      <c r="A664" s="744"/>
      <c r="C664" s="743"/>
      <c r="D664" s="744"/>
      <c r="E664" s="744"/>
      <c r="F664" s="744"/>
      <c r="G664" s="744"/>
      <c r="H664" s="744"/>
      <c r="I664" s="744"/>
      <c r="J664" s="744"/>
      <c r="K664" s="744"/>
      <c r="L664" s="744"/>
      <c r="M664" s="744"/>
      <c r="N664" s="744"/>
      <c r="O664" s="744"/>
      <c r="P664" s="744"/>
    </row>
    <row r="665" spans="1:16">
      <c r="A665" s="744"/>
      <c r="C665" s="743"/>
      <c r="D665" s="744"/>
      <c r="E665" s="744"/>
      <c r="F665" s="744"/>
      <c r="G665" s="744"/>
      <c r="H665" s="744"/>
      <c r="I665" s="744"/>
      <c r="J665" s="744"/>
      <c r="K665" s="744"/>
      <c r="L665" s="744"/>
      <c r="M665" s="744"/>
      <c r="N665" s="744"/>
      <c r="O665" s="744"/>
      <c r="P665" s="744"/>
    </row>
    <row r="666" spans="1:16">
      <c r="A666" s="744"/>
      <c r="C666" s="743"/>
      <c r="D666" s="744"/>
      <c r="E666" s="744"/>
      <c r="F666" s="744"/>
      <c r="G666" s="744"/>
      <c r="H666" s="744"/>
      <c r="I666" s="744"/>
      <c r="J666" s="744"/>
      <c r="K666" s="744"/>
      <c r="L666" s="744"/>
      <c r="M666" s="744"/>
      <c r="N666" s="744"/>
      <c r="O666" s="744"/>
      <c r="P666" s="744"/>
    </row>
    <row r="667" spans="1:16">
      <c r="A667" s="744"/>
      <c r="C667" s="743"/>
      <c r="D667" s="744"/>
      <c r="E667" s="744"/>
      <c r="F667" s="744"/>
      <c r="G667" s="744"/>
      <c r="H667" s="744"/>
      <c r="I667" s="744"/>
      <c r="J667" s="744"/>
      <c r="K667" s="744"/>
      <c r="L667" s="744"/>
      <c r="M667" s="744"/>
      <c r="N667" s="744"/>
      <c r="O667" s="744"/>
      <c r="P667" s="744"/>
    </row>
    <row r="668" spans="1:16">
      <c r="A668" s="744"/>
      <c r="C668" s="743"/>
      <c r="D668" s="744"/>
      <c r="E668" s="744"/>
      <c r="F668" s="744"/>
      <c r="G668" s="744"/>
      <c r="H668" s="744"/>
      <c r="I668" s="744"/>
      <c r="J668" s="744"/>
      <c r="K668" s="744"/>
      <c r="L668" s="744"/>
      <c r="M668" s="744"/>
      <c r="N668" s="744"/>
      <c r="O668" s="744"/>
      <c r="P668" s="744"/>
    </row>
    <row r="669" spans="1:16">
      <c r="A669" s="744"/>
      <c r="C669" s="743"/>
      <c r="D669" s="744"/>
      <c r="E669" s="744"/>
      <c r="F669" s="744"/>
      <c r="G669" s="744"/>
      <c r="H669" s="744"/>
      <c r="I669" s="744"/>
      <c r="J669" s="744"/>
      <c r="K669" s="744"/>
      <c r="L669" s="744"/>
      <c r="M669" s="744"/>
      <c r="N669" s="744"/>
      <c r="O669" s="744"/>
      <c r="P669" s="744"/>
    </row>
    <row r="670" spans="1:16">
      <c r="A670" s="744"/>
      <c r="C670" s="743"/>
      <c r="D670" s="744"/>
      <c r="E670" s="744"/>
      <c r="F670" s="744"/>
      <c r="G670" s="744"/>
      <c r="H670" s="744"/>
      <c r="I670" s="744"/>
      <c r="J670" s="744"/>
      <c r="K670" s="744"/>
      <c r="L670" s="744"/>
      <c r="M670" s="744"/>
      <c r="N670" s="744"/>
      <c r="O670" s="744"/>
      <c r="P670" s="744"/>
    </row>
    <row r="671" spans="1:16">
      <c r="A671" s="744"/>
      <c r="C671" s="743"/>
      <c r="D671" s="744"/>
      <c r="E671" s="744"/>
      <c r="F671" s="744"/>
      <c r="G671" s="744"/>
      <c r="H671" s="744"/>
      <c r="I671" s="744"/>
      <c r="J671" s="744"/>
      <c r="K671" s="744"/>
      <c r="L671" s="744"/>
      <c r="M671" s="744"/>
      <c r="N671" s="744"/>
      <c r="O671" s="744"/>
      <c r="P671" s="744"/>
    </row>
    <row r="672" spans="1:16">
      <c r="A672" s="744"/>
      <c r="C672" s="743"/>
      <c r="D672" s="744"/>
      <c r="E672" s="744"/>
      <c r="F672" s="744"/>
      <c r="G672" s="744"/>
      <c r="H672" s="744"/>
      <c r="I672" s="744"/>
      <c r="J672" s="744"/>
      <c r="K672" s="744"/>
      <c r="L672" s="744"/>
      <c r="M672" s="744"/>
      <c r="N672" s="744"/>
      <c r="O672" s="744"/>
      <c r="P672" s="744"/>
    </row>
    <row r="673" spans="1:16">
      <c r="A673" s="744"/>
      <c r="C673" s="743"/>
      <c r="D673" s="744"/>
      <c r="E673" s="744"/>
      <c r="F673" s="744"/>
      <c r="G673" s="744"/>
      <c r="H673" s="744"/>
      <c r="I673" s="744"/>
      <c r="J673" s="744"/>
      <c r="K673" s="744"/>
      <c r="L673" s="744"/>
      <c r="M673" s="744"/>
      <c r="N673" s="744"/>
      <c r="O673" s="744"/>
      <c r="P673" s="744"/>
    </row>
    <row r="674" spans="1:16">
      <c r="A674" s="744"/>
      <c r="C674" s="743"/>
      <c r="D674" s="744"/>
      <c r="E674" s="744"/>
      <c r="F674" s="744"/>
      <c r="G674" s="744"/>
      <c r="H674" s="744"/>
      <c r="I674" s="744"/>
      <c r="J674" s="744"/>
      <c r="K674" s="744"/>
      <c r="L674" s="744"/>
      <c r="M674" s="744"/>
      <c r="N674" s="744"/>
      <c r="O674" s="744"/>
      <c r="P674" s="744"/>
    </row>
    <row r="675" spans="1:16">
      <c r="A675" s="744"/>
      <c r="C675" s="743"/>
      <c r="D675" s="744"/>
      <c r="E675" s="744"/>
      <c r="F675" s="744"/>
      <c r="G675" s="744"/>
      <c r="H675" s="744"/>
      <c r="I675" s="744"/>
      <c r="J675" s="744"/>
      <c r="K675" s="744"/>
      <c r="L675" s="744"/>
      <c r="M675" s="744"/>
      <c r="N675" s="744"/>
      <c r="O675" s="744"/>
      <c r="P675" s="744"/>
    </row>
    <row r="676" spans="1:16">
      <c r="A676" s="744"/>
      <c r="C676" s="743"/>
      <c r="D676" s="744"/>
      <c r="E676" s="744"/>
      <c r="F676" s="744"/>
      <c r="G676" s="744"/>
      <c r="H676" s="744"/>
      <c r="I676" s="744"/>
      <c r="J676" s="744"/>
      <c r="K676" s="744"/>
      <c r="L676" s="744"/>
      <c r="M676" s="744"/>
      <c r="N676" s="744"/>
      <c r="O676" s="744"/>
      <c r="P676" s="744"/>
    </row>
    <row r="677" spans="1:16">
      <c r="A677" s="744"/>
      <c r="C677" s="743"/>
      <c r="D677" s="744"/>
      <c r="E677" s="744"/>
      <c r="F677" s="744"/>
      <c r="G677" s="744"/>
      <c r="H677" s="744"/>
      <c r="I677" s="744"/>
      <c r="J677" s="744"/>
      <c r="K677" s="744"/>
      <c r="L677" s="744"/>
      <c r="M677" s="744"/>
      <c r="N677" s="744"/>
      <c r="O677" s="744"/>
      <c r="P677" s="744"/>
    </row>
    <row r="678" spans="1:16">
      <c r="A678" s="744"/>
      <c r="C678" s="743"/>
      <c r="D678" s="744"/>
      <c r="E678" s="744"/>
      <c r="F678" s="744"/>
      <c r="G678" s="744"/>
      <c r="H678" s="744"/>
      <c r="I678" s="744"/>
      <c r="J678" s="744"/>
      <c r="K678" s="744"/>
      <c r="L678" s="744"/>
      <c r="M678" s="744"/>
      <c r="N678" s="744"/>
      <c r="O678" s="744"/>
      <c r="P678" s="744"/>
    </row>
    <row r="679" spans="1:16">
      <c r="A679" s="744"/>
      <c r="C679" s="743"/>
      <c r="D679" s="744"/>
      <c r="E679" s="744"/>
      <c r="F679" s="744"/>
      <c r="G679" s="744"/>
      <c r="H679" s="744"/>
      <c r="I679" s="744"/>
      <c r="J679" s="744"/>
      <c r="K679" s="744"/>
      <c r="L679" s="744"/>
      <c r="M679" s="744"/>
      <c r="N679" s="744"/>
      <c r="O679" s="744"/>
      <c r="P679" s="744"/>
    </row>
    <row r="680" spans="1:16">
      <c r="A680" s="744"/>
      <c r="C680" s="743"/>
      <c r="D680" s="744"/>
      <c r="E680" s="744"/>
      <c r="F680" s="744"/>
      <c r="G680" s="744"/>
      <c r="H680" s="744"/>
      <c r="I680" s="744"/>
      <c r="J680" s="744"/>
      <c r="K680" s="744"/>
      <c r="L680" s="744"/>
      <c r="M680" s="744"/>
      <c r="N680" s="744"/>
      <c r="O680" s="744"/>
      <c r="P680" s="744"/>
    </row>
    <row r="681" spans="1:16">
      <c r="A681" s="744"/>
      <c r="C681" s="743"/>
      <c r="D681" s="744"/>
      <c r="E681" s="744"/>
      <c r="F681" s="744"/>
      <c r="G681" s="744"/>
      <c r="H681" s="744"/>
      <c r="I681" s="744"/>
      <c r="J681" s="744"/>
      <c r="K681" s="744"/>
      <c r="L681" s="744"/>
      <c r="M681" s="744"/>
      <c r="N681" s="744"/>
      <c r="O681" s="744"/>
      <c r="P681" s="744"/>
    </row>
    <row r="682" spans="1:16">
      <c r="A682" s="744"/>
      <c r="C682" s="743"/>
      <c r="D682" s="744"/>
      <c r="E682" s="744"/>
      <c r="F682" s="744"/>
      <c r="G682" s="744"/>
      <c r="H682" s="744"/>
      <c r="I682" s="744"/>
      <c r="J682" s="744"/>
      <c r="K682" s="744"/>
      <c r="L682" s="744"/>
      <c r="M682" s="744"/>
      <c r="N682" s="744"/>
      <c r="O682" s="744"/>
      <c r="P682" s="744"/>
    </row>
    <row r="683" spans="1:16">
      <c r="A683" s="744"/>
      <c r="C683" s="743"/>
      <c r="D683" s="744"/>
      <c r="E683" s="744"/>
      <c r="F683" s="744"/>
      <c r="G683" s="744"/>
      <c r="H683" s="744"/>
      <c r="I683" s="744"/>
      <c r="J683" s="744"/>
      <c r="K683" s="744"/>
      <c r="L683" s="744"/>
      <c r="M683" s="744"/>
      <c r="N683" s="744"/>
      <c r="O683" s="744"/>
      <c r="P683" s="744"/>
    </row>
    <row r="684" spans="1:16">
      <c r="A684" s="744"/>
      <c r="C684" s="743"/>
      <c r="D684" s="744"/>
      <c r="E684" s="744"/>
      <c r="F684" s="744"/>
      <c r="G684" s="744"/>
      <c r="H684" s="744"/>
      <c r="I684" s="744"/>
      <c r="J684" s="744"/>
      <c r="K684" s="744"/>
      <c r="L684" s="744"/>
      <c r="M684" s="744"/>
      <c r="N684" s="744"/>
      <c r="O684" s="744"/>
      <c r="P684" s="744"/>
    </row>
    <row r="685" spans="1:16">
      <c r="A685" s="744"/>
      <c r="C685" s="743"/>
      <c r="D685" s="744"/>
      <c r="E685" s="744"/>
      <c r="F685" s="744"/>
      <c r="G685" s="744"/>
      <c r="H685" s="744"/>
      <c r="I685" s="744"/>
      <c r="J685" s="744"/>
      <c r="K685" s="744"/>
      <c r="L685" s="744"/>
      <c r="M685" s="744"/>
      <c r="N685" s="744"/>
      <c r="O685" s="744"/>
      <c r="P685" s="744"/>
    </row>
    <row r="686" spans="1:16">
      <c r="A686" s="744"/>
      <c r="C686" s="743"/>
      <c r="D686" s="744"/>
      <c r="E686" s="744"/>
      <c r="F686" s="744"/>
      <c r="G686" s="744"/>
      <c r="H686" s="744"/>
      <c r="I686" s="744"/>
      <c r="J686" s="744"/>
      <c r="K686" s="744"/>
      <c r="L686" s="744"/>
      <c r="M686" s="744"/>
      <c r="N686" s="744"/>
      <c r="O686" s="744"/>
      <c r="P686" s="744"/>
    </row>
    <row r="687" spans="1:16">
      <c r="A687" s="744"/>
      <c r="C687" s="743"/>
      <c r="D687" s="744"/>
      <c r="E687" s="744"/>
      <c r="F687" s="744"/>
      <c r="G687" s="744"/>
      <c r="H687" s="744"/>
      <c r="I687" s="744"/>
      <c r="J687" s="744"/>
      <c r="K687" s="744"/>
      <c r="L687" s="744"/>
      <c r="M687" s="744"/>
      <c r="N687" s="744"/>
      <c r="O687" s="744"/>
      <c r="P687" s="744"/>
    </row>
    <row r="688" spans="1:16">
      <c r="A688" s="744"/>
      <c r="C688" s="743"/>
      <c r="D688" s="744"/>
      <c r="E688" s="744"/>
      <c r="F688" s="744"/>
      <c r="G688" s="744"/>
      <c r="H688" s="744"/>
      <c r="I688" s="744"/>
      <c r="J688" s="744"/>
      <c r="K688" s="744"/>
      <c r="L688" s="744"/>
      <c r="M688" s="744"/>
      <c r="N688" s="744"/>
      <c r="O688" s="744"/>
      <c r="P688" s="744"/>
    </row>
    <row r="689" spans="1:16">
      <c r="A689" s="744"/>
      <c r="C689" s="743"/>
      <c r="D689" s="744"/>
      <c r="E689" s="744"/>
      <c r="F689" s="744"/>
      <c r="G689" s="744"/>
      <c r="H689" s="744"/>
      <c r="I689" s="744"/>
      <c r="J689" s="744"/>
      <c r="K689" s="744"/>
      <c r="L689" s="744"/>
      <c r="M689" s="744"/>
      <c r="N689" s="744"/>
      <c r="O689" s="744"/>
      <c r="P689" s="744"/>
    </row>
    <row r="690" spans="1:16">
      <c r="A690" s="744"/>
      <c r="C690" s="743"/>
      <c r="D690" s="744"/>
      <c r="E690" s="744"/>
      <c r="F690" s="744"/>
      <c r="G690" s="744"/>
      <c r="H690" s="744"/>
      <c r="I690" s="744"/>
      <c r="J690" s="744"/>
      <c r="K690" s="744"/>
      <c r="L690" s="744"/>
      <c r="M690" s="744"/>
      <c r="N690" s="744"/>
      <c r="O690" s="744"/>
      <c r="P690" s="744"/>
    </row>
    <row r="691" spans="1:16">
      <c r="A691" s="744"/>
      <c r="C691" s="743"/>
      <c r="D691" s="744"/>
      <c r="E691" s="744"/>
      <c r="F691" s="744"/>
      <c r="G691" s="744"/>
      <c r="H691" s="744"/>
      <c r="I691" s="744"/>
      <c r="J691" s="744"/>
      <c r="K691" s="744"/>
      <c r="L691" s="744"/>
      <c r="M691" s="744"/>
      <c r="N691" s="744"/>
      <c r="O691" s="744"/>
      <c r="P691" s="744"/>
    </row>
    <row r="692" spans="1:16">
      <c r="A692" s="744"/>
      <c r="C692" s="743"/>
      <c r="D692" s="744"/>
      <c r="E692" s="744"/>
      <c r="F692" s="744"/>
      <c r="G692" s="744"/>
      <c r="H692" s="744"/>
      <c r="I692" s="744"/>
      <c r="J692" s="744"/>
      <c r="K692" s="744"/>
      <c r="L692" s="744"/>
      <c r="M692" s="744"/>
      <c r="N692" s="744"/>
      <c r="O692" s="744"/>
      <c r="P692" s="744"/>
    </row>
    <row r="693" spans="1:16">
      <c r="A693" s="744"/>
      <c r="C693" s="743"/>
      <c r="D693" s="744"/>
      <c r="E693" s="744"/>
      <c r="F693" s="744"/>
      <c r="G693" s="744"/>
      <c r="H693" s="744"/>
      <c r="I693" s="744"/>
      <c r="J693" s="744"/>
      <c r="K693" s="744"/>
      <c r="L693" s="744"/>
      <c r="M693" s="744"/>
      <c r="N693" s="744"/>
      <c r="O693" s="744"/>
      <c r="P693" s="744"/>
    </row>
    <row r="694" spans="1:16">
      <c r="A694" s="744"/>
      <c r="C694" s="743"/>
      <c r="D694" s="744"/>
      <c r="E694" s="744"/>
      <c r="F694" s="744"/>
      <c r="G694" s="744"/>
      <c r="H694" s="744"/>
      <c r="I694" s="744"/>
      <c r="J694" s="744"/>
      <c r="K694" s="744"/>
      <c r="L694" s="744"/>
      <c r="M694" s="744"/>
      <c r="N694" s="744"/>
      <c r="O694" s="744"/>
      <c r="P694" s="744"/>
    </row>
    <row r="695" spans="1:16">
      <c r="A695" s="744"/>
      <c r="C695" s="743"/>
      <c r="D695" s="744"/>
      <c r="E695" s="744"/>
      <c r="F695" s="744"/>
      <c r="G695" s="744"/>
      <c r="H695" s="744"/>
      <c r="I695" s="744"/>
      <c r="J695" s="744"/>
      <c r="K695" s="744"/>
      <c r="L695" s="744"/>
      <c r="M695" s="744"/>
      <c r="N695" s="744"/>
      <c r="O695" s="744"/>
      <c r="P695" s="744"/>
    </row>
    <row r="696" spans="1:16">
      <c r="A696" s="744"/>
      <c r="C696" s="743"/>
      <c r="D696" s="744"/>
      <c r="E696" s="744"/>
      <c r="F696" s="744"/>
      <c r="G696" s="744"/>
      <c r="H696" s="744"/>
      <c r="I696" s="744"/>
      <c r="J696" s="744"/>
      <c r="K696" s="744"/>
      <c r="L696" s="744"/>
      <c r="M696" s="744"/>
      <c r="N696" s="744"/>
      <c r="O696" s="744"/>
      <c r="P696" s="744"/>
    </row>
    <row r="697" spans="1:16">
      <c r="A697" s="744"/>
      <c r="C697" s="743"/>
      <c r="D697" s="744"/>
      <c r="E697" s="744"/>
      <c r="F697" s="744"/>
      <c r="G697" s="744"/>
      <c r="H697" s="744"/>
      <c r="I697" s="744"/>
      <c r="J697" s="744"/>
      <c r="K697" s="744"/>
      <c r="L697" s="744"/>
      <c r="M697" s="744"/>
      <c r="N697" s="744"/>
      <c r="O697" s="744"/>
      <c r="P697" s="744"/>
    </row>
    <row r="698" spans="1:16">
      <c r="A698" s="744"/>
      <c r="C698" s="743"/>
      <c r="D698" s="744"/>
      <c r="E698" s="744"/>
      <c r="F698" s="744"/>
      <c r="G698" s="744"/>
      <c r="H698" s="744"/>
      <c r="I698" s="744"/>
      <c r="J698" s="744"/>
      <c r="K698" s="744"/>
      <c r="L698" s="744"/>
      <c r="M698" s="744"/>
      <c r="N698" s="744"/>
      <c r="O698" s="744"/>
      <c r="P698" s="744"/>
    </row>
    <row r="699" spans="1:16">
      <c r="A699" s="744"/>
      <c r="C699" s="743"/>
      <c r="D699" s="744"/>
      <c r="E699" s="744"/>
      <c r="F699" s="744"/>
      <c r="G699" s="744"/>
      <c r="H699" s="744"/>
      <c r="I699" s="744"/>
      <c r="J699" s="744"/>
      <c r="K699" s="744"/>
      <c r="L699" s="744"/>
      <c r="M699" s="744"/>
      <c r="N699" s="744"/>
      <c r="O699" s="744"/>
      <c r="P699" s="744"/>
    </row>
    <row r="700" spans="1:16">
      <c r="A700" s="744"/>
      <c r="C700" s="743"/>
      <c r="D700" s="744"/>
      <c r="E700" s="744"/>
      <c r="F700" s="744"/>
      <c r="G700" s="744"/>
      <c r="H700" s="744"/>
      <c r="I700" s="744"/>
      <c r="J700" s="744"/>
      <c r="K700" s="744"/>
      <c r="L700" s="744"/>
      <c r="M700" s="744"/>
      <c r="N700" s="744"/>
      <c r="O700" s="744"/>
      <c r="P700" s="744"/>
    </row>
    <row r="701" spans="1:16">
      <c r="A701" s="744"/>
      <c r="C701" s="743"/>
      <c r="D701" s="744"/>
      <c r="E701" s="744"/>
      <c r="F701" s="744"/>
      <c r="G701" s="744"/>
      <c r="H701" s="744"/>
      <c r="I701" s="744"/>
      <c r="J701" s="744"/>
      <c r="K701" s="744"/>
      <c r="L701" s="744"/>
      <c r="M701" s="744"/>
      <c r="N701" s="744"/>
      <c r="O701" s="744"/>
      <c r="P701" s="744"/>
    </row>
    <row r="702" spans="1:16">
      <c r="A702" s="744"/>
      <c r="C702" s="743"/>
      <c r="D702" s="744"/>
      <c r="E702" s="744"/>
      <c r="F702" s="744"/>
      <c r="G702" s="744"/>
      <c r="H702" s="744"/>
      <c r="I702" s="744"/>
      <c r="J702" s="744"/>
      <c r="K702" s="744"/>
      <c r="L702" s="744"/>
      <c r="M702" s="744"/>
      <c r="N702" s="744"/>
      <c r="O702" s="744"/>
      <c r="P702" s="744"/>
    </row>
    <row r="703" spans="1:16">
      <c r="A703" s="744"/>
      <c r="C703" s="743"/>
      <c r="D703" s="744"/>
      <c r="E703" s="744"/>
      <c r="F703" s="744"/>
      <c r="G703" s="744"/>
      <c r="H703" s="744"/>
      <c r="I703" s="744"/>
      <c r="J703" s="744"/>
      <c r="K703" s="744"/>
      <c r="L703" s="744"/>
      <c r="M703" s="744"/>
      <c r="N703" s="744"/>
      <c r="O703" s="744"/>
      <c r="P703" s="744"/>
    </row>
    <row r="704" spans="1:16">
      <c r="A704" s="744"/>
      <c r="C704" s="743"/>
      <c r="D704" s="744"/>
      <c r="E704" s="744"/>
      <c r="F704" s="744"/>
      <c r="G704" s="744"/>
      <c r="H704" s="744"/>
      <c r="I704" s="744"/>
      <c r="J704" s="744"/>
      <c r="K704" s="744"/>
      <c r="L704" s="744"/>
      <c r="M704" s="744"/>
      <c r="N704" s="744"/>
      <c r="O704" s="744"/>
      <c r="P704" s="744"/>
    </row>
    <row r="705" spans="1:16">
      <c r="A705" s="744"/>
      <c r="C705" s="743"/>
      <c r="D705" s="744"/>
      <c r="E705" s="744"/>
      <c r="F705" s="744"/>
      <c r="G705" s="744"/>
      <c r="H705" s="744"/>
      <c r="I705" s="744"/>
      <c r="J705" s="744"/>
      <c r="K705" s="744"/>
      <c r="L705" s="744"/>
      <c r="M705" s="744"/>
      <c r="N705" s="744"/>
      <c r="O705" s="744"/>
      <c r="P705" s="744"/>
    </row>
    <row r="706" spans="1:16">
      <c r="A706" s="744"/>
      <c r="C706" s="743"/>
      <c r="D706" s="744"/>
      <c r="E706" s="744"/>
      <c r="F706" s="744"/>
      <c r="G706" s="744"/>
      <c r="H706" s="744"/>
      <c r="I706" s="744"/>
      <c r="J706" s="744"/>
      <c r="K706" s="744"/>
      <c r="L706" s="744"/>
      <c r="M706" s="744"/>
      <c r="N706" s="744"/>
      <c r="O706" s="744"/>
      <c r="P706" s="744"/>
    </row>
    <row r="707" spans="1:16">
      <c r="A707" s="744"/>
      <c r="C707" s="743"/>
      <c r="D707" s="744"/>
      <c r="E707" s="744"/>
      <c r="F707" s="744"/>
      <c r="G707" s="744"/>
      <c r="H707" s="744"/>
      <c r="I707" s="744"/>
      <c r="J707" s="744"/>
      <c r="K707" s="744"/>
      <c r="L707" s="744"/>
      <c r="M707" s="744"/>
      <c r="N707" s="744"/>
      <c r="O707" s="744"/>
      <c r="P707" s="744"/>
    </row>
    <row r="708" spans="1:16">
      <c r="A708" s="744"/>
      <c r="C708" s="743"/>
      <c r="D708" s="744"/>
      <c r="E708" s="744"/>
      <c r="F708" s="744"/>
      <c r="G708" s="744"/>
      <c r="H708" s="744"/>
      <c r="I708" s="744"/>
      <c r="J708" s="744"/>
      <c r="K708" s="744"/>
      <c r="L708" s="744"/>
      <c r="M708" s="744"/>
      <c r="N708" s="744"/>
      <c r="O708" s="744"/>
      <c r="P708" s="744"/>
    </row>
    <row r="709" spans="1:16">
      <c r="A709" s="744"/>
      <c r="C709" s="743"/>
      <c r="D709" s="744"/>
      <c r="E709" s="744"/>
      <c r="F709" s="744"/>
      <c r="G709" s="744"/>
      <c r="H709" s="744"/>
      <c r="I709" s="744"/>
      <c r="J709" s="744"/>
      <c r="K709" s="744"/>
      <c r="L709" s="744"/>
      <c r="M709" s="744"/>
      <c r="N709" s="744"/>
      <c r="O709" s="744"/>
      <c r="P709" s="744"/>
    </row>
    <row r="710" spans="1:16">
      <c r="A710" s="744"/>
      <c r="C710" s="743"/>
      <c r="D710" s="744"/>
      <c r="E710" s="744"/>
      <c r="F710" s="744"/>
      <c r="G710" s="744"/>
      <c r="H710" s="744"/>
      <c r="I710" s="744"/>
      <c r="J710" s="744"/>
      <c r="K710" s="744"/>
      <c r="L710" s="744"/>
      <c r="M710" s="744"/>
      <c r="N710" s="744"/>
      <c r="O710" s="744"/>
      <c r="P710" s="744"/>
    </row>
    <row r="711" spans="1:16">
      <c r="A711" s="744"/>
      <c r="C711" s="743"/>
      <c r="D711" s="744"/>
      <c r="E711" s="744"/>
      <c r="F711" s="744"/>
      <c r="G711" s="744"/>
      <c r="H711" s="744"/>
      <c r="I711" s="744"/>
      <c r="J711" s="744"/>
      <c r="K711" s="744"/>
      <c r="L711" s="744"/>
      <c r="M711" s="744"/>
      <c r="N711" s="744"/>
      <c r="O711" s="744"/>
      <c r="P711" s="744"/>
    </row>
    <row r="712" spans="1:16">
      <c r="A712" s="744"/>
      <c r="C712" s="743"/>
      <c r="D712" s="744"/>
      <c r="E712" s="744"/>
      <c r="F712" s="744"/>
      <c r="G712" s="744"/>
      <c r="H712" s="744"/>
      <c r="I712" s="744"/>
      <c r="J712" s="744"/>
      <c r="K712" s="744"/>
      <c r="L712" s="744"/>
      <c r="M712" s="744"/>
      <c r="N712" s="744"/>
      <c r="O712" s="744"/>
      <c r="P712" s="744"/>
    </row>
    <row r="713" spans="1:16">
      <c r="A713" s="744"/>
      <c r="C713" s="743"/>
      <c r="D713" s="744"/>
      <c r="E713" s="744"/>
      <c r="F713" s="744"/>
      <c r="G713" s="744"/>
      <c r="H713" s="744"/>
      <c r="I713" s="744"/>
      <c r="J713" s="744"/>
      <c r="K713" s="744"/>
      <c r="L713" s="744"/>
      <c r="M713" s="744"/>
      <c r="N713" s="744"/>
      <c r="O713" s="744"/>
      <c r="P713" s="744"/>
    </row>
    <row r="714" spans="1:16">
      <c r="A714" s="744"/>
      <c r="C714" s="743"/>
      <c r="D714" s="744"/>
      <c r="E714" s="744"/>
      <c r="F714" s="744"/>
      <c r="G714" s="744"/>
      <c r="H714" s="744"/>
      <c r="I714" s="744"/>
      <c r="J714" s="744"/>
      <c r="K714" s="744"/>
      <c r="L714" s="744"/>
      <c r="M714" s="744"/>
      <c r="N714" s="744"/>
      <c r="O714" s="744"/>
      <c r="P714" s="744"/>
    </row>
    <row r="715" spans="1:16">
      <c r="A715" s="744"/>
      <c r="C715" s="743"/>
      <c r="D715" s="744"/>
      <c r="E715" s="744"/>
      <c r="F715" s="744"/>
      <c r="G715" s="744"/>
      <c r="H715" s="744"/>
      <c r="I715" s="744"/>
      <c r="J715" s="744"/>
      <c r="K715" s="744"/>
      <c r="L715" s="744"/>
      <c r="M715" s="744"/>
      <c r="N715" s="744"/>
      <c r="O715" s="744"/>
      <c r="P715" s="744"/>
    </row>
    <row r="716" spans="1:16">
      <c r="A716" s="744"/>
      <c r="C716" s="743"/>
      <c r="D716" s="744"/>
      <c r="E716" s="744"/>
      <c r="F716" s="744"/>
      <c r="G716" s="744"/>
      <c r="H716" s="744"/>
      <c r="I716" s="744"/>
      <c r="J716" s="744"/>
      <c r="K716" s="744"/>
      <c r="L716" s="744"/>
      <c r="M716" s="744"/>
      <c r="N716" s="744"/>
      <c r="O716" s="744"/>
      <c r="P716" s="744"/>
    </row>
    <row r="717" spans="1:16">
      <c r="A717" s="744"/>
      <c r="C717" s="743"/>
      <c r="D717" s="744"/>
      <c r="E717" s="744"/>
      <c r="F717" s="744"/>
      <c r="G717" s="744"/>
      <c r="H717" s="744"/>
      <c r="I717" s="744"/>
      <c r="J717" s="744"/>
      <c r="K717" s="744"/>
      <c r="L717" s="744"/>
      <c r="M717" s="744"/>
      <c r="N717" s="744"/>
      <c r="O717" s="744"/>
      <c r="P717" s="744"/>
    </row>
    <row r="718" spans="1:16">
      <c r="A718" s="744"/>
      <c r="C718" s="743"/>
      <c r="D718" s="744"/>
      <c r="E718" s="744"/>
      <c r="F718" s="744"/>
      <c r="G718" s="744"/>
      <c r="H718" s="744"/>
      <c r="I718" s="744"/>
      <c r="J718" s="744"/>
      <c r="K718" s="744"/>
      <c r="L718" s="744"/>
      <c r="M718" s="744"/>
      <c r="N718" s="744"/>
      <c r="O718" s="744"/>
      <c r="P718" s="744"/>
    </row>
    <row r="719" spans="1:16">
      <c r="A719" s="744"/>
      <c r="C719" s="743"/>
      <c r="D719" s="744"/>
      <c r="E719" s="744"/>
      <c r="F719" s="744"/>
      <c r="G719" s="744"/>
      <c r="H719" s="744"/>
      <c r="I719" s="744"/>
      <c r="J719" s="744"/>
      <c r="K719" s="744"/>
      <c r="L719" s="744"/>
      <c r="M719" s="744"/>
      <c r="N719" s="744"/>
      <c r="O719" s="744"/>
      <c r="P719" s="744"/>
    </row>
    <row r="720" spans="1:16">
      <c r="A720" s="744"/>
      <c r="C720" s="743"/>
      <c r="D720" s="744"/>
      <c r="E720" s="744"/>
      <c r="F720" s="744"/>
      <c r="G720" s="744"/>
      <c r="H720" s="744"/>
      <c r="I720" s="744"/>
      <c r="J720" s="744"/>
      <c r="K720" s="744"/>
      <c r="L720" s="744"/>
      <c r="M720" s="744"/>
      <c r="N720" s="744"/>
      <c r="O720" s="744"/>
      <c r="P720" s="744"/>
    </row>
    <row r="721" spans="1:16">
      <c r="A721" s="744"/>
      <c r="C721" s="743"/>
      <c r="D721" s="744"/>
      <c r="E721" s="744"/>
      <c r="F721" s="744"/>
      <c r="G721" s="744"/>
      <c r="H721" s="744"/>
      <c r="I721" s="744"/>
      <c r="J721" s="744"/>
      <c r="K721" s="744"/>
      <c r="L721" s="744"/>
      <c r="M721" s="744"/>
      <c r="N721" s="744"/>
      <c r="O721" s="744"/>
      <c r="P721" s="744"/>
    </row>
    <row r="722" spans="1:16">
      <c r="A722" s="744"/>
      <c r="C722" s="743"/>
      <c r="D722" s="744"/>
      <c r="E722" s="744"/>
      <c r="F722" s="744"/>
      <c r="G722" s="744"/>
      <c r="H722" s="744"/>
      <c r="I722" s="744"/>
      <c r="J722" s="744"/>
      <c r="K722" s="744"/>
      <c r="L722" s="744"/>
      <c r="M722" s="744"/>
      <c r="N722" s="744"/>
      <c r="O722" s="744"/>
      <c r="P722" s="744"/>
    </row>
    <row r="723" spans="1:16">
      <c r="A723" s="744"/>
      <c r="C723" s="743"/>
      <c r="D723" s="744"/>
      <c r="E723" s="744"/>
      <c r="F723" s="744"/>
      <c r="G723" s="744"/>
      <c r="H723" s="744"/>
      <c r="I723" s="744"/>
      <c r="J723" s="744"/>
      <c r="K723" s="744"/>
      <c r="L723" s="744"/>
      <c r="M723" s="744"/>
      <c r="N723" s="744"/>
      <c r="O723" s="744"/>
      <c r="P723" s="744"/>
    </row>
    <row r="724" spans="1:16">
      <c r="A724" s="744"/>
      <c r="C724" s="743"/>
      <c r="D724" s="744"/>
      <c r="E724" s="744"/>
      <c r="F724" s="744"/>
      <c r="G724" s="744"/>
      <c r="H724" s="744"/>
      <c r="I724" s="744"/>
      <c r="J724" s="744"/>
      <c r="K724" s="744"/>
      <c r="L724" s="744"/>
      <c r="M724" s="744"/>
      <c r="N724" s="744"/>
      <c r="O724" s="744"/>
      <c r="P724" s="744"/>
    </row>
    <row r="725" spans="1:16">
      <c r="A725" s="744"/>
      <c r="C725" s="743"/>
      <c r="D725" s="744"/>
      <c r="E725" s="744"/>
      <c r="F725" s="744"/>
      <c r="G725" s="744"/>
      <c r="H725" s="744"/>
      <c r="I725" s="744"/>
      <c r="J725" s="744"/>
      <c r="K725" s="744"/>
      <c r="L725" s="744"/>
      <c r="M725" s="744"/>
      <c r="N725" s="744"/>
      <c r="O725" s="744"/>
      <c r="P725" s="744"/>
    </row>
    <row r="726" spans="1:16">
      <c r="A726" s="744"/>
      <c r="C726" s="743"/>
      <c r="D726" s="744"/>
      <c r="E726" s="744"/>
      <c r="F726" s="744"/>
      <c r="G726" s="744"/>
      <c r="H726" s="744"/>
      <c r="I726" s="744"/>
      <c r="J726" s="744"/>
      <c r="K726" s="744"/>
      <c r="L726" s="744"/>
      <c r="M726" s="744"/>
      <c r="N726" s="744"/>
      <c r="O726" s="744"/>
      <c r="P726" s="744"/>
    </row>
    <row r="727" spans="1:16">
      <c r="A727" s="744"/>
      <c r="C727" s="743"/>
      <c r="D727" s="744"/>
      <c r="E727" s="744"/>
      <c r="F727" s="744"/>
      <c r="G727" s="744"/>
      <c r="H727" s="744"/>
      <c r="I727" s="744"/>
      <c r="J727" s="744"/>
      <c r="K727" s="744"/>
      <c r="L727" s="744"/>
      <c r="M727" s="744"/>
      <c r="N727" s="744"/>
      <c r="O727" s="744"/>
      <c r="P727" s="744"/>
    </row>
    <row r="728" spans="1:16">
      <c r="A728" s="744"/>
      <c r="C728" s="743"/>
      <c r="D728" s="744"/>
      <c r="E728" s="744"/>
      <c r="F728" s="744"/>
      <c r="G728" s="744"/>
      <c r="H728" s="744"/>
      <c r="I728" s="744"/>
      <c r="J728" s="744"/>
      <c r="K728" s="744"/>
      <c r="L728" s="744"/>
      <c r="M728" s="744"/>
      <c r="N728" s="744"/>
      <c r="O728" s="744"/>
      <c r="P728" s="744"/>
    </row>
    <row r="729" spans="1:16">
      <c r="A729" s="744"/>
      <c r="C729" s="743"/>
      <c r="D729" s="744"/>
      <c r="E729" s="744"/>
      <c r="F729" s="744"/>
      <c r="G729" s="744"/>
      <c r="H729" s="744"/>
      <c r="I729" s="744"/>
      <c r="J729" s="744"/>
      <c r="K729" s="744"/>
      <c r="L729" s="744"/>
      <c r="M729" s="744"/>
      <c r="N729" s="744"/>
      <c r="O729" s="744"/>
      <c r="P729" s="744"/>
    </row>
    <row r="730" spans="1:16">
      <c r="A730" s="744"/>
      <c r="C730" s="743"/>
      <c r="D730" s="744"/>
      <c r="E730" s="744"/>
      <c r="F730" s="744"/>
      <c r="G730" s="744"/>
      <c r="H730" s="744"/>
      <c r="I730" s="744"/>
      <c r="J730" s="744"/>
      <c r="K730" s="744"/>
      <c r="L730" s="744"/>
      <c r="M730" s="744"/>
      <c r="N730" s="744"/>
      <c r="O730" s="744"/>
      <c r="P730" s="744"/>
    </row>
    <row r="731" spans="1:16">
      <c r="A731" s="744"/>
      <c r="C731" s="743"/>
      <c r="D731" s="744"/>
      <c r="E731" s="744"/>
      <c r="F731" s="744"/>
      <c r="G731" s="744"/>
      <c r="H731" s="744"/>
      <c r="I731" s="744"/>
      <c r="J731" s="744"/>
      <c r="K731" s="744"/>
      <c r="L731" s="744"/>
      <c r="M731" s="744"/>
      <c r="N731" s="744"/>
      <c r="O731" s="744"/>
      <c r="P731" s="744"/>
    </row>
    <row r="732" spans="1:16">
      <c r="A732" s="744"/>
      <c r="C732" s="743"/>
      <c r="D732" s="744"/>
      <c r="E732" s="744"/>
      <c r="F732" s="744"/>
      <c r="G732" s="744"/>
      <c r="H732" s="744"/>
      <c r="I732" s="744"/>
      <c r="J732" s="744"/>
      <c r="K732" s="744"/>
      <c r="L732" s="744"/>
      <c r="M732" s="744"/>
      <c r="N732" s="744"/>
      <c r="O732" s="744"/>
      <c r="P732" s="744"/>
    </row>
    <row r="733" spans="1:16">
      <c r="A733" s="744"/>
      <c r="C733" s="743"/>
      <c r="D733" s="744"/>
      <c r="E733" s="744"/>
      <c r="F733" s="744"/>
      <c r="G733" s="744"/>
      <c r="H733" s="744"/>
      <c r="I733" s="744"/>
      <c r="J733" s="744"/>
      <c r="K733" s="744"/>
      <c r="L733" s="744"/>
      <c r="M733" s="744"/>
      <c r="N733" s="744"/>
      <c r="O733" s="744"/>
      <c r="P733" s="744"/>
    </row>
    <row r="734" spans="1:16">
      <c r="A734" s="744"/>
      <c r="C734" s="743"/>
      <c r="D734" s="744"/>
      <c r="E734" s="744"/>
      <c r="F734" s="744"/>
      <c r="G734" s="744"/>
      <c r="H734" s="744"/>
      <c r="I734" s="744"/>
      <c r="J734" s="744"/>
      <c r="K734" s="744"/>
      <c r="L734" s="744"/>
      <c r="M734" s="744"/>
      <c r="N734" s="744"/>
      <c r="O734" s="744"/>
      <c r="P734" s="744"/>
    </row>
    <row r="735" spans="1:16">
      <c r="A735" s="744"/>
      <c r="C735" s="743"/>
      <c r="D735" s="744"/>
      <c r="E735" s="744"/>
      <c r="F735" s="744"/>
      <c r="G735" s="744"/>
      <c r="H735" s="744"/>
      <c r="I735" s="744"/>
      <c r="J735" s="744"/>
      <c r="K735" s="744"/>
      <c r="L735" s="744"/>
      <c r="M735" s="744"/>
      <c r="N735" s="744"/>
      <c r="O735" s="744"/>
      <c r="P735" s="744"/>
    </row>
    <row r="736" spans="1:16">
      <c r="A736" s="744"/>
      <c r="C736" s="743"/>
      <c r="D736" s="744"/>
      <c r="E736" s="744"/>
      <c r="F736" s="744"/>
      <c r="G736" s="744"/>
      <c r="H736" s="744"/>
      <c r="I736" s="744"/>
      <c r="J736" s="744"/>
      <c r="K736" s="744"/>
      <c r="L736" s="744"/>
      <c r="M736" s="744"/>
      <c r="N736" s="744"/>
      <c r="O736" s="744"/>
      <c r="P736" s="744"/>
    </row>
    <row r="737" spans="1:16">
      <c r="A737" s="744"/>
      <c r="C737" s="743"/>
      <c r="D737" s="744"/>
      <c r="E737" s="744"/>
      <c r="F737" s="744"/>
      <c r="G737" s="744"/>
      <c r="H737" s="744"/>
      <c r="I737" s="744"/>
      <c r="J737" s="744"/>
      <c r="K737" s="744"/>
      <c r="L737" s="744"/>
      <c r="M737" s="744"/>
      <c r="N737" s="744"/>
      <c r="O737" s="744"/>
      <c r="P737" s="744"/>
    </row>
    <row r="738" spans="1:16">
      <c r="A738" s="744"/>
      <c r="C738" s="743"/>
      <c r="D738" s="744"/>
      <c r="E738" s="744"/>
      <c r="F738" s="744"/>
      <c r="G738" s="744"/>
      <c r="H738" s="744"/>
      <c r="I738" s="744"/>
      <c r="J738" s="744"/>
      <c r="K738" s="744"/>
      <c r="L738" s="744"/>
      <c r="M738" s="744"/>
      <c r="N738" s="744"/>
      <c r="O738" s="744"/>
      <c r="P738" s="744"/>
    </row>
    <row r="739" spans="1:16">
      <c r="A739" s="744"/>
      <c r="C739" s="743"/>
      <c r="D739" s="744"/>
      <c r="E739" s="744"/>
      <c r="F739" s="744"/>
      <c r="G739" s="744"/>
      <c r="H739" s="744"/>
      <c r="I739" s="744"/>
      <c r="J739" s="744"/>
      <c r="K739" s="744"/>
      <c r="L739" s="744"/>
      <c r="M739" s="744"/>
      <c r="N739" s="744"/>
      <c r="O739" s="744"/>
      <c r="P739" s="744"/>
    </row>
    <row r="740" spans="1:16">
      <c r="A740" s="744"/>
      <c r="C740" s="743"/>
      <c r="D740" s="744"/>
      <c r="E740" s="744"/>
      <c r="F740" s="744"/>
      <c r="G740" s="744"/>
      <c r="H740" s="744"/>
      <c r="I740" s="744"/>
      <c r="J740" s="744"/>
      <c r="K740" s="744"/>
      <c r="L740" s="744"/>
      <c r="M740" s="744"/>
      <c r="N740" s="744"/>
      <c r="O740" s="744"/>
      <c r="P740" s="744"/>
    </row>
    <row r="741" spans="1:16">
      <c r="A741" s="744"/>
      <c r="C741" s="743"/>
      <c r="D741" s="744"/>
      <c r="E741" s="744"/>
      <c r="F741" s="744"/>
      <c r="G741" s="744"/>
      <c r="H741" s="744"/>
      <c r="I741" s="744"/>
      <c r="J741" s="744"/>
      <c r="K741" s="744"/>
      <c r="L741" s="744"/>
      <c r="M741" s="744"/>
      <c r="N741" s="744"/>
      <c r="O741" s="744"/>
      <c r="P741" s="744"/>
    </row>
    <row r="742" spans="1:16">
      <c r="A742" s="744"/>
      <c r="C742" s="743"/>
      <c r="D742" s="744"/>
      <c r="E742" s="744"/>
      <c r="F742" s="744"/>
      <c r="G742" s="744"/>
      <c r="H742" s="744"/>
      <c r="I742" s="744"/>
      <c r="J742" s="744"/>
      <c r="K742" s="744"/>
      <c r="L742" s="744"/>
      <c r="M742" s="744"/>
      <c r="N742" s="744"/>
      <c r="O742" s="744"/>
      <c r="P742" s="744"/>
    </row>
    <row r="743" spans="1:16">
      <c r="A743" s="744"/>
      <c r="C743" s="743"/>
      <c r="D743" s="744"/>
      <c r="E743" s="744"/>
      <c r="F743" s="744"/>
      <c r="G743" s="744"/>
      <c r="H743" s="744"/>
      <c r="I743" s="744"/>
      <c r="J743" s="744"/>
      <c r="K743" s="744"/>
      <c r="L743" s="744"/>
      <c r="M743" s="744"/>
      <c r="N743" s="744"/>
      <c r="O743" s="744"/>
      <c r="P743" s="744"/>
    </row>
    <row r="744" spans="1:16">
      <c r="A744" s="744"/>
      <c r="C744" s="743"/>
      <c r="D744" s="744"/>
      <c r="E744" s="744"/>
      <c r="F744" s="744"/>
      <c r="G744" s="744"/>
      <c r="H744" s="744"/>
      <c r="I744" s="744"/>
      <c r="J744" s="744"/>
      <c r="K744" s="744"/>
      <c r="L744" s="744"/>
      <c r="M744" s="744"/>
      <c r="N744" s="744"/>
      <c r="O744" s="744"/>
      <c r="P744" s="744"/>
    </row>
    <row r="745" spans="1:16">
      <c r="A745" s="744"/>
      <c r="C745" s="743"/>
      <c r="D745" s="744"/>
      <c r="E745" s="744"/>
      <c r="F745" s="744"/>
      <c r="G745" s="744"/>
      <c r="H745" s="744"/>
      <c r="I745" s="744"/>
      <c r="J745" s="744"/>
      <c r="K745" s="744"/>
      <c r="L745" s="744"/>
      <c r="M745" s="744"/>
      <c r="N745" s="744"/>
      <c r="O745" s="744"/>
      <c r="P745" s="744"/>
    </row>
    <row r="746" spans="1:16">
      <c r="A746" s="744"/>
      <c r="C746" s="743"/>
      <c r="D746" s="744"/>
      <c r="E746" s="744"/>
      <c r="F746" s="744"/>
      <c r="G746" s="744"/>
      <c r="H746" s="744"/>
      <c r="I746" s="744"/>
      <c r="J746" s="744"/>
      <c r="K746" s="744"/>
      <c r="L746" s="744"/>
      <c r="M746" s="744"/>
      <c r="N746" s="744"/>
      <c r="O746" s="744"/>
      <c r="P746" s="744"/>
    </row>
    <row r="747" spans="1:16">
      <c r="A747" s="744"/>
      <c r="C747" s="743"/>
      <c r="D747" s="744"/>
      <c r="E747" s="744"/>
      <c r="F747" s="744"/>
      <c r="G747" s="744"/>
      <c r="H747" s="744"/>
      <c r="I747" s="744"/>
      <c r="J747" s="744"/>
      <c r="K747" s="744"/>
      <c r="L747" s="744"/>
      <c r="M747" s="744"/>
      <c r="N747" s="744"/>
      <c r="O747" s="744"/>
      <c r="P747" s="744"/>
    </row>
    <row r="748" spans="1:16">
      <c r="A748" s="744"/>
      <c r="C748" s="743"/>
      <c r="D748" s="744"/>
      <c r="E748" s="744"/>
      <c r="F748" s="744"/>
      <c r="G748" s="744"/>
      <c r="H748" s="744"/>
      <c r="I748" s="744"/>
      <c r="J748" s="744"/>
      <c r="K748" s="744"/>
      <c r="L748" s="744"/>
      <c r="M748" s="744"/>
      <c r="N748" s="744"/>
      <c r="O748" s="744"/>
      <c r="P748" s="744"/>
    </row>
    <row r="749" spans="1:16">
      <c r="A749" s="744"/>
      <c r="C749" s="743"/>
      <c r="D749" s="744"/>
      <c r="E749" s="744"/>
      <c r="F749" s="744"/>
      <c r="G749" s="744"/>
      <c r="H749" s="744"/>
      <c r="I749" s="744"/>
      <c r="J749" s="744"/>
      <c r="K749" s="744"/>
      <c r="L749" s="744"/>
      <c r="M749" s="744"/>
      <c r="N749" s="744"/>
      <c r="O749" s="744"/>
      <c r="P749" s="744"/>
    </row>
    <row r="750" spans="1:16">
      <c r="A750" s="744"/>
      <c r="C750" s="743"/>
      <c r="D750" s="744"/>
      <c r="E750" s="744"/>
      <c r="F750" s="744"/>
      <c r="G750" s="744"/>
      <c r="H750" s="744"/>
      <c r="I750" s="744"/>
      <c r="J750" s="744"/>
      <c r="K750" s="744"/>
      <c r="L750" s="744"/>
      <c r="M750" s="744"/>
      <c r="N750" s="744"/>
      <c r="O750" s="744"/>
      <c r="P750" s="744"/>
    </row>
    <row r="751" spans="1:16">
      <c r="A751" s="744"/>
      <c r="C751" s="743"/>
      <c r="D751" s="744"/>
      <c r="E751" s="744"/>
      <c r="F751" s="744"/>
      <c r="G751" s="744"/>
      <c r="H751" s="744"/>
      <c r="I751" s="744"/>
      <c r="J751" s="744"/>
      <c r="K751" s="744"/>
      <c r="L751" s="744"/>
      <c r="M751" s="744"/>
      <c r="N751" s="744"/>
      <c r="O751" s="744"/>
      <c r="P751" s="744"/>
    </row>
    <row r="752" spans="1:16">
      <c r="A752" s="744"/>
      <c r="C752" s="743"/>
      <c r="D752" s="744"/>
      <c r="E752" s="744"/>
      <c r="F752" s="744"/>
      <c r="G752" s="744"/>
      <c r="H752" s="744"/>
      <c r="I752" s="744"/>
      <c r="J752" s="744"/>
      <c r="K752" s="744"/>
      <c r="L752" s="744"/>
      <c r="M752" s="744"/>
      <c r="N752" s="744"/>
      <c r="O752" s="744"/>
      <c r="P752" s="744"/>
    </row>
    <row r="753" spans="1:16">
      <c r="A753" s="744"/>
      <c r="C753" s="743"/>
      <c r="D753" s="744"/>
      <c r="E753" s="744"/>
      <c r="F753" s="744"/>
      <c r="G753" s="744"/>
      <c r="H753" s="744"/>
      <c r="I753" s="744"/>
      <c r="J753" s="744"/>
      <c r="K753" s="744"/>
      <c r="L753" s="744"/>
      <c r="M753" s="744"/>
      <c r="N753" s="744"/>
      <c r="O753" s="744"/>
      <c r="P753" s="744"/>
    </row>
    <row r="754" spans="1:16">
      <c r="A754" s="744"/>
      <c r="C754" s="743"/>
      <c r="D754" s="744"/>
      <c r="E754" s="744"/>
      <c r="F754" s="744"/>
      <c r="G754" s="744"/>
      <c r="H754" s="744"/>
      <c r="I754" s="744"/>
      <c r="J754" s="744"/>
      <c r="K754" s="744"/>
      <c r="L754" s="744"/>
      <c r="M754" s="744"/>
      <c r="N754" s="744"/>
      <c r="O754" s="744"/>
      <c r="P754" s="744"/>
    </row>
    <row r="755" spans="1:16">
      <c r="A755" s="744"/>
      <c r="C755" s="743"/>
      <c r="D755" s="744"/>
      <c r="E755" s="744"/>
      <c r="F755" s="744"/>
      <c r="G755" s="744"/>
      <c r="H755" s="744"/>
      <c r="I755" s="744"/>
      <c r="J755" s="744"/>
      <c r="K755" s="744"/>
      <c r="L755" s="744"/>
      <c r="M755" s="744"/>
      <c r="N755" s="744"/>
      <c r="O755" s="744"/>
      <c r="P755" s="744"/>
    </row>
    <row r="756" spans="1:16">
      <c r="A756" s="744"/>
      <c r="C756" s="743"/>
      <c r="D756" s="744"/>
      <c r="E756" s="744"/>
      <c r="F756" s="744"/>
      <c r="G756" s="744"/>
      <c r="H756" s="744"/>
      <c r="I756" s="744"/>
      <c r="J756" s="744"/>
      <c r="K756" s="744"/>
      <c r="L756" s="744"/>
      <c r="M756" s="744"/>
      <c r="N756" s="744"/>
      <c r="O756" s="744"/>
      <c r="P756" s="744"/>
    </row>
    <row r="757" spans="1:16">
      <c r="A757" s="744"/>
      <c r="C757" s="743"/>
      <c r="D757" s="744"/>
      <c r="E757" s="744"/>
      <c r="F757" s="744"/>
      <c r="G757" s="744"/>
      <c r="H757" s="744"/>
      <c r="I757" s="744"/>
      <c r="J757" s="744"/>
      <c r="K757" s="744"/>
      <c r="L757" s="744"/>
      <c r="M757" s="744"/>
      <c r="N757" s="744"/>
      <c r="O757" s="744"/>
      <c r="P757" s="744"/>
    </row>
    <row r="758" spans="1:16">
      <c r="A758" s="744"/>
      <c r="C758" s="743"/>
      <c r="D758" s="744"/>
      <c r="E758" s="744"/>
      <c r="F758" s="744"/>
      <c r="G758" s="744"/>
      <c r="H758" s="744"/>
      <c r="I758" s="744"/>
      <c r="J758" s="744"/>
      <c r="K758" s="744"/>
      <c r="L758" s="744"/>
      <c r="M758" s="744"/>
      <c r="N758" s="744"/>
      <c r="O758" s="744"/>
      <c r="P758" s="744"/>
    </row>
    <row r="759" spans="1:16">
      <c r="A759" s="744"/>
      <c r="C759" s="743"/>
      <c r="D759" s="744"/>
      <c r="E759" s="744"/>
      <c r="F759" s="744"/>
      <c r="G759" s="744"/>
      <c r="H759" s="744"/>
      <c r="I759" s="744"/>
      <c r="J759" s="744"/>
      <c r="K759" s="744"/>
      <c r="L759" s="744"/>
      <c r="M759" s="744"/>
      <c r="N759" s="744"/>
      <c r="O759" s="744"/>
      <c r="P759" s="744"/>
    </row>
    <row r="760" spans="1:16">
      <c r="A760" s="744"/>
      <c r="C760" s="743"/>
      <c r="D760" s="744"/>
      <c r="E760" s="744"/>
      <c r="F760" s="744"/>
      <c r="G760" s="744"/>
      <c r="H760" s="744"/>
      <c r="I760" s="744"/>
      <c r="J760" s="744"/>
      <c r="K760" s="744"/>
      <c r="L760" s="744"/>
      <c r="M760" s="744"/>
      <c r="N760" s="744"/>
      <c r="O760" s="744"/>
      <c r="P760" s="744"/>
    </row>
    <row r="761" spans="1:16">
      <c r="A761" s="744"/>
      <c r="C761" s="743"/>
      <c r="D761" s="744"/>
      <c r="E761" s="744"/>
      <c r="F761" s="744"/>
      <c r="G761" s="744"/>
      <c r="H761" s="744"/>
      <c r="I761" s="744"/>
      <c r="J761" s="744"/>
      <c r="K761" s="744"/>
      <c r="L761" s="744"/>
      <c r="M761" s="744"/>
      <c r="N761" s="744"/>
      <c r="O761" s="744"/>
      <c r="P761" s="744"/>
    </row>
    <row r="762" spans="1:16">
      <c r="A762" s="744"/>
      <c r="C762" s="743"/>
      <c r="D762" s="744"/>
      <c r="E762" s="744"/>
      <c r="F762" s="744"/>
      <c r="G762" s="744"/>
      <c r="H762" s="744"/>
      <c r="I762" s="744"/>
      <c r="J762" s="744"/>
      <c r="K762" s="744"/>
      <c r="L762" s="744"/>
      <c r="M762" s="744"/>
      <c r="N762" s="744"/>
      <c r="O762" s="744"/>
      <c r="P762" s="744"/>
    </row>
    <row r="763" spans="1:16">
      <c r="A763" s="744"/>
      <c r="C763" s="743"/>
      <c r="D763" s="744"/>
      <c r="E763" s="744"/>
      <c r="F763" s="744"/>
      <c r="G763" s="744"/>
      <c r="H763" s="744"/>
      <c r="I763" s="744"/>
      <c r="J763" s="744"/>
      <c r="K763" s="744"/>
      <c r="L763" s="744"/>
      <c r="M763" s="744"/>
      <c r="N763" s="744"/>
      <c r="O763" s="744"/>
      <c r="P763" s="744"/>
    </row>
    <row r="764" spans="1:16">
      <c r="A764" s="744"/>
      <c r="C764" s="743"/>
      <c r="D764" s="744"/>
      <c r="E764" s="744"/>
      <c r="F764" s="744"/>
      <c r="G764" s="744"/>
      <c r="H764" s="744"/>
      <c r="I764" s="744"/>
      <c r="J764" s="744"/>
      <c r="K764" s="744"/>
      <c r="L764" s="744"/>
      <c r="M764" s="744"/>
      <c r="N764" s="744"/>
      <c r="O764" s="744"/>
      <c r="P764" s="744"/>
    </row>
    <row r="765" spans="1:16">
      <c r="A765" s="744"/>
      <c r="C765" s="743"/>
      <c r="D765" s="744"/>
      <c r="E765" s="744"/>
      <c r="F765" s="744"/>
      <c r="G765" s="744"/>
      <c r="H765" s="744"/>
      <c r="I765" s="744"/>
      <c r="J765" s="744"/>
      <c r="K765" s="744"/>
      <c r="L765" s="744"/>
      <c r="M765" s="744"/>
      <c r="N765" s="744"/>
      <c r="O765" s="744"/>
      <c r="P765" s="744"/>
    </row>
    <row r="766" spans="1:16">
      <c r="A766" s="744"/>
      <c r="C766" s="743"/>
      <c r="D766" s="744"/>
      <c r="E766" s="744"/>
      <c r="F766" s="744"/>
      <c r="G766" s="744"/>
      <c r="H766" s="744"/>
      <c r="I766" s="744"/>
      <c r="J766" s="744"/>
      <c r="K766" s="744"/>
      <c r="L766" s="744"/>
      <c r="M766" s="744"/>
      <c r="N766" s="744"/>
      <c r="O766" s="744"/>
      <c r="P766" s="744"/>
    </row>
    <row r="767" spans="1:16">
      <c r="A767" s="744"/>
      <c r="C767" s="743"/>
      <c r="D767" s="744"/>
      <c r="E767" s="744"/>
      <c r="F767" s="744"/>
      <c r="G767" s="744"/>
      <c r="H767" s="744"/>
      <c r="I767" s="744"/>
      <c r="J767" s="744"/>
      <c r="K767" s="744"/>
      <c r="L767" s="744"/>
      <c r="M767" s="744"/>
      <c r="N767" s="744"/>
      <c r="O767" s="744"/>
      <c r="P767" s="744"/>
    </row>
    <row r="768" spans="1:16">
      <c r="A768" s="744"/>
      <c r="C768" s="743"/>
      <c r="D768" s="744"/>
      <c r="E768" s="744"/>
      <c r="F768" s="744"/>
      <c r="G768" s="744"/>
      <c r="H768" s="744"/>
      <c r="I768" s="744"/>
      <c r="J768" s="744"/>
      <c r="K768" s="744"/>
      <c r="L768" s="744"/>
      <c r="M768" s="744"/>
      <c r="N768" s="744"/>
      <c r="O768" s="744"/>
      <c r="P768" s="744"/>
    </row>
    <row r="769" spans="1:16">
      <c r="A769" s="744"/>
      <c r="C769" s="743"/>
      <c r="D769" s="744"/>
      <c r="E769" s="744"/>
      <c r="F769" s="744"/>
      <c r="G769" s="744"/>
      <c r="H769" s="744"/>
      <c r="I769" s="744"/>
      <c r="J769" s="744"/>
      <c r="K769" s="744"/>
      <c r="L769" s="744"/>
      <c r="M769" s="744"/>
      <c r="N769" s="744"/>
      <c r="O769" s="744"/>
      <c r="P769" s="744"/>
    </row>
    <row r="770" spans="1:16">
      <c r="A770" s="744"/>
      <c r="C770" s="743"/>
      <c r="D770" s="744"/>
      <c r="E770" s="744"/>
      <c r="F770" s="744"/>
      <c r="G770" s="744"/>
      <c r="H770" s="744"/>
      <c r="I770" s="744"/>
      <c r="J770" s="744"/>
      <c r="K770" s="744"/>
      <c r="L770" s="744"/>
      <c r="M770" s="744"/>
      <c r="N770" s="744"/>
      <c r="O770" s="744"/>
      <c r="P770" s="744"/>
    </row>
    <row r="771" spans="1:16">
      <c r="A771" s="744"/>
      <c r="C771" s="743"/>
      <c r="D771" s="744"/>
      <c r="E771" s="744"/>
      <c r="F771" s="744"/>
      <c r="G771" s="744"/>
      <c r="H771" s="744"/>
      <c r="I771" s="744"/>
      <c r="J771" s="744"/>
      <c r="K771" s="744"/>
      <c r="L771" s="744"/>
      <c r="M771" s="744"/>
      <c r="N771" s="744"/>
      <c r="O771" s="744"/>
      <c r="P771" s="744"/>
    </row>
    <row r="772" spans="1:16">
      <c r="A772" s="744"/>
      <c r="C772" s="743"/>
      <c r="D772" s="744"/>
      <c r="E772" s="744"/>
      <c r="F772" s="744"/>
      <c r="G772" s="744"/>
      <c r="H772" s="744"/>
      <c r="I772" s="744"/>
      <c r="J772" s="744"/>
      <c r="K772" s="744"/>
      <c r="L772" s="744"/>
      <c r="M772" s="744"/>
      <c r="N772" s="744"/>
      <c r="O772" s="744"/>
      <c r="P772" s="744"/>
    </row>
    <row r="773" spans="1:16">
      <c r="A773" s="744"/>
      <c r="C773" s="743"/>
      <c r="D773" s="744"/>
      <c r="E773" s="744"/>
      <c r="F773" s="744"/>
      <c r="G773" s="744"/>
      <c r="H773" s="744"/>
      <c r="I773" s="744"/>
      <c r="J773" s="744"/>
      <c r="K773" s="744"/>
      <c r="L773" s="744"/>
      <c r="M773" s="744"/>
      <c r="N773" s="744"/>
      <c r="O773" s="744"/>
      <c r="P773" s="744"/>
    </row>
    <row r="774" spans="1:16">
      <c r="A774" s="744"/>
      <c r="C774" s="743"/>
      <c r="D774" s="744"/>
      <c r="E774" s="744"/>
      <c r="F774" s="744"/>
      <c r="G774" s="744"/>
      <c r="H774" s="744"/>
      <c r="I774" s="744"/>
      <c r="J774" s="744"/>
      <c r="K774" s="744"/>
      <c r="L774" s="744"/>
      <c r="M774" s="744"/>
      <c r="N774" s="744"/>
      <c r="O774" s="744"/>
      <c r="P774" s="744"/>
    </row>
    <row r="775" spans="1:16">
      <c r="A775" s="744"/>
      <c r="C775" s="743"/>
      <c r="D775" s="744"/>
      <c r="E775" s="744"/>
      <c r="F775" s="744"/>
      <c r="G775" s="744"/>
      <c r="H775" s="744"/>
      <c r="I775" s="744"/>
      <c r="J775" s="744"/>
      <c r="K775" s="744"/>
      <c r="L775" s="744"/>
      <c r="M775" s="744"/>
      <c r="N775" s="744"/>
      <c r="O775" s="744"/>
      <c r="P775" s="744"/>
    </row>
    <row r="776" spans="1:16">
      <c r="A776" s="744"/>
      <c r="C776" s="743"/>
      <c r="D776" s="744"/>
      <c r="E776" s="744"/>
      <c r="F776" s="744"/>
      <c r="G776" s="744"/>
      <c r="H776" s="744"/>
      <c r="I776" s="744"/>
      <c r="J776" s="744"/>
      <c r="K776" s="744"/>
      <c r="L776" s="744"/>
      <c r="M776" s="744"/>
      <c r="N776" s="744"/>
      <c r="O776" s="744"/>
      <c r="P776" s="744"/>
    </row>
    <row r="777" spans="1:16">
      <c r="A777" s="744"/>
      <c r="C777" s="743"/>
      <c r="D777" s="744"/>
      <c r="E777" s="744"/>
      <c r="F777" s="744"/>
      <c r="G777" s="744"/>
      <c r="H777" s="744"/>
      <c r="I777" s="744"/>
      <c r="J777" s="744"/>
      <c r="K777" s="744"/>
      <c r="L777" s="744"/>
      <c r="M777" s="744"/>
      <c r="N777" s="744"/>
      <c r="O777" s="744"/>
      <c r="P777" s="744"/>
    </row>
    <row r="778" spans="1:16">
      <c r="A778" s="744"/>
      <c r="C778" s="743"/>
      <c r="D778" s="744"/>
      <c r="E778" s="744"/>
      <c r="F778" s="744"/>
      <c r="G778" s="744"/>
      <c r="H778" s="744"/>
      <c r="I778" s="744"/>
      <c r="J778" s="744"/>
      <c r="K778" s="744"/>
      <c r="L778" s="744"/>
      <c r="M778" s="744"/>
      <c r="N778" s="744"/>
      <c r="O778" s="744"/>
      <c r="P778" s="744"/>
    </row>
    <row r="779" spans="1:16">
      <c r="A779" s="744"/>
      <c r="C779" s="743"/>
      <c r="D779" s="744"/>
      <c r="E779" s="744"/>
      <c r="F779" s="744"/>
      <c r="G779" s="744"/>
      <c r="H779" s="744"/>
      <c r="I779" s="744"/>
      <c r="J779" s="744"/>
      <c r="K779" s="744"/>
      <c r="L779" s="744"/>
      <c r="M779" s="744"/>
      <c r="N779" s="744"/>
      <c r="O779" s="744"/>
      <c r="P779" s="744"/>
    </row>
    <row r="780" spans="1:16">
      <c r="A780" s="744"/>
      <c r="C780" s="743"/>
      <c r="D780" s="744"/>
      <c r="E780" s="744"/>
      <c r="F780" s="744"/>
      <c r="G780" s="744"/>
      <c r="H780" s="744"/>
      <c r="I780" s="744"/>
      <c r="J780" s="744"/>
      <c r="K780" s="744"/>
      <c r="L780" s="744"/>
      <c r="M780" s="744"/>
      <c r="N780" s="744"/>
      <c r="O780" s="744"/>
      <c r="P780" s="744"/>
    </row>
    <row r="781" spans="1:16">
      <c r="A781" s="744"/>
      <c r="C781" s="743"/>
      <c r="D781" s="744"/>
      <c r="E781" s="744"/>
      <c r="F781" s="744"/>
      <c r="G781" s="744"/>
      <c r="H781" s="744"/>
      <c r="I781" s="744"/>
      <c r="J781" s="744"/>
      <c r="K781" s="744"/>
      <c r="L781" s="744"/>
      <c r="M781" s="744"/>
      <c r="N781" s="744"/>
      <c r="O781" s="744"/>
      <c r="P781" s="744"/>
    </row>
    <row r="782" spans="1:16">
      <c r="A782" s="744"/>
      <c r="C782" s="743"/>
      <c r="D782" s="744"/>
      <c r="E782" s="744"/>
      <c r="F782" s="744"/>
      <c r="G782" s="744"/>
      <c r="H782" s="744"/>
      <c r="I782" s="744"/>
      <c r="J782" s="744"/>
      <c r="K782" s="744"/>
      <c r="L782" s="744"/>
      <c r="M782" s="744"/>
      <c r="N782" s="744"/>
      <c r="O782" s="744"/>
      <c r="P782" s="744"/>
    </row>
    <row r="783" spans="1:16">
      <c r="A783" s="744"/>
      <c r="C783" s="743"/>
      <c r="D783" s="744"/>
      <c r="E783" s="744"/>
      <c r="F783" s="744"/>
      <c r="G783" s="744"/>
      <c r="H783" s="744"/>
      <c r="I783" s="744"/>
      <c r="J783" s="744"/>
      <c r="K783" s="744"/>
      <c r="L783" s="744"/>
      <c r="M783" s="744"/>
      <c r="N783" s="744"/>
      <c r="O783" s="744"/>
      <c r="P783" s="744"/>
    </row>
    <row r="784" spans="1:16">
      <c r="A784" s="744"/>
      <c r="C784" s="743"/>
      <c r="D784" s="744"/>
      <c r="E784" s="744"/>
      <c r="F784" s="744"/>
      <c r="G784" s="744"/>
      <c r="H784" s="744"/>
      <c r="I784" s="744"/>
      <c r="J784" s="744"/>
      <c r="K784" s="744"/>
      <c r="L784" s="744"/>
      <c r="M784" s="744"/>
      <c r="N784" s="744"/>
      <c r="O784" s="744"/>
      <c r="P784" s="744"/>
    </row>
    <row r="785" spans="1:16">
      <c r="A785" s="744"/>
      <c r="C785" s="743"/>
      <c r="D785" s="744"/>
      <c r="E785" s="744"/>
      <c r="F785" s="744"/>
      <c r="G785" s="744"/>
      <c r="H785" s="744"/>
      <c r="I785" s="744"/>
      <c r="J785" s="744"/>
      <c r="K785" s="744"/>
      <c r="L785" s="744"/>
      <c r="M785" s="744"/>
      <c r="N785" s="744"/>
      <c r="O785" s="744"/>
      <c r="P785" s="744"/>
    </row>
    <row r="786" spans="1:16">
      <c r="A786" s="744"/>
      <c r="C786" s="743"/>
      <c r="D786" s="744"/>
      <c r="E786" s="744"/>
      <c r="F786" s="744"/>
      <c r="G786" s="744"/>
      <c r="H786" s="744"/>
      <c r="I786" s="744"/>
      <c r="J786" s="744"/>
      <c r="K786" s="744"/>
      <c r="L786" s="744"/>
      <c r="M786" s="744"/>
      <c r="N786" s="744"/>
      <c r="O786" s="744"/>
      <c r="P786" s="744"/>
    </row>
    <row r="787" spans="1:16">
      <c r="A787" s="744"/>
      <c r="C787" s="743"/>
      <c r="D787" s="744"/>
      <c r="E787" s="744"/>
      <c r="F787" s="744"/>
      <c r="G787" s="744"/>
      <c r="H787" s="744"/>
      <c r="I787" s="744"/>
      <c r="J787" s="744"/>
      <c r="K787" s="744"/>
      <c r="L787" s="744"/>
      <c r="M787" s="744"/>
      <c r="N787" s="744"/>
      <c r="O787" s="744"/>
      <c r="P787" s="744"/>
    </row>
    <row r="788" spans="1:16">
      <c r="A788" s="744"/>
      <c r="C788" s="743"/>
      <c r="D788" s="744"/>
      <c r="E788" s="744"/>
      <c r="F788" s="744"/>
      <c r="G788" s="744"/>
      <c r="H788" s="744"/>
      <c r="I788" s="744"/>
      <c r="J788" s="744"/>
      <c r="K788" s="744"/>
      <c r="L788" s="744"/>
      <c r="M788" s="744"/>
      <c r="N788" s="744"/>
      <c r="O788" s="744"/>
      <c r="P788" s="744"/>
    </row>
    <row r="789" spans="1:16">
      <c r="A789" s="744"/>
      <c r="C789" s="743"/>
      <c r="D789" s="744"/>
      <c r="E789" s="744"/>
      <c r="F789" s="744"/>
      <c r="G789" s="744"/>
      <c r="H789" s="744"/>
      <c r="I789" s="744"/>
      <c r="J789" s="744"/>
      <c r="K789" s="744"/>
      <c r="L789" s="744"/>
      <c r="M789" s="744"/>
      <c r="N789" s="744"/>
      <c r="O789" s="744"/>
      <c r="P789" s="744"/>
    </row>
    <row r="790" spans="1:16">
      <c r="A790" s="744"/>
      <c r="C790" s="743"/>
      <c r="D790" s="744"/>
      <c r="E790" s="744"/>
      <c r="F790" s="744"/>
      <c r="G790" s="744"/>
      <c r="H790" s="744"/>
      <c r="I790" s="744"/>
      <c r="J790" s="744"/>
      <c r="K790" s="744"/>
      <c r="L790" s="744"/>
      <c r="M790" s="744"/>
      <c r="N790" s="744"/>
      <c r="O790" s="744"/>
      <c r="P790" s="744"/>
    </row>
    <row r="791" spans="1:16">
      <c r="A791" s="744"/>
      <c r="C791" s="743"/>
      <c r="D791" s="744"/>
      <c r="E791" s="744"/>
      <c r="F791" s="744"/>
      <c r="G791" s="744"/>
      <c r="H791" s="744"/>
      <c r="I791" s="744"/>
      <c r="J791" s="744"/>
      <c r="K791" s="744"/>
      <c r="L791" s="744"/>
      <c r="M791" s="744"/>
      <c r="N791" s="744"/>
      <c r="O791" s="744"/>
      <c r="P791" s="744"/>
    </row>
    <row r="792" spans="1:16">
      <c r="A792" s="744"/>
      <c r="C792" s="743"/>
      <c r="D792" s="744"/>
      <c r="E792" s="744"/>
      <c r="F792" s="744"/>
      <c r="G792" s="744"/>
      <c r="H792" s="744"/>
      <c r="I792" s="744"/>
      <c r="J792" s="744"/>
      <c r="K792" s="744"/>
      <c r="L792" s="744"/>
      <c r="M792" s="744"/>
      <c r="N792" s="744"/>
      <c r="O792" s="744"/>
      <c r="P792" s="744"/>
    </row>
    <row r="793" spans="1:16">
      <c r="A793" s="744"/>
      <c r="C793" s="743"/>
      <c r="D793" s="744"/>
      <c r="E793" s="744"/>
      <c r="F793" s="744"/>
      <c r="G793" s="744"/>
      <c r="H793" s="744"/>
      <c r="I793" s="744"/>
      <c r="J793" s="744"/>
      <c r="K793" s="744"/>
      <c r="L793" s="744"/>
      <c r="M793" s="744"/>
      <c r="N793" s="744"/>
      <c r="O793" s="744"/>
      <c r="P793" s="744"/>
    </row>
    <row r="794" spans="1:16">
      <c r="A794" s="744"/>
      <c r="C794" s="743"/>
      <c r="D794" s="744"/>
      <c r="E794" s="744"/>
      <c r="F794" s="744"/>
      <c r="G794" s="744"/>
      <c r="H794" s="744"/>
      <c r="I794" s="744"/>
      <c r="J794" s="744"/>
      <c r="K794" s="744"/>
      <c r="L794" s="744"/>
      <c r="M794" s="744"/>
      <c r="N794" s="744"/>
      <c r="O794" s="744"/>
      <c r="P794" s="744"/>
    </row>
    <row r="795" spans="1:16">
      <c r="A795" s="744"/>
      <c r="C795" s="743"/>
      <c r="D795" s="744"/>
      <c r="E795" s="744"/>
      <c r="F795" s="744"/>
      <c r="G795" s="744"/>
      <c r="H795" s="744"/>
      <c r="I795" s="744"/>
      <c r="J795" s="744"/>
      <c r="K795" s="744"/>
      <c r="L795" s="744"/>
      <c r="M795" s="744"/>
      <c r="N795" s="744"/>
      <c r="O795" s="744"/>
      <c r="P795" s="744"/>
    </row>
    <row r="796" spans="1:16">
      <c r="A796" s="744"/>
      <c r="C796" s="743"/>
      <c r="D796" s="744"/>
      <c r="E796" s="744"/>
      <c r="F796" s="744"/>
      <c r="G796" s="744"/>
      <c r="H796" s="744"/>
      <c r="I796" s="744"/>
      <c r="J796" s="744"/>
      <c r="K796" s="744"/>
      <c r="L796" s="744"/>
      <c r="M796" s="744"/>
      <c r="N796" s="744"/>
      <c r="O796" s="744"/>
      <c r="P796" s="744"/>
    </row>
    <row r="797" spans="1:16">
      <c r="A797" s="744"/>
      <c r="C797" s="743"/>
      <c r="D797" s="744"/>
      <c r="E797" s="744"/>
      <c r="F797" s="744"/>
      <c r="G797" s="744"/>
      <c r="H797" s="744"/>
      <c r="I797" s="744"/>
      <c r="J797" s="744"/>
      <c r="K797" s="744"/>
      <c r="L797" s="744"/>
      <c r="M797" s="744"/>
      <c r="N797" s="744"/>
      <c r="O797" s="744"/>
      <c r="P797" s="744"/>
    </row>
    <row r="798" spans="1:16">
      <c r="A798" s="744"/>
      <c r="C798" s="743"/>
      <c r="D798" s="744"/>
      <c r="E798" s="744"/>
      <c r="F798" s="744"/>
      <c r="G798" s="744"/>
      <c r="H798" s="744"/>
      <c r="I798" s="744"/>
      <c r="J798" s="744"/>
      <c r="K798" s="744"/>
      <c r="L798" s="744"/>
      <c r="M798" s="744"/>
      <c r="N798" s="744"/>
      <c r="O798" s="744"/>
      <c r="P798" s="744"/>
    </row>
    <row r="799" spans="1:16">
      <c r="A799" s="744"/>
      <c r="C799" s="743"/>
      <c r="D799" s="744"/>
      <c r="E799" s="744"/>
      <c r="F799" s="744"/>
      <c r="G799" s="744"/>
      <c r="H799" s="744"/>
      <c r="I799" s="744"/>
      <c r="J799" s="744"/>
      <c r="K799" s="744"/>
      <c r="L799" s="744"/>
      <c r="M799" s="744"/>
      <c r="N799" s="744"/>
      <c r="O799" s="744"/>
      <c r="P799" s="744"/>
    </row>
    <row r="800" spans="1:16">
      <c r="A800" s="744"/>
      <c r="C800" s="743"/>
      <c r="D800" s="744"/>
      <c r="E800" s="744"/>
      <c r="F800" s="744"/>
      <c r="G800" s="744"/>
      <c r="H800" s="744"/>
      <c r="I800" s="744"/>
      <c r="J800" s="744"/>
      <c r="K800" s="744"/>
      <c r="L800" s="744"/>
      <c r="M800" s="744"/>
      <c r="N800" s="744"/>
      <c r="O800" s="744"/>
      <c r="P800" s="744"/>
    </row>
    <row r="801" spans="1:16">
      <c r="A801" s="744"/>
      <c r="C801" s="743"/>
      <c r="D801" s="744"/>
      <c r="E801" s="744"/>
      <c r="F801" s="744"/>
      <c r="G801" s="744"/>
      <c r="H801" s="744"/>
      <c r="I801" s="744"/>
      <c r="J801" s="744"/>
      <c r="K801" s="744"/>
      <c r="L801" s="744"/>
      <c r="M801" s="744"/>
      <c r="N801" s="744"/>
      <c r="O801" s="744"/>
      <c r="P801" s="744"/>
    </row>
    <row r="802" spans="1:16">
      <c r="A802" s="744"/>
      <c r="C802" s="743"/>
      <c r="D802" s="744"/>
      <c r="E802" s="744"/>
      <c r="F802" s="744"/>
      <c r="G802" s="744"/>
      <c r="H802" s="744"/>
      <c r="I802" s="744"/>
      <c r="J802" s="744"/>
      <c r="K802" s="744"/>
      <c r="L802" s="744"/>
      <c r="M802" s="744"/>
      <c r="N802" s="744"/>
      <c r="O802" s="744"/>
      <c r="P802" s="744"/>
    </row>
    <row r="803" spans="1:16">
      <c r="A803" s="744"/>
      <c r="C803" s="743"/>
      <c r="D803" s="744"/>
      <c r="E803" s="744"/>
      <c r="F803" s="744"/>
      <c r="G803" s="744"/>
      <c r="H803" s="744"/>
      <c r="I803" s="744"/>
      <c r="J803" s="744"/>
      <c r="K803" s="744"/>
      <c r="L803" s="744"/>
      <c r="M803" s="744"/>
      <c r="N803" s="744"/>
      <c r="O803" s="744"/>
      <c r="P803" s="744"/>
    </row>
    <row r="804" spans="1:16">
      <c r="A804" s="744"/>
      <c r="C804" s="743"/>
      <c r="D804" s="744"/>
      <c r="E804" s="744"/>
      <c r="F804" s="744"/>
      <c r="G804" s="744"/>
      <c r="H804" s="744"/>
      <c r="I804" s="744"/>
      <c r="J804" s="744"/>
      <c r="K804" s="744"/>
      <c r="L804" s="744"/>
      <c r="M804" s="744"/>
      <c r="N804" s="744"/>
      <c r="O804" s="744"/>
      <c r="P804" s="744"/>
    </row>
    <row r="805" spans="1:16">
      <c r="A805" s="744"/>
      <c r="C805" s="743"/>
      <c r="D805" s="744"/>
      <c r="E805" s="744"/>
      <c r="F805" s="744"/>
      <c r="G805" s="744"/>
      <c r="H805" s="744"/>
      <c r="I805" s="744"/>
      <c r="J805" s="744"/>
      <c r="K805" s="744"/>
      <c r="L805" s="744"/>
      <c r="M805" s="744"/>
      <c r="N805" s="744"/>
      <c r="O805" s="744"/>
      <c r="P805" s="744"/>
    </row>
    <row r="806" spans="1:16">
      <c r="A806" s="744"/>
      <c r="C806" s="743"/>
      <c r="D806" s="744"/>
      <c r="E806" s="744"/>
      <c r="F806" s="744"/>
      <c r="G806" s="744"/>
      <c r="H806" s="744"/>
      <c r="I806" s="744"/>
      <c r="J806" s="744"/>
      <c r="K806" s="744"/>
      <c r="L806" s="744"/>
      <c r="M806" s="744"/>
      <c r="N806" s="744"/>
      <c r="O806" s="744"/>
      <c r="P806" s="744"/>
    </row>
    <row r="807" spans="1:16">
      <c r="A807" s="744"/>
      <c r="C807" s="743"/>
      <c r="D807" s="744"/>
      <c r="E807" s="744"/>
      <c r="F807" s="744"/>
      <c r="G807" s="744"/>
      <c r="H807" s="744"/>
      <c r="I807" s="744"/>
      <c r="J807" s="744"/>
      <c r="K807" s="744"/>
      <c r="L807" s="744"/>
      <c r="M807" s="744"/>
      <c r="N807" s="744"/>
      <c r="O807" s="744"/>
      <c r="P807" s="744"/>
    </row>
    <row r="808" spans="1:16">
      <c r="A808" s="744"/>
      <c r="C808" s="743"/>
      <c r="D808" s="744"/>
      <c r="E808" s="744"/>
      <c r="F808" s="744"/>
      <c r="G808" s="744"/>
      <c r="H808" s="744"/>
      <c r="I808" s="744"/>
      <c r="J808" s="744"/>
      <c r="K808" s="744"/>
      <c r="L808" s="744"/>
      <c r="M808" s="744"/>
      <c r="N808" s="744"/>
      <c r="O808" s="744"/>
      <c r="P808" s="744"/>
    </row>
    <row r="809" spans="1:16">
      <c r="A809" s="744"/>
      <c r="C809" s="743"/>
      <c r="D809" s="744"/>
      <c r="E809" s="744"/>
      <c r="F809" s="744"/>
      <c r="G809" s="744"/>
      <c r="H809" s="744"/>
      <c r="I809" s="744"/>
      <c r="J809" s="744"/>
      <c r="K809" s="744"/>
      <c r="L809" s="744"/>
      <c r="M809" s="744"/>
      <c r="N809" s="744"/>
      <c r="O809" s="744"/>
      <c r="P809" s="744"/>
    </row>
    <row r="810" spans="1:16">
      <c r="A810" s="744"/>
      <c r="C810" s="743"/>
      <c r="D810" s="744"/>
      <c r="E810" s="744"/>
      <c r="F810" s="744"/>
      <c r="G810" s="744"/>
      <c r="H810" s="744"/>
      <c r="I810" s="744"/>
      <c r="J810" s="744"/>
      <c r="K810" s="744"/>
      <c r="L810" s="744"/>
      <c r="M810" s="744"/>
      <c r="N810" s="744"/>
      <c r="O810" s="744"/>
      <c r="P810" s="744"/>
    </row>
    <row r="811" spans="1:16">
      <c r="A811" s="744"/>
      <c r="C811" s="743"/>
      <c r="D811" s="744"/>
      <c r="E811" s="744"/>
      <c r="F811" s="744"/>
      <c r="G811" s="744"/>
      <c r="H811" s="744"/>
      <c r="I811" s="744"/>
      <c r="J811" s="744"/>
      <c r="K811" s="744"/>
      <c r="L811" s="744"/>
      <c r="M811" s="744"/>
      <c r="N811" s="744"/>
      <c r="O811" s="744"/>
      <c r="P811" s="744"/>
    </row>
    <row r="812" spans="1:16">
      <c r="A812" s="744"/>
      <c r="C812" s="743"/>
      <c r="D812" s="744"/>
      <c r="E812" s="744"/>
      <c r="F812" s="744"/>
      <c r="G812" s="744"/>
      <c r="H812" s="744"/>
      <c r="I812" s="744"/>
      <c r="J812" s="744"/>
      <c r="K812" s="744"/>
      <c r="L812" s="744"/>
      <c r="M812" s="744"/>
      <c r="N812" s="744"/>
      <c r="O812" s="744"/>
      <c r="P812" s="744"/>
    </row>
    <row r="813" spans="1:16">
      <c r="A813" s="744"/>
      <c r="C813" s="743"/>
      <c r="D813" s="744"/>
      <c r="E813" s="744"/>
      <c r="F813" s="744"/>
      <c r="G813" s="744"/>
      <c r="H813" s="744"/>
      <c r="I813" s="744"/>
      <c r="J813" s="744"/>
      <c r="K813" s="744"/>
      <c r="L813" s="744"/>
      <c r="M813" s="744"/>
      <c r="N813" s="744"/>
      <c r="O813" s="744"/>
      <c r="P813" s="744"/>
    </row>
    <row r="814" spans="1:16">
      <c r="A814" s="744"/>
      <c r="C814" s="743"/>
      <c r="D814" s="744"/>
      <c r="E814" s="744"/>
      <c r="F814" s="744"/>
      <c r="G814" s="744"/>
      <c r="H814" s="744"/>
      <c r="I814" s="744"/>
      <c r="J814" s="744"/>
      <c r="K814" s="744"/>
      <c r="L814" s="744"/>
      <c r="M814" s="744"/>
      <c r="N814" s="744"/>
      <c r="O814" s="744"/>
      <c r="P814" s="744"/>
    </row>
    <row r="815" spans="1:16">
      <c r="A815" s="744"/>
      <c r="C815" s="743"/>
      <c r="D815" s="744"/>
      <c r="E815" s="744"/>
      <c r="F815" s="744"/>
      <c r="G815" s="744"/>
      <c r="H815" s="744"/>
      <c r="I815" s="744"/>
      <c r="J815" s="744"/>
      <c r="K815" s="744"/>
      <c r="L815" s="744"/>
      <c r="M815" s="744"/>
      <c r="N815" s="744"/>
      <c r="O815" s="744"/>
      <c r="P815" s="744"/>
    </row>
    <row r="816" spans="1:16">
      <c r="A816" s="744"/>
      <c r="C816" s="743"/>
      <c r="D816" s="744"/>
      <c r="E816" s="744"/>
      <c r="F816" s="744"/>
      <c r="G816" s="744"/>
      <c r="H816" s="744"/>
      <c r="I816" s="744"/>
      <c r="J816" s="744"/>
      <c r="K816" s="744"/>
      <c r="L816" s="744"/>
      <c r="M816" s="744"/>
      <c r="N816" s="744"/>
      <c r="O816" s="744"/>
      <c r="P816" s="744"/>
    </row>
    <row r="817" spans="1:16">
      <c r="A817" s="744"/>
      <c r="C817" s="743"/>
      <c r="D817" s="744"/>
      <c r="E817" s="744"/>
      <c r="F817" s="744"/>
      <c r="G817" s="744"/>
      <c r="H817" s="744"/>
      <c r="I817" s="744"/>
      <c r="J817" s="744"/>
      <c r="K817" s="744"/>
      <c r="L817" s="744"/>
      <c r="M817" s="744"/>
      <c r="N817" s="744"/>
      <c r="O817" s="744"/>
      <c r="P817" s="744"/>
    </row>
    <row r="818" spans="1:16">
      <c r="A818" s="744"/>
      <c r="C818" s="743"/>
      <c r="D818" s="744"/>
      <c r="E818" s="744"/>
      <c r="F818" s="744"/>
      <c r="G818" s="744"/>
      <c r="H818" s="744"/>
      <c r="I818" s="744"/>
      <c r="J818" s="744"/>
      <c r="K818" s="744"/>
      <c r="L818" s="744"/>
      <c r="M818" s="744"/>
      <c r="N818" s="744"/>
      <c r="O818" s="744"/>
      <c r="P818" s="744"/>
    </row>
    <row r="819" spans="1:16">
      <c r="A819" s="744"/>
      <c r="C819" s="743"/>
      <c r="D819" s="744"/>
      <c r="E819" s="744"/>
      <c r="F819" s="744"/>
      <c r="G819" s="744"/>
      <c r="H819" s="744"/>
      <c r="I819" s="744"/>
      <c r="J819" s="744"/>
      <c r="K819" s="744"/>
      <c r="L819" s="744"/>
      <c r="M819" s="744"/>
      <c r="N819" s="744"/>
      <c r="O819" s="744"/>
      <c r="P819" s="744"/>
    </row>
    <row r="820" spans="1:16">
      <c r="A820" s="744"/>
      <c r="C820" s="743"/>
      <c r="D820" s="744"/>
      <c r="E820" s="744"/>
      <c r="F820" s="744"/>
      <c r="G820" s="744"/>
      <c r="H820" s="744"/>
      <c r="I820" s="744"/>
      <c r="J820" s="744"/>
      <c r="K820" s="744"/>
      <c r="L820" s="744"/>
      <c r="M820" s="744"/>
      <c r="N820" s="744"/>
      <c r="O820" s="744"/>
      <c r="P820" s="744"/>
    </row>
    <row r="821" spans="1:16">
      <c r="A821" s="744"/>
      <c r="C821" s="743"/>
      <c r="D821" s="744"/>
      <c r="E821" s="744"/>
      <c r="F821" s="744"/>
      <c r="G821" s="744"/>
      <c r="H821" s="744"/>
      <c r="I821" s="744"/>
      <c r="J821" s="744"/>
      <c r="K821" s="744"/>
      <c r="L821" s="744"/>
      <c r="M821" s="744"/>
      <c r="N821" s="744"/>
      <c r="O821" s="744"/>
      <c r="P821" s="744"/>
    </row>
    <row r="822" spans="1:16">
      <c r="A822" s="744"/>
      <c r="C822" s="743"/>
      <c r="D822" s="744"/>
      <c r="E822" s="744"/>
      <c r="F822" s="744"/>
      <c r="G822" s="744"/>
      <c r="H822" s="744"/>
      <c r="I822" s="744"/>
      <c r="J822" s="744"/>
      <c r="K822" s="744"/>
      <c r="L822" s="744"/>
      <c r="M822" s="744"/>
      <c r="N822" s="744"/>
      <c r="O822" s="744"/>
      <c r="P822" s="744"/>
    </row>
    <row r="823" spans="1:16">
      <c r="A823" s="744"/>
      <c r="C823" s="743"/>
      <c r="D823" s="744"/>
      <c r="E823" s="744"/>
      <c r="F823" s="744"/>
      <c r="G823" s="744"/>
      <c r="H823" s="744"/>
      <c r="I823" s="744"/>
      <c r="J823" s="744"/>
      <c r="K823" s="744"/>
      <c r="L823" s="744"/>
      <c r="M823" s="744"/>
      <c r="N823" s="744"/>
      <c r="O823" s="744"/>
      <c r="P823" s="744"/>
    </row>
    <row r="824" spans="1:16">
      <c r="A824" s="744"/>
      <c r="C824" s="743"/>
      <c r="D824" s="744"/>
      <c r="E824" s="744"/>
      <c r="F824" s="744"/>
      <c r="G824" s="744"/>
      <c r="H824" s="744"/>
      <c r="I824" s="744"/>
      <c r="J824" s="744"/>
      <c r="K824" s="744"/>
      <c r="L824" s="744"/>
      <c r="M824" s="744"/>
      <c r="N824" s="744"/>
      <c r="O824" s="744"/>
      <c r="P824" s="744"/>
    </row>
    <row r="825" spans="1:16">
      <c r="A825" s="744"/>
      <c r="C825" s="743"/>
      <c r="D825" s="744"/>
      <c r="E825" s="744"/>
      <c r="F825" s="744"/>
      <c r="G825" s="744"/>
      <c r="H825" s="744"/>
      <c r="I825" s="744"/>
      <c r="J825" s="744"/>
      <c r="K825" s="744"/>
      <c r="L825" s="744"/>
      <c r="M825" s="744"/>
      <c r="N825" s="744"/>
      <c r="O825" s="744"/>
      <c r="P825" s="744"/>
    </row>
    <row r="826" spans="1:16">
      <c r="A826" s="744"/>
      <c r="C826" s="743"/>
      <c r="D826" s="744"/>
      <c r="E826" s="744"/>
      <c r="F826" s="744"/>
      <c r="G826" s="744"/>
      <c r="H826" s="744"/>
      <c r="I826" s="744"/>
      <c r="J826" s="744"/>
      <c r="K826" s="744"/>
      <c r="L826" s="744"/>
      <c r="M826" s="744"/>
      <c r="N826" s="744"/>
      <c r="O826" s="744"/>
      <c r="P826" s="744"/>
    </row>
    <row r="827" spans="1:16">
      <c r="A827" s="744"/>
      <c r="C827" s="743"/>
      <c r="D827" s="744"/>
      <c r="E827" s="744"/>
      <c r="F827" s="744"/>
      <c r="G827" s="744"/>
      <c r="H827" s="744"/>
      <c r="I827" s="744"/>
      <c r="J827" s="744"/>
      <c r="K827" s="744"/>
      <c r="L827" s="744"/>
      <c r="M827" s="744"/>
      <c r="N827" s="744"/>
      <c r="O827" s="744"/>
      <c r="P827" s="744"/>
    </row>
    <row r="828" spans="1:16">
      <c r="A828" s="744"/>
      <c r="C828" s="743"/>
      <c r="D828" s="744"/>
      <c r="E828" s="744"/>
      <c r="F828" s="744"/>
      <c r="G828" s="744"/>
      <c r="H828" s="744"/>
      <c r="I828" s="744"/>
      <c r="J828" s="744"/>
      <c r="K828" s="744"/>
      <c r="L828" s="744"/>
      <c r="M828" s="744"/>
      <c r="N828" s="744"/>
      <c r="O828" s="744"/>
      <c r="P828" s="744"/>
    </row>
    <row r="829" spans="1:16">
      <c r="A829" s="744"/>
      <c r="C829" s="743"/>
      <c r="D829" s="744"/>
      <c r="E829" s="744"/>
      <c r="F829" s="744"/>
      <c r="G829" s="744"/>
      <c r="H829" s="744"/>
      <c r="I829" s="744"/>
      <c r="J829" s="744"/>
      <c r="K829" s="744"/>
      <c r="L829" s="744"/>
      <c r="M829" s="744"/>
      <c r="N829" s="744"/>
      <c r="O829" s="744"/>
      <c r="P829" s="744"/>
    </row>
    <row r="830" spans="1:16">
      <c r="A830" s="744"/>
      <c r="C830" s="743"/>
      <c r="D830" s="744"/>
      <c r="E830" s="744"/>
      <c r="F830" s="744"/>
      <c r="G830" s="744"/>
      <c r="H830" s="744"/>
      <c r="I830" s="744"/>
      <c r="J830" s="744"/>
      <c r="K830" s="744"/>
      <c r="L830" s="744"/>
      <c r="M830" s="744"/>
      <c r="N830" s="744"/>
      <c r="O830" s="744"/>
      <c r="P830" s="744"/>
    </row>
    <row r="831" spans="1:16">
      <c r="A831" s="744"/>
      <c r="C831" s="743"/>
      <c r="D831" s="744"/>
      <c r="E831" s="744"/>
      <c r="F831" s="744"/>
      <c r="G831" s="744"/>
      <c r="H831" s="744"/>
      <c r="I831" s="744"/>
      <c r="J831" s="744"/>
      <c r="K831" s="744"/>
      <c r="L831" s="744"/>
      <c r="M831" s="744"/>
      <c r="N831" s="744"/>
      <c r="O831" s="744"/>
      <c r="P831" s="744"/>
    </row>
    <row r="832" spans="1:16">
      <c r="A832" s="744"/>
      <c r="C832" s="743"/>
      <c r="D832" s="744"/>
      <c r="E832" s="744"/>
      <c r="F832" s="744"/>
      <c r="G832" s="744"/>
      <c r="H832" s="744"/>
      <c r="I832" s="744"/>
      <c r="J832" s="744"/>
      <c r="K832" s="744"/>
      <c r="L832" s="744"/>
      <c r="M832" s="744"/>
      <c r="N832" s="744"/>
      <c r="O832" s="744"/>
      <c r="P832" s="744"/>
    </row>
    <row r="833" spans="1:16">
      <c r="A833" s="744"/>
      <c r="C833" s="743"/>
      <c r="D833" s="744"/>
      <c r="E833" s="744"/>
      <c r="F833" s="744"/>
      <c r="G833" s="744"/>
      <c r="H833" s="744"/>
      <c r="I833" s="744"/>
      <c r="J833" s="744"/>
      <c r="K833" s="744"/>
      <c r="L833" s="744"/>
      <c r="M833" s="744"/>
      <c r="N833" s="744"/>
      <c r="O833" s="744"/>
      <c r="P833" s="744"/>
    </row>
    <row r="834" spans="1:16">
      <c r="A834" s="744"/>
      <c r="C834" s="743"/>
      <c r="D834" s="744"/>
      <c r="E834" s="744"/>
      <c r="F834" s="744"/>
      <c r="G834" s="744"/>
      <c r="H834" s="744"/>
      <c r="I834" s="744"/>
      <c r="J834" s="744"/>
      <c r="K834" s="744"/>
      <c r="L834" s="744"/>
      <c r="M834" s="744"/>
      <c r="N834" s="744"/>
      <c r="O834" s="744"/>
      <c r="P834" s="744"/>
    </row>
    <row r="835" spans="1:16">
      <c r="A835" s="744"/>
      <c r="C835" s="743"/>
      <c r="D835" s="744"/>
      <c r="E835" s="744"/>
      <c r="F835" s="744"/>
      <c r="G835" s="744"/>
      <c r="H835" s="744"/>
      <c r="I835" s="744"/>
      <c r="J835" s="744"/>
      <c r="K835" s="744"/>
      <c r="L835" s="744"/>
      <c r="M835" s="744"/>
      <c r="N835" s="744"/>
      <c r="O835" s="744"/>
      <c r="P835" s="744"/>
    </row>
    <row r="836" spans="1:16">
      <c r="A836" s="744"/>
      <c r="C836" s="743"/>
      <c r="D836" s="744"/>
      <c r="E836" s="744"/>
      <c r="F836" s="744"/>
      <c r="G836" s="744"/>
      <c r="H836" s="744"/>
      <c r="I836" s="744"/>
      <c r="J836" s="744"/>
      <c r="K836" s="744"/>
      <c r="L836" s="744"/>
      <c r="M836" s="744"/>
      <c r="N836" s="744"/>
      <c r="O836" s="744"/>
      <c r="P836" s="744"/>
    </row>
    <row r="837" spans="1:16">
      <c r="A837" s="744"/>
      <c r="C837" s="743"/>
      <c r="D837" s="744"/>
      <c r="E837" s="744"/>
      <c r="F837" s="744"/>
      <c r="G837" s="744"/>
      <c r="H837" s="744"/>
      <c r="I837" s="744"/>
      <c r="J837" s="744"/>
      <c r="K837" s="744"/>
      <c r="L837" s="744"/>
      <c r="M837" s="744"/>
      <c r="N837" s="744"/>
      <c r="O837" s="744"/>
      <c r="P837" s="744"/>
    </row>
    <row r="838" spans="1:16">
      <c r="A838" s="744"/>
      <c r="C838" s="743"/>
      <c r="D838" s="744"/>
      <c r="E838" s="744"/>
      <c r="F838" s="744"/>
      <c r="G838" s="744"/>
      <c r="H838" s="744"/>
      <c r="I838" s="744"/>
      <c r="J838" s="744"/>
      <c r="K838" s="744"/>
      <c r="L838" s="744"/>
      <c r="M838" s="744"/>
      <c r="N838" s="744"/>
      <c r="O838" s="744"/>
      <c r="P838" s="744"/>
    </row>
    <row r="839" spans="1:16">
      <c r="A839" s="744"/>
      <c r="C839" s="743"/>
      <c r="D839" s="744"/>
      <c r="E839" s="744"/>
      <c r="F839" s="744"/>
      <c r="G839" s="744"/>
      <c r="H839" s="744"/>
      <c r="I839" s="744"/>
      <c r="J839" s="744"/>
      <c r="K839" s="744"/>
      <c r="L839" s="744"/>
      <c r="M839" s="744"/>
      <c r="N839" s="744"/>
      <c r="O839" s="744"/>
      <c r="P839" s="744"/>
    </row>
    <row r="840" spans="1:16">
      <c r="A840" s="744"/>
      <c r="C840" s="743"/>
      <c r="D840" s="744"/>
      <c r="E840" s="744"/>
      <c r="F840" s="744"/>
      <c r="G840" s="744"/>
      <c r="H840" s="744"/>
      <c r="I840" s="744"/>
      <c r="J840" s="744"/>
      <c r="K840" s="744"/>
      <c r="L840" s="744"/>
      <c r="M840" s="744"/>
      <c r="N840" s="744"/>
      <c r="O840" s="744"/>
      <c r="P840" s="744"/>
    </row>
    <row r="841" spans="1:16">
      <c r="A841" s="744"/>
      <c r="C841" s="743"/>
      <c r="D841" s="744"/>
      <c r="E841" s="744"/>
      <c r="F841" s="744"/>
      <c r="G841" s="744"/>
      <c r="H841" s="744"/>
      <c r="I841" s="744"/>
      <c r="J841" s="744"/>
      <c r="K841" s="744"/>
      <c r="L841" s="744"/>
      <c r="M841" s="744"/>
      <c r="N841" s="744"/>
      <c r="O841" s="744"/>
      <c r="P841" s="744"/>
    </row>
    <row r="842" spans="1:16">
      <c r="A842" s="744"/>
      <c r="C842" s="743"/>
      <c r="D842" s="744"/>
      <c r="E842" s="744"/>
      <c r="F842" s="744"/>
      <c r="G842" s="744"/>
      <c r="H842" s="744"/>
      <c r="I842" s="744"/>
      <c r="J842" s="744"/>
      <c r="K842" s="744"/>
      <c r="L842" s="744"/>
      <c r="M842" s="744"/>
      <c r="N842" s="744"/>
      <c r="O842" s="744"/>
      <c r="P842" s="744"/>
    </row>
    <row r="843" spans="1:16">
      <c r="A843" s="744"/>
      <c r="C843" s="743"/>
      <c r="D843" s="744"/>
      <c r="E843" s="744"/>
      <c r="F843" s="744"/>
      <c r="G843" s="744"/>
      <c r="H843" s="744"/>
      <c r="I843" s="744"/>
      <c r="J843" s="744"/>
      <c r="K843" s="744"/>
      <c r="L843" s="744"/>
      <c r="M843" s="744"/>
      <c r="N843" s="744"/>
      <c r="O843" s="744"/>
      <c r="P843" s="744"/>
    </row>
    <row r="844" spans="1:16">
      <c r="A844" s="744"/>
      <c r="C844" s="743"/>
      <c r="D844" s="744"/>
      <c r="E844" s="744"/>
      <c r="F844" s="744"/>
      <c r="G844" s="744"/>
      <c r="H844" s="744"/>
      <c r="I844" s="744"/>
      <c r="J844" s="744"/>
      <c r="K844" s="744"/>
      <c r="L844" s="744"/>
      <c r="M844" s="744"/>
      <c r="N844" s="744"/>
      <c r="O844" s="744"/>
      <c r="P844" s="744"/>
    </row>
    <row r="845" spans="1:16">
      <c r="A845" s="744"/>
      <c r="C845" s="743"/>
      <c r="D845" s="744"/>
      <c r="E845" s="744"/>
      <c r="F845" s="744"/>
      <c r="G845" s="744"/>
      <c r="H845" s="744"/>
      <c r="I845" s="744"/>
      <c r="J845" s="744"/>
      <c r="K845" s="744"/>
      <c r="L845" s="744"/>
      <c r="M845" s="744"/>
      <c r="N845" s="744"/>
      <c r="O845" s="744"/>
      <c r="P845" s="744"/>
    </row>
    <row r="846" spans="1:16">
      <c r="A846" s="744"/>
      <c r="C846" s="743"/>
      <c r="D846" s="744"/>
      <c r="E846" s="744"/>
      <c r="F846" s="744"/>
      <c r="G846" s="744"/>
      <c r="H846" s="744"/>
      <c r="I846" s="744"/>
      <c r="J846" s="744"/>
      <c r="K846" s="744"/>
      <c r="L846" s="744"/>
      <c r="M846" s="744"/>
      <c r="N846" s="744"/>
      <c r="O846" s="744"/>
      <c r="P846" s="744"/>
    </row>
    <row r="847" spans="1:16">
      <c r="A847" s="744"/>
      <c r="C847" s="743"/>
      <c r="D847" s="744"/>
      <c r="E847" s="744"/>
      <c r="F847" s="744"/>
      <c r="G847" s="744"/>
      <c r="H847" s="744"/>
      <c r="I847" s="744"/>
      <c r="J847" s="744"/>
      <c r="K847" s="744"/>
      <c r="L847" s="744"/>
      <c r="M847" s="744"/>
      <c r="N847" s="744"/>
      <c r="O847" s="744"/>
      <c r="P847" s="744"/>
    </row>
    <row r="848" spans="1:16">
      <c r="A848" s="744"/>
      <c r="C848" s="743"/>
      <c r="D848" s="744"/>
      <c r="E848" s="744"/>
      <c r="F848" s="744"/>
      <c r="G848" s="744"/>
      <c r="H848" s="744"/>
      <c r="I848" s="744"/>
      <c r="J848" s="744"/>
      <c r="K848" s="744"/>
      <c r="L848" s="744"/>
      <c r="M848" s="744"/>
      <c r="N848" s="744"/>
      <c r="O848" s="744"/>
      <c r="P848" s="744"/>
    </row>
    <row r="849" spans="1:16">
      <c r="A849" s="744"/>
      <c r="C849" s="743"/>
      <c r="D849" s="744"/>
      <c r="E849" s="744"/>
      <c r="F849" s="744"/>
      <c r="G849" s="744"/>
      <c r="H849" s="744"/>
      <c r="I849" s="744"/>
      <c r="J849" s="744"/>
      <c r="K849" s="744"/>
      <c r="L849" s="744"/>
      <c r="M849" s="744"/>
      <c r="N849" s="744"/>
      <c r="O849" s="744"/>
      <c r="P849" s="744"/>
    </row>
    <row r="850" spans="1:16">
      <c r="A850" s="744"/>
      <c r="C850" s="743"/>
      <c r="D850" s="744"/>
      <c r="E850" s="744"/>
      <c r="F850" s="744"/>
      <c r="G850" s="744"/>
      <c r="H850" s="744"/>
      <c r="I850" s="744"/>
      <c r="J850" s="744"/>
      <c r="K850" s="744"/>
      <c r="L850" s="744"/>
      <c r="M850" s="744"/>
      <c r="N850" s="744"/>
      <c r="O850" s="744"/>
      <c r="P850" s="744"/>
    </row>
    <row r="851" spans="1:16">
      <c r="A851" s="744"/>
      <c r="C851" s="743"/>
      <c r="D851" s="744"/>
      <c r="E851" s="744"/>
      <c r="F851" s="744"/>
      <c r="G851" s="744"/>
      <c r="H851" s="744"/>
      <c r="I851" s="744"/>
      <c r="J851" s="744"/>
      <c r="K851" s="744"/>
      <c r="L851" s="744"/>
      <c r="M851" s="744"/>
      <c r="N851" s="744"/>
      <c r="O851" s="744"/>
      <c r="P851" s="744"/>
    </row>
    <row r="852" spans="1:16">
      <c r="A852" s="744"/>
      <c r="C852" s="743"/>
      <c r="D852" s="744"/>
      <c r="E852" s="744"/>
      <c r="F852" s="744"/>
      <c r="G852" s="744"/>
      <c r="H852" s="744"/>
      <c r="I852" s="744"/>
      <c r="J852" s="744"/>
      <c r="K852" s="744"/>
      <c r="L852" s="744"/>
      <c r="M852" s="744"/>
      <c r="N852" s="744"/>
      <c r="O852" s="744"/>
      <c r="P852" s="744"/>
    </row>
    <row r="853" spans="1:16">
      <c r="A853" s="744"/>
      <c r="C853" s="743"/>
      <c r="D853" s="744"/>
      <c r="E853" s="744"/>
      <c r="F853" s="744"/>
      <c r="G853" s="744"/>
      <c r="H853" s="744"/>
      <c r="I853" s="744"/>
      <c r="J853" s="744"/>
      <c r="K853" s="744"/>
      <c r="L853" s="744"/>
      <c r="M853" s="744"/>
      <c r="N853" s="744"/>
      <c r="O853" s="744"/>
      <c r="P853" s="744"/>
    </row>
    <row r="854" spans="1:16">
      <c r="A854" s="744"/>
      <c r="C854" s="743"/>
      <c r="D854" s="744"/>
      <c r="E854" s="744"/>
      <c r="F854" s="744"/>
      <c r="G854" s="744"/>
      <c r="H854" s="744"/>
      <c r="I854" s="744"/>
      <c r="J854" s="744"/>
      <c r="K854" s="744"/>
      <c r="L854" s="744"/>
      <c r="M854" s="744"/>
      <c r="N854" s="744"/>
      <c r="O854" s="744"/>
      <c r="P854" s="744"/>
    </row>
    <row r="855" spans="1:16">
      <c r="A855" s="744"/>
      <c r="C855" s="743"/>
      <c r="D855" s="744"/>
      <c r="E855" s="744"/>
      <c r="F855" s="744"/>
      <c r="G855" s="744"/>
      <c r="H855" s="744"/>
      <c r="I855" s="744"/>
      <c r="J855" s="744"/>
      <c r="K855" s="744"/>
      <c r="L855" s="744"/>
      <c r="M855" s="744"/>
      <c r="N855" s="744"/>
      <c r="O855" s="744"/>
      <c r="P855" s="744"/>
    </row>
    <row r="856" spans="1:16">
      <c r="A856" s="744"/>
      <c r="C856" s="743"/>
      <c r="D856" s="744"/>
      <c r="E856" s="744"/>
      <c r="F856" s="744"/>
      <c r="G856" s="744"/>
      <c r="H856" s="744"/>
      <c r="I856" s="744"/>
      <c r="J856" s="744"/>
      <c r="K856" s="744"/>
      <c r="L856" s="744"/>
      <c r="M856" s="744"/>
      <c r="N856" s="744"/>
      <c r="O856" s="744"/>
      <c r="P856" s="744"/>
    </row>
    <row r="857" spans="1:16">
      <c r="A857" s="744"/>
      <c r="C857" s="743"/>
      <c r="D857" s="744"/>
      <c r="E857" s="744"/>
      <c r="F857" s="744"/>
      <c r="G857" s="744"/>
      <c r="H857" s="744"/>
      <c r="I857" s="744"/>
      <c r="J857" s="744"/>
      <c r="K857" s="744"/>
      <c r="L857" s="744"/>
      <c r="M857" s="744"/>
      <c r="N857" s="744"/>
      <c r="O857" s="744"/>
      <c r="P857" s="744"/>
    </row>
    <row r="858" spans="1:16">
      <c r="A858" s="744"/>
      <c r="C858" s="743"/>
      <c r="D858" s="744"/>
      <c r="E858" s="744"/>
      <c r="F858" s="744"/>
      <c r="G858" s="744"/>
      <c r="H858" s="744"/>
      <c r="I858" s="744"/>
      <c r="J858" s="744"/>
      <c r="K858" s="744"/>
      <c r="L858" s="744"/>
      <c r="M858" s="744"/>
      <c r="N858" s="744"/>
      <c r="O858" s="744"/>
      <c r="P858" s="744"/>
    </row>
    <row r="859" spans="1:16">
      <c r="A859" s="744"/>
      <c r="C859" s="743"/>
      <c r="D859" s="744"/>
      <c r="E859" s="744"/>
      <c r="F859" s="744"/>
      <c r="G859" s="744"/>
      <c r="H859" s="744"/>
      <c r="I859" s="744"/>
      <c r="J859" s="744"/>
      <c r="K859" s="744"/>
      <c r="L859" s="744"/>
      <c r="M859" s="744"/>
      <c r="N859" s="744"/>
      <c r="O859" s="744"/>
      <c r="P859" s="744"/>
    </row>
    <row r="860" spans="1:16">
      <c r="A860" s="744"/>
      <c r="C860" s="743"/>
      <c r="D860" s="744"/>
      <c r="E860" s="744"/>
      <c r="F860" s="744"/>
      <c r="G860" s="744"/>
      <c r="H860" s="744"/>
      <c r="I860" s="744"/>
      <c r="J860" s="744"/>
      <c r="K860" s="744"/>
      <c r="L860" s="744"/>
      <c r="M860" s="744"/>
      <c r="N860" s="744"/>
      <c r="O860" s="744"/>
      <c r="P860" s="744"/>
    </row>
    <row r="861" spans="1:16">
      <c r="A861" s="744"/>
      <c r="C861" s="743"/>
      <c r="D861" s="744"/>
      <c r="E861" s="744"/>
      <c r="F861" s="744"/>
      <c r="G861" s="744"/>
      <c r="H861" s="744"/>
      <c r="I861" s="744"/>
      <c r="J861" s="744"/>
      <c r="K861" s="744"/>
      <c r="L861" s="744"/>
      <c r="M861" s="744"/>
      <c r="N861" s="744"/>
      <c r="O861" s="744"/>
      <c r="P861" s="744"/>
    </row>
    <row r="862" spans="1:16">
      <c r="A862" s="744"/>
      <c r="C862" s="743"/>
      <c r="D862" s="744"/>
      <c r="E862" s="744"/>
      <c r="F862" s="744"/>
      <c r="G862" s="744"/>
      <c r="H862" s="744"/>
      <c r="I862" s="744"/>
      <c r="J862" s="744"/>
      <c r="K862" s="744"/>
      <c r="L862" s="744"/>
      <c r="M862" s="744"/>
      <c r="N862" s="744"/>
      <c r="O862" s="744"/>
      <c r="P862" s="744"/>
    </row>
    <row r="863" spans="1:16">
      <c r="A863" s="744"/>
      <c r="C863" s="743"/>
      <c r="D863" s="744"/>
      <c r="E863" s="744"/>
      <c r="F863" s="744"/>
      <c r="G863" s="744"/>
      <c r="H863" s="744"/>
      <c r="I863" s="744"/>
      <c r="J863" s="744"/>
      <c r="K863" s="744"/>
      <c r="L863" s="744"/>
      <c r="M863" s="744"/>
      <c r="N863" s="744"/>
      <c r="O863" s="744"/>
      <c r="P863" s="744"/>
    </row>
    <row r="864" spans="1:16">
      <c r="A864" s="744"/>
      <c r="C864" s="743"/>
      <c r="D864" s="744"/>
      <c r="E864" s="744"/>
      <c r="F864" s="744"/>
      <c r="G864" s="744"/>
      <c r="H864" s="744"/>
      <c r="I864" s="744"/>
      <c r="J864" s="744"/>
      <c r="K864" s="744"/>
      <c r="L864" s="744"/>
      <c r="M864" s="744"/>
      <c r="N864" s="744"/>
      <c r="O864" s="744"/>
      <c r="P864" s="744"/>
    </row>
    <row r="865" spans="1:16">
      <c r="A865" s="744"/>
      <c r="C865" s="743"/>
      <c r="D865" s="744"/>
      <c r="E865" s="744"/>
      <c r="F865" s="744"/>
      <c r="G865" s="744"/>
      <c r="H865" s="744"/>
      <c r="I865" s="744"/>
      <c r="J865" s="744"/>
      <c r="K865" s="744"/>
      <c r="L865" s="744"/>
      <c r="M865" s="744"/>
      <c r="N865" s="744"/>
      <c r="O865" s="744"/>
      <c r="P865" s="744"/>
    </row>
    <row r="866" spans="1:16">
      <c r="A866" s="744"/>
      <c r="C866" s="743"/>
      <c r="D866" s="744"/>
      <c r="E866" s="744"/>
      <c r="F866" s="744"/>
      <c r="G866" s="744"/>
      <c r="H866" s="744"/>
      <c r="I866" s="744"/>
      <c r="J866" s="744"/>
      <c r="K866" s="744"/>
      <c r="L866" s="744"/>
      <c r="M866" s="744"/>
      <c r="N866" s="744"/>
      <c r="O866" s="744"/>
      <c r="P866" s="744"/>
    </row>
    <row r="867" spans="1:16">
      <c r="A867" s="744"/>
      <c r="C867" s="743"/>
      <c r="D867" s="744"/>
      <c r="E867" s="744"/>
      <c r="F867" s="744"/>
      <c r="G867" s="744"/>
      <c r="H867" s="744"/>
      <c r="I867" s="744"/>
      <c r="J867" s="744"/>
      <c r="K867" s="744"/>
      <c r="L867" s="744"/>
      <c r="M867" s="744"/>
      <c r="N867" s="744"/>
      <c r="O867" s="744"/>
      <c r="P867" s="744"/>
    </row>
    <row r="868" spans="1:16">
      <c r="A868" s="744"/>
      <c r="C868" s="743"/>
      <c r="D868" s="744"/>
      <c r="E868" s="744"/>
      <c r="F868" s="744"/>
      <c r="G868" s="744"/>
      <c r="H868" s="744"/>
      <c r="I868" s="744"/>
      <c r="J868" s="744"/>
      <c r="K868" s="744"/>
      <c r="L868" s="744"/>
      <c r="M868" s="744"/>
      <c r="N868" s="744"/>
      <c r="O868" s="744"/>
      <c r="P868" s="744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transitionEvaluation="1">
    <pageSetUpPr fitToPage="1"/>
  </sheetPr>
  <dimension ref="A4:R305"/>
  <sheetViews>
    <sheetView showZeros="0" defaultGridColor="0" colorId="22" zoomScale="75" workbookViewId="0">
      <selection activeCell="N9" sqref="N9"/>
    </sheetView>
  </sheetViews>
  <sheetFormatPr defaultColWidth="16.42578125" defaultRowHeight="15"/>
  <cols>
    <col min="1" max="1" width="6.140625" style="582" customWidth="1"/>
    <col min="2" max="2" width="9.42578125" style="582" customWidth="1"/>
    <col min="3" max="3" width="24.140625" style="582" customWidth="1"/>
    <col min="4" max="4" width="9.42578125" style="582" customWidth="1"/>
    <col min="5" max="13" width="10" style="582" customWidth="1"/>
    <col min="14" max="14" width="16.85546875" style="582" bestFit="1" customWidth="1"/>
    <col min="15" max="15" width="18" style="582" bestFit="1" customWidth="1"/>
    <col min="16" max="16" width="6.140625" style="582" customWidth="1"/>
    <col min="17" max="17" width="8.5703125" style="582" customWidth="1"/>
    <col min="18" max="256" width="16.42578125" style="582"/>
    <col min="257" max="257" width="6.140625" style="582" customWidth="1"/>
    <col min="258" max="258" width="9.42578125" style="582" customWidth="1"/>
    <col min="259" max="259" width="24.140625" style="582" customWidth="1"/>
    <col min="260" max="260" width="9.42578125" style="582" customWidth="1"/>
    <col min="261" max="269" width="10" style="582" customWidth="1"/>
    <col min="270" max="270" width="16.85546875" style="582" bestFit="1" customWidth="1"/>
    <col min="271" max="271" width="18" style="582" bestFit="1" customWidth="1"/>
    <col min="272" max="272" width="6.140625" style="582" customWidth="1"/>
    <col min="273" max="273" width="8.5703125" style="582" customWidth="1"/>
    <col min="274" max="512" width="16.42578125" style="582"/>
    <col min="513" max="513" width="6.140625" style="582" customWidth="1"/>
    <col min="514" max="514" width="9.42578125" style="582" customWidth="1"/>
    <col min="515" max="515" width="24.140625" style="582" customWidth="1"/>
    <col min="516" max="516" width="9.42578125" style="582" customWidth="1"/>
    <col min="517" max="525" width="10" style="582" customWidth="1"/>
    <col min="526" max="526" width="16.85546875" style="582" bestFit="1" customWidth="1"/>
    <col min="527" max="527" width="18" style="582" bestFit="1" customWidth="1"/>
    <col min="528" max="528" width="6.140625" style="582" customWidth="1"/>
    <col min="529" max="529" width="8.5703125" style="582" customWidth="1"/>
    <col min="530" max="768" width="16.42578125" style="582"/>
    <col min="769" max="769" width="6.140625" style="582" customWidth="1"/>
    <col min="770" max="770" width="9.42578125" style="582" customWidth="1"/>
    <col min="771" max="771" width="24.140625" style="582" customWidth="1"/>
    <col min="772" max="772" width="9.42578125" style="582" customWidth="1"/>
    <col min="773" max="781" width="10" style="582" customWidth="1"/>
    <col min="782" max="782" width="16.85546875" style="582" bestFit="1" customWidth="1"/>
    <col min="783" max="783" width="18" style="582" bestFit="1" customWidth="1"/>
    <col min="784" max="784" width="6.140625" style="582" customWidth="1"/>
    <col min="785" max="785" width="8.5703125" style="582" customWidth="1"/>
    <col min="786" max="1024" width="16.42578125" style="582"/>
    <col min="1025" max="1025" width="6.140625" style="582" customWidth="1"/>
    <col min="1026" max="1026" width="9.42578125" style="582" customWidth="1"/>
    <col min="1027" max="1027" width="24.140625" style="582" customWidth="1"/>
    <col min="1028" max="1028" width="9.42578125" style="582" customWidth="1"/>
    <col min="1029" max="1037" width="10" style="582" customWidth="1"/>
    <col min="1038" max="1038" width="16.85546875" style="582" bestFit="1" customWidth="1"/>
    <col min="1039" max="1039" width="18" style="582" bestFit="1" customWidth="1"/>
    <col min="1040" max="1040" width="6.140625" style="582" customWidth="1"/>
    <col min="1041" max="1041" width="8.5703125" style="582" customWidth="1"/>
    <col min="1042" max="1280" width="16.42578125" style="582"/>
    <col min="1281" max="1281" width="6.140625" style="582" customWidth="1"/>
    <col min="1282" max="1282" width="9.42578125" style="582" customWidth="1"/>
    <col min="1283" max="1283" width="24.140625" style="582" customWidth="1"/>
    <col min="1284" max="1284" width="9.42578125" style="582" customWidth="1"/>
    <col min="1285" max="1293" width="10" style="582" customWidth="1"/>
    <col min="1294" max="1294" width="16.85546875" style="582" bestFit="1" customWidth="1"/>
    <col min="1295" max="1295" width="18" style="582" bestFit="1" customWidth="1"/>
    <col min="1296" max="1296" width="6.140625" style="582" customWidth="1"/>
    <col min="1297" max="1297" width="8.5703125" style="582" customWidth="1"/>
    <col min="1298" max="1536" width="16.42578125" style="582"/>
    <col min="1537" max="1537" width="6.140625" style="582" customWidth="1"/>
    <col min="1538" max="1538" width="9.42578125" style="582" customWidth="1"/>
    <col min="1539" max="1539" width="24.140625" style="582" customWidth="1"/>
    <col min="1540" max="1540" width="9.42578125" style="582" customWidth="1"/>
    <col min="1541" max="1549" width="10" style="582" customWidth="1"/>
    <col min="1550" max="1550" width="16.85546875" style="582" bestFit="1" customWidth="1"/>
    <col min="1551" max="1551" width="18" style="582" bestFit="1" customWidth="1"/>
    <col min="1552" max="1552" width="6.140625" style="582" customWidth="1"/>
    <col min="1553" max="1553" width="8.5703125" style="582" customWidth="1"/>
    <col min="1554" max="1792" width="16.42578125" style="582"/>
    <col min="1793" max="1793" width="6.140625" style="582" customWidth="1"/>
    <col min="1794" max="1794" width="9.42578125" style="582" customWidth="1"/>
    <col min="1795" max="1795" width="24.140625" style="582" customWidth="1"/>
    <col min="1796" max="1796" width="9.42578125" style="582" customWidth="1"/>
    <col min="1797" max="1805" width="10" style="582" customWidth="1"/>
    <col min="1806" max="1806" width="16.85546875" style="582" bestFit="1" customWidth="1"/>
    <col min="1807" max="1807" width="18" style="582" bestFit="1" customWidth="1"/>
    <col min="1808" max="1808" width="6.140625" style="582" customWidth="1"/>
    <col min="1809" max="1809" width="8.5703125" style="582" customWidth="1"/>
    <col min="1810" max="2048" width="16.42578125" style="582"/>
    <col min="2049" max="2049" width="6.140625" style="582" customWidth="1"/>
    <col min="2050" max="2050" width="9.42578125" style="582" customWidth="1"/>
    <col min="2051" max="2051" width="24.140625" style="582" customWidth="1"/>
    <col min="2052" max="2052" width="9.42578125" style="582" customWidth="1"/>
    <col min="2053" max="2061" width="10" style="582" customWidth="1"/>
    <col min="2062" max="2062" width="16.85546875" style="582" bestFit="1" customWidth="1"/>
    <col min="2063" max="2063" width="18" style="582" bestFit="1" customWidth="1"/>
    <col min="2064" max="2064" width="6.140625" style="582" customWidth="1"/>
    <col min="2065" max="2065" width="8.5703125" style="582" customWidth="1"/>
    <col min="2066" max="2304" width="16.42578125" style="582"/>
    <col min="2305" max="2305" width="6.140625" style="582" customWidth="1"/>
    <col min="2306" max="2306" width="9.42578125" style="582" customWidth="1"/>
    <col min="2307" max="2307" width="24.140625" style="582" customWidth="1"/>
    <col min="2308" max="2308" width="9.42578125" style="582" customWidth="1"/>
    <col min="2309" max="2317" width="10" style="582" customWidth="1"/>
    <col min="2318" max="2318" width="16.85546875" style="582" bestFit="1" customWidth="1"/>
    <col min="2319" max="2319" width="18" style="582" bestFit="1" customWidth="1"/>
    <col min="2320" max="2320" width="6.140625" style="582" customWidth="1"/>
    <col min="2321" max="2321" width="8.5703125" style="582" customWidth="1"/>
    <col min="2322" max="2560" width="16.42578125" style="582"/>
    <col min="2561" max="2561" width="6.140625" style="582" customWidth="1"/>
    <col min="2562" max="2562" width="9.42578125" style="582" customWidth="1"/>
    <col min="2563" max="2563" width="24.140625" style="582" customWidth="1"/>
    <col min="2564" max="2564" width="9.42578125" style="582" customWidth="1"/>
    <col min="2565" max="2573" width="10" style="582" customWidth="1"/>
    <col min="2574" max="2574" width="16.85546875" style="582" bestFit="1" customWidth="1"/>
    <col min="2575" max="2575" width="18" style="582" bestFit="1" customWidth="1"/>
    <col min="2576" max="2576" width="6.140625" style="582" customWidth="1"/>
    <col min="2577" max="2577" width="8.5703125" style="582" customWidth="1"/>
    <col min="2578" max="2816" width="16.42578125" style="582"/>
    <col min="2817" max="2817" width="6.140625" style="582" customWidth="1"/>
    <col min="2818" max="2818" width="9.42578125" style="582" customWidth="1"/>
    <col min="2819" max="2819" width="24.140625" style="582" customWidth="1"/>
    <col min="2820" max="2820" width="9.42578125" style="582" customWidth="1"/>
    <col min="2821" max="2829" width="10" style="582" customWidth="1"/>
    <col min="2830" max="2830" width="16.85546875" style="582" bestFit="1" customWidth="1"/>
    <col min="2831" max="2831" width="18" style="582" bestFit="1" customWidth="1"/>
    <col min="2832" max="2832" width="6.140625" style="582" customWidth="1"/>
    <col min="2833" max="2833" width="8.5703125" style="582" customWidth="1"/>
    <col min="2834" max="3072" width="16.42578125" style="582"/>
    <col min="3073" max="3073" width="6.140625" style="582" customWidth="1"/>
    <col min="3074" max="3074" width="9.42578125" style="582" customWidth="1"/>
    <col min="3075" max="3075" width="24.140625" style="582" customWidth="1"/>
    <col min="3076" max="3076" width="9.42578125" style="582" customWidth="1"/>
    <col min="3077" max="3085" width="10" style="582" customWidth="1"/>
    <col min="3086" max="3086" width="16.85546875" style="582" bestFit="1" customWidth="1"/>
    <col min="3087" max="3087" width="18" style="582" bestFit="1" customWidth="1"/>
    <col min="3088" max="3088" width="6.140625" style="582" customWidth="1"/>
    <col min="3089" max="3089" width="8.5703125" style="582" customWidth="1"/>
    <col min="3090" max="3328" width="16.42578125" style="582"/>
    <col min="3329" max="3329" width="6.140625" style="582" customWidth="1"/>
    <col min="3330" max="3330" width="9.42578125" style="582" customWidth="1"/>
    <col min="3331" max="3331" width="24.140625" style="582" customWidth="1"/>
    <col min="3332" max="3332" width="9.42578125" style="582" customWidth="1"/>
    <col min="3333" max="3341" width="10" style="582" customWidth="1"/>
    <col min="3342" max="3342" width="16.85546875" style="582" bestFit="1" customWidth="1"/>
    <col min="3343" max="3343" width="18" style="582" bestFit="1" customWidth="1"/>
    <col min="3344" max="3344" width="6.140625" style="582" customWidth="1"/>
    <col min="3345" max="3345" width="8.5703125" style="582" customWidth="1"/>
    <col min="3346" max="3584" width="16.42578125" style="582"/>
    <col min="3585" max="3585" width="6.140625" style="582" customWidth="1"/>
    <col min="3586" max="3586" width="9.42578125" style="582" customWidth="1"/>
    <col min="3587" max="3587" width="24.140625" style="582" customWidth="1"/>
    <col min="3588" max="3588" width="9.42578125" style="582" customWidth="1"/>
    <col min="3589" max="3597" width="10" style="582" customWidth="1"/>
    <col min="3598" max="3598" width="16.85546875" style="582" bestFit="1" customWidth="1"/>
    <col min="3599" max="3599" width="18" style="582" bestFit="1" customWidth="1"/>
    <col min="3600" max="3600" width="6.140625" style="582" customWidth="1"/>
    <col min="3601" max="3601" width="8.5703125" style="582" customWidth="1"/>
    <col min="3602" max="3840" width="16.42578125" style="582"/>
    <col min="3841" max="3841" width="6.140625" style="582" customWidth="1"/>
    <col min="3842" max="3842" width="9.42578125" style="582" customWidth="1"/>
    <col min="3843" max="3843" width="24.140625" style="582" customWidth="1"/>
    <col min="3844" max="3844" width="9.42578125" style="582" customWidth="1"/>
    <col min="3845" max="3853" width="10" style="582" customWidth="1"/>
    <col min="3854" max="3854" width="16.85546875" style="582" bestFit="1" customWidth="1"/>
    <col min="3855" max="3855" width="18" style="582" bestFit="1" customWidth="1"/>
    <col min="3856" max="3856" width="6.140625" style="582" customWidth="1"/>
    <col min="3857" max="3857" width="8.5703125" style="582" customWidth="1"/>
    <col min="3858" max="4096" width="16.42578125" style="582"/>
    <col min="4097" max="4097" width="6.140625" style="582" customWidth="1"/>
    <col min="4098" max="4098" width="9.42578125" style="582" customWidth="1"/>
    <col min="4099" max="4099" width="24.140625" style="582" customWidth="1"/>
    <col min="4100" max="4100" width="9.42578125" style="582" customWidth="1"/>
    <col min="4101" max="4109" width="10" style="582" customWidth="1"/>
    <col min="4110" max="4110" width="16.85546875" style="582" bestFit="1" customWidth="1"/>
    <col min="4111" max="4111" width="18" style="582" bestFit="1" customWidth="1"/>
    <col min="4112" max="4112" width="6.140625" style="582" customWidth="1"/>
    <col min="4113" max="4113" width="8.5703125" style="582" customWidth="1"/>
    <col min="4114" max="4352" width="16.42578125" style="582"/>
    <col min="4353" max="4353" width="6.140625" style="582" customWidth="1"/>
    <col min="4354" max="4354" width="9.42578125" style="582" customWidth="1"/>
    <col min="4355" max="4355" width="24.140625" style="582" customWidth="1"/>
    <col min="4356" max="4356" width="9.42578125" style="582" customWidth="1"/>
    <col min="4357" max="4365" width="10" style="582" customWidth="1"/>
    <col min="4366" max="4366" width="16.85546875" style="582" bestFit="1" customWidth="1"/>
    <col min="4367" max="4367" width="18" style="582" bestFit="1" customWidth="1"/>
    <col min="4368" max="4368" width="6.140625" style="582" customWidth="1"/>
    <col min="4369" max="4369" width="8.5703125" style="582" customWidth="1"/>
    <col min="4370" max="4608" width="16.42578125" style="582"/>
    <col min="4609" max="4609" width="6.140625" style="582" customWidth="1"/>
    <col min="4610" max="4610" width="9.42578125" style="582" customWidth="1"/>
    <col min="4611" max="4611" width="24.140625" style="582" customWidth="1"/>
    <col min="4612" max="4612" width="9.42578125" style="582" customWidth="1"/>
    <col min="4613" max="4621" width="10" style="582" customWidth="1"/>
    <col min="4622" max="4622" width="16.85546875" style="582" bestFit="1" customWidth="1"/>
    <col min="4623" max="4623" width="18" style="582" bestFit="1" customWidth="1"/>
    <col min="4624" max="4624" width="6.140625" style="582" customWidth="1"/>
    <col min="4625" max="4625" width="8.5703125" style="582" customWidth="1"/>
    <col min="4626" max="4864" width="16.42578125" style="582"/>
    <col min="4865" max="4865" width="6.140625" style="582" customWidth="1"/>
    <col min="4866" max="4866" width="9.42578125" style="582" customWidth="1"/>
    <col min="4867" max="4867" width="24.140625" style="582" customWidth="1"/>
    <col min="4868" max="4868" width="9.42578125" style="582" customWidth="1"/>
    <col min="4869" max="4877" width="10" style="582" customWidth="1"/>
    <col min="4878" max="4878" width="16.85546875" style="582" bestFit="1" customWidth="1"/>
    <col min="4879" max="4879" width="18" style="582" bestFit="1" customWidth="1"/>
    <col min="4880" max="4880" width="6.140625" style="582" customWidth="1"/>
    <col min="4881" max="4881" width="8.5703125" style="582" customWidth="1"/>
    <col min="4882" max="5120" width="16.42578125" style="582"/>
    <col min="5121" max="5121" width="6.140625" style="582" customWidth="1"/>
    <col min="5122" max="5122" width="9.42578125" style="582" customWidth="1"/>
    <col min="5123" max="5123" width="24.140625" style="582" customWidth="1"/>
    <col min="5124" max="5124" width="9.42578125" style="582" customWidth="1"/>
    <col min="5125" max="5133" width="10" style="582" customWidth="1"/>
    <col min="5134" max="5134" width="16.85546875" style="582" bestFit="1" customWidth="1"/>
    <col min="5135" max="5135" width="18" style="582" bestFit="1" customWidth="1"/>
    <col min="5136" max="5136" width="6.140625" style="582" customWidth="1"/>
    <col min="5137" max="5137" width="8.5703125" style="582" customWidth="1"/>
    <col min="5138" max="5376" width="16.42578125" style="582"/>
    <col min="5377" max="5377" width="6.140625" style="582" customWidth="1"/>
    <col min="5378" max="5378" width="9.42578125" style="582" customWidth="1"/>
    <col min="5379" max="5379" width="24.140625" style="582" customWidth="1"/>
    <col min="5380" max="5380" width="9.42578125" style="582" customWidth="1"/>
    <col min="5381" max="5389" width="10" style="582" customWidth="1"/>
    <col min="5390" max="5390" width="16.85546875" style="582" bestFit="1" customWidth="1"/>
    <col min="5391" max="5391" width="18" style="582" bestFit="1" customWidth="1"/>
    <col min="5392" max="5392" width="6.140625" style="582" customWidth="1"/>
    <col min="5393" max="5393" width="8.5703125" style="582" customWidth="1"/>
    <col min="5394" max="5632" width="16.42578125" style="582"/>
    <col min="5633" max="5633" width="6.140625" style="582" customWidth="1"/>
    <col min="5634" max="5634" width="9.42578125" style="582" customWidth="1"/>
    <col min="5635" max="5635" width="24.140625" style="582" customWidth="1"/>
    <col min="5636" max="5636" width="9.42578125" style="582" customWidth="1"/>
    <col min="5637" max="5645" width="10" style="582" customWidth="1"/>
    <col min="5646" max="5646" width="16.85546875" style="582" bestFit="1" customWidth="1"/>
    <col min="5647" max="5647" width="18" style="582" bestFit="1" customWidth="1"/>
    <col min="5648" max="5648" width="6.140625" style="582" customWidth="1"/>
    <col min="5649" max="5649" width="8.5703125" style="582" customWidth="1"/>
    <col min="5650" max="5888" width="16.42578125" style="582"/>
    <col min="5889" max="5889" width="6.140625" style="582" customWidth="1"/>
    <col min="5890" max="5890" width="9.42578125" style="582" customWidth="1"/>
    <col min="5891" max="5891" width="24.140625" style="582" customWidth="1"/>
    <col min="5892" max="5892" width="9.42578125" style="582" customWidth="1"/>
    <col min="5893" max="5901" width="10" style="582" customWidth="1"/>
    <col min="5902" max="5902" width="16.85546875" style="582" bestFit="1" customWidth="1"/>
    <col min="5903" max="5903" width="18" style="582" bestFit="1" customWidth="1"/>
    <col min="5904" max="5904" width="6.140625" style="582" customWidth="1"/>
    <col min="5905" max="5905" width="8.5703125" style="582" customWidth="1"/>
    <col min="5906" max="6144" width="16.42578125" style="582"/>
    <col min="6145" max="6145" width="6.140625" style="582" customWidth="1"/>
    <col min="6146" max="6146" width="9.42578125" style="582" customWidth="1"/>
    <col min="6147" max="6147" width="24.140625" style="582" customWidth="1"/>
    <col min="6148" max="6148" width="9.42578125" style="582" customWidth="1"/>
    <col min="6149" max="6157" width="10" style="582" customWidth="1"/>
    <col min="6158" max="6158" width="16.85546875" style="582" bestFit="1" customWidth="1"/>
    <col min="6159" max="6159" width="18" style="582" bestFit="1" customWidth="1"/>
    <col min="6160" max="6160" width="6.140625" style="582" customWidth="1"/>
    <col min="6161" max="6161" width="8.5703125" style="582" customWidth="1"/>
    <col min="6162" max="6400" width="16.42578125" style="582"/>
    <col min="6401" max="6401" width="6.140625" style="582" customWidth="1"/>
    <col min="6402" max="6402" width="9.42578125" style="582" customWidth="1"/>
    <col min="6403" max="6403" width="24.140625" style="582" customWidth="1"/>
    <col min="6404" max="6404" width="9.42578125" style="582" customWidth="1"/>
    <col min="6405" max="6413" width="10" style="582" customWidth="1"/>
    <col min="6414" max="6414" width="16.85546875" style="582" bestFit="1" customWidth="1"/>
    <col min="6415" max="6415" width="18" style="582" bestFit="1" customWidth="1"/>
    <col min="6416" max="6416" width="6.140625" style="582" customWidth="1"/>
    <col min="6417" max="6417" width="8.5703125" style="582" customWidth="1"/>
    <col min="6418" max="6656" width="16.42578125" style="582"/>
    <col min="6657" max="6657" width="6.140625" style="582" customWidth="1"/>
    <col min="6658" max="6658" width="9.42578125" style="582" customWidth="1"/>
    <col min="6659" max="6659" width="24.140625" style="582" customWidth="1"/>
    <col min="6660" max="6660" width="9.42578125" style="582" customWidth="1"/>
    <col min="6661" max="6669" width="10" style="582" customWidth="1"/>
    <col min="6670" max="6670" width="16.85546875" style="582" bestFit="1" customWidth="1"/>
    <col min="6671" max="6671" width="18" style="582" bestFit="1" customWidth="1"/>
    <col min="6672" max="6672" width="6.140625" style="582" customWidth="1"/>
    <col min="6673" max="6673" width="8.5703125" style="582" customWidth="1"/>
    <col min="6674" max="6912" width="16.42578125" style="582"/>
    <col min="6913" max="6913" width="6.140625" style="582" customWidth="1"/>
    <col min="6914" max="6914" width="9.42578125" style="582" customWidth="1"/>
    <col min="6915" max="6915" width="24.140625" style="582" customWidth="1"/>
    <col min="6916" max="6916" width="9.42578125" style="582" customWidth="1"/>
    <col min="6917" max="6925" width="10" style="582" customWidth="1"/>
    <col min="6926" max="6926" width="16.85546875" style="582" bestFit="1" customWidth="1"/>
    <col min="6927" max="6927" width="18" style="582" bestFit="1" customWidth="1"/>
    <col min="6928" max="6928" width="6.140625" style="582" customWidth="1"/>
    <col min="6929" max="6929" width="8.5703125" style="582" customWidth="1"/>
    <col min="6930" max="7168" width="16.42578125" style="582"/>
    <col min="7169" max="7169" width="6.140625" style="582" customWidth="1"/>
    <col min="7170" max="7170" width="9.42578125" style="582" customWidth="1"/>
    <col min="7171" max="7171" width="24.140625" style="582" customWidth="1"/>
    <col min="7172" max="7172" width="9.42578125" style="582" customWidth="1"/>
    <col min="7173" max="7181" width="10" style="582" customWidth="1"/>
    <col min="7182" max="7182" width="16.85546875" style="582" bestFit="1" customWidth="1"/>
    <col min="7183" max="7183" width="18" style="582" bestFit="1" customWidth="1"/>
    <col min="7184" max="7184" width="6.140625" style="582" customWidth="1"/>
    <col min="7185" max="7185" width="8.5703125" style="582" customWidth="1"/>
    <col min="7186" max="7424" width="16.42578125" style="582"/>
    <col min="7425" max="7425" width="6.140625" style="582" customWidth="1"/>
    <col min="7426" max="7426" width="9.42578125" style="582" customWidth="1"/>
    <col min="7427" max="7427" width="24.140625" style="582" customWidth="1"/>
    <col min="7428" max="7428" width="9.42578125" style="582" customWidth="1"/>
    <col min="7429" max="7437" width="10" style="582" customWidth="1"/>
    <col min="7438" max="7438" width="16.85546875" style="582" bestFit="1" customWidth="1"/>
    <col min="7439" max="7439" width="18" style="582" bestFit="1" customWidth="1"/>
    <col min="7440" max="7440" width="6.140625" style="582" customWidth="1"/>
    <col min="7441" max="7441" width="8.5703125" style="582" customWidth="1"/>
    <col min="7442" max="7680" width="16.42578125" style="582"/>
    <col min="7681" max="7681" width="6.140625" style="582" customWidth="1"/>
    <col min="7682" max="7682" width="9.42578125" style="582" customWidth="1"/>
    <col min="7683" max="7683" width="24.140625" style="582" customWidth="1"/>
    <col min="7684" max="7684" width="9.42578125" style="582" customWidth="1"/>
    <col min="7685" max="7693" width="10" style="582" customWidth="1"/>
    <col min="7694" max="7694" width="16.85546875" style="582" bestFit="1" customWidth="1"/>
    <col min="7695" max="7695" width="18" style="582" bestFit="1" customWidth="1"/>
    <col min="7696" max="7696" width="6.140625" style="582" customWidth="1"/>
    <col min="7697" max="7697" width="8.5703125" style="582" customWidth="1"/>
    <col min="7698" max="7936" width="16.42578125" style="582"/>
    <col min="7937" max="7937" width="6.140625" style="582" customWidth="1"/>
    <col min="7938" max="7938" width="9.42578125" style="582" customWidth="1"/>
    <col min="7939" max="7939" width="24.140625" style="582" customWidth="1"/>
    <col min="7940" max="7940" width="9.42578125" style="582" customWidth="1"/>
    <col min="7941" max="7949" width="10" style="582" customWidth="1"/>
    <col min="7950" max="7950" width="16.85546875" style="582" bestFit="1" customWidth="1"/>
    <col min="7951" max="7951" width="18" style="582" bestFit="1" customWidth="1"/>
    <col min="7952" max="7952" width="6.140625" style="582" customWidth="1"/>
    <col min="7953" max="7953" width="8.5703125" style="582" customWidth="1"/>
    <col min="7954" max="8192" width="16.42578125" style="582"/>
    <col min="8193" max="8193" width="6.140625" style="582" customWidth="1"/>
    <col min="8194" max="8194" width="9.42578125" style="582" customWidth="1"/>
    <col min="8195" max="8195" width="24.140625" style="582" customWidth="1"/>
    <col min="8196" max="8196" width="9.42578125" style="582" customWidth="1"/>
    <col min="8197" max="8205" width="10" style="582" customWidth="1"/>
    <col min="8206" max="8206" width="16.85546875" style="582" bestFit="1" customWidth="1"/>
    <col min="8207" max="8207" width="18" style="582" bestFit="1" customWidth="1"/>
    <col min="8208" max="8208" width="6.140625" style="582" customWidth="1"/>
    <col min="8209" max="8209" width="8.5703125" style="582" customWidth="1"/>
    <col min="8210" max="8448" width="16.42578125" style="582"/>
    <col min="8449" max="8449" width="6.140625" style="582" customWidth="1"/>
    <col min="8450" max="8450" width="9.42578125" style="582" customWidth="1"/>
    <col min="8451" max="8451" width="24.140625" style="582" customWidth="1"/>
    <col min="8452" max="8452" width="9.42578125" style="582" customWidth="1"/>
    <col min="8453" max="8461" width="10" style="582" customWidth="1"/>
    <col min="8462" max="8462" width="16.85546875" style="582" bestFit="1" customWidth="1"/>
    <col min="8463" max="8463" width="18" style="582" bestFit="1" customWidth="1"/>
    <col min="8464" max="8464" width="6.140625" style="582" customWidth="1"/>
    <col min="8465" max="8465" width="8.5703125" style="582" customWidth="1"/>
    <col min="8466" max="8704" width="16.42578125" style="582"/>
    <col min="8705" max="8705" width="6.140625" style="582" customWidth="1"/>
    <col min="8706" max="8706" width="9.42578125" style="582" customWidth="1"/>
    <col min="8707" max="8707" width="24.140625" style="582" customWidth="1"/>
    <col min="8708" max="8708" width="9.42578125" style="582" customWidth="1"/>
    <col min="8709" max="8717" width="10" style="582" customWidth="1"/>
    <col min="8718" max="8718" width="16.85546875" style="582" bestFit="1" customWidth="1"/>
    <col min="8719" max="8719" width="18" style="582" bestFit="1" customWidth="1"/>
    <col min="8720" max="8720" width="6.140625" style="582" customWidth="1"/>
    <col min="8721" max="8721" width="8.5703125" style="582" customWidth="1"/>
    <col min="8722" max="8960" width="16.42578125" style="582"/>
    <col min="8961" max="8961" width="6.140625" style="582" customWidth="1"/>
    <col min="8962" max="8962" width="9.42578125" style="582" customWidth="1"/>
    <col min="8963" max="8963" width="24.140625" style="582" customWidth="1"/>
    <col min="8964" max="8964" width="9.42578125" style="582" customWidth="1"/>
    <col min="8965" max="8973" width="10" style="582" customWidth="1"/>
    <col min="8974" max="8974" width="16.85546875" style="582" bestFit="1" customWidth="1"/>
    <col min="8975" max="8975" width="18" style="582" bestFit="1" customWidth="1"/>
    <col min="8976" max="8976" width="6.140625" style="582" customWidth="1"/>
    <col min="8977" max="8977" width="8.5703125" style="582" customWidth="1"/>
    <col min="8978" max="9216" width="16.42578125" style="582"/>
    <col min="9217" max="9217" width="6.140625" style="582" customWidth="1"/>
    <col min="9218" max="9218" width="9.42578125" style="582" customWidth="1"/>
    <col min="9219" max="9219" width="24.140625" style="582" customWidth="1"/>
    <col min="9220" max="9220" width="9.42578125" style="582" customWidth="1"/>
    <col min="9221" max="9229" width="10" style="582" customWidth="1"/>
    <col min="9230" max="9230" width="16.85546875" style="582" bestFit="1" customWidth="1"/>
    <col min="9231" max="9231" width="18" style="582" bestFit="1" customWidth="1"/>
    <col min="9232" max="9232" width="6.140625" style="582" customWidth="1"/>
    <col min="9233" max="9233" width="8.5703125" style="582" customWidth="1"/>
    <col min="9234" max="9472" width="16.42578125" style="582"/>
    <col min="9473" max="9473" width="6.140625" style="582" customWidth="1"/>
    <col min="9474" max="9474" width="9.42578125" style="582" customWidth="1"/>
    <col min="9475" max="9475" width="24.140625" style="582" customWidth="1"/>
    <col min="9476" max="9476" width="9.42578125" style="582" customWidth="1"/>
    <col min="9477" max="9485" width="10" style="582" customWidth="1"/>
    <col min="9486" max="9486" width="16.85546875" style="582" bestFit="1" customWidth="1"/>
    <col min="9487" max="9487" width="18" style="582" bestFit="1" customWidth="1"/>
    <col min="9488" max="9488" width="6.140625" style="582" customWidth="1"/>
    <col min="9489" max="9489" width="8.5703125" style="582" customWidth="1"/>
    <col min="9490" max="9728" width="16.42578125" style="582"/>
    <col min="9729" max="9729" width="6.140625" style="582" customWidth="1"/>
    <col min="9730" max="9730" width="9.42578125" style="582" customWidth="1"/>
    <col min="9731" max="9731" width="24.140625" style="582" customWidth="1"/>
    <col min="9732" max="9732" width="9.42578125" style="582" customWidth="1"/>
    <col min="9733" max="9741" width="10" style="582" customWidth="1"/>
    <col min="9742" max="9742" width="16.85546875" style="582" bestFit="1" customWidth="1"/>
    <col min="9743" max="9743" width="18" style="582" bestFit="1" customWidth="1"/>
    <col min="9744" max="9744" width="6.140625" style="582" customWidth="1"/>
    <col min="9745" max="9745" width="8.5703125" style="582" customWidth="1"/>
    <col min="9746" max="9984" width="16.42578125" style="582"/>
    <col min="9985" max="9985" width="6.140625" style="582" customWidth="1"/>
    <col min="9986" max="9986" width="9.42578125" style="582" customWidth="1"/>
    <col min="9987" max="9987" width="24.140625" style="582" customWidth="1"/>
    <col min="9988" max="9988" width="9.42578125" style="582" customWidth="1"/>
    <col min="9989" max="9997" width="10" style="582" customWidth="1"/>
    <col min="9998" max="9998" width="16.85546875" style="582" bestFit="1" customWidth="1"/>
    <col min="9999" max="9999" width="18" style="582" bestFit="1" customWidth="1"/>
    <col min="10000" max="10000" width="6.140625" style="582" customWidth="1"/>
    <col min="10001" max="10001" width="8.5703125" style="582" customWidth="1"/>
    <col min="10002" max="10240" width="16.42578125" style="582"/>
    <col min="10241" max="10241" width="6.140625" style="582" customWidth="1"/>
    <col min="10242" max="10242" width="9.42578125" style="582" customWidth="1"/>
    <col min="10243" max="10243" width="24.140625" style="582" customWidth="1"/>
    <col min="10244" max="10244" width="9.42578125" style="582" customWidth="1"/>
    <col min="10245" max="10253" width="10" style="582" customWidth="1"/>
    <col min="10254" max="10254" width="16.85546875" style="582" bestFit="1" customWidth="1"/>
    <col min="10255" max="10255" width="18" style="582" bestFit="1" customWidth="1"/>
    <col min="10256" max="10256" width="6.140625" style="582" customWidth="1"/>
    <col min="10257" max="10257" width="8.5703125" style="582" customWidth="1"/>
    <col min="10258" max="10496" width="16.42578125" style="582"/>
    <col min="10497" max="10497" width="6.140625" style="582" customWidth="1"/>
    <col min="10498" max="10498" width="9.42578125" style="582" customWidth="1"/>
    <col min="10499" max="10499" width="24.140625" style="582" customWidth="1"/>
    <col min="10500" max="10500" width="9.42578125" style="582" customWidth="1"/>
    <col min="10501" max="10509" width="10" style="582" customWidth="1"/>
    <col min="10510" max="10510" width="16.85546875" style="582" bestFit="1" customWidth="1"/>
    <col min="10511" max="10511" width="18" style="582" bestFit="1" customWidth="1"/>
    <col min="10512" max="10512" width="6.140625" style="582" customWidth="1"/>
    <col min="10513" max="10513" width="8.5703125" style="582" customWidth="1"/>
    <col min="10514" max="10752" width="16.42578125" style="582"/>
    <col min="10753" max="10753" width="6.140625" style="582" customWidth="1"/>
    <col min="10754" max="10754" width="9.42578125" style="582" customWidth="1"/>
    <col min="10755" max="10755" width="24.140625" style="582" customWidth="1"/>
    <col min="10756" max="10756" width="9.42578125" style="582" customWidth="1"/>
    <col min="10757" max="10765" width="10" style="582" customWidth="1"/>
    <col min="10766" max="10766" width="16.85546875" style="582" bestFit="1" customWidth="1"/>
    <col min="10767" max="10767" width="18" style="582" bestFit="1" customWidth="1"/>
    <col min="10768" max="10768" width="6.140625" style="582" customWidth="1"/>
    <col min="10769" max="10769" width="8.5703125" style="582" customWidth="1"/>
    <col min="10770" max="11008" width="16.42578125" style="582"/>
    <col min="11009" max="11009" width="6.140625" style="582" customWidth="1"/>
    <col min="11010" max="11010" width="9.42578125" style="582" customWidth="1"/>
    <col min="11011" max="11011" width="24.140625" style="582" customWidth="1"/>
    <col min="11012" max="11012" width="9.42578125" style="582" customWidth="1"/>
    <col min="11013" max="11021" width="10" style="582" customWidth="1"/>
    <col min="11022" max="11022" width="16.85546875" style="582" bestFit="1" customWidth="1"/>
    <col min="11023" max="11023" width="18" style="582" bestFit="1" customWidth="1"/>
    <col min="11024" max="11024" width="6.140625" style="582" customWidth="1"/>
    <col min="11025" max="11025" width="8.5703125" style="582" customWidth="1"/>
    <col min="11026" max="11264" width="16.42578125" style="582"/>
    <col min="11265" max="11265" width="6.140625" style="582" customWidth="1"/>
    <col min="11266" max="11266" width="9.42578125" style="582" customWidth="1"/>
    <col min="11267" max="11267" width="24.140625" style="582" customWidth="1"/>
    <col min="11268" max="11268" width="9.42578125" style="582" customWidth="1"/>
    <col min="11269" max="11277" width="10" style="582" customWidth="1"/>
    <col min="11278" max="11278" width="16.85546875" style="582" bestFit="1" customWidth="1"/>
    <col min="11279" max="11279" width="18" style="582" bestFit="1" customWidth="1"/>
    <col min="11280" max="11280" width="6.140625" style="582" customWidth="1"/>
    <col min="11281" max="11281" width="8.5703125" style="582" customWidth="1"/>
    <col min="11282" max="11520" width="16.42578125" style="582"/>
    <col min="11521" max="11521" width="6.140625" style="582" customWidth="1"/>
    <col min="11522" max="11522" width="9.42578125" style="582" customWidth="1"/>
    <col min="11523" max="11523" width="24.140625" style="582" customWidth="1"/>
    <col min="11524" max="11524" width="9.42578125" style="582" customWidth="1"/>
    <col min="11525" max="11533" width="10" style="582" customWidth="1"/>
    <col min="11534" max="11534" width="16.85546875" style="582" bestFit="1" customWidth="1"/>
    <col min="11535" max="11535" width="18" style="582" bestFit="1" customWidth="1"/>
    <col min="11536" max="11536" width="6.140625" style="582" customWidth="1"/>
    <col min="11537" max="11537" width="8.5703125" style="582" customWidth="1"/>
    <col min="11538" max="11776" width="16.42578125" style="582"/>
    <col min="11777" max="11777" width="6.140625" style="582" customWidth="1"/>
    <col min="11778" max="11778" width="9.42578125" style="582" customWidth="1"/>
    <col min="11779" max="11779" width="24.140625" style="582" customWidth="1"/>
    <col min="11780" max="11780" width="9.42578125" style="582" customWidth="1"/>
    <col min="11781" max="11789" width="10" style="582" customWidth="1"/>
    <col min="11790" max="11790" width="16.85546875" style="582" bestFit="1" customWidth="1"/>
    <col min="11791" max="11791" width="18" style="582" bestFit="1" customWidth="1"/>
    <col min="11792" max="11792" width="6.140625" style="582" customWidth="1"/>
    <col min="11793" max="11793" width="8.5703125" style="582" customWidth="1"/>
    <col min="11794" max="12032" width="16.42578125" style="582"/>
    <col min="12033" max="12033" width="6.140625" style="582" customWidth="1"/>
    <col min="12034" max="12034" width="9.42578125" style="582" customWidth="1"/>
    <col min="12035" max="12035" width="24.140625" style="582" customWidth="1"/>
    <col min="12036" max="12036" width="9.42578125" style="582" customWidth="1"/>
    <col min="12037" max="12045" width="10" style="582" customWidth="1"/>
    <col min="12046" max="12046" width="16.85546875" style="582" bestFit="1" customWidth="1"/>
    <col min="12047" max="12047" width="18" style="582" bestFit="1" customWidth="1"/>
    <col min="12048" max="12048" width="6.140625" style="582" customWidth="1"/>
    <col min="12049" max="12049" width="8.5703125" style="582" customWidth="1"/>
    <col min="12050" max="12288" width="16.42578125" style="582"/>
    <col min="12289" max="12289" width="6.140625" style="582" customWidth="1"/>
    <col min="12290" max="12290" width="9.42578125" style="582" customWidth="1"/>
    <col min="12291" max="12291" width="24.140625" style="582" customWidth="1"/>
    <col min="12292" max="12292" width="9.42578125" style="582" customWidth="1"/>
    <col min="12293" max="12301" width="10" style="582" customWidth="1"/>
    <col min="12302" max="12302" width="16.85546875" style="582" bestFit="1" customWidth="1"/>
    <col min="12303" max="12303" width="18" style="582" bestFit="1" customWidth="1"/>
    <col min="12304" max="12304" width="6.140625" style="582" customWidth="1"/>
    <col min="12305" max="12305" width="8.5703125" style="582" customWidth="1"/>
    <col min="12306" max="12544" width="16.42578125" style="582"/>
    <col min="12545" max="12545" width="6.140625" style="582" customWidth="1"/>
    <col min="12546" max="12546" width="9.42578125" style="582" customWidth="1"/>
    <col min="12547" max="12547" width="24.140625" style="582" customWidth="1"/>
    <col min="12548" max="12548" width="9.42578125" style="582" customWidth="1"/>
    <col min="12549" max="12557" width="10" style="582" customWidth="1"/>
    <col min="12558" max="12558" width="16.85546875" style="582" bestFit="1" customWidth="1"/>
    <col min="12559" max="12559" width="18" style="582" bestFit="1" customWidth="1"/>
    <col min="12560" max="12560" width="6.140625" style="582" customWidth="1"/>
    <col min="12561" max="12561" width="8.5703125" style="582" customWidth="1"/>
    <col min="12562" max="12800" width="16.42578125" style="582"/>
    <col min="12801" max="12801" width="6.140625" style="582" customWidth="1"/>
    <col min="12802" max="12802" width="9.42578125" style="582" customWidth="1"/>
    <col min="12803" max="12803" width="24.140625" style="582" customWidth="1"/>
    <col min="12804" max="12804" width="9.42578125" style="582" customWidth="1"/>
    <col min="12805" max="12813" width="10" style="582" customWidth="1"/>
    <col min="12814" max="12814" width="16.85546875" style="582" bestFit="1" customWidth="1"/>
    <col min="12815" max="12815" width="18" style="582" bestFit="1" customWidth="1"/>
    <col min="12816" max="12816" width="6.140625" style="582" customWidth="1"/>
    <col min="12817" max="12817" width="8.5703125" style="582" customWidth="1"/>
    <col min="12818" max="13056" width="16.42578125" style="582"/>
    <col min="13057" max="13057" width="6.140625" style="582" customWidth="1"/>
    <col min="13058" max="13058" width="9.42578125" style="582" customWidth="1"/>
    <col min="13059" max="13059" width="24.140625" style="582" customWidth="1"/>
    <col min="13060" max="13060" width="9.42578125" style="582" customWidth="1"/>
    <col min="13061" max="13069" width="10" style="582" customWidth="1"/>
    <col min="13070" max="13070" width="16.85546875" style="582" bestFit="1" customWidth="1"/>
    <col min="13071" max="13071" width="18" style="582" bestFit="1" customWidth="1"/>
    <col min="13072" max="13072" width="6.140625" style="582" customWidth="1"/>
    <col min="13073" max="13073" width="8.5703125" style="582" customWidth="1"/>
    <col min="13074" max="13312" width="16.42578125" style="582"/>
    <col min="13313" max="13313" width="6.140625" style="582" customWidth="1"/>
    <col min="13314" max="13314" width="9.42578125" style="582" customWidth="1"/>
    <col min="13315" max="13315" width="24.140625" style="582" customWidth="1"/>
    <col min="13316" max="13316" width="9.42578125" style="582" customWidth="1"/>
    <col min="13317" max="13325" width="10" style="582" customWidth="1"/>
    <col min="13326" max="13326" width="16.85546875" style="582" bestFit="1" customWidth="1"/>
    <col min="13327" max="13327" width="18" style="582" bestFit="1" customWidth="1"/>
    <col min="13328" max="13328" width="6.140625" style="582" customWidth="1"/>
    <col min="13329" max="13329" width="8.5703125" style="582" customWidth="1"/>
    <col min="13330" max="13568" width="16.42578125" style="582"/>
    <col min="13569" max="13569" width="6.140625" style="582" customWidth="1"/>
    <col min="13570" max="13570" width="9.42578125" style="582" customWidth="1"/>
    <col min="13571" max="13571" width="24.140625" style="582" customWidth="1"/>
    <col min="13572" max="13572" width="9.42578125" style="582" customWidth="1"/>
    <col min="13573" max="13581" width="10" style="582" customWidth="1"/>
    <col min="13582" max="13582" width="16.85546875" style="582" bestFit="1" customWidth="1"/>
    <col min="13583" max="13583" width="18" style="582" bestFit="1" customWidth="1"/>
    <col min="13584" max="13584" width="6.140625" style="582" customWidth="1"/>
    <col min="13585" max="13585" width="8.5703125" style="582" customWidth="1"/>
    <col min="13586" max="13824" width="16.42578125" style="582"/>
    <col min="13825" max="13825" width="6.140625" style="582" customWidth="1"/>
    <col min="13826" max="13826" width="9.42578125" style="582" customWidth="1"/>
    <col min="13827" max="13827" width="24.140625" style="582" customWidth="1"/>
    <col min="13828" max="13828" width="9.42578125" style="582" customWidth="1"/>
    <col min="13829" max="13837" width="10" style="582" customWidth="1"/>
    <col min="13838" max="13838" width="16.85546875" style="582" bestFit="1" customWidth="1"/>
    <col min="13839" max="13839" width="18" style="582" bestFit="1" customWidth="1"/>
    <col min="13840" max="13840" width="6.140625" style="582" customWidth="1"/>
    <col min="13841" max="13841" width="8.5703125" style="582" customWidth="1"/>
    <col min="13842" max="14080" width="16.42578125" style="582"/>
    <col min="14081" max="14081" width="6.140625" style="582" customWidth="1"/>
    <col min="14082" max="14082" width="9.42578125" style="582" customWidth="1"/>
    <col min="14083" max="14083" width="24.140625" style="582" customWidth="1"/>
    <col min="14084" max="14084" width="9.42578125" style="582" customWidth="1"/>
    <col min="14085" max="14093" width="10" style="582" customWidth="1"/>
    <col min="14094" max="14094" width="16.85546875" style="582" bestFit="1" customWidth="1"/>
    <col min="14095" max="14095" width="18" style="582" bestFit="1" customWidth="1"/>
    <col min="14096" max="14096" width="6.140625" style="582" customWidth="1"/>
    <col min="14097" max="14097" width="8.5703125" style="582" customWidth="1"/>
    <col min="14098" max="14336" width="16.42578125" style="582"/>
    <col min="14337" max="14337" width="6.140625" style="582" customWidth="1"/>
    <col min="14338" max="14338" width="9.42578125" style="582" customWidth="1"/>
    <col min="14339" max="14339" width="24.140625" style="582" customWidth="1"/>
    <col min="14340" max="14340" width="9.42578125" style="582" customWidth="1"/>
    <col min="14341" max="14349" width="10" style="582" customWidth="1"/>
    <col min="14350" max="14350" width="16.85546875" style="582" bestFit="1" customWidth="1"/>
    <col min="14351" max="14351" width="18" style="582" bestFit="1" customWidth="1"/>
    <col min="14352" max="14352" width="6.140625" style="582" customWidth="1"/>
    <col min="14353" max="14353" width="8.5703125" style="582" customWidth="1"/>
    <col min="14354" max="14592" width="16.42578125" style="582"/>
    <col min="14593" max="14593" width="6.140625" style="582" customWidth="1"/>
    <col min="14594" max="14594" width="9.42578125" style="582" customWidth="1"/>
    <col min="14595" max="14595" width="24.140625" style="582" customWidth="1"/>
    <col min="14596" max="14596" width="9.42578125" style="582" customWidth="1"/>
    <col min="14597" max="14605" width="10" style="582" customWidth="1"/>
    <col min="14606" max="14606" width="16.85546875" style="582" bestFit="1" customWidth="1"/>
    <col min="14607" max="14607" width="18" style="582" bestFit="1" customWidth="1"/>
    <col min="14608" max="14608" width="6.140625" style="582" customWidth="1"/>
    <col min="14609" max="14609" width="8.5703125" style="582" customWidth="1"/>
    <col min="14610" max="14848" width="16.42578125" style="582"/>
    <col min="14849" max="14849" width="6.140625" style="582" customWidth="1"/>
    <col min="14850" max="14850" width="9.42578125" style="582" customWidth="1"/>
    <col min="14851" max="14851" width="24.140625" style="582" customWidth="1"/>
    <col min="14852" max="14852" width="9.42578125" style="582" customWidth="1"/>
    <col min="14853" max="14861" width="10" style="582" customWidth="1"/>
    <col min="14862" max="14862" width="16.85546875" style="582" bestFit="1" customWidth="1"/>
    <col min="14863" max="14863" width="18" style="582" bestFit="1" customWidth="1"/>
    <col min="14864" max="14864" width="6.140625" style="582" customWidth="1"/>
    <col min="14865" max="14865" width="8.5703125" style="582" customWidth="1"/>
    <col min="14866" max="15104" width="16.42578125" style="582"/>
    <col min="15105" max="15105" width="6.140625" style="582" customWidth="1"/>
    <col min="15106" max="15106" width="9.42578125" style="582" customWidth="1"/>
    <col min="15107" max="15107" width="24.140625" style="582" customWidth="1"/>
    <col min="15108" max="15108" width="9.42578125" style="582" customWidth="1"/>
    <col min="15109" max="15117" width="10" style="582" customWidth="1"/>
    <col min="15118" max="15118" width="16.85546875" style="582" bestFit="1" customWidth="1"/>
    <col min="15119" max="15119" width="18" style="582" bestFit="1" customWidth="1"/>
    <col min="15120" max="15120" width="6.140625" style="582" customWidth="1"/>
    <col min="15121" max="15121" width="8.5703125" style="582" customWidth="1"/>
    <col min="15122" max="15360" width="16.42578125" style="582"/>
    <col min="15361" max="15361" width="6.140625" style="582" customWidth="1"/>
    <col min="15362" max="15362" width="9.42578125" style="582" customWidth="1"/>
    <col min="15363" max="15363" width="24.140625" style="582" customWidth="1"/>
    <col min="15364" max="15364" width="9.42578125" style="582" customWidth="1"/>
    <col min="15365" max="15373" width="10" style="582" customWidth="1"/>
    <col min="15374" max="15374" width="16.85546875" style="582" bestFit="1" customWidth="1"/>
    <col min="15375" max="15375" width="18" style="582" bestFit="1" customWidth="1"/>
    <col min="15376" max="15376" width="6.140625" style="582" customWidth="1"/>
    <col min="15377" max="15377" width="8.5703125" style="582" customWidth="1"/>
    <col min="15378" max="15616" width="16.42578125" style="582"/>
    <col min="15617" max="15617" width="6.140625" style="582" customWidth="1"/>
    <col min="15618" max="15618" width="9.42578125" style="582" customWidth="1"/>
    <col min="15619" max="15619" width="24.140625" style="582" customWidth="1"/>
    <col min="15620" max="15620" width="9.42578125" style="582" customWidth="1"/>
    <col min="15621" max="15629" width="10" style="582" customWidth="1"/>
    <col min="15630" max="15630" width="16.85546875" style="582" bestFit="1" customWidth="1"/>
    <col min="15631" max="15631" width="18" style="582" bestFit="1" customWidth="1"/>
    <col min="15632" max="15632" width="6.140625" style="582" customWidth="1"/>
    <col min="15633" max="15633" width="8.5703125" style="582" customWidth="1"/>
    <col min="15634" max="15872" width="16.42578125" style="582"/>
    <col min="15873" max="15873" width="6.140625" style="582" customWidth="1"/>
    <col min="15874" max="15874" width="9.42578125" style="582" customWidth="1"/>
    <col min="15875" max="15875" width="24.140625" style="582" customWidth="1"/>
    <col min="15876" max="15876" width="9.42578125" style="582" customWidth="1"/>
    <col min="15877" max="15885" width="10" style="582" customWidth="1"/>
    <col min="15886" max="15886" width="16.85546875" style="582" bestFit="1" customWidth="1"/>
    <col min="15887" max="15887" width="18" style="582" bestFit="1" customWidth="1"/>
    <col min="15888" max="15888" width="6.140625" style="582" customWidth="1"/>
    <col min="15889" max="15889" width="8.5703125" style="582" customWidth="1"/>
    <col min="15890" max="16128" width="16.42578125" style="582"/>
    <col min="16129" max="16129" width="6.140625" style="582" customWidth="1"/>
    <col min="16130" max="16130" width="9.42578125" style="582" customWidth="1"/>
    <col min="16131" max="16131" width="24.140625" style="582" customWidth="1"/>
    <col min="16132" max="16132" width="9.42578125" style="582" customWidth="1"/>
    <col min="16133" max="16141" width="10" style="582" customWidth="1"/>
    <col min="16142" max="16142" width="16.85546875" style="582" bestFit="1" customWidth="1"/>
    <col min="16143" max="16143" width="18" style="582" bestFit="1" customWidth="1"/>
    <col min="16144" max="16144" width="6.140625" style="582" customWidth="1"/>
    <col min="16145" max="16145" width="8.5703125" style="582" customWidth="1"/>
    <col min="16146" max="16384" width="16.42578125" style="582"/>
  </cols>
  <sheetData>
    <row r="4" spans="1:18">
      <c r="A4" s="582" t="s">
        <v>1314</v>
      </c>
    </row>
    <row r="5" spans="1:18">
      <c r="A5" s="582" t="str">
        <f>"Districts Reporting Bilingual Enrollment = "&amp;R7</f>
        <v>Districts Reporting Bilingual Enrollment = 194</v>
      </c>
    </row>
    <row r="6" spans="1:18">
      <c r="N6" s="585" t="s">
        <v>740</v>
      </c>
      <c r="O6" s="585"/>
      <c r="P6" s="582" t="s">
        <v>819</v>
      </c>
    </row>
    <row r="7" spans="1:18">
      <c r="A7" s="582" t="s">
        <v>591</v>
      </c>
      <c r="B7" s="582" t="s">
        <v>592</v>
      </c>
      <c r="C7" s="582" t="s">
        <v>593</v>
      </c>
      <c r="D7" s="586" t="s">
        <v>867</v>
      </c>
      <c r="E7" s="586" t="s">
        <v>820</v>
      </c>
      <c r="F7" s="586" t="s">
        <v>821</v>
      </c>
      <c r="G7" s="586" t="s">
        <v>822</v>
      </c>
      <c r="H7" s="586" t="s">
        <v>823</v>
      </c>
      <c r="I7" s="586" t="s">
        <v>824</v>
      </c>
      <c r="J7" s="586" t="s">
        <v>825</v>
      </c>
      <c r="K7" s="586" t="s">
        <v>826</v>
      </c>
      <c r="L7" s="586" t="s">
        <v>827</v>
      </c>
      <c r="M7" s="586" t="s">
        <v>1315</v>
      </c>
      <c r="N7" s="585" t="s">
        <v>828</v>
      </c>
      <c r="O7" s="585" t="s">
        <v>1280</v>
      </c>
      <c r="P7" s="582" t="s">
        <v>829</v>
      </c>
      <c r="R7" s="582" t="str">
        <f>FIXED(SUM(R9:R303),0,TRUE)</f>
        <v>194</v>
      </c>
    </row>
    <row r="9" spans="1:18">
      <c r="A9" s="582" t="s">
        <v>594</v>
      </c>
      <c r="B9" s="582" t="s">
        <v>132</v>
      </c>
      <c r="C9" s="582" t="s">
        <v>133</v>
      </c>
      <c r="D9" s="2">
        <v>214</v>
      </c>
      <c r="E9" s="587">
        <v>285</v>
      </c>
      <c r="F9" s="587">
        <v>287</v>
      </c>
      <c r="G9" s="587">
        <v>287</v>
      </c>
      <c r="H9" s="587">
        <v>288</v>
      </c>
      <c r="I9" s="587">
        <v>290</v>
      </c>
      <c r="J9" s="587">
        <v>278</v>
      </c>
      <c r="K9" s="587">
        <v>290</v>
      </c>
      <c r="L9" s="587">
        <v>288</v>
      </c>
      <c r="M9" s="587">
        <v>289</v>
      </c>
      <c r="N9" s="582">
        <f t="shared" ref="N9:N19" si="0">ROUND(SUM(E9:M9)/9,2)</f>
        <v>286.89</v>
      </c>
      <c r="O9" s="582">
        <v>260495.16</v>
      </c>
      <c r="Q9" s="582" t="s">
        <v>621</v>
      </c>
      <c r="R9" s="582">
        <f t="shared" ref="R9:R72" si="1">IF(N9&gt;0,1,0)</f>
        <v>1</v>
      </c>
    </row>
    <row r="10" spans="1:18">
      <c r="A10" s="582" t="s">
        <v>594</v>
      </c>
      <c r="B10" s="582" t="s">
        <v>262</v>
      </c>
      <c r="C10" s="582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7">
        <v>0</v>
      </c>
      <c r="N10" s="582">
        <f t="shared" si="0"/>
        <v>0</v>
      </c>
      <c r="O10" s="582">
        <v>0</v>
      </c>
      <c r="Q10" s="582" t="s">
        <v>801</v>
      </c>
      <c r="R10" s="582">
        <f t="shared" si="1"/>
        <v>0</v>
      </c>
    </row>
    <row r="11" spans="1:18">
      <c r="A11" s="582" t="s">
        <v>603</v>
      </c>
      <c r="B11" s="582" t="s">
        <v>283</v>
      </c>
      <c r="C11" s="582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7">
        <v>0</v>
      </c>
      <c r="N11" s="582">
        <f t="shared" si="0"/>
        <v>0</v>
      </c>
      <c r="O11" s="582">
        <v>0</v>
      </c>
      <c r="Q11" s="582" t="s">
        <v>801</v>
      </c>
      <c r="R11" s="582">
        <f t="shared" si="1"/>
        <v>0</v>
      </c>
    </row>
    <row r="12" spans="1:18">
      <c r="A12" s="582" t="s">
        <v>595</v>
      </c>
      <c r="B12" s="582" t="s">
        <v>380</v>
      </c>
      <c r="C12" s="582" t="s">
        <v>381</v>
      </c>
      <c r="D12" s="2">
        <v>45</v>
      </c>
      <c r="E12" s="587">
        <v>51</v>
      </c>
      <c r="F12" s="587">
        <v>52</v>
      </c>
      <c r="G12" s="587">
        <v>52</v>
      </c>
      <c r="H12" s="587">
        <v>53</v>
      </c>
      <c r="I12" s="587">
        <v>52</v>
      </c>
      <c r="J12" s="587">
        <v>52</v>
      </c>
      <c r="K12" s="587">
        <v>51</v>
      </c>
      <c r="L12" s="587">
        <v>53</v>
      </c>
      <c r="M12" s="587">
        <v>53</v>
      </c>
      <c r="N12" s="582">
        <f t="shared" si="0"/>
        <v>52.11</v>
      </c>
      <c r="O12" s="582">
        <v>47340.54</v>
      </c>
      <c r="Q12" s="582" t="s">
        <v>621</v>
      </c>
      <c r="R12" s="582">
        <f t="shared" si="1"/>
        <v>1</v>
      </c>
    </row>
    <row r="13" spans="1:18">
      <c r="A13" s="582" t="s">
        <v>595</v>
      </c>
      <c r="B13" s="582" t="s">
        <v>403</v>
      </c>
      <c r="C13" s="582" t="s">
        <v>404</v>
      </c>
      <c r="D13" s="2">
        <v>170</v>
      </c>
      <c r="E13" s="587">
        <v>173</v>
      </c>
      <c r="F13" s="587">
        <v>175</v>
      </c>
      <c r="G13" s="587">
        <v>180</v>
      </c>
      <c r="H13" s="587">
        <v>184</v>
      </c>
      <c r="I13" s="587">
        <v>193</v>
      </c>
      <c r="J13" s="587">
        <v>191</v>
      </c>
      <c r="K13" s="587">
        <v>192</v>
      </c>
      <c r="L13" s="587">
        <v>191</v>
      </c>
      <c r="M13" s="587">
        <v>188</v>
      </c>
      <c r="N13" s="582">
        <f t="shared" si="0"/>
        <v>185.22</v>
      </c>
      <c r="O13" s="582">
        <v>165061.81</v>
      </c>
      <c r="Q13" s="582" t="s">
        <v>621</v>
      </c>
      <c r="R13" s="582">
        <f t="shared" si="1"/>
        <v>1</v>
      </c>
    </row>
    <row r="14" spans="1:18">
      <c r="A14" s="582" t="s">
        <v>596</v>
      </c>
      <c r="B14" s="582" t="s">
        <v>12</v>
      </c>
      <c r="C14" s="582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1</v>
      </c>
      <c r="L14" s="587">
        <v>1</v>
      </c>
      <c r="M14" s="587">
        <v>1</v>
      </c>
      <c r="N14" s="582">
        <f t="shared" si="0"/>
        <v>1</v>
      </c>
      <c r="O14" s="582">
        <v>900.62</v>
      </c>
      <c r="Q14" s="582" t="s">
        <v>621</v>
      </c>
      <c r="R14" s="582">
        <f t="shared" si="1"/>
        <v>1</v>
      </c>
    </row>
    <row r="15" spans="1:18">
      <c r="A15" s="582" t="s">
        <v>597</v>
      </c>
      <c r="B15" s="582" t="s">
        <v>195</v>
      </c>
      <c r="C15" s="582" t="s">
        <v>196</v>
      </c>
      <c r="D15" s="2">
        <v>1593</v>
      </c>
      <c r="E15" s="587">
        <v>1895</v>
      </c>
      <c r="F15" s="587">
        <v>1911</v>
      </c>
      <c r="G15" s="587">
        <v>1931</v>
      </c>
      <c r="H15" s="587">
        <v>1925</v>
      </c>
      <c r="I15" s="587">
        <v>1959</v>
      </c>
      <c r="J15" s="587">
        <v>1959</v>
      </c>
      <c r="K15" s="587">
        <v>1944</v>
      </c>
      <c r="L15" s="587">
        <v>1952</v>
      </c>
      <c r="M15" s="587">
        <v>1948</v>
      </c>
      <c r="N15" s="582">
        <f t="shared" si="0"/>
        <v>1936</v>
      </c>
      <c r="O15" s="582">
        <v>1705072.19</v>
      </c>
      <c r="Q15" s="582" t="s">
        <v>621</v>
      </c>
      <c r="R15" s="582">
        <f t="shared" si="1"/>
        <v>1</v>
      </c>
    </row>
    <row r="16" spans="1:18">
      <c r="A16" s="582" t="s">
        <v>597</v>
      </c>
      <c r="B16" s="582" t="s">
        <v>213</v>
      </c>
      <c r="C16" s="582" t="s">
        <v>598</v>
      </c>
      <c r="D16" s="2">
        <v>20</v>
      </c>
      <c r="E16" s="587">
        <v>20</v>
      </c>
      <c r="F16" s="587">
        <v>21</v>
      </c>
      <c r="G16" s="587">
        <v>21</v>
      </c>
      <c r="H16" s="587">
        <v>21</v>
      </c>
      <c r="I16" s="587">
        <v>21</v>
      </c>
      <c r="J16" s="587">
        <v>21</v>
      </c>
      <c r="K16" s="587">
        <v>21</v>
      </c>
      <c r="L16" s="587">
        <v>21</v>
      </c>
      <c r="M16" s="587">
        <v>21</v>
      </c>
      <c r="N16" s="582">
        <f t="shared" si="0"/>
        <v>20.89</v>
      </c>
      <c r="O16" s="582">
        <v>19107.91</v>
      </c>
      <c r="Q16" s="582" t="s">
        <v>621</v>
      </c>
      <c r="R16" s="582">
        <f t="shared" si="1"/>
        <v>1</v>
      </c>
    </row>
    <row r="17" spans="1:18">
      <c r="A17" s="582" t="s">
        <v>599</v>
      </c>
      <c r="B17" s="582" t="s">
        <v>62</v>
      </c>
      <c r="C17" s="582" t="s">
        <v>63</v>
      </c>
      <c r="D17" s="2">
        <v>508</v>
      </c>
      <c r="E17" s="587">
        <v>615</v>
      </c>
      <c r="F17" s="587">
        <v>667</v>
      </c>
      <c r="G17" s="587">
        <v>670</v>
      </c>
      <c r="H17" s="587">
        <v>674</v>
      </c>
      <c r="I17" s="587">
        <v>678</v>
      </c>
      <c r="J17" s="587">
        <v>685</v>
      </c>
      <c r="K17" s="587">
        <v>686</v>
      </c>
      <c r="L17" s="587">
        <v>682</v>
      </c>
      <c r="M17" s="587">
        <v>679</v>
      </c>
      <c r="N17" s="582">
        <f t="shared" si="0"/>
        <v>670.67</v>
      </c>
      <c r="O17" s="582">
        <v>587050.06999999995</v>
      </c>
      <c r="Q17" s="582" t="s">
        <v>621</v>
      </c>
      <c r="R17" s="582">
        <f t="shared" si="1"/>
        <v>1</v>
      </c>
    </row>
    <row r="18" spans="1:18">
      <c r="A18" s="582" t="s">
        <v>597</v>
      </c>
      <c r="B18" s="582" t="s">
        <v>189</v>
      </c>
      <c r="C18" s="582" t="s">
        <v>190</v>
      </c>
      <c r="D18" s="2">
        <v>1673</v>
      </c>
      <c r="E18" s="587">
        <v>1848</v>
      </c>
      <c r="F18" s="587">
        <v>1864</v>
      </c>
      <c r="G18" s="587">
        <v>1863</v>
      </c>
      <c r="H18" s="587">
        <v>1867</v>
      </c>
      <c r="I18" s="587">
        <v>1906</v>
      </c>
      <c r="J18" s="587">
        <v>1903</v>
      </c>
      <c r="K18" s="587">
        <v>1906</v>
      </c>
      <c r="L18" s="587">
        <v>1910</v>
      </c>
      <c r="M18" s="587">
        <v>1918</v>
      </c>
      <c r="N18" s="582">
        <f t="shared" si="0"/>
        <v>1887.22</v>
      </c>
      <c r="O18" s="582">
        <v>1583236.9</v>
      </c>
      <c r="Q18" s="582" t="s">
        <v>621</v>
      </c>
      <c r="R18" s="582">
        <f t="shared" si="1"/>
        <v>1</v>
      </c>
    </row>
    <row r="19" spans="1:18">
      <c r="A19" s="582" t="s">
        <v>595</v>
      </c>
      <c r="B19" s="582" t="s">
        <v>504</v>
      </c>
      <c r="C19" s="582" t="s">
        <v>505</v>
      </c>
      <c r="D19" s="2">
        <v>486</v>
      </c>
      <c r="E19" s="587">
        <v>606</v>
      </c>
      <c r="F19" s="587">
        <v>608</v>
      </c>
      <c r="G19" s="587">
        <v>613</v>
      </c>
      <c r="H19" s="587">
        <v>609</v>
      </c>
      <c r="I19" s="587">
        <v>611</v>
      </c>
      <c r="J19" s="587">
        <v>620</v>
      </c>
      <c r="K19" s="587">
        <v>626</v>
      </c>
      <c r="L19" s="587">
        <v>627</v>
      </c>
      <c r="M19" s="587">
        <v>626</v>
      </c>
      <c r="N19" s="582">
        <f t="shared" si="0"/>
        <v>616.22</v>
      </c>
      <c r="O19" s="582">
        <v>548220.36</v>
      </c>
      <c r="Q19" s="582" t="s">
        <v>621</v>
      </c>
      <c r="R19" s="582">
        <f t="shared" si="1"/>
        <v>1</v>
      </c>
    </row>
    <row r="20" spans="1:18">
      <c r="A20" s="582" t="s">
        <v>603</v>
      </c>
      <c r="B20" s="582" t="s">
        <v>2</v>
      </c>
      <c r="C20" s="582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 s="582">
        <f>ROUND(SUM(E20:M20)/6,2)</f>
        <v>0</v>
      </c>
      <c r="O20" s="582">
        <v>0</v>
      </c>
      <c r="Q20" s="582" t="s">
        <v>801</v>
      </c>
      <c r="R20" s="582">
        <f t="shared" si="1"/>
        <v>0</v>
      </c>
    </row>
    <row r="21" spans="1:18">
      <c r="A21" s="582" t="s">
        <v>597</v>
      </c>
      <c r="B21" s="582" t="s">
        <v>363</v>
      </c>
      <c r="C21" s="582" t="s">
        <v>364</v>
      </c>
      <c r="D21" s="2">
        <v>272</v>
      </c>
      <c r="E21" s="587">
        <v>276</v>
      </c>
      <c r="F21" s="587">
        <v>282</v>
      </c>
      <c r="G21" s="587">
        <v>284</v>
      </c>
      <c r="H21" s="587">
        <v>283</v>
      </c>
      <c r="I21" s="587">
        <v>282</v>
      </c>
      <c r="J21" s="587">
        <v>283</v>
      </c>
      <c r="K21" s="587">
        <v>282</v>
      </c>
      <c r="L21" s="587">
        <v>277</v>
      </c>
      <c r="M21" s="587">
        <v>272</v>
      </c>
      <c r="N21" s="582">
        <f t="shared" ref="N21:N84" si="2">ROUND(SUM(E21:M21)/9,2)</f>
        <v>280.11</v>
      </c>
      <c r="O21" s="582">
        <v>246256.88</v>
      </c>
      <c r="Q21" s="582" t="s">
        <v>621</v>
      </c>
      <c r="R21" s="582">
        <f t="shared" si="1"/>
        <v>1</v>
      </c>
    </row>
    <row r="22" spans="1:18">
      <c r="A22" s="582" t="s">
        <v>605</v>
      </c>
      <c r="B22" s="582" t="s">
        <v>234</v>
      </c>
      <c r="C22" s="58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 s="582">
        <f t="shared" si="2"/>
        <v>0</v>
      </c>
      <c r="O22" s="582">
        <v>0</v>
      </c>
      <c r="Q22" s="582" t="s">
        <v>801</v>
      </c>
      <c r="R22" s="582">
        <f t="shared" si="1"/>
        <v>0</v>
      </c>
    </row>
    <row r="23" spans="1:18">
      <c r="A23" s="582" t="s">
        <v>595</v>
      </c>
      <c r="B23" s="582" t="s">
        <v>508</v>
      </c>
      <c r="C23" s="582" t="s">
        <v>509</v>
      </c>
      <c r="D23" s="2">
        <v>63</v>
      </c>
      <c r="E23" s="587">
        <v>82</v>
      </c>
      <c r="F23" s="587">
        <v>78</v>
      </c>
      <c r="G23" s="587">
        <v>81</v>
      </c>
      <c r="H23" s="587">
        <v>82</v>
      </c>
      <c r="I23" s="587">
        <v>84</v>
      </c>
      <c r="J23" s="587">
        <v>84</v>
      </c>
      <c r="K23" s="587">
        <v>81</v>
      </c>
      <c r="L23" s="587">
        <v>82</v>
      </c>
      <c r="M23" s="587">
        <v>83</v>
      </c>
      <c r="N23" s="582">
        <f t="shared" si="2"/>
        <v>81.89</v>
      </c>
      <c r="O23" s="582">
        <v>73528.58</v>
      </c>
      <c r="Q23" s="582" t="s">
        <v>621</v>
      </c>
      <c r="R23" s="582">
        <f t="shared" si="1"/>
        <v>1</v>
      </c>
    </row>
    <row r="24" spans="1:18">
      <c r="A24" s="582" t="s">
        <v>594</v>
      </c>
      <c r="B24" s="582" t="s">
        <v>266</v>
      </c>
      <c r="C24" s="582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7">
        <v>0</v>
      </c>
      <c r="N24" s="582">
        <f t="shared" si="2"/>
        <v>0</v>
      </c>
      <c r="O24" s="582">
        <v>0</v>
      </c>
      <c r="Q24" s="582" t="s">
        <v>801</v>
      </c>
      <c r="R24" s="582">
        <f t="shared" si="1"/>
        <v>0</v>
      </c>
    </row>
    <row r="25" spans="1:18">
      <c r="A25" s="582" t="s">
        <v>600</v>
      </c>
      <c r="B25" s="582" t="s">
        <v>211</v>
      </c>
      <c r="C25" s="582" t="s">
        <v>212</v>
      </c>
      <c r="D25" s="2">
        <v>123</v>
      </c>
      <c r="E25" s="587">
        <v>142</v>
      </c>
      <c r="F25" s="587">
        <v>145</v>
      </c>
      <c r="G25" s="587">
        <v>150</v>
      </c>
      <c r="H25" s="587">
        <v>145</v>
      </c>
      <c r="I25" s="587">
        <v>152</v>
      </c>
      <c r="J25" s="587">
        <v>148</v>
      </c>
      <c r="K25" s="587">
        <v>149</v>
      </c>
      <c r="L25" s="587">
        <v>154</v>
      </c>
      <c r="M25" s="587">
        <v>154</v>
      </c>
      <c r="N25" s="582">
        <f t="shared" si="2"/>
        <v>148.78</v>
      </c>
      <c r="O25" s="582">
        <v>128822.61</v>
      </c>
      <c r="Q25" s="582" t="s">
        <v>621</v>
      </c>
      <c r="R25" s="582">
        <f t="shared" si="1"/>
        <v>1</v>
      </c>
    </row>
    <row r="26" spans="1:18">
      <c r="A26" s="582" t="s">
        <v>601</v>
      </c>
      <c r="B26" s="582" t="s">
        <v>315</v>
      </c>
      <c r="C26" s="582" t="s">
        <v>316</v>
      </c>
      <c r="D26" s="2">
        <v>330</v>
      </c>
      <c r="E26" s="587">
        <v>406</v>
      </c>
      <c r="F26" s="587">
        <v>409</v>
      </c>
      <c r="G26" s="587">
        <v>398</v>
      </c>
      <c r="H26" s="587">
        <v>393</v>
      </c>
      <c r="I26" s="587">
        <v>398</v>
      </c>
      <c r="J26" s="587">
        <v>392</v>
      </c>
      <c r="K26" s="587">
        <v>393</v>
      </c>
      <c r="L26" s="587">
        <v>391</v>
      </c>
      <c r="M26" s="587">
        <v>392</v>
      </c>
      <c r="N26" s="582">
        <f t="shared" si="2"/>
        <v>396.89</v>
      </c>
      <c r="O26" s="582">
        <v>343904.58</v>
      </c>
      <c r="Q26" s="582" t="s">
        <v>621</v>
      </c>
      <c r="R26" s="582">
        <f t="shared" si="1"/>
        <v>1</v>
      </c>
    </row>
    <row r="27" spans="1:18">
      <c r="A27" s="582" t="s">
        <v>601</v>
      </c>
      <c r="B27" s="582" t="s">
        <v>84</v>
      </c>
      <c r="C27" s="582" t="s">
        <v>85</v>
      </c>
      <c r="D27" s="2">
        <v>320</v>
      </c>
      <c r="E27" s="587">
        <v>315</v>
      </c>
      <c r="F27" s="587">
        <v>315</v>
      </c>
      <c r="G27" s="587">
        <v>313</v>
      </c>
      <c r="H27" s="587">
        <v>308</v>
      </c>
      <c r="I27" s="587">
        <v>321</v>
      </c>
      <c r="J27" s="587">
        <v>320</v>
      </c>
      <c r="K27" s="587">
        <v>318</v>
      </c>
      <c r="L27" s="587">
        <v>317</v>
      </c>
      <c r="M27" s="587">
        <v>315</v>
      </c>
      <c r="N27" s="582">
        <f t="shared" si="2"/>
        <v>315.77999999999997</v>
      </c>
      <c r="O27" s="582">
        <v>263670.40000000002</v>
      </c>
      <c r="Q27" s="582" t="s">
        <v>621</v>
      </c>
      <c r="R27" s="582">
        <f t="shared" si="1"/>
        <v>1</v>
      </c>
    </row>
    <row r="28" spans="1:18">
      <c r="A28" s="582" t="s">
        <v>600</v>
      </c>
      <c r="B28" s="582" t="s">
        <v>165</v>
      </c>
      <c r="C28" s="582" t="s">
        <v>166</v>
      </c>
      <c r="D28" s="2">
        <v>2</v>
      </c>
      <c r="E28" s="587">
        <v>2</v>
      </c>
      <c r="F28" s="587">
        <v>2</v>
      </c>
      <c r="G28" s="587">
        <v>2</v>
      </c>
      <c r="H28" s="587">
        <v>2</v>
      </c>
      <c r="I28" s="587">
        <v>2</v>
      </c>
      <c r="J28" s="587">
        <v>2</v>
      </c>
      <c r="K28" s="587">
        <v>2</v>
      </c>
      <c r="L28" s="587">
        <v>2</v>
      </c>
      <c r="M28" s="587">
        <v>2</v>
      </c>
      <c r="N28" s="582">
        <f t="shared" si="2"/>
        <v>2</v>
      </c>
      <c r="O28" s="582">
        <v>1573.16</v>
      </c>
      <c r="Q28" s="582" t="s">
        <v>621</v>
      </c>
      <c r="R28" s="582">
        <f t="shared" si="1"/>
        <v>1</v>
      </c>
    </row>
    <row r="29" spans="1:18">
      <c r="A29" s="582" t="s">
        <v>595</v>
      </c>
      <c r="B29" s="582" t="s">
        <v>378</v>
      </c>
      <c r="C29" s="582" t="s">
        <v>602</v>
      </c>
      <c r="D29" s="2">
        <v>708</v>
      </c>
      <c r="E29" s="587">
        <v>688</v>
      </c>
      <c r="F29" s="587">
        <v>651</v>
      </c>
      <c r="G29" s="587">
        <v>656</v>
      </c>
      <c r="H29" s="587">
        <v>652</v>
      </c>
      <c r="I29" s="587">
        <v>658</v>
      </c>
      <c r="J29" s="587">
        <v>660</v>
      </c>
      <c r="K29" s="587">
        <v>661</v>
      </c>
      <c r="L29" s="587">
        <v>654</v>
      </c>
      <c r="M29" s="587">
        <v>653</v>
      </c>
      <c r="N29" s="582">
        <f t="shared" si="2"/>
        <v>659.22</v>
      </c>
      <c r="O29" s="582">
        <v>573620.36</v>
      </c>
      <c r="Q29" s="582" t="s">
        <v>621</v>
      </c>
      <c r="R29" s="582">
        <f t="shared" si="1"/>
        <v>1</v>
      </c>
    </row>
    <row r="30" spans="1:18">
      <c r="A30" s="582" t="s">
        <v>599</v>
      </c>
      <c r="B30" s="582" t="s">
        <v>60</v>
      </c>
      <c r="C30" s="582" t="s">
        <v>61</v>
      </c>
      <c r="D30" s="2">
        <v>76</v>
      </c>
      <c r="E30" s="587">
        <v>106</v>
      </c>
      <c r="F30" s="587">
        <v>111</v>
      </c>
      <c r="G30" s="587">
        <v>111</v>
      </c>
      <c r="H30" s="587">
        <v>109</v>
      </c>
      <c r="I30" s="587">
        <v>106</v>
      </c>
      <c r="J30" s="587">
        <v>107</v>
      </c>
      <c r="K30" s="587">
        <v>109</v>
      </c>
      <c r="L30" s="587">
        <v>107</v>
      </c>
      <c r="M30" s="587">
        <v>107</v>
      </c>
      <c r="N30" s="582">
        <f t="shared" si="2"/>
        <v>108.11</v>
      </c>
      <c r="O30" s="582">
        <v>95673.49</v>
      </c>
      <c r="Q30" s="582" t="s">
        <v>621</v>
      </c>
      <c r="R30" s="582">
        <f t="shared" si="1"/>
        <v>1</v>
      </c>
    </row>
    <row r="31" spans="1:18">
      <c r="A31" s="582" t="s">
        <v>600</v>
      </c>
      <c r="B31" s="582" t="s">
        <v>45</v>
      </c>
      <c r="C31" s="582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7">
        <v>0</v>
      </c>
      <c r="N31" s="582">
        <f t="shared" si="2"/>
        <v>0</v>
      </c>
      <c r="O31" s="582">
        <v>0</v>
      </c>
      <c r="Q31" s="582" t="s">
        <v>801</v>
      </c>
      <c r="R31" s="582">
        <f t="shared" si="1"/>
        <v>0</v>
      </c>
    </row>
    <row r="32" spans="1:18">
      <c r="A32" s="582" t="s">
        <v>597</v>
      </c>
      <c r="B32" s="582" t="s">
        <v>347</v>
      </c>
      <c r="C32" s="58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7">
        <v>0</v>
      </c>
      <c r="N32" s="582">
        <f t="shared" si="2"/>
        <v>0</v>
      </c>
      <c r="O32" s="582">
        <v>0</v>
      </c>
      <c r="Q32" s="582" t="s">
        <v>801</v>
      </c>
      <c r="R32" s="582">
        <f t="shared" si="1"/>
        <v>0</v>
      </c>
    </row>
    <row r="33" spans="1:18">
      <c r="A33" s="582" t="s">
        <v>601</v>
      </c>
      <c r="B33" s="582" t="s">
        <v>35</v>
      </c>
      <c r="C33" s="582" t="s">
        <v>36</v>
      </c>
      <c r="D33" s="2">
        <v>174</v>
      </c>
      <c r="E33" s="587">
        <v>176</v>
      </c>
      <c r="F33" s="587">
        <v>176</v>
      </c>
      <c r="G33" s="587">
        <v>176</v>
      </c>
      <c r="H33" s="587">
        <v>175</v>
      </c>
      <c r="I33" s="587">
        <v>175</v>
      </c>
      <c r="J33" s="587">
        <v>174</v>
      </c>
      <c r="K33" s="587">
        <v>171</v>
      </c>
      <c r="L33" s="587">
        <v>170</v>
      </c>
      <c r="M33" s="587">
        <v>169</v>
      </c>
      <c r="N33" s="582">
        <f t="shared" si="2"/>
        <v>173.56</v>
      </c>
      <c r="O33" s="582">
        <v>154415.99</v>
      </c>
      <c r="Q33" s="582" t="s">
        <v>621</v>
      </c>
      <c r="R33" s="582">
        <f t="shared" si="1"/>
        <v>1</v>
      </c>
    </row>
    <row r="34" spans="1:18">
      <c r="A34" s="582" t="s">
        <v>601</v>
      </c>
      <c r="B34" s="582" t="s">
        <v>33</v>
      </c>
      <c r="C34" s="582" t="s">
        <v>34</v>
      </c>
      <c r="D34" s="2">
        <v>213</v>
      </c>
      <c r="E34" s="587">
        <v>215</v>
      </c>
      <c r="F34" s="587">
        <v>217</v>
      </c>
      <c r="G34" s="587">
        <v>218</v>
      </c>
      <c r="H34" s="587">
        <v>217</v>
      </c>
      <c r="I34" s="587">
        <v>218</v>
      </c>
      <c r="J34" s="587">
        <v>217</v>
      </c>
      <c r="K34" s="587">
        <v>214</v>
      </c>
      <c r="L34" s="587">
        <v>212</v>
      </c>
      <c r="M34" s="587">
        <v>213</v>
      </c>
      <c r="N34" s="582">
        <f t="shared" si="2"/>
        <v>215.67</v>
      </c>
      <c r="O34" s="582">
        <v>198759.45</v>
      </c>
      <c r="Q34" s="582" t="s">
        <v>621</v>
      </c>
      <c r="R34" s="582">
        <f t="shared" si="1"/>
        <v>1</v>
      </c>
    </row>
    <row r="35" spans="1:18">
      <c r="A35" s="582" t="s">
        <v>599</v>
      </c>
      <c r="B35" s="582" t="s">
        <v>74</v>
      </c>
      <c r="C35" s="582" t="s">
        <v>75</v>
      </c>
      <c r="D35" s="2">
        <v>28</v>
      </c>
      <c r="E35" s="587">
        <v>26</v>
      </c>
      <c r="F35" s="587">
        <v>27</v>
      </c>
      <c r="G35" s="587">
        <v>28</v>
      </c>
      <c r="H35" s="587">
        <v>28</v>
      </c>
      <c r="I35" s="587">
        <v>29</v>
      </c>
      <c r="J35" s="587">
        <v>30</v>
      </c>
      <c r="K35" s="587">
        <v>32</v>
      </c>
      <c r="L35" s="587">
        <v>30</v>
      </c>
      <c r="M35" s="587">
        <v>29</v>
      </c>
      <c r="N35" s="582">
        <f t="shared" si="2"/>
        <v>28.78</v>
      </c>
      <c r="O35" s="582">
        <v>25261.42</v>
      </c>
      <c r="Q35" s="582" t="s">
        <v>621</v>
      </c>
      <c r="R35" s="582">
        <f t="shared" si="1"/>
        <v>1</v>
      </c>
    </row>
    <row r="36" spans="1:18">
      <c r="A36" s="582" t="s">
        <v>599</v>
      </c>
      <c r="B36" s="582" t="s">
        <v>236</v>
      </c>
      <c r="C36" s="582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7">
        <v>0</v>
      </c>
      <c r="N36" s="582">
        <f t="shared" si="2"/>
        <v>0</v>
      </c>
      <c r="O36" s="582">
        <v>0</v>
      </c>
      <c r="Q36" s="582" t="s">
        <v>801</v>
      </c>
      <c r="R36" s="582">
        <f t="shared" si="1"/>
        <v>0</v>
      </c>
    </row>
    <row r="37" spans="1:18">
      <c r="A37" s="582" t="s">
        <v>600</v>
      </c>
      <c r="B37" s="582" t="s">
        <v>216</v>
      </c>
      <c r="C37" s="582" t="s">
        <v>217</v>
      </c>
      <c r="D37" s="2">
        <v>174</v>
      </c>
      <c r="E37" s="587">
        <v>215</v>
      </c>
      <c r="F37" s="587">
        <v>217</v>
      </c>
      <c r="G37" s="587">
        <v>225</v>
      </c>
      <c r="H37" s="587">
        <v>225</v>
      </c>
      <c r="I37" s="587">
        <v>226</v>
      </c>
      <c r="J37" s="587">
        <v>232</v>
      </c>
      <c r="K37" s="587">
        <v>234</v>
      </c>
      <c r="L37" s="587">
        <v>240</v>
      </c>
      <c r="M37" s="587">
        <v>239</v>
      </c>
      <c r="N37" s="582">
        <f t="shared" si="2"/>
        <v>228.11</v>
      </c>
      <c r="O37" s="582">
        <v>210668.24</v>
      </c>
      <c r="Q37" s="582" t="s">
        <v>621</v>
      </c>
      <c r="R37" s="582">
        <f t="shared" si="1"/>
        <v>1</v>
      </c>
    </row>
    <row r="38" spans="1:18">
      <c r="A38" s="582" t="s">
        <v>603</v>
      </c>
      <c r="B38" s="582" t="s">
        <v>434</v>
      </c>
      <c r="C38" s="582" t="s">
        <v>435</v>
      </c>
      <c r="D38" s="2">
        <v>297</v>
      </c>
      <c r="E38" s="587">
        <v>298</v>
      </c>
      <c r="F38" s="587">
        <v>302</v>
      </c>
      <c r="G38" s="587">
        <v>305</v>
      </c>
      <c r="H38" s="587">
        <v>305</v>
      </c>
      <c r="I38" s="587">
        <v>304</v>
      </c>
      <c r="J38" s="587">
        <v>306</v>
      </c>
      <c r="K38" s="587">
        <v>298</v>
      </c>
      <c r="L38" s="587">
        <v>304</v>
      </c>
      <c r="M38" s="587">
        <v>310</v>
      </c>
      <c r="N38" s="582">
        <f t="shared" si="2"/>
        <v>303.56</v>
      </c>
      <c r="O38" s="582">
        <v>269213.74</v>
      </c>
      <c r="Q38" s="582" t="s">
        <v>621</v>
      </c>
      <c r="R38" s="582">
        <f t="shared" si="1"/>
        <v>1</v>
      </c>
    </row>
    <row r="39" spans="1:18">
      <c r="A39" s="582" t="s">
        <v>594</v>
      </c>
      <c r="B39" s="582" t="s">
        <v>278</v>
      </c>
      <c r="C39" s="582" t="s">
        <v>279</v>
      </c>
      <c r="D39" s="2">
        <v>272</v>
      </c>
      <c r="E39" s="587">
        <v>299</v>
      </c>
      <c r="F39" s="587">
        <v>305</v>
      </c>
      <c r="G39" s="587">
        <v>303</v>
      </c>
      <c r="H39" s="587">
        <v>298</v>
      </c>
      <c r="I39" s="587">
        <v>300</v>
      </c>
      <c r="J39" s="587">
        <v>301</v>
      </c>
      <c r="K39" s="587">
        <v>301</v>
      </c>
      <c r="L39" s="587">
        <v>301</v>
      </c>
      <c r="M39" s="587">
        <v>303</v>
      </c>
      <c r="N39" s="582">
        <f t="shared" si="2"/>
        <v>301.22000000000003</v>
      </c>
      <c r="O39" s="582">
        <v>265258.46999999997</v>
      </c>
      <c r="Q39" s="582" t="s">
        <v>621</v>
      </c>
      <c r="R39" s="582">
        <f t="shared" si="1"/>
        <v>1</v>
      </c>
    </row>
    <row r="40" spans="1:18">
      <c r="A40" s="582" t="s">
        <v>594</v>
      </c>
      <c r="B40" s="582" t="s">
        <v>274</v>
      </c>
      <c r="C40" s="582" t="s">
        <v>275</v>
      </c>
      <c r="D40" s="2">
        <v>59</v>
      </c>
      <c r="E40" s="587">
        <v>86</v>
      </c>
      <c r="F40" s="587">
        <v>86</v>
      </c>
      <c r="G40" s="587">
        <v>86</v>
      </c>
      <c r="H40" s="587">
        <v>86</v>
      </c>
      <c r="I40" s="587">
        <v>86</v>
      </c>
      <c r="J40" s="587">
        <v>87</v>
      </c>
      <c r="K40" s="587">
        <v>88</v>
      </c>
      <c r="L40" s="587">
        <v>90</v>
      </c>
      <c r="M40" s="587">
        <v>89</v>
      </c>
      <c r="N40" s="582">
        <f t="shared" si="2"/>
        <v>87.11</v>
      </c>
      <c r="O40" s="582">
        <v>78651.740000000005</v>
      </c>
      <c r="Q40" s="582" t="s">
        <v>621</v>
      </c>
      <c r="R40" s="582">
        <f t="shared" si="1"/>
        <v>1</v>
      </c>
    </row>
    <row r="41" spans="1:18">
      <c r="A41" s="582" t="s">
        <v>603</v>
      </c>
      <c r="B41" s="582" t="s">
        <v>438</v>
      </c>
      <c r="C41" s="582" t="s">
        <v>439</v>
      </c>
      <c r="D41" s="2">
        <v>63</v>
      </c>
      <c r="E41" s="587">
        <v>91</v>
      </c>
      <c r="F41" s="587">
        <v>95</v>
      </c>
      <c r="G41" s="587">
        <v>95</v>
      </c>
      <c r="H41" s="587">
        <v>94</v>
      </c>
      <c r="I41" s="587">
        <v>91</v>
      </c>
      <c r="J41" s="587">
        <v>91</v>
      </c>
      <c r="K41" s="587">
        <v>93</v>
      </c>
      <c r="L41" s="587">
        <v>95</v>
      </c>
      <c r="M41" s="587">
        <v>95</v>
      </c>
      <c r="N41" s="582">
        <f t="shared" si="2"/>
        <v>93.33</v>
      </c>
      <c r="O41" s="582">
        <v>82222.789999999994</v>
      </c>
      <c r="Q41" s="582" t="s">
        <v>621</v>
      </c>
      <c r="R41" s="582">
        <f t="shared" si="1"/>
        <v>1</v>
      </c>
    </row>
    <row r="42" spans="1:18">
      <c r="A42" s="582" t="s">
        <v>603</v>
      </c>
      <c r="B42" s="582" t="s">
        <v>450</v>
      </c>
      <c r="C42" s="582" t="s">
        <v>451</v>
      </c>
      <c r="D42" s="2">
        <v>5</v>
      </c>
      <c r="E42" s="587">
        <v>5</v>
      </c>
      <c r="F42" s="587">
        <v>5</v>
      </c>
      <c r="G42" s="587">
        <v>5</v>
      </c>
      <c r="H42" s="587">
        <v>5</v>
      </c>
      <c r="I42" s="587">
        <v>5</v>
      </c>
      <c r="J42" s="587">
        <v>5</v>
      </c>
      <c r="K42" s="587">
        <v>5</v>
      </c>
      <c r="L42" s="587">
        <v>5</v>
      </c>
      <c r="M42" s="587">
        <v>5</v>
      </c>
      <c r="N42" s="582">
        <f t="shared" si="2"/>
        <v>5</v>
      </c>
      <c r="O42" s="582">
        <v>4764.51</v>
      </c>
      <c r="Q42" s="582" t="s">
        <v>621</v>
      </c>
      <c r="R42" s="582">
        <f t="shared" si="1"/>
        <v>1</v>
      </c>
    </row>
    <row r="43" spans="1:18">
      <c r="A43" s="582" t="s">
        <v>600</v>
      </c>
      <c r="B43" s="582" t="s">
        <v>169</v>
      </c>
      <c r="C43" s="582" t="s">
        <v>170</v>
      </c>
      <c r="D43" s="2">
        <v>10</v>
      </c>
      <c r="E43" s="587">
        <v>10</v>
      </c>
      <c r="F43" s="587">
        <v>10</v>
      </c>
      <c r="G43" s="587">
        <v>10</v>
      </c>
      <c r="H43" s="587">
        <v>10</v>
      </c>
      <c r="I43" s="587">
        <v>10</v>
      </c>
      <c r="J43" s="587">
        <v>10</v>
      </c>
      <c r="K43" s="587">
        <v>10</v>
      </c>
      <c r="L43" s="587">
        <v>9</v>
      </c>
      <c r="M43" s="587">
        <v>9</v>
      </c>
      <c r="N43" s="582">
        <f t="shared" si="2"/>
        <v>9.7799999999999994</v>
      </c>
      <c r="O43" s="582">
        <v>9056.08</v>
      </c>
      <c r="Q43" s="582" t="s">
        <v>621</v>
      </c>
      <c r="R43" s="582">
        <f t="shared" si="1"/>
        <v>1</v>
      </c>
    </row>
    <row r="44" spans="1:18">
      <c r="A44" s="582" t="s">
        <v>596</v>
      </c>
      <c r="B44" s="582" t="s">
        <v>10</v>
      </c>
      <c r="C44" s="582" t="s">
        <v>11</v>
      </c>
      <c r="D44" s="2">
        <v>20</v>
      </c>
      <c r="E44" s="587">
        <v>26</v>
      </c>
      <c r="F44" s="587">
        <v>26</v>
      </c>
      <c r="G44" s="587">
        <v>26</v>
      </c>
      <c r="H44" s="587">
        <v>26</v>
      </c>
      <c r="I44" s="587">
        <v>26</v>
      </c>
      <c r="J44" s="587">
        <v>26</v>
      </c>
      <c r="K44" s="587">
        <v>26</v>
      </c>
      <c r="L44" s="587">
        <v>26</v>
      </c>
      <c r="M44" s="587">
        <v>26</v>
      </c>
      <c r="N44" s="582">
        <f t="shared" si="2"/>
        <v>26</v>
      </c>
      <c r="O44" s="582">
        <v>23316.32</v>
      </c>
      <c r="Q44" s="582" t="s">
        <v>621</v>
      </c>
      <c r="R44" s="582">
        <f t="shared" si="1"/>
        <v>1</v>
      </c>
    </row>
    <row r="45" spans="1:18">
      <c r="A45" s="582" t="s">
        <v>605</v>
      </c>
      <c r="B45" s="582" t="s">
        <v>230</v>
      </c>
      <c r="C45" s="582" t="s">
        <v>231</v>
      </c>
      <c r="D45" s="2">
        <v>11</v>
      </c>
      <c r="E45" s="587">
        <v>11</v>
      </c>
      <c r="F45" s="587">
        <v>12</v>
      </c>
      <c r="G45" s="587">
        <v>12</v>
      </c>
      <c r="H45" s="587">
        <v>12</v>
      </c>
      <c r="I45" s="587">
        <v>12</v>
      </c>
      <c r="J45" s="587">
        <v>12</v>
      </c>
      <c r="K45" s="587">
        <v>14</v>
      </c>
      <c r="L45" s="587">
        <v>14</v>
      </c>
      <c r="M45" s="587">
        <v>15</v>
      </c>
      <c r="N45" s="582">
        <f t="shared" si="2"/>
        <v>12.67</v>
      </c>
      <c r="O45" s="582">
        <v>11132.09</v>
      </c>
      <c r="Q45" s="582" t="s">
        <v>621</v>
      </c>
      <c r="R45" s="582">
        <f t="shared" si="1"/>
        <v>1</v>
      </c>
    </row>
    <row r="46" spans="1:18">
      <c r="A46" s="582" t="s">
        <v>597</v>
      </c>
      <c r="B46" s="582" t="s">
        <v>357</v>
      </c>
      <c r="C46" s="582" t="s">
        <v>358</v>
      </c>
      <c r="D46" s="2">
        <v>1170</v>
      </c>
      <c r="E46" s="587">
        <v>1312</v>
      </c>
      <c r="F46" s="587">
        <v>1295</v>
      </c>
      <c r="G46" s="587">
        <v>1291</v>
      </c>
      <c r="H46" s="587">
        <v>1288</v>
      </c>
      <c r="I46" s="587">
        <v>1306</v>
      </c>
      <c r="J46" s="587">
        <v>1315</v>
      </c>
      <c r="K46" s="587">
        <v>1307</v>
      </c>
      <c r="L46" s="587">
        <v>1316</v>
      </c>
      <c r="M46" s="587">
        <v>1305</v>
      </c>
      <c r="N46" s="582">
        <f t="shared" si="2"/>
        <v>1303.8900000000001</v>
      </c>
      <c r="O46" s="582">
        <v>1118788.51</v>
      </c>
      <c r="Q46" s="582" t="s">
        <v>621</v>
      </c>
      <c r="R46" s="582">
        <f t="shared" si="1"/>
        <v>1</v>
      </c>
    </row>
    <row r="47" spans="1:18">
      <c r="A47" s="582" t="s">
        <v>603</v>
      </c>
      <c r="B47" s="582" t="s">
        <v>525</v>
      </c>
      <c r="C47" s="582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7">
        <v>0</v>
      </c>
      <c r="N47" s="582">
        <f t="shared" si="2"/>
        <v>0</v>
      </c>
      <c r="O47" s="582">
        <v>0</v>
      </c>
      <c r="Q47" s="582" t="s">
        <v>801</v>
      </c>
      <c r="R47" s="582">
        <f t="shared" si="1"/>
        <v>0</v>
      </c>
    </row>
    <row r="48" spans="1:18">
      <c r="A48" s="582" t="s">
        <v>596</v>
      </c>
      <c r="B48" s="582" t="s">
        <v>494</v>
      </c>
      <c r="C48" s="582" t="s">
        <v>495</v>
      </c>
      <c r="D48" s="2">
        <v>186</v>
      </c>
      <c r="E48" s="587">
        <v>187</v>
      </c>
      <c r="F48" s="587">
        <v>187</v>
      </c>
      <c r="G48" s="587">
        <v>186</v>
      </c>
      <c r="H48" s="587">
        <v>186</v>
      </c>
      <c r="I48" s="587">
        <v>185</v>
      </c>
      <c r="J48" s="587">
        <v>183</v>
      </c>
      <c r="K48" s="587">
        <v>187</v>
      </c>
      <c r="L48" s="587">
        <v>185</v>
      </c>
      <c r="M48" s="587">
        <v>184</v>
      </c>
      <c r="N48" s="582">
        <f t="shared" si="2"/>
        <v>185.56</v>
      </c>
      <c r="O48" s="582">
        <v>166166.18</v>
      </c>
      <c r="Q48" s="582" t="s">
        <v>621</v>
      </c>
      <c r="R48" s="582">
        <f t="shared" si="1"/>
        <v>1</v>
      </c>
    </row>
    <row r="49" spans="1:18">
      <c r="A49" s="582" t="s">
        <v>603</v>
      </c>
      <c r="B49" s="582" t="s">
        <v>533</v>
      </c>
      <c r="C49" s="582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7">
        <v>0</v>
      </c>
      <c r="N49" s="582">
        <f t="shared" si="2"/>
        <v>0</v>
      </c>
      <c r="O49" s="582">
        <v>0</v>
      </c>
      <c r="Q49" s="582" t="s">
        <v>801</v>
      </c>
      <c r="R49" s="582">
        <f t="shared" si="1"/>
        <v>0</v>
      </c>
    </row>
    <row r="50" spans="1:18">
      <c r="A50" s="582" t="s">
        <v>603</v>
      </c>
      <c r="B50" s="582" t="s">
        <v>464</v>
      </c>
      <c r="C50" s="582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7">
        <v>0</v>
      </c>
      <c r="N50" s="582">
        <f t="shared" si="2"/>
        <v>0</v>
      </c>
      <c r="O50" s="582">
        <v>0</v>
      </c>
      <c r="Q50" s="582" t="s">
        <v>801</v>
      </c>
      <c r="R50" s="582">
        <f t="shared" si="1"/>
        <v>0</v>
      </c>
    </row>
    <row r="51" spans="1:18">
      <c r="A51" s="582" t="s">
        <v>596</v>
      </c>
      <c r="B51" s="582" t="s">
        <v>498</v>
      </c>
      <c r="C51" s="582" t="s">
        <v>499</v>
      </c>
      <c r="D51" s="2">
        <v>113</v>
      </c>
      <c r="E51" s="587">
        <v>120</v>
      </c>
      <c r="F51" s="587">
        <v>118</v>
      </c>
      <c r="G51" s="587">
        <v>118</v>
      </c>
      <c r="H51" s="587">
        <v>119</v>
      </c>
      <c r="I51" s="587">
        <v>118</v>
      </c>
      <c r="J51" s="587">
        <v>117</v>
      </c>
      <c r="K51" s="587">
        <v>117</v>
      </c>
      <c r="L51" s="587">
        <v>111</v>
      </c>
      <c r="M51" s="587">
        <v>111</v>
      </c>
      <c r="N51" s="582">
        <f t="shared" si="2"/>
        <v>116.56</v>
      </c>
      <c r="O51" s="582">
        <v>98511.42</v>
      </c>
      <c r="Q51" s="582" t="s">
        <v>621</v>
      </c>
      <c r="R51" s="582">
        <f t="shared" si="1"/>
        <v>1</v>
      </c>
    </row>
    <row r="52" spans="1:18">
      <c r="A52" s="582" t="s">
        <v>603</v>
      </c>
      <c r="B52" s="582" t="s">
        <v>456</v>
      </c>
      <c r="C52" s="582" t="s">
        <v>457</v>
      </c>
      <c r="D52" s="2">
        <v>43</v>
      </c>
      <c r="E52" s="587">
        <v>43</v>
      </c>
      <c r="F52" s="587">
        <v>43</v>
      </c>
      <c r="G52" s="587">
        <v>43</v>
      </c>
      <c r="H52" s="587">
        <v>43</v>
      </c>
      <c r="I52" s="587">
        <v>43</v>
      </c>
      <c r="J52" s="587">
        <v>43</v>
      </c>
      <c r="K52" s="587">
        <v>44</v>
      </c>
      <c r="L52" s="587">
        <v>44</v>
      </c>
      <c r="M52" s="587">
        <v>45</v>
      </c>
      <c r="N52" s="582">
        <f t="shared" si="2"/>
        <v>43.44</v>
      </c>
      <c r="O52" s="582">
        <v>39700.79</v>
      </c>
      <c r="Q52" s="582" t="s">
        <v>621</v>
      </c>
      <c r="R52" s="582">
        <f t="shared" si="1"/>
        <v>1</v>
      </c>
    </row>
    <row r="53" spans="1:18">
      <c r="A53" s="582" t="s">
        <v>595</v>
      </c>
      <c r="B53" s="582" t="s">
        <v>376</v>
      </c>
      <c r="C53" s="582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7">
        <v>0</v>
      </c>
      <c r="N53" s="582">
        <f t="shared" si="2"/>
        <v>0</v>
      </c>
      <c r="O53" s="582">
        <v>0</v>
      </c>
      <c r="Q53" s="582" t="s">
        <v>801</v>
      </c>
      <c r="R53" s="582">
        <f t="shared" si="1"/>
        <v>0</v>
      </c>
    </row>
    <row r="54" spans="1:18">
      <c r="A54" s="582" t="s">
        <v>595</v>
      </c>
      <c r="B54" s="582" t="s">
        <v>384</v>
      </c>
      <c r="C54" s="582" t="s">
        <v>385</v>
      </c>
      <c r="D54" s="2">
        <v>32</v>
      </c>
      <c r="E54" s="587">
        <v>31</v>
      </c>
      <c r="F54" s="587">
        <v>28</v>
      </c>
      <c r="G54" s="587">
        <v>25</v>
      </c>
      <c r="H54" s="587">
        <v>25</v>
      </c>
      <c r="I54" s="587">
        <v>26</v>
      </c>
      <c r="J54" s="587">
        <v>30</v>
      </c>
      <c r="K54" s="587">
        <v>30</v>
      </c>
      <c r="L54" s="587">
        <v>32</v>
      </c>
      <c r="M54" s="587">
        <v>31</v>
      </c>
      <c r="N54" s="582">
        <f t="shared" si="2"/>
        <v>28.67</v>
      </c>
      <c r="O54" s="582">
        <v>26953.14</v>
      </c>
      <c r="Q54" s="582" t="s">
        <v>621</v>
      </c>
      <c r="R54" s="582">
        <f t="shared" si="1"/>
        <v>1</v>
      </c>
    </row>
    <row r="55" spans="1:18">
      <c r="A55" s="582" t="s">
        <v>594</v>
      </c>
      <c r="B55" s="582" t="s">
        <v>147</v>
      </c>
      <c r="C55" s="582" t="s">
        <v>148</v>
      </c>
      <c r="D55" s="2">
        <v>3</v>
      </c>
      <c r="E55" s="587">
        <v>3</v>
      </c>
      <c r="F55" s="587">
        <v>3</v>
      </c>
      <c r="G55" s="587">
        <v>3</v>
      </c>
      <c r="H55" s="587">
        <v>3</v>
      </c>
      <c r="I55" s="587">
        <v>3</v>
      </c>
      <c r="J55" s="587">
        <v>2</v>
      </c>
      <c r="K55" s="587">
        <v>2</v>
      </c>
      <c r="L55" s="587">
        <v>2</v>
      </c>
      <c r="M55" s="587">
        <v>2</v>
      </c>
      <c r="N55" s="582">
        <f t="shared" si="2"/>
        <v>2.56</v>
      </c>
      <c r="O55" s="582">
        <v>2309.44</v>
      </c>
      <c r="Q55" s="582" t="s">
        <v>621</v>
      </c>
      <c r="R55" s="582">
        <f t="shared" si="1"/>
        <v>1</v>
      </c>
    </row>
    <row r="56" spans="1:18">
      <c r="A56" s="582" t="s">
        <v>601</v>
      </c>
      <c r="B56" s="582" t="s">
        <v>120</v>
      </c>
      <c r="C56" s="582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7">
        <v>0</v>
      </c>
      <c r="N56" s="582">
        <f t="shared" si="2"/>
        <v>0</v>
      </c>
      <c r="O56" s="582">
        <v>0</v>
      </c>
      <c r="Q56" s="582" t="s">
        <v>801</v>
      </c>
      <c r="R56" s="582">
        <f t="shared" si="1"/>
        <v>0</v>
      </c>
    </row>
    <row r="57" spans="1:18">
      <c r="A57" s="582" t="s">
        <v>595</v>
      </c>
      <c r="B57" s="582" t="s">
        <v>159</v>
      </c>
      <c r="C57" s="582" t="s">
        <v>160</v>
      </c>
      <c r="D57" s="2">
        <v>21</v>
      </c>
      <c r="E57" s="587">
        <v>23</v>
      </c>
      <c r="F57" s="587">
        <v>24</v>
      </c>
      <c r="G57" s="587">
        <v>24</v>
      </c>
      <c r="H57" s="587">
        <v>23</v>
      </c>
      <c r="I57" s="587">
        <v>22</v>
      </c>
      <c r="J57" s="587">
        <v>22</v>
      </c>
      <c r="K57" s="587">
        <v>22</v>
      </c>
      <c r="L57" s="587">
        <v>22</v>
      </c>
      <c r="M57" s="587">
        <v>22</v>
      </c>
      <c r="N57" s="582">
        <f t="shared" si="2"/>
        <v>22.67</v>
      </c>
      <c r="O57" s="582">
        <v>20256.599999999999</v>
      </c>
      <c r="Q57" s="582" t="s">
        <v>621</v>
      </c>
      <c r="R57" s="582">
        <f t="shared" si="1"/>
        <v>1</v>
      </c>
    </row>
    <row r="58" spans="1:18">
      <c r="A58" s="582" t="s">
        <v>600</v>
      </c>
      <c r="B58" s="582" t="s">
        <v>41</v>
      </c>
      <c r="C58" s="582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7">
        <v>0</v>
      </c>
      <c r="N58" s="582">
        <f t="shared" si="2"/>
        <v>0</v>
      </c>
      <c r="O58" s="582">
        <v>0</v>
      </c>
      <c r="Q58" s="582" t="s">
        <v>801</v>
      </c>
      <c r="R58" s="582">
        <f t="shared" si="1"/>
        <v>0</v>
      </c>
    </row>
    <row r="59" spans="1:18">
      <c r="A59" s="582" t="s">
        <v>603</v>
      </c>
      <c r="B59" s="582" t="s">
        <v>285</v>
      </c>
      <c r="C59" s="582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2">
        <f t="shared" si="2"/>
        <v>0</v>
      </c>
      <c r="O59" s="582">
        <v>0</v>
      </c>
      <c r="Q59" s="582" t="s">
        <v>801</v>
      </c>
      <c r="R59" s="582">
        <f t="shared" si="1"/>
        <v>0</v>
      </c>
    </row>
    <row r="60" spans="1:18">
      <c r="A60" s="582" t="s">
        <v>603</v>
      </c>
      <c r="B60" s="582" t="s">
        <v>96</v>
      </c>
      <c r="C60" s="582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2">
        <f t="shared" si="2"/>
        <v>0</v>
      </c>
      <c r="O60" s="582">
        <v>0</v>
      </c>
      <c r="Q60" s="582" t="s">
        <v>801</v>
      </c>
      <c r="R60" s="582">
        <f t="shared" si="1"/>
        <v>0</v>
      </c>
    </row>
    <row r="61" spans="1:18">
      <c r="A61" s="582" t="s">
        <v>603</v>
      </c>
      <c r="B61" s="582" t="s">
        <v>338</v>
      </c>
      <c r="C61" s="582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 s="582">
        <f t="shared" si="2"/>
        <v>0</v>
      </c>
      <c r="O61" s="582">
        <v>0</v>
      </c>
      <c r="Q61" s="582" t="s">
        <v>801</v>
      </c>
      <c r="R61" s="582">
        <f t="shared" si="1"/>
        <v>0</v>
      </c>
    </row>
    <row r="62" spans="1:18">
      <c r="A62" s="582" t="s">
        <v>605</v>
      </c>
      <c r="B62" s="582" t="s">
        <v>220</v>
      </c>
      <c r="C62" s="58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 s="582">
        <f t="shared" si="2"/>
        <v>0</v>
      </c>
      <c r="O62" s="582">
        <v>0</v>
      </c>
      <c r="Q62" s="582" t="s">
        <v>801</v>
      </c>
      <c r="R62" s="582">
        <f t="shared" si="1"/>
        <v>0</v>
      </c>
    </row>
    <row r="63" spans="1:18">
      <c r="A63" s="582" t="s">
        <v>595</v>
      </c>
      <c r="B63" s="582" t="s">
        <v>417</v>
      </c>
      <c r="C63" s="582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7">
        <v>0</v>
      </c>
      <c r="N63" s="582">
        <f t="shared" si="2"/>
        <v>0</v>
      </c>
      <c r="O63" s="582">
        <v>0</v>
      </c>
      <c r="Q63" s="582" t="s">
        <v>801</v>
      </c>
      <c r="R63" s="582">
        <f t="shared" si="1"/>
        <v>0</v>
      </c>
    </row>
    <row r="64" spans="1:18">
      <c r="A64" s="582" t="s">
        <v>603</v>
      </c>
      <c r="B64" s="582" t="s">
        <v>293</v>
      </c>
      <c r="C64" s="582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 s="582">
        <f t="shared" si="2"/>
        <v>0</v>
      </c>
      <c r="O64" s="582">
        <v>0</v>
      </c>
      <c r="Q64" s="582" t="s">
        <v>801</v>
      </c>
      <c r="R64" s="582">
        <f t="shared" si="1"/>
        <v>0</v>
      </c>
    </row>
    <row r="65" spans="1:18">
      <c r="A65" s="582" t="s">
        <v>596</v>
      </c>
      <c r="B65" s="582" t="s">
        <v>66</v>
      </c>
      <c r="C65" s="582" t="s">
        <v>67</v>
      </c>
      <c r="D65" s="2">
        <v>0</v>
      </c>
      <c r="E65" s="587">
        <v>0</v>
      </c>
      <c r="F65" s="587">
        <v>0</v>
      </c>
      <c r="G65" s="587">
        <v>1</v>
      </c>
      <c r="H65" s="587">
        <v>1</v>
      </c>
      <c r="I65" s="587">
        <v>1</v>
      </c>
      <c r="J65" s="587">
        <v>1</v>
      </c>
      <c r="K65" s="587">
        <v>1</v>
      </c>
      <c r="L65" s="587">
        <v>1</v>
      </c>
      <c r="M65" s="587">
        <v>1</v>
      </c>
      <c r="N65" s="582">
        <f t="shared" si="2"/>
        <v>0.78</v>
      </c>
      <c r="O65" s="582">
        <v>728.48</v>
      </c>
      <c r="Q65" s="582" t="s">
        <v>621</v>
      </c>
      <c r="R65" s="582">
        <f t="shared" si="1"/>
        <v>1</v>
      </c>
    </row>
    <row r="66" spans="1:18">
      <c r="A66" s="582" t="s">
        <v>603</v>
      </c>
      <c r="B66" s="582" t="s">
        <v>444</v>
      </c>
      <c r="C66" s="582" t="s">
        <v>445</v>
      </c>
      <c r="D66" s="2">
        <v>4</v>
      </c>
      <c r="E66" s="587">
        <v>4</v>
      </c>
      <c r="F66" s="587">
        <v>4</v>
      </c>
      <c r="G66" s="587">
        <v>4</v>
      </c>
      <c r="H66" s="587">
        <v>4</v>
      </c>
      <c r="I66" s="587">
        <v>4</v>
      </c>
      <c r="J66" s="587">
        <v>5</v>
      </c>
      <c r="K66" s="587">
        <v>5</v>
      </c>
      <c r="L66" s="587">
        <v>5</v>
      </c>
      <c r="M66" s="587">
        <v>5</v>
      </c>
      <c r="N66" s="582">
        <f t="shared" si="2"/>
        <v>4.4400000000000004</v>
      </c>
      <c r="O66" s="582">
        <v>3952.83</v>
      </c>
      <c r="Q66" s="582" t="s">
        <v>621</v>
      </c>
      <c r="R66" s="582">
        <f t="shared" si="1"/>
        <v>1</v>
      </c>
    </row>
    <row r="67" spans="1:18">
      <c r="A67" s="582" t="s">
        <v>597</v>
      </c>
      <c r="B67" s="582" t="s">
        <v>353</v>
      </c>
      <c r="C67" s="582" t="s">
        <v>354</v>
      </c>
      <c r="D67" s="2">
        <v>22</v>
      </c>
      <c r="E67" s="587">
        <v>19</v>
      </c>
      <c r="F67" s="587">
        <v>18</v>
      </c>
      <c r="G67" s="587">
        <v>21</v>
      </c>
      <c r="H67" s="587">
        <v>22</v>
      </c>
      <c r="I67" s="587">
        <v>23</v>
      </c>
      <c r="J67" s="587">
        <v>22</v>
      </c>
      <c r="K67" s="587">
        <v>23</v>
      </c>
      <c r="L67" s="587">
        <v>22</v>
      </c>
      <c r="M67" s="587">
        <v>25</v>
      </c>
      <c r="N67" s="582">
        <f t="shared" si="2"/>
        <v>21.67</v>
      </c>
      <c r="O67" s="582">
        <v>19748.04</v>
      </c>
      <c r="Q67" s="582" t="s">
        <v>621</v>
      </c>
      <c r="R67" s="582">
        <f t="shared" si="1"/>
        <v>1</v>
      </c>
    </row>
    <row r="68" spans="1:18">
      <c r="A68" s="582" t="s">
        <v>596</v>
      </c>
      <c r="B68" s="582" t="s">
        <v>490</v>
      </c>
      <c r="C68" s="582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 s="582">
        <f t="shared" si="2"/>
        <v>0</v>
      </c>
      <c r="O68" s="582">
        <v>0</v>
      </c>
      <c r="Q68" s="582" t="s">
        <v>801</v>
      </c>
      <c r="R68" s="582">
        <f t="shared" si="1"/>
        <v>0</v>
      </c>
    </row>
    <row r="69" spans="1:18">
      <c r="A69" s="582" t="s">
        <v>603</v>
      </c>
      <c r="B69" s="582" t="s">
        <v>440</v>
      </c>
      <c r="C69" s="582" t="s">
        <v>606</v>
      </c>
      <c r="D69" s="2">
        <v>59</v>
      </c>
      <c r="E69" s="587">
        <v>95</v>
      </c>
      <c r="F69" s="587">
        <v>96</v>
      </c>
      <c r="G69" s="587">
        <v>100</v>
      </c>
      <c r="H69" s="587">
        <v>102</v>
      </c>
      <c r="I69" s="587">
        <v>99</v>
      </c>
      <c r="J69" s="587">
        <v>98</v>
      </c>
      <c r="K69" s="587">
        <v>109</v>
      </c>
      <c r="L69" s="587">
        <v>109</v>
      </c>
      <c r="M69" s="587">
        <v>110</v>
      </c>
      <c r="N69" s="582">
        <f t="shared" si="2"/>
        <v>102</v>
      </c>
      <c r="O69" s="582">
        <v>92189.82</v>
      </c>
      <c r="Q69" s="582" t="s">
        <v>621</v>
      </c>
      <c r="R69" s="582">
        <f t="shared" si="1"/>
        <v>1</v>
      </c>
    </row>
    <row r="70" spans="1:18">
      <c r="A70" s="582" t="s">
        <v>605</v>
      </c>
      <c r="B70" s="582" t="s">
        <v>549</v>
      </c>
      <c r="C70" s="582" t="s">
        <v>550</v>
      </c>
      <c r="D70" s="2">
        <v>268</v>
      </c>
      <c r="E70" s="587">
        <v>331</v>
      </c>
      <c r="F70" s="587">
        <v>328</v>
      </c>
      <c r="G70" s="587">
        <v>324</v>
      </c>
      <c r="H70" s="587">
        <v>321</v>
      </c>
      <c r="I70" s="587">
        <v>321</v>
      </c>
      <c r="J70" s="587">
        <v>310</v>
      </c>
      <c r="K70" s="587">
        <v>307</v>
      </c>
      <c r="L70" s="587">
        <v>314</v>
      </c>
      <c r="M70" s="587">
        <v>316</v>
      </c>
      <c r="N70" s="582">
        <f t="shared" si="2"/>
        <v>319.11</v>
      </c>
      <c r="O70" s="582">
        <v>283423</v>
      </c>
      <c r="Q70" s="582" t="s">
        <v>621</v>
      </c>
      <c r="R70" s="582">
        <f t="shared" si="1"/>
        <v>1</v>
      </c>
    </row>
    <row r="71" spans="1:18">
      <c r="A71" s="582" t="s">
        <v>601</v>
      </c>
      <c r="B71" s="582" t="s">
        <v>88</v>
      </c>
      <c r="C71" s="582" t="s">
        <v>89</v>
      </c>
      <c r="D71" s="2">
        <v>762</v>
      </c>
      <c r="E71" s="587">
        <v>961</v>
      </c>
      <c r="F71" s="587">
        <v>950</v>
      </c>
      <c r="G71" s="587">
        <v>944</v>
      </c>
      <c r="H71" s="587">
        <v>938</v>
      </c>
      <c r="I71" s="587">
        <v>932</v>
      </c>
      <c r="J71" s="587">
        <v>934</v>
      </c>
      <c r="K71" s="587">
        <v>941</v>
      </c>
      <c r="L71" s="587">
        <v>953</v>
      </c>
      <c r="M71" s="587">
        <v>946</v>
      </c>
      <c r="N71" s="582">
        <f t="shared" si="2"/>
        <v>944.33</v>
      </c>
      <c r="O71" s="582">
        <v>856803.8</v>
      </c>
      <c r="Q71" s="582" t="s">
        <v>621</v>
      </c>
      <c r="R71" s="582">
        <f t="shared" si="1"/>
        <v>1</v>
      </c>
    </row>
    <row r="72" spans="1:18">
      <c r="A72" s="582" t="s">
        <v>605</v>
      </c>
      <c r="B72" s="582" t="s">
        <v>222</v>
      </c>
      <c r="C72" s="582" t="s">
        <v>223</v>
      </c>
      <c r="D72" s="2">
        <v>6</v>
      </c>
      <c r="E72" s="587">
        <v>8</v>
      </c>
      <c r="F72" s="587">
        <v>6</v>
      </c>
      <c r="G72" s="587">
        <v>12</v>
      </c>
      <c r="H72" s="587">
        <v>12</v>
      </c>
      <c r="I72" s="587">
        <v>12</v>
      </c>
      <c r="J72" s="587">
        <v>12</v>
      </c>
      <c r="K72" s="587">
        <v>12</v>
      </c>
      <c r="L72" s="587">
        <v>12</v>
      </c>
      <c r="M72" s="587">
        <v>12</v>
      </c>
      <c r="N72" s="582">
        <f t="shared" si="2"/>
        <v>10.89</v>
      </c>
      <c r="O72" s="582">
        <v>9997.02</v>
      </c>
      <c r="Q72" s="582" t="s">
        <v>621</v>
      </c>
      <c r="R72" s="582">
        <f t="shared" si="1"/>
        <v>1</v>
      </c>
    </row>
    <row r="73" spans="1:18">
      <c r="A73" s="582" t="s">
        <v>597</v>
      </c>
      <c r="B73" s="582" t="s">
        <v>365</v>
      </c>
      <c r="C73" s="582" t="s">
        <v>366</v>
      </c>
      <c r="D73" s="2">
        <v>11</v>
      </c>
      <c r="E73" s="587">
        <v>13</v>
      </c>
      <c r="F73" s="587">
        <v>13</v>
      </c>
      <c r="G73" s="587">
        <v>14</v>
      </c>
      <c r="H73" s="587">
        <v>14</v>
      </c>
      <c r="I73" s="587">
        <v>14</v>
      </c>
      <c r="J73" s="587">
        <v>14</v>
      </c>
      <c r="K73" s="587">
        <v>13</v>
      </c>
      <c r="L73" s="587">
        <v>13</v>
      </c>
      <c r="M73" s="587">
        <v>13</v>
      </c>
      <c r="N73" s="582">
        <f t="shared" si="2"/>
        <v>13.44</v>
      </c>
      <c r="O73" s="582">
        <v>11839.66</v>
      </c>
      <c r="Q73" s="582" t="s">
        <v>621</v>
      </c>
      <c r="R73" s="582">
        <f t="shared" ref="R73:R136" si="3">IF(N73&gt;0,1,0)</f>
        <v>1</v>
      </c>
    </row>
    <row r="74" spans="1:18">
      <c r="A74" s="582" t="s">
        <v>595</v>
      </c>
      <c r="B74" s="582" t="s">
        <v>401</v>
      </c>
      <c r="C74" s="582" t="s">
        <v>402</v>
      </c>
      <c r="D74" s="2">
        <v>1510</v>
      </c>
      <c r="E74" s="587">
        <v>1984</v>
      </c>
      <c r="F74" s="587">
        <v>2013</v>
      </c>
      <c r="G74" s="587">
        <v>2024</v>
      </c>
      <c r="H74" s="587">
        <v>2028</v>
      </c>
      <c r="I74" s="587">
        <v>2040</v>
      </c>
      <c r="J74" s="587">
        <v>2057</v>
      </c>
      <c r="K74" s="587">
        <v>2042</v>
      </c>
      <c r="L74" s="587">
        <v>2067</v>
      </c>
      <c r="M74" s="587">
        <v>2078</v>
      </c>
      <c r="N74" s="582">
        <f t="shared" si="2"/>
        <v>2037</v>
      </c>
      <c r="O74" s="582">
        <v>1815793.46</v>
      </c>
      <c r="Q74" s="582" t="s">
        <v>621</v>
      </c>
      <c r="R74" s="582">
        <f t="shared" si="3"/>
        <v>1</v>
      </c>
    </row>
    <row r="75" spans="1:18">
      <c r="A75" s="582" t="s">
        <v>605</v>
      </c>
      <c r="B75" s="582" t="s">
        <v>226</v>
      </c>
      <c r="C75" s="582" t="s">
        <v>227</v>
      </c>
      <c r="D75" s="2">
        <v>204</v>
      </c>
      <c r="E75" s="587">
        <v>209</v>
      </c>
      <c r="F75" s="587">
        <v>209</v>
      </c>
      <c r="G75" s="587">
        <v>206</v>
      </c>
      <c r="H75" s="587">
        <v>204</v>
      </c>
      <c r="I75" s="587">
        <v>206</v>
      </c>
      <c r="J75" s="587">
        <v>205</v>
      </c>
      <c r="K75" s="587">
        <v>202</v>
      </c>
      <c r="L75" s="587">
        <v>203</v>
      </c>
      <c r="M75" s="587">
        <v>203</v>
      </c>
      <c r="N75" s="582">
        <f t="shared" si="2"/>
        <v>205.22</v>
      </c>
      <c r="O75" s="582">
        <v>185467.24</v>
      </c>
      <c r="Q75" s="582" t="s">
        <v>621</v>
      </c>
      <c r="R75" s="582">
        <f t="shared" si="3"/>
        <v>1</v>
      </c>
    </row>
    <row r="76" spans="1:18">
      <c r="A76" s="582" t="s">
        <v>594</v>
      </c>
      <c r="B76" s="582" t="s">
        <v>141</v>
      </c>
      <c r="C76" s="582" t="s">
        <v>142</v>
      </c>
      <c r="D76" s="2">
        <v>103</v>
      </c>
      <c r="E76" s="587">
        <v>103</v>
      </c>
      <c r="F76" s="587">
        <v>99</v>
      </c>
      <c r="G76" s="587">
        <v>99</v>
      </c>
      <c r="H76" s="587">
        <v>99</v>
      </c>
      <c r="I76" s="587">
        <v>101</v>
      </c>
      <c r="J76" s="587">
        <v>101</v>
      </c>
      <c r="K76" s="587">
        <v>101</v>
      </c>
      <c r="L76" s="587">
        <v>101</v>
      </c>
      <c r="M76" s="587">
        <v>103</v>
      </c>
      <c r="N76" s="582">
        <f t="shared" si="2"/>
        <v>100.78</v>
      </c>
      <c r="O76" s="582">
        <v>91360.91</v>
      </c>
      <c r="Q76" s="582" t="s">
        <v>621</v>
      </c>
      <c r="R76" s="582">
        <f t="shared" si="3"/>
        <v>1</v>
      </c>
    </row>
    <row r="77" spans="1:18">
      <c r="A77" s="582" t="s">
        <v>603</v>
      </c>
      <c r="B77" s="582" t="s">
        <v>535</v>
      </c>
      <c r="C77" s="582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7">
        <v>0</v>
      </c>
      <c r="N77" s="582">
        <f t="shared" si="2"/>
        <v>0</v>
      </c>
      <c r="O77" s="582">
        <v>0</v>
      </c>
      <c r="Q77" s="582" t="s">
        <v>801</v>
      </c>
      <c r="R77" s="582">
        <f t="shared" si="3"/>
        <v>0</v>
      </c>
    </row>
    <row r="78" spans="1:18">
      <c r="A78" s="582" t="s">
        <v>601</v>
      </c>
      <c r="B78" s="582" t="s">
        <v>29</v>
      </c>
      <c r="C78" s="582" t="s">
        <v>30</v>
      </c>
      <c r="D78" s="2">
        <v>41</v>
      </c>
      <c r="E78" s="587">
        <v>45</v>
      </c>
      <c r="F78" s="587">
        <v>45</v>
      </c>
      <c r="G78" s="587">
        <v>47</v>
      </c>
      <c r="H78" s="587">
        <v>47</v>
      </c>
      <c r="I78" s="587">
        <v>46</v>
      </c>
      <c r="J78" s="587">
        <v>45</v>
      </c>
      <c r="K78" s="587">
        <v>45</v>
      </c>
      <c r="L78" s="587">
        <v>45</v>
      </c>
      <c r="M78" s="587">
        <v>45</v>
      </c>
      <c r="N78" s="582">
        <f t="shared" si="2"/>
        <v>45.56</v>
      </c>
      <c r="O78" s="582">
        <v>41863.75</v>
      </c>
      <c r="Q78" s="582" t="s">
        <v>621</v>
      </c>
      <c r="R78" s="582">
        <f t="shared" si="3"/>
        <v>1</v>
      </c>
    </row>
    <row r="79" spans="1:18">
      <c r="A79" s="582" t="s">
        <v>597</v>
      </c>
      <c r="B79" s="582" t="s">
        <v>177</v>
      </c>
      <c r="C79" s="582" t="s">
        <v>178</v>
      </c>
      <c r="D79" s="2">
        <v>175</v>
      </c>
      <c r="E79" s="587">
        <v>181</v>
      </c>
      <c r="F79" s="587">
        <v>184</v>
      </c>
      <c r="G79" s="587">
        <v>186</v>
      </c>
      <c r="H79" s="587">
        <v>188</v>
      </c>
      <c r="I79" s="587">
        <v>188</v>
      </c>
      <c r="J79" s="587">
        <v>186</v>
      </c>
      <c r="K79" s="587">
        <v>186</v>
      </c>
      <c r="L79" s="587">
        <v>190</v>
      </c>
      <c r="M79" s="587">
        <v>190</v>
      </c>
      <c r="N79" s="582">
        <f t="shared" si="2"/>
        <v>186.56</v>
      </c>
      <c r="O79" s="582">
        <v>165735.44</v>
      </c>
      <c r="Q79" s="582" t="s">
        <v>621</v>
      </c>
      <c r="R79" s="582">
        <f t="shared" si="3"/>
        <v>1</v>
      </c>
    </row>
    <row r="80" spans="1:18">
      <c r="A80" s="582" t="s">
        <v>601</v>
      </c>
      <c r="B80" s="582" t="s">
        <v>127</v>
      </c>
      <c r="C80" s="582" t="s">
        <v>128</v>
      </c>
      <c r="D80" s="2">
        <v>169</v>
      </c>
      <c r="E80" s="587">
        <v>202</v>
      </c>
      <c r="F80" s="587">
        <v>206</v>
      </c>
      <c r="G80" s="587">
        <v>211</v>
      </c>
      <c r="H80" s="587">
        <v>214</v>
      </c>
      <c r="I80" s="587">
        <v>209</v>
      </c>
      <c r="J80" s="587">
        <v>209</v>
      </c>
      <c r="K80" s="587">
        <v>213</v>
      </c>
      <c r="L80" s="587">
        <v>212</v>
      </c>
      <c r="M80" s="587">
        <v>210</v>
      </c>
      <c r="N80" s="582">
        <f t="shared" si="2"/>
        <v>209.56</v>
      </c>
      <c r="O80" s="582">
        <v>184129.43</v>
      </c>
      <c r="Q80" s="582" t="s">
        <v>621</v>
      </c>
      <c r="R80" s="582">
        <f t="shared" si="3"/>
        <v>1</v>
      </c>
    </row>
    <row r="81" spans="1:18">
      <c r="A81" s="582" t="s">
        <v>594</v>
      </c>
      <c r="B81" s="582" t="s">
        <v>256</v>
      </c>
      <c r="C81" s="582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7">
        <v>0</v>
      </c>
      <c r="N81" s="582">
        <f t="shared" si="2"/>
        <v>0</v>
      </c>
      <c r="O81" s="582">
        <v>0</v>
      </c>
      <c r="Q81" s="582" t="s">
        <v>801</v>
      </c>
      <c r="R81" s="582">
        <f t="shared" si="3"/>
        <v>0</v>
      </c>
    </row>
    <row r="82" spans="1:18">
      <c r="A82" s="582" t="s">
        <v>595</v>
      </c>
      <c r="B82" s="582" t="s">
        <v>395</v>
      </c>
      <c r="C82" s="582" t="s">
        <v>396</v>
      </c>
      <c r="D82" s="2">
        <v>1391</v>
      </c>
      <c r="E82" s="587">
        <v>1863</v>
      </c>
      <c r="F82" s="587">
        <v>1889</v>
      </c>
      <c r="G82" s="587">
        <v>1908</v>
      </c>
      <c r="H82" s="587">
        <v>1898</v>
      </c>
      <c r="I82" s="587">
        <v>1898</v>
      </c>
      <c r="J82" s="587">
        <v>1893</v>
      </c>
      <c r="K82" s="587">
        <v>1904</v>
      </c>
      <c r="L82" s="587">
        <v>1917</v>
      </c>
      <c r="M82" s="587">
        <v>1913</v>
      </c>
      <c r="N82" s="582">
        <f t="shared" si="2"/>
        <v>1898.11</v>
      </c>
      <c r="O82" s="582">
        <v>1788421.54</v>
      </c>
      <c r="Q82" s="582" t="s">
        <v>621</v>
      </c>
      <c r="R82" s="582">
        <f t="shared" si="3"/>
        <v>1</v>
      </c>
    </row>
    <row r="83" spans="1:18">
      <c r="A83" s="582" t="s">
        <v>599</v>
      </c>
      <c r="B83" s="582" t="s">
        <v>58</v>
      </c>
      <c r="C83" s="582" t="s">
        <v>59</v>
      </c>
      <c r="D83" s="2">
        <v>1842</v>
      </c>
      <c r="E83" s="587">
        <v>2510</v>
      </c>
      <c r="F83" s="587">
        <v>2516</v>
      </c>
      <c r="G83" s="587">
        <v>2563</v>
      </c>
      <c r="H83" s="587">
        <v>2562</v>
      </c>
      <c r="I83" s="587">
        <v>2586</v>
      </c>
      <c r="J83" s="587">
        <v>2604</v>
      </c>
      <c r="K83" s="587">
        <v>2624</v>
      </c>
      <c r="L83" s="587">
        <v>2660</v>
      </c>
      <c r="M83" s="587">
        <v>2656</v>
      </c>
      <c r="N83" s="582">
        <f t="shared" si="2"/>
        <v>2586.7800000000002</v>
      </c>
      <c r="O83" s="582">
        <v>2255151.64</v>
      </c>
      <c r="Q83" s="582" t="s">
        <v>621</v>
      </c>
      <c r="R83" s="582">
        <f t="shared" si="3"/>
        <v>1</v>
      </c>
    </row>
    <row r="84" spans="1:18">
      <c r="A84" s="582" t="s">
        <v>603</v>
      </c>
      <c r="B84" s="582" t="s">
        <v>462</v>
      </c>
      <c r="C84" s="582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7">
        <v>0</v>
      </c>
      <c r="N84" s="582">
        <f t="shared" si="2"/>
        <v>0</v>
      </c>
      <c r="O84" s="582">
        <v>0</v>
      </c>
      <c r="Q84" s="582" t="s">
        <v>801</v>
      </c>
      <c r="R84" s="582">
        <f t="shared" si="3"/>
        <v>0</v>
      </c>
    </row>
    <row r="85" spans="1:18">
      <c r="A85" s="582" t="s">
        <v>597</v>
      </c>
      <c r="B85" s="582" t="s">
        <v>175</v>
      </c>
      <c r="C85" s="582" t="s">
        <v>176</v>
      </c>
      <c r="D85" s="2">
        <v>2419</v>
      </c>
      <c r="E85" s="587">
        <v>3067</v>
      </c>
      <c r="F85" s="587">
        <v>3111</v>
      </c>
      <c r="G85" s="587">
        <v>3113</v>
      </c>
      <c r="H85" s="587">
        <v>3108</v>
      </c>
      <c r="I85" s="587">
        <v>3094</v>
      </c>
      <c r="J85" s="587">
        <v>3120</v>
      </c>
      <c r="K85" s="587">
        <v>3131</v>
      </c>
      <c r="L85" s="587">
        <v>3141</v>
      </c>
      <c r="M85" s="587">
        <v>3157</v>
      </c>
      <c r="N85" s="582">
        <f t="shared" ref="N85:N148" si="4">ROUND(SUM(E85:M85)/9,2)</f>
        <v>3115.78</v>
      </c>
      <c r="O85" s="582">
        <v>2639156.02</v>
      </c>
      <c r="Q85" s="582" t="s">
        <v>621</v>
      </c>
      <c r="R85" s="582">
        <f t="shared" si="3"/>
        <v>1</v>
      </c>
    </row>
    <row r="86" spans="1:18">
      <c r="A86" s="582" t="s">
        <v>595</v>
      </c>
      <c r="B86" s="582" t="s">
        <v>506</v>
      </c>
      <c r="C86" s="582" t="s">
        <v>507</v>
      </c>
      <c r="D86" s="2">
        <v>195</v>
      </c>
      <c r="E86" s="587">
        <v>232</v>
      </c>
      <c r="F86" s="587">
        <v>238</v>
      </c>
      <c r="G86" s="587">
        <v>238</v>
      </c>
      <c r="H86" s="587">
        <v>235</v>
      </c>
      <c r="I86" s="587">
        <v>233</v>
      </c>
      <c r="J86" s="587">
        <v>233</v>
      </c>
      <c r="K86" s="587">
        <v>232</v>
      </c>
      <c r="L86" s="587">
        <v>230</v>
      </c>
      <c r="M86" s="587">
        <v>227</v>
      </c>
      <c r="N86" s="582">
        <f t="shared" si="4"/>
        <v>233.11</v>
      </c>
      <c r="O86" s="582">
        <v>212934.25</v>
      </c>
      <c r="Q86" s="582" t="s">
        <v>621</v>
      </c>
      <c r="R86" s="582">
        <f t="shared" si="3"/>
        <v>1</v>
      </c>
    </row>
    <row r="87" spans="1:18">
      <c r="A87" s="582" t="s">
        <v>597</v>
      </c>
      <c r="B87" s="582" t="s">
        <v>369</v>
      </c>
      <c r="C87" s="582" t="s">
        <v>370</v>
      </c>
      <c r="D87" s="2">
        <v>286</v>
      </c>
      <c r="E87" s="587">
        <v>352</v>
      </c>
      <c r="F87" s="587">
        <v>353</v>
      </c>
      <c r="G87" s="587">
        <v>354</v>
      </c>
      <c r="H87" s="587">
        <v>353</v>
      </c>
      <c r="I87" s="587">
        <v>347</v>
      </c>
      <c r="J87" s="587">
        <v>346</v>
      </c>
      <c r="K87" s="587">
        <v>348</v>
      </c>
      <c r="L87" s="587">
        <v>347</v>
      </c>
      <c r="M87" s="587">
        <v>343</v>
      </c>
      <c r="N87" s="582">
        <f t="shared" si="4"/>
        <v>349.22</v>
      </c>
      <c r="O87" s="582">
        <v>302642.09000000003</v>
      </c>
      <c r="Q87" s="582" t="s">
        <v>621</v>
      </c>
      <c r="R87" s="582">
        <f t="shared" si="3"/>
        <v>1</v>
      </c>
    </row>
    <row r="88" spans="1:18">
      <c r="A88" s="582" t="s">
        <v>596</v>
      </c>
      <c r="B88" s="582" t="s">
        <v>19</v>
      </c>
      <c r="C88" s="582" t="s">
        <v>20</v>
      </c>
      <c r="D88" s="2">
        <v>118</v>
      </c>
      <c r="E88" s="587">
        <v>130</v>
      </c>
      <c r="F88" s="587">
        <v>131</v>
      </c>
      <c r="G88" s="587">
        <v>134</v>
      </c>
      <c r="H88" s="587">
        <v>136</v>
      </c>
      <c r="I88" s="587">
        <v>135</v>
      </c>
      <c r="J88" s="587">
        <v>139</v>
      </c>
      <c r="K88" s="587">
        <v>137</v>
      </c>
      <c r="L88" s="587">
        <v>136</v>
      </c>
      <c r="M88" s="587">
        <v>137</v>
      </c>
      <c r="N88" s="582">
        <f t="shared" si="4"/>
        <v>135</v>
      </c>
      <c r="O88" s="582">
        <v>121408.28</v>
      </c>
      <c r="Q88" s="582" t="s">
        <v>621</v>
      </c>
      <c r="R88" s="582">
        <f t="shared" si="3"/>
        <v>1</v>
      </c>
    </row>
    <row r="89" spans="1:18">
      <c r="A89" s="582" t="s">
        <v>597</v>
      </c>
      <c r="B89" s="582" t="s">
        <v>361</v>
      </c>
      <c r="C89" s="582" t="s">
        <v>362</v>
      </c>
      <c r="D89" s="2">
        <v>586</v>
      </c>
      <c r="E89" s="587">
        <v>590</v>
      </c>
      <c r="F89" s="587">
        <v>592</v>
      </c>
      <c r="G89" s="587">
        <v>590</v>
      </c>
      <c r="H89" s="587">
        <v>585</v>
      </c>
      <c r="I89" s="587">
        <v>579</v>
      </c>
      <c r="J89" s="587">
        <v>584</v>
      </c>
      <c r="K89" s="587">
        <v>590</v>
      </c>
      <c r="L89" s="587">
        <v>589</v>
      </c>
      <c r="M89" s="587">
        <v>586</v>
      </c>
      <c r="N89" s="582">
        <f t="shared" si="4"/>
        <v>587.22</v>
      </c>
      <c r="O89" s="582">
        <v>489317.08</v>
      </c>
      <c r="Q89" s="582" t="s">
        <v>621</v>
      </c>
      <c r="R89" s="582">
        <f t="shared" si="3"/>
        <v>1</v>
      </c>
    </row>
    <row r="90" spans="1:18">
      <c r="A90" s="582" t="s">
        <v>603</v>
      </c>
      <c r="B90" s="582" t="s">
        <v>436</v>
      </c>
      <c r="C90" s="582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7">
        <v>0</v>
      </c>
      <c r="N90" s="582">
        <f t="shared" si="4"/>
        <v>0</v>
      </c>
      <c r="O90" s="582">
        <v>0</v>
      </c>
      <c r="Q90" s="582" t="s">
        <v>801</v>
      </c>
      <c r="R90" s="582">
        <f t="shared" si="3"/>
        <v>0</v>
      </c>
    </row>
    <row r="91" spans="1:18">
      <c r="A91" s="582" t="s">
        <v>603</v>
      </c>
      <c r="B91" s="582" t="s">
        <v>529</v>
      </c>
      <c r="C91" s="582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7">
        <v>0</v>
      </c>
      <c r="N91" s="582">
        <f t="shared" si="4"/>
        <v>0</v>
      </c>
      <c r="O91" s="582">
        <v>0</v>
      </c>
      <c r="Q91" s="582" t="s">
        <v>801</v>
      </c>
      <c r="R91" s="582">
        <f t="shared" si="3"/>
        <v>0</v>
      </c>
    </row>
    <row r="92" spans="1:18">
      <c r="A92" s="582" t="s">
        <v>599</v>
      </c>
      <c r="B92" s="582" t="s">
        <v>240</v>
      </c>
      <c r="C92" s="58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7">
        <v>0</v>
      </c>
      <c r="N92" s="582">
        <f t="shared" si="4"/>
        <v>0</v>
      </c>
      <c r="O92" s="582">
        <v>0</v>
      </c>
      <c r="Q92" s="582" t="s">
        <v>801</v>
      </c>
      <c r="R92" s="582">
        <f t="shared" si="3"/>
        <v>0</v>
      </c>
    </row>
    <row r="93" spans="1:18">
      <c r="A93" s="582" t="s">
        <v>605</v>
      </c>
      <c r="B93" s="582" t="s">
        <v>246</v>
      </c>
      <c r="C93" s="582" t="s">
        <v>247</v>
      </c>
      <c r="D93" s="2">
        <v>23</v>
      </c>
      <c r="E93" s="587">
        <v>25</v>
      </c>
      <c r="F93" s="587">
        <v>27</v>
      </c>
      <c r="G93" s="587">
        <v>25</v>
      </c>
      <c r="H93" s="587">
        <v>26</v>
      </c>
      <c r="I93" s="587">
        <v>27</v>
      </c>
      <c r="J93" s="587">
        <v>28</v>
      </c>
      <c r="K93" s="587">
        <v>29</v>
      </c>
      <c r="L93" s="587">
        <v>28</v>
      </c>
      <c r="M93" s="587">
        <v>27</v>
      </c>
      <c r="N93" s="582">
        <f t="shared" si="4"/>
        <v>26.89</v>
      </c>
      <c r="O93" s="582">
        <v>24612.15</v>
      </c>
      <c r="Q93" s="582" t="s">
        <v>621</v>
      </c>
      <c r="R93" s="582">
        <f t="shared" si="3"/>
        <v>1</v>
      </c>
    </row>
    <row r="94" spans="1:18">
      <c r="A94" s="582" t="s">
        <v>601</v>
      </c>
      <c r="B94" s="582" t="s">
        <v>131</v>
      </c>
      <c r="C94" s="582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7">
        <v>0</v>
      </c>
      <c r="N94" s="582">
        <f t="shared" si="4"/>
        <v>0</v>
      </c>
      <c r="O94" s="582">
        <v>0</v>
      </c>
      <c r="Q94" s="582" t="s">
        <v>801</v>
      </c>
      <c r="R94" s="582">
        <f t="shared" si="3"/>
        <v>0</v>
      </c>
    </row>
    <row r="95" spans="1:18">
      <c r="A95" s="582" t="s">
        <v>605</v>
      </c>
      <c r="B95" s="582" t="s">
        <v>555</v>
      </c>
      <c r="C95" s="582" t="s">
        <v>556</v>
      </c>
      <c r="D95" s="2">
        <v>1092</v>
      </c>
      <c r="E95" s="587">
        <v>1109</v>
      </c>
      <c r="F95" s="587">
        <v>1107</v>
      </c>
      <c r="G95" s="587">
        <v>1097</v>
      </c>
      <c r="H95" s="587">
        <v>1099</v>
      </c>
      <c r="I95" s="587">
        <v>1110</v>
      </c>
      <c r="J95" s="587">
        <v>1105</v>
      </c>
      <c r="K95" s="587">
        <v>1106</v>
      </c>
      <c r="L95" s="587">
        <v>1104</v>
      </c>
      <c r="M95" s="587">
        <v>1107</v>
      </c>
      <c r="N95" s="582">
        <f t="shared" si="4"/>
        <v>1104.8900000000001</v>
      </c>
      <c r="O95" s="582">
        <v>928198.29</v>
      </c>
      <c r="Q95" s="582" t="s">
        <v>621</v>
      </c>
      <c r="R95" s="582">
        <f t="shared" si="3"/>
        <v>1</v>
      </c>
    </row>
    <row r="96" spans="1:18">
      <c r="A96" s="582" t="s">
        <v>605</v>
      </c>
      <c r="B96" s="582" t="s">
        <v>563</v>
      </c>
      <c r="C96" s="582" t="s">
        <v>564</v>
      </c>
      <c r="D96" s="2">
        <v>550</v>
      </c>
      <c r="E96" s="587">
        <v>571</v>
      </c>
      <c r="F96" s="587">
        <v>556</v>
      </c>
      <c r="G96" s="587">
        <v>550</v>
      </c>
      <c r="H96" s="587">
        <v>547</v>
      </c>
      <c r="I96" s="587">
        <v>552</v>
      </c>
      <c r="J96" s="587">
        <v>544</v>
      </c>
      <c r="K96" s="587">
        <v>534</v>
      </c>
      <c r="L96" s="587">
        <v>546</v>
      </c>
      <c r="M96" s="587">
        <v>548</v>
      </c>
      <c r="N96" s="582">
        <f t="shared" si="4"/>
        <v>549.78</v>
      </c>
      <c r="O96" s="582">
        <v>455907.35</v>
      </c>
      <c r="Q96" s="582" t="s">
        <v>621</v>
      </c>
      <c r="R96" s="582">
        <f t="shared" si="3"/>
        <v>1</v>
      </c>
    </row>
    <row r="97" spans="1:18">
      <c r="A97" s="582" t="s">
        <v>595</v>
      </c>
      <c r="B97" s="582" t="s">
        <v>419</v>
      </c>
      <c r="C97" s="582" t="s">
        <v>420</v>
      </c>
      <c r="D97" s="2">
        <v>24</v>
      </c>
      <c r="E97" s="587">
        <v>30</v>
      </c>
      <c r="F97" s="587">
        <v>37</v>
      </c>
      <c r="G97" s="587">
        <v>37</v>
      </c>
      <c r="H97" s="587">
        <v>36</v>
      </c>
      <c r="I97" s="587">
        <v>36</v>
      </c>
      <c r="J97" s="587">
        <v>36</v>
      </c>
      <c r="K97" s="587">
        <v>36</v>
      </c>
      <c r="L97" s="587">
        <v>38</v>
      </c>
      <c r="M97" s="587">
        <v>36</v>
      </c>
      <c r="N97" s="582">
        <f t="shared" si="4"/>
        <v>35.78</v>
      </c>
      <c r="O97" s="582">
        <v>31374.31</v>
      </c>
      <c r="Q97" s="582" t="s">
        <v>621</v>
      </c>
      <c r="R97" s="582">
        <f t="shared" si="3"/>
        <v>1</v>
      </c>
    </row>
    <row r="98" spans="1:18">
      <c r="A98" s="582" t="s">
        <v>594</v>
      </c>
      <c r="B98" s="582" t="s">
        <v>297</v>
      </c>
      <c r="C98" s="582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7">
        <v>0</v>
      </c>
      <c r="N98" s="582">
        <f t="shared" si="4"/>
        <v>0</v>
      </c>
      <c r="O98" s="582">
        <v>0</v>
      </c>
      <c r="Q98" s="582" t="s">
        <v>801</v>
      </c>
      <c r="R98" s="582">
        <f t="shared" si="3"/>
        <v>0</v>
      </c>
    </row>
    <row r="99" spans="1:18">
      <c r="A99" s="582" t="s">
        <v>603</v>
      </c>
      <c r="B99" s="582" t="s">
        <v>426</v>
      </c>
      <c r="C99" s="582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 s="582">
        <f t="shared" si="4"/>
        <v>0</v>
      </c>
      <c r="O99" s="582">
        <v>0</v>
      </c>
      <c r="Q99" s="582" t="s">
        <v>801</v>
      </c>
      <c r="R99" s="582">
        <f t="shared" si="3"/>
        <v>0</v>
      </c>
    </row>
    <row r="100" spans="1:18">
      <c r="A100" s="582" t="s">
        <v>599</v>
      </c>
      <c r="B100" s="582" t="s">
        <v>54</v>
      </c>
      <c r="C100" s="582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7">
        <v>0</v>
      </c>
      <c r="N100" s="582">
        <f t="shared" si="4"/>
        <v>0</v>
      </c>
      <c r="O100" s="582">
        <v>0</v>
      </c>
      <c r="Q100" s="582" t="s">
        <v>801</v>
      </c>
      <c r="R100" s="582">
        <f t="shared" si="3"/>
        <v>0</v>
      </c>
    </row>
    <row r="101" spans="1:18">
      <c r="A101" s="582" t="s">
        <v>594</v>
      </c>
      <c r="B101" s="582" t="s">
        <v>482</v>
      </c>
      <c r="C101" s="582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7">
        <v>0</v>
      </c>
      <c r="N101" s="582">
        <f t="shared" si="4"/>
        <v>0</v>
      </c>
      <c r="O101" s="582">
        <v>0</v>
      </c>
      <c r="Q101" s="582" t="s">
        <v>801</v>
      </c>
      <c r="R101" s="582">
        <f t="shared" si="3"/>
        <v>0</v>
      </c>
    </row>
    <row r="102" spans="1:18">
      <c r="A102" s="582" t="s">
        <v>603</v>
      </c>
      <c r="B102" s="582" t="s">
        <v>291</v>
      </c>
      <c r="C102" s="58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7">
        <v>0</v>
      </c>
      <c r="N102" s="582">
        <f t="shared" si="4"/>
        <v>0</v>
      </c>
      <c r="O102" s="582">
        <v>0</v>
      </c>
      <c r="Q102" s="582" t="s">
        <v>801</v>
      </c>
      <c r="R102" s="582">
        <f t="shared" si="3"/>
        <v>0</v>
      </c>
    </row>
    <row r="103" spans="1:18">
      <c r="A103" s="582" t="s">
        <v>605</v>
      </c>
      <c r="B103" s="582" t="s">
        <v>561</v>
      </c>
      <c r="C103" s="582" t="s">
        <v>562</v>
      </c>
      <c r="D103" s="2">
        <v>269</v>
      </c>
      <c r="E103" s="587">
        <v>270</v>
      </c>
      <c r="F103" s="587">
        <v>263</v>
      </c>
      <c r="G103" s="587">
        <v>274</v>
      </c>
      <c r="H103" s="587">
        <v>272</v>
      </c>
      <c r="I103" s="587">
        <v>274</v>
      </c>
      <c r="J103" s="587">
        <v>273</v>
      </c>
      <c r="K103" s="587">
        <v>277</v>
      </c>
      <c r="L103" s="587">
        <v>282</v>
      </c>
      <c r="M103" s="587">
        <v>285</v>
      </c>
      <c r="N103" s="582">
        <f t="shared" si="4"/>
        <v>274.44</v>
      </c>
      <c r="O103" s="582">
        <v>236304.64000000001</v>
      </c>
      <c r="Q103" s="582" t="s">
        <v>621</v>
      </c>
      <c r="R103" s="582">
        <f t="shared" si="3"/>
        <v>1</v>
      </c>
    </row>
    <row r="104" spans="1:18">
      <c r="A104" s="582" t="s">
        <v>597</v>
      </c>
      <c r="B104" s="582" t="s">
        <v>181</v>
      </c>
      <c r="C104" s="582" t="s">
        <v>182</v>
      </c>
      <c r="D104" s="2">
        <v>3912</v>
      </c>
      <c r="E104" s="587">
        <v>4067</v>
      </c>
      <c r="F104" s="587">
        <v>4084</v>
      </c>
      <c r="G104" s="587">
        <v>4104</v>
      </c>
      <c r="H104" s="587">
        <v>4094</v>
      </c>
      <c r="I104" s="587">
        <v>4126</v>
      </c>
      <c r="J104" s="587">
        <v>4131</v>
      </c>
      <c r="K104" s="587">
        <v>4133</v>
      </c>
      <c r="L104" s="587">
        <v>4141</v>
      </c>
      <c r="M104" s="587">
        <v>4137</v>
      </c>
      <c r="N104" s="582">
        <f t="shared" si="4"/>
        <v>4113</v>
      </c>
      <c r="O104" s="582">
        <v>3446383.76</v>
      </c>
      <c r="Q104" s="582" t="s">
        <v>621</v>
      </c>
      <c r="R104" s="582">
        <f t="shared" si="3"/>
        <v>1</v>
      </c>
    </row>
    <row r="105" spans="1:18">
      <c r="A105" s="582" t="s">
        <v>599</v>
      </c>
      <c r="B105" s="582" t="s">
        <v>51</v>
      </c>
      <c r="C105" s="582" t="s">
        <v>52</v>
      </c>
      <c r="D105" s="2">
        <v>11</v>
      </c>
      <c r="E105" s="587">
        <v>12</v>
      </c>
      <c r="F105" s="587">
        <v>14</v>
      </c>
      <c r="G105" s="587">
        <v>14</v>
      </c>
      <c r="H105" s="587">
        <v>14</v>
      </c>
      <c r="I105" s="587">
        <v>14</v>
      </c>
      <c r="J105" s="587">
        <v>13</v>
      </c>
      <c r="K105" s="587">
        <v>13</v>
      </c>
      <c r="L105" s="587">
        <v>13</v>
      </c>
      <c r="M105" s="587">
        <v>13</v>
      </c>
      <c r="N105" s="582">
        <f t="shared" si="4"/>
        <v>13.33</v>
      </c>
      <c r="O105" s="582">
        <v>11540.85</v>
      </c>
      <c r="Q105" s="582" t="s">
        <v>621</v>
      </c>
      <c r="R105" s="582">
        <f t="shared" si="3"/>
        <v>1</v>
      </c>
    </row>
    <row r="106" spans="1:18">
      <c r="A106" s="582" t="s">
        <v>594</v>
      </c>
      <c r="B106" s="582" t="s">
        <v>307</v>
      </c>
      <c r="C106" s="582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7">
        <v>0</v>
      </c>
      <c r="N106" s="582">
        <f t="shared" si="4"/>
        <v>0</v>
      </c>
      <c r="O106" s="582">
        <v>0</v>
      </c>
      <c r="Q106" s="582" t="s">
        <v>801</v>
      </c>
      <c r="R106" s="582">
        <f t="shared" si="3"/>
        <v>0</v>
      </c>
    </row>
    <row r="107" spans="1:18">
      <c r="A107" s="582" t="s">
        <v>594</v>
      </c>
      <c r="B107" s="582" t="s">
        <v>134</v>
      </c>
      <c r="C107" s="582" t="s">
        <v>135</v>
      </c>
      <c r="D107" s="2">
        <v>47</v>
      </c>
      <c r="E107" s="587">
        <v>45</v>
      </c>
      <c r="F107" s="587">
        <v>42</v>
      </c>
      <c r="G107" s="587">
        <v>44</v>
      </c>
      <c r="H107" s="587">
        <v>43</v>
      </c>
      <c r="I107" s="587">
        <v>42</v>
      </c>
      <c r="J107" s="587">
        <v>43</v>
      </c>
      <c r="K107" s="587">
        <v>42</v>
      </c>
      <c r="L107" s="587">
        <v>40</v>
      </c>
      <c r="M107" s="587">
        <v>41</v>
      </c>
      <c r="N107" s="582">
        <f t="shared" si="4"/>
        <v>42.44</v>
      </c>
      <c r="O107" s="582">
        <v>37853.760000000002</v>
      </c>
      <c r="Q107" s="582" t="s">
        <v>621</v>
      </c>
      <c r="R107" s="582">
        <f t="shared" si="3"/>
        <v>1</v>
      </c>
    </row>
    <row r="108" spans="1:18">
      <c r="A108" s="582" t="s">
        <v>603</v>
      </c>
      <c r="B108" s="582" t="s">
        <v>100</v>
      </c>
      <c r="C108" s="582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7">
        <v>0</v>
      </c>
      <c r="N108" s="582">
        <f t="shared" si="4"/>
        <v>0</v>
      </c>
      <c r="O108" s="582">
        <v>0</v>
      </c>
      <c r="Q108" s="582" t="s">
        <v>801</v>
      </c>
      <c r="R108" s="582">
        <f t="shared" si="3"/>
        <v>0</v>
      </c>
    </row>
    <row r="109" spans="1:18">
      <c r="A109" s="582" t="s">
        <v>595</v>
      </c>
      <c r="B109" s="582" t="s">
        <v>407</v>
      </c>
      <c r="C109" s="582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7">
        <v>0</v>
      </c>
      <c r="N109" s="582">
        <f t="shared" si="4"/>
        <v>0</v>
      </c>
      <c r="O109" s="582">
        <v>0</v>
      </c>
      <c r="Q109" s="582" t="s">
        <v>801</v>
      </c>
      <c r="R109" s="582">
        <f t="shared" si="3"/>
        <v>0</v>
      </c>
    </row>
    <row r="110" spans="1:18">
      <c r="A110" s="582" t="s">
        <v>597</v>
      </c>
      <c r="B110" s="582" t="s">
        <v>201</v>
      </c>
      <c r="C110" s="582" t="s">
        <v>202</v>
      </c>
      <c r="D110" s="2">
        <v>643</v>
      </c>
      <c r="E110" s="587">
        <v>758</v>
      </c>
      <c r="F110" s="587">
        <v>768</v>
      </c>
      <c r="G110" s="587">
        <v>771</v>
      </c>
      <c r="H110" s="587">
        <v>767</v>
      </c>
      <c r="I110" s="587">
        <v>776</v>
      </c>
      <c r="J110" s="587">
        <v>785</v>
      </c>
      <c r="K110" s="587">
        <v>785</v>
      </c>
      <c r="L110" s="587">
        <v>782</v>
      </c>
      <c r="M110" s="587">
        <v>779</v>
      </c>
      <c r="N110" s="582">
        <f t="shared" si="4"/>
        <v>774.56</v>
      </c>
      <c r="O110" s="582">
        <v>657862.21</v>
      </c>
      <c r="Q110" s="582" t="s">
        <v>621</v>
      </c>
      <c r="R110" s="582">
        <f t="shared" si="3"/>
        <v>1</v>
      </c>
    </row>
    <row r="111" spans="1:18">
      <c r="A111" s="582" t="s">
        <v>596</v>
      </c>
      <c r="B111" s="582" t="s">
        <v>110</v>
      </c>
      <c r="C111" s="582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7">
        <v>0</v>
      </c>
      <c r="N111" s="582">
        <f t="shared" si="4"/>
        <v>0</v>
      </c>
      <c r="O111" s="582">
        <v>0</v>
      </c>
      <c r="Q111" s="582" t="s">
        <v>801</v>
      </c>
      <c r="R111" s="582">
        <f t="shared" si="3"/>
        <v>0</v>
      </c>
    </row>
    <row r="112" spans="1:18">
      <c r="A112" s="582" t="s">
        <v>599</v>
      </c>
      <c r="B112" s="582" t="s">
        <v>76</v>
      </c>
      <c r="C112" s="58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7">
        <v>0</v>
      </c>
      <c r="N112" s="582">
        <f t="shared" si="4"/>
        <v>0</v>
      </c>
      <c r="O112" s="582">
        <v>0</v>
      </c>
      <c r="Q112" s="582" t="s">
        <v>801</v>
      </c>
      <c r="R112" s="582">
        <f t="shared" si="3"/>
        <v>0</v>
      </c>
    </row>
    <row r="113" spans="1:18">
      <c r="A113" s="582" t="s">
        <v>603</v>
      </c>
      <c r="B113" s="582" t="s">
        <v>94</v>
      </c>
      <c r="C113" s="582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 s="582">
        <f t="shared" si="4"/>
        <v>0</v>
      </c>
      <c r="O113" s="582">
        <v>0</v>
      </c>
      <c r="Q113" s="582" t="s">
        <v>801</v>
      </c>
      <c r="R113" s="582">
        <f t="shared" si="3"/>
        <v>0</v>
      </c>
    </row>
    <row r="114" spans="1:18">
      <c r="A114" s="582" t="s">
        <v>599</v>
      </c>
      <c r="B114" s="582" t="s">
        <v>80</v>
      </c>
      <c r="C114" s="582" t="s">
        <v>81</v>
      </c>
      <c r="D114" s="2">
        <v>182</v>
      </c>
      <c r="E114" s="587">
        <v>214</v>
      </c>
      <c r="F114" s="587">
        <v>216</v>
      </c>
      <c r="G114" s="587">
        <v>216</v>
      </c>
      <c r="H114" s="587">
        <v>213</v>
      </c>
      <c r="I114" s="587">
        <v>215</v>
      </c>
      <c r="J114" s="587">
        <v>205</v>
      </c>
      <c r="K114" s="587">
        <v>202</v>
      </c>
      <c r="L114" s="587">
        <v>203</v>
      </c>
      <c r="M114" s="587">
        <v>207</v>
      </c>
      <c r="N114" s="582">
        <f t="shared" si="4"/>
        <v>210.11</v>
      </c>
      <c r="O114" s="582">
        <v>181646.87</v>
      </c>
      <c r="Q114" s="582" t="s">
        <v>621</v>
      </c>
      <c r="R114" s="582">
        <f t="shared" si="3"/>
        <v>1</v>
      </c>
    </row>
    <row r="115" spans="1:18">
      <c r="A115" s="582" t="s">
        <v>596</v>
      </c>
      <c r="B115" s="582" t="s">
        <v>14</v>
      </c>
      <c r="C115" s="582" t="s">
        <v>15</v>
      </c>
      <c r="D115" s="2">
        <v>2076</v>
      </c>
      <c r="E115" s="587">
        <v>2076</v>
      </c>
      <c r="F115" s="587">
        <v>2021</v>
      </c>
      <c r="G115" s="587">
        <v>2087</v>
      </c>
      <c r="H115" s="587">
        <v>2084</v>
      </c>
      <c r="I115" s="587">
        <v>2106</v>
      </c>
      <c r="J115" s="587">
        <v>2138</v>
      </c>
      <c r="K115" s="587">
        <v>2138</v>
      </c>
      <c r="L115" s="587">
        <v>2140</v>
      </c>
      <c r="M115" s="587">
        <v>2148</v>
      </c>
      <c r="N115" s="582">
        <f t="shared" si="4"/>
        <v>2104.2199999999998</v>
      </c>
      <c r="O115" s="582">
        <v>1861207.71</v>
      </c>
      <c r="Q115" s="582" t="s">
        <v>621</v>
      </c>
      <c r="R115" s="582">
        <f t="shared" si="3"/>
        <v>1</v>
      </c>
    </row>
    <row r="116" spans="1:18">
      <c r="A116" s="582" t="s">
        <v>597</v>
      </c>
      <c r="B116" s="582" t="s">
        <v>207</v>
      </c>
      <c r="C116" s="582" t="s">
        <v>208</v>
      </c>
      <c r="D116" s="2">
        <v>4330</v>
      </c>
      <c r="E116" s="587">
        <v>4474</v>
      </c>
      <c r="F116" s="587">
        <v>4498</v>
      </c>
      <c r="G116" s="587">
        <v>4517</v>
      </c>
      <c r="H116" s="587">
        <v>4508</v>
      </c>
      <c r="I116" s="587">
        <v>4542</v>
      </c>
      <c r="J116" s="587">
        <v>4535</v>
      </c>
      <c r="K116" s="587">
        <v>4556</v>
      </c>
      <c r="L116" s="587">
        <v>4568</v>
      </c>
      <c r="M116" s="587">
        <v>4576</v>
      </c>
      <c r="N116" s="582">
        <f t="shared" si="4"/>
        <v>4530.4399999999996</v>
      </c>
      <c r="O116" s="582">
        <v>3866712.19</v>
      </c>
      <c r="Q116" s="582" t="s">
        <v>621</v>
      </c>
      <c r="R116" s="582">
        <f t="shared" si="3"/>
        <v>1</v>
      </c>
    </row>
    <row r="117" spans="1:18">
      <c r="A117" s="582" t="s">
        <v>603</v>
      </c>
      <c r="B117" s="582" t="s">
        <v>470</v>
      </c>
      <c r="C117" s="582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7">
        <v>0</v>
      </c>
      <c r="N117" s="582">
        <f t="shared" si="4"/>
        <v>0</v>
      </c>
      <c r="O117" s="582">
        <v>0</v>
      </c>
      <c r="Q117" s="582" t="s">
        <v>801</v>
      </c>
      <c r="R117" s="582">
        <f t="shared" si="3"/>
        <v>0</v>
      </c>
    </row>
    <row r="118" spans="1:18">
      <c r="A118" s="582" t="s">
        <v>596</v>
      </c>
      <c r="B118" s="582" t="s">
        <v>18</v>
      </c>
      <c r="C118" s="582" t="s">
        <v>608</v>
      </c>
      <c r="D118" s="2">
        <v>216</v>
      </c>
      <c r="E118" s="587">
        <v>248</v>
      </c>
      <c r="F118" s="587">
        <v>245</v>
      </c>
      <c r="G118" s="587">
        <v>250</v>
      </c>
      <c r="H118" s="587">
        <v>251</v>
      </c>
      <c r="I118" s="587">
        <v>255</v>
      </c>
      <c r="J118" s="587">
        <v>251</v>
      </c>
      <c r="K118" s="587">
        <v>246</v>
      </c>
      <c r="L118" s="587">
        <v>249</v>
      </c>
      <c r="M118" s="587">
        <v>252</v>
      </c>
      <c r="N118" s="582">
        <f t="shared" si="4"/>
        <v>249.67</v>
      </c>
      <c r="O118" s="582">
        <v>218073.25</v>
      </c>
      <c r="Q118" s="582" t="s">
        <v>621</v>
      </c>
      <c r="R118" s="582">
        <f t="shared" si="3"/>
        <v>1</v>
      </c>
    </row>
    <row r="119" spans="1:18">
      <c r="A119" s="582" t="s">
        <v>605</v>
      </c>
      <c r="B119" s="582" t="s">
        <v>228</v>
      </c>
      <c r="C119" s="582" t="s">
        <v>229</v>
      </c>
      <c r="D119" s="2">
        <v>50</v>
      </c>
      <c r="E119" s="587">
        <v>49</v>
      </c>
      <c r="F119" s="587">
        <v>48</v>
      </c>
      <c r="G119" s="587">
        <v>49</v>
      </c>
      <c r="H119" s="587">
        <v>48</v>
      </c>
      <c r="I119" s="587">
        <v>52</v>
      </c>
      <c r="J119" s="587">
        <v>52</v>
      </c>
      <c r="K119" s="587">
        <v>50</v>
      </c>
      <c r="L119" s="587">
        <v>49</v>
      </c>
      <c r="M119" s="587">
        <v>49</v>
      </c>
      <c r="N119" s="582">
        <f t="shared" si="4"/>
        <v>49.56</v>
      </c>
      <c r="O119" s="582">
        <v>44768.17</v>
      </c>
      <c r="Q119" s="582" t="s">
        <v>621</v>
      </c>
      <c r="R119" s="582">
        <f t="shared" si="3"/>
        <v>1</v>
      </c>
    </row>
    <row r="120" spans="1:18">
      <c r="A120" s="582" t="s">
        <v>599</v>
      </c>
      <c r="B120" s="582" t="s">
        <v>242</v>
      </c>
      <c r="C120" s="582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2">
        <f t="shared" si="4"/>
        <v>0</v>
      </c>
      <c r="O120" s="582">
        <v>0</v>
      </c>
      <c r="Q120" s="582" t="s">
        <v>801</v>
      </c>
      <c r="R120" s="582">
        <f t="shared" si="3"/>
        <v>0</v>
      </c>
    </row>
    <row r="121" spans="1:18">
      <c r="A121" s="582" t="s">
        <v>595</v>
      </c>
      <c r="B121" s="582" t="s">
        <v>382</v>
      </c>
      <c r="C121" s="582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7">
        <v>0</v>
      </c>
      <c r="N121" s="582">
        <f t="shared" si="4"/>
        <v>0</v>
      </c>
      <c r="O121" s="582">
        <v>0</v>
      </c>
      <c r="Q121" s="582" t="s">
        <v>801</v>
      </c>
      <c r="R121" s="582">
        <f t="shared" si="3"/>
        <v>0</v>
      </c>
    </row>
    <row r="122" spans="1:18">
      <c r="A122" s="582" t="s">
        <v>599</v>
      </c>
      <c r="B122" s="582" t="s">
        <v>53</v>
      </c>
      <c r="C122" s="582" t="s">
        <v>609</v>
      </c>
      <c r="D122" s="2">
        <v>15</v>
      </c>
      <c r="E122" s="587">
        <v>28</v>
      </c>
      <c r="F122" s="587">
        <v>28</v>
      </c>
      <c r="G122" s="587">
        <v>29</v>
      </c>
      <c r="H122" s="587">
        <v>30</v>
      </c>
      <c r="I122" s="587">
        <v>33</v>
      </c>
      <c r="J122" s="587">
        <v>27</v>
      </c>
      <c r="K122" s="587">
        <v>27</v>
      </c>
      <c r="L122" s="587">
        <v>26</v>
      </c>
      <c r="M122" s="587">
        <v>26</v>
      </c>
      <c r="N122" s="582">
        <f t="shared" si="4"/>
        <v>28.22</v>
      </c>
      <c r="O122" s="582">
        <v>26368.52</v>
      </c>
      <c r="Q122" s="582" t="s">
        <v>621</v>
      </c>
      <c r="R122" s="582">
        <f t="shared" si="3"/>
        <v>1</v>
      </c>
    </row>
    <row r="123" spans="1:18">
      <c r="A123" s="582" t="s">
        <v>603</v>
      </c>
      <c r="B123" s="582" t="s">
        <v>518</v>
      </c>
      <c r="C123" s="582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7">
        <v>0</v>
      </c>
      <c r="N123" s="582">
        <f t="shared" si="4"/>
        <v>0</v>
      </c>
      <c r="O123" s="582">
        <v>0</v>
      </c>
      <c r="Q123" s="582" t="s">
        <v>801</v>
      </c>
      <c r="R123" s="582">
        <f t="shared" si="3"/>
        <v>0</v>
      </c>
    </row>
    <row r="124" spans="1:18">
      <c r="A124" s="582" t="s">
        <v>601</v>
      </c>
      <c r="B124" s="582" t="s">
        <v>31</v>
      </c>
      <c r="C124" s="582" t="s">
        <v>32</v>
      </c>
      <c r="D124" s="2">
        <v>264</v>
      </c>
      <c r="E124" s="587">
        <v>335</v>
      </c>
      <c r="F124" s="587">
        <v>336</v>
      </c>
      <c r="G124" s="587">
        <v>332</v>
      </c>
      <c r="H124" s="587">
        <v>334</v>
      </c>
      <c r="I124" s="587">
        <v>335</v>
      </c>
      <c r="J124" s="587">
        <v>335</v>
      </c>
      <c r="K124" s="587">
        <v>337</v>
      </c>
      <c r="L124" s="587">
        <v>337</v>
      </c>
      <c r="M124" s="587">
        <v>339</v>
      </c>
      <c r="N124" s="582">
        <f t="shared" si="4"/>
        <v>335.56</v>
      </c>
      <c r="O124" s="582">
        <v>309015.83</v>
      </c>
      <c r="Q124" s="582" t="s">
        <v>621</v>
      </c>
      <c r="R124" s="582">
        <f t="shared" si="3"/>
        <v>1</v>
      </c>
    </row>
    <row r="125" spans="1:18">
      <c r="A125" s="582" t="s">
        <v>595</v>
      </c>
      <c r="B125" s="582" t="s">
        <v>397</v>
      </c>
      <c r="C125" s="582" t="s">
        <v>398</v>
      </c>
      <c r="D125" s="2">
        <v>213</v>
      </c>
      <c r="E125" s="587">
        <v>244</v>
      </c>
      <c r="F125" s="587">
        <v>268</v>
      </c>
      <c r="G125" s="587">
        <v>277</v>
      </c>
      <c r="H125" s="587">
        <v>277</v>
      </c>
      <c r="I125" s="587">
        <v>279</v>
      </c>
      <c r="J125" s="587">
        <v>279</v>
      </c>
      <c r="K125" s="587">
        <v>280</v>
      </c>
      <c r="L125" s="587">
        <v>277</v>
      </c>
      <c r="M125" s="587">
        <v>275</v>
      </c>
      <c r="N125" s="582">
        <f t="shared" si="4"/>
        <v>272.89</v>
      </c>
      <c r="O125" s="582">
        <v>239447.39</v>
      </c>
      <c r="Q125" s="582" t="s">
        <v>621</v>
      </c>
      <c r="R125" s="582">
        <f t="shared" si="3"/>
        <v>1</v>
      </c>
    </row>
    <row r="126" spans="1:18">
      <c r="A126" s="582" t="s">
        <v>597</v>
      </c>
      <c r="B126" s="582" t="s">
        <v>205</v>
      </c>
      <c r="C126" s="582" t="s">
        <v>206</v>
      </c>
      <c r="D126" s="2">
        <v>1242</v>
      </c>
      <c r="E126" s="587">
        <v>1479</v>
      </c>
      <c r="F126" s="587">
        <v>1507</v>
      </c>
      <c r="G126" s="587">
        <v>1511</v>
      </c>
      <c r="H126" s="587">
        <v>1519</v>
      </c>
      <c r="I126" s="587">
        <v>1540</v>
      </c>
      <c r="J126" s="587">
        <v>1551</v>
      </c>
      <c r="K126" s="587">
        <v>1557</v>
      </c>
      <c r="L126" s="587">
        <v>1568</v>
      </c>
      <c r="M126" s="587">
        <v>1574</v>
      </c>
      <c r="N126" s="582">
        <f t="shared" si="4"/>
        <v>1534</v>
      </c>
      <c r="O126" s="582">
        <v>1291461.77</v>
      </c>
      <c r="Q126" s="582" t="s">
        <v>621</v>
      </c>
      <c r="R126" s="582">
        <f t="shared" si="3"/>
        <v>1</v>
      </c>
    </row>
    <row r="127" spans="1:18">
      <c r="A127" s="582" t="s">
        <v>595</v>
      </c>
      <c r="B127" s="582" t="s">
        <v>413</v>
      </c>
      <c r="C127" s="582" t="s">
        <v>414</v>
      </c>
      <c r="D127" s="2">
        <v>66</v>
      </c>
      <c r="E127" s="587">
        <v>73</v>
      </c>
      <c r="F127" s="587">
        <v>76</v>
      </c>
      <c r="G127" s="587">
        <v>73</v>
      </c>
      <c r="H127" s="587">
        <v>73</v>
      </c>
      <c r="I127" s="587">
        <v>71</v>
      </c>
      <c r="J127" s="587">
        <v>72</v>
      </c>
      <c r="K127" s="587">
        <v>74</v>
      </c>
      <c r="L127" s="587">
        <v>76</v>
      </c>
      <c r="M127" s="587">
        <v>78</v>
      </c>
      <c r="N127" s="582">
        <f t="shared" si="4"/>
        <v>74</v>
      </c>
      <c r="O127" s="582">
        <v>65434.67</v>
      </c>
      <c r="Q127" s="582" t="s">
        <v>621</v>
      </c>
      <c r="R127" s="582">
        <f t="shared" si="3"/>
        <v>1</v>
      </c>
    </row>
    <row r="128" spans="1:18">
      <c r="A128" s="582" t="s">
        <v>603</v>
      </c>
      <c r="B128" s="582" t="s">
        <v>519</v>
      </c>
      <c r="C128" s="582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7">
        <v>0</v>
      </c>
      <c r="N128" s="582">
        <f t="shared" si="4"/>
        <v>0</v>
      </c>
      <c r="O128" s="582">
        <v>0</v>
      </c>
      <c r="Q128" s="582" t="s">
        <v>801</v>
      </c>
      <c r="R128" s="582">
        <f t="shared" si="3"/>
        <v>0</v>
      </c>
    </row>
    <row r="129" spans="1:18">
      <c r="A129" s="582" t="s">
        <v>603</v>
      </c>
      <c r="B129" s="582" t="s">
        <v>441</v>
      </c>
      <c r="C129" s="582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7">
        <v>0</v>
      </c>
      <c r="N129" s="582">
        <f t="shared" si="4"/>
        <v>0</v>
      </c>
      <c r="O129" s="582">
        <v>0</v>
      </c>
      <c r="Q129" s="582" t="s">
        <v>801</v>
      </c>
      <c r="R129" s="582">
        <f t="shared" si="3"/>
        <v>0</v>
      </c>
    </row>
    <row r="130" spans="1:18">
      <c r="A130" s="582" t="s">
        <v>603</v>
      </c>
      <c r="B130" s="582" t="s">
        <v>6</v>
      </c>
      <c r="C130" s="582" t="s">
        <v>7</v>
      </c>
      <c r="D130" s="2">
        <v>20</v>
      </c>
      <c r="E130" s="587">
        <v>20</v>
      </c>
      <c r="F130" s="587">
        <v>20</v>
      </c>
      <c r="G130" s="587">
        <v>18</v>
      </c>
      <c r="H130" s="587">
        <v>21</v>
      </c>
      <c r="I130" s="587">
        <v>21</v>
      </c>
      <c r="J130" s="587">
        <v>21</v>
      </c>
      <c r="K130" s="587">
        <v>21</v>
      </c>
      <c r="L130" s="587">
        <v>21</v>
      </c>
      <c r="M130" s="587">
        <v>21</v>
      </c>
      <c r="N130" s="582">
        <f t="shared" si="4"/>
        <v>20.440000000000001</v>
      </c>
      <c r="O130" s="582">
        <v>18505.310000000001</v>
      </c>
      <c r="Q130" s="582" t="s">
        <v>621</v>
      </c>
      <c r="R130" s="582">
        <f t="shared" si="3"/>
        <v>1</v>
      </c>
    </row>
    <row r="131" spans="1:18">
      <c r="A131" s="582" t="s">
        <v>599</v>
      </c>
      <c r="B131" s="582" t="s">
        <v>70</v>
      </c>
      <c r="C131" s="582" t="s">
        <v>71</v>
      </c>
      <c r="D131" s="2">
        <v>263</v>
      </c>
      <c r="E131" s="587">
        <v>327</v>
      </c>
      <c r="F131" s="587">
        <v>338</v>
      </c>
      <c r="G131" s="587">
        <v>345</v>
      </c>
      <c r="H131" s="587">
        <v>346</v>
      </c>
      <c r="I131" s="587">
        <v>344</v>
      </c>
      <c r="J131" s="587">
        <v>341</v>
      </c>
      <c r="K131" s="587">
        <v>341</v>
      </c>
      <c r="L131" s="587">
        <v>338</v>
      </c>
      <c r="M131" s="587">
        <v>342</v>
      </c>
      <c r="N131" s="582">
        <f t="shared" si="4"/>
        <v>340.22</v>
      </c>
      <c r="O131" s="582">
        <v>304281.21000000002</v>
      </c>
      <c r="Q131" s="582" t="s">
        <v>621</v>
      </c>
      <c r="R131" s="582">
        <f t="shared" si="3"/>
        <v>1</v>
      </c>
    </row>
    <row r="132" spans="1:18">
      <c r="A132" s="582" t="s">
        <v>603</v>
      </c>
      <c r="B132" s="582" t="s">
        <v>458</v>
      </c>
      <c r="C132" s="58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7">
        <v>0</v>
      </c>
      <c r="N132" s="582">
        <f t="shared" si="4"/>
        <v>0</v>
      </c>
      <c r="O132" s="582">
        <v>0</v>
      </c>
      <c r="Q132" s="582" t="s">
        <v>801</v>
      </c>
      <c r="R132" s="582">
        <f t="shared" si="3"/>
        <v>0</v>
      </c>
    </row>
    <row r="133" spans="1:18">
      <c r="A133" s="582" t="s">
        <v>595</v>
      </c>
      <c r="B133" s="582" t="s">
        <v>373</v>
      </c>
      <c r="C133" s="582" t="s">
        <v>374</v>
      </c>
      <c r="D133" s="2">
        <v>12</v>
      </c>
      <c r="E133" s="587">
        <v>14</v>
      </c>
      <c r="F133" s="587">
        <v>14</v>
      </c>
      <c r="G133" s="587">
        <v>14</v>
      </c>
      <c r="H133" s="587">
        <v>14</v>
      </c>
      <c r="I133" s="587">
        <v>15</v>
      </c>
      <c r="J133" s="587">
        <v>15</v>
      </c>
      <c r="K133" s="587">
        <v>15</v>
      </c>
      <c r="L133" s="587">
        <v>15</v>
      </c>
      <c r="M133" s="587">
        <v>15</v>
      </c>
      <c r="N133" s="582">
        <f t="shared" si="4"/>
        <v>14.56</v>
      </c>
      <c r="O133" s="582">
        <v>11938.77</v>
      </c>
      <c r="Q133" s="582" t="s">
        <v>621</v>
      </c>
      <c r="R133" s="582">
        <f t="shared" si="3"/>
        <v>1</v>
      </c>
    </row>
    <row r="134" spans="1:18">
      <c r="A134" s="582" t="s">
        <v>599</v>
      </c>
      <c r="B134" s="582" t="s">
        <v>250</v>
      </c>
      <c r="C134" s="582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7">
        <v>0</v>
      </c>
      <c r="N134" s="582">
        <f t="shared" si="4"/>
        <v>0</v>
      </c>
      <c r="O134" s="582">
        <v>0</v>
      </c>
      <c r="Q134" s="582" t="s">
        <v>801</v>
      </c>
      <c r="R134" s="582">
        <f t="shared" si="3"/>
        <v>0</v>
      </c>
    </row>
    <row r="135" spans="1:18">
      <c r="A135" s="582" t="s">
        <v>595</v>
      </c>
      <c r="B135" s="582" t="s">
        <v>510</v>
      </c>
      <c r="C135" s="582" t="s">
        <v>511</v>
      </c>
      <c r="D135" s="2">
        <v>193</v>
      </c>
      <c r="E135" s="587">
        <v>230</v>
      </c>
      <c r="F135" s="587">
        <v>226</v>
      </c>
      <c r="G135" s="587">
        <v>228</v>
      </c>
      <c r="H135" s="587">
        <v>230</v>
      </c>
      <c r="I135" s="587">
        <v>229</v>
      </c>
      <c r="J135" s="587">
        <v>234</v>
      </c>
      <c r="K135" s="587">
        <v>233</v>
      </c>
      <c r="L135" s="587">
        <v>233</v>
      </c>
      <c r="M135" s="587">
        <v>236</v>
      </c>
      <c r="N135" s="582">
        <f t="shared" si="4"/>
        <v>231</v>
      </c>
      <c r="O135" s="582">
        <v>207116.13</v>
      </c>
      <c r="Q135" s="582" t="s">
        <v>621</v>
      </c>
      <c r="R135" s="582">
        <f t="shared" si="3"/>
        <v>1</v>
      </c>
    </row>
    <row r="136" spans="1:18">
      <c r="A136" s="582" t="s">
        <v>605</v>
      </c>
      <c r="B136" s="582" t="s">
        <v>553</v>
      </c>
      <c r="C136" s="582" t="s">
        <v>554</v>
      </c>
      <c r="D136" s="2">
        <v>339</v>
      </c>
      <c r="E136" s="587">
        <v>347</v>
      </c>
      <c r="F136" s="587">
        <v>348</v>
      </c>
      <c r="G136" s="587">
        <v>343</v>
      </c>
      <c r="H136" s="587">
        <v>337</v>
      </c>
      <c r="I136" s="587">
        <v>336</v>
      </c>
      <c r="J136" s="587">
        <v>335</v>
      </c>
      <c r="K136" s="587">
        <v>339</v>
      </c>
      <c r="L136" s="587">
        <v>342</v>
      </c>
      <c r="M136" s="587">
        <v>339</v>
      </c>
      <c r="N136" s="582">
        <f t="shared" si="4"/>
        <v>340.67</v>
      </c>
      <c r="O136" s="582">
        <v>299951.67</v>
      </c>
      <c r="Q136" s="582" t="s">
        <v>621</v>
      </c>
      <c r="R136" s="582">
        <f t="shared" si="3"/>
        <v>1</v>
      </c>
    </row>
    <row r="137" spans="1:18">
      <c r="A137" s="582" t="s">
        <v>601</v>
      </c>
      <c r="B137" s="582" t="s">
        <v>90</v>
      </c>
      <c r="C137" s="582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7">
        <v>0</v>
      </c>
      <c r="N137" s="582">
        <f t="shared" si="4"/>
        <v>0</v>
      </c>
      <c r="O137" s="582">
        <v>0</v>
      </c>
      <c r="Q137" s="582" t="s">
        <v>801</v>
      </c>
      <c r="R137" s="582">
        <f t="shared" ref="R137:R200" si="5">IF(N137&gt;0,1,0)</f>
        <v>0</v>
      </c>
    </row>
    <row r="138" spans="1:18">
      <c r="A138" s="582" t="s">
        <v>601</v>
      </c>
      <c r="B138" s="582" t="s">
        <v>25</v>
      </c>
      <c r="C138" s="582" t="s">
        <v>26</v>
      </c>
      <c r="D138" s="2">
        <v>207</v>
      </c>
      <c r="E138" s="587">
        <v>220</v>
      </c>
      <c r="F138" s="587">
        <v>220</v>
      </c>
      <c r="G138" s="587">
        <v>211</v>
      </c>
      <c r="H138" s="587">
        <v>209</v>
      </c>
      <c r="I138" s="587">
        <v>213</v>
      </c>
      <c r="J138" s="587">
        <v>223</v>
      </c>
      <c r="K138" s="587">
        <v>220</v>
      </c>
      <c r="L138" s="587">
        <v>217</v>
      </c>
      <c r="M138" s="587">
        <v>210</v>
      </c>
      <c r="N138" s="582">
        <f t="shared" si="4"/>
        <v>215.89</v>
      </c>
      <c r="O138" s="582">
        <v>186367.79</v>
      </c>
      <c r="Q138" s="582" t="s">
        <v>621</v>
      </c>
      <c r="R138" s="582">
        <f t="shared" si="5"/>
        <v>1</v>
      </c>
    </row>
    <row r="139" spans="1:18">
      <c r="A139" s="582" t="s">
        <v>594</v>
      </c>
      <c r="B139" s="582" t="s">
        <v>301</v>
      </c>
      <c r="C139" s="582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7">
        <v>0</v>
      </c>
      <c r="N139" s="582">
        <f t="shared" si="4"/>
        <v>0</v>
      </c>
      <c r="O139" s="582">
        <v>0</v>
      </c>
      <c r="Q139" s="582" t="s">
        <v>801</v>
      </c>
      <c r="R139" s="582">
        <f t="shared" si="5"/>
        <v>0</v>
      </c>
    </row>
    <row r="140" spans="1:18">
      <c r="A140" s="582" t="s">
        <v>603</v>
      </c>
      <c r="B140" s="582" t="s">
        <v>466</v>
      </c>
      <c r="C140" s="582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 s="582">
        <f t="shared" si="4"/>
        <v>0</v>
      </c>
      <c r="O140" s="582">
        <v>0</v>
      </c>
      <c r="Q140" s="582" t="s">
        <v>801</v>
      </c>
      <c r="R140" s="582">
        <f t="shared" si="5"/>
        <v>0</v>
      </c>
    </row>
    <row r="141" spans="1:18">
      <c r="A141" s="582" t="s">
        <v>595</v>
      </c>
      <c r="B141" s="582" t="s">
        <v>405</v>
      </c>
      <c r="C141" s="582" t="s">
        <v>406</v>
      </c>
      <c r="D141" s="2">
        <v>563</v>
      </c>
      <c r="E141" s="587">
        <v>609</v>
      </c>
      <c r="F141" s="587">
        <v>711</v>
      </c>
      <c r="G141" s="587">
        <v>739</v>
      </c>
      <c r="H141" s="587">
        <v>742</v>
      </c>
      <c r="I141" s="587">
        <v>744</v>
      </c>
      <c r="J141" s="587">
        <v>760</v>
      </c>
      <c r="K141" s="587">
        <v>757</v>
      </c>
      <c r="L141" s="587">
        <v>757</v>
      </c>
      <c r="M141" s="587">
        <v>755</v>
      </c>
      <c r="N141" s="582">
        <f t="shared" si="4"/>
        <v>730.44</v>
      </c>
      <c r="O141" s="582">
        <v>664726.86</v>
      </c>
      <c r="Q141" s="582" t="s">
        <v>621</v>
      </c>
      <c r="R141" s="582">
        <f t="shared" si="5"/>
        <v>1</v>
      </c>
    </row>
    <row r="142" spans="1:18">
      <c r="A142" s="582" t="s">
        <v>594</v>
      </c>
      <c r="B142" s="582" t="s">
        <v>138</v>
      </c>
      <c r="C142" s="58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7">
        <v>0</v>
      </c>
      <c r="N142" s="582">
        <f t="shared" si="4"/>
        <v>0</v>
      </c>
      <c r="O142" s="582">
        <v>0</v>
      </c>
      <c r="Q142" s="582" t="s">
        <v>801</v>
      </c>
      <c r="R142" s="582">
        <f t="shared" si="5"/>
        <v>0</v>
      </c>
    </row>
    <row r="143" spans="1:18">
      <c r="A143" s="582" t="s">
        <v>603</v>
      </c>
      <c r="B143" s="582" t="s">
        <v>432</v>
      </c>
      <c r="C143" s="582" t="s">
        <v>433</v>
      </c>
      <c r="D143" s="2">
        <v>153</v>
      </c>
      <c r="E143" s="587">
        <v>206</v>
      </c>
      <c r="F143" s="587">
        <v>217</v>
      </c>
      <c r="G143" s="587">
        <v>219</v>
      </c>
      <c r="H143" s="587">
        <v>222</v>
      </c>
      <c r="I143" s="587">
        <v>232</v>
      </c>
      <c r="J143" s="587">
        <v>222</v>
      </c>
      <c r="K143" s="587">
        <v>220</v>
      </c>
      <c r="L143" s="587">
        <v>229</v>
      </c>
      <c r="M143" s="587">
        <v>230</v>
      </c>
      <c r="N143" s="582">
        <f t="shared" si="4"/>
        <v>221.89</v>
      </c>
      <c r="O143" s="582">
        <v>200823.65</v>
      </c>
      <c r="Q143" s="582" t="s">
        <v>621</v>
      </c>
      <c r="R143" s="582">
        <f t="shared" si="5"/>
        <v>1</v>
      </c>
    </row>
    <row r="144" spans="1:18">
      <c r="A144" s="582" t="s">
        <v>603</v>
      </c>
      <c r="B144" s="582" t="s">
        <v>430</v>
      </c>
      <c r="C144" s="582" t="s">
        <v>431</v>
      </c>
      <c r="D144" s="2">
        <v>5</v>
      </c>
      <c r="E144" s="587">
        <v>4</v>
      </c>
      <c r="F144" s="587">
        <v>5</v>
      </c>
      <c r="G144" s="587">
        <v>5</v>
      </c>
      <c r="H144" s="587">
        <v>4</v>
      </c>
      <c r="I144" s="587">
        <v>4</v>
      </c>
      <c r="J144" s="587">
        <v>5</v>
      </c>
      <c r="K144" s="587">
        <v>5</v>
      </c>
      <c r="L144" s="587">
        <v>5</v>
      </c>
      <c r="M144" s="587">
        <v>5</v>
      </c>
      <c r="N144" s="582">
        <f t="shared" si="4"/>
        <v>4.67</v>
      </c>
      <c r="O144" s="582">
        <v>4206.25</v>
      </c>
      <c r="Q144" s="582" t="s">
        <v>621</v>
      </c>
      <c r="R144" s="582">
        <f t="shared" si="5"/>
        <v>1</v>
      </c>
    </row>
    <row r="145" spans="1:18">
      <c r="A145" s="582" t="s">
        <v>597</v>
      </c>
      <c r="B145" s="582" t="s">
        <v>179</v>
      </c>
      <c r="C145" s="582" t="s">
        <v>180</v>
      </c>
      <c r="D145" s="2">
        <v>96</v>
      </c>
      <c r="E145" s="587">
        <v>94</v>
      </c>
      <c r="F145" s="587">
        <v>96</v>
      </c>
      <c r="G145" s="587">
        <v>96</v>
      </c>
      <c r="H145" s="587">
        <v>98</v>
      </c>
      <c r="I145" s="587">
        <v>93</v>
      </c>
      <c r="J145" s="587">
        <v>98</v>
      </c>
      <c r="K145" s="587">
        <v>100</v>
      </c>
      <c r="L145" s="587">
        <v>100</v>
      </c>
      <c r="M145" s="587">
        <v>100</v>
      </c>
      <c r="N145" s="582">
        <f t="shared" si="4"/>
        <v>97.22</v>
      </c>
      <c r="O145" s="582">
        <v>84085.56</v>
      </c>
      <c r="Q145" s="582" t="s">
        <v>621</v>
      </c>
      <c r="R145" s="582">
        <f t="shared" si="5"/>
        <v>1</v>
      </c>
    </row>
    <row r="146" spans="1:18">
      <c r="A146" s="582" t="s">
        <v>595</v>
      </c>
      <c r="B146" s="582" t="s">
        <v>512</v>
      </c>
      <c r="C146" s="582" t="s">
        <v>513</v>
      </c>
      <c r="D146" s="2">
        <v>81</v>
      </c>
      <c r="E146" s="587">
        <v>102</v>
      </c>
      <c r="F146" s="587">
        <v>105</v>
      </c>
      <c r="G146" s="587">
        <v>105</v>
      </c>
      <c r="H146" s="587">
        <v>105</v>
      </c>
      <c r="I146" s="587">
        <v>106</v>
      </c>
      <c r="J146" s="587">
        <v>105</v>
      </c>
      <c r="K146" s="587">
        <v>109</v>
      </c>
      <c r="L146" s="587">
        <v>112</v>
      </c>
      <c r="M146" s="587">
        <v>112</v>
      </c>
      <c r="N146" s="582">
        <f t="shared" si="4"/>
        <v>106.78</v>
      </c>
      <c r="O146" s="582">
        <v>93576.62</v>
      </c>
      <c r="Q146" s="582" t="s">
        <v>621</v>
      </c>
      <c r="R146" s="582">
        <f t="shared" si="5"/>
        <v>1</v>
      </c>
    </row>
    <row r="147" spans="1:18">
      <c r="A147" s="582" t="s">
        <v>601</v>
      </c>
      <c r="B147" s="582" t="s">
        <v>319</v>
      </c>
      <c r="C147" s="582" t="s">
        <v>320</v>
      </c>
      <c r="D147" s="2">
        <v>4</v>
      </c>
      <c r="E147" s="587">
        <v>4</v>
      </c>
      <c r="F147" s="587">
        <v>4</v>
      </c>
      <c r="G147" s="587">
        <v>5</v>
      </c>
      <c r="H147" s="587">
        <v>5</v>
      </c>
      <c r="I147" s="587">
        <v>5</v>
      </c>
      <c r="J147" s="587">
        <v>5</v>
      </c>
      <c r="K147" s="587">
        <v>5</v>
      </c>
      <c r="L147" s="587">
        <v>5</v>
      </c>
      <c r="M147" s="587">
        <v>5</v>
      </c>
      <c r="N147" s="582">
        <f t="shared" si="4"/>
        <v>4.78</v>
      </c>
      <c r="O147" s="582">
        <v>4272.8900000000003</v>
      </c>
      <c r="Q147" s="582" t="s">
        <v>621</v>
      </c>
      <c r="R147" s="582">
        <f t="shared" si="5"/>
        <v>1</v>
      </c>
    </row>
    <row r="148" spans="1:18">
      <c r="A148" s="582" t="s">
        <v>599</v>
      </c>
      <c r="B148" s="582" t="s">
        <v>391</v>
      </c>
      <c r="C148" s="582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7">
        <v>0</v>
      </c>
      <c r="N148" s="582">
        <f t="shared" si="4"/>
        <v>0</v>
      </c>
      <c r="O148" s="582">
        <v>0</v>
      </c>
      <c r="Q148" s="582" t="s">
        <v>801</v>
      </c>
      <c r="R148" s="582">
        <f t="shared" si="5"/>
        <v>0</v>
      </c>
    </row>
    <row r="149" spans="1:18">
      <c r="A149" s="582" t="s">
        <v>595</v>
      </c>
      <c r="B149" s="582" t="s">
        <v>409</v>
      </c>
      <c r="C149" s="582" t="s">
        <v>410</v>
      </c>
      <c r="D149" s="2">
        <v>393</v>
      </c>
      <c r="E149" s="587">
        <v>461</v>
      </c>
      <c r="F149" s="587">
        <v>463</v>
      </c>
      <c r="G149" s="587">
        <v>462</v>
      </c>
      <c r="H149" s="587">
        <v>461</v>
      </c>
      <c r="I149" s="587">
        <v>463</v>
      </c>
      <c r="J149" s="587">
        <v>464</v>
      </c>
      <c r="K149" s="587">
        <v>464</v>
      </c>
      <c r="L149" s="587">
        <v>471</v>
      </c>
      <c r="M149" s="587">
        <v>471</v>
      </c>
      <c r="N149" s="582">
        <f t="shared" ref="N149:N212" si="6">ROUND(SUM(E149:M149)/9,2)</f>
        <v>464.44</v>
      </c>
      <c r="O149" s="582">
        <v>409411.22</v>
      </c>
      <c r="Q149" s="582" t="s">
        <v>621</v>
      </c>
      <c r="R149" s="582">
        <f t="shared" si="5"/>
        <v>1</v>
      </c>
    </row>
    <row r="150" spans="1:18">
      <c r="A150" s="582" t="s">
        <v>594</v>
      </c>
      <c r="B150" s="582" t="s">
        <v>139</v>
      </c>
      <c r="C150" s="582" t="s">
        <v>140</v>
      </c>
      <c r="D150" s="2">
        <v>11</v>
      </c>
      <c r="E150" s="587">
        <v>11</v>
      </c>
      <c r="F150" s="587">
        <v>12</v>
      </c>
      <c r="G150" s="587">
        <v>12</v>
      </c>
      <c r="H150" s="587">
        <v>15</v>
      </c>
      <c r="I150" s="587">
        <v>11</v>
      </c>
      <c r="J150" s="587">
        <v>11</v>
      </c>
      <c r="K150" s="587">
        <v>11</v>
      </c>
      <c r="L150" s="587">
        <v>12</v>
      </c>
      <c r="M150" s="587">
        <v>12</v>
      </c>
      <c r="N150" s="582">
        <f t="shared" si="6"/>
        <v>11.89</v>
      </c>
      <c r="O150" s="582">
        <v>10645.83</v>
      </c>
      <c r="Q150" s="582" t="s">
        <v>621</v>
      </c>
      <c r="R150" s="582">
        <f t="shared" si="5"/>
        <v>1</v>
      </c>
    </row>
    <row r="151" spans="1:18">
      <c r="A151" s="582" t="s">
        <v>594</v>
      </c>
      <c r="B151" s="582" t="s">
        <v>260</v>
      </c>
      <c r="C151" s="582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7">
        <v>0</v>
      </c>
      <c r="N151" s="582">
        <f t="shared" si="6"/>
        <v>0</v>
      </c>
      <c r="O151" s="582">
        <v>0</v>
      </c>
      <c r="Q151" s="582" t="s">
        <v>801</v>
      </c>
      <c r="R151" s="582">
        <f t="shared" si="5"/>
        <v>0</v>
      </c>
    </row>
    <row r="152" spans="1:18">
      <c r="A152" s="582" t="s">
        <v>601</v>
      </c>
      <c r="B152" s="582" t="s">
        <v>125</v>
      </c>
      <c r="C152" s="582" t="s">
        <v>126</v>
      </c>
      <c r="D152" s="2">
        <v>578</v>
      </c>
      <c r="E152" s="587">
        <v>674</v>
      </c>
      <c r="F152" s="587">
        <v>700</v>
      </c>
      <c r="G152" s="587">
        <v>694</v>
      </c>
      <c r="H152" s="587">
        <v>698</v>
      </c>
      <c r="I152" s="587">
        <v>697</v>
      </c>
      <c r="J152" s="587">
        <v>695</v>
      </c>
      <c r="K152" s="587">
        <v>693</v>
      </c>
      <c r="L152" s="587">
        <v>693</v>
      </c>
      <c r="M152" s="587">
        <v>688</v>
      </c>
      <c r="N152" s="582">
        <f t="shared" si="6"/>
        <v>692.44</v>
      </c>
      <c r="O152" s="582">
        <v>611770.52</v>
      </c>
      <c r="Q152" s="582" t="s">
        <v>621</v>
      </c>
      <c r="R152" s="582">
        <f t="shared" si="5"/>
        <v>1</v>
      </c>
    </row>
    <row r="153" spans="1:18">
      <c r="A153" s="582" t="s">
        <v>594</v>
      </c>
      <c r="B153" s="582" t="s">
        <v>258</v>
      </c>
      <c r="C153" s="582" t="s">
        <v>259</v>
      </c>
      <c r="D153" s="2">
        <v>51</v>
      </c>
      <c r="E153" s="587">
        <v>52</v>
      </c>
      <c r="F153" s="587">
        <v>50</v>
      </c>
      <c r="G153" s="587">
        <v>53</v>
      </c>
      <c r="H153" s="587">
        <v>53</v>
      </c>
      <c r="I153" s="587">
        <v>54</v>
      </c>
      <c r="J153" s="587">
        <v>54</v>
      </c>
      <c r="K153" s="587">
        <v>56</v>
      </c>
      <c r="L153" s="587">
        <v>56</v>
      </c>
      <c r="M153" s="587">
        <v>56</v>
      </c>
      <c r="N153" s="582">
        <f t="shared" si="6"/>
        <v>53.78</v>
      </c>
      <c r="O153" s="582">
        <v>47166.75</v>
      </c>
      <c r="Q153" s="582" t="s">
        <v>621</v>
      </c>
      <c r="R153" s="582">
        <f t="shared" si="5"/>
        <v>1</v>
      </c>
    </row>
    <row r="154" spans="1:18">
      <c r="A154" s="582" t="s">
        <v>605</v>
      </c>
      <c r="B154" s="582" t="s">
        <v>571</v>
      </c>
      <c r="C154" s="582" t="s">
        <v>572</v>
      </c>
      <c r="D154" s="2">
        <v>118</v>
      </c>
      <c r="E154" s="587">
        <v>130</v>
      </c>
      <c r="F154" s="587">
        <v>125</v>
      </c>
      <c r="G154" s="587">
        <v>125</v>
      </c>
      <c r="H154" s="587">
        <v>125</v>
      </c>
      <c r="I154" s="587">
        <v>130</v>
      </c>
      <c r="J154" s="587">
        <v>133</v>
      </c>
      <c r="K154" s="587">
        <v>134</v>
      </c>
      <c r="L154" s="587">
        <v>142</v>
      </c>
      <c r="M154" s="587">
        <v>139</v>
      </c>
      <c r="N154" s="582">
        <f t="shared" si="6"/>
        <v>131.44</v>
      </c>
      <c r="O154" s="582">
        <v>110308.31</v>
      </c>
      <c r="Q154" s="582" t="s">
        <v>621</v>
      </c>
      <c r="R154" s="582">
        <f t="shared" si="5"/>
        <v>1</v>
      </c>
    </row>
    <row r="155" spans="1:18">
      <c r="A155" s="582" t="s">
        <v>595</v>
      </c>
      <c r="B155" s="582" t="s">
        <v>516</v>
      </c>
      <c r="C155" s="582" t="s">
        <v>517</v>
      </c>
      <c r="D155" s="2">
        <v>101</v>
      </c>
      <c r="E155" s="587">
        <v>116</v>
      </c>
      <c r="F155" s="587">
        <v>99</v>
      </c>
      <c r="G155" s="587">
        <v>100</v>
      </c>
      <c r="H155" s="587">
        <v>97</v>
      </c>
      <c r="I155" s="587">
        <v>98</v>
      </c>
      <c r="J155" s="587">
        <v>98</v>
      </c>
      <c r="K155" s="587">
        <v>100</v>
      </c>
      <c r="L155" s="587">
        <v>100</v>
      </c>
      <c r="M155" s="587">
        <v>99</v>
      </c>
      <c r="N155" s="582">
        <f t="shared" si="6"/>
        <v>100.78</v>
      </c>
      <c r="O155" s="582">
        <v>94152.72</v>
      </c>
      <c r="Q155" s="582" t="s">
        <v>621</v>
      </c>
      <c r="R155" s="582">
        <f t="shared" si="5"/>
        <v>1</v>
      </c>
    </row>
    <row r="156" spans="1:18">
      <c r="A156" s="582" t="s">
        <v>599</v>
      </c>
      <c r="B156" s="582" t="s">
        <v>389</v>
      </c>
      <c r="C156" s="582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7">
        <v>0</v>
      </c>
      <c r="N156" s="582">
        <f t="shared" si="6"/>
        <v>0</v>
      </c>
      <c r="O156" s="582">
        <v>0</v>
      </c>
      <c r="Q156" s="582" t="s">
        <v>801</v>
      </c>
      <c r="R156" s="582">
        <f t="shared" si="5"/>
        <v>0</v>
      </c>
    </row>
    <row r="157" spans="1:18">
      <c r="A157" s="582" t="s">
        <v>595</v>
      </c>
      <c r="B157" s="582" t="s">
        <v>386</v>
      </c>
      <c r="C157" s="582" t="s">
        <v>610</v>
      </c>
      <c r="D157" s="2">
        <v>1091</v>
      </c>
      <c r="E157" s="587">
        <v>1546</v>
      </c>
      <c r="F157" s="587">
        <v>1533</v>
      </c>
      <c r="G157" s="587">
        <v>1536</v>
      </c>
      <c r="H157" s="587">
        <v>1534</v>
      </c>
      <c r="I157" s="587">
        <v>1528</v>
      </c>
      <c r="J157" s="587">
        <v>1536</v>
      </c>
      <c r="K157" s="587">
        <v>1529</v>
      </c>
      <c r="L157" s="587">
        <v>1536</v>
      </c>
      <c r="M157" s="587">
        <v>1507</v>
      </c>
      <c r="N157" s="582">
        <f t="shared" si="6"/>
        <v>1531.67</v>
      </c>
      <c r="O157" s="582">
        <v>1324785.6499999999</v>
      </c>
      <c r="Q157" s="582" t="s">
        <v>621</v>
      </c>
      <c r="R157" s="582">
        <f t="shared" si="5"/>
        <v>1</v>
      </c>
    </row>
    <row r="158" spans="1:18">
      <c r="A158" s="582" t="s">
        <v>595</v>
      </c>
      <c r="B158" s="582" t="s">
        <v>399</v>
      </c>
      <c r="C158" s="582" t="s">
        <v>400</v>
      </c>
      <c r="D158" s="2">
        <v>2081</v>
      </c>
      <c r="E158" s="587">
        <v>2434</v>
      </c>
      <c r="F158" s="587">
        <v>2438</v>
      </c>
      <c r="G158" s="587">
        <v>2429</v>
      </c>
      <c r="H158" s="587">
        <v>2424</v>
      </c>
      <c r="I158" s="587">
        <v>2424</v>
      </c>
      <c r="J158" s="587">
        <v>2401</v>
      </c>
      <c r="K158" s="587">
        <v>2410</v>
      </c>
      <c r="L158" s="587">
        <v>2425</v>
      </c>
      <c r="M158" s="587">
        <v>2428</v>
      </c>
      <c r="N158" s="582">
        <f t="shared" si="6"/>
        <v>2423.67</v>
      </c>
      <c r="O158" s="582">
        <v>2160858.81</v>
      </c>
      <c r="Q158" s="582" t="s">
        <v>621</v>
      </c>
      <c r="R158" s="582">
        <f t="shared" si="5"/>
        <v>1</v>
      </c>
    </row>
    <row r="159" spans="1:18">
      <c r="A159" s="582" t="s">
        <v>605</v>
      </c>
      <c r="B159" s="582" t="s">
        <v>545</v>
      </c>
      <c r="C159" s="582" t="s">
        <v>546</v>
      </c>
      <c r="D159" s="2">
        <v>56</v>
      </c>
      <c r="E159" s="587">
        <v>60</v>
      </c>
      <c r="F159" s="587">
        <v>64</v>
      </c>
      <c r="G159" s="587">
        <v>68</v>
      </c>
      <c r="H159" s="587">
        <v>68</v>
      </c>
      <c r="I159" s="587">
        <v>64</v>
      </c>
      <c r="J159" s="587">
        <v>64</v>
      </c>
      <c r="K159" s="587">
        <v>65</v>
      </c>
      <c r="L159" s="587">
        <v>65</v>
      </c>
      <c r="M159" s="587">
        <v>64</v>
      </c>
      <c r="N159" s="582">
        <f t="shared" si="6"/>
        <v>64.67</v>
      </c>
      <c r="O159" s="582">
        <v>58200.01</v>
      </c>
      <c r="Q159" s="582" t="s">
        <v>621</v>
      </c>
      <c r="R159" s="582">
        <f t="shared" si="5"/>
        <v>1</v>
      </c>
    </row>
    <row r="160" spans="1:18">
      <c r="A160" s="582" t="s">
        <v>594</v>
      </c>
      <c r="B160" s="582" t="s">
        <v>252</v>
      </c>
      <c r="C160" s="582" t="s">
        <v>253</v>
      </c>
      <c r="D160" s="2">
        <v>1</v>
      </c>
      <c r="E160" s="587">
        <v>5</v>
      </c>
      <c r="F160" s="587">
        <v>5</v>
      </c>
      <c r="G160" s="587">
        <v>12</v>
      </c>
      <c r="H160" s="587">
        <v>12</v>
      </c>
      <c r="I160" s="587">
        <v>13</v>
      </c>
      <c r="J160" s="587">
        <v>14</v>
      </c>
      <c r="K160" s="587">
        <v>14</v>
      </c>
      <c r="L160" s="587">
        <v>14</v>
      </c>
      <c r="M160" s="587">
        <v>14</v>
      </c>
      <c r="N160" s="582">
        <f t="shared" si="6"/>
        <v>11.44</v>
      </c>
      <c r="O160" s="582">
        <v>10169.09</v>
      </c>
      <c r="Q160" s="582" t="s">
        <v>621</v>
      </c>
      <c r="R160" s="582">
        <f t="shared" si="5"/>
        <v>1</v>
      </c>
    </row>
    <row r="161" spans="1:18">
      <c r="A161" s="582" t="s">
        <v>599</v>
      </c>
      <c r="B161" s="582" t="s">
        <v>331</v>
      </c>
      <c r="C161" s="582" t="s">
        <v>611</v>
      </c>
      <c r="D161" s="2">
        <v>6</v>
      </c>
      <c r="E161" s="587">
        <v>6</v>
      </c>
      <c r="F161" s="587">
        <v>6</v>
      </c>
      <c r="G161" s="587">
        <v>6</v>
      </c>
      <c r="H161" s="587">
        <v>6</v>
      </c>
      <c r="I161" s="587">
        <v>6</v>
      </c>
      <c r="J161" s="587">
        <v>7</v>
      </c>
      <c r="K161" s="587">
        <v>7</v>
      </c>
      <c r="L161" s="587">
        <v>7</v>
      </c>
      <c r="M161" s="587">
        <v>8</v>
      </c>
      <c r="N161" s="582">
        <f t="shared" si="6"/>
        <v>6.56</v>
      </c>
      <c r="O161" s="582">
        <v>5964.45</v>
      </c>
      <c r="Q161" s="582" t="s">
        <v>621</v>
      </c>
      <c r="R161" s="582">
        <f t="shared" si="5"/>
        <v>1</v>
      </c>
    </row>
    <row r="162" spans="1:18">
      <c r="A162" s="582" t="s">
        <v>601</v>
      </c>
      <c r="B162" s="582" t="s">
        <v>309</v>
      </c>
      <c r="C162" s="58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7">
        <v>0</v>
      </c>
      <c r="N162" s="582">
        <f t="shared" si="6"/>
        <v>0</v>
      </c>
      <c r="O162" s="582">
        <v>0</v>
      </c>
      <c r="Q162" s="582" t="s">
        <v>801</v>
      </c>
      <c r="R162" s="582">
        <f t="shared" si="5"/>
        <v>0</v>
      </c>
    </row>
    <row r="163" spans="1:18">
      <c r="A163" s="582" t="s">
        <v>603</v>
      </c>
      <c r="B163" s="582" t="s">
        <v>336</v>
      </c>
      <c r="C163" s="582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7">
        <v>0</v>
      </c>
      <c r="N163" s="582">
        <f t="shared" si="6"/>
        <v>0</v>
      </c>
      <c r="O163" s="582">
        <v>0</v>
      </c>
      <c r="Q163" s="582" t="s">
        <v>801</v>
      </c>
      <c r="R163" s="582">
        <f t="shared" si="5"/>
        <v>0</v>
      </c>
    </row>
    <row r="164" spans="1:18">
      <c r="A164" s="582" t="s">
        <v>603</v>
      </c>
      <c r="B164" s="582" t="s">
        <v>428</v>
      </c>
      <c r="C164" s="582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7">
        <v>0</v>
      </c>
      <c r="N164" s="582">
        <f t="shared" si="6"/>
        <v>0</v>
      </c>
      <c r="O164" s="582">
        <v>0</v>
      </c>
      <c r="Q164" s="582" t="s">
        <v>801</v>
      </c>
      <c r="R164" s="582">
        <f t="shared" si="5"/>
        <v>0</v>
      </c>
    </row>
    <row r="165" spans="1:18">
      <c r="A165" s="582" t="s">
        <v>595</v>
      </c>
      <c r="B165" s="582" t="s">
        <v>514</v>
      </c>
      <c r="C165" s="582" t="s">
        <v>515</v>
      </c>
      <c r="D165" s="2">
        <v>155</v>
      </c>
      <c r="E165" s="587">
        <v>193</v>
      </c>
      <c r="F165" s="587">
        <v>196</v>
      </c>
      <c r="G165" s="587">
        <v>196</v>
      </c>
      <c r="H165" s="587">
        <v>196</v>
      </c>
      <c r="I165" s="587">
        <v>194</v>
      </c>
      <c r="J165" s="587">
        <v>192</v>
      </c>
      <c r="K165" s="587">
        <v>191</v>
      </c>
      <c r="L165" s="587">
        <v>192</v>
      </c>
      <c r="M165" s="587">
        <v>194</v>
      </c>
      <c r="N165" s="582">
        <f t="shared" si="6"/>
        <v>193.78</v>
      </c>
      <c r="O165" s="582">
        <v>174311.16</v>
      </c>
      <c r="Q165" s="582" t="s">
        <v>621</v>
      </c>
      <c r="R165" s="582">
        <f t="shared" si="5"/>
        <v>1</v>
      </c>
    </row>
    <row r="166" spans="1:18">
      <c r="A166" s="582" t="s">
        <v>594</v>
      </c>
      <c r="B166" s="582" t="s">
        <v>136</v>
      </c>
      <c r="C166" s="582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7">
        <v>0</v>
      </c>
      <c r="N166" s="582">
        <f t="shared" si="6"/>
        <v>0</v>
      </c>
      <c r="O166" s="582">
        <v>0</v>
      </c>
      <c r="Q166" s="582" t="s">
        <v>801</v>
      </c>
      <c r="R166" s="582">
        <f t="shared" si="5"/>
        <v>0</v>
      </c>
    </row>
    <row r="167" spans="1:18">
      <c r="A167" s="582" t="s">
        <v>596</v>
      </c>
      <c r="B167" s="582" t="s">
        <v>106</v>
      </c>
      <c r="C167" s="582" t="s">
        <v>107</v>
      </c>
      <c r="D167" s="2">
        <v>698</v>
      </c>
      <c r="E167" s="587">
        <v>733</v>
      </c>
      <c r="F167" s="587">
        <v>727</v>
      </c>
      <c r="G167" s="587">
        <v>720</v>
      </c>
      <c r="H167" s="587">
        <v>710</v>
      </c>
      <c r="I167" s="587">
        <v>714</v>
      </c>
      <c r="J167" s="587">
        <v>720</v>
      </c>
      <c r="K167" s="587">
        <v>719</v>
      </c>
      <c r="L167" s="587">
        <v>729</v>
      </c>
      <c r="M167" s="587">
        <v>729</v>
      </c>
      <c r="N167" s="582">
        <f t="shared" si="6"/>
        <v>722.33</v>
      </c>
      <c r="O167" s="582">
        <v>596064.97</v>
      </c>
      <c r="Q167" s="582" t="s">
        <v>621</v>
      </c>
      <c r="R167" s="582">
        <f t="shared" si="5"/>
        <v>1</v>
      </c>
    </row>
    <row r="168" spans="1:18">
      <c r="A168" s="582" t="s">
        <v>600</v>
      </c>
      <c r="B168" s="582" t="s">
        <v>214</v>
      </c>
      <c r="C168" s="582" t="s">
        <v>215</v>
      </c>
      <c r="D168" s="2">
        <v>132</v>
      </c>
      <c r="E168" s="587">
        <v>163</v>
      </c>
      <c r="F168" s="587">
        <v>166</v>
      </c>
      <c r="G168" s="587">
        <v>166</v>
      </c>
      <c r="H168" s="587">
        <v>169</v>
      </c>
      <c r="I168" s="587">
        <v>169</v>
      </c>
      <c r="J168" s="587">
        <v>165</v>
      </c>
      <c r="K168" s="587">
        <v>164</v>
      </c>
      <c r="L168" s="587">
        <v>170</v>
      </c>
      <c r="M168" s="587">
        <v>173</v>
      </c>
      <c r="N168" s="582">
        <f t="shared" si="6"/>
        <v>167.22</v>
      </c>
      <c r="O168" s="582">
        <v>154198.26999999999</v>
      </c>
      <c r="Q168" s="582" t="s">
        <v>621</v>
      </c>
      <c r="R168" s="582">
        <f t="shared" si="5"/>
        <v>1</v>
      </c>
    </row>
    <row r="169" spans="1:18">
      <c r="A169" s="582" t="s">
        <v>600</v>
      </c>
      <c r="B169" s="582" t="s">
        <v>305</v>
      </c>
      <c r="C169" s="582" t="s">
        <v>306</v>
      </c>
      <c r="D169" s="2">
        <v>92</v>
      </c>
      <c r="E169" s="587">
        <v>122</v>
      </c>
      <c r="F169" s="587">
        <v>123</v>
      </c>
      <c r="G169" s="587">
        <v>126</v>
      </c>
      <c r="H169" s="587">
        <v>126</v>
      </c>
      <c r="I169" s="587">
        <v>128</v>
      </c>
      <c r="J169" s="587">
        <v>130</v>
      </c>
      <c r="K169" s="587">
        <v>129</v>
      </c>
      <c r="L169" s="587">
        <v>131</v>
      </c>
      <c r="M169" s="587">
        <v>131</v>
      </c>
      <c r="N169" s="582">
        <f t="shared" si="6"/>
        <v>127.33</v>
      </c>
      <c r="O169" s="582">
        <v>111391.07</v>
      </c>
      <c r="Q169" s="582" t="s">
        <v>621</v>
      </c>
      <c r="R169" s="582">
        <f t="shared" si="5"/>
        <v>1</v>
      </c>
    </row>
    <row r="170" spans="1:18">
      <c r="A170" s="582" t="s">
        <v>594</v>
      </c>
      <c r="B170" s="582" t="s">
        <v>334</v>
      </c>
      <c r="C170" s="582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7">
        <v>0</v>
      </c>
      <c r="N170" s="582">
        <f t="shared" si="6"/>
        <v>0</v>
      </c>
      <c r="O170" s="582">
        <v>0</v>
      </c>
      <c r="Q170" s="582" t="s">
        <v>801</v>
      </c>
      <c r="R170" s="582">
        <f t="shared" si="5"/>
        <v>0</v>
      </c>
    </row>
    <row r="171" spans="1:18">
      <c r="A171" s="582" t="s">
        <v>594</v>
      </c>
      <c r="B171" s="582" t="s">
        <v>474</v>
      </c>
      <c r="C171" s="582" t="s">
        <v>475</v>
      </c>
      <c r="D171" s="2">
        <v>529</v>
      </c>
      <c r="E171" s="587">
        <v>562</v>
      </c>
      <c r="F171" s="587">
        <v>573</v>
      </c>
      <c r="G171" s="587">
        <v>580</v>
      </c>
      <c r="H171" s="587">
        <v>585</v>
      </c>
      <c r="I171" s="587">
        <v>596</v>
      </c>
      <c r="J171" s="587">
        <v>608</v>
      </c>
      <c r="K171" s="587">
        <v>607</v>
      </c>
      <c r="L171" s="587">
        <v>603</v>
      </c>
      <c r="M171" s="587">
        <v>606</v>
      </c>
      <c r="N171" s="582">
        <f t="shared" si="6"/>
        <v>591.11</v>
      </c>
      <c r="O171" s="582">
        <v>523254.88</v>
      </c>
      <c r="Q171" s="582" t="s">
        <v>621</v>
      </c>
      <c r="R171" s="582">
        <f t="shared" si="5"/>
        <v>1</v>
      </c>
    </row>
    <row r="172" spans="1:18">
      <c r="A172" s="582" t="s">
        <v>603</v>
      </c>
      <c r="B172" s="582" t="s">
        <v>468</v>
      </c>
      <c r="C172" s="58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7">
        <v>0</v>
      </c>
      <c r="N172" s="582">
        <f t="shared" si="6"/>
        <v>0</v>
      </c>
      <c r="O172" s="582">
        <v>0</v>
      </c>
      <c r="Q172" s="582" t="s">
        <v>801</v>
      </c>
      <c r="R172" s="582">
        <f t="shared" si="5"/>
        <v>0</v>
      </c>
    </row>
    <row r="173" spans="1:18">
      <c r="A173" s="582" t="s">
        <v>597</v>
      </c>
      <c r="B173" s="582" t="s">
        <v>209</v>
      </c>
      <c r="C173" s="582" t="s">
        <v>210</v>
      </c>
      <c r="D173" s="2">
        <v>921</v>
      </c>
      <c r="E173" s="587">
        <v>1067</v>
      </c>
      <c r="F173" s="587">
        <v>1099</v>
      </c>
      <c r="G173" s="587">
        <v>1114</v>
      </c>
      <c r="H173" s="587">
        <v>1119</v>
      </c>
      <c r="I173" s="587">
        <v>1135</v>
      </c>
      <c r="J173" s="587">
        <v>1134</v>
      </c>
      <c r="K173" s="587">
        <v>1141</v>
      </c>
      <c r="L173" s="587">
        <v>1150</v>
      </c>
      <c r="M173" s="587">
        <v>1159</v>
      </c>
      <c r="N173" s="582">
        <f t="shared" si="6"/>
        <v>1124.22</v>
      </c>
      <c r="O173" s="582">
        <v>1031687.34</v>
      </c>
      <c r="Q173" s="582" t="s">
        <v>621</v>
      </c>
      <c r="R173" s="582">
        <f t="shared" si="5"/>
        <v>1</v>
      </c>
    </row>
    <row r="174" spans="1:18">
      <c r="A174" s="582" t="s">
        <v>595</v>
      </c>
      <c r="B174" s="582" t="s">
        <v>157</v>
      </c>
      <c r="C174" s="582" t="s">
        <v>158</v>
      </c>
      <c r="D174" s="2">
        <v>85</v>
      </c>
      <c r="E174" s="587">
        <v>117</v>
      </c>
      <c r="F174" s="587">
        <v>120</v>
      </c>
      <c r="G174" s="587">
        <v>123</v>
      </c>
      <c r="H174" s="587">
        <v>124</v>
      </c>
      <c r="I174" s="587">
        <v>131</v>
      </c>
      <c r="J174" s="587">
        <v>131</v>
      </c>
      <c r="K174" s="587">
        <v>132</v>
      </c>
      <c r="L174" s="587">
        <v>132</v>
      </c>
      <c r="M174" s="587">
        <v>131</v>
      </c>
      <c r="N174" s="582">
        <f t="shared" si="6"/>
        <v>126.78</v>
      </c>
      <c r="O174" s="582">
        <v>111470.09</v>
      </c>
      <c r="Q174" s="582" t="s">
        <v>621</v>
      </c>
      <c r="R174" s="582">
        <f t="shared" si="5"/>
        <v>1</v>
      </c>
    </row>
    <row r="175" spans="1:18">
      <c r="A175" s="582" t="s">
        <v>603</v>
      </c>
      <c r="B175" s="582" t="s">
        <v>541</v>
      </c>
      <c r="C175" s="582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7">
        <v>0</v>
      </c>
      <c r="N175" s="582">
        <f t="shared" si="6"/>
        <v>0</v>
      </c>
      <c r="O175" s="582">
        <v>0</v>
      </c>
      <c r="Q175" s="582" t="s">
        <v>801</v>
      </c>
      <c r="R175" s="582">
        <f t="shared" si="5"/>
        <v>0</v>
      </c>
    </row>
    <row r="176" spans="1:18">
      <c r="A176" s="582" t="s">
        <v>594</v>
      </c>
      <c r="B176" s="582" t="s">
        <v>155</v>
      </c>
      <c r="C176" s="582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7">
        <v>0</v>
      </c>
      <c r="N176" s="582">
        <f t="shared" si="6"/>
        <v>0</v>
      </c>
      <c r="O176" s="582">
        <v>0</v>
      </c>
      <c r="Q176" s="582" t="s">
        <v>801</v>
      </c>
      <c r="R176" s="582">
        <f t="shared" si="5"/>
        <v>0</v>
      </c>
    </row>
    <row r="177" spans="1:18">
      <c r="A177" s="582" t="s">
        <v>599</v>
      </c>
      <c r="B177" s="582" t="s">
        <v>325</v>
      </c>
      <c r="C177" s="582" t="s">
        <v>326</v>
      </c>
      <c r="D177" s="2">
        <v>39</v>
      </c>
      <c r="E177" s="587">
        <v>41</v>
      </c>
      <c r="F177" s="587">
        <v>42</v>
      </c>
      <c r="G177" s="587">
        <v>43</v>
      </c>
      <c r="H177" s="587">
        <v>43</v>
      </c>
      <c r="I177" s="587">
        <v>44</v>
      </c>
      <c r="J177" s="587">
        <v>46</v>
      </c>
      <c r="K177" s="587">
        <v>48</v>
      </c>
      <c r="L177" s="587">
        <v>46</v>
      </c>
      <c r="M177" s="587">
        <v>44</v>
      </c>
      <c r="N177" s="582">
        <f t="shared" si="6"/>
        <v>44.11</v>
      </c>
      <c r="O177" s="582">
        <v>38562.720000000001</v>
      </c>
      <c r="Q177" s="582" t="s">
        <v>621</v>
      </c>
      <c r="R177" s="582">
        <f t="shared" si="5"/>
        <v>1</v>
      </c>
    </row>
    <row r="178" spans="1:18">
      <c r="A178" s="582" t="s">
        <v>594</v>
      </c>
      <c r="B178" s="582" t="s">
        <v>153</v>
      </c>
      <c r="C178" s="582" t="s">
        <v>154</v>
      </c>
      <c r="D178" s="2">
        <v>45</v>
      </c>
      <c r="E178" s="587">
        <v>55</v>
      </c>
      <c r="F178" s="587">
        <v>54</v>
      </c>
      <c r="G178" s="587">
        <v>55</v>
      </c>
      <c r="H178" s="587">
        <v>53</v>
      </c>
      <c r="I178" s="587">
        <v>51</v>
      </c>
      <c r="J178" s="587">
        <v>49</v>
      </c>
      <c r="K178" s="587">
        <v>48</v>
      </c>
      <c r="L178" s="587">
        <v>51</v>
      </c>
      <c r="M178" s="587">
        <v>51</v>
      </c>
      <c r="N178" s="582">
        <f t="shared" si="6"/>
        <v>51.89</v>
      </c>
      <c r="O178" s="582">
        <v>45080.72</v>
      </c>
      <c r="Q178" s="582" t="s">
        <v>621</v>
      </c>
      <c r="R178" s="582">
        <f t="shared" si="5"/>
        <v>1</v>
      </c>
    </row>
    <row r="179" spans="1:18">
      <c r="A179" s="582" t="s">
        <v>603</v>
      </c>
      <c r="B179" s="582" t="s">
        <v>287</v>
      </c>
      <c r="C179" s="582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7">
        <v>0</v>
      </c>
      <c r="N179" s="582">
        <f t="shared" si="6"/>
        <v>0</v>
      </c>
      <c r="O179" s="582">
        <v>0</v>
      </c>
      <c r="Q179" s="582" t="s">
        <v>801</v>
      </c>
      <c r="R179" s="582">
        <f t="shared" si="5"/>
        <v>0</v>
      </c>
    </row>
    <row r="180" spans="1:18">
      <c r="A180" s="582" t="s">
        <v>601</v>
      </c>
      <c r="B180" s="582" t="s">
        <v>313</v>
      </c>
      <c r="C180" s="582" t="s">
        <v>314</v>
      </c>
      <c r="D180" s="2">
        <v>92</v>
      </c>
      <c r="E180" s="587">
        <v>90</v>
      </c>
      <c r="F180" s="587">
        <v>90</v>
      </c>
      <c r="G180" s="587">
        <v>90</v>
      </c>
      <c r="H180" s="587">
        <v>94</v>
      </c>
      <c r="I180" s="587">
        <v>93</v>
      </c>
      <c r="J180" s="587">
        <v>91</v>
      </c>
      <c r="K180" s="587">
        <v>89</v>
      </c>
      <c r="L180" s="587">
        <v>89</v>
      </c>
      <c r="M180" s="587">
        <v>88</v>
      </c>
      <c r="N180" s="582">
        <f t="shared" si="6"/>
        <v>90.44</v>
      </c>
      <c r="O180" s="582">
        <v>81952.899999999994</v>
      </c>
      <c r="Q180" s="582" t="s">
        <v>621</v>
      </c>
      <c r="R180" s="582">
        <f t="shared" si="5"/>
        <v>1</v>
      </c>
    </row>
    <row r="181" spans="1:18">
      <c r="A181" s="582" t="s">
        <v>594</v>
      </c>
      <c r="B181" s="582" t="s">
        <v>478</v>
      </c>
      <c r="C181" s="582" t="s">
        <v>479</v>
      </c>
      <c r="D181" s="2">
        <v>166</v>
      </c>
      <c r="E181" s="587">
        <v>179</v>
      </c>
      <c r="F181" s="587">
        <v>190</v>
      </c>
      <c r="G181" s="587">
        <v>190</v>
      </c>
      <c r="H181" s="587">
        <v>191</v>
      </c>
      <c r="I181" s="587">
        <v>193</v>
      </c>
      <c r="J181" s="587">
        <v>190</v>
      </c>
      <c r="K181" s="587">
        <v>193</v>
      </c>
      <c r="L181" s="587">
        <v>199</v>
      </c>
      <c r="M181" s="587">
        <v>193</v>
      </c>
      <c r="N181" s="582">
        <f t="shared" si="6"/>
        <v>190.89</v>
      </c>
      <c r="O181" s="582">
        <v>172825.72</v>
      </c>
      <c r="Q181" s="582" t="s">
        <v>621</v>
      </c>
      <c r="R181" s="582">
        <f t="shared" si="5"/>
        <v>1</v>
      </c>
    </row>
    <row r="182" spans="1:18">
      <c r="A182" s="582" t="s">
        <v>601</v>
      </c>
      <c r="B182" s="582" t="s">
        <v>311</v>
      </c>
      <c r="C182" s="582" t="s">
        <v>312</v>
      </c>
      <c r="D182" s="2">
        <v>81</v>
      </c>
      <c r="E182" s="587">
        <v>94</v>
      </c>
      <c r="F182" s="587">
        <v>92</v>
      </c>
      <c r="G182" s="587">
        <v>91</v>
      </c>
      <c r="H182" s="587">
        <v>87</v>
      </c>
      <c r="I182" s="587">
        <v>89</v>
      </c>
      <c r="J182" s="587">
        <v>92</v>
      </c>
      <c r="K182" s="587">
        <v>97</v>
      </c>
      <c r="L182" s="587">
        <v>97</v>
      </c>
      <c r="M182" s="587">
        <v>95</v>
      </c>
      <c r="N182" s="582">
        <f t="shared" si="6"/>
        <v>92.67</v>
      </c>
      <c r="O182" s="582">
        <v>80083.78</v>
      </c>
      <c r="Q182" s="582" t="s">
        <v>621</v>
      </c>
      <c r="R182" s="582">
        <f t="shared" si="5"/>
        <v>1</v>
      </c>
    </row>
    <row r="183" spans="1:18">
      <c r="A183" s="582" t="s">
        <v>594</v>
      </c>
      <c r="B183" s="582" t="s">
        <v>270</v>
      </c>
      <c r="C183" s="582" t="s">
        <v>271</v>
      </c>
      <c r="D183" s="2">
        <v>18</v>
      </c>
      <c r="E183" s="587">
        <v>20</v>
      </c>
      <c r="F183" s="587">
        <v>24</v>
      </c>
      <c r="G183" s="587">
        <v>26</v>
      </c>
      <c r="H183" s="587">
        <v>26</v>
      </c>
      <c r="I183" s="587">
        <v>26</v>
      </c>
      <c r="J183" s="587">
        <v>25</v>
      </c>
      <c r="K183" s="587">
        <v>23</v>
      </c>
      <c r="L183" s="587">
        <v>23</v>
      </c>
      <c r="M183" s="587">
        <v>26</v>
      </c>
      <c r="N183" s="582">
        <f t="shared" si="6"/>
        <v>24.33</v>
      </c>
      <c r="O183" s="582">
        <v>20703.23</v>
      </c>
      <c r="Q183" s="582" t="s">
        <v>621</v>
      </c>
      <c r="R183" s="582">
        <f t="shared" si="5"/>
        <v>1</v>
      </c>
    </row>
    <row r="184" spans="1:18">
      <c r="A184" s="582" t="s">
        <v>603</v>
      </c>
      <c r="B184" s="582" t="s">
        <v>448</v>
      </c>
      <c r="C184" s="582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7">
        <v>0</v>
      </c>
      <c r="N184" s="582">
        <f t="shared" si="6"/>
        <v>0</v>
      </c>
      <c r="O184" s="582">
        <v>0</v>
      </c>
      <c r="Q184" s="582" t="s">
        <v>801</v>
      </c>
      <c r="R184" s="582">
        <f t="shared" si="5"/>
        <v>0</v>
      </c>
    </row>
    <row r="185" spans="1:18">
      <c r="A185" s="582" t="s">
        <v>595</v>
      </c>
      <c r="B185" s="582" t="s">
        <v>372</v>
      </c>
      <c r="C185" s="582" t="s">
        <v>613</v>
      </c>
      <c r="D185" s="2">
        <v>17</v>
      </c>
      <c r="E185" s="587">
        <v>23</v>
      </c>
      <c r="F185" s="587">
        <v>23</v>
      </c>
      <c r="G185" s="587">
        <v>23</v>
      </c>
      <c r="H185" s="587">
        <v>24</v>
      </c>
      <c r="I185" s="587">
        <v>23</v>
      </c>
      <c r="J185" s="587">
        <v>22</v>
      </c>
      <c r="K185" s="587">
        <v>23</v>
      </c>
      <c r="L185" s="587">
        <v>23</v>
      </c>
      <c r="M185" s="587">
        <v>22</v>
      </c>
      <c r="N185" s="582">
        <f t="shared" si="6"/>
        <v>22.89</v>
      </c>
      <c r="O185" s="582">
        <v>19892.64</v>
      </c>
      <c r="Q185" s="582" t="s">
        <v>621</v>
      </c>
      <c r="R185" s="582">
        <f t="shared" si="5"/>
        <v>1</v>
      </c>
    </row>
    <row r="186" spans="1:18">
      <c r="A186" s="582" t="s">
        <v>603</v>
      </c>
      <c r="B186" s="582" t="s">
        <v>424</v>
      </c>
      <c r="C186" s="582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7">
        <v>0</v>
      </c>
      <c r="N186" s="582">
        <f t="shared" si="6"/>
        <v>0</v>
      </c>
      <c r="O186" s="582">
        <v>0</v>
      </c>
      <c r="Q186" s="582" t="s">
        <v>801</v>
      </c>
      <c r="R186" s="582">
        <f t="shared" si="5"/>
        <v>0</v>
      </c>
    </row>
    <row r="187" spans="1:18">
      <c r="A187" s="582" t="s">
        <v>603</v>
      </c>
      <c r="B187" s="582" t="s">
        <v>98</v>
      </c>
      <c r="C187" s="582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7">
        <v>0</v>
      </c>
      <c r="N187" s="582">
        <f t="shared" si="6"/>
        <v>0</v>
      </c>
      <c r="O187" s="582">
        <v>0</v>
      </c>
      <c r="Q187" s="582" t="s">
        <v>801</v>
      </c>
      <c r="R187" s="582">
        <f t="shared" si="5"/>
        <v>0</v>
      </c>
    </row>
    <row r="188" spans="1:18">
      <c r="A188" s="582" t="s">
        <v>601</v>
      </c>
      <c r="B188" s="582" t="s">
        <v>82</v>
      </c>
      <c r="C188" s="582" t="s">
        <v>83</v>
      </c>
      <c r="D188" s="2">
        <v>94</v>
      </c>
      <c r="E188" s="587">
        <v>107</v>
      </c>
      <c r="F188" s="587">
        <v>107</v>
      </c>
      <c r="G188" s="587">
        <v>105</v>
      </c>
      <c r="H188" s="587">
        <v>101</v>
      </c>
      <c r="I188" s="587">
        <v>102</v>
      </c>
      <c r="J188" s="587">
        <v>104</v>
      </c>
      <c r="K188" s="587">
        <v>106</v>
      </c>
      <c r="L188" s="587">
        <v>105</v>
      </c>
      <c r="M188" s="587">
        <v>104</v>
      </c>
      <c r="N188" s="582">
        <f t="shared" si="6"/>
        <v>104.56</v>
      </c>
      <c r="O188" s="582">
        <v>102325.93</v>
      </c>
      <c r="Q188" s="582" t="s">
        <v>621</v>
      </c>
      <c r="R188" s="582">
        <f t="shared" si="5"/>
        <v>1</v>
      </c>
    </row>
    <row r="189" spans="1:18">
      <c r="A189" s="582" t="s">
        <v>601</v>
      </c>
      <c r="B189" s="582" t="s">
        <v>323</v>
      </c>
      <c r="C189" s="582" t="s">
        <v>324</v>
      </c>
      <c r="D189" s="2">
        <v>87</v>
      </c>
      <c r="E189" s="587">
        <v>103</v>
      </c>
      <c r="F189" s="587">
        <v>104</v>
      </c>
      <c r="G189" s="587">
        <v>100</v>
      </c>
      <c r="H189" s="587">
        <v>100</v>
      </c>
      <c r="I189" s="587">
        <v>100</v>
      </c>
      <c r="J189" s="587">
        <v>100</v>
      </c>
      <c r="K189" s="587">
        <v>95</v>
      </c>
      <c r="L189" s="587">
        <v>94</v>
      </c>
      <c r="M189" s="587">
        <v>94</v>
      </c>
      <c r="N189" s="582">
        <f t="shared" si="6"/>
        <v>98.89</v>
      </c>
      <c r="O189" s="582">
        <v>84538.26</v>
      </c>
      <c r="Q189" s="582" t="s">
        <v>621</v>
      </c>
      <c r="R189" s="582">
        <f t="shared" si="5"/>
        <v>1</v>
      </c>
    </row>
    <row r="190" spans="1:18">
      <c r="A190" s="582" t="s">
        <v>597</v>
      </c>
      <c r="B190" s="582" t="s">
        <v>355</v>
      </c>
      <c r="C190" s="582" t="s">
        <v>356</v>
      </c>
      <c r="D190" s="2">
        <v>30</v>
      </c>
      <c r="E190" s="587">
        <v>30</v>
      </c>
      <c r="F190" s="587">
        <v>30</v>
      </c>
      <c r="G190" s="587">
        <v>30</v>
      </c>
      <c r="H190" s="587">
        <v>30</v>
      </c>
      <c r="I190" s="587">
        <v>30</v>
      </c>
      <c r="J190" s="587">
        <v>30</v>
      </c>
      <c r="K190" s="587">
        <v>33</v>
      </c>
      <c r="L190" s="587">
        <v>33</v>
      </c>
      <c r="M190" s="587">
        <v>34</v>
      </c>
      <c r="N190" s="582">
        <f t="shared" si="6"/>
        <v>31.11</v>
      </c>
      <c r="O190" s="582">
        <v>26757.16</v>
      </c>
      <c r="Q190" s="582" t="s">
        <v>621</v>
      </c>
      <c r="R190" s="582">
        <f t="shared" si="5"/>
        <v>1</v>
      </c>
    </row>
    <row r="191" spans="1:18">
      <c r="A191" s="582" t="s">
        <v>596</v>
      </c>
      <c r="B191" s="582" t="s">
        <v>4</v>
      </c>
      <c r="C191" s="582" t="s">
        <v>5</v>
      </c>
      <c r="D191" s="2">
        <v>1502</v>
      </c>
      <c r="E191" s="587">
        <v>1433</v>
      </c>
      <c r="F191" s="587">
        <v>1471</v>
      </c>
      <c r="G191" s="587">
        <v>1458</v>
      </c>
      <c r="H191" s="587">
        <v>1410</v>
      </c>
      <c r="I191" s="587">
        <v>1436</v>
      </c>
      <c r="J191" s="587">
        <v>1433</v>
      </c>
      <c r="K191" s="587">
        <v>1438</v>
      </c>
      <c r="L191" s="587">
        <v>1442</v>
      </c>
      <c r="M191" s="587">
        <v>1438</v>
      </c>
      <c r="N191" s="582">
        <f t="shared" si="6"/>
        <v>1439.89</v>
      </c>
      <c r="O191" s="582">
        <v>1151920.24</v>
      </c>
      <c r="Q191" s="582" t="s">
        <v>621</v>
      </c>
      <c r="R191" s="582">
        <f t="shared" si="5"/>
        <v>1</v>
      </c>
    </row>
    <row r="192" spans="1:18">
      <c r="A192" s="582" t="s">
        <v>601</v>
      </c>
      <c r="B192" s="582" t="s">
        <v>86</v>
      </c>
      <c r="C192" s="582" t="s">
        <v>87</v>
      </c>
      <c r="D192" s="2">
        <v>12</v>
      </c>
      <c r="E192" s="587">
        <v>12</v>
      </c>
      <c r="F192" s="587">
        <v>10</v>
      </c>
      <c r="G192" s="587">
        <v>9</v>
      </c>
      <c r="H192" s="587">
        <v>9</v>
      </c>
      <c r="I192" s="587">
        <v>10</v>
      </c>
      <c r="J192" s="587">
        <v>11</v>
      </c>
      <c r="K192" s="587">
        <v>9</v>
      </c>
      <c r="L192" s="587">
        <v>9</v>
      </c>
      <c r="M192" s="587">
        <v>9</v>
      </c>
      <c r="N192" s="582">
        <f t="shared" si="6"/>
        <v>9.7799999999999994</v>
      </c>
      <c r="O192" s="582">
        <v>7668.51</v>
      </c>
      <c r="Q192" s="582" t="s">
        <v>621</v>
      </c>
      <c r="R192" s="582">
        <f t="shared" si="5"/>
        <v>1</v>
      </c>
    </row>
    <row r="193" spans="1:18">
      <c r="A193" s="582" t="s">
        <v>603</v>
      </c>
      <c r="B193" s="582" t="s">
        <v>527</v>
      </c>
      <c r="C193" s="582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7">
        <v>0</v>
      </c>
      <c r="N193" s="582">
        <f t="shared" si="6"/>
        <v>0</v>
      </c>
      <c r="O193" s="582">
        <v>0</v>
      </c>
      <c r="Q193" s="582" t="s">
        <v>801</v>
      </c>
      <c r="R193" s="582">
        <f t="shared" si="5"/>
        <v>0</v>
      </c>
    </row>
    <row r="194" spans="1:18">
      <c r="A194" s="582" t="s">
        <v>596</v>
      </c>
      <c r="B194" s="582" t="s">
        <v>104</v>
      </c>
      <c r="C194" s="582" t="s">
        <v>105</v>
      </c>
      <c r="D194" s="2">
        <v>5267</v>
      </c>
      <c r="E194" s="587">
        <v>5657</v>
      </c>
      <c r="F194" s="587">
        <v>5624</v>
      </c>
      <c r="G194" s="587">
        <v>5605</v>
      </c>
      <c r="H194" s="587">
        <v>5492</v>
      </c>
      <c r="I194" s="587">
        <v>5506</v>
      </c>
      <c r="J194" s="587">
        <v>5500</v>
      </c>
      <c r="K194" s="587">
        <v>5538</v>
      </c>
      <c r="L194" s="587">
        <v>5577</v>
      </c>
      <c r="M194" s="587">
        <v>5566</v>
      </c>
      <c r="N194" s="582">
        <f t="shared" si="6"/>
        <v>5562.78</v>
      </c>
      <c r="O194" s="582">
        <v>4643955.96</v>
      </c>
      <c r="Q194" s="582" t="s">
        <v>621</v>
      </c>
      <c r="R194" s="582">
        <f t="shared" si="5"/>
        <v>1</v>
      </c>
    </row>
    <row r="195" spans="1:18">
      <c r="A195" s="582" t="s">
        <v>601</v>
      </c>
      <c r="B195" s="582" t="s">
        <v>317</v>
      </c>
      <c r="C195" s="582" t="s">
        <v>318</v>
      </c>
      <c r="D195" s="2">
        <v>39</v>
      </c>
      <c r="E195" s="587">
        <v>38</v>
      </c>
      <c r="F195" s="587">
        <v>38</v>
      </c>
      <c r="G195" s="587">
        <v>37</v>
      </c>
      <c r="H195" s="587">
        <v>36</v>
      </c>
      <c r="I195" s="587">
        <v>35</v>
      </c>
      <c r="J195" s="587">
        <v>32</v>
      </c>
      <c r="K195" s="587">
        <v>32</v>
      </c>
      <c r="L195" s="587">
        <v>33</v>
      </c>
      <c r="M195" s="587">
        <v>33</v>
      </c>
      <c r="N195" s="582">
        <f t="shared" si="6"/>
        <v>34.89</v>
      </c>
      <c r="O195" s="582">
        <v>30900.51</v>
      </c>
      <c r="Q195" s="582" t="s">
        <v>621</v>
      </c>
      <c r="R195" s="582">
        <f t="shared" si="5"/>
        <v>1</v>
      </c>
    </row>
    <row r="196" spans="1:18">
      <c r="A196" s="582" t="s">
        <v>596</v>
      </c>
      <c r="B196" s="582" t="s">
        <v>16</v>
      </c>
      <c r="C196" s="582" t="s">
        <v>17</v>
      </c>
      <c r="D196" s="2">
        <v>37</v>
      </c>
      <c r="E196" s="587">
        <v>37</v>
      </c>
      <c r="F196" s="587">
        <v>37</v>
      </c>
      <c r="G196" s="587">
        <v>37</v>
      </c>
      <c r="H196" s="587">
        <v>35</v>
      </c>
      <c r="I196" s="587">
        <v>35</v>
      </c>
      <c r="J196" s="587">
        <v>36</v>
      </c>
      <c r="K196" s="587">
        <v>36</v>
      </c>
      <c r="L196" s="587">
        <v>36</v>
      </c>
      <c r="M196" s="587">
        <v>36</v>
      </c>
      <c r="N196" s="582">
        <f t="shared" si="6"/>
        <v>36.11</v>
      </c>
      <c r="O196" s="582">
        <v>31617.32</v>
      </c>
      <c r="Q196" s="582" t="s">
        <v>621</v>
      </c>
      <c r="R196" s="582">
        <f t="shared" si="5"/>
        <v>1</v>
      </c>
    </row>
    <row r="197" spans="1:18">
      <c r="A197" s="582" t="s">
        <v>594</v>
      </c>
      <c r="B197" s="582" t="s">
        <v>272</v>
      </c>
      <c r="C197" s="582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7">
        <v>0</v>
      </c>
      <c r="N197" s="582">
        <f t="shared" si="6"/>
        <v>0</v>
      </c>
      <c r="O197" s="582">
        <v>0</v>
      </c>
      <c r="Q197" s="582" t="s">
        <v>801</v>
      </c>
      <c r="R197" s="582">
        <f t="shared" si="5"/>
        <v>0</v>
      </c>
    </row>
    <row r="198" spans="1:18">
      <c r="A198" s="582" t="s">
        <v>597</v>
      </c>
      <c r="B198" s="582" t="s">
        <v>359</v>
      </c>
      <c r="C198" s="582" t="s">
        <v>360</v>
      </c>
      <c r="D198" s="2">
        <v>64</v>
      </c>
      <c r="E198" s="587">
        <v>77</v>
      </c>
      <c r="F198" s="587">
        <v>74</v>
      </c>
      <c r="G198" s="587">
        <v>75</v>
      </c>
      <c r="H198" s="587">
        <v>71</v>
      </c>
      <c r="I198" s="587">
        <v>72</v>
      </c>
      <c r="J198" s="587">
        <v>72</v>
      </c>
      <c r="K198" s="587">
        <v>74</v>
      </c>
      <c r="L198" s="587">
        <v>76</v>
      </c>
      <c r="M198" s="587">
        <v>76</v>
      </c>
      <c r="N198" s="582">
        <f t="shared" si="6"/>
        <v>74.11</v>
      </c>
      <c r="O198" s="582">
        <v>66974.149999999994</v>
      </c>
      <c r="Q198" s="582" t="s">
        <v>621</v>
      </c>
      <c r="R198" s="582">
        <f t="shared" si="5"/>
        <v>1</v>
      </c>
    </row>
    <row r="199" spans="1:18">
      <c r="A199" s="582" t="s">
        <v>594</v>
      </c>
      <c r="B199" s="582" t="s">
        <v>303</v>
      </c>
      <c r="C199" s="582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7">
        <v>0</v>
      </c>
      <c r="N199" s="582">
        <f t="shared" si="6"/>
        <v>0</v>
      </c>
      <c r="O199" s="582">
        <v>0</v>
      </c>
      <c r="Q199" s="582" t="s">
        <v>801</v>
      </c>
      <c r="R199" s="582">
        <f t="shared" si="5"/>
        <v>0</v>
      </c>
    </row>
    <row r="200" spans="1:18">
      <c r="A200" s="582" t="s">
        <v>596</v>
      </c>
      <c r="B200" s="582" t="s">
        <v>112</v>
      </c>
      <c r="C200" s="582" t="s">
        <v>113</v>
      </c>
      <c r="D200" s="2">
        <v>1</v>
      </c>
      <c r="E200" s="587">
        <v>1</v>
      </c>
      <c r="F200" s="587">
        <v>2</v>
      </c>
      <c r="G200" s="587">
        <v>3</v>
      </c>
      <c r="H200" s="587">
        <v>3</v>
      </c>
      <c r="I200" s="587">
        <v>3</v>
      </c>
      <c r="J200" s="587">
        <v>3</v>
      </c>
      <c r="K200" s="587">
        <v>3</v>
      </c>
      <c r="L200" s="587">
        <v>3</v>
      </c>
      <c r="M200" s="587">
        <v>3</v>
      </c>
      <c r="N200" s="582">
        <f t="shared" si="6"/>
        <v>2.67</v>
      </c>
      <c r="O200" s="582">
        <v>2516.3200000000002</v>
      </c>
      <c r="Q200" s="582" t="s">
        <v>621</v>
      </c>
      <c r="R200" s="582">
        <f t="shared" si="5"/>
        <v>1</v>
      </c>
    </row>
    <row r="201" spans="1:18">
      <c r="A201" s="582" t="s">
        <v>600</v>
      </c>
      <c r="B201" s="582" t="s">
        <v>39</v>
      </c>
      <c r="C201" s="582" t="s">
        <v>40</v>
      </c>
      <c r="D201" s="2">
        <v>21</v>
      </c>
      <c r="E201" s="587">
        <v>26</v>
      </c>
      <c r="F201" s="587">
        <v>30</v>
      </c>
      <c r="G201" s="587">
        <v>31</v>
      </c>
      <c r="H201" s="587">
        <v>31</v>
      </c>
      <c r="I201" s="587">
        <v>30</v>
      </c>
      <c r="J201" s="587">
        <v>30</v>
      </c>
      <c r="K201" s="587">
        <v>31</v>
      </c>
      <c r="L201" s="587">
        <v>32</v>
      </c>
      <c r="M201" s="587">
        <v>35</v>
      </c>
      <c r="N201" s="582">
        <f t="shared" si="6"/>
        <v>30.67</v>
      </c>
      <c r="O201" s="582">
        <v>28567.45</v>
      </c>
      <c r="Q201" s="582" t="s">
        <v>621</v>
      </c>
      <c r="R201" s="582">
        <f t="shared" ref="R201:R264" si="7">IF(N201&gt;0,1,0)</f>
        <v>1</v>
      </c>
    </row>
    <row r="202" spans="1:18">
      <c r="A202" s="582" t="s">
        <v>600</v>
      </c>
      <c r="B202" s="582" t="s">
        <v>171</v>
      </c>
      <c r="C202" s="582" t="s">
        <v>172</v>
      </c>
      <c r="D202" s="2">
        <v>11</v>
      </c>
      <c r="E202" s="587">
        <v>11</v>
      </c>
      <c r="F202" s="587">
        <v>11</v>
      </c>
      <c r="G202" s="587">
        <v>11</v>
      </c>
      <c r="H202" s="587">
        <v>10</v>
      </c>
      <c r="I202" s="587">
        <v>10</v>
      </c>
      <c r="J202" s="587">
        <v>10</v>
      </c>
      <c r="K202" s="587">
        <v>10</v>
      </c>
      <c r="L202" s="587">
        <v>10</v>
      </c>
      <c r="M202" s="587">
        <v>10</v>
      </c>
      <c r="N202" s="582">
        <f t="shared" si="6"/>
        <v>10.33</v>
      </c>
      <c r="O202" s="582">
        <v>9484.5300000000007</v>
      </c>
      <c r="Q202" s="582" t="s">
        <v>621</v>
      </c>
      <c r="R202" s="582">
        <f t="shared" si="7"/>
        <v>1</v>
      </c>
    </row>
    <row r="203" spans="1:18">
      <c r="A203" s="582" t="s">
        <v>596</v>
      </c>
      <c r="B203" s="582" t="s">
        <v>502</v>
      </c>
      <c r="C203" s="582" t="s">
        <v>503</v>
      </c>
      <c r="D203" s="2">
        <v>113</v>
      </c>
      <c r="E203" s="587">
        <v>114</v>
      </c>
      <c r="F203" s="587">
        <v>111</v>
      </c>
      <c r="G203" s="587">
        <v>109</v>
      </c>
      <c r="H203" s="587">
        <v>107</v>
      </c>
      <c r="I203" s="587">
        <v>107</v>
      </c>
      <c r="J203" s="587">
        <v>105</v>
      </c>
      <c r="K203" s="587">
        <v>102</v>
      </c>
      <c r="L203" s="587">
        <v>102</v>
      </c>
      <c r="M203" s="587">
        <v>102</v>
      </c>
      <c r="N203" s="582">
        <f t="shared" si="6"/>
        <v>106.56</v>
      </c>
      <c r="O203" s="582">
        <v>90758.07</v>
      </c>
      <c r="Q203" s="582" t="s">
        <v>621</v>
      </c>
      <c r="R203" s="582">
        <f t="shared" si="7"/>
        <v>1</v>
      </c>
    </row>
    <row r="204" spans="1:18">
      <c r="A204" s="582" t="s">
        <v>596</v>
      </c>
      <c r="B204" s="582" t="s">
        <v>21</v>
      </c>
      <c r="C204" s="582" t="s">
        <v>22</v>
      </c>
      <c r="D204" s="2">
        <v>602</v>
      </c>
      <c r="E204" s="587">
        <v>607</v>
      </c>
      <c r="F204" s="587">
        <v>606</v>
      </c>
      <c r="G204" s="587">
        <v>586</v>
      </c>
      <c r="H204" s="587">
        <v>585</v>
      </c>
      <c r="I204" s="587">
        <v>594</v>
      </c>
      <c r="J204" s="587">
        <v>595</v>
      </c>
      <c r="K204" s="587">
        <v>595</v>
      </c>
      <c r="L204" s="587">
        <v>596</v>
      </c>
      <c r="M204" s="587">
        <v>601</v>
      </c>
      <c r="N204" s="582">
        <f t="shared" si="6"/>
        <v>596.11</v>
      </c>
      <c r="O204" s="582">
        <v>535504.19999999995</v>
      </c>
      <c r="Q204" s="582" t="s">
        <v>621</v>
      </c>
      <c r="R204" s="582">
        <f t="shared" si="7"/>
        <v>1</v>
      </c>
    </row>
    <row r="205" spans="1:18">
      <c r="A205" s="582" t="s">
        <v>603</v>
      </c>
      <c r="B205" s="582" t="s">
        <v>523</v>
      </c>
      <c r="C205" s="582" t="s">
        <v>524</v>
      </c>
      <c r="D205" s="2">
        <v>108</v>
      </c>
      <c r="E205" s="587">
        <v>107</v>
      </c>
      <c r="F205" s="587">
        <v>113</v>
      </c>
      <c r="G205" s="587">
        <v>114</v>
      </c>
      <c r="H205" s="587">
        <v>113</v>
      </c>
      <c r="I205" s="587">
        <v>112</v>
      </c>
      <c r="J205" s="587">
        <v>116</v>
      </c>
      <c r="K205" s="587">
        <v>116</v>
      </c>
      <c r="L205" s="587">
        <v>118</v>
      </c>
      <c r="M205" s="587">
        <v>117</v>
      </c>
      <c r="N205" s="582">
        <f t="shared" si="6"/>
        <v>114</v>
      </c>
      <c r="O205" s="582">
        <v>99739.65</v>
      </c>
      <c r="Q205" s="582" t="s">
        <v>621</v>
      </c>
      <c r="R205" s="582">
        <f t="shared" si="7"/>
        <v>1</v>
      </c>
    </row>
    <row r="206" spans="1:18">
      <c r="A206" s="582" t="s">
        <v>597</v>
      </c>
      <c r="B206" s="582" t="s">
        <v>343</v>
      </c>
      <c r="C206" s="582" t="s">
        <v>344</v>
      </c>
      <c r="D206" s="2">
        <v>524</v>
      </c>
      <c r="E206" s="587">
        <v>682</v>
      </c>
      <c r="F206" s="587">
        <v>687</v>
      </c>
      <c r="G206" s="587">
        <v>687</v>
      </c>
      <c r="H206" s="587">
        <v>687</v>
      </c>
      <c r="I206" s="587">
        <v>691</v>
      </c>
      <c r="J206" s="587">
        <v>690</v>
      </c>
      <c r="K206" s="587">
        <v>694</v>
      </c>
      <c r="L206" s="587">
        <v>712</v>
      </c>
      <c r="M206" s="587">
        <v>713</v>
      </c>
      <c r="N206" s="582">
        <f t="shared" si="6"/>
        <v>693.67</v>
      </c>
      <c r="O206" s="582">
        <v>630665.62</v>
      </c>
      <c r="Q206" s="582" t="s">
        <v>621</v>
      </c>
      <c r="R206" s="582">
        <f t="shared" si="7"/>
        <v>1</v>
      </c>
    </row>
    <row r="207" spans="1:18">
      <c r="A207" s="582" t="s">
        <v>600</v>
      </c>
      <c r="B207" s="582" t="s">
        <v>163</v>
      </c>
      <c r="C207" s="582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7">
        <v>0</v>
      </c>
      <c r="N207" s="582">
        <f t="shared" si="6"/>
        <v>0</v>
      </c>
      <c r="O207" s="582">
        <v>0</v>
      </c>
      <c r="Q207" s="582" t="s">
        <v>801</v>
      </c>
      <c r="R207" s="582">
        <f t="shared" si="7"/>
        <v>0</v>
      </c>
    </row>
    <row r="208" spans="1:18">
      <c r="A208" s="582" t="s">
        <v>600</v>
      </c>
      <c r="B208" s="582" t="s">
        <v>167</v>
      </c>
      <c r="C208" s="582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7">
        <v>0</v>
      </c>
      <c r="N208" s="582">
        <f t="shared" si="6"/>
        <v>0</v>
      </c>
      <c r="O208" s="582">
        <v>0</v>
      </c>
      <c r="Q208" s="582" t="s">
        <v>801</v>
      </c>
      <c r="R208" s="582">
        <f t="shared" si="7"/>
        <v>0</v>
      </c>
    </row>
    <row r="209" spans="1:18">
      <c r="A209" s="582" t="s">
        <v>600</v>
      </c>
      <c r="B209" s="582" t="s">
        <v>47</v>
      </c>
      <c r="C209" s="582" t="s">
        <v>48</v>
      </c>
      <c r="D209" s="2">
        <v>86</v>
      </c>
      <c r="E209" s="587">
        <v>89</v>
      </c>
      <c r="F209" s="587">
        <v>93</v>
      </c>
      <c r="G209" s="587">
        <v>92</v>
      </c>
      <c r="H209" s="587">
        <v>92</v>
      </c>
      <c r="I209" s="587">
        <v>94</v>
      </c>
      <c r="J209" s="587">
        <v>92</v>
      </c>
      <c r="K209" s="587">
        <v>91</v>
      </c>
      <c r="L209" s="587">
        <v>90</v>
      </c>
      <c r="M209" s="587">
        <v>79</v>
      </c>
      <c r="N209" s="582">
        <f t="shared" si="6"/>
        <v>90.22</v>
      </c>
      <c r="O209" s="582">
        <v>75582.27</v>
      </c>
      <c r="Q209" s="582" t="s">
        <v>621</v>
      </c>
      <c r="R209" s="582">
        <f t="shared" si="7"/>
        <v>1</v>
      </c>
    </row>
    <row r="210" spans="1:18">
      <c r="A210" s="582" t="s">
        <v>594</v>
      </c>
      <c r="B210" s="582" t="s">
        <v>145</v>
      </c>
      <c r="C210" s="582" t="s">
        <v>146</v>
      </c>
      <c r="D210" s="2">
        <v>26</v>
      </c>
      <c r="E210" s="587">
        <v>27</v>
      </c>
      <c r="F210" s="587">
        <v>27</v>
      </c>
      <c r="G210" s="587">
        <v>27</v>
      </c>
      <c r="H210" s="587">
        <v>27</v>
      </c>
      <c r="I210" s="587">
        <v>27</v>
      </c>
      <c r="J210" s="587">
        <v>27</v>
      </c>
      <c r="K210" s="587">
        <v>28</v>
      </c>
      <c r="L210" s="587">
        <v>28</v>
      </c>
      <c r="M210" s="587">
        <v>28</v>
      </c>
      <c r="N210" s="582">
        <f t="shared" si="6"/>
        <v>27.33</v>
      </c>
      <c r="O210" s="582">
        <v>22142.21</v>
      </c>
      <c r="Q210" s="582" t="s">
        <v>621</v>
      </c>
      <c r="R210" s="582">
        <f t="shared" si="7"/>
        <v>1</v>
      </c>
    </row>
    <row r="211" spans="1:18">
      <c r="A211" s="582" t="s">
        <v>601</v>
      </c>
      <c r="B211" s="582" t="s">
        <v>116</v>
      </c>
      <c r="C211" s="582" t="s">
        <v>117</v>
      </c>
      <c r="D211" s="2">
        <v>860</v>
      </c>
      <c r="E211" s="587">
        <v>1012</v>
      </c>
      <c r="F211" s="587">
        <v>1007</v>
      </c>
      <c r="G211" s="587">
        <v>985</v>
      </c>
      <c r="H211" s="587">
        <v>982</v>
      </c>
      <c r="I211" s="587">
        <v>982</v>
      </c>
      <c r="J211" s="587">
        <v>986</v>
      </c>
      <c r="K211" s="587">
        <v>993</v>
      </c>
      <c r="L211" s="587">
        <v>993</v>
      </c>
      <c r="M211" s="587">
        <v>994</v>
      </c>
      <c r="N211" s="582">
        <f t="shared" si="6"/>
        <v>992.67</v>
      </c>
      <c r="O211" s="582">
        <v>839971.99</v>
      </c>
      <c r="Q211" s="582" t="s">
        <v>621</v>
      </c>
      <c r="R211" s="582">
        <f t="shared" si="7"/>
        <v>1</v>
      </c>
    </row>
    <row r="212" spans="1:18">
      <c r="A212" s="582" t="s">
        <v>594</v>
      </c>
      <c r="B212" s="582" t="s">
        <v>480</v>
      </c>
      <c r="C212" s="58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7">
        <v>0</v>
      </c>
      <c r="N212" s="582">
        <f t="shared" si="6"/>
        <v>0</v>
      </c>
      <c r="O212" s="582">
        <v>0</v>
      </c>
      <c r="Q212" s="582" t="s">
        <v>801</v>
      </c>
      <c r="R212" s="582">
        <f t="shared" si="7"/>
        <v>0</v>
      </c>
    </row>
    <row r="213" spans="1:18">
      <c r="A213" s="582" t="s">
        <v>594</v>
      </c>
      <c r="B213" s="582" t="s">
        <v>327</v>
      </c>
      <c r="C213" s="582" t="s">
        <v>328</v>
      </c>
      <c r="D213" s="2">
        <v>50</v>
      </c>
      <c r="E213" s="587">
        <v>58</v>
      </c>
      <c r="F213" s="587">
        <v>59</v>
      </c>
      <c r="G213" s="587">
        <v>59</v>
      </c>
      <c r="H213" s="587">
        <v>63</v>
      </c>
      <c r="I213" s="587">
        <v>58</v>
      </c>
      <c r="J213" s="587">
        <v>59</v>
      </c>
      <c r="K213" s="587">
        <v>62</v>
      </c>
      <c r="L213" s="587">
        <v>62</v>
      </c>
      <c r="M213" s="587">
        <v>61</v>
      </c>
      <c r="N213" s="582">
        <f t="shared" ref="N213:N276" si="8">ROUND(SUM(E213:M213)/9,2)</f>
        <v>60.11</v>
      </c>
      <c r="O213" s="582">
        <v>49399.13</v>
      </c>
      <c r="Q213" s="582" t="s">
        <v>621</v>
      </c>
      <c r="R213" s="582">
        <f t="shared" si="7"/>
        <v>1</v>
      </c>
    </row>
    <row r="214" spans="1:18">
      <c r="A214" s="582" t="s">
        <v>603</v>
      </c>
      <c r="B214" s="582" t="s">
        <v>282</v>
      </c>
      <c r="C214" s="582" t="s">
        <v>665</v>
      </c>
      <c r="D214" s="2">
        <v>19</v>
      </c>
      <c r="E214" s="587">
        <v>19</v>
      </c>
      <c r="F214" s="587">
        <v>19</v>
      </c>
      <c r="G214" s="587">
        <v>19</v>
      </c>
      <c r="H214" s="587">
        <v>19</v>
      </c>
      <c r="I214" s="587">
        <v>19</v>
      </c>
      <c r="J214" s="587">
        <v>19</v>
      </c>
      <c r="K214" s="587">
        <v>18</v>
      </c>
      <c r="L214" s="587">
        <v>18</v>
      </c>
      <c r="M214" s="587">
        <v>17</v>
      </c>
      <c r="N214" s="582">
        <f t="shared" si="8"/>
        <v>18.559999999999999</v>
      </c>
      <c r="O214" s="582">
        <v>16768.68</v>
      </c>
      <c r="Q214" s="582" t="s">
        <v>621</v>
      </c>
      <c r="R214" s="582">
        <f t="shared" si="7"/>
        <v>1</v>
      </c>
    </row>
    <row r="215" spans="1:18">
      <c r="A215" s="582" t="s">
        <v>597</v>
      </c>
      <c r="B215" s="582" t="s">
        <v>185</v>
      </c>
      <c r="C215" s="582" t="s">
        <v>186</v>
      </c>
      <c r="D215" s="2">
        <v>1668</v>
      </c>
      <c r="E215" s="587">
        <v>2080</v>
      </c>
      <c r="F215" s="587">
        <v>2217</v>
      </c>
      <c r="G215" s="587">
        <v>2231</v>
      </c>
      <c r="H215" s="587">
        <v>2203</v>
      </c>
      <c r="I215" s="587">
        <v>2205</v>
      </c>
      <c r="J215" s="587">
        <v>2219</v>
      </c>
      <c r="K215" s="587">
        <v>2217</v>
      </c>
      <c r="L215" s="587">
        <v>2208</v>
      </c>
      <c r="M215" s="587">
        <v>2207</v>
      </c>
      <c r="N215" s="582">
        <f t="shared" si="8"/>
        <v>2198.56</v>
      </c>
      <c r="O215" s="582">
        <v>1853073.99</v>
      </c>
      <c r="Q215" s="582" t="s">
        <v>621</v>
      </c>
      <c r="R215" s="582">
        <f t="shared" si="7"/>
        <v>1</v>
      </c>
    </row>
    <row r="216" spans="1:18">
      <c r="A216" s="582" t="s">
        <v>603</v>
      </c>
      <c r="B216" s="582" t="s">
        <v>102</v>
      </c>
      <c r="C216" s="582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7">
        <v>0</v>
      </c>
      <c r="N216" s="582">
        <f t="shared" si="8"/>
        <v>0</v>
      </c>
      <c r="O216" s="582">
        <v>0</v>
      </c>
      <c r="Q216" s="582" t="s">
        <v>801</v>
      </c>
      <c r="R216" s="582">
        <f t="shared" si="7"/>
        <v>0</v>
      </c>
    </row>
    <row r="217" spans="1:18">
      <c r="A217" s="582" t="s">
        <v>596</v>
      </c>
      <c r="B217" s="582" t="s">
        <v>23</v>
      </c>
      <c r="C217" s="582" t="s">
        <v>24</v>
      </c>
      <c r="D217" s="2">
        <v>243</v>
      </c>
      <c r="E217" s="587">
        <v>330</v>
      </c>
      <c r="F217" s="587">
        <v>334</v>
      </c>
      <c r="G217" s="587">
        <v>339</v>
      </c>
      <c r="H217" s="587">
        <v>340</v>
      </c>
      <c r="I217" s="587">
        <v>339</v>
      </c>
      <c r="J217" s="587">
        <v>350</v>
      </c>
      <c r="K217" s="587">
        <v>349</v>
      </c>
      <c r="L217" s="587">
        <v>339</v>
      </c>
      <c r="M217" s="587">
        <v>334</v>
      </c>
      <c r="N217" s="582">
        <f t="shared" si="8"/>
        <v>339.33</v>
      </c>
      <c r="O217" s="582">
        <v>298936.56</v>
      </c>
      <c r="Q217" s="582" t="s">
        <v>621</v>
      </c>
      <c r="R217" s="582">
        <f t="shared" si="7"/>
        <v>1</v>
      </c>
    </row>
    <row r="218" spans="1:18">
      <c r="A218" s="582" t="s">
        <v>599</v>
      </c>
      <c r="B218" s="582" t="s">
        <v>64</v>
      </c>
      <c r="C218" s="582" t="s">
        <v>65</v>
      </c>
      <c r="D218" s="2">
        <v>61</v>
      </c>
      <c r="E218" s="587">
        <v>61</v>
      </c>
      <c r="F218" s="587">
        <v>61</v>
      </c>
      <c r="G218" s="587">
        <v>61</v>
      </c>
      <c r="H218" s="587">
        <v>58</v>
      </c>
      <c r="I218" s="587">
        <v>59</v>
      </c>
      <c r="J218" s="587">
        <v>61</v>
      </c>
      <c r="K218" s="587">
        <v>61</v>
      </c>
      <c r="L218" s="587">
        <v>57</v>
      </c>
      <c r="M218" s="587">
        <v>57</v>
      </c>
      <c r="N218" s="582">
        <f t="shared" si="8"/>
        <v>59.56</v>
      </c>
      <c r="O218" s="582">
        <v>52357.71</v>
      </c>
      <c r="Q218" s="582" t="s">
        <v>621</v>
      </c>
      <c r="R218" s="582">
        <f t="shared" si="7"/>
        <v>1</v>
      </c>
    </row>
    <row r="219" spans="1:18">
      <c r="A219" s="582" t="s">
        <v>603</v>
      </c>
      <c r="B219" s="582" t="s">
        <v>8</v>
      </c>
      <c r="C219" s="582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7">
        <v>0</v>
      </c>
      <c r="N219" s="582">
        <f t="shared" si="8"/>
        <v>0</v>
      </c>
      <c r="O219" s="582">
        <v>0</v>
      </c>
      <c r="Q219" s="582" t="s">
        <v>801</v>
      </c>
      <c r="R219" s="582">
        <f t="shared" si="7"/>
        <v>0</v>
      </c>
    </row>
    <row r="220" spans="1:18">
      <c r="A220" s="582" t="s">
        <v>603</v>
      </c>
      <c r="B220" s="582" t="s">
        <v>446</v>
      </c>
      <c r="C220" s="582" t="s">
        <v>447</v>
      </c>
      <c r="D220" s="2">
        <v>11</v>
      </c>
      <c r="E220" s="587">
        <v>11</v>
      </c>
      <c r="F220" s="587">
        <v>11</v>
      </c>
      <c r="G220" s="587">
        <v>11</v>
      </c>
      <c r="H220" s="587">
        <v>11</v>
      </c>
      <c r="I220" s="587">
        <v>14</v>
      </c>
      <c r="J220" s="587">
        <v>14</v>
      </c>
      <c r="K220" s="587">
        <v>14</v>
      </c>
      <c r="L220" s="587">
        <v>14</v>
      </c>
      <c r="M220" s="587">
        <v>14</v>
      </c>
      <c r="N220" s="582">
        <f t="shared" si="8"/>
        <v>12.67</v>
      </c>
      <c r="O220" s="582">
        <v>11412.47</v>
      </c>
      <c r="Q220" s="582" t="s">
        <v>621</v>
      </c>
      <c r="R220" s="582">
        <f t="shared" si="7"/>
        <v>1</v>
      </c>
    </row>
    <row r="221" spans="1:18">
      <c r="A221" s="582" t="s">
        <v>597</v>
      </c>
      <c r="B221" s="582" t="s">
        <v>193</v>
      </c>
      <c r="C221" s="582" t="s">
        <v>194</v>
      </c>
      <c r="D221" s="2">
        <v>56</v>
      </c>
      <c r="E221" s="587">
        <v>69</v>
      </c>
      <c r="F221" s="587">
        <v>65</v>
      </c>
      <c r="G221" s="587">
        <v>71</v>
      </c>
      <c r="H221" s="587">
        <v>73</v>
      </c>
      <c r="I221" s="587">
        <v>75</v>
      </c>
      <c r="J221" s="587">
        <v>75</v>
      </c>
      <c r="K221" s="587">
        <v>76</v>
      </c>
      <c r="L221" s="587">
        <v>78</v>
      </c>
      <c r="M221" s="587">
        <v>76</v>
      </c>
      <c r="N221" s="582">
        <f t="shared" si="8"/>
        <v>73.11</v>
      </c>
      <c r="O221" s="582">
        <v>62865.440000000002</v>
      </c>
      <c r="Q221" s="582" t="s">
        <v>621</v>
      </c>
      <c r="R221" s="582">
        <f t="shared" si="7"/>
        <v>1</v>
      </c>
    </row>
    <row r="222" spans="1:18">
      <c r="A222" s="582" t="s">
        <v>594</v>
      </c>
      <c r="B222" s="582" t="s">
        <v>484</v>
      </c>
      <c r="C222" s="582" t="s">
        <v>485</v>
      </c>
      <c r="D222" s="2">
        <v>115</v>
      </c>
      <c r="E222" s="587">
        <v>116</v>
      </c>
      <c r="F222" s="587">
        <v>121</v>
      </c>
      <c r="G222" s="587">
        <v>120</v>
      </c>
      <c r="H222" s="587">
        <v>119</v>
      </c>
      <c r="I222" s="587">
        <v>118</v>
      </c>
      <c r="J222" s="587">
        <v>116</v>
      </c>
      <c r="K222" s="587">
        <v>113</v>
      </c>
      <c r="L222" s="587">
        <v>113</v>
      </c>
      <c r="M222" s="587">
        <v>111</v>
      </c>
      <c r="N222" s="582">
        <f t="shared" si="8"/>
        <v>116.33</v>
      </c>
      <c r="O222" s="582">
        <v>101377.99</v>
      </c>
      <c r="Q222" s="582" t="s">
        <v>621</v>
      </c>
      <c r="R222" s="582">
        <f t="shared" si="7"/>
        <v>1</v>
      </c>
    </row>
    <row r="223" spans="1:18">
      <c r="A223" s="582" t="s">
        <v>599</v>
      </c>
      <c r="B223" s="582" t="s">
        <v>244</v>
      </c>
      <c r="C223" s="582" t="s">
        <v>245</v>
      </c>
      <c r="D223" s="2">
        <v>8</v>
      </c>
      <c r="E223" s="587">
        <v>8</v>
      </c>
      <c r="F223" s="587">
        <v>8</v>
      </c>
      <c r="G223" s="587">
        <v>8</v>
      </c>
      <c r="H223" s="587">
        <v>8</v>
      </c>
      <c r="I223" s="587">
        <v>8</v>
      </c>
      <c r="J223" s="587">
        <v>6</v>
      </c>
      <c r="K223" s="587">
        <v>7</v>
      </c>
      <c r="L223" s="587">
        <v>7</v>
      </c>
      <c r="M223" s="587">
        <v>12</v>
      </c>
      <c r="N223" s="582">
        <f t="shared" si="8"/>
        <v>8</v>
      </c>
      <c r="O223" s="582">
        <v>6902.56</v>
      </c>
      <c r="Q223" s="582" t="s">
        <v>621</v>
      </c>
      <c r="R223" s="582">
        <f t="shared" si="7"/>
        <v>1</v>
      </c>
    </row>
    <row r="224" spans="1:18">
      <c r="A224" s="582" t="s">
        <v>603</v>
      </c>
      <c r="B224" s="582" t="s">
        <v>537</v>
      </c>
      <c r="C224" s="582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7">
        <v>0</v>
      </c>
      <c r="N224" s="582">
        <f t="shared" si="8"/>
        <v>0</v>
      </c>
      <c r="O224" s="582">
        <v>0</v>
      </c>
      <c r="Q224" s="582" t="s">
        <v>801</v>
      </c>
      <c r="R224" s="582">
        <f t="shared" si="7"/>
        <v>0</v>
      </c>
    </row>
    <row r="225" spans="1:18">
      <c r="A225" s="582" t="s">
        <v>605</v>
      </c>
      <c r="B225" s="582" t="s">
        <v>123</v>
      </c>
      <c r="C225" s="582" t="s">
        <v>124</v>
      </c>
      <c r="D225" s="2">
        <v>601</v>
      </c>
      <c r="E225" s="587">
        <v>689</v>
      </c>
      <c r="F225" s="587">
        <v>691</v>
      </c>
      <c r="G225" s="587">
        <v>688</v>
      </c>
      <c r="H225" s="587">
        <v>689</v>
      </c>
      <c r="I225" s="587">
        <v>678</v>
      </c>
      <c r="J225" s="587">
        <v>671</v>
      </c>
      <c r="K225" s="587">
        <v>668</v>
      </c>
      <c r="L225" s="587">
        <v>670</v>
      </c>
      <c r="M225" s="587">
        <v>671</v>
      </c>
      <c r="N225" s="582">
        <f t="shared" si="8"/>
        <v>679.44</v>
      </c>
      <c r="O225" s="582">
        <v>578197.16</v>
      </c>
      <c r="Q225" s="582" t="s">
        <v>621</v>
      </c>
      <c r="R225" s="582">
        <f t="shared" si="7"/>
        <v>1</v>
      </c>
    </row>
    <row r="226" spans="1:18">
      <c r="A226" s="582" t="s">
        <v>595</v>
      </c>
      <c r="B226" s="582" t="s">
        <v>375</v>
      </c>
      <c r="C226" s="582" t="s">
        <v>614</v>
      </c>
      <c r="D226" s="2">
        <v>44</v>
      </c>
      <c r="E226" s="587">
        <v>39</v>
      </c>
      <c r="F226" s="587">
        <v>38</v>
      </c>
      <c r="G226" s="587">
        <v>39</v>
      </c>
      <c r="H226" s="587">
        <v>39</v>
      </c>
      <c r="I226" s="587">
        <v>39</v>
      </c>
      <c r="J226" s="587">
        <v>41</v>
      </c>
      <c r="K226" s="587">
        <v>39</v>
      </c>
      <c r="L226" s="587">
        <v>42</v>
      </c>
      <c r="M226" s="587">
        <v>40</v>
      </c>
      <c r="N226" s="582">
        <f t="shared" si="8"/>
        <v>39.56</v>
      </c>
      <c r="O226" s="582">
        <v>34164.22</v>
      </c>
      <c r="Q226" s="582" t="s">
        <v>621</v>
      </c>
      <c r="R226" s="582">
        <f t="shared" si="7"/>
        <v>1</v>
      </c>
    </row>
    <row r="227" spans="1:18">
      <c r="A227" s="582" t="s">
        <v>594</v>
      </c>
      <c r="B227" s="582" t="s">
        <v>149</v>
      </c>
      <c r="C227" s="582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7">
        <v>0</v>
      </c>
      <c r="N227" s="582">
        <f t="shared" si="8"/>
        <v>0</v>
      </c>
      <c r="O227" s="582">
        <v>0</v>
      </c>
      <c r="Q227" s="582" t="s">
        <v>801</v>
      </c>
      <c r="R227" s="582">
        <f t="shared" si="7"/>
        <v>0</v>
      </c>
    </row>
    <row r="228" spans="1:18">
      <c r="A228" s="582" t="s">
        <v>597</v>
      </c>
      <c r="B228" s="582" t="s">
        <v>173</v>
      </c>
      <c r="C228" s="582" t="s">
        <v>174</v>
      </c>
      <c r="D228" s="2">
        <v>5300</v>
      </c>
      <c r="E228" s="587">
        <v>5612</v>
      </c>
      <c r="F228" s="587">
        <v>5709</v>
      </c>
      <c r="G228" s="587">
        <v>5737</v>
      </c>
      <c r="H228" s="587">
        <v>5722</v>
      </c>
      <c r="I228" s="587">
        <v>5755</v>
      </c>
      <c r="J228" s="587">
        <v>5767</v>
      </c>
      <c r="K228" s="587">
        <v>5805</v>
      </c>
      <c r="L228" s="587">
        <v>5815</v>
      </c>
      <c r="M228" s="587">
        <v>5897</v>
      </c>
      <c r="N228" s="582">
        <f t="shared" si="8"/>
        <v>5757.67</v>
      </c>
      <c r="O228" s="582">
        <v>4916795.2699999996</v>
      </c>
      <c r="Q228" s="582" t="s">
        <v>621</v>
      </c>
      <c r="R228" s="582">
        <f t="shared" si="7"/>
        <v>1</v>
      </c>
    </row>
    <row r="229" spans="1:18">
      <c r="A229" s="582" t="s">
        <v>595</v>
      </c>
      <c r="B229" s="582" t="s">
        <v>379</v>
      </c>
      <c r="C229" s="582" t="s">
        <v>615</v>
      </c>
      <c r="D229" s="2">
        <v>169</v>
      </c>
      <c r="E229" s="587">
        <v>229</v>
      </c>
      <c r="F229" s="587">
        <v>228</v>
      </c>
      <c r="G229" s="587">
        <v>228</v>
      </c>
      <c r="H229" s="587">
        <v>224</v>
      </c>
      <c r="I229" s="587">
        <v>233</v>
      </c>
      <c r="J229" s="587">
        <v>236</v>
      </c>
      <c r="K229" s="587">
        <v>235</v>
      </c>
      <c r="L229" s="587">
        <v>236</v>
      </c>
      <c r="M229" s="587">
        <v>235</v>
      </c>
      <c r="N229" s="582">
        <f t="shared" si="8"/>
        <v>231.56</v>
      </c>
      <c r="O229" s="582">
        <v>207591.94</v>
      </c>
      <c r="Q229" s="582" t="s">
        <v>621</v>
      </c>
      <c r="R229" s="582">
        <f t="shared" si="7"/>
        <v>1</v>
      </c>
    </row>
    <row r="230" spans="1:18">
      <c r="A230" s="582" t="s">
        <v>605</v>
      </c>
      <c r="B230" s="582" t="s">
        <v>551</v>
      </c>
      <c r="C230" s="582" t="s">
        <v>552</v>
      </c>
      <c r="D230" s="2">
        <v>202</v>
      </c>
      <c r="E230" s="587">
        <v>203</v>
      </c>
      <c r="F230" s="587">
        <v>206</v>
      </c>
      <c r="G230" s="587">
        <v>206</v>
      </c>
      <c r="H230" s="587">
        <v>204</v>
      </c>
      <c r="I230" s="587">
        <v>205</v>
      </c>
      <c r="J230" s="587">
        <v>211</v>
      </c>
      <c r="K230" s="587">
        <v>214</v>
      </c>
      <c r="L230" s="587">
        <v>211</v>
      </c>
      <c r="M230" s="587">
        <v>210</v>
      </c>
      <c r="N230" s="582">
        <f t="shared" si="8"/>
        <v>207.78</v>
      </c>
      <c r="O230" s="582">
        <v>185559.91</v>
      </c>
      <c r="Q230" s="582" t="s">
        <v>621</v>
      </c>
      <c r="R230" s="582">
        <f t="shared" si="7"/>
        <v>1</v>
      </c>
    </row>
    <row r="231" spans="1:18">
      <c r="A231" s="582" t="s">
        <v>603</v>
      </c>
      <c r="B231" s="582" t="s">
        <v>340</v>
      </c>
      <c r="C231" s="582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7">
        <v>0</v>
      </c>
      <c r="N231" s="582">
        <f t="shared" si="8"/>
        <v>0</v>
      </c>
      <c r="O231" s="582">
        <v>0</v>
      </c>
      <c r="Q231" s="582" t="s">
        <v>801</v>
      </c>
      <c r="R231" s="582">
        <f t="shared" si="7"/>
        <v>0</v>
      </c>
    </row>
    <row r="232" spans="1:18">
      <c r="A232" s="582" t="s">
        <v>600</v>
      </c>
      <c r="B232" s="582" t="s">
        <v>43</v>
      </c>
      <c r="C232" s="582" t="s">
        <v>44</v>
      </c>
      <c r="D232" s="2">
        <v>33</v>
      </c>
      <c r="E232" s="587">
        <v>43</v>
      </c>
      <c r="F232" s="587">
        <v>42</v>
      </c>
      <c r="G232" s="587">
        <v>40</v>
      </c>
      <c r="H232" s="587">
        <v>37</v>
      </c>
      <c r="I232" s="587">
        <v>40</v>
      </c>
      <c r="J232" s="587">
        <v>40</v>
      </c>
      <c r="K232" s="587">
        <v>39</v>
      </c>
      <c r="L232" s="587">
        <v>40</v>
      </c>
      <c r="M232" s="587">
        <v>39</v>
      </c>
      <c r="N232" s="582">
        <f t="shared" si="8"/>
        <v>40</v>
      </c>
      <c r="O232" s="582">
        <v>35016.17</v>
      </c>
      <c r="Q232" s="582" t="s">
        <v>621</v>
      </c>
      <c r="R232" s="582">
        <f t="shared" si="7"/>
        <v>1</v>
      </c>
    </row>
    <row r="233" spans="1:18">
      <c r="A233" s="582" t="s">
        <v>595</v>
      </c>
      <c r="B233" s="582" t="s">
        <v>371</v>
      </c>
      <c r="C233" s="582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7">
        <v>0</v>
      </c>
      <c r="N233" s="582">
        <f t="shared" si="8"/>
        <v>0</v>
      </c>
      <c r="O233" s="582">
        <v>0</v>
      </c>
      <c r="Q233" s="582" t="s">
        <v>801</v>
      </c>
      <c r="R233" s="582">
        <f t="shared" si="7"/>
        <v>0</v>
      </c>
    </row>
    <row r="234" spans="1:18">
      <c r="A234" s="582" t="s">
        <v>594</v>
      </c>
      <c r="B234" s="582" t="s">
        <v>299</v>
      </c>
      <c r="C234" s="582" t="s">
        <v>300</v>
      </c>
      <c r="D234" s="2">
        <v>338</v>
      </c>
      <c r="E234" s="587">
        <v>354</v>
      </c>
      <c r="F234" s="587">
        <v>367</v>
      </c>
      <c r="G234" s="587">
        <v>369</v>
      </c>
      <c r="H234" s="587">
        <v>368</v>
      </c>
      <c r="I234" s="587">
        <v>365</v>
      </c>
      <c r="J234" s="587">
        <v>365</v>
      </c>
      <c r="K234" s="587">
        <v>364</v>
      </c>
      <c r="L234" s="587">
        <v>363</v>
      </c>
      <c r="M234" s="587">
        <v>364</v>
      </c>
      <c r="N234" s="582">
        <f t="shared" si="8"/>
        <v>364.33</v>
      </c>
      <c r="O234" s="582">
        <v>325875.98</v>
      </c>
      <c r="Q234" s="582" t="s">
        <v>621</v>
      </c>
      <c r="R234" s="582">
        <f t="shared" si="7"/>
        <v>1</v>
      </c>
    </row>
    <row r="235" spans="1:18">
      <c r="A235" s="582" t="s">
        <v>597</v>
      </c>
      <c r="B235" s="582" t="s">
        <v>203</v>
      </c>
      <c r="C235" s="582" t="s">
        <v>204</v>
      </c>
      <c r="D235" s="2">
        <v>543</v>
      </c>
      <c r="E235" s="587">
        <v>570</v>
      </c>
      <c r="F235" s="587">
        <v>574</v>
      </c>
      <c r="G235" s="587">
        <v>573</v>
      </c>
      <c r="H235" s="587">
        <v>567</v>
      </c>
      <c r="I235" s="587">
        <v>584</v>
      </c>
      <c r="J235" s="587">
        <v>589</v>
      </c>
      <c r="K235" s="587">
        <v>593</v>
      </c>
      <c r="L235" s="587">
        <v>592</v>
      </c>
      <c r="M235" s="587">
        <v>589</v>
      </c>
      <c r="N235" s="582">
        <f t="shared" si="8"/>
        <v>581.22</v>
      </c>
      <c r="O235" s="582">
        <v>515174.86</v>
      </c>
      <c r="Q235" s="582" t="s">
        <v>621</v>
      </c>
      <c r="R235" s="582">
        <f t="shared" si="7"/>
        <v>1</v>
      </c>
    </row>
    <row r="236" spans="1:18">
      <c r="A236" s="582" t="s">
        <v>599</v>
      </c>
      <c r="B236" s="582" t="s">
        <v>387</v>
      </c>
      <c r="C236" s="582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7">
        <v>0</v>
      </c>
      <c r="N236" s="582">
        <f t="shared" si="8"/>
        <v>0</v>
      </c>
      <c r="O236" s="582">
        <v>0</v>
      </c>
      <c r="Q236" s="582" t="s">
        <v>801</v>
      </c>
      <c r="R236" s="582">
        <f t="shared" si="7"/>
        <v>0</v>
      </c>
    </row>
    <row r="237" spans="1:18">
      <c r="A237" s="582" t="s">
        <v>597</v>
      </c>
      <c r="B237" s="582" t="s">
        <v>187</v>
      </c>
      <c r="C237" s="582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7">
        <v>0</v>
      </c>
      <c r="N237" s="582">
        <f t="shared" si="8"/>
        <v>0</v>
      </c>
      <c r="O237" s="582">
        <v>0</v>
      </c>
      <c r="Q237" s="582" t="s">
        <v>801</v>
      </c>
      <c r="R237" s="582">
        <f t="shared" si="7"/>
        <v>0</v>
      </c>
    </row>
    <row r="238" spans="1:18">
      <c r="A238" s="582" t="s">
        <v>595</v>
      </c>
      <c r="B238" s="582" t="s">
        <v>411</v>
      </c>
      <c r="C238" s="582" t="s">
        <v>412</v>
      </c>
      <c r="D238" s="2">
        <v>193</v>
      </c>
      <c r="E238" s="587">
        <v>266</v>
      </c>
      <c r="F238" s="587">
        <v>268</v>
      </c>
      <c r="G238" s="587">
        <v>272</v>
      </c>
      <c r="H238" s="587">
        <v>275</v>
      </c>
      <c r="I238" s="587">
        <v>271</v>
      </c>
      <c r="J238" s="587">
        <v>272</v>
      </c>
      <c r="K238" s="587">
        <v>266</v>
      </c>
      <c r="L238" s="587">
        <v>266</v>
      </c>
      <c r="M238" s="587">
        <v>263</v>
      </c>
      <c r="N238" s="582">
        <f t="shared" si="8"/>
        <v>268.77999999999997</v>
      </c>
      <c r="O238" s="582">
        <v>236865.64</v>
      </c>
      <c r="Q238" s="582" t="s">
        <v>621</v>
      </c>
      <c r="R238" s="582">
        <f t="shared" si="7"/>
        <v>1</v>
      </c>
    </row>
    <row r="239" spans="1:18">
      <c r="A239" s="582" t="s">
        <v>597</v>
      </c>
      <c r="B239" s="582" t="s">
        <v>199</v>
      </c>
      <c r="C239" s="582" t="s">
        <v>200</v>
      </c>
      <c r="D239" s="2">
        <v>112</v>
      </c>
      <c r="E239" s="587">
        <v>117</v>
      </c>
      <c r="F239" s="587">
        <v>119</v>
      </c>
      <c r="G239" s="587">
        <v>127</v>
      </c>
      <c r="H239" s="587">
        <v>127</v>
      </c>
      <c r="I239" s="587">
        <v>126</v>
      </c>
      <c r="J239" s="587">
        <v>122</v>
      </c>
      <c r="K239" s="587">
        <v>122</v>
      </c>
      <c r="L239" s="587">
        <v>128</v>
      </c>
      <c r="M239" s="587">
        <v>130</v>
      </c>
      <c r="N239" s="582">
        <f t="shared" si="8"/>
        <v>124.22</v>
      </c>
      <c r="O239" s="582">
        <v>105752.55</v>
      </c>
      <c r="Q239" s="582" t="s">
        <v>621</v>
      </c>
      <c r="R239" s="582">
        <f t="shared" si="7"/>
        <v>1</v>
      </c>
    </row>
    <row r="240" spans="1:18">
      <c r="A240" s="582" t="s">
        <v>601</v>
      </c>
      <c r="B240" s="582" t="s">
        <v>121</v>
      </c>
      <c r="C240" s="582" t="s">
        <v>122</v>
      </c>
      <c r="D240" s="2">
        <v>76</v>
      </c>
      <c r="E240" s="587">
        <v>82</v>
      </c>
      <c r="F240" s="587">
        <v>84</v>
      </c>
      <c r="G240" s="587">
        <v>81</v>
      </c>
      <c r="H240" s="587">
        <v>79</v>
      </c>
      <c r="I240" s="587">
        <v>76</v>
      </c>
      <c r="J240" s="587">
        <v>71</v>
      </c>
      <c r="K240" s="587">
        <v>71</v>
      </c>
      <c r="L240" s="587">
        <v>71</v>
      </c>
      <c r="M240" s="587">
        <v>76</v>
      </c>
      <c r="N240" s="582">
        <f t="shared" si="8"/>
        <v>76.78</v>
      </c>
      <c r="O240" s="582">
        <v>63944.45</v>
      </c>
      <c r="Q240" s="582" t="s">
        <v>621</v>
      </c>
      <c r="R240" s="582">
        <f t="shared" si="7"/>
        <v>1</v>
      </c>
    </row>
    <row r="241" spans="1:18">
      <c r="A241" s="582" t="s">
        <v>594</v>
      </c>
      <c r="B241" s="582" t="s">
        <v>329</v>
      </c>
      <c r="C241" s="582" t="s">
        <v>330</v>
      </c>
      <c r="D241" s="2">
        <v>68</v>
      </c>
      <c r="E241" s="587">
        <v>94</v>
      </c>
      <c r="F241" s="587">
        <v>94</v>
      </c>
      <c r="G241" s="587">
        <v>95</v>
      </c>
      <c r="H241" s="587">
        <v>96</v>
      </c>
      <c r="I241" s="587">
        <v>96</v>
      </c>
      <c r="J241" s="587">
        <v>96</v>
      </c>
      <c r="K241" s="587">
        <v>96</v>
      </c>
      <c r="L241" s="587">
        <v>91</v>
      </c>
      <c r="M241" s="587">
        <v>92</v>
      </c>
      <c r="N241" s="582">
        <f t="shared" si="8"/>
        <v>94.44</v>
      </c>
      <c r="O241" s="582">
        <v>81684.509999999995</v>
      </c>
      <c r="Q241" s="582" t="s">
        <v>621</v>
      </c>
      <c r="R241" s="582">
        <f t="shared" si="7"/>
        <v>1</v>
      </c>
    </row>
    <row r="242" spans="1:18">
      <c r="A242" s="582" t="s">
        <v>600</v>
      </c>
      <c r="B242" s="582" t="s">
        <v>218</v>
      </c>
      <c r="C242" s="582" t="s">
        <v>219</v>
      </c>
      <c r="D242" s="2">
        <v>72</v>
      </c>
      <c r="E242" s="587">
        <v>65</v>
      </c>
      <c r="F242" s="587">
        <v>68</v>
      </c>
      <c r="G242" s="587">
        <v>68</v>
      </c>
      <c r="H242" s="587">
        <v>70</v>
      </c>
      <c r="I242" s="587">
        <v>72</v>
      </c>
      <c r="J242" s="587">
        <v>74</v>
      </c>
      <c r="K242" s="587">
        <v>71</v>
      </c>
      <c r="L242" s="587">
        <v>70</v>
      </c>
      <c r="M242" s="587">
        <v>70</v>
      </c>
      <c r="N242" s="582">
        <f t="shared" si="8"/>
        <v>69.78</v>
      </c>
      <c r="O242" s="582">
        <v>62106.58</v>
      </c>
      <c r="Q242" s="582" t="s">
        <v>621</v>
      </c>
      <c r="R242" s="582">
        <f t="shared" si="7"/>
        <v>1</v>
      </c>
    </row>
    <row r="243" spans="1:18">
      <c r="A243" s="582" t="s">
        <v>595</v>
      </c>
      <c r="B243" s="582" t="s">
        <v>161</v>
      </c>
      <c r="C243" s="582" t="s">
        <v>162</v>
      </c>
      <c r="D243" s="2">
        <v>7</v>
      </c>
      <c r="E243" s="587">
        <v>10</v>
      </c>
      <c r="F243" s="587">
        <v>10</v>
      </c>
      <c r="G243" s="587">
        <v>12</v>
      </c>
      <c r="H243" s="587">
        <v>12</v>
      </c>
      <c r="I243" s="587">
        <v>12</v>
      </c>
      <c r="J243" s="587">
        <v>12</v>
      </c>
      <c r="K243" s="587">
        <v>12</v>
      </c>
      <c r="L243" s="587">
        <v>11</v>
      </c>
      <c r="M243" s="587">
        <v>11</v>
      </c>
      <c r="N243" s="582">
        <f t="shared" si="8"/>
        <v>11.33</v>
      </c>
      <c r="O243" s="582">
        <v>10817.13</v>
      </c>
      <c r="Q243" s="582" t="s">
        <v>621</v>
      </c>
      <c r="R243" s="582">
        <f t="shared" si="7"/>
        <v>1</v>
      </c>
    </row>
    <row r="244" spans="1:18">
      <c r="A244" s="582" t="s">
        <v>594</v>
      </c>
      <c r="B244" s="582" t="s">
        <v>295</v>
      </c>
      <c r="C244" s="582" t="s">
        <v>296</v>
      </c>
      <c r="D244" s="2">
        <v>3</v>
      </c>
      <c r="E244" s="587">
        <v>3</v>
      </c>
      <c r="F244" s="587">
        <v>4</v>
      </c>
      <c r="G244" s="587">
        <v>4</v>
      </c>
      <c r="H244" s="587">
        <v>4</v>
      </c>
      <c r="I244" s="587">
        <v>4</v>
      </c>
      <c r="J244" s="587">
        <v>4</v>
      </c>
      <c r="K244" s="587">
        <v>4</v>
      </c>
      <c r="L244" s="587">
        <v>4</v>
      </c>
      <c r="M244" s="587">
        <v>4</v>
      </c>
      <c r="N244" s="582">
        <f t="shared" si="8"/>
        <v>3.89</v>
      </c>
      <c r="O244" s="582">
        <v>0</v>
      </c>
      <c r="Q244" s="582" t="s">
        <v>801</v>
      </c>
      <c r="R244" s="582">
        <f t="shared" si="7"/>
        <v>1</v>
      </c>
    </row>
    <row r="245" spans="1:18">
      <c r="A245" s="582" t="s">
        <v>603</v>
      </c>
      <c r="B245" s="582" t="s">
        <v>422</v>
      </c>
      <c r="C245" s="582" t="s">
        <v>423</v>
      </c>
      <c r="D245" s="2">
        <v>1320</v>
      </c>
      <c r="E245" s="587">
        <v>1339</v>
      </c>
      <c r="F245" s="587">
        <v>1361</v>
      </c>
      <c r="G245" s="587">
        <v>1386</v>
      </c>
      <c r="H245" s="587">
        <v>1375</v>
      </c>
      <c r="I245" s="587">
        <v>1367</v>
      </c>
      <c r="J245" s="587">
        <v>1395</v>
      </c>
      <c r="K245" s="587">
        <v>1401</v>
      </c>
      <c r="L245" s="587">
        <v>1405</v>
      </c>
      <c r="M245" s="587">
        <v>1400</v>
      </c>
      <c r="N245" s="582">
        <f t="shared" si="8"/>
        <v>1381</v>
      </c>
      <c r="O245" s="582">
        <v>1241834.0900000001</v>
      </c>
      <c r="Q245" s="582" t="s">
        <v>621</v>
      </c>
      <c r="R245" s="582">
        <f t="shared" si="7"/>
        <v>1</v>
      </c>
    </row>
    <row r="246" spans="1:18">
      <c r="A246" s="582" t="s">
        <v>603</v>
      </c>
      <c r="B246" s="582" t="s">
        <v>280</v>
      </c>
      <c r="C246" s="582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7">
        <v>0</v>
      </c>
      <c r="N246" s="582">
        <f t="shared" si="8"/>
        <v>0</v>
      </c>
      <c r="O246" s="582">
        <v>0</v>
      </c>
      <c r="Q246" s="582" t="s">
        <v>801</v>
      </c>
      <c r="R246" s="582">
        <f t="shared" si="7"/>
        <v>0</v>
      </c>
    </row>
    <row r="247" spans="1:18">
      <c r="A247" s="582" t="s">
        <v>603</v>
      </c>
      <c r="B247" s="582" t="s">
        <v>539</v>
      </c>
      <c r="C247" s="582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7">
        <v>0</v>
      </c>
      <c r="N247" s="582">
        <f t="shared" si="8"/>
        <v>0</v>
      </c>
      <c r="O247" s="582">
        <v>0</v>
      </c>
      <c r="Q247" s="582" t="s">
        <v>801</v>
      </c>
      <c r="R247" s="582">
        <f t="shared" si="7"/>
        <v>0</v>
      </c>
    </row>
    <row r="248" spans="1:18">
      <c r="A248" s="582" t="s">
        <v>595</v>
      </c>
      <c r="B248" s="582" t="s">
        <v>421</v>
      </c>
      <c r="C248" s="582" t="s">
        <v>616</v>
      </c>
      <c r="D248" s="2">
        <v>62</v>
      </c>
      <c r="E248" s="587">
        <v>79</v>
      </c>
      <c r="F248" s="587">
        <v>79</v>
      </c>
      <c r="G248" s="587">
        <v>85</v>
      </c>
      <c r="H248" s="587">
        <v>86</v>
      </c>
      <c r="I248" s="587">
        <v>83</v>
      </c>
      <c r="J248" s="587">
        <v>84</v>
      </c>
      <c r="K248" s="587">
        <v>86</v>
      </c>
      <c r="L248" s="587">
        <v>51</v>
      </c>
      <c r="M248" s="587">
        <v>49</v>
      </c>
      <c r="N248" s="582">
        <f t="shared" si="8"/>
        <v>75.78</v>
      </c>
      <c r="O248" s="582">
        <v>69470.16</v>
      </c>
      <c r="Q248" s="582" t="s">
        <v>621</v>
      </c>
      <c r="R248" s="582">
        <f t="shared" si="7"/>
        <v>1</v>
      </c>
    </row>
    <row r="249" spans="1:18">
      <c r="A249" s="582" t="s">
        <v>596</v>
      </c>
      <c r="B249" s="582" t="s">
        <v>108</v>
      </c>
      <c r="C249" s="582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7">
        <v>0</v>
      </c>
      <c r="N249" s="582">
        <f t="shared" si="8"/>
        <v>0</v>
      </c>
      <c r="O249" s="582">
        <v>0</v>
      </c>
      <c r="Q249" s="582" t="s">
        <v>801</v>
      </c>
      <c r="R249" s="582">
        <f t="shared" si="7"/>
        <v>0</v>
      </c>
    </row>
    <row r="250" spans="1:18">
      <c r="A250" s="582" t="s">
        <v>596</v>
      </c>
      <c r="B250" s="582" t="s">
        <v>68</v>
      </c>
      <c r="C250" s="582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7">
        <v>0</v>
      </c>
      <c r="N250" s="582">
        <f t="shared" si="8"/>
        <v>0</v>
      </c>
      <c r="O250" s="582">
        <v>0</v>
      </c>
      <c r="Q250" s="582" t="s">
        <v>801</v>
      </c>
      <c r="R250" s="582">
        <f t="shared" si="7"/>
        <v>0</v>
      </c>
    </row>
    <row r="251" spans="1:18">
      <c r="A251" s="582" t="s">
        <v>601</v>
      </c>
      <c r="B251" s="582" t="s">
        <v>27</v>
      </c>
      <c r="C251" s="582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7">
        <v>0</v>
      </c>
      <c r="N251" s="582">
        <f t="shared" si="8"/>
        <v>0</v>
      </c>
      <c r="O251" s="582">
        <v>0</v>
      </c>
      <c r="Q251" s="582" t="s">
        <v>801</v>
      </c>
      <c r="R251" s="582">
        <f t="shared" si="7"/>
        <v>0</v>
      </c>
    </row>
    <row r="252" spans="1:18">
      <c r="A252" s="582" t="s">
        <v>597</v>
      </c>
      <c r="B252" s="582" t="s">
        <v>342</v>
      </c>
      <c r="C252" s="582" t="s">
        <v>617</v>
      </c>
      <c r="D252" s="2">
        <v>27</v>
      </c>
      <c r="E252" s="587">
        <v>48</v>
      </c>
      <c r="F252" s="587">
        <v>59</v>
      </c>
      <c r="G252" s="587">
        <v>62</v>
      </c>
      <c r="H252" s="587">
        <v>62</v>
      </c>
      <c r="I252" s="587">
        <v>66</v>
      </c>
      <c r="J252" s="587">
        <v>66</v>
      </c>
      <c r="K252" s="587">
        <v>66</v>
      </c>
      <c r="L252" s="587">
        <v>67</v>
      </c>
      <c r="M252" s="587">
        <v>67</v>
      </c>
      <c r="N252" s="582">
        <f t="shared" si="8"/>
        <v>62.56</v>
      </c>
      <c r="O252" s="582">
        <v>53535.66</v>
      </c>
      <c r="Q252" s="582" t="s">
        <v>621</v>
      </c>
      <c r="R252" s="582">
        <f t="shared" si="7"/>
        <v>1</v>
      </c>
    </row>
    <row r="253" spans="1:18">
      <c r="A253" s="582" t="s">
        <v>603</v>
      </c>
      <c r="B253" s="582" t="s">
        <v>531</v>
      </c>
      <c r="C253" s="582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7">
        <v>0</v>
      </c>
      <c r="N253" s="582">
        <f t="shared" si="8"/>
        <v>0</v>
      </c>
      <c r="O253" s="582">
        <v>0</v>
      </c>
      <c r="Q253" s="582" t="s">
        <v>801</v>
      </c>
      <c r="R253" s="582">
        <f t="shared" si="7"/>
        <v>0</v>
      </c>
    </row>
    <row r="254" spans="1:18">
      <c r="A254" s="582" t="s">
        <v>599</v>
      </c>
      <c r="B254" s="582" t="s">
        <v>393</v>
      </c>
      <c r="C254" s="582" t="s">
        <v>394</v>
      </c>
      <c r="D254" s="2">
        <v>20</v>
      </c>
      <c r="E254" s="587">
        <v>25</v>
      </c>
      <c r="F254" s="587">
        <v>26</v>
      </c>
      <c r="G254" s="587">
        <v>28</v>
      </c>
      <c r="H254" s="587">
        <v>27</v>
      </c>
      <c r="I254" s="587">
        <v>27</v>
      </c>
      <c r="J254" s="587">
        <v>27</v>
      </c>
      <c r="K254" s="587">
        <v>27</v>
      </c>
      <c r="L254" s="587">
        <v>27</v>
      </c>
      <c r="M254" s="587">
        <v>27</v>
      </c>
      <c r="N254" s="582">
        <f t="shared" si="8"/>
        <v>26.78</v>
      </c>
      <c r="O254" s="582">
        <v>24616.25</v>
      </c>
      <c r="Q254" s="582" t="s">
        <v>621</v>
      </c>
      <c r="R254" s="582">
        <f t="shared" si="7"/>
        <v>1</v>
      </c>
    </row>
    <row r="255" spans="1:18">
      <c r="A255" s="582" t="s">
        <v>595</v>
      </c>
      <c r="B255" s="582" t="s">
        <v>415</v>
      </c>
      <c r="C255" s="582" t="s">
        <v>416</v>
      </c>
      <c r="D255" s="2">
        <v>122</v>
      </c>
      <c r="E255" s="587">
        <v>120</v>
      </c>
      <c r="F255" s="587">
        <v>121</v>
      </c>
      <c r="G255" s="587">
        <v>122</v>
      </c>
      <c r="H255" s="587">
        <v>123</v>
      </c>
      <c r="I255" s="587">
        <v>122</v>
      </c>
      <c r="J255" s="587">
        <v>122</v>
      </c>
      <c r="K255" s="587">
        <v>123</v>
      </c>
      <c r="L255" s="587">
        <v>126</v>
      </c>
      <c r="M255" s="587">
        <v>127</v>
      </c>
      <c r="N255" s="582">
        <f t="shared" si="8"/>
        <v>122.89</v>
      </c>
      <c r="O255" s="582">
        <v>108590.7</v>
      </c>
      <c r="Q255" s="582" t="s">
        <v>621</v>
      </c>
      <c r="R255" s="582">
        <f t="shared" si="7"/>
        <v>1</v>
      </c>
    </row>
    <row r="256" spans="1:18">
      <c r="A256" s="582" t="s">
        <v>603</v>
      </c>
      <c r="B256" s="582" t="s">
        <v>460</v>
      </c>
      <c r="C256" s="582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7">
        <v>0</v>
      </c>
      <c r="N256" s="582">
        <f t="shared" si="8"/>
        <v>0</v>
      </c>
      <c r="O256" s="582">
        <v>0</v>
      </c>
      <c r="Q256" s="582" t="s">
        <v>801</v>
      </c>
      <c r="R256" s="582">
        <f t="shared" si="7"/>
        <v>0</v>
      </c>
    </row>
    <row r="257" spans="1:18">
      <c r="A257" s="582" t="s">
        <v>597</v>
      </c>
      <c r="B257" s="582" t="s">
        <v>351</v>
      </c>
      <c r="C257" s="582" t="s">
        <v>352</v>
      </c>
      <c r="D257" s="2">
        <v>227</v>
      </c>
      <c r="E257" s="587">
        <v>252</v>
      </c>
      <c r="F257" s="587">
        <v>276</v>
      </c>
      <c r="G257" s="587">
        <v>274</v>
      </c>
      <c r="H257" s="587">
        <v>273</v>
      </c>
      <c r="I257" s="587">
        <v>279</v>
      </c>
      <c r="J257" s="587">
        <v>280</v>
      </c>
      <c r="K257" s="587">
        <v>282</v>
      </c>
      <c r="L257" s="587">
        <v>281</v>
      </c>
      <c r="M257" s="587">
        <v>284</v>
      </c>
      <c r="N257" s="582">
        <f t="shared" si="8"/>
        <v>275.67</v>
      </c>
      <c r="O257" s="582">
        <v>243889.66</v>
      </c>
      <c r="Q257" s="582" t="s">
        <v>621</v>
      </c>
      <c r="R257" s="582">
        <f t="shared" si="7"/>
        <v>1</v>
      </c>
    </row>
    <row r="258" spans="1:18">
      <c r="A258" s="582" t="s">
        <v>605</v>
      </c>
      <c r="B258" s="582" t="s">
        <v>557</v>
      </c>
      <c r="C258" s="582" t="s">
        <v>558</v>
      </c>
      <c r="D258" s="2">
        <v>2053</v>
      </c>
      <c r="E258" s="587">
        <v>2083</v>
      </c>
      <c r="F258" s="587">
        <v>2093</v>
      </c>
      <c r="G258" s="587">
        <v>2086</v>
      </c>
      <c r="H258" s="587">
        <v>2091</v>
      </c>
      <c r="I258" s="587">
        <v>2091</v>
      </c>
      <c r="J258" s="587">
        <v>2101</v>
      </c>
      <c r="K258" s="587">
        <v>2083</v>
      </c>
      <c r="L258" s="587">
        <v>2087</v>
      </c>
      <c r="M258" s="587">
        <v>2094</v>
      </c>
      <c r="N258" s="582">
        <f t="shared" si="8"/>
        <v>2089.89</v>
      </c>
      <c r="O258" s="582">
        <v>1731585.21</v>
      </c>
      <c r="Q258" s="582" t="s">
        <v>621</v>
      </c>
      <c r="R258" s="582">
        <f t="shared" si="7"/>
        <v>1</v>
      </c>
    </row>
    <row r="259" spans="1:18">
      <c r="A259" s="582" t="s">
        <v>597</v>
      </c>
      <c r="B259" s="582" t="s">
        <v>345</v>
      </c>
      <c r="C259" s="582" t="s">
        <v>346</v>
      </c>
      <c r="D259" s="2">
        <v>2263</v>
      </c>
      <c r="E259" s="587">
        <v>2368</v>
      </c>
      <c r="F259" s="587">
        <v>2356</v>
      </c>
      <c r="G259" s="587">
        <v>2369</v>
      </c>
      <c r="H259" s="587">
        <v>2388</v>
      </c>
      <c r="I259" s="587">
        <v>2373</v>
      </c>
      <c r="J259" s="587">
        <v>2384</v>
      </c>
      <c r="K259" s="587">
        <v>2396</v>
      </c>
      <c r="L259" s="587">
        <v>2426</v>
      </c>
      <c r="M259" s="587">
        <v>2437</v>
      </c>
      <c r="N259" s="582">
        <f t="shared" si="8"/>
        <v>2388.56</v>
      </c>
      <c r="O259" s="582">
        <v>2090928.12</v>
      </c>
      <c r="Q259" s="582" t="s">
        <v>621</v>
      </c>
      <c r="R259" s="582">
        <f t="shared" si="7"/>
        <v>1</v>
      </c>
    </row>
    <row r="260" spans="1:18">
      <c r="A260" s="582" t="s">
        <v>594</v>
      </c>
      <c r="B260" s="582" t="s">
        <v>143</v>
      </c>
      <c r="C260" s="582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7">
        <v>0</v>
      </c>
      <c r="N260" s="582">
        <f t="shared" si="8"/>
        <v>0</v>
      </c>
      <c r="O260" s="582">
        <v>0</v>
      </c>
      <c r="Q260" s="582" t="s">
        <v>801</v>
      </c>
      <c r="R260" s="582">
        <f t="shared" si="7"/>
        <v>0</v>
      </c>
    </row>
    <row r="261" spans="1:18">
      <c r="A261" s="582" t="s">
        <v>597</v>
      </c>
      <c r="B261" s="582" t="s">
        <v>197</v>
      </c>
      <c r="C261" s="582" t="s">
        <v>198</v>
      </c>
      <c r="D261" s="2">
        <v>95</v>
      </c>
      <c r="E261" s="587">
        <v>133</v>
      </c>
      <c r="F261" s="587">
        <v>131</v>
      </c>
      <c r="G261" s="587">
        <v>135</v>
      </c>
      <c r="H261" s="587">
        <v>135</v>
      </c>
      <c r="I261" s="587">
        <v>135</v>
      </c>
      <c r="J261" s="587">
        <v>135</v>
      </c>
      <c r="K261" s="587">
        <v>139</v>
      </c>
      <c r="L261" s="587">
        <v>139</v>
      </c>
      <c r="M261" s="587">
        <v>139</v>
      </c>
      <c r="N261" s="582">
        <f t="shared" si="8"/>
        <v>135.66999999999999</v>
      </c>
      <c r="O261" s="582">
        <v>121912.67</v>
      </c>
      <c r="Q261" s="582" t="s">
        <v>621</v>
      </c>
      <c r="R261" s="582">
        <f t="shared" si="7"/>
        <v>1</v>
      </c>
    </row>
    <row r="262" spans="1:18">
      <c r="A262" s="582" t="s">
        <v>603</v>
      </c>
      <c r="B262" s="582" t="s">
        <v>521</v>
      </c>
      <c r="C262" s="58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7">
        <v>0</v>
      </c>
      <c r="N262" s="582">
        <f t="shared" si="8"/>
        <v>0</v>
      </c>
      <c r="O262" s="582">
        <v>0</v>
      </c>
      <c r="Q262" s="582" t="s">
        <v>801</v>
      </c>
      <c r="R262" s="582">
        <f t="shared" si="7"/>
        <v>0</v>
      </c>
    </row>
    <row r="263" spans="1:18">
      <c r="A263" s="582" t="s">
        <v>594</v>
      </c>
      <c r="B263" s="582" t="s">
        <v>486</v>
      </c>
      <c r="C263" s="582" t="s">
        <v>487</v>
      </c>
      <c r="D263" s="2">
        <v>11</v>
      </c>
      <c r="E263" s="587">
        <v>11</v>
      </c>
      <c r="F263" s="587">
        <v>12</v>
      </c>
      <c r="G263" s="587">
        <v>11</v>
      </c>
      <c r="H263" s="587">
        <v>10</v>
      </c>
      <c r="I263" s="587">
        <v>9</v>
      </c>
      <c r="J263" s="587">
        <v>10</v>
      </c>
      <c r="K263" s="587">
        <v>9</v>
      </c>
      <c r="L263" s="587">
        <v>9</v>
      </c>
      <c r="M263" s="587">
        <v>9</v>
      </c>
      <c r="N263" s="582">
        <f t="shared" si="8"/>
        <v>10</v>
      </c>
      <c r="O263" s="582">
        <v>8710.2900000000009</v>
      </c>
      <c r="Q263" s="582" t="s">
        <v>621</v>
      </c>
      <c r="R263" s="582">
        <f t="shared" si="7"/>
        <v>1</v>
      </c>
    </row>
    <row r="264" spans="1:18">
      <c r="A264" s="582" t="s">
        <v>605</v>
      </c>
      <c r="B264" s="582" t="s">
        <v>224</v>
      </c>
      <c r="C264" s="582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7">
        <v>0</v>
      </c>
      <c r="N264" s="582">
        <f t="shared" si="8"/>
        <v>0</v>
      </c>
      <c r="O264" s="582">
        <v>0</v>
      </c>
      <c r="Q264" s="582" t="s">
        <v>801</v>
      </c>
      <c r="R264" s="582">
        <f t="shared" si="7"/>
        <v>0</v>
      </c>
    </row>
    <row r="265" spans="1:18">
      <c r="A265" s="582" t="s">
        <v>594</v>
      </c>
      <c r="B265" s="582" t="s">
        <v>268</v>
      </c>
      <c r="C265" s="582" t="s">
        <v>269</v>
      </c>
      <c r="D265" s="2">
        <v>23</v>
      </c>
      <c r="E265" s="587">
        <v>22</v>
      </c>
      <c r="F265" s="587">
        <v>22</v>
      </c>
      <c r="G265" s="587">
        <v>23</v>
      </c>
      <c r="H265" s="587">
        <v>23</v>
      </c>
      <c r="I265" s="587">
        <v>23</v>
      </c>
      <c r="J265" s="587">
        <v>23</v>
      </c>
      <c r="K265" s="587">
        <v>23</v>
      </c>
      <c r="L265" s="587">
        <v>23</v>
      </c>
      <c r="M265" s="587">
        <v>23</v>
      </c>
      <c r="N265" s="582">
        <f t="shared" si="8"/>
        <v>22.78</v>
      </c>
      <c r="O265" s="582">
        <v>21309.25</v>
      </c>
      <c r="Q265" s="582" t="s">
        <v>621</v>
      </c>
      <c r="R265" s="582">
        <f t="shared" ref="R265:R303" si="9">IF(N265&gt;0,1,0)</f>
        <v>1</v>
      </c>
    </row>
    <row r="266" spans="1:18">
      <c r="A266" s="582" t="s">
        <v>601</v>
      </c>
      <c r="B266" s="582" t="s">
        <v>321</v>
      </c>
      <c r="C266" s="582" t="s">
        <v>322</v>
      </c>
      <c r="D266" s="2">
        <v>169</v>
      </c>
      <c r="E266" s="587">
        <v>173</v>
      </c>
      <c r="F266" s="587">
        <v>170</v>
      </c>
      <c r="G266" s="587">
        <v>164</v>
      </c>
      <c r="H266" s="587">
        <v>165</v>
      </c>
      <c r="I266" s="587">
        <v>162</v>
      </c>
      <c r="J266" s="587">
        <v>161</v>
      </c>
      <c r="K266" s="587">
        <v>157</v>
      </c>
      <c r="L266" s="587">
        <v>154</v>
      </c>
      <c r="M266" s="587">
        <v>161</v>
      </c>
      <c r="N266" s="582">
        <f t="shared" si="8"/>
        <v>163</v>
      </c>
      <c r="O266" s="582">
        <v>142306.42000000001</v>
      </c>
      <c r="Q266" s="582" t="s">
        <v>621</v>
      </c>
      <c r="R266" s="582">
        <f t="shared" si="9"/>
        <v>1</v>
      </c>
    </row>
    <row r="267" spans="1:18">
      <c r="A267" s="582" t="s">
        <v>605</v>
      </c>
      <c r="B267" s="582" t="s">
        <v>559</v>
      </c>
      <c r="C267" s="582" t="s">
        <v>560</v>
      </c>
      <c r="D267" s="2">
        <v>1065</v>
      </c>
      <c r="E267" s="587">
        <v>1082</v>
      </c>
      <c r="F267" s="587">
        <v>1078</v>
      </c>
      <c r="G267" s="587">
        <v>1064</v>
      </c>
      <c r="H267" s="587">
        <v>1059</v>
      </c>
      <c r="I267" s="587">
        <v>1065</v>
      </c>
      <c r="J267" s="587">
        <v>1071</v>
      </c>
      <c r="K267" s="587">
        <v>1071</v>
      </c>
      <c r="L267" s="587">
        <v>1079</v>
      </c>
      <c r="M267" s="587">
        <v>1082</v>
      </c>
      <c r="N267" s="582">
        <f t="shared" si="8"/>
        <v>1072.33</v>
      </c>
      <c r="O267" s="582">
        <v>893076.8</v>
      </c>
      <c r="Q267" s="582" t="s">
        <v>621</v>
      </c>
      <c r="R267" s="582">
        <f t="shared" si="9"/>
        <v>1</v>
      </c>
    </row>
    <row r="268" spans="1:18">
      <c r="A268" s="582" t="s">
        <v>596</v>
      </c>
      <c r="B268" s="582" t="s">
        <v>496</v>
      </c>
      <c r="C268" s="582" t="s">
        <v>497</v>
      </c>
      <c r="D268" s="2">
        <v>22</v>
      </c>
      <c r="E268" s="587">
        <v>22</v>
      </c>
      <c r="F268" s="587">
        <v>22</v>
      </c>
      <c r="G268" s="587">
        <v>22</v>
      </c>
      <c r="H268" s="587">
        <v>21</v>
      </c>
      <c r="I268" s="587">
        <v>20</v>
      </c>
      <c r="J268" s="587">
        <v>21</v>
      </c>
      <c r="K268" s="587">
        <v>21</v>
      </c>
      <c r="L268" s="587">
        <v>21</v>
      </c>
      <c r="M268" s="587">
        <v>23</v>
      </c>
      <c r="N268" s="582">
        <f t="shared" si="8"/>
        <v>21.44</v>
      </c>
      <c r="O268" s="582">
        <v>20076.919999999998</v>
      </c>
      <c r="Q268" s="582" t="s">
        <v>621</v>
      </c>
      <c r="R268" s="582">
        <f t="shared" si="9"/>
        <v>1</v>
      </c>
    </row>
    <row r="269" spans="1:18">
      <c r="A269" s="582" t="s">
        <v>599</v>
      </c>
      <c r="B269" s="582" t="s">
        <v>72</v>
      </c>
      <c r="C269" s="582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7">
        <v>0</v>
      </c>
      <c r="N269" s="582">
        <f t="shared" si="8"/>
        <v>0</v>
      </c>
      <c r="O269" s="582">
        <v>0</v>
      </c>
      <c r="Q269" s="582" t="s">
        <v>801</v>
      </c>
      <c r="R269" s="582">
        <f t="shared" si="9"/>
        <v>0</v>
      </c>
    </row>
    <row r="270" spans="1:18">
      <c r="A270" s="582" t="s">
        <v>599</v>
      </c>
      <c r="B270" s="582" t="s">
        <v>238</v>
      </c>
      <c r="C270" s="582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7">
        <v>0</v>
      </c>
      <c r="N270" s="582">
        <f t="shared" si="8"/>
        <v>0</v>
      </c>
      <c r="O270" s="582">
        <v>0</v>
      </c>
      <c r="Q270" s="582" t="s">
        <v>801</v>
      </c>
      <c r="R270" s="582">
        <f t="shared" si="9"/>
        <v>0</v>
      </c>
    </row>
    <row r="271" spans="1:18">
      <c r="A271" s="582" t="s">
        <v>597</v>
      </c>
      <c r="B271" s="582" t="s">
        <v>191</v>
      </c>
      <c r="C271" s="582" t="s">
        <v>192</v>
      </c>
      <c r="D271" s="2">
        <v>847</v>
      </c>
      <c r="E271" s="587">
        <v>1067</v>
      </c>
      <c r="F271" s="587">
        <v>1102</v>
      </c>
      <c r="G271" s="587">
        <v>1103</v>
      </c>
      <c r="H271" s="587">
        <v>1112</v>
      </c>
      <c r="I271" s="587">
        <v>1119</v>
      </c>
      <c r="J271" s="587">
        <v>1119</v>
      </c>
      <c r="K271" s="587">
        <v>1121</v>
      </c>
      <c r="L271" s="587">
        <v>1130</v>
      </c>
      <c r="M271" s="587">
        <v>1141</v>
      </c>
      <c r="N271" s="582">
        <f t="shared" si="8"/>
        <v>1112.67</v>
      </c>
      <c r="O271" s="582">
        <v>917166.77</v>
      </c>
      <c r="Q271" s="582" t="s">
        <v>621</v>
      </c>
      <c r="R271" s="582">
        <f t="shared" si="9"/>
        <v>1</v>
      </c>
    </row>
    <row r="272" spans="1:18">
      <c r="A272" s="582" t="s">
        <v>594</v>
      </c>
      <c r="B272" s="582" t="s">
        <v>476</v>
      </c>
      <c r="C272" s="582" t="s">
        <v>477</v>
      </c>
      <c r="D272" s="2">
        <v>78</v>
      </c>
      <c r="E272" s="587">
        <v>90</v>
      </c>
      <c r="F272" s="587">
        <v>91</v>
      </c>
      <c r="G272" s="587">
        <v>91</v>
      </c>
      <c r="H272" s="587">
        <v>91</v>
      </c>
      <c r="I272" s="587">
        <v>88</v>
      </c>
      <c r="J272" s="587">
        <v>89</v>
      </c>
      <c r="K272" s="587">
        <v>86</v>
      </c>
      <c r="L272" s="587">
        <v>89</v>
      </c>
      <c r="M272" s="587">
        <v>89</v>
      </c>
      <c r="N272" s="582">
        <f t="shared" si="8"/>
        <v>89.33</v>
      </c>
      <c r="O272" s="582">
        <v>80082.09</v>
      </c>
      <c r="Q272" s="582" t="s">
        <v>621</v>
      </c>
      <c r="R272" s="582">
        <f t="shared" si="9"/>
        <v>1</v>
      </c>
    </row>
    <row r="273" spans="1:18">
      <c r="A273" s="582" t="s">
        <v>605</v>
      </c>
      <c r="B273" s="582" t="s">
        <v>543</v>
      </c>
      <c r="C273" s="582" t="s">
        <v>544</v>
      </c>
      <c r="D273" s="2">
        <v>155</v>
      </c>
      <c r="E273" s="587">
        <v>162</v>
      </c>
      <c r="F273" s="587">
        <v>162</v>
      </c>
      <c r="G273" s="587">
        <v>164</v>
      </c>
      <c r="H273" s="587">
        <v>161</v>
      </c>
      <c r="I273" s="587">
        <v>162</v>
      </c>
      <c r="J273" s="587">
        <v>163</v>
      </c>
      <c r="K273" s="587">
        <v>161</v>
      </c>
      <c r="L273" s="587">
        <v>161</v>
      </c>
      <c r="M273" s="587">
        <v>161</v>
      </c>
      <c r="N273" s="582">
        <f t="shared" si="8"/>
        <v>161.88999999999999</v>
      </c>
      <c r="O273" s="582">
        <v>136383.73000000001</v>
      </c>
      <c r="Q273" s="582" t="s">
        <v>621</v>
      </c>
      <c r="R273" s="582">
        <f t="shared" si="9"/>
        <v>1</v>
      </c>
    </row>
    <row r="274" spans="1:18">
      <c r="A274" s="582" t="s">
        <v>597</v>
      </c>
      <c r="B274" s="582" t="s">
        <v>349</v>
      </c>
      <c r="C274" s="582" t="s">
        <v>350</v>
      </c>
      <c r="D274" s="2">
        <v>117</v>
      </c>
      <c r="E274" s="587">
        <v>141</v>
      </c>
      <c r="F274" s="587">
        <v>148</v>
      </c>
      <c r="G274" s="587">
        <v>147</v>
      </c>
      <c r="H274" s="587">
        <v>150</v>
      </c>
      <c r="I274" s="587">
        <v>148</v>
      </c>
      <c r="J274" s="587">
        <v>150</v>
      </c>
      <c r="K274" s="587">
        <v>148</v>
      </c>
      <c r="L274" s="587">
        <v>153</v>
      </c>
      <c r="M274" s="587">
        <v>157</v>
      </c>
      <c r="N274" s="582">
        <f t="shared" si="8"/>
        <v>149.11000000000001</v>
      </c>
      <c r="O274" s="582">
        <v>132478.24</v>
      </c>
      <c r="Q274" s="582" t="s">
        <v>621</v>
      </c>
      <c r="R274" s="582">
        <f t="shared" si="9"/>
        <v>1</v>
      </c>
    </row>
    <row r="275" spans="1:18">
      <c r="A275" s="582" t="s">
        <v>603</v>
      </c>
      <c r="B275" s="582" t="s">
        <v>454</v>
      </c>
      <c r="C275" s="582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7">
        <v>0</v>
      </c>
      <c r="N275" s="582">
        <f t="shared" si="8"/>
        <v>0</v>
      </c>
      <c r="O275" s="582">
        <v>0</v>
      </c>
      <c r="Q275" s="582" t="s">
        <v>801</v>
      </c>
      <c r="R275" s="582">
        <f t="shared" si="9"/>
        <v>0</v>
      </c>
    </row>
    <row r="276" spans="1:18">
      <c r="A276" s="582" t="s">
        <v>599</v>
      </c>
      <c r="B276" s="582" t="s">
        <v>49</v>
      </c>
      <c r="C276" s="582" t="s">
        <v>50</v>
      </c>
      <c r="D276" s="2">
        <v>2222</v>
      </c>
      <c r="E276" s="587">
        <v>2321</v>
      </c>
      <c r="F276" s="587">
        <v>2369</v>
      </c>
      <c r="G276" s="587">
        <v>2377</v>
      </c>
      <c r="H276" s="587">
        <v>2384</v>
      </c>
      <c r="I276" s="587">
        <v>2410</v>
      </c>
      <c r="J276" s="587">
        <v>2414</v>
      </c>
      <c r="K276" s="587">
        <v>2406</v>
      </c>
      <c r="L276" s="587">
        <v>2410</v>
      </c>
      <c r="M276" s="587">
        <v>2401</v>
      </c>
      <c r="N276" s="582">
        <f t="shared" si="8"/>
        <v>2388</v>
      </c>
      <c r="O276" s="582">
        <v>2075991.64</v>
      </c>
      <c r="Q276" s="582" t="s">
        <v>621</v>
      </c>
      <c r="R276" s="582">
        <f t="shared" si="9"/>
        <v>1</v>
      </c>
    </row>
    <row r="277" spans="1:18">
      <c r="A277" s="582" t="s">
        <v>597</v>
      </c>
      <c r="B277" s="582" t="s">
        <v>183</v>
      </c>
      <c r="C277" s="582" t="s">
        <v>184</v>
      </c>
      <c r="D277" s="2">
        <v>27</v>
      </c>
      <c r="E277" s="587">
        <v>37</v>
      </c>
      <c r="F277" s="587">
        <v>36</v>
      </c>
      <c r="G277" s="587">
        <v>36</v>
      </c>
      <c r="H277" s="587">
        <v>35</v>
      </c>
      <c r="I277" s="587">
        <v>35</v>
      </c>
      <c r="J277" s="587">
        <v>36</v>
      </c>
      <c r="K277" s="587">
        <v>36</v>
      </c>
      <c r="L277" s="587">
        <v>36</v>
      </c>
      <c r="M277" s="587">
        <v>36</v>
      </c>
      <c r="N277" s="582">
        <f t="shared" ref="N277:N284" si="10">ROUND(SUM(E277:M277)/9,2)</f>
        <v>35.89</v>
      </c>
      <c r="O277" s="582">
        <v>31276.400000000001</v>
      </c>
      <c r="Q277" s="582" t="s">
        <v>621</v>
      </c>
      <c r="R277" s="582">
        <f t="shared" si="9"/>
        <v>1</v>
      </c>
    </row>
    <row r="278" spans="1:18">
      <c r="A278" s="582" t="s">
        <v>599</v>
      </c>
      <c r="B278" s="582" t="s">
        <v>488</v>
      </c>
      <c r="C278" s="582" t="s">
        <v>489</v>
      </c>
      <c r="D278" s="2">
        <v>15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14</v>
      </c>
      <c r="L278" s="587">
        <v>14</v>
      </c>
      <c r="M278" s="587">
        <v>12</v>
      </c>
      <c r="N278" s="582">
        <f t="shared" si="10"/>
        <v>14.44</v>
      </c>
      <c r="O278" s="582">
        <v>12996.47</v>
      </c>
      <c r="Q278" s="582" t="s">
        <v>621</v>
      </c>
      <c r="R278" s="582">
        <f t="shared" si="9"/>
        <v>1</v>
      </c>
    </row>
    <row r="279" spans="1:18">
      <c r="A279" s="582" t="s">
        <v>605</v>
      </c>
      <c r="B279" s="582" t="s">
        <v>114</v>
      </c>
      <c r="C279" s="582" t="s">
        <v>115</v>
      </c>
      <c r="D279" s="2">
        <v>1304</v>
      </c>
      <c r="E279" s="587">
        <v>1266</v>
      </c>
      <c r="F279" s="587">
        <v>1234</v>
      </c>
      <c r="G279" s="587">
        <v>1209</v>
      </c>
      <c r="H279" s="587">
        <v>1204</v>
      </c>
      <c r="I279" s="587">
        <v>1201</v>
      </c>
      <c r="J279" s="587">
        <v>1196</v>
      </c>
      <c r="K279" s="587">
        <v>1219</v>
      </c>
      <c r="L279" s="587">
        <v>1218</v>
      </c>
      <c r="M279" s="587">
        <v>1260</v>
      </c>
      <c r="N279" s="582">
        <f t="shared" si="10"/>
        <v>1223</v>
      </c>
      <c r="O279" s="582">
        <v>966236.27</v>
      </c>
      <c r="Q279" s="582" t="s">
        <v>621</v>
      </c>
      <c r="R279" s="582">
        <f t="shared" si="9"/>
        <v>1</v>
      </c>
    </row>
    <row r="280" spans="1:18">
      <c r="A280" s="582" t="s">
        <v>596</v>
      </c>
      <c r="B280" s="582" t="s">
        <v>500</v>
      </c>
      <c r="C280" s="582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7">
        <v>0</v>
      </c>
      <c r="N280" s="582">
        <f t="shared" si="10"/>
        <v>0</v>
      </c>
      <c r="O280" s="582">
        <v>0</v>
      </c>
      <c r="Q280" s="582" t="s">
        <v>801</v>
      </c>
      <c r="R280" s="582">
        <f t="shared" si="9"/>
        <v>0</v>
      </c>
    </row>
    <row r="281" spans="1:18">
      <c r="A281" s="582" t="s">
        <v>596</v>
      </c>
      <c r="B281" s="582" t="s">
        <v>492</v>
      </c>
      <c r="C281" s="582" t="s">
        <v>493</v>
      </c>
      <c r="D281" s="2">
        <v>645</v>
      </c>
      <c r="E281" s="587">
        <v>788</v>
      </c>
      <c r="F281" s="587">
        <v>792</v>
      </c>
      <c r="G281" s="587">
        <v>785</v>
      </c>
      <c r="H281" s="587">
        <v>780</v>
      </c>
      <c r="I281" s="587">
        <v>779</v>
      </c>
      <c r="J281" s="587">
        <v>783</v>
      </c>
      <c r="K281" s="587">
        <v>779</v>
      </c>
      <c r="L281" s="587">
        <v>785</v>
      </c>
      <c r="M281" s="587">
        <v>787</v>
      </c>
      <c r="N281" s="582">
        <f t="shared" si="10"/>
        <v>784.22</v>
      </c>
      <c r="O281" s="582">
        <v>705681.26</v>
      </c>
      <c r="Q281" s="582" t="s">
        <v>621</v>
      </c>
      <c r="R281" s="582">
        <f t="shared" si="9"/>
        <v>1</v>
      </c>
    </row>
    <row r="282" spans="1:18">
      <c r="A282" s="582" t="s">
        <v>605</v>
      </c>
      <c r="B282" s="582" t="s">
        <v>567</v>
      </c>
      <c r="C282" s="582" t="s">
        <v>568</v>
      </c>
      <c r="D282" s="2">
        <v>728</v>
      </c>
      <c r="E282" s="587">
        <v>837</v>
      </c>
      <c r="F282" s="587">
        <v>871</v>
      </c>
      <c r="G282" s="587">
        <v>863</v>
      </c>
      <c r="H282" s="587">
        <v>852</v>
      </c>
      <c r="I282" s="587">
        <v>853</v>
      </c>
      <c r="J282" s="587">
        <v>853</v>
      </c>
      <c r="K282" s="587">
        <v>862</v>
      </c>
      <c r="L282" s="587">
        <v>861</v>
      </c>
      <c r="M282" s="587">
        <v>872</v>
      </c>
      <c r="N282" s="582">
        <f t="shared" si="10"/>
        <v>858.22</v>
      </c>
      <c r="O282" s="582">
        <v>708514.48</v>
      </c>
      <c r="Q282" s="582" t="s">
        <v>621</v>
      </c>
      <c r="R282" s="582">
        <f t="shared" si="9"/>
        <v>1</v>
      </c>
    </row>
    <row r="283" spans="1:18">
      <c r="A283" s="582" t="s">
        <v>601</v>
      </c>
      <c r="B283" s="582" t="s">
        <v>118</v>
      </c>
      <c r="C283" s="582" t="s">
        <v>119</v>
      </c>
      <c r="D283" s="2">
        <v>346</v>
      </c>
      <c r="E283" s="587">
        <v>356</v>
      </c>
      <c r="F283" s="587">
        <v>362</v>
      </c>
      <c r="G283" s="587">
        <v>343</v>
      </c>
      <c r="H283" s="587">
        <v>336</v>
      </c>
      <c r="I283" s="587">
        <v>346</v>
      </c>
      <c r="J283" s="587">
        <v>346</v>
      </c>
      <c r="K283" s="587">
        <v>343</v>
      </c>
      <c r="L283" s="587">
        <v>336</v>
      </c>
      <c r="M283" s="587">
        <v>332</v>
      </c>
      <c r="N283" s="582">
        <f t="shared" si="10"/>
        <v>344.44</v>
      </c>
      <c r="O283" s="582">
        <v>286342.71999999997</v>
      </c>
      <c r="Q283" s="582" t="s">
        <v>621</v>
      </c>
      <c r="R283" s="582">
        <f t="shared" si="9"/>
        <v>1</v>
      </c>
    </row>
    <row r="284" spans="1:18">
      <c r="A284" s="582" t="s">
        <v>599</v>
      </c>
      <c r="B284" s="582" t="s">
        <v>56</v>
      </c>
      <c r="C284" s="582" t="s">
        <v>57</v>
      </c>
      <c r="D284" s="2">
        <v>48</v>
      </c>
      <c r="E284" s="587">
        <v>64</v>
      </c>
      <c r="F284" s="587">
        <v>67</v>
      </c>
      <c r="G284" s="587">
        <v>63</v>
      </c>
      <c r="H284" s="587">
        <v>61</v>
      </c>
      <c r="I284" s="587">
        <v>63</v>
      </c>
      <c r="J284" s="587">
        <v>63</v>
      </c>
      <c r="K284" s="587">
        <v>62</v>
      </c>
      <c r="L284" s="587">
        <v>68</v>
      </c>
      <c r="M284" s="587">
        <v>68</v>
      </c>
      <c r="N284" s="582">
        <f t="shared" si="10"/>
        <v>64.33</v>
      </c>
      <c r="O284" s="582">
        <v>56256.53</v>
      </c>
      <c r="Q284" s="582" t="s">
        <v>621</v>
      </c>
      <c r="R284" s="582">
        <f t="shared" si="9"/>
        <v>1</v>
      </c>
    </row>
    <row r="285" spans="1:18">
      <c r="A285" s="582" t="s">
        <v>603</v>
      </c>
      <c r="B285" s="582" t="s">
        <v>0</v>
      </c>
      <c r="C285" s="582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7">
        <v>0</v>
      </c>
      <c r="N285" s="582">
        <f>ROUND(SUM(E285:M285)/6,2)</f>
        <v>0</v>
      </c>
      <c r="O285" s="582">
        <v>0</v>
      </c>
      <c r="Q285" s="582" t="s">
        <v>801</v>
      </c>
      <c r="R285" s="582">
        <f t="shared" si="9"/>
        <v>0</v>
      </c>
    </row>
    <row r="286" spans="1:18">
      <c r="A286" s="582" t="s">
        <v>601</v>
      </c>
      <c r="B286" s="582" t="s">
        <v>92</v>
      </c>
      <c r="C286" s="582" t="s">
        <v>93</v>
      </c>
      <c r="D286" s="2">
        <v>7</v>
      </c>
      <c r="E286" s="587">
        <v>6</v>
      </c>
      <c r="F286" s="587">
        <v>5</v>
      </c>
      <c r="G286" s="587">
        <v>5</v>
      </c>
      <c r="H286" s="587">
        <v>5</v>
      </c>
      <c r="I286" s="587">
        <v>5</v>
      </c>
      <c r="J286" s="587">
        <v>5</v>
      </c>
      <c r="K286" s="587">
        <v>5</v>
      </c>
      <c r="L286" s="587">
        <v>5</v>
      </c>
      <c r="M286" s="587">
        <v>5</v>
      </c>
      <c r="N286" s="582">
        <f t="shared" ref="N286:N304" si="11">ROUND(SUM(E286:M286)/9,2)</f>
        <v>5.1100000000000003</v>
      </c>
      <c r="O286" s="582">
        <v>4562.74</v>
      </c>
      <c r="Q286" s="582" t="s">
        <v>621</v>
      </c>
      <c r="R286" s="582">
        <f t="shared" si="9"/>
        <v>1</v>
      </c>
    </row>
    <row r="287" spans="1:18">
      <c r="A287" s="582" t="s">
        <v>603</v>
      </c>
      <c r="B287" s="582" t="s">
        <v>452</v>
      </c>
      <c r="C287" s="582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7">
        <v>0</v>
      </c>
      <c r="N287" s="582">
        <f t="shared" si="11"/>
        <v>0</v>
      </c>
      <c r="O287" s="582">
        <v>0</v>
      </c>
      <c r="Q287" s="582" t="s">
        <v>801</v>
      </c>
      <c r="R287" s="582">
        <f t="shared" si="9"/>
        <v>0</v>
      </c>
    </row>
    <row r="288" spans="1:18">
      <c r="A288" s="582" t="s">
        <v>601</v>
      </c>
      <c r="B288" s="582" t="s">
        <v>37</v>
      </c>
      <c r="C288" s="582" t="s">
        <v>38</v>
      </c>
      <c r="D288" s="2">
        <v>1325</v>
      </c>
      <c r="E288" s="587">
        <v>1447</v>
      </c>
      <c r="F288" s="587">
        <v>1528</v>
      </c>
      <c r="G288" s="587">
        <v>1517</v>
      </c>
      <c r="H288" s="587">
        <v>1529</v>
      </c>
      <c r="I288" s="587">
        <v>1534</v>
      </c>
      <c r="J288" s="587">
        <v>1546</v>
      </c>
      <c r="K288" s="587">
        <v>1547</v>
      </c>
      <c r="L288" s="587">
        <v>1555</v>
      </c>
      <c r="M288" s="587">
        <v>1554</v>
      </c>
      <c r="N288" s="582">
        <f t="shared" si="11"/>
        <v>1528.56</v>
      </c>
      <c r="O288" s="582">
        <v>1346414.5</v>
      </c>
      <c r="Q288" s="582" t="s">
        <v>621</v>
      </c>
      <c r="R288" s="582">
        <f t="shared" si="9"/>
        <v>1</v>
      </c>
    </row>
    <row r="289" spans="1:18">
      <c r="A289" s="582" t="s">
        <v>603</v>
      </c>
      <c r="B289" s="582" t="s">
        <v>443</v>
      </c>
      <c r="C289" s="582" t="s">
        <v>618</v>
      </c>
      <c r="D289" s="2">
        <v>100</v>
      </c>
      <c r="E289" s="587">
        <v>105</v>
      </c>
      <c r="F289" s="587">
        <v>103</v>
      </c>
      <c r="G289" s="587">
        <v>103</v>
      </c>
      <c r="H289" s="587">
        <v>102</v>
      </c>
      <c r="I289" s="587">
        <v>101</v>
      </c>
      <c r="J289" s="587">
        <v>102</v>
      </c>
      <c r="K289" s="587">
        <v>99</v>
      </c>
      <c r="L289" s="587">
        <v>96</v>
      </c>
      <c r="M289" s="587">
        <v>96</v>
      </c>
      <c r="N289" s="582">
        <f t="shared" si="11"/>
        <v>100.78</v>
      </c>
      <c r="O289" s="582">
        <v>89354.01</v>
      </c>
      <c r="Q289" s="582" t="s">
        <v>621</v>
      </c>
      <c r="R289" s="582">
        <f t="shared" si="9"/>
        <v>1</v>
      </c>
    </row>
    <row r="290" spans="1:18">
      <c r="A290" s="582" t="s">
        <v>605</v>
      </c>
      <c r="B290" s="582" t="s">
        <v>569</v>
      </c>
      <c r="C290" s="582" t="s">
        <v>570</v>
      </c>
      <c r="D290" s="2">
        <v>238</v>
      </c>
      <c r="E290" s="587">
        <v>273</v>
      </c>
      <c r="F290" s="587">
        <v>316</v>
      </c>
      <c r="G290" s="587">
        <v>315</v>
      </c>
      <c r="H290" s="587">
        <v>320</v>
      </c>
      <c r="I290" s="587">
        <v>326</v>
      </c>
      <c r="J290" s="587">
        <v>328</v>
      </c>
      <c r="K290" s="587">
        <v>329</v>
      </c>
      <c r="L290" s="587">
        <v>338</v>
      </c>
      <c r="M290" s="587">
        <v>336</v>
      </c>
      <c r="N290" s="582">
        <f t="shared" si="11"/>
        <v>320.11</v>
      </c>
      <c r="O290" s="582">
        <v>284087.12</v>
      </c>
      <c r="Q290" s="582" t="s">
        <v>621</v>
      </c>
      <c r="R290" s="582">
        <f t="shared" si="9"/>
        <v>1</v>
      </c>
    </row>
    <row r="291" spans="1:18">
      <c r="A291" s="582" t="s">
        <v>594</v>
      </c>
      <c r="B291" s="582" t="s">
        <v>276</v>
      </c>
      <c r="C291" s="582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7">
        <v>0</v>
      </c>
      <c r="N291" s="582">
        <f t="shared" si="11"/>
        <v>0</v>
      </c>
      <c r="O291" s="582">
        <v>0</v>
      </c>
      <c r="Q291" s="582" t="s">
        <v>801</v>
      </c>
      <c r="R291" s="582">
        <f t="shared" si="9"/>
        <v>0</v>
      </c>
    </row>
    <row r="292" spans="1:18">
      <c r="A292" s="582" t="s">
        <v>597</v>
      </c>
      <c r="B292" s="582" t="s">
        <v>367</v>
      </c>
      <c r="C292" s="582" t="s">
        <v>368</v>
      </c>
      <c r="D292" s="2">
        <v>47</v>
      </c>
      <c r="E292" s="587">
        <v>57</v>
      </c>
      <c r="F292" s="587">
        <v>58</v>
      </c>
      <c r="G292" s="587">
        <v>58</v>
      </c>
      <c r="H292" s="587">
        <v>58</v>
      </c>
      <c r="I292" s="587">
        <v>58</v>
      </c>
      <c r="J292" s="587">
        <v>58</v>
      </c>
      <c r="K292" s="587">
        <v>59</v>
      </c>
      <c r="L292" s="587">
        <v>58</v>
      </c>
      <c r="M292" s="587">
        <v>60</v>
      </c>
      <c r="N292" s="582">
        <f t="shared" si="11"/>
        <v>58.22</v>
      </c>
      <c r="O292" s="582">
        <v>53221.14</v>
      </c>
      <c r="Q292" s="582" t="s">
        <v>621</v>
      </c>
      <c r="R292" s="582">
        <f t="shared" si="9"/>
        <v>1</v>
      </c>
    </row>
    <row r="293" spans="1:18">
      <c r="A293" s="582" t="s">
        <v>599</v>
      </c>
      <c r="B293" s="582" t="s">
        <v>248</v>
      </c>
      <c r="C293" s="582" t="s">
        <v>249</v>
      </c>
      <c r="D293" s="2">
        <v>181</v>
      </c>
      <c r="E293" s="587">
        <v>187</v>
      </c>
      <c r="F293" s="587">
        <v>194</v>
      </c>
      <c r="G293" s="587">
        <v>191</v>
      </c>
      <c r="H293" s="587">
        <v>191</v>
      </c>
      <c r="I293" s="587">
        <v>191</v>
      </c>
      <c r="J293" s="587">
        <v>197</v>
      </c>
      <c r="K293" s="587">
        <v>199</v>
      </c>
      <c r="L293" s="587">
        <v>195</v>
      </c>
      <c r="M293" s="587">
        <v>195</v>
      </c>
      <c r="N293" s="582">
        <f t="shared" si="11"/>
        <v>193.33</v>
      </c>
      <c r="O293" s="582">
        <v>172611.5</v>
      </c>
      <c r="Q293" s="582" t="s">
        <v>621</v>
      </c>
      <c r="R293" s="582">
        <f t="shared" si="9"/>
        <v>1</v>
      </c>
    </row>
    <row r="294" spans="1:18">
      <c r="A294" s="582" t="s">
        <v>603</v>
      </c>
      <c r="B294" s="582" t="s">
        <v>289</v>
      </c>
      <c r="C294" s="582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7">
        <v>0</v>
      </c>
      <c r="N294" s="582">
        <f t="shared" si="11"/>
        <v>0</v>
      </c>
      <c r="O294" s="582">
        <v>0</v>
      </c>
      <c r="Q294" s="582" t="s">
        <v>801</v>
      </c>
      <c r="R294" s="582">
        <f t="shared" si="9"/>
        <v>0</v>
      </c>
    </row>
    <row r="295" spans="1:18">
      <c r="A295" s="582" t="s">
        <v>594</v>
      </c>
      <c r="B295" s="582" t="s">
        <v>332</v>
      </c>
      <c r="C295" s="582" t="s">
        <v>333</v>
      </c>
      <c r="D295" s="2">
        <v>6</v>
      </c>
      <c r="E295" s="587">
        <v>9</v>
      </c>
      <c r="F295" s="587">
        <v>9</v>
      </c>
      <c r="G295" s="587">
        <v>9</v>
      </c>
      <c r="H295" s="587">
        <v>9</v>
      </c>
      <c r="I295" s="587">
        <v>14</v>
      </c>
      <c r="J295" s="587">
        <v>15</v>
      </c>
      <c r="K295" s="587">
        <v>14</v>
      </c>
      <c r="L295" s="587">
        <v>15</v>
      </c>
      <c r="M295" s="587">
        <v>15</v>
      </c>
      <c r="N295" s="582">
        <f t="shared" si="11"/>
        <v>12.11</v>
      </c>
      <c r="O295" s="582">
        <v>0</v>
      </c>
      <c r="Q295" s="582" t="s">
        <v>801</v>
      </c>
      <c r="R295" s="582">
        <f t="shared" si="9"/>
        <v>1</v>
      </c>
    </row>
    <row r="296" spans="1:18">
      <c r="A296" s="582" t="s">
        <v>601</v>
      </c>
      <c r="B296" s="582" t="s">
        <v>129</v>
      </c>
      <c r="C296" s="582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7">
        <v>0</v>
      </c>
      <c r="N296" s="582">
        <f t="shared" si="11"/>
        <v>0</v>
      </c>
      <c r="O296" s="582">
        <v>0</v>
      </c>
      <c r="Q296" s="582" t="s">
        <v>801</v>
      </c>
      <c r="R296" s="582">
        <f t="shared" si="9"/>
        <v>0</v>
      </c>
    </row>
    <row r="297" spans="1:18">
      <c r="A297" s="582" t="s">
        <v>594</v>
      </c>
      <c r="B297" s="582" t="s">
        <v>264</v>
      </c>
      <c r="C297" s="582" t="s">
        <v>265</v>
      </c>
      <c r="D297" s="2">
        <v>77</v>
      </c>
      <c r="E297" s="587">
        <v>66</v>
      </c>
      <c r="F297" s="587">
        <v>67</v>
      </c>
      <c r="G297" s="587">
        <v>72</v>
      </c>
      <c r="H297" s="587">
        <v>72</v>
      </c>
      <c r="I297" s="587">
        <v>72</v>
      </c>
      <c r="J297" s="587">
        <v>76</v>
      </c>
      <c r="K297" s="587">
        <v>76</v>
      </c>
      <c r="L297" s="587">
        <v>76</v>
      </c>
      <c r="M297" s="587">
        <v>76</v>
      </c>
      <c r="N297" s="582">
        <f t="shared" si="11"/>
        <v>72.56</v>
      </c>
      <c r="O297" s="582">
        <v>66306.649999999994</v>
      </c>
      <c r="Q297" s="582" t="s">
        <v>621</v>
      </c>
      <c r="R297" s="582">
        <f t="shared" si="9"/>
        <v>1</v>
      </c>
    </row>
    <row r="298" spans="1:18">
      <c r="A298" s="582" t="s">
        <v>594</v>
      </c>
      <c r="B298" s="582" t="s">
        <v>151</v>
      </c>
      <c r="C298" s="582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7">
        <v>0</v>
      </c>
      <c r="N298" s="582">
        <f t="shared" si="11"/>
        <v>0</v>
      </c>
      <c r="O298" s="582">
        <v>0</v>
      </c>
      <c r="Q298" s="582" t="s">
        <v>801</v>
      </c>
      <c r="R298" s="582">
        <f t="shared" si="9"/>
        <v>0</v>
      </c>
    </row>
    <row r="299" spans="1:18">
      <c r="A299" s="582" t="s">
        <v>599</v>
      </c>
      <c r="B299" s="582" t="s">
        <v>232</v>
      </c>
      <c r="C299" s="582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7">
        <v>0</v>
      </c>
      <c r="N299" s="582">
        <f t="shared" si="11"/>
        <v>0</v>
      </c>
      <c r="O299" s="582">
        <v>0</v>
      </c>
      <c r="Q299" s="582" t="s">
        <v>801</v>
      </c>
      <c r="R299" s="582">
        <f t="shared" si="9"/>
        <v>0</v>
      </c>
    </row>
    <row r="300" spans="1:18">
      <c r="A300" s="582" t="s">
        <v>599</v>
      </c>
      <c r="B300" s="582" t="s">
        <v>78</v>
      </c>
      <c r="C300" s="582" t="s">
        <v>79</v>
      </c>
      <c r="D300" s="2">
        <v>141</v>
      </c>
      <c r="E300" s="587">
        <v>143</v>
      </c>
      <c r="F300" s="587">
        <v>142</v>
      </c>
      <c r="G300" s="587">
        <v>141</v>
      </c>
      <c r="H300" s="587">
        <v>139</v>
      </c>
      <c r="I300" s="587">
        <v>141</v>
      </c>
      <c r="J300" s="587">
        <v>138</v>
      </c>
      <c r="K300" s="587">
        <v>137</v>
      </c>
      <c r="L300" s="587">
        <v>137</v>
      </c>
      <c r="M300" s="587">
        <v>138</v>
      </c>
      <c r="N300" s="582">
        <f t="shared" si="11"/>
        <v>139.56</v>
      </c>
      <c r="O300" s="582">
        <v>121856.85</v>
      </c>
      <c r="Q300" s="582" t="s">
        <v>621</v>
      </c>
      <c r="R300" s="582">
        <f t="shared" si="9"/>
        <v>1</v>
      </c>
    </row>
    <row r="301" spans="1:18">
      <c r="A301" s="582" t="s">
        <v>605</v>
      </c>
      <c r="B301" s="582" t="s">
        <v>547</v>
      </c>
      <c r="C301" s="582" t="s">
        <v>548</v>
      </c>
      <c r="D301" s="2">
        <v>3422</v>
      </c>
      <c r="E301" s="587">
        <v>4293</v>
      </c>
      <c r="F301" s="587">
        <v>4329</v>
      </c>
      <c r="G301" s="587">
        <v>4405</v>
      </c>
      <c r="H301" s="587">
        <v>4463</v>
      </c>
      <c r="I301" s="587">
        <v>4471</v>
      </c>
      <c r="J301" s="587">
        <v>4567</v>
      </c>
      <c r="K301" s="587">
        <v>4582</v>
      </c>
      <c r="L301" s="587">
        <v>4582</v>
      </c>
      <c r="M301" s="587">
        <v>4583</v>
      </c>
      <c r="N301" s="582">
        <f t="shared" si="11"/>
        <v>4475</v>
      </c>
      <c r="O301" s="582">
        <v>3919814.47</v>
      </c>
      <c r="Q301" s="582" t="s">
        <v>621</v>
      </c>
      <c r="R301" s="582">
        <f t="shared" si="9"/>
        <v>1</v>
      </c>
    </row>
    <row r="302" spans="1:18">
      <c r="A302" s="582" t="s">
        <v>594</v>
      </c>
      <c r="B302" s="582" t="s">
        <v>472</v>
      </c>
      <c r="C302" s="582" t="s">
        <v>619</v>
      </c>
      <c r="D302" s="2">
        <v>51</v>
      </c>
      <c r="E302" s="587">
        <v>86</v>
      </c>
      <c r="F302" s="587">
        <v>85</v>
      </c>
      <c r="G302" s="587">
        <v>86</v>
      </c>
      <c r="H302" s="587">
        <v>86</v>
      </c>
      <c r="I302" s="587">
        <v>83</v>
      </c>
      <c r="J302" s="587">
        <v>87</v>
      </c>
      <c r="K302" s="587">
        <v>89</v>
      </c>
      <c r="L302" s="587">
        <v>89</v>
      </c>
      <c r="M302" s="587">
        <v>90</v>
      </c>
      <c r="N302" s="582">
        <f t="shared" si="11"/>
        <v>86.78</v>
      </c>
      <c r="O302" s="582">
        <v>75111.600000000006</v>
      </c>
      <c r="Q302" s="582" t="s">
        <v>621</v>
      </c>
      <c r="R302" s="582">
        <f t="shared" si="9"/>
        <v>1</v>
      </c>
    </row>
    <row r="303" spans="1:18">
      <c r="A303" s="582" t="s">
        <v>605</v>
      </c>
      <c r="B303" s="582" t="s">
        <v>565</v>
      </c>
      <c r="C303" s="582" t="s">
        <v>566</v>
      </c>
      <c r="D303" s="2">
        <v>129</v>
      </c>
      <c r="E303" s="587">
        <v>129</v>
      </c>
      <c r="F303" s="587">
        <v>133</v>
      </c>
      <c r="G303" s="587">
        <v>128</v>
      </c>
      <c r="H303" s="587">
        <v>125</v>
      </c>
      <c r="I303" s="587">
        <v>128</v>
      </c>
      <c r="J303" s="587">
        <v>127</v>
      </c>
      <c r="K303" s="587">
        <v>127</v>
      </c>
      <c r="L303" s="587">
        <v>128</v>
      </c>
      <c r="M303" s="587">
        <v>128</v>
      </c>
      <c r="N303" s="582">
        <f t="shared" si="11"/>
        <v>128.11000000000001</v>
      </c>
      <c r="O303" s="582">
        <v>112969.28</v>
      </c>
      <c r="Q303" s="582" t="s">
        <v>621</v>
      </c>
      <c r="R303" s="582">
        <f t="shared" si="9"/>
        <v>1</v>
      </c>
    </row>
    <row r="304" spans="1:18">
      <c r="A304" s="582" t="s">
        <v>830</v>
      </c>
      <c r="D304" s="588">
        <f>SUM(D9:D303)</f>
        <v>83598</v>
      </c>
      <c r="E304" s="588">
        <f t="shared" ref="E304:J304" si="12">SUM(E9:E303)</f>
        <v>93825</v>
      </c>
      <c r="F304" s="588">
        <f t="shared" si="12"/>
        <v>94818</v>
      </c>
      <c r="G304" s="588">
        <f t="shared" si="12"/>
        <v>95126</v>
      </c>
      <c r="H304" s="588">
        <f t="shared" si="12"/>
        <v>94889</v>
      </c>
      <c r="I304" s="588">
        <f t="shared" si="12"/>
        <v>95360</v>
      </c>
      <c r="J304" s="588">
        <f t="shared" si="12"/>
        <v>95681</v>
      </c>
      <c r="K304" s="588">
        <f>SUM(K9:K303)</f>
        <v>95871</v>
      </c>
      <c r="L304" s="588">
        <f>SUM(L9:L303)</f>
        <v>96206</v>
      </c>
      <c r="M304" s="588">
        <f>SUM(M9:M303)</f>
        <v>96340</v>
      </c>
      <c r="N304" s="582">
        <f t="shared" si="11"/>
        <v>95346.22</v>
      </c>
      <c r="O304" s="589">
        <f>SUM(O9:O303)</f>
        <v>82461735.480000049</v>
      </c>
      <c r="Q304" s="588"/>
    </row>
    <row r="305" spans="5:13">
      <c r="E305" s="588"/>
      <c r="F305" s="588"/>
      <c r="G305" s="588"/>
      <c r="H305" s="588"/>
      <c r="I305" s="588"/>
      <c r="J305" s="588"/>
      <c r="K305" s="588"/>
      <c r="L305" s="588"/>
      <c r="M305" s="588"/>
    </row>
  </sheetData>
  <pageMargins left="0.5" right="0.5" top="0.75" bottom="0.8" header="0.5" footer="0.5"/>
  <pageSetup scale="51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0F99-DBDC-4C2E-992A-A0B6DDCCC251}">
  <sheetPr>
    <tabColor rgb="FF92D050"/>
  </sheetPr>
  <dimension ref="A1:AK326"/>
  <sheetViews>
    <sheetView zoomScaleNormal="100" workbookViewId="0">
      <selection activeCell="E6" sqref="E6"/>
    </sheetView>
  </sheetViews>
  <sheetFormatPr defaultColWidth="9.140625" defaultRowHeight="12.75"/>
  <cols>
    <col min="1" max="2" width="6.5703125" style="23" customWidth="1"/>
    <col min="3" max="3" width="40.42578125" style="23" bestFit="1" customWidth="1"/>
    <col min="4" max="4" width="11.710937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hidden="1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f>COLUMN(B1)-1</f>
        <v>1</v>
      </c>
      <c r="C1" s="23">
        <f t="shared" ref="C1:AA1" si="0">COLUMN(C1)-1</f>
        <v>2</v>
      </c>
      <c r="D1" s="23">
        <f t="shared" si="0"/>
        <v>3</v>
      </c>
      <c r="E1" s="23">
        <f t="shared" si="0"/>
        <v>4</v>
      </c>
      <c r="F1" s="23">
        <f t="shared" si="0"/>
        <v>5</v>
      </c>
      <c r="G1" s="23">
        <f t="shared" si="0"/>
        <v>6</v>
      </c>
      <c r="H1" s="23">
        <f t="shared" si="0"/>
        <v>7</v>
      </c>
      <c r="I1" s="23">
        <f t="shared" si="0"/>
        <v>8</v>
      </c>
      <c r="J1" s="23">
        <f t="shared" si="0"/>
        <v>9</v>
      </c>
      <c r="K1" s="23">
        <f t="shared" si="0"/>
        <v>10</v>
      </c>
      <c r="L1" s="23">
        <f t="shared" si="0"/>
        <v>11</v>
      </c>
      <c r="M1" s="23">
        <f t="shared" si="0"/>
        <v>12</v>
      </c>
      <c r="N1" s="23">
        <f t="shared" si="0"/>
        <v>13</v>
      </c>
      <c r="O1" s="23">
        <f t="shared" si="0"/>
        <v>14</v>
      </c>
      <c r="P1" s="23">
        <f t="shared" si="0"/>
        <v>15</v>
      </c>
      <c r="Q1" s="23">
        <f t="shared" si="0"/>
        <v>16</v>
      </c>
      <c r="R1" s="23">
        <f t="shared" si="0"/>
        <v>17</v>
      </c>
      <c r="S1" s="23">
        <f t="shared" si="0"/>
        <v>18</v>
      </c>
      <c r="T1" s="23">
        <f t="shared" si="0"/>
        <v>19</v>
      </c>
      <c r="U1" s="23">
        <f t="shared" si="0"/>
        <v>20</v>
      </c>
      <c r="V1" s="23">
        <f t="shared" si="0"/>
        <v>21</v>
      </c>
      <c r="W1" s="23">
        <f t="shared" si="0"/>
        <v>22</v>
      </c>
      <c r="X1" s="23">
        <f t="shared" si="0"/>
        <v>23</v>
      </c>
      <c r="Y1" s="23">
        <f t="shared" si="0"/>
        <v>24</v>
      </c>
      <c r="Z1" s="23">
        <f t="shared" si="0"/>
        <v>25</v>
      </c>
      <c r="AA1" s="23">
        <f t="shared" si="0"/>
        <v>26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f>L7</f>
        <v>178179</v>
      </c>
      <c r="O3" s="87">
        <f>Assumptions!C18</f>
        <v>18429436</v>
      </c>
      <c r="Q3" s="67"/>
      <c r="R3" s="67"/>
      <c r="S3" s="67"/>
      <c r="T3" s="67"/>
      <c r="U3" s="67"/>
      <c r="V3" s="151"/>
      <c r="W3" s="87">
        <f>O3</f>
        <v>18429436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1801</v>
      </c>
    </row>
    <row r="5" spans="1:37" s="257" customFormat="1" ht="15" customHeight="1">
      <c r="A5" s="250"/>
      <c r="B5" s="251" t="s">
        <v>772</v>
      </c>
      <c r="C5" s="251"/>
      <c r="D5" s="252" t="s">
        <v>1800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f>Assumptions!C18</f>
        <v>18429436</v>
      </c>
      <c r="H6" s="133" t="str">
        <f>IF(H8&gt;E6,"Give "&amp;H8-E6&amp;" More",IF(H8&lt;E6,"Take "&amp;E6-H8&amp;" More","Balanced"))</f>
        <v>Take 2 More</v>
      </c>
      <c r="I6" s="68">
        <v>0</v>
      </c>
      <c r="J6" s="73"/>
      <c r="K6" s="220"/>
      <c r="L6" s="87">
        <v>10000</v>
      </c>
      <c r="M6" s="71"/>
      <c r="N6" s="69"/>
      <c r="O6" s="399" t="str">
        <f>IF(O7=O3,"Balanced",IF(O7&gt;O3,"Give "&amp;O7-O3&amp;" More","Take "&amp;O3-O7&amp;" More"))</f>
        <v>Balanced</v>
      </c>
      <c r="Q6" s="67"/>
      <c r="R6" s="67"/>
      <c r="S6" s="67"/>
      <c r="T6" s="67"/>
      <c r="U6" s="399" t="str">
        <f>IF(U8=U7,"Balanced",IF(U8&gt;U7,"Give "&amp;U8-U7&amp;" More","Take "&amp;U7-U8&amp;" More"))</f>
        <v>Balanced</v>
      </c>
      <c r="W6" s="399" t="str">
        <f>IF(W7=W3,"Balanced",IF(W7&gt;W3,"Give "&amp;W7-W3&amp;" More","Take "&amp;W3-W7&amp;" More"))</f>
        <v>Take 705864 More</v>
      </c>
      <c r="AA6" s="27"/>
      <c r="AB6" s="26"/>
    </row>
    <row r="7" spans="1:37">
      <c r="A7" s="46"/>
      <c r="B7" s="47"/>
      <c r="C7" s="47" t="s">
        <v>620</v>
      </c>
      <c r="D7" s="67">
        <f>D326</f>
        <v>133289.86000000002</v>
      </c>
      <c r="E7" s="88">
        <f>+E6/D7</f>
        <v>138.26585158090793</v>
      </c>
      <c r="F7" s="72">
        <f>F323</f>
        <v>0</v>
      </c>
      <c r="G7" s="72">
        <f>G323</f>
        <v>0</v>
      </c>
      <c r="H7" s="161">
        <f>H326</f>
        <v>18429434</v>
      </c>
      <c r="I7" s="73">
        <f>I323</f>
        <v>0</v>
      </c>
      <c r="J7" s="73">
        <f>J326</f>
        <v>18429434</v>
      </c>
      <c r="K7" s="72"/>
      <c r="L7" s="88">
        <f>L326</f>
        <v>178179</v>
      </c>
      <c r="M7" s="67">
        <f>M326</f>
        <v>132001.20000000001</v>
      </c>
      <c r="N7" s="88">
        <f>N323</f>
        <v>6290</v>
      </c>
      <c r="O7" s="88">
        <f>O326</f>
        <v>18429436</v>
      </c>
      <c r="P7" s="677"/>
      <c r="Q7" s="88">
        <f>Q323</f>
        <v>0</v>
      </c>
      <c r="R7" s="88">
        <f>Assumptions!G17</f>
        <v>0</v>
      </c>
      <c r="S7" s="88"/>
      <c r="T7" s="88">
        <f>SUM(T8:T318)</f>
        <v>0</v>
      </c>
      <c r="U7" s="88">
        <f>O7+R7</f>
        <v>18429436</v>
      </c>
      <c r="W7" s="88">
        <f>W326</f>
        <v>17723572</v>
      </c>
      <c r="X7" s="91">
        <f>SUM(X9:X325)</f>
        <v>17723576</v>
      </c>
      <c r="Y7" s="163">
        <f>O7-X7</f>
        <v>705860</v>
      </c>
      <c r="Z7" s="166">
        <f>(Assumptions!G21-Assumptions!H21)/Assumptions!H21</f>
        <v>8.0242083925373714E-2</v>
      </c>
      <c r="AA7" s="27">
        <f>COUNTIF(AA9:AA325,"C")</f>
        <v>29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f t="shared" ref="D8:J8" si="1">SUM(D9:D325)</f>
        <v>133289.86000000002</v>
      </c>
      <c r="E8" s="529">
        <f t="shared" si="1"/>
        <v>18429434</v>
      </c>
      <c r="F8" s="529">
        <f t="shared" si="1"/>
        <v>0</v>
      </c>
      <c r="G8" s="529">
        <f t="shared" si="1"/>
        <v>0</v>
      </c>
      <c r="H8" s="529">
        <f t="shared" si="1"/>
        <v>18429434</v>
      </c>
      <c r="I8" s="529">
        <f t="shared" si="1"/>
        <v>0</v>
      </c>
      <c r="J8" s="529">
        <f t="shared" si="1"/>
        <v>18429434</v>
      </c>
      <c r="K8" s="529"/>
      <c r="L8" s="529">
        <f>SUM(L9:L325)</f>
        <v>178179</v>
      </c>
      <c r="M8" s="529">
        <f>SUM(M9:M325)</f>
        <v>132001.20000000001</v>
      </c>
      <c r="N8" s="529">
        <f>SUM(N9:N325)</f>
        <v>178179</v>
      </c>
      <c r="O8" s="529">
        <f>SUM(O9:O325)</f>
        <v>18429436</v>
      </c>
      <c r="P8" s="529"/>
      <c r="Q8" s="529">
        <f>SUM(Q9:Q325)</f>
        <v>0</v>
      </c>
      <c r="R8" s="529">
        <f>SUM(R9:R325)</f>
        <v>0</v>
      </c>
      <c r="S8" s="529"/>
      <c r="T8" s="529"/>
      <c r="U8" s="529">
        <f>SUM(U9:U325)</f>
        <v>18429436</v>
      </c>
      <c r="V8" s="531"/>
      <c r="W8" s="529">
        <f>SUM(W9:W325)</f>
        <v>17723572</v>
      </c>
      <c r="X8" s="533"/>
      <c r="Y8" s="533"/>
      <c r="AA8" s="535"/>
      <c r="AC8" s="536">
        <f>SUMIF(K9:K322,"c",U9:U322)</f>
        <v>997182</v>
      </c>
    </row>
    <row r="9" spans="1:37">
      <c r="A9" s="64" t="s">
        <v>594</v>
      </c>
      <c r="B9" s="784" t="s">
        <v>132</v>
      </c>
      <c r="C9" s="784" t="s">
        <v>1429</v>
      </c>
      <c r="D9" s="134">
        <f>VLOOKUP(B9,'Enrollment 22-23'!$B:$I,8,FALSE)</f>
        <v>453.5</v>
      </c>
      <c r="E9" s="67">
        <f>ROUND($D9/$D$7*$E$6,0)</f>
        <v>62704</v>
      </c>
      <c r="F9" s="146">
        <v>0</v>
      </c>
      <c r="G9" s="146">
        <v>0</v>
      </c>
      <c r="H9" s="91">
        <f>SUM(E9:G9)</f>
        <v>62704</v>
      </c>
      <c r="I9" s="67">
        <f>ROUND($D9/$D$7*$I$6,0)</f>
        <v>0</v>
      </c>
      <c r="J9" s="739">
        <f>+H9+I9</f>
        <v>62704</v>
      </c>
      <c r="K9" s="837" t="str">
        <f>_xlfn.IFNA(VLOOKUP(B9,'[2]22-23 Survey Results'!$A:$F,6,FALSE),0)</f>
        <v>Y</v>
      </c>
      <c r="L9" s="740">
        <f>IF(OR(K9="N",K9="NR",AND(J9&lt;$L$6,K9&lt;&gt;"C")),J9,0)</f>
        <v>0</v>
      </c>
      <c r="M9" s="741">
        <f>IF(L9=0,D9,0)</f>
        <v>453.5</v>
      </c>
      <c r="N9" s="67">
        <f>ROUND(M9/$M$7*$L$3,0)</f>
        <v>612</v>
      </c>
      <c r="O9" s="67">
        <f>J9-L9+N9</f>
        <v>63316</v>
      </c>
      <c r="Q9" s="674">
        <f>-ROUND(IF(P9&gt;0,O9*(0.9-P9),0),0)</f>
        <v>0</v>
      </c>
      <c r="R9" s="674" t="str">
        <f>IF($R$7=0,"Not Applicable",T9*($R$7/$T$7))</f>
        <v>Not Applicable</v>
      </c>
      <c r="S9" s="798" t="str">
        <f>IF($R$7=0,"",IFERROR(VLOOKUP(B9,[3]Sheet1!$C$1:$P$65536,14,FALSE),"NA"))</f>
        <v/>
      </c>
      <c r="T9" s="798">
        <f>IF(O9=0,0,IF(S9="N",0,VLOOKUP(B9,Enrollment!B:J,9,FALSE)))</f>
        <v>0</v>
      </c>
      <c r="U9" s="88">
        <f>IF(ISNUMBER(R9),O9+R9,O9)</f>
        <v>63316</v>
      </c>
      <c r="V9" s="71">
        <f>IF(M9=0,0,O9/M9)</f>
        <v>139.61631753031975</v>
      </c>
      <c r="W9" s="449">
        <v>60194</v>
      </c>
      <c r="X9" s="67">
        <f>IFERROR(VLOOKUP($B9,'Allocation 2021-22'!$B:$O,14,FALSE),0)</f>
        <v>59966</v>
      </c>
      <c r="Y9" s="163">
        <f>O9-X9</f>
        <v>3350</v>
      </c>
      <c r="Z9" s="166">
        <f>IFERROR(IF(X9&gt;0,Y9/X9,0),0)</f>
        <v>5.5864990161091282E-2</v>
      </c>
      <c r="AA9" s="34" t="str">
        <f t="shared" ref="AA9:AA72" si="2">IF(ISERROR(VLOOKUP(B9,$AC$9:$AC$38,2,0)),K9,"C")</f>
        <v>Y</v>
      </c>
      <c r="AC9" s="880" t="s">
        <v>6</v>
      </c>
      <c r="AD9" s="880" t="s">
        <v>1371</v>
      </c>
      <c r="AE9" s="452"/>
    </row>
    <row r="10" spans="1:37">
      <c r="A10" s="64" t="s">
        <v>594</v>
      </c>
      <c r="B10" s="784" t="s">
        <v>262</v>
      </c>
      <c r="C10" s="784" t="s">
        <v>1485</v>
      </c>
      <c r="D10" s="134">
        <f>VLOOKUP(B10,'Enrollment 22-23'!$B:$I,8,FALSE)</f>
        <v>0</v>
      </c>
      <c r="E10" s="67">
        <f t="shared" ref="E10:E73" si="3">ROUND($D10/$D$7*$E$6,0)</f>
        <v>0</v>
      </c>
      <c r="F10" s="146">
        <v>0</v>
      </c>
      <c r="G10" s="146">
        <v>0</v>
      </c>
      <c r="H10" s="91">
        <f t="shared" ref="H10:H73" si="4">SUM(E10:G10)</f>
        <v>0</v>
      </c>
      <c r="I10" s="67">
        <f t="shared" ref="I10:I73" si="5">ROUND($D10/$D$7*$I$6,0)</f>
        <v>0</v>
      </c>
      <c r="J10" s="739">
        <f t="shared" ref="J10:J73" si="6">+H10+I10</f>
        <v>0</v>
      </c>
      <c r="K10" s="837">
        <f>_xlfn.IFNA(VLOOKUP(B10,'[2]22-23 Survey Results'!$A:$F,6,FALSE),0)</f>
        <v>0</v>
      </c>
      <c r="L10" s="740">
        <f t="shared" ref="L10:L73" si="7">IF(OR(K10="N",K10="NR",AND(J10&lt;$L$6,K10&lt;&gt;"C")),J10,0)</f>
        <v>0</v>
      </c>
      <c r="M10" s="741">
        <f t="shared" ref="M10:M73" si="8">IF(L10=0,D10,0)</f>
        <v>0</v>
      </c>
      <c r="N10" s="67">
        <f t="shared" ref="N10:N73" si="9">ROUND(M10/$M$7*$L$3,0)</f>
        <v>0</v>
      </c>
      <c r="O10" s="67">
        <f t="shared" ref="O10:O73" si="10">J10-L10+N10</f>
        <v>0</v>
      </c>
      <c r="Q10" s="674">
        <f t="shared" ref="Q10:Q73" si="11">-ROUND(IF(P10&gt;0,O10*(0.9-P10),0),0)</f>
        <v>0</v>
      </c>
      <c r="R10" s="674" t="str">
        <f t="shared" ref="R10:R73" si="12">IF($R$7=0,"Not Applicable",T10*($R$7/$T$7))</f>
        <v>Not Applicable</v>
      </c>
      <c r="S10" s="798" t="str">
        <f>IF($R$7=0,"",IFERROR(VLOOKUP(B10,[3]Sheet1!$C$1:$P$65536,14,FALSE),"NA"))</f>
        <v/>
      </c>
      <c r="T10" s="798">
        <f>IF(O10=0,0,IF(S10="N",0,VLOOKUP(B10,Enrollment!B:J,9,FALSE)))</f>
        <v>0</v>
      </c>
      <c r="U10" s="88">
        <f t="shared" ref="U10:U73" si="13">IF(ISNUMBER(R10),O10+R10,O10)</f>
        <v>0</v>
      </c>
      <c r="V10" s="71">
        <f t="shared" ref="V10:V73" si="14">IF(M10=0,0,O10/M10)</f>
        <v>0</v>
      </c>
      <c r="W10" s="449">
        <v>0</v>
      </c>
      <c r="X10" s="67">
        <f>IFERROR(VLOOKUP($B10,'Allocation 2021-22'!$B:$O,14,FALSE),0)</f>
        <v>0</v>
      </c>
      <c r="Y10" s="163">
        <f t="shared" ref="Y10:Y73" si="15">O10-X10</f>
        <v>0</v>
      </c>
      <c r="Z10" s="166">
        <f t="shared" ref="Z10:Z73" si="16">IFERROR(IF(X10&gt;0,Y10/X10,0),0)</f>
        <v>0</v>
      </c>
      <c r="AA10" s="34">
        <f t="shared" si="2"/>
        <v>0</v>
      </c>
      <c r="AC10" s="880" t="s">
        <v>16</v>
      </c>
      <c r="AD10" s="880" t="s">
        <v>1375</v>
      </c>
      <c r="AE10" s="452"/>
      <c r="AH10" s="45"/>
      <c r="AI10" s="45"/>
    </row>
    <row r="11" spans="1:37">
      <c r="A11" s="64" t="s">
        <v>603</v>
      </c>
      <c r="B11" s="784" t="s">
        <v>283</v>
      </c>
      <c r="C11" s="784" t="s">
        <v>1495</v>
      </c>
      <c r="D11" s="134">
        <f>VLOOKUP(B11,'Enrollment 22-23'!$B:$I,8,FALSE)</f>
        <v>0</v>
      </c>
      <c r="E11" s="67">
        <f t="shared" si="3"/>
        <v>0</v>
      </c>
      <c r="F11" s="146">
        <v>0</v>
      </c>
      <c r="G11" s="146">
        <v>0</v>
      </c>
      <c r="H11" s="91">
        <f t="shared" si="4"/>
        <v>0</v>
      </c>
      <c r="I11" s="67">
        <f t="shared" si="5"/>
        <v>0</v>
      </c>
      <c r="J11" s="739">
        <f t="shared" si="6"/>
        <v>0</v>
      </c>
      <c r="K11" s="837">
        <f>_xlfn.IFNA(VLOOKUP(B11,'[2]22-23 Survey Results'!$A:$F,6,FALSE),0)</f>
        <v>0</v>
      </c>
      <c r="L11" s="740">
        <f t="shared" si="7"/>
        <v>0</v>
      </c>
      <c r="M11" s="741">
        <f t="shared" si="8"/>
        <v>0</v>
      </c>
      <c r="N11" s="67">
        <f t="shared" si="9"/>
        <v>0</v>
      </c>
      <c r="O11" s="67">
        <f t="shared" si="10"/>
        <v>0</v>
      </c>
      <c r="Q11" s="674">
        <f t="shared" si="11"/>
        <v>0</v>
      </c>
      <c r="R11" s="674" t="str">
        <f t="shared" si="12"/>
        <v>Not Applicable</v>
      </c>
      <c r="S11" s="798" t="str">
        <f>IF($R$7=0,"",IFERROR(VLOOKUP(B11,[3]Sheet1!$C$1:$P$65536,14,FALSE),"NA"))</f>
        <v/>
      </c>
      <c r="T11" s="798">
        <f>IF(O11=0,0,IF(S11="N",0,VLOOKUP(B11,Enrollment!B:J,9,FALSE)))</f>
        <v>0</v>
      </c>
      <c r="U11" s="88">
        <f t="shared" si="13"/>
        <v>0</v>
      </c>
      <c r="V11" s="71">
        <f t="shared" si="14"/>
        <v>0</v>
      </c>
      <c r="W11" s="449">
        <v>0</v>
      </c>
      <c r="X11" s="67">
        <f>IFERROR(VLOOKUP($B11,'Allocation 2021-22'!$B:$O,14,FALSE),0)</f>
        <v>0</v>
      </c>
      <c r="Y11" s="163">
        <f t="shared" si="15"/>
        <v>0</v>
      </c>
      <c r="Z11" s="166">
        <f t="shared" si="16"/>
        <v>0</v>
      </c>
      <c r="AA11" s="34">
        <f t="shared" si="2"/>
        <v>0</v>
      </c>
      <c r="AC11" s="880" t="s">
        <v>51</v>
      </c>
      <c r="AD11" s="880" t="s">
        <v>1391</v>
      </c>
      <c r="AE11" s="452"/>
      <c r="AH11" s="36"/>
      <c r="AI11" s="36"/>
      <c r="AJ11" s="36"/>
      <c r="AK11" s="19"/>
    </row>
    <row r="12" spans="1:37" s="112" customFormat="1">
      <c r="A12" s="64" t="s">
        <v>595</v>
      </c>
      <c r="B12" s="785" t="s">
        <v>380</v>
      </c>
      <c r="C12" s="784" t="s">
        <v>1541</v>
      </c>
      <c r="D12" s="134">
        <f>VLOOKUP(B12,'Enrollment 22-23'!$B:$I,8,FALSE)</f>
        <v>48</v>
      </c>
      <c r="E12" s="67">
        <f t="shared" si="3"/>
        <v>6637</v>
      </c>
      <c r="F12" s="146">
        <v>0</v>
      </c>
      <c r="G12" s="146">
        <v>0</v>
      </c>
      <c r="H12" s="91">
        <f t="shared" si="4"/>
        <v>6637</v>
      </c>
      <c r="I12" s="67">
        <f t="shared" si="5"/>
        <v>0</v>
      </c>
      <c r="J12" s="739">
        <f t="shared" si="6"/>
        <v>6637</v>
      </c>
      <c r="K12" s="837" t="str">
        <f>_xlfn.IFNA(VLOOKUP(B12,'[2]22-23 Survey Results'!$A:$F,6,FALSE),0)</f>
        <v>N</v>
      </c>
      <c r="L12" s="740">
        <f t="shared" si="7"/>
        <v>6637</v>
      </c>
      <c r="M12" s="741">
        <f t="shared" si="8"/>
        <v>0</v>
      </c>
      <c r="N12" s="67">
        <f t="shared" si="9"/>
        <v>0</v>
      </c>
      <c r="O12" s="67">
        <f t="shared" si="10"/>
        <v>0</v>
      </c>
      <c r="P12" s="674"/>
      <c r="Q12" s="674">
        <f t="shared" si="11"/>
        <v>0</v>
      </c>
      <c r="R12" s="674" t="str">
        <f t="shared" si="12"/>
        <v>Not Applicable</v>
      </c>
      <c r="S12" s="798" t="str">
        <f>IF($R$7=0,"",IFERROR(VLOOKUP(B12,[3]Sheet1!$C$1:$P$65536,14,FALSE),"NA"))</f>
        <v/>
      </c>
      <c r="T12" s="798">
        <f>IF(O12=0,0,IF(S12="N",0,VLOOKUP(B12,Enrollment!B:J,9,FALSE)))</f>
        <v>0</v>
      </c>
      <c r="U12" s="88">
        <f t="shared" si="13"/>
        <v>0</v>
      </c>
      <c r="V12" s="71">
        <f t="shared" si="14"/>
        <v>0</v>
      </c>
      <c r="W12" s="449">
        <v>0</v>
      </c>
      <c r="X12" s="67">
        <f>IFERROR(VLOOKUP($B12,'Allocation 2021-22'!$B:$O,14,FALSE),0)</f>
        <v>0</v>
      </c>
      <c r="Y12" s="163">
        <f t="shared" si="15"/>
        <v>0</v>
      </c>
      <c r="Z12" s="166">
        <f t="shared" si="16"/>
        <v>0</v>
      </c>
      <c r="AA12" s="34" t="str">
        <f t="shared" si="2"/>
        <v>N</v>
      </c>
      <c r="AC12" s="880" t="s">
        <v>82</v>
      </c>
      <c r="AD12" s="880" t="s">
        <v>1405</v>
      </c>
      <c r="AE12" s="452"/>
      <c r="AI12"/>
      <c r="AJ12"/>
    </row>
    <row r="13" spans="1:37">
      <c r="A13" s="64" t="s">
        <v>595</v>
      </c>
      <c r="B13" s="784" t="s">
        <v>403</v>
      </c>
      <c r="C13" s="784" t="s">
        <v>1552</v>
      </c>
      <c r="D13" s="134">
        <f>VLOOKUP(B13,'Enrollment 22-23'!$B:$I,8,FALSE)</f>
        <v>279.5</v>
      </c>
      <c r="E13" s="67">
        <f t="shared" si="3"/>
        <v>38645</v>
      </c>
      <c r="F13" s="146">
        <v>0</v>
      </c>
      <c r="G13" s="146">
        <v>0</v>
      </c>
      <c r="H13" s="91">
        <f t="shared" si="4"/>
        <v>38645</v>
      </c>
      <c r="I13" s="67">
        <f t="shared" si="5"/>
        <v>0</v>
      </c>
      <c r="J13" s="739">
        <f t="shared" si="6"/>
        <v>38645</v>
      </c>
      <c r="K13" s="837" t="str">
        <f>_xlfn.IFNA(VLOOKUP(B13,'[2]22-23 Survey Results'!$A:$F,6,FALSE),0)</f>
        <v>Y</v>
      </c>
      <c r="L13" s="740">
        <f t="shared" si="7"/>
        <v>0</v>
      </c>
      <c r="M13" s="741">
        <f t="shared" si="8"/>
        <v>279.5</v>
      </c>
      <c r="N13" s="67">
        <f t="shared" si="9"/>
        <v>377</v>
      </c>
      <c r="O13" s="67">
        <f t="shared" si="10"/>
        <v>39022</v>
      </c>
      <c r="Q13" s="674">
        <f t="shared" si="11"/>
        <v>0</v>
      </c>
      <c r="R13" s="674" t="str">
        <f t="shared" si="12"/>
        <v>Not Applicable</v>
      </c>
      <c r="S13" s="798" t="str">
        <f>IF($R$7=0,"",IFERROR(VLOOKUP(B13,[3]Sheet1!$C$1:$P$65536,14,FALSE),"NA"))</f>
        <v/>
      </c>
      <c r="T13" s="798">
        <f>IF(O13=0,0,IF(S13="N",0,VLOOKUP(B13,Enrollment!B:J,9,FALSE)))</f>
        <v>0</v>
      </c>
      <c r="U13" s="88">
        <f t="shared" si="13"/>
        <v>39022</v>
      </c>
      <c r="V13" s="71">
        <f t="shared" si="14"/>
        <v>139.61359570661895</v>
      </c>
      <c r="W13" s="449">
        <v>38124</v>
      </c>
      <c r="X13" s="67">
        <f>IFERROR(VLOOKUP($B13,'Allocation 2021-22'!$B:$O,14,FALSE),0)</f>
        <v>37980</v>
      </c>
      <c r="Y13" s="163">
        <f t="shared" si="15"/>
        <v>1042</v>
      </c>
      <c r="Z13" s="166">
        <f t="shared" si="16"/>
        <v>2.7435492364402316E-2</v>
      </c>
      <c r="AA13" s="34" t="str">
        <f t="shared" si="2"/>
        <v>Y</v>
      </c>
      <c r="AC13" s="880" t="s">
        <v>112</v>
      </c>
      <c r="AD13" s="880" t="s">
        <v>1420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12</v>
      </c>
      <c r="C14" s="784" t="s">
        <v>1374</v>
      </c>
      <c r="D14" s="134">
        <f>VLOOKUP(B14,'Enrollment 22-23'!$B:$I,8,FALSE)</f>
        <v>0</v>
      </c>
      <c r="E14" s="67">
        <f t="shared" si="3"/>
        <v>0</v>
      </c>
      <c r="F14" s="146">
        <v>0</v>
      </c>
      <c r="G14" s="146">
        <v>0</v>
      </c>
      <c r="H14" s="91">
        <f t="shared" si="4"/>
        <v>0</v>
      </c>
      <c r="I14" s="67">
        <f t="shared" si="5"/>
        <v>0</v>
      </c>
      <c r="J14" s="739">
        <f t="shared" si="6"/>
        <v>0</v>
      </c>
      <c r="K14" s="837">
        <f>_xlfn.IFNA(VLOOKUP(B14,'[2]22-23 Survey Results'!$A:$F,6,FALSE),0)</f>
        <v>0</v>
      </c>
      <c r="L14" s="740">
        <f t="shared" si="7"/>
        <v>0</v>
      </c>
      <c r="M14" s="741">
        <f t="shared" si="8"/>
        <v>0</v>
      </c>
      <c r="N14" s="67">
        <f t="shared" si="9"/>
        <v>0</v>
      </c>
      <c r="O14" s="67">
        <f t="shared" si="10"/>
        <v>0</v>
      </c>
      <c r="Q14" s="674">
        <f t="shared" si="11"/>
        <v>0</v>
      </c>
      <c r="R14" s="674" t="str">
        <f t="shared" si="12"/>
        <v>Not Applicable</v>
      </c>
      <c r="S14" s="798" t="str">
        <f>IF($R$7=0,"",IFERROR(VLOOKUP(B14,[3]Sheet1!$C$1:$P$65536,14,FALSE),"NA"))</f>
        <v/>
      </c>
      <c r="T14" s="798">
        <f>IF(O14=0,0,IF(S14="N",0,VLOOKUP(B14,Enrollment!B:J,9,FALSE)))</f>
        <v>0</v>
      </c>
      <c r="U14" s="88">
        <f t="shared" si="13"/>
        <v>0</v>
      </c>
      <c r="V14" s="71">
        <f t="shared" si="14"/>
        <v>0</v>
      </c>
      <c r="W14" s="449">
        <v>0</v>
      </c>
      <c r="X14" s="67">
        <f>IFERROR(VLOOKUP($B14,'Allocation 2021-22'!$B:$O,14,FALSE),0)</f>
        <v>0</v>
      </c>
      <c r="Y14" s="163">
        <f t="shared" si="15"/>
        <v>0</v>
      </c>
      <c r="Z14" s="166">
        <f t="shared" si="16"/>
        <v>0</v>
      </c>
      <c r="AA14" s="34">
        <f t="shared" si="2"/>
        <v>0</v>
      </c>
      <c r="AC14" s="880" t="s">
        <v>145</v>
      </c>
      <c r="AD14" s="880" t="s">
        <v>607</v>
      </c>
      <c r="AE14" s="452"/>
      <c r="AH14" s="36"/>
      <c r="AI14" s="36"/>
      <c r="AJ14" s="36"/>
      <c r="AK14" s="19"/>
    </row>
    <row r="15" spans="1:37">
      <c r="A15" s="64" t="s">
        <v>597</v>
      </c>
      <c r="B15" s="784" t="s">
        <v>195</v>
      </c>
      <c r="C15" s="784" t="s">
        <v>1362</v>
      </c>
      <c r="D15" s="134">
        <f>VLOOKUP(B15,'Enrollment 22-23'!$B:$I,8,FALSE)</f>
        <v>4075.67</v>
      </c>
      <c r="E15" s="67">
        <f t="shared" si="3"/>
        <v>563526</v>
      </c>
      <c r="F15" s="146">
        <v>0</v>
      </c>
      <c r="G15" s="146">
        <v>0</v>
      </c>
      <c r="H15" s="91">
        <f t="shared" si="4"/>
        <v>563526</v>
      </c>
      <c r="I15" s="67">
        <f t="shared" si="5"/>
        <v>0</v>
      </c>
      <c r="J15" s="739">
        <f t="shared" si="6"/>
        <v>563526</v>
      </c>
      <c r="K15" s="837" t="str">
        <f>_xlfn.IFNA(VLOOKUP(B15,'[2]22-23 Survey Results'!$A:$F,6,FALSE),0)</f>
        <v>C</v>
      </c>
      <c r="L15" s="740">
        <f t="shared" si="7"/>
        <v>0</v>
      </c>
      <c r="M15" s="741">
        <f t="shared" si="8"/>
        <v>4075.67</v>
      </c>
      <c r="N15" s="67">
        <f t="shared" si="9"/>
        <v>5501</v>
      </c>
      <c r="O15" s="67">
        <f t="shared" si="10"/>
        <v>569027</v>
      </c>
      <c r="Q15" s="674">
        <f t="shared" si="11"/>
        <v>0</v>
      </c>
      <c r="R15" s="674" t="str">
        <f t="shared" si="12"/>
        <v>Not Applicable</v>
      </c>
      <c r="S15" s="798" t="str">
        <f>IF($R$7=0,"",IFERROR(VLOOKUP(B15,[3]Sheet1!$C$1:$P$65536,14,FALSE),"NA"))</f>
        <v/>
      </c>
      <c r="T15" s="798">
        <f>IF(O15=0,0,IF(S15="N",0,VLOOKUP(B15,Enrollment!B:J,9,FALSE)))</f>
        <v>0</v>
      </c>
      <c r="U15" s="88">
        <f t="shared" si="13"/>
        <v>569027</v>
      </c>
      <c r="V15" s="71">
        <f t="shared" si="14"/>
        <v>139.61557240895362</v>
      </c>
      <c r="W15" s="449">
        <v>506332</v>
      </c>
      <c r="X15" s="67">
        <f>IFERROR(VLOOKUP($B15,'Allocation 2021-22'!$B:$O,14,FALSE),0)</f>
        <v>504425</v>
      </c>
      <c r="Y15" s="163">
        <f t="shared" si="15"/>
        <v>64602</v>
      </c>
      <c r="Z15" s="166">
        <f t="shared" si="16"/>
        <v>0.12807057540764236</v>
      </c>
      <c r="AA15" s="34" t="str">
        <f t="shared" si="2"/>
        <v>C</v>
      </c>
      <c r="AC15" s="880" t="s">
        <v>153</v>
      </c>
      <c r="AD15" s="880" t="s">
        <v>1438</v>
      </c>
      <c r="AE15" s="452"/>
      <c r="AH15" s="36"/>
      <c r="AI15" s="36"/>
      <c r="AJ15" s="36"/>
      <c r="AK15" s="19"/>
    </row>
    <row r="16" spans="1:37">
      <c r="A16" s="64" t="s">
        <v>597</v>
      </c>
      <c r="B16" s="784" t="s">
        <v>213</v>
      </c>
      <c r="C16" s="784" t="s">
        <v>1463</v>
      </c>
      <c r="D16" s="134">
        <f>VLOOKUP(B16,'Enrollment 22-23'!$B:$I,8,FALSE)</f>
        <v>39.5</v>
      </c>
      <c r="E16" s="67">
        <f t="shared" si="3"/>
        <v>5462</v>
      </c>
      <c r="F16" s="146">
        <v>0</v>
      </c>
      <c r="G16" s="146">
        <v>0</v>
      </c>
      <c r="H16" s="91">
        <f t="shared" si="4"/>
        <v>5462</v>
      </c>
      <c r="I16" s="67">
        <f t="shared" si="5"/>
        <v>0</v>
      </c>
      <c r="J16" s="739">
        <f t="shared" si="6"/>
        <v>5462</v>
      </c>
      <c r="K16" s="837" t="str">
        <f>_xlfn.IFNA(VLOOKUP(B16,'[2]22-23 Survey Results'!$A:$F,6,FALSE),0)</f>
        <v>N</v>
      </c>
      <c r="L16" s="740">
        <f t="shared" si="7"/>
        <v>5462</v>
      </c>
      <c r="M16" s="741">
        <f t="shared" si="8"/>
        <v>0</v>
      </c>
      <c r="N16" s="67">
        <f t="shared" si="9"/>
        <v>0</v>
      </c>
      <c r="O16" s="67">
        <f t="shared" si="10"/>
        <v>0</v>
      </c>
      <c r="Q16" s="674">
        <f t="shared" si="11"/>
        <v>0</v>
      </c>
      <c r="R16" s="674" t="str">
        <f t="shared" si="12"/>
        <v>Not Applicable</v>
      </c>
      <c r="S16" s="798" t="str">
        <f>IF($R$7=0,"",IFERROR(VLOOKUP(B16,[3]Sheet1!$C$1:$P$65536,14,FALSE),"NA"))</f>
        <v/>
      </c>
      <c r="T16" s="798">
        <f>IF(O16=0,0,IF(S16="N",0,VLOOKUP(B16,Enrollment!B:J,9,FALSE)))</f>
        <v>0</v>
      </c>
      <c r="U16" s="88">
        <f t="shared" si="13"/>
        <v>0</v>
      </c>
      <c r="V16" s="71">
        <f t="shared" si="14"/>
        <v>0</v>
      </c>
      <c r="W16" s="449">
        <v>0</v>
      </c>
      <c r="X16" s="67">
        <f>IFERROR(VLOOKUP($B16,'Allocation 2021-22'!$B:$O,14,FALSE),0)</f>
        <v>0</v>
      </c>
      <c r="Y16" s="163">
        <f t="shared" si="15"/>
        <v>0</v>
      </c>
      <c r="Z16" s="166">
        <f t="shared" si="16"/>
        <v>0</v>
      </c>
      <c r="AA16" s="34" t="str">
        <f t="shared" si="2"/>
        <v>N</v>
      </c>
      <c r="AC16" s="880" t="s">
        <v>155</v>
      </c>
      <c r="AD16" s="880" t="s">
        <v>1439</v>
      </c>
      <c r="AE16" s="452"/>
      <c r="AH16" s="36"/>
      <c r="AI16" s="36"/>
      <c r="AJ16" s="36"/>
      <c r="AK16" s="19"/>
    </row>
    <row r="17" spans="1:37">
      <c r="A17" s="64" t="s">
        <v>599</v>
      </c>
      <c r="B17" s="784" t="s">
        <v>62</v>
      </c>
      <c r="C17" s="784" t="s">
        <v>1396</v>
      </c>
      <c r="D17" s="134">
        <f>VLOOKUP(B17,'Enrollment 22-23'!$B:$I,8,FALSE)</f>
        <v>810.99</v>
      </c>
      <c r="E17" s="67">
        <f t="shared" si="3"/>
        <v>112132</v>
      </c>
      <c r="F17" s="146">
        <v>0</v>
      </c>
      <c r="G17" s="146">
        <v>0</v>
      </c>
      <c r="H17" s="91">
        <f t="shared" si="4"/>
        <v>112132</v>
      </c>
      <c r="I17" s="67">
        <f t="shared" si="5"/>
        <v>0</v>
      </c>
      <c r="J17" s="739">
        <f t="shared" si="6"/>
        <v>112132</v>
      </c>
      <c r="K17" s="837" t="str">
        <f>_xlfn.IFNA(VLOOKUP(B17,'[2]22-23 Survey Results'!$A:$F,6,FALSE),0)</f>
        <v>Y</v>
      </c>
      <c r="L17" s="740">
        <f t="shared" si="7"/>
        <v>0</v>
      </c>
      <c r="M17" s="741">
        <f t="shared" si="8"/>
        <v>810.99</v>
      </c>
      <c r="N17" s="67">
        <f t="shared" si="9"/>
        <v>1095</v>
      </c>
      <c r="O17" s="67">
        <f t="shared" si="10"/>
        <v>113227</v>
      </c>
      <c r="Q17" s="674">
        <f t="shared" si="11"/>
        <v>0</v>
      </c>
      <c r="R17" s="674" t="str">
        <f t="shared" si="12"/>
        <v>Not Applicable</v>
      </c>
      <c r="S17" s="798" t="str">
        <f>IF($R$7=0,"",IFERROR(VLOOKUP(B17,[3]Sheet1!$C$1:$P$65536,14,FALSE),"NA"))</f>
        <v/>
      </c>
      <c r="T17" s="798">
        <f>IF(O17=0,0,IF(S17="N",0,VLOOKUP(B17,Enrollment!B:J,9,FALSE)))</f>
        <v>0</v>
      </c>
      <c r="U17" s="88">
        <f t="shared" si="13"/>
        <v>113227</v>
      </c>
      <c r="V17" s="71">
        <f t="shared" si="14"/>
        <v>139.61577824634088</v>
      </c>
      <c r="W17" s="449">
        <v>112258</v>
      </c>
      <c r="X17" s="67">
        <f>IFERROR(VLOOKUP($B17,'Allocation 2021-22'!$B:$O,14,FALSE),0)</f>
        <v>110326</v>
      </c>
      <c r="Y17" s="163">
        <f t="shared" si="15"/>
        <v>2901</v>
      </c>
      <c r="Z17" s="166">
        <f t="shared" si="16"/>
        <v>2.6294799050087921E-2</v>
      </c>
      <c r="AA17" s="34" t="str">
        <f t="shared" si="2"/>
        <v>Y</v>
      </c>
      <c r="AC17" s="880" t="s">
        <v>1720</v>
      </c>
      <c r="AD17" s="880" t="s">
        <v>1789</v>
      </c>
      <c r="AE17" s="452"/>
      <c r="AH17" s="36"/>
      <c r="AI17" s="36"/>
      <c r="AJ17" s="36"/>
      <c r="AK17" s="19"/>
    </row>
    <row r="18" spans="1:37">
      <c r="A18" s="64" t="s">
        <v>597</v>
      </c>
      <c r="B18" s="784" t="s">
        <v>189</v>
      </c>
      <c r="C18" s="784" t="s">
        <v>1455</v>
      </c>
      <c r="D18" s="134">
        <f>VLOOKUP(B18,'Enrollment 22-23'!$B:$I,8,FALSE)</f>
        <v>3020.33</v>
      </c>
      <c r="E18" s="67">
        <f t="shared" si="3"/>
        <v>417608</v>
      </c>
      <c r="F18" s="146">
        <v>0</v>
      </c>
      <c r="G18" s="146">
        <v>0</v>
      </c>
      <c r="H18" s="91">
        <f t="shared" si="4"/>
        <v>417608</v>
      </c>
      <c r="I18" s="67">
        <f t="shared" si="5"/>
        <v>0</v>
      </c>
      <c r="J18" s="739">
        <f t="shared" si="6"/>
        <v>417608</v>
      </c>
      <c r="K18" s="837" t="str">
        <f>_xlfn.IFNA(VLOOKUP(B18,'[2]22-23 Survey Results'!$A:$F,6,FALSE),0)</f>
        <v>Y</v>
      </c>
      <c r="L18" s="740">
        <f t="shared" si="7"/>
        <v>0</v>
      </c>
      <c r="M18" s="741">
        <f t="shared" si="8"/>
        <v>3020.33</v>
      </c>
      <c r="N18" s="67">
        <f t="shared" si="9"/>
        <v>4077</v>
      </c>
      <c r="O18" s="67">
        <f t="shared" si="10"/>
        <v>421685</v>
      </c>
      <c r="Q18" s="674">
        <f t="shared" si="11"/>
        <v>0</v>
      </c>
      <c r="R18" s="674" t="str">
        <f t="shared" si="12"/>
        <v>Not Applicable</v>
      </c>
      <c r="S18" s="798" t="str">
        <f>IF($R$7=0,"",IFERROR(VLOOKUP(B18,[3]Sheet1!$C$1:$P$65536,14,FALSE),"NA"))</f>
        <v/>
      </c>
      <c r="T18" s="798">
        <f>IF(O18=0,0,IF(S18="N",0,VLOOKUP(B18,Enrollment!B:J,9,FALSE)))</f>
        <v>0</v>
      </c>
      <c r="U18" s="88">
        <f t="shared" si="13"/>
        <v>421685</v>
      </c>
      <c r="V18" s="71">
        <f t="shared" si="14"/>
        <v>139.61553869941363</v>
      </c>
      <c r="W18" s="449">
        <v>428753</v>
      </c>
      <c r="X18" s="67">
        <f>IFERROR(VLOOKUP($B18,'Allocation 2021-22'!$B:$O,14,FALSE),0)</f>
        <v>424255</v>
      </c>
      <c r="Y18" s="163">
        <f t="shared" si="15"/>
        <v>-2570</v>
      </c>
      <c r="Z18" s="166">
        <f t="shared" si="16"/>
        <v>-6.0576775759861408E-3</v>
      </c>
      <c r="AA18" s="34" t="str">
        <f t="shared" si="2"/>
        <v>Y</v>
      </c>
      <c r="AC18" s="880" t="s">
        <v>1755</v>
      </c>
      <c r="AD18" s="880" t="s">
        <v>1784</v>
      </c>
      <c r="AE18" s="452"/>
      <c r="AH18" s="36"/>
      <c r="AI18" s="36"/>
      <c r="AJ18" s="36"/>
      <c r="AK18" s="19"/>
    </row>
    <row r="19" spans="1:37">
      <c r="A19" s="64" t="s">
        <v>595</v>
      </c>
      <c r="B19" s="784" t="s">
        <v>504</v>
      </c>
      <c r="C19" s="784" t="s">
        <v>628</v>
      </c>
      <c r="D19" s="134">
        <f>VLOOKUP(B19,'Enrollment 22-23'!$B:$I,8,FALSE)</f>
        <v>812.67000000000007</v>
      </c>
      <c r="E19" s="67">
        <f t="shared" si="3"/>
        <v>112365</v>
      </c>
      <c r="F19" s="146">
        <v>0</v>
      </c>
      <c r="G19" s="146">
        <v>0</v>
      </c>
      <c r="H19" s="91">
        <f t="shared" si="4"/>
        <v>112365</v>
      </c>
      <c r="I19" s="67">
        <f t="shared" si="5"/>
        <v>0</v>
      </c>
      <c r="J19" s="739">
        <f t="shared" si="6"/>
        <v>112365</v>
      </c>
      <c r="K19" s="837" t="str">
        <f>_xlfn.IFNA(VLOOKUP(B19,'[2]22-23 Survey Results'!$A:$F,6,FALSE),0)</f>
        <v>Y</v>
      </c>
      <c r="L19" s="740">
        <f t="shared" si="7"/>
        <v>0</v>
      </c>
      <c r="M19" s="741">
        <f t="shared" si="8"/>
        <v>812.67000000000007</v>
      </c>
      <c r="N19" s="67">
        <f t="shared" si="9"/>
        <v>1097</v>
      </c>
      <c r="O19" s="67">
        <f t="shared" si="10"/>
        <v>113462</v>
      </c>
      <c r="Q19" s="674">
        <f t="shared" si="11"/>
        <v>0</v>
      </c>
      <c r="R19" s="674" t="str">
        <f t="shared" si="12"/>
        <v>Not Applicable</v>
      </c>
      <c r="S19" s="798" t="str">
        <f>IF($R$7=0,"",IFERROR(VLOOKUP(B19,[3]Sheet1!$C$1:$P$65536,14,FALSE),"NA"))</f>
        <v/>
      </c>
      <c r="T19" s="798">
        <f>IF(O19=0,0,IF(S19="N",0,VLOOKUP(B19,Enrollment!B:J,9,FALSE)))</f>
        <v>0</v>
      </c>
      <c r="U19" s="88">
        <f t="shared" si="13"/>
        <v>113462</v>
      </c>
      <c r="V19" s="71">
        <f t="shared" si="14"/>
        <v>139.6163264301623</v>
      </c>
      <c r="W19" s="449">
        <v>114969</v>
      </c>
      <c r="X19" s="67">
        <f>IFERROR(VLOOKUP($B19,'Allocation 2021-22'!$B:$O,14,FALSE),0)</f>
        <v>118517</v>
      </c>
      <c r="Y19" s="163">
        <f t="shared" si="15"/>
        <v>-5055</v>
      </c>
      <c r="Z19" s="166">
        <f t="shared" si="16"/>
        <v>-4.2652108980146305E-2</v>
      </c>
      <c r="AA19" s="34" t="str">
        <f t="shared" si="2"/>
        <v>Y</v>
      </c>
      <c r="AC19" s="880" t="s">
        <v>230</v>
      </c>
      <c r="AD19" s="880" t="s">
        <v>1471</v>
      </c>
      <c r="AE19" s="452"/>
      <c r="AH19" s="36"/>
      <c r="AI19" s="36"/>
      <c r="AJ19" s="36"/>
      <c r="AK19" s="19"/>
    </row>
    <row r="20" spans="1:37">
      <c r="A20" s="64" t="s">
        <v>603</v>
      </c>
      <c r="B20" s="784" t="s">
        <v>2</v>
      </c>
      <c r="C20" s="784" t="s">
        <v>1370</v>
      </c>
      <c r="D20" s="134">
        <f>VLOOKUP(B20,'Enrollment 22-23'!$B:$I,8,FALSE)</f>
        <v>0</v>
      </c>
      <c r="E20" s="67">
        <f t="shared" si="3"/>
        <v>0</v>
      </c>
      <c r="F20" s="146">
        <v>0</v>
      </c>
      <c r="G20" s="146">
        <v>0</v>
      </c>
      <c r="H20" s="91">
        <f t="shared" si="4"/>
        <v>0</v>
      </c>
      <c r="I20" s="67">
        <f t="shared" si="5"/>
        <v>0</v>
      </c>
      <c r="J20" s="739">
        <f t="shared" si="6"/>
        <v>0</v>
      </c>
      <c r="K20" s="837">
        <f>_xlfn.IFNA(VLOOKUP(B20,'[2]22-23 Survey Results'!$A:$F,6,FALSE),0)</f>
        <v>0</v>
      </c>
      <c r="L20" s="740">
        <f t="shared" si="7"/>
        <v>0</v>
      </c>
      <c r="M20" s="741">
        <f t="shared" si="8"/>
        <v>0</v>
      </c>
      <c r="N20" s="67">
        <f t="shared" si="9"/>
        <v>0</v>
      </c>
      <c r="O20" s="67">
        <f t="shared" si="10"/>
        <v>0</v>
      </c>
      <c r="Q20" s="674">
        <f t="shared" si="11"/>
        <v>0</v>
      </c>
      <c r="R20" s="674" t="str">
        <f t="shared" si="12"/>
        <v>Not Applicable</v>
      </c>
      <c r="S20" s="798" t="str">
        <f>IF($R$7=0,"",IFERROR(VLOOKUP(B20,[3]Sheet1!$C$1:$P$65536,14,FALSE),"NA"))</f>
        <v/>
      </c>
      <c r="T20" s="798">
        <f>IF(O20=0,0,IF(S20="N",0,VLOOKUP(B20,Enrollment!B:J,9,FALSE)))</f>
        <v>0</v>
      </c>
      <c r="U20" s="88">
        <f t="shared" si="13"/>
        <v>0</v>
      </c>
      <c r="V20" s="71">
        <f t="shared" si="14"/>
        <v>0</v>
      </c>
      <c r="W20" s="449">
        <v>0</v>
      </c>
      <c r="X20" s="67">
        <f>IFERROR(VLOOKUP($B20,'Allocation 2021-22'!$B:$O,14,FALSE),0)</f>
        <v>0</v>
      </c>
      <c r="Y20" s="163">
        <f t="shared" si="15"/>
        <v>0</v>
      </c>
      <c r="Z20" s="166">
        <f t="shared" si="16"/>
        <v>0</v>
      </c>
      <c r="AA20" s="34">
        <f t="shared" si="2"/>
        <v>0</v>
      </c>
      <c r="AC20" s="880" t="s">
        <v>258</v>
      </c>
      <c r="AD20" s="880" t="s">
        <v>1356</v>
      </c>
      <c r="AE20" s="452"/>
      <c r="AH20" s="36"/>
      <c r="AI20" s="36"/>
      <c r="AJ20" s="36"/>
      <c r="AK20" s="19"/>
    </row>
    <row r="21" spans="1:37">
      <c r="A21" s="64" t="s">
        <v>597</v>
      </c>
      <c r="B21" s="784" t="s">
        <v>363</v>
      </c>
      <c r="C21" s="784" t="s">
        <v>1531</v>
      </c>
      <c r="D21" s="134">
        <f>VLOOKUP(B21,'Enrollment 22-23'!$B:$I,8,FALSE)</f>
        <v>1265.6600000000001</v>
      </c>
      <c r="E21" s="67">
        <f t="shared" si="3"/>
        <v>174998</v>
      </c>
      <c r="F21" s="146">
        <v>0</v>
      </c>
      <c r="G21" s="146">
        <v>0</v>
      </c>
      <c r="H21" s="91">
        <f t="shared" si="4"/>
        <v>174998</v>
      </c>
      <c r="I21" s="67">
        <f t="shared" si="5"/>
        <v>0</v>
      </c>
      <c r="J21" s="739">
        <f t="shared" si="6"/>
        <v>174998</v>
      </c>
      <c r="K21" s="837" t="str">
        <f>_xlfn.IFNA(VLOOKUP(B21,'[2]22-23 Survey Results'!$A:$F,6,FALSE),0)</f>
        <v>Y</v>
      </c>
      <c r="L21" s="740">
        <f t="shared" si="7"/>
        <v>0</v>
      </c>
      <c r="M21" s="741">
        <f t="shared" si="8"/>
        <v>1265.6600000000001</v>
      </c>
      <c r="N21" s="67">
        <f t="shared" si="9"/>
        <v>1708</v>
      </c>
      <c r="O21" s="67">
        <f t="shared" si="10"/>
        <v>176706</v>
      </c>
      <c r="Q21" s="674">
        <f t="shared" si="11"/>
        <v>0</v>
      </c>
      <c r="R21" s="674" t="str">
        <f t="shared" si="12"/>
        <v>Not Applicable</v>
      </c>
      <c r="S21" s="798" t="str">
        <f>IF($R$7=0,"",IFERROR(VLOOKUP(B21,[3]Sheet1!$C$1:$P$65536,14,FALSE),"NA"))</f>
        <v/>
      </c>
      <c r="T21" s="798">
        <f>IF(O21=0,0,IF(S21="N",0,VLOOKUP(B21,Enrollment!B:J,9,FALSE)))</f>
        <v>0</v>
      </c>
      <c r="U21" s="88">
        <f t="shared" si="13"/>
        <v>176706</v>
      </c>
      <c r="V21" s="71">
        <f t="shared" si="14"/>
        <v>139.61569457832277</v>
      </c>
      <c r="W21" s="449">
        <v>150519</v>
      </c>
      <c r="X21" s="67">
        <f>IFERROR(VLOOKUP($B21,'Allocation 2021-22'!$B:$O,14,FALSE),0)</f>
        <v>149952</v>
      </c>
      <c r="Y21" s="163">
        <f t="shared" si="15"/>
        <v>26754</v>
      </c>
      <c r="Z21" s="166">
        <f t="shared" si="16"/>
        <v>0.17841709346991036</v>
      </c>
      <c r="AA21" s="34" t="str">
        <f t="shared" si="2"/>
        <v>Y</v>
      </c>
      <c r="AC21" s="879" t="s">
        <v>264</v>
      </c>
      <c r="AD21" s="880" t="s">
        <v>1486</v>
      </c>
      <c r="AE21" s="452"/>
      <c r="AH21" s="36"/>
      <c r="AI21" s="36"/>
      <c r="AJ21" s="36"/>
      <c r="AK21" s="19"/>
    </row>
    <row r="22" spans="1:37">
      <c r="A22" s="64" t="s">
        <v>605</v>
      </c>
      <c r="B22" s="784" t="s">
        <v>234</v>
      </c>
      <c r="C22" s="784" t="s">
        <v>1473</v>
      </c>
      <c r="D22" s="134">
        <f>VLOOKUP(B22,'Enrollment 22-23'!$B:$I,8,FALSE)</f>
        <v>0</v>
      </c>
      <c r="E22" s="67">
        <f t="shared" si="3"/>
        <v>0</v>
      </c>
      <c r="F22" s="146">
        <v>0</v>
      </c>
      <c r="G22" s="146">
        <v>0</v>
      </c>
      <c r="H22" s="91">
        <f t="shared" si="4"/>
        <v>0</v>
      </c>
      <c r="I22" s="67">
        <f t="shared" si="5"/>
        <v>0</v>
      </c>
      <c r="J22" s="739">
        <f t="shared" si="6"/>
        <v>0</v>
      </c>
      <c r="K22" s="837">
        <f>_xlfn.IFNA(VLOOKUP(B22,'[2]22-23 Survey Results'!$A:$F,6,FALSE),0)</f>
        <v>0</v>
      </c>
      <c r="L22" s="740">
        <f t="shared" si="7"/>
        <v>0</v>
      </c>
      <c r="M22" s="741">
        <f t="shared" si="8"/>
        <v>0</v>
      </c>
      <c r="N22" s="67">
        <f t="shared" si="9"/>
        <v>0</v>
      </c>
      <c r="O22" s="67">
        <f t="shared" si="10"/>
        <v>0</v>
      </c>
      <c r="Q22" s="674">
        <f t="shared" si="11"/>
        <v>0</v>
      </c>
      <c r="R22" s="674" t="str">
        <f t="shared" si="12"/>
        <v>Not Applicable</v>
      </c>
      <c r="S22" s="798" t="str">
        <f>IF($R$7=0,"",IFERROR(VLOOKUP(B22,[3]Sheet1!$C$1:$P$65536,14,FALSE),"NA"))</f>
        <v/>
      </c>
      <c r="T22" s="798">
        <f>IF(O22=0,0,IF(S22="N",0,VLOOKUP(B22,Enrollment!B:J,9,FALSE)))</f>
        <v>0</v>
      </c>
      <c r="U22" s="88">
        <f t="shared" si="13"/>
        <v>0</v>
      </c>
      <c r="V22" s="71">
        <f t="shared" si="14"/>
        <v>0</v>
      </c>
      <c r="W22" s="449">
        <v>0</v>
      </c>
      <c r="X22" s="67">
        <f>IFERROR(VLOOKUP($B22,'Allocation 2021-22'!$B:$O,14,FALSE),0)</f>
        <v>0</v>
      </c>
      <c r="Y22" s="163">
        <f t="shared" si="15"/>
        <v>0</v>
      </c>
      <c r="Z22" s="166">
        <f t="shared" si="16"/>
        <v>0</v>
      </c>
      <c r="AA22" s="34">
        <f t="shared" si="2"/>
        <v>0</v>
      </c>
      <c r="AC22" s="880" t="s">
        <v>325</v>
      </c>
      <c r="AD22" s="880" t="s">
        <v>712</v>
      </c>
      <c r="AE22" s="452"/>
      <c r="AH22" s="36"/>
      <c r="AI22" s="36"/>
      <c r="AJ22" s="36"/>
      <c r="AK22" s="19"/>
    </row>
    <row r="23" spans="1:37">
      <c r="A23" s="64" t="s">
        <v>595</v>
      </c>
      <c r="B23" s="784" t="s">
        <v>508</v>
      </c>
      <c r="C23" s="784" t="s">
        <v>1603</v>
      </c>
      <c r="D23" s="134">
        <f>VLOOKUP(B23,'Enrollment 22-23'!$B:$I,8,FALSE)</f>
        <v>97.33</v>
      </c>
      <c r="E23" s="67">
        <f t="shared" si="3"/>
        <v>13457</v>
      </c>
      <c r="F23" s="146">
        <v>0</v>
      </c>
      <c r="G23" s="146">
        <v>0</v>
      </c>
      <c r="H23" s="91">
        <f t="shared" si="4"/>
        <v>13457</v>
      </c>
      <c r="I23" s="67">
        <f t="shared" si="5"/>
        <v>0</v>
      </c>
      <c r="J23" s="739">
        <f t="shared" si="6"/>
        <v>13457</v>
      </c>
      <c r="K23" s="837" t="str">
        <f>_xlfn.IFNA(VLOOKUP(B23,'[2]22-23 Survey Results'!$A:$F,6,FALSE),0)</f>
        <v>Y</v>
      </c>
      <c r="L23" s="740">
        <f t="shared" si="7"/>
        <v>0</v>
      </c>
      <c r="M23" s="741">
        <f t="shared" si="8"/>
        <v>97.33</v>
      </c>
      <c r="N23" s="67">
        <f t="shared" si="9"/>
        <v>131</v>
      </c>
      <c r="O23" s="67">
        <f t="shared" si="10"/>
        <v>13588</v>
      </c>
      <c r="Q23" s="674">
        <f t="shared" si="11"/>
        <v>0</v>
      </c>
      <c r="R23" s="674" t="str">
        <f t="shared" si="12"/>
        <v>Not Applicable</v>
      </c>
      <c r="S23" s="798" t="str">
        <f>IF($R$7=0,"",IFERROR(VLOOKUP(B23,[3]Sheet1!$C$1:$P$65536,14,FALSE),"NA"))</f>
        <v/>
      </c>
      <c r="T23" s="798">
        <f>IF(O23=0,0,IF(S23="N",0,VLOOKUP(B23,Enrollment!B:J,9,FALSE)))</f>
        <v>0</v>
      </c>
      <c r="U23" s="88">
        <f t="shared" si="13"/>
        <v>13588</v>
      </c>
      <c r="V23" s="71">
        <f t="shared" si="14"/>
        <v>139.60752080550705</v>
      </c>
      <c r="W23" s="449">
        <v>13457</v>
      </c>
      <c r="X23" s="67">
        <f>IFERROR(VLOOKUP($B23,'Allocation 2021-22'!$B:$O,14,FALSE),0)</f>
        <v>13406</v>
      </c>
      <c r="Y23" s="163">
        <f t="shared" si="15"/>
        <v>182</v>
      </c>
      <c r="Z23" s="166">
        <f t="shared" si="16"/>
        <v>1.3576010741459048E-2</v>
      </c>
      <c r="AA23" s="34" t="str">
        <f t="shared" si="2"/>
        <v>Y</v>
      </c>
      <c r="AC23" s="880" t="s">
        <v>327</v>
      </c>
      <c r="AD23" s="880" t="s">
        <v>1514</v>
      </c>
      <c r="AE23" s="452"/>
      <c r="AH23" s="36"/>
      <c r="AI23" s="36"/>
      <c r="AJ23" s="36"/>
      <c r="AK23" s="19"/>
    </row>
    <row r="24" spans="1:37">
      <c r="A24" s="64" t="s">
        <v>594</v>
      </c>
      <c r="B24" s="784" t="s">
        <v>266</v>
      </c>
      <c r="C24" s="784" t="s">
        <v>1487</v>
      </c>
      <c r="D24" s="134">
        <f>VLOOKUP(B24,'Enrollment 22-23'!$B:$I,8,FALSE)</f>
        <v>7</v>
      </c>
      <c r="E24" s="67">
        <f t="shared" si="3"/>
        <v>968</v>
      </c>
      <c r="F24" s="146">
        <v>0</v>
      </c>
      <c r="G24" s="146">
        <v>0</v>
      </c>
      <c r="H24" s="91">
        <f t="shared" si="4"/>
        <v>968</v>
      </c>
      <c r="I24" s="67">
        <f t="shared" si="5"/>
        <v>0</v>
      </c>
      <c r="J24" s="739">
        <f t="shared" si="6"/>
        <v>968</v>
      </c>
      <c r="K24" s="837" t="str">
        <f>_xlfn.IFNA(VLOOKUP(B24,'[2]22-23 Survey Results'!$A:$F,6,FALSE),0)</f>
        <v>N</v>
      </c>
      <c r="L24" s="740">
        <f t="shared" si="7"/>
        <v>968</v>
      </c>
      <c r="M24" s="741">
        <f t="shared" si="8"/>
        <v>0</v>
      </c>
      <c r="N24" s="67">
        <f t="shared" si="9"/>
        <v>0</v>
      </c>
      <c r="O24" s="67">
        <f t="shared" si="10"/>
        <v>0</v>
      </c>
      <c r="Q24" s="674">
        <f t="shared" si="11"/>
        <v>0</v>
      </c>
      <c r="R24" s="674" t="str">
        <f t="shared" si="12"/>
        <v>Not Applicable</v>
      </c>
      <c r="S24" s="798" t="str">
        <f>IF($R$7=0,"",IFERROR(VLOOKUP(B24,[3]Sheet1!$C$1:$P$65536,14,FALSE),"NA"))</f>
        <v/>
      </c>
      <c r="T24" s="798">
        <f>IF(O24=0,0,IF(S24="N",0,VLOOKUP(B24,Enrollment!B:J,9,FALSE)))</f>
        <v>0</v>
      </c>
      <c r="U24" s="88">
        <f t="shared" si="13"/>
        <v>0</v>
      </c>
      <c r="V24" s="71">
        <f t="shared" si="14"/>
        <v>0</v>
      </c>
      <c r="W24" s="449">
        <v>0</v>
      </c>
      <c r="X24" s="67">
        <f>IFERROR(VLOOKUP($B24,'Allocation 2021-22'!$B:$O,14,FALSE),0)</f>
        <v>0</v>
      </c>
      <c r="Y24" s="163">
        <f t="shared" si="15"/>
        <v>0</v>
      </c>
      <c r="Z24" s="166">
        <f t="shared" si="16"/>
        <v>0</v>
      </c>
      <c r="AA24" s="34" t="str">
        <f t="shared" si="2"/>
        <v>N</v>
      </c>
      <c r="AC24" s="880" t="s">
        <v>331</v>
      </c>
      <c r="AD24" s="880" t="s">
        <v>1516</v>
      </c>
      <c r="AE24" s="452"/>
      <c r="AH24" s="36"/>
      <c r="AI24" s="36"/>
      <c r="AJ24" s="36"/>
      <c r="AK24" s="19"/>
    </row>
    <row r="25" spans="1:37">
      <c r="A25" s="64" t="s">
        <v>600</v>
      </c>
      <c r="B25" s="784" t="s">
        <v>211</v>
      </c>
      <c r="C25" s="784" t="s">
        <v>1462</v>
      </c>
      <c r="D25" s="134">
        <f>VLOOKUP(B25,'Enrollment 22-23'!$B:$I,8,FALSE)</f>
        <v>475.34</v>
      </c>
      <c r="E25" s="67">
        <f t="shared" si="3"/>
        <v>65723</v>
      </c>
      <c r="F25" s="146">
        <v>0</v>
      </c>
      <c r="G25" s="146">
        <v>0</v>
      </c>
      <c r="H25" s="91">
        <f t="shared" si="4"/>
        <v>65723</v>
      </c>
      <c r="I25" s="67">
        <f t="shared" si="5"/>
        <v>0</v>
      </c>
      <c r="J25" s="739">
        <f t="shared" si="6"/>
        <v>65723</v>
      </c>
      <c r="K25" s="837" t="str">
        <f>_xlfn.IFNA(VLOOKUP(B25,'[2]22-23 Survey Results'!$A:$F,6,FALSE),0)</f>
        <v>Y</v>
      </c>
      <c r="L25" s="740">
        <f t="shared" si="7"/>
        <v>0</v>
      </c>
      <c r="M25" s="741">
        <f t="shared" si="8"/>
        <v>475.34</v>
      </c>
      <c r="N25" s="67">
        <f t="shared" si="9"/>
        <v>642</v>
      </c>
      <c r="O25" s="67">
        <f t="shared" si="10"/>
        <v>66365</v>
      </c>
      <c r="Q25" s="674">
        <f t="shared" si="11"/>
        <v>0</v>
      </c>
      <c r="R25" s="674" t="str">
        <f t="shared" si="12"/>
        <v>Not Applicable</v>
      </c>
      <c r="S25" s="798" t="str">
        <f>IF($R$7=0,"",IFERROR(VLOOKUP(B25,[3]Sheet1!$C$1:$P$65536,14,FALSE),"NA"))</f>
        <v/>
      </c>
      <c r="T25" s="798">
        <f>IF(O25=0,0,IF(S25="N",0,VLOOKUP(B25,Enrollment!B:J,9,FALSE)))</f>
        <v>0</v>
      </c>
      <c r="U25" s="88">
        <f t="shared" si="13"/>
        <v>66365</v>
      </c>
      <c r="V25" s="71">
        <f t="shared" si="14"/>
        <v>139.61585391509237</v>
      </c>
      <c r="W25" s="449">
        <v>62790</v>
      </c>
      <c r="X25" s="67">
        <f>IFERROR(VLOOKUP($B25,'Allocation 2021-22'!$B:$O,14,FALSE),0)</f>
        <v>62827</v>
      </c>
      <c r="Y25" s="163">
        <f t="shared" si="15"/>
        <v>3538</v>
      </c>
      <c r="Z25" s="166">
        <f t="shared" si="16"/>
        <v>5.6313368456236967E-2</v>
      </c>
      <c r="AA25" s="34" t="str">
        <f t="shared" si="2"/>
        <v>Y</v>
      </c>
      <c r="AC25" s="880" t="s">
        <v>353</v>
      </c>
      <c r="AD25" s="880" t="s">
        <v>1528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315</v>
      </c>
      <c r="C26" s="784" t="s">
        <v>1510</v>
      </c>
      <c r="D26" s="134">
        <f>VLOOKUP(B26,'Enrollment 22-23'!$B:$I,8,FALSE)</f>
        <v>327.16999999999996</v>
      </c>
      <c r="E26" s="67">
        <f t="shared" si="3"/>
        <v>45236</v>
      </c>
      <c r="F26" s="146">
        <v>0</v>
      </c>
      <c r="G26" s="146">
        <v>0</v>
      </c>
      <c r="H26" s="91">
        <f t="shared" si="4"/>
        <v>45236</v>
      </c>
      <c r="I26" s="67">
        <f t="shared" si="5"/>
        <v>0</v>
      </c>
      <c r="J26" s="739">
        <f t="shared" si="6"/>
        <v>45236</v>
      </c>
      <c r="K26" s="837" t="str">
        <f>_xlfn.IFNA(VLOOKUP(B26,'[2]22-23 Survey Results'!$A:$F,6,FALSE),0)</f>
        <v>Y</v>
      </c>
      <c r="L26" s="740">
        <f t="shared" si="7"/>
        <v>0</v>
      </c>
      <c r="M26" s="741">
        <f t="shared" si="8"/>
        <v>327.16999999999996</v>
      </c>
      <c r="N26" s="67">
        <f t="shared" si="9"/>
        <v>442</v>
      </c>
      <c r="O26" s="67">
        <f t="shared" si="10"/>
        <v>45678</v>
      </c>
      <c r="Q26" s="674">
        <f t="shared" si="11"/>
        <v>0</v>
      </c>
      <c r="R26" s="674" t="str">
        <f t="shared" si="12"/>
        <v>Not Applicable</v>
      </c>
      <c r="S26" s="798" t="str">
        <f>IF($R$7=0,"",IFERROR(VLOOKUP(B26,[3]Sheet1!$C$1:$P$65536,14,FALSE),"NA"))</f>
        <v/>
      </c>
      <c r="T26" s="798">
        <f>IF(O26=0,0,IF(S26="N",0,VLOOKUP(B26,Enrollment!B:J,9,FALSE)))</f>
        <v>0</v>
      </c>
      <c r="U26" s="88">
        <f t="shared" si="13"/>
        <v>45678</v>
      </c>
      <c r="V26" s="71">
        <f t="shared" si="14"/>
        <v>139.61549041782561</v>
      </c>
      <c r="W26" s="449">
        <v>47769</v>
      </c>
      <c r="X26" s="67">
        <f>IFERROR(VLOOKUP($B26,'Allocation 2021-22'!$B:$O,14,FALSE),0)</f>
        <v>47588</v>
      </c>
      <c r="Y26" s="163">
        <f t="shared" si="15"/>
        <v>-1910</v>
      </c>
      <c r="Z26" s="166">
        <f t="shared" si="16"/>
        <v>-4.0136168782045893E-2</v>
      </c>
      <c r="AA26" s="34" t="str">
        <f t="shared" si="2"/>
        <v>Y</v>
      </c>
      <c r="AC26" s="878" t="s">
        <v>1777</v>
      </c>
      <c r="AD26" s="880" t="s">
        <v>1782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84</v>
      </c>
      <c r="C27" s="784" t="s">
        <v>1406</v>
      </c>
      <c r="D27" s="134">
        <f>VLOOKUP(B27,'Enrollment 22-23'!$B:$I,8,FALSE)</f>
        <v>357.5</v>
      </c>
      <c r="E27" s="67">
        <f t="shared" si="3"/>
        <v>49430</v>
      </c>
      <c r="F27" s="146">
        <v>0</v>
      </c>
      <c r="G27" s="146">
        <v>0</v>
      </c>
      <c r="H27" s="91">
        <f t="shared" si="4"/>
        <v>49430</v>
      </c>
      <c r="I27" s="67">
        <f t="shared" si="5"/>
        <v>0</v>
      </c>
      <c r="J27" s="739">
        <f t="shared" si="6"/>
        <v>49430</v>
      </c>
      <c r="K27" s="837" t="str">
        <f>_xlfn.IFNA(VLOOKUP(B27,'[2]22-23 Survey Results'!$A:$F,6,FALSE),0)</f>
        <v>Y</v>
      </c>
      <c r="L27" s="740">
        <f t="shared" si="7"/>
        <v>0</v>
      </c>
      <c r="M27" s="741">
        <f t="shared" si="8"/>
        <v>357.5</v>
      </c>
      <c r="N27" s="67">
        <f t="shared" si="9"/>
        <v>483</v>
      </c>
      <c r="O27" s="67">
        <f t="shared" si="10"/>
        <v>49913</v>
      </c>
      <c r="Q27" s="674">
        <f t="shared" si="11"/>
        <v>0</v>
      </c>
      <c r="R27" s="674" t="str">
        <f t="shared" si="12"/>
        <v>Not Applicable</v>
      </c>
      <c r="S27" s="798" t="str">
        <f>IF($R$7=0,"",IFERROR(VLOOKUP(B27,[3]Sheet1!$C$1:$P$65536,14,FALSE),"NA"))</f>
        <v/>
      </c>
      <c r="T27" s="798">
        <f>IF(O27=0,0,IF(S27="N",0,VLOOKUP(B27,Enrollment!B:J,9,FALSE)))</f>
        <v>0</v>
      </c>
      <c r="U27" s="88">
        <f t="shared" si="13"/>
        <v>49913</v>
      </c>
      <c r="V27" s="71">
        <f t="shared" si="14"/>
        <v>139.6167832167832</v>
      </c>
      <c r="W27" s="449">
        <v>52156</v>
      </c>
      <c r="X27" s="67">
        <f>IFERROR(VLOOKUP($B27,'Allocation 2021-22'!$B:$O,14,FALSE),0)</f>
        <v>51960</v>
      </c>
      <c r="Y27" s="163">
        <f t="shared" si="15"/>
        <v>-2047</v>
      </c>
      <c r="Z27" s="166">
        <f t="shared" si="16"/>
        <v>-3.9395688991531945E-2</v>
      </c>
      <c r="AA27" s="34" t="str">
        <f t="shared" si="2"/>
        <v>Y</v>
      </c>
      <c r="AC27" s="880" t="s">
        <v>372</v>
      </c>
      <c r="AD27" s="880" t="s">
        <v>1538</v>
      </c>
      <c r="AE27" s="452"/>
      <c r="AH27" s="36"/>
      <c r="AI27" s="36"/>
      <c r="AJ27" s="36"/>
      <c r="AK27" s="19"/>
    </row>
    <row r="28" spans="1:37">
      <c r="A28" s="64" t="s">
        <v>600</v>
      </c>
      <c r="B28" s="784" t="s">
        <v>165</v>
      </c>
      <c r="C28" s="784" t="s">
        <v>1444</v>
      </c>
      <c r="D28" s="134">
        <f>VLOOKUP(B28,'Enrollment 22-23'!$B:$I,8,FALSE)</f>
        <v>0.33</v>
      </c>
      <c r="E28" s="67">
        <f t="shared" si="3"/>
        <v>46</v>
      </c>
      <c r="F28" s="146">
        <v>0</v>
      </c>
      <c r="G28" s="146">
        <v>0</v>
      </c>
      <c r="H28" s="91">
        <f t="shared" si="4"/>
        <v>46</v>
      </c>
      <c r="I28" s="67">
        <f t="shared" si="5"/>
        <v>0</v>
      </c>
      <c r="J28" s="739">
        <f t="shared" si="6"/>
        <v>46</v>
      </c>
      <c r="K28" s="837" t="str">
        <f>_xlfn.IFNA(VLOOKUP(B28,'[2]22-23 Survey Results'!$A:$F,6,FALSE),0)</f>
        <v>N</v>
      </c>
      <c r="L28" s="740">
        <f t="shared" si="7"/>
        <v>46</v>
      </c>
      <c r="M28" s="741">
        <f t="shared" si="8"/>
        <v>0</v>
      </c>
      <c r="N28" s="67">
        <f t="shared" si="9"/>
        <v>0</v>
      </c>
      <c r="O28" s="67">
        <f t="shared" si="10"/>
        <v>0</v>
      </c>
      <c r="Q28" s="674">
        <f t="shared" si="11"/>
        <v>0</v>
      </c>
      <c r="R28" s="674" t="str">
        <f t="shared" si="12"/>
        <v>Not Applicable</v>
      </c>
      <c r="S28" s="798" t="str">
        <f>IF($R$7=0,"",IFERROR(VLOOKUP(B28,[3]Sheet1!$C$1:$P$65536,14,FALSE),"NA"))</f>
        <v/>
      </c>
      <c r="T28" s="798">
        <f>IF(O28=0,0,IF(S28="N",0,VLOOKUP(B28,Enrollment!B:J,9,FALSE)))</f>
        <v>0</v>
      </c>
      <c r="U28" s="88">
        <f t="shared" si="13"/>
        <v>0</v>
      </c>
      <c r="V28" s="71">
        <f t="shared" si="14"/>
        <v>0</v>
      </c>
      <c r="W28" s="449">
        <v>0</v>
      </c>
      <c r="X28" s="67">
        <f>IFERROR(VLOOKUP($B28,'Allocation 2021-22'!$B:$O,14,FALSE),0)</f>
        <v>0</v>
      </c>
      <c r="Y28" s="163">
        <f t="shared" si="15"/>
        <v>0</v>
      </c>
      <c r="Z28" s="166">
        <f t="shared" si="16"/>
        <v>0</v>
      </c>
      <c r="AA28" s="34" t="str">
        <f t="shared" si="2"/>
        <v>N</v>
      </c>
      <c r="AC28" s="880" t="s">
        <v>373</v>
      </c>
      <c r="AD28" s="880" t="s">
        <v>1539</v>
      </c>
      <c r="AE28" s="452"/>
      <c r="AH28" s="36"/>
      <c r="AI28" s="36"/>
      <c r="AJ28" s="36"/>
      <c r="AK28" s="19"/>
    </row>
    <row r="29" spans="1:37">
      <c r="A29" s="64" t="s">
        <v>595</v>
      </c>
      <c r="B29" s="784" t="s">
        <v>378</v>
      </c>
      <c r="C29" s="784" t="s">
        <v>629</v>
      </c>
      <c r="D29" s="134">
        <f>VLOOKUP(B29,'Enrollment 22-23'!$B:$I,8,FALSE)</f>
        <v>742.82999999999993</v>
      </c>
      <c r="E29" s="67">
        <f t="shared" si="3"/>
        <v>102708</v>
      </c>
      <c r="F29" s="146">
        <v>0</v>
      </c>
      <c r="G29" s="146">
        <v>0</v>
      </c>
      <c r="H29" s="91">
        <f t="shared" si="4"/>
        <v>102708</v>
      </c>
      <c r="I29" s="67">
        <f t="shared" si="5"/>
        <v>0</v>
      </c>
      <c r="J29" s="739">
        <f t="shared" si="6"/>
        <v>102708</v>
      </c>
      <c r="K29" s="837" t="str">
        <f>_xlfn.IFNA(VLOOKUP(B29,'[2]22-23 Survey Results'!$A:$F,6,FALSE),0)</f>
        <v>Y</v>
      </c>
      <c r="L29" s="740">
        <f t="shared" si="7"/>
        <v>0</v>
      </c>
      <c r="M29" s="741">
        <f t="shared" si="8"/>
        <v>742.82999999999993</v>
      </c>
      <c r="N29" s="67">
        <f t="shared" si="9"/>
        <v>1003</v>
      </c>
      <c r="O29" s="67">
        <f t="shared" si="10"/>
        <v>103711</v>
      </c>
      <c r="Q29" s="674">
        <f t="shared" si="11"/>
        <v>0</v>
      </c>
      <c r="R29" s="674" t="str">
        <f t="shared" si="12"/>
        <v>Not Applicable</v>
      </c>
      <c r="S29" s="798" t="str">
        <f>IF($R$7=0,"",IFERROR(VLOOKUP(B29,[3]Sheet1!$C$1:$P$65536,14,FALSE),"NA"))</f>
        <v/>
      </c>
      <c r="T29" s="798">
        <f>IF(O29=0,0,IF(S29="N",0,VLOOKUP(B29,Enrollment!B:J,9,FALSE)))</f>
        <v>0</v>
      </c>
      <c r="U29" s="88">
        <f t="shared" si="13"/>
        <v>103711</v>
      </c>
      <c r="V29" s="71">
        <f t="shared" si="14"/>
        <v>139.61606289460579</v>
      </c>
      <c r="W29" s="449">
        <v>100544</v>
      </c>
      <c r="X29" s="67">
        <f>IFERROR(VLOOKUP($B29,'Allocation 2021-22'!$B:$O,14,FALSE),0)</f>
        <v>100165</v>
      </c>
      <c r="Y29" s="163">
        <f t="shared" si="15"/>
        <v>3546</v>
      </c>
      <c r="Z29" s="166">
        <f t="shared" si="16"/>
        <v>3.5401587380821643E-2</v>
      </c>
      <c r="AA29" s="34" t="str">
        <f t="shared" si="2"/>
        <v>Y</v>
      </c>
      <c r="AC29" s="880" t="s">
        <v>375</v>
      </c>
      <c r="AD29" s="880" t="s">
        <v>1269</v>
      </c>
      <c r="AE29" s="452"/>
      <c r="AH29" s="36"/>
      <c r="AI29" s="36"/>
      <c r="AJ29" s="36"/>
      <c r="AK29" s="19"/>
    </row>
    <row r="30" spans="1:37">
      <c r="A30" s="64" t="s">
        <v>599</v>
      </c>
      <c r="B30" s="784" t="s">
        <v>60</v>
      </c>
      <c r="C30" s="784" t="s">
        <v>1395</v>
      </c>
      <c r="D30" s="134">
        <f>VLOOKUP(B30,'Enrollment 22-23'!$B:$I,8,FALSE)</f>
        <v>197.17000000000002</v>
      </c>
      <c r="E30" s="67">
        <f t="shared" si="3"/>
        <v>27262</v>
      </c>
      <c r="F30" s="146">
        <v>0</v>
      </c>
      <c r="G30" s="146">
        <v>0</v>
      </c>
      <c r="H30" s="91">
        <f t="shared" si="4"/>
        <v>27262</v>
      </c>
      <c r="I30" s="67">
        <f t="shared" si="5"/>
        <v>0</v>
      </c>
      <c r="J30" s="739">
        <f t="shared" si="6"/>
        <v>27262</v>
      </c>
      <c r="K30" s="837" t="str">
        <f>_xlfn.IFNA(VLOOKUP(B30,'[2]22-23 Survey Results'!$A:$F,6,FALSE),0)</f>
        <v>Y</v>
      </c>
      <c r="L30" s="740">
        <f t="shared" si="7"/>
        <v>0</v>
      </c>
      <c r="M30" s="741">
        <f t="shared" si="8"/>
        <v>197.17000000000002</v>
      </c>
      <c r="N30" s="67">
        <f t="shared" si="9"/>
        <v>266</v>
      </c>
      <c r="O30" s="67">
        <f t="shared" si="10"/>
        <v>27528</v>
      </c>
      <c r="Q30" s="674">
        <f t="shared" si="11"/>
        <v>0</v>
      </c>
      <c r="R30" s="674" t="str">
        <f t="shared" si="12"/>
        <v>Not Applicable</v>
      </c>
      <c r="S30" s="798" t="str">
        <f>IF($R$7=0,"",IFERROR(VLOOKUP(B30,[3]Sheet1!$C$1:$P$65536,14,FALSE),"NA"))</f>
        <v/>
      </c>
      <c r="T30" s="798">
        <f>IF(O30=0,0,IF(S30="N",0,VLOOKUP(B30,Enrollment!B:J,9,FALSE)))</f>
        <v>0</v>
      </c>
      <c r="U30" s="88">
        <f t="shared" si="13"/>
        <v>27528</v>
      </c>
      <c r="V30" s="71">
        <f t="shared" si="14"/>
        <v>139.61556017649744</v>
      </c>
      <c r="W30" s="449">
        <v>26709</v>
      </c>
      <c r="X30" s="67">
        <f>IFERROR(VLOOKUP($B30,'Allocation 2021-22'!$B:$O,14,FALSE),0)</f>
        <v>26608</v>
      </c>
      <c r="Y30" s="163">
        <f t="shared" si="15"/>
        <v>920</v>
      </c>
      <c r="Z30" s="166">
        <f t="shared" si="16"/>
        <v>3.4576067348165963E-2</v>
      </c>
      <c r="AA30" s="34" t="str">
        <f t="shared" si="2"/>
        <v>Y</v>
      </c>
      <c r="AC30" s="880" t="s">
        <v>384</v>
      </c>
      <c r="AD30" s="880" t="s">
        <v>1543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45</v>
      </c>
      <c r="C31" s="784" t="s">
        <v>1388</v>
      </c>
      <c r="D31" s="134">
        <f>VLOOKUP(B31,'Enrollment 22-23'!$B:$I,8,FALSE)</f>
        <v>0</v>
      </c>
      <c r="E31" s="67">
        <f t="shared" si="3"/>
        <v>0</v>
      </c>
      <c r="F31" s="146">
        <v>0</v>
      </c>
      <c r="G31" s="146">
        <v>0</v>
      </c>
      <c r="H31" s="91">
        <f t="shared" si="4"/>
        <v>0</v>
      </c>
      <c r="I31" s="67">
        <f t="shared" si="5"/>
        <v>0</v>
      </c>
      <c r="J31" s="739">
        <f t="shared" si="6"/>
        <v>0</v>
      </c>
      <c r="K31" s="837">
        <f>_xlfn.IFNA(VLOOKUP(B31,'[2]22-23 Survey Results'!$A:$F,6,FALSE),0)</f>
        <v>0</v>
      </c>
      <c r="L31" s="740">
        <f t="shared" si="7"/>
        <v>0</v>
      </c>
      <c r="M31" s="741">
        <f t="shared" si="8"/>
        <v>0</v>
      </c>
      <c r="N31" s="67">
        <f t="shared" si="9"/>
        <v>0</v>
      </c>
      <c r="O31" s="67">
        <f t="shared" si="10"/>
        <v>0</v>
      </c>
      <c r="Q31" s="674">
        <f t="shared" si="11"/>
        <v>0</v>
      </c>
      <c r="R31" s="674" t="str">
        <f t="shared" si="12"/>
        <v>Not Applicable</v>
      </c>
      <c r="S31" s="798" t="str">
        <f>IF($R$7=0,"",IFERROR(VLOOKUP(B31,[3]Sheet1!$C$1:$P$65536,14,FALSE),"NA"))</f>
        <v/>
      </c>
      <c r="T31" s="798">
        <f>IF(O31=0,0,IF(S31="N",0,VLOOKUP(B31,Enrollment!B:J,9,FALSE)))</f>
        <v>0</v>
      </c>
      <c r="U31" s="88">
        <f t="shared" si="13"/>
        <v>0</v>
      </c>
      <c r="V31" s="71">
        <f t="shared" si="14"/>
        <v>0</v>
      </c>
      <c r="W31" s="449">
        <v>0</v>
      </c>
      <c r="X31" s="67">
        <f>IFERROR(VLOOKUP($B31,'Allocation 2021-22'!$B:$O,14,FALSE),0)</f>
        <v>0</v>
      </c>
      <c r="Y31" s="163">
        <f t="shared" si="15"/>
        <v>0</v>
      </c>
      <c r="Z31" s="166">
        <f t="shared" si="16"/>
        <v>0</v>
      </c>
      <c r="AA31" s="34">
        <f t="shared" si="2"/>
        <v>0</v>
      </c>
      <c r="AC31" s="880" t="s">
        <v>496</v>
      </c>
      <c r="AD31" s="880" t="s">
        <v>1598</v>
      </c>
      <c r="AE31" s="452"/>
      <c r="AH31" s="36"/>
      <c r="AI31" s="36"/>
      <c r="AJ31" s="36"/>
      <c r="AK31" s="19"/>
    </row>
    <row r="32" spans="1:37" ht="15">
      <c r="A32" s="64" t="s">
        <v>597</v>
      </c>
      <c r="B32" s="784" t="s">
        <v>347</v>
      </c>
      <c r="C32" s="784" t="s">
        <v>1525</v>
      </c>
      <c r="D32" s="134">
        <f>VLOOKUP(B32,'Enrollment 22-23'!$B:$I,8,FALSE)</f>
        <v>0</v>
      </c>
      <c r="E32" s="67">
        <f t="shared" si="3"/>
        <v>0</v>
      </c>
      <c r="F32" s="146">
        <v>0</v>
      </c>
      <c r="G32" s="146">
        <v>0</v>
      </c>
      <c r="H32" s="91">
        <f t="shared" si="4"/>
        <v>0</v>
      </c>
      <c r="I32" s="67">
        <f t="shared" si="5"/>
        <v>0</v>
      </c>
      <c r="J32" s="739">
        <f t="shared" si="6"/>
        <v>0</v>
      </c>
      <c r="K32" s="837">
        <f>_xlfn.IFNA(VLOOKUP(B32,'[2]22-23 Survey Results'!$A:$F,6,FALSE),0)</f>
        <v>0</v>
      </c>
      <c r="L32" s="740">
        <f t="shared" si="7"/>
        <v>0</v>
      </c>
      <c r="M32" s="741">
        <f t="shared" si="8"/>
        <v>0</v>
      </c>
      <c r="N32" s="67">
        <f t="shared" si="9"/>
        <v>0</v>
      </c>
      <c r="O32" s="67">
        <f t="shared" si="10"/>
        <v>0</v>
      </c>
      <c r="Q32" s="674">
        <f t="shared" si="11"/>
        <v>0</v>
      </c>
      <c r="R32" s="674" t="str">
        <f t="shared" si="12"/>
        <v>Not Applicable</v>
      </c>
      <c r="S32" s="798" t="str">
        <f>IF($R$7=0,"",IFERROR(VLOOKUP(B32,[3]Sheet1!$C$1:$P$65536,14,FALSE),"NA"))</f>
        <v/>
      </c>
      <c r="T32" s="798">
        <f>IF(O32=0,0,IF(S32="N",0,VLOOKUP(B32,Enrollment!B:J,9,FALSE)))</f>
        <v>0</v>
      </c>
      <c r="U32" s="88">
        <f t="shared" si="13"/>
        <v>0</v>
      </c>
      <c r="V32" s="71">
        <f t="shared" si="14"/>
        <v>0</v>
      </c>
      <c r="W32" s="449">
        <v>0</v>
      </c>
      <c r="X32" s="67">
        <f>IFERROR(VLOOKUP($B32,'Allocation 2021-22'!$B:$O,14,FALSE),0)</f>
        <v>0</v>
      </c>
      <c r="Y32" s="163">
        <f t="shared" si="15"/>
        <v>0</v>
      </c>
      <c r="Z32" s="166">
        <f t="shared" si="16"/>
        <v>0</v>
      </c>
      <c r="AA32" s="34">
        <f t="shared" si="2"/>
        <v>0</v>
      </c>
      <c r="AC32" s="882">
        <v>34401</v>
      </c>
      <c r="AD32" s="881" t="s">
        <v>1593</v>
      </c>
      <c r="AE32" s="452"/>
      <c r="AH32" s="36"/>
      <c r="AI32" s="36"/>
      <c r="AJ32" s="36"/>
      <c r="AK32" s="19"/>
    </row>
    <row r="33" spans="1:37" ht="15">
      <c r="A33" s="64" t="s">
        <v>601</v>
      </c>
      <c r="B33" s="784" t="s">
        <v>35</v>
      </c>
      <c r="C33" s="784" t="s">
        <v>1383</v>
      </c>
      <c r="D33" s="134">
        <f>VLOOKUP(B33,'Enrollment 22-23'!$B:$I,8,FALSE)</f>
        <v>134</v>
      </c>
      <c r="E33" s="67">
        <f t="shared" si="3"/>
        <v>18528</v>
      </c>
      <c r="F33" s="146">
        <v>0</v>
      </c>
      <c r="G33" s="146">
        <v>0</v>
      </c>
      <c r="H33" s="91">
        <f t="shared" si="4"/>
        <v>18528</v>
      </c>
      <c r="I33" s="67">
        <f t="shared" si="5"/>
        <v>0</v>
      </c>
      <c r="J33" s="739">
        <f t="shared" si="6"/>
        <v>18528</v>
      </c>
      <c r="K33" s="837" t="str">
        <f>_xlfn.IFNA(VLOOKUP(B33,'[2]22-23 Survey Results'!$A:$F,6,FALSE),0)</f>
        <v>Y</v>
      </c>
      <c r="L33" s="740">
        <f t="shared" si="7"/>
        <v>0</v>
      </c>
      <c r="M33" s="741">
        <f t="shared" si="8"/>
        <v>134</v>
      </c>
      <c r="N33" s="67">
        <f t="shared" si="9"/>
        <v>181</v>
      </c>
      <c r="O33" s="67">
        <f t="shared" si="10"/>
        <v>18709</v>
      </c>
      <c r="Q33" s="674">
        <f t="shared" si="11"/>
        <v>0</v>
      </c>
      <c r="R33" s="674" t="str">
        <f t="shared" si="12"/>
        <v>Not Applicable</v>
      </c>
      <c r="S33" s="798" t="str">
        <f>IF($R$7=0,"",IFERROR(VLOOKUP(B33,[3]Sheet1!$C$1:$P$65536,14,FALSE),"NA"))</f>
        <v/>
      </c>
      <c r="T33" s="798">
        <f>IF(O33=0,0,IF(S33="N",0,VLOOKUP(B33,Enrollment!B:J,9,FALSE)))</f>
        <v>0</v>
      </c>
      <c r="U33" s="88">
        <f t="shared" si="13"/>
        <v>18709</v>
      </c>
      <c r="V33" s="71">
        <f t="shared" si="14"/>
        <v>139.61940298507463</v>
      </c>
      <c r="W33" s="449">
        <v>19888</v>
      </c>
      <c r="X33" s="67">
        <f>IFERROR(VLOOKUP($B33,'Allocation 2021-22'!$B:$O,14,FALSE),0)</f>
        <v>19813</v>
      </c>
      <c r="Y33" s="163">
        <f t="shared" si="15"/>
        <v>-1104</v>
      </c>
      <c r="Z33" s="166">
        <f t="shared" si="16"/>
        <v>-5.5720991268359159E-2</v>
      </c>
      <c r="AA33" s="34" t="str">
        <f t="shared" si="2"/>
        <v>Y</v>
      </c>
      <c r="AC33" s="882">
        <v>17408</v>
      </c>
      <c r="AD33" s="881" t="s">
        <v>1362</v>
      </c>
      <c r="AE33" s="452"/>
      <c r="AH33" s="36"/>
      <c r="AI33" s="36"/>
      <c r="AJ33" s="36"/>
      <c r="AK33" s="19"/>
    </row>
    <row r="34" spans="1:37" ht="15">
      <c r="A34" s="64" t="s">
        <v>1666</v>
      </c>
      <c r="B34" s="784" t="s">
        <v>1751</v>
      </c>
      <c r="C34" s="784" t="s">
        <v>1780</v>
      </c>
      <c r="D34" s="134">
        <f>VLOOKUP(B34,'Enrollment 22-23'!$B:$I,8,FALSE)</f>
        <v>3.17</v>
      </c>
      <c r="E34" s="67">
        <f t="shared" si="3"/>
        <v>438</v>
      </c>
      <c r="F34" s="146">
        <v>0</v>
      </c>
      <c r="G34" s="146">
        <v>0</v>
      </c>
      <c r="H34" s="91">
        <f t="shared" si="4"/>
        <v>438</v>
      </c>
      <c r="I34" s="67">
        <f t="shared" si="5"/>
        <v>0</v>
      </c>
      <c r="J34" s="739">
        <f t="shared" si="6"/>
        <v>438</v>
      </c>
      <c r="K34" s="837" t="str">
        <f>_xlfn.IFNA(VLOOKUP(B34,'[2]22-23 Survey Results'!$A:$F,6,FALSE),0)</f>
        <v>N</v>
      </c>
      <c r="L34" s="740">
        <f t="shared" si="7"/>
        <v>438</v>
      </c>
      <c r="M34" s="741">
        <f t="shared" si="8"/>
        <v>0</v>
      </c>
      <c r="N34" s="67">
        <f t="shared" si="9"/>
        <v>0</v>
      </c>
      <c r="O34" s="67">
        <f t="shared" si="10"/>
        <v>0</v>
      </c>
      <c r="Q34" s="674">
        <f t="shared" si="11"/>
        <v>0</v>
      </c>
      <c r="R34" s="674" t="str">
        <f t="shared" si="12"/>
        <v>Not Applicable</v>
      </c>
      <c r="S34" s="798" t="str">
        <f>IF($R$7=0,"",IFERROR(VLOOKUP(B34,[3]Sheet1!$C$1:$P$65536,14,FALSE),"NA"))</f>
        <v/>
      </c>
      <c r="T34" s="798">
        <f>IF(O34=0,0,IF(S34="N",0,VLOOKUP(B34,Enrollment!B:J,9,FALSE)))</f>
        <v>0</v>
      </c>
      <c r="U34" s="88">
        <f t="shared" si="13"/>
        <v>0</v>
      </c>
      <c r="V34" s="71">
        <f t="shared" si="14"/>
        <v>0</v>
      </c>
      <c r="W34" s="449">
        <v>0</v>
      </c>
      <c r="X34" s="67">
        <f>IFERROR(VLOOKUP($B34,'Allocation 2021-22'!$B:$O,14,FALSE),0)</f>
        <v>0</v>
      </c>
      <c r="Y34" s="163">
        <f t="shared" si="15"/>
        <v>0</v>
      </c>
      <c r="Z34" s="166">
        <f t="shared" si="16"/>
        <v>0</v>
      </c>
      <c r="AA34" s="34" t="str">
        <f t="shared" si="2"/>
        <v>N</v>
      </c>
      <c r="AC34" s="882">
        <v>29320</v>
      </c>
      <c r="AD34" s="881" t="s">
        <v>1544</v>
      </c>
      <c r="AE34" s="452"/>
      <c r="AH34" s="36"/>
      <c r="AI34" s="36"/>
      <c r="AJ34" s="36"/>
      <c r="AK34" s="19"/>
    </row>
    <row r="35" spans="1:37" ht="15">
      <c r="A35" s="64" t="s">
        <v>601</v>
      </c>
      <c r="B35" s="784" t="s">
        <v>33</v>
      </c>
      <c r="C35" s="784" t="s">
        <v>878</v>
      </c>
      <c r="D35" s="134">
        <f>VLOOKUP(B35,'Enrollment 22-23'!$B:$I,8,FALSE)</f>
        <v>188.33</v>
      </c>
      <c r="E35" s="67">
        <f t="shared" si="3"/>
        <v>26040</v>
      </c>
      <c r="F35" s="146">
        <v>0</v>
      </c>
      <c r="G35" s="146">
        <v>0</v>
      </c>
      <c r="H35" s="91">
        <f t="shared" si="4"/>
        <v>26040</v>
      </c>
      <c r="I35" s="67">
        <f t="shared" si="5"/>
        <v>0</v>
      </c>
      <c r="J35" s="739">
        <f t="shared" si="6"/>
        <v>26040</v>
      </c>
      <c r="K35" s="837" t="str">
        <f>_xlfn.IFNA(VLOOKUP(B35,'[2]22-23 Survey Results'!$A:$F,6,FALSE),0)</f>
        <v>Y</v>
      </c>
      <c r="L35" s="740">
        <f t="shared" si="7"/>
        <v>0</v>
      </c>
      <c r="M35" s="741">
        <f t="shared" si="8"/>
        <v>188.33</v>
      </c>
      <c r="N35" s="67">
        <f t="shared" si="9"/>
        <v>254</v>
      </c>
      <c r="O35" s="67">
        <f t="shared" si="10"/>
        <v>26294</v>
      </c>
      <c r="Q35" s="674">
        <f t="shared" si="11"/>
        <v>0</v>
      </c>
      <c r="R35" s="674" t="str">
        <f t="shared" si="12"/>
        <v>Not Applicable</v>
      </c>
      <c r="S35" s="798" t="str">
        <f>IF($R$7=0,"",IFERROR(VLOOKUP(B35,[3]Sheet1!$C$1:$P$65536,14,FALSE),"NA"))</f>
        <v/>
      </c>
      <c r="T35" s="798">
        <f>IF(O35=0,0,IF(S35="N",0,VLOOKUP(B35,Enrollment!B:J,9,FALSE)))</f>
        <v>0</v>
      </c>
      <c r="U35" s="88">
        <f t="shared" si="13"/>
        <v>26294</v>
      </c>
      <c r="V35" s="71">
        <f t="shared" si="14"/>
        <v>139.61663038283862</v>
      </c>
      <c r="W35" s="449">
        <v>28754</v>
      </c>
      <c r="X35" s="67">
        <f>IFERROR(VLOOKUP($B35,'Allocation 2021-22'!$B:$O,14,FALSE),0)</f>
        <v>28646</v>
      </c>
      <c r="Y35" s="163">
        <f t="shared" si="15"/>
        <v>-2352</v>
      </c>
      <c r="Z35" s="166">
        <f t="shared" si="16"/>
        <v>-8.2105704112266989E-2</v>
      </c>
      <c r="AA35" s="34" t="str">
        <f t="shared" si="2"/>
        <v>Y</v>
      </c>
      <c r="AC35" s="882">
        <v>20404</v>
      </c>
      <c r="AD35" s="881" t="s">
        <v>1479</v>
      </c>
      <c r="AE35" s="452"/>
      <c r="AH35" s="36"/>
      <c r="AI35" s="36"/>
      <c r="AJ35" s="36"/>
      <c r="AK35" s="19"/>
    </row>
    <row r="36" spans="1:37" ht="15">
      <c r="A36" s="64" t="s">
        <v>599</v>
      </c>
      <c r="B36" s="784" t="s">
        <v>74</v>
      </c>
      <c r="C36" s="784" t="s">
        <v>1401</v>
      </c>
      <c r="D36" s="134">
        <f>VLOOKUP(B36,'Enrollment 22-23'!$B:$I,8,FALSE)</f>
        <v>20.66</v>
      </c>
      <c r="E36" s="67">
        <f t="shared" si="3"/>
        <v>2857</v>
      </c>
      <c r="F36" s="146">
        <v>0</v>
      </c>
      <c r="G36" s="146">
        <v>0</v>
      </c>
      <c r="H36" s="91">
        <f t="shared" si="4"/>
        <v>2857</v>
      </c>
      <c r="I36" s="67">
        <f t="shared" si="5"/>
        <v>0</v>
      </c>
      <c r="J36" s="739">
        <f t="shared" si="6"/>
        <v>2857</v>
      </c>
      <c r="K36" s="837" t="str">
        <f>_xlfn.IFNA(VLOOKUP(B36,'[2]22-23 Survey Results'!$A:$F,6,FALSE),0)</f>
        <v>N</v>
      </c>
      <c r="L36" s="740">
        <f t="shared" si="7"/>
        <v>2857</v>
      </c>
      <c r="M36" s="741">
        <f t="shared" si="8"/>
        <v>0</v>
      </c>
      <c r="N36" s="67">
        <f t="shared" si="9"/>
        <v>0</v>
      </c>
      <c r="O36" s="67">
        <f t="shared" si="10"/>
        <v>0</v>
      </c>
      <c r="Q36" s="674">
        <f t="shared" si="11"/>
        <v>0</v>
      </c>
      <c r="R36" s="674" t="str">
        <f t="shared" si="12"/>
        <v>Not Applicable</v>
      </c>
      <c r="S36" s="798" t="str">
        <f>IF($R$7=0,"",IFERROR(VLOOKUP(B36,[3]Sheet1!$C$1:$P$65536,14,FALSE),"NA"))</f>
        <v/>
      </c>
      <c r="T36" s="798">
        <f>IF(O36=0,0,IF(S36="N",0,VLOOKUP(B36,Enrollment!B:J,9,FALSE)))</f>
        <v>0</v>
      </c>
      <c r="U36" s="88">
        <f t="shared" si="13"/>
        <v>0</v>
      </c>
      <c r="V36" s="71">
        <f t="shared" si="14"/>
        <v>0</v>
      </c>
      <c r="W36" s="449">
        <v>0</v>
      </c>
      <c r="X36" s="67">
        <f>IFERROR(VLOOKUP($B36,'Allocation 2021-22'!$B:$O,14,FALSE),0)</f>
        <v>0</v>
      </c>
      <c r="Y36" s="163">
        <f t="shared" si="15"/>
        <v>0</v>
      </c>
      <c r="Z36" s="166">
        <f t="shared" si="16"/>
        <v>0</v>
      </c>
      <c r="AA36" s="34" t="str">
        <f t="shared" si="2"/>
        <v>N</v>
      </c>
      <c r="AC36" s="882">
        <v>17911</v>
      </c>
      <c r="AD36" s="881" t="s">
        <v>1802</v>
      </c>
      <c r="AE36" s="452"/>
      <c r="AH36" s="36"/>
      <c r="AI36" s="36"/>
      <c r="AJ36" s="36"/>
      <c r="AK36" s="19"/>
    </row>
    <row r="37" spans="1:37" ht="15">
      <c r="A37" s="64" t="s">
        <v>1666</v>
      </c>
      <c r="B37" s="784" t="s">
        <v>1753</v>
      </c>
      <c r="C37" s="784" t="s">
        <v>1781</v>
      </c>
      <c r="D37" s="134">
        <f>VLOOKUP(B37,'Enrollment 22-23'!$B:$I,8,FALSE)</f>
        <v>1.17</v>
      </c>
      <c r="E37" s="67">
        <f t="shared" si="3"/>
        <v>162</v>
      </c>
      <c r="F37" s="146">
        <v>0</v>
      </c>
      <c r="G37" s="146">
        <v>0</v>
      </c>
      <c r="H37" s="91">
        <f t="shared" si="4"/>
        <v>162</v>
      </c>
      <c r="I37" s="67">
        <f t="shared" si="5"/>
        <v>0</v>
      </c>
      <c r="J37" s="739">
        <f t="shared" si="6"/>
        <v>162</v>
      </c>
      <c r="K37" s="837" t="str">
        <f>_xlfn.IFNA(VLOOKUP(B37,'[2]22-23 Survey Results'!$A:$F,6,FALSE),0)</f>
        <v>N</v>
      </c>
      <c r="L37" s="740">
        <f t="shared" si="7"/>
        <v>162</v>
      </c>
      <c r="M37" s="741">
        <f t="shared" si="8"/>
        <v>0</v>
      </c>
      <c r="N37" s="67">
        <f t="shared" si="9"/>
        <v>0</v>
      </c>
      <c r="O37" s="67">
        <f t="shared" si="10"/>
        <v>0</v>
      </c>
      <c r="Q37" s="674">
        <f t="shared" si="11"/>
        <v>0</v>
      </c>
      <c r="R37" s="674" t="str">
        <f t="shared" si="12"/>
        <v>Not Applicable</v>
      </c>
      <c r="S37" s="798" t="str">
        <f>IF($R$7=0,"",IFERROR(VLOOKUP(B37,[3]Sheet1!$C$1:$P$65536,14,FALSE),"NA"))</f>
        <v/>
      </c>
      <c r="T37" s="798">
        <f>IF(O37=0,0,IF(S37="N",0,VLOOKUP(B37,Enrollment!B:J,9,FALSE)))</f>
        <v>0</v>
      </c>
      <c r="U37" s="88">
        <f t="shared" si="13"/>
        <v>0</v>
      </c>
      <c r="V37" s="71">
        <f t="shared" si="14"/>
        <v>0</v>
      </c>
      <c r="W37" s="449">
        <v>0</v>
      </c>
      <c r="X37" s="67">
        <f>IFERROR(VLOOKUP($B37,'Allocation 2021-22'!$B:$O,14,FALSE),0)</f>
        <v>0</v>
      </c>
      <c r="Y37" s="163">
        <f t="shared" si="15"/>
        <v>0</v>
      </c>
      <c r="Z37" s="166">
        <f t="shared" si="16"/>
        <v>0</v>
      </c>
      <c r="AA37" s="34" t="str">
        <f t="shared" si="2"/>
        <v>N</v>
      </c>
      <c r="AC37" s="882">
        <v>36402</v>
      </c>
      <c r="AD37" s="881" t="s">
        <v>1601</v>
      </c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236</v>
      </c>
      <c r="C38" s="784" t="s">
        <v>1474</v>
      </c>
      <c r="D38" s="134">
        <f>VLOOKUP(B38,'Enrollment 22-23'!$B:$I,8,FALSE)</f>
        <v>0</v>
      </c>
      <c r="E38" s="67">
        <f t="shared" si="3"/>
        <v>0</v>
      </c>
      <c r="F38" s="146">
        <v>0</v>
      </c>
      <c r="G38" s="146">
        <v>0</v>
      </c>
      <c r="H38" s="91">
        <f t="shared" si="4"/>
        <v>0</v>
      </c>
      <c r="I38" s="67">
        <f t="shared" si="5"/>
        <v>0</v>
      </c>
      <c r="J38" s="739">
        <f t="shared" si="6"/>
        <v>0</v>
      </c>
      <c r="K38" s="837">
        <f>_xlfn.IFNA(VLOOKUP(B38,'[2]22-23 Survey Results'!$A:$F,6,FALSE),0)</f>
        <v>0</v>
      </c>
      <c r="L38" s="740">
        <f t="shared" si="7"/>
        <v>0</v>
      </c>
      <c r="M38" s="741">
        <f t="shared" si="8"/>
        <v>0</v>
      </c>
      <c r="N38" s="67">
        <f t="shared" si="9"/>
        <v>0</v>
      </c>
      <c r="O38" s="67">
        <f t="shared" si="10"/>
        <v>0</v>
      </c>
      <c r="Q38" s="674">
        <f t="shared" si="11"/>
        <v>0</v>
      </c>
      <c r="R38" s="674" t="str">
        <f t="shared" si="12"/>
        <v>Not Applicable</v>
      </c>
      <c r="S38" s="798" t="str">
        <f>IF($R$7=0,"",IFERROR(VLOOKUP(B38,[3]Sheet1!$C$1:$P$65536,14,FALSE),"NA"))</f>
        <v/>
      </c>
      <c r="T38" s="798">
        <f>IF(O38=0,0,IF(S38="N",0,VLOOKUP(B38,Enrollment!B:J,9,FALSE)))</f>
        <v>0</v>
      </c>
      <c r="U38" s="88">
        <f t="shared" si="13"/>
        <v>0</v>
      </c>
      <c r="V38" s="71">
        <f t="shared" si="14"/>
        <v>0</v>
      </c>
      <c r="W38" s="449">
        <v>0</v>
      </c>
      <c r="X38" s="67">
        <f>IFERROR(VLOOKUP($B38,'Allocation 2021-22'!$B:$O,14,FALSE),0)</f>
        <v>0</v>
      </c>
      <c r="Y38" s="163">
        <f t="shared" si="15"/>
        <v>0</v>
      </c>
      <c r="Z38" s="166">
        <f t="shared" si="16"/>
        <v>0</v>
      </c>
      <c r="AA38" s="34">
        <f t="shared" si="2"/>
        <v>0</v>
      </c>
      <c r="AC38" s="55"/>
      <c r="AD38" s="451"/>
      <c r="AE38" s="452"/>
      <c r="AH38" s="36"/>
      <c r="AI38" s="36"/>
      <c r="AJ38" s="36"/>
      <c r="AK38" s="19"/>
    </row>
    <row r="39" spans="1:37">
      <c r="A39" s="64" t="s">
        <v>600</v>
      </c>
      <c r="B39" s="784" t="s">
        <v>216</v>
      </c>
      <c r="C39" s="784" t="s">
        <v>1464</v>
      </c>
      <c r="D39" s="134">
        <f>VLOOKUP(B39,'Enrollment 22-23'!$B:$I,8,FALSE)</f>
        <v>427.16</v>
      </c>
      <c r="E39" s="67">
        <f t="shared" si="3"/>
        <v>59062</v>
      </c>
      <c r="F39" s="146">
        <v>0</v>
      </c>
      <c r="G39" s="146">
        <v>0</v>
      </c>
      <c r="H39" s="91">
        <f t="shared" si="4"/>
        <v>59062</v>
      </c>
      <c r="I39" s="67">
        <f t="shared" si="5"/>
        <v>0</v>
      </c>
      <c r="J39" s="739">
        <f t="shared" si="6"/>
        <v>59062</v>
      </c>
      <c r="K39" s="837" t="str">
        <f>_xlfn.IFNA(VLOOKUP(B39,'[2]22-23 Survey Results'!$A:$F,6,FALSE),0)</f>
        <v>Y</v>
      </c>
      <c r="L39" s="740">
        <f t="shared" si="7"/>
        <v>0</v>
      </c>
      <c r="M39" s="741">
        <f t="shared" si="8"/>
        <v>427.16</v>
      </c>
      <c r="N39" s="67">
        <f t="shared" si="9"/>
        <v>577</v>
      </c>
      <c r="O39" s="67">
        <f t="shared" si="10"/>
        <v>59639</v>
      </c>
      <c r="Q39" s="674">
        <f t="shared" si="11"/>
        <v>0</v>
      </c>
      <c r="R39" s="674" t="str">
        <f t="shared" si="12"/>
        <v>Not Applicable</v>
      </c>
      <c r="S39" s="798" t="str">
        <f>IF($R$7=0,"",IFERROR(VLOOKUP(B39,[3]Sheet1!$C$1:$P$65536,14,FALSE),"NA"))</f>
        <v/>
      </c>
      <c r="T39" s="798">
        <f>IF(O39=0,0,IF(S39="N",0,VLOOKUP(B39,Enrollment!B:J,9,FALSE)))</f>
        <v>0</v>
      </c>
      <c r="U39" s="88">
        <f t="shared" si="13"/>
        <v>59639</v>
      </c>
      <c r="V39" s="71">
        <f t="shared" si="14"/>
        <v>139.61747354621218</v>
      </c>
      <c r="W39" s="449">
        <v>52386</v>
      </c>
      <c r="X39" s="67">
        <f>IFERROR(VLOOKUP($B39,'Allocation 2021-22'!$B:$O,14,FALSE),0)</f>
        <v>52189</v>
      </c>
      <c r="Y39" s="163">
        <f t="shared" si="15"/>
        <v>7450</v>
      </c>
      <c r="Z39" s="166">
        <f t="shared" si="16"/>
        <v>0.14275038801279963</v>
      </c>
      <c r="AA39" s="34" t="str">
        <f t="shared" si="2"/>
        <v>Y</v>
      </c>
      <c r="AD39" s="451"/>
      <c r="AE39" s="452"/>
      <c r="AH39" s="36"/>
      <c r="AI39" s="36"/>
      <c r="AJ39" s="36"/>
      <c r="AK39" s="19"/>
    </row>
    <row r="40" spans="1:37">
      <c r="A40" s="64" t="s">
        <v>603</v>
      </c>
      <c r="B40" s="784" t="s">
        <v>434</v>
      </c>
      <c r="C40" s="784" t="s">
        <v>1568</v>
      </c>
      <c r="D40" s="134">
        <f>VLOOKUP(B40,'Enrollment 22-23'!$B:$I,8,FALSE)</f>
        <v>505.17</v>
      </c>
      <c r="E40" s="67">
        <f t="shared" si="3"/>
        <v>69848</v>
      </c>
      <c r="F40" s="146">
        <v>0</v>
      </c>
      <c r="G40" s="146">
        <v>0</v>
      </c>
      <c r="H40" s="91">
        <f t="shared" si="4"/>
        <v>69848</v>
      </c>
      <c r="I40" s="67">
        <f t="shared" si="5"/>
        <v>0</v>
      </c>
      <c r="J40" s="739">
        <f t="shared" si="6"/>
        <v>69848</v>
      </c>
      <c r="K40" s="837" t="str">
        <f>_xlfn.IFNA(VLOOKUP(B40,'[2]22-23 Survey Results'!$A:$F,6,FALSE),0)</f>
        <v>Y</v>
      </c>
      <c r="L40" s="740">
        <f t="shared" si="7"/>
        <v>0</v>
      </c>
      <c r="M40" s="741">
        <f t="shared" si="8"/>
        <v>505.17</v>
      </c>
      <c r="N40" s="67">
        <f t="shared" si="9"/>
        <v>682</v>
      </c>
      <c r="O40" s="67">
        <f t="shared" si="10"/>
        <v>70530</v>
      </c>
      <c r="Q40" s="674">
        <f t="shared" si="11"/>
        <v>0</v>
      </c>
      <c r="R40" s="674" t="str">
        <f t="shared" si="12"/>
        <v>Not Applicable</v>
      </c>
      <c r="S40" s="798" t="str">
        <f>IF($R$7=0,"",IFERROR(VLOOKUP(B40,[3]Sheet1!$C$1:$P$65536,14,FALSE),"NA"))</f>
        <v/>
      </c>
      <c r="T40" s="798">
        <f>IF(O40=0,0,IF(S40="N",0,VLOOKUP(B40,Enrollment!B:J,9,FALSE)))</f>
        <v>0</v>
      </c>
      <c r="U40" s="88">
        <f t="shared" si="13"/>
        <v>70530</v>
      </c>
      <c r="V40" s="71">
        <f t="shared" si="14"/>
        <v>139.61636676762276</v>
      </c>
      <c r="W40" s="449">
        <v>70369</v>
      </c>
      <c r="X40" s="67">
        <f>IFERROR(VLOOKUP($B40,'Allocation 2021-22'!$B:$O,14,FALSE),0)</f>
        <v>70103</v>
      </c>
      <c r="Y40" s="163">
        <f t="shared" si="15"/>
        <v>427</v>
      </c>
      <c r="Z40" s="166">
        <f t="shared" si="16"/>
        <v>6.0910374734319504E-3</v>
      </c>
      <c r="AA40" s="34" t="str">
        <f t="shared" si="2"/>
        <v>Y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594</v>
      </c>
      <c r="B41" s="784" t="s">
        <v>278</v>
      </c>
      <c r="C41" s="784" t="s">
        <v>622</v>
      </c>
      <c r="D41" s="134">
        <f>VLOOKUP(B41,'Enrollment 22-23'!$B:$I,8,FALSE)</f>
        <v>482.66999999999996</v>
      </c>
      <c r="E41" s="67">
        <f t="shared" si="3"/>
        <v>66737</v>
      </c>
      <c r="F41" s="146">
        <v>0</v>
      </c>
      <c r="G41" s="146">
        <v>0</v>
      </c>
      <c r="H41" s="91">
        <f t="shared" si="4"/>
        <v>66737</v>
      </c>
      <c r="I41" s="67">
        <f t="shared" si="5"/>
        <v>0</v>
      </c>
      <c r="J41" s="739">
        <f t="shared" si="6"/>
        <v>66737</v>
      </c>
      <c r="K41" s="837" t="str">
        <f>_xlfn.IFNA(VLOOKUP(B41,'[2]22-23 Survey Results'!$A:$F,6,FALSE),0)</f>
        <v>Y</v>
      </c>
      <c r="L41" s="740">
        <f t="shared" si="7"/>
        <v>0</v>
      </c>
      <c r="M41" s="741">
        <f t="shared" si="8"/>
        <v>482.66999999999996</v>
      </c>
      <c r="N41" s="67">
        <f t="shared" si="9"/>
        <v>652</v>
      </c>
      <c r="O41" s="67">
        <f t="shared" si="10"/>
        <v>67389</v>
      </c>
      <c r="Q41" s="674">
        <f t="shared" si="11"/>
        <v>0</v>
      </c>
      <c r="R41" s="674" t="str">
        <f t="shared" si="12"/>
        <v>Not Applicable</v>
      </c>
      <c r="S41" s="798" t="str">
        <f>IF($R$7=0,"",IFERROR(VLOOKUP(B41,[3]Sheet1!$C$1:$P$65536,14,FALSE),"NA"))</f>
        <v/>
      </c>
      <c r="T41" s="798">
        <f>IF(O41=0,0,IF(S41="N",0,VLOOKUP(B41,Enrollment!B:J,9,FALSE)))</f>
        <v>0</v>
      </c>
      <c r="U41" s="88">
        <f t="shared" si="13"/>
        <v>67389</v>
      </c>
      <c r="V41" s="71">
        <f t="shared" si="14"/>
        <v>139.617129715955</v>
      </c>
      <c r="W41" s="449">
        <v>60492</v>
      </c>
      <c r="X41" s="67">
        <f>IFERROR(VLOOKUP($B41,'Allocation 2021-22'!$B:$O,14,FALSE),0)</f>
        <v>60265</v>
      </c>
      <c r="Y41" s="163">
        <f t="shared" si="15"/>
        <v>7124</v>
      </c>
      <c r="Z41" s="166">
        <f t="shared" si="16"/>
        <v>0.11821123371774662</v>
      </c>
      <c r="AA41" s="34" t="str">
        <f t="shared" si="2"/>
        <v>Y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594</v>
      </c>
      <c r="B42" s="784" t="s">
        <v>274</v>
      </c>
      <c r="C42" s="784" t="s">
        <v>1491</v>
      </c>
      <c r="D42" s="134">
        <f>VLOOKUP(B42,'Enrollment 22-23'!$B:$I,8,FALSE)</f>
        <v>117.5</v>
      </c>
      <c r="E42" s="67">
        <f t="shared" si="3"/>
        <v>16246</v>
      </c>
      <c r="F42" s="146">
        <v>0</v>
      </c>
      <c r="G42" s="146">
        <v>0</v>
      </c>
      <c r="H42" s="91">
        <f t="shared" si="4"/>
        <v>16246</v>
      </c>
      <c r="I42" s="67">
        <f t="shared" si="5"/>
        <v>0</v>
      </c>
      <c r="J42" s="739">
        <f t="shared" si="6"/>
        <v>16246</v>
      </c>
      <c r="K42" s="837" t="str">
        <f>_xlfn.IFNA(VLOOKUP(B42,'[2]22-23 Survey Results'!$A:$F,6,FALSE),0)</f>
        <v>Y</v>
      </c>
      <c r="L42" s="740">
        <f t="shared" si="7"/>
        <v>0</v>
      </c>
      <c r="M42" s="741">
        <f t="shared" si="8"/>
        <v>117.5</v>
      </c>
      <c r="N42" s="67">
        <f t="shared" si="9"/>
        <v>159</v>
      </c>
      <c r="O42" s="67">
        <f t="shared" si="10"/>
        <v>16405</v>
      </c>
      <c r="Q42" s="674">
        <f t="shared" si="11"/>
        <v>0</v>
      </c>
      <c r="R42" s="674" t="str">
        <f t="shared" si="12"/>
        <v>Not Applicable</v>
      </c>
      <c r="S42" s="798" t="str">
        <f>IF($R$7=0,"",IFERROR(VLOOKUP(B42,[3]Sheet1!$C$1:$P$65536,14,FALSE),"NA"))</f>
        <v/>
      </c>
      <c r="T42" s="798">
        <f>IF(O42=0,0,IF(S42="N",0,VLOOKUP(B42,Enrollment!B:J,9,FALSE)))</f>
        <v>0</v>
      </c>
      <c r="U42" s="88">
        <f t="shared" si="13"/>
        <v>16405</v>
      </c>
      <c r="V42" s="71">
        <f t="shared" si="14"/>
        <v>139.61702127659575</v>
      </c>
      <c r="W42" s="449">
        <v>17179</v>
      </c>
      <c r="X42" s="67">
        <f>IFERROR(VLOOKUP($B42,'Allocation 2021-22'!$B:$O,14,FALSE),0)</f>
        <v>16016</v>
      </c>
      <c r="Y42" s="163">
        <f t="shared" si="15"/>
        <v>389</v>
      </c>
      <c r="Z42" s="166">
        <f t="shared" si="16"/>
        <v>2.4288211788211788E-2</v>
      </c>
      <c r="AA42" s="34" t="str">
        <f t="shared" si="2"/>
        <v>Y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603</v>
      </c>
      <c r="B43" s="784" t="s">
        <v>438</v>
      </c>
      <c r="C43" s="784" t="s">
        <v>1570</v>
      </c>
      <c r="D43" s="134">
        <f>VLOOKUP(B43,'Enrollment 22-23'!$B:$I,8,FALSE)</f>
        <v>257.16999999999996</v>
      </c>
      <c r="E43" s="67">
        <f t="shared" si="3"/>
        <v>35558</v>
      </c>
      <c r="F43" s="146">
        <v>0</v>
      </c>
      <c r="G43" s="146">
        <v>0</v>
      </c>
      <c r="H43" s="91">
        <f t="shared" si="4"/>
        <v>35558</v>
      </c>
      <c r="I43" s="67">
        <f t="shared" si="5"/>
        <v>0</v>
      </c>
      <c r="J43" s="739">
        <f t="shared" si="6"/>
        <v>35558</v>
      </c>
      <c r="K43" s="837" t="str">
        <f>_xlfn.IFNA(VLOOKUP(B43,'[2]22-23 Survey Results'!$A:$F,6,FALSE),0)</f>
        <v>Y</v>
      </c>
      <c r="L43" s="740">
        <f t="shared" si="7"/>
        <v>0</v>
      </c>
      <c r="M43" s="741">
        <f t="shared" si="8"/>
        <v>257.16999999999996</v>
      </c>
      <c r="N43" s="67">
        <f t="shared" si="9"/>
        <v>347</v>
      </c>
      <c r="O43" s="67">
        <f t="shared" si="10"/>
        <v>35905</v>
      </c>
      <c r="Q43" s="674">
        <f t="shared" si="11"/>
        <v>0</v>
      </c>
      <c r="R43" s="674" t="str">
        <f t="shared" si="12"/>
        <v>Not Applicable</v>
      </c>
      <c r="S43" s="798" t="str">
        <f>IF($R$7=0,"",IFERROR(VLOOKUP(B43,[3]Sheet1!$C$1:$P$65536,14,FALSE),"NA"))</f>
        <v/>
      </c>
      <c r="T43" s="798">
        <f>IF(O43=0,0,IF(S43="N",0,VLOOKUP(B43,Enrollment!B:J,9,FALSE)))</f>
        <v>0</v>
      </c>
      <c r="U43" s="88">
        <f t="shared" si="13"/>
        <v>35905</v>
      </c>
      <c r="V43" s="71">
        <f t="shared" si="14"/>
        <v>139.61581833028737</v>
      </c>
      <c r="W43" s="449">
        <v>27949</v>
      </c>
      <c r="X43" s="67">
        <f>IFERROR(VLOOKUP($B43,'Allocation 2021-22'!$B:$O,14,FALSE),0)</f>
        <v>27844</v>
      </c>
      <c r="Y43" s="163">
        <f t="shared" si="15"/>
        <v>8061</v>
      </c>
      <c r="Z43" s="166">
        <f t="shared" si="16"/>
        <v>0.2895058181295791</v>
      </c>
      <c r="AA43" s="34" t="str">
        <f t="shared" si="2"/>
        <v>Y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603</v>
      </c>
      <c r="B44" s="784" t="s">
        <v>450</v>
      </c>
      <c r="C44" s="784" t="s">
        <v>1577</v>
      </c>
      <c r="D44" s="134">
        <f>VLOOKUP(B44,'Enrollment 22-23'!$B:$I,8,FALSE)</f>
        <v>1</v>
      </c>
      <c r="E44" s="67">
        <f t="shared" si="3"/>
        <v>138</v>
      </c>
      <c r="F44" s="146">
        <v>0</v>
      </c>
      <c r="G44" s="146">
        <v>0</v>
      </c>
      <c r="H44" s="91">
        <f t="shared" si="4"/>
        <v>138</v>
      </c>
      <c r="I44" s="67">
        <f t="shared" si="5"/>
        <v>0</v>
      </c>
      <c r="J44" s="739">
        <f t="shared" si="6"/>
        <v>138</v>
      </c>
      <c r="K44" s="837" t="str">
        <f>_xlfn.IFNA(VLOOKUP(B44,'[2]22-23 Survey Results'!$A:$F,6,FALSE),0)</f>
        <v>N</v>
      </c>
      <c r="L44" s="740">
        <f t="shared" si="7"/>
        <v>138</v>
      </c>
      <c r="M44" s="741">
        <f t="shared" si="8"/>
        <v>0</v>
      </c>
      <c r="N44" s="67">
        <f t="shared" si="9"/>
        <v>0</v>
      </c>
      <c r="O44" s="67">
        <f t="shared" si="10"/>
        <v>0</v>
      </c>
      <c r="Q44" s="674">
        <f t="shared" si="11"/>
        <v>0</v>
      </c>
      <c r="R44" s="674" t="str">
        <f t="shared" si="12"/>
        <v>Not Applicable</v>
      </c>
      <c r="S44" s="798" t="str">
        <f>IF($R$7=0,"",IFERROR(VLOOKUP(B44,[3]Sheet1!$C$1:$P$65536,14,FALSE),"NA"))</f>
        <v/>
      </c>
      <c r="T44" s="798">
        <f>IF(O44=0,0,IF(S44="N",0,VLOOKUP(B44,Enrollment!B:J,9,FALSE)))</f>
        <v>0</v>
      </c>
      <c r="U44" s="88">
        <f t="shared" si="13"/>
        <v>0</v>
      </c>
      <c r="V44" s="71">
        <f t="shared" si="14"/>
        <v>0</v>
      </c>
      <c r="W44" s="449">
        <v>0</v>
      </c>
      <c r="X44" s="67">
        <f>IFERROR(VLOOKUP($B44,'Allocation 2021-22'!$B:$O,14,FALSE),0)</f>
        <v>0</v>
      </c>
      <c r="Y44" s="163">
        <f t="shared" si="15"/>
        <v>0</v>
      </c>
      <c r="Z44" s="166">
        <f t="shared" si="16"/>
        <v>0</v>
      </c>
      <c r="AA44" s="34" t="str">
        <f t="shared" si="2"/>
        <v>N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600</v>
      </c>
      <c r="B45" s="784" t="s">
        <v>169</v>
      </c>
      <c r="C45" s="784" t="s">
        <v>1446</v>
      </c>
      <c r="D45" s="134">
        <f>VLOOKUP(B45,'Enrollment 22-23'!$B:$I,8,FALSE)</f>
        <v>17.670000000000002</v>
      </c>
      <c r="E45" s="67">
        <f t="shared" si="3"/>
        <v>2443</v>
      </c>
      <c r="F45" s="146">
        <v>0</v>
      </c>
      <c r="G45" s="146">
        <v>0</v>
      </c>
      <c r="H45" s="91">
        <f t="shared" si="4"/>
        <v>2443</v>
      </c>
      <c r="I45" s="67">
        <f t="shared" si="5"/>
        <v>0</v>
      </c>
      <c r="J45" s="739">
        <f t="shared" si="6"/>
        <v>2443</v>
      </c>
      <c r="K45" s="837" t="str">
        <f>_xlfn.IFNA(VLOOKUP(B45,'[2]22-23 Survey Results'!$A:$F,6,FALSE),0)</f>
        <v>N</v>
      </c>
      <c r="L45" s="740">
        <f t="shared" si="7"/>
        <v>2443</v>
      </c>
      <c r="M45" s="741">
        <f t="shared" si="8"/>
        <v>0</v>
      </c>
      <c r="N45" s="67">
        <f t="shared" si="9"/>
        <v>0</v>
      </c>
      <c r="O45" s="67">
        <f t="shared" si="10"/>
        <v>0</v>
      </c>
      <c r="Q45" s="674">
        <f t="shared" si="11"/>
        <v>0</v>
      </c>
      <c r="R45" s="674" t="str">
        <f t="shared" si="12"/>
        <v>Not Applicable</v>
      </c>
      <c r="S45" s="798" t="str">
        <f>IF($R$7=0,"",IFERROR(VLOOKUP(B45,[3]Sheet1!$C$1:$P$65536,14,FALSE),"NA"))</f>
        <v/>
      </c>
      <c r="T45" s="798">
        <f>IF(O45=0,0,IF(S45="N",0,VLOOKUP(B45,Enrollment!B:J,9,FALSE)))</f>
        <v>0</v>
      </c>
      <c r="U45" s="88">
        <f t="shared" si="13"/>
        <v>0</v>
      </c>
      <c r="V45" s="71">
        <f t="shared" si="14"/>
        <v>0</v>
      </c>
      <c r="W45" s="449">
        <v>0</v>
      </c>
      <c r="X45" s="67">
        <f>IFERROR(VLOOKUP($B45,'Allocation 2021-22'!$B:$O,14,FALSE),0)</f>
        <v>0</v>
      </c>
      <c r="Y45" s="163">
        <f t="shared" si="15"/>
        <v>0</v>
      </c>
      <c r="Z45" s="166">
        <f t="shared" si="16"/>
        <v>0</v>
      </c>
      <c r="AA45" s="34" t="str">
        <f t="shared" si="2"/>
        <v>N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596</v>
      </c>
      <c r="B46" s="784" t="s">
        <v>10</v>
      </c>
      <c r="C46" s="784" t="s">
        <v>1373</v>
      </c>
      <c r="D46" s="134">
        <f>VLOOKUP(B46,'Enrollment 22-23'!$B:$I,8,FALSE)</f>
        <v>19.329999999999998</v>
      </c>
      <c r="E46" s="67">
        <f t="shared" si="3"/>
        <v>2673</v>
      </c>
      <c r="F46" s="146">
        <v>0</v>
      </c>
      <c r="G46" s="146">
        <v>0</v>
      </c>
      <c r="H46" s="91">
        <f t="shared" si="4"/>
        <v>2673</v>
      </c>
      <c r="I46" s="67">
        <f t="shared" si="5"/>
        <v>0</v>
      </c>
      <c r="J46" s="739">
        <f t="shared" si="6"/>
        <v>2673</v>
      </c>
      <c r="K46" s="837" t="str">
        <f>_xlfn.IFNA(VLOOKUP(B46,'[2]22-23 Survey Results'!$A:$F,6,FALSE),0)</f>
        <v>N</v>
      </c>
      <c r="L46" s="740">
        <f t="shared" si="7"/>
        <v>2673</v>
      </c>
      <c r="M46" s="741">
        <f t="shared" si="8"/>
        <v>0</v>
      </c>
      <c r="N46" s="67">
        <f t="shared" si="9"/>
        <v>0</v>
      </c>
      <c r="O46" s="67">
        <f t="shared" si="10"/>
        <v>0</v>
      </c>
      <c r="Q46" s="674">
        <f t="shared" si="11"/>
        <v>0</v>
      </c>
      <c r="R46" s="674" t="str">
        <f t="shared" si="12"/>
        <v>Not Applicable</v>
      </c>
      <c r="S46" s="798" t="str">
        <f>IF($R$7=0,"",IFERROR(VLOOKUP(B46,[3]Sheet1!$C$1:$P$65536,14,FALSE),"NA"))</f>
        <v/>
      </c>
      <c r="T46" s="798">
        <f>IF(O46=0,0,IF(S46="N",0,VLOOKUP(B46,Enrollment!B:J,9,FALSE)))</f>
        <v>0</v>
      </c>
      <c r="U46" s="88">
        <f t="shared" si="13"/>
        <v>0</v>
      </c>
      <c r="V46" s="71">
        <f t="shared" si="14"/>
        <v>0</v>
      </c>
      <c r="W46" s="449">
        <v>0</v>
      </c>
      <c r="X46" s="67">
        <f>IFERROR(VLOOKUP($B46,'Allocation 2021-22'!$B:$O,14,FALSE),0)</f>
        <v>0</v>
      </c>
      <c r="Y46" s="163">
        <f t="shared" si="15"/>
        <v>0</v>
      </c>
      <c r="Z46" s="166">
        <f t="shared" si="16"/>
        <v>0</v>
      </c>
      <c r="AA46" s="34" t="str">
        <f t="shared" si="2"/>
        <v>N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605</v>
      </c>
      <c r="B47" s="784" t="s">
        <v>230</v>
      </c>
      <c r="C47" s="784" t="s">
        <v>1471</v>
      </c>
      <c r="D47" s="134">
        <f>VLOOKUP(B47,'Enrollment 22-23'!$B:$I,8,FALSE)</f>
        <v>13.34</v>
      </c>
      <c r="E47" s="67">
        <f t="shared" si="3"/>
        <v>1844</v>
      </c>
      <c r="F47" s="146">
        <v>0</v>
      </c>
      <c r="G47" s="146">
        <v>0</v>
      </c>
      <c r="H47" s="91">
        <f t="shared" si="4"/>
        <v>1844</v>
      </c>
      <c r="I47" s="67">
        <f t="shared" si="5"/>
        <v>0</v>
      </c>
      <c r="J47" s="739">
        <f t="shared" si="6"/>
        <v>1844</v>
      </c>
      <c r="K47" s="837" t="str">
        <f>_xlfn.IFNA(VLOOKUP(B47,'[2]22-23 Survey Results'!$A:$F,6,FALSE),0)</f>
        <v>C</v>
      </c>
      <c r="L47" s="740">
        <f t="shared" si="7"/>
        <v>0</v>
      </c>
      <c r="M47" s="741">
        <f t="shared" si="8"/>
        <v>13.34</v>
      </c>
      <c r="N47" s="67">
        <f t="shared" si="9"/>
        <v>18</v>
      </c>
      <c r="O47" s="67">
        <f t="shared" si="10"/>
        <v>1862</v>
      </c>
      <c r="Q47" s="674">
        <f t="shared" si="11"/>
        <v>0</v>
      </c>
      <c r="R47" s="674" t="str">
        <f t="shared" si="12"/>
        <v>Not Applicable</v>
      </c>
      <c r="S47" s="798" t="str">
        <f>IF($R$7=0,"",IFERROR(VLOOKUP(B47,[3]Sheet1!$C$1:$P$65536,14,FALSE),"NA"))</f>
        <v/>
      </c>
      <c r="T47" s="798">
        <f>IF(O47=0,0,IF(S47="N",0,VLOOKUP(B47,Enrollment!B:J,9,FALSE)))</f>
        <v>0</v>
      </c>
      <c r="U47" s="88">
        <f t="shared" si="13"/>
        <v>1862</v>
      </c>
      <c r="V47" s="71">
        <f t="shared" si="14"/>
        <v>139.58020989505246</v>
      </c>
      <c r="W47" s="449">
        <v>0</v>
      </c>
      <c r="X47" s="67">
        <f>IFERROR(VLOOKUP($B47,'Allocation 2021-22'!$B:$O,14,FALSE),0)</f>
        <v>2379</v>
      </c>
      <c r="Y47" s="163">
        <f t="shared" si="15"/>
        <v>-517</v>
      </c>
      <c r="Z47" s="166">
        <f t="shared" si="16"/>
        <v>-0.21731820092475831</v>
      </c>
      <c r="AA47" s="34" t="str">
        <f t="shared" si="2"/>
        <v>C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597</v>
      </c>
      <c r="B48" s="784" t="s">
        <v>357</v>
      </c>
      <c r="C48" s="784" t="s">
        <v>1530</v>
      </c>
      <c r="D48" s="134">
        <f>VLOOKUP(B48,'Enrollment 22-23'!$B:$I,8,FALSE)</f>
        <v>1629.5</v>
      </c>
      <c r="E48" s="67">
        <f t="shared" si="3"/>
        <v>225304</v>
      </c>
      <c r="F48" s="146">
        <v>0</v>
      </c>
      <c r="G48" s="146">
        <v>0</v>
      </c>
      <c r="H48" s="91">
        <f t="shared" si="4"/>
        <v>225304</v>
      </c>
      <c r="I48" s="67">
        <f t="shared" si="5"/>
        <v>0</v>
      </c>
      <c r="J48" s="739">
        <f t="shared" si="6"/>
        <v>225304</v>
      </c>
      <c r="K48" s="837" t="str">
        <f>_xlfn.IFNA(VLOOKUP(B48,'[2]22-23 Survey Results'!$A:$F,6,FALSE),0)</f>
        <v>Y</v>
      </c>
      <c r="L48" s="740">
        <f t="shared" si="7"/>
        <v>0</v>
      </c>
      <c r="M48" s="741">
        <f t="shared" si="8"/>
        <v>1629.5</v>
      </c>
      <c r="N48" s="67">
        <f t="shared" si="9"/>
        <v>2200</v>
      </c>
      <c r="O48" s="67">
        <f t="shared" si="10"/>
        <v>227504</v>
      </c>
      <c r="Q48" s="674">
        <f t="shared" si="11"/>
        <v>0</v>
      </c>
      <c r="R48" s="674" t="str">
        <f t="shared" si="12"/>
        <v>Not Applicable</v>
      </c>
      <c r="S48" s="798" t="str">
        <f>IF($R$7=0,"",IFERROR(VLOOKUP(B48,[3]Sheet1!$C$1:$P$65536,14,FALSE),"NA"))</f>
        <v/>
      </c>
      <c r="T48" s="798">
        <f>IF(O48=0,0,IF(S48="N",0,VLOOKUP(B48,Enrollment!B:J,9,FALSE)))</f>
        <v>0</v>
      </c>
      <c r="U48" s="88">
        <f t="shared" si="13"/>
        <v>227504</v>
      </c>
      <c r="V48" s="71">
        <f t="shared" si="14"/>
        <v>139.61583307763118</v>
      </c>
      <c r="W48" s="449">
        <v>223988</v>
      </c>
      <c r="X48" s="67">
        <f>IFERROR(VLOOKUP($B48,'Allocation 2021-22'!$B:$O,14,FALSE),0)</f>
        <v>225889</v>
      </c>
      <c r="Y48" s="163">
        <f t="shared" si="15"/>
        <v>1615</v>
      </c>
      <c r="Z48" s="166">
        <f t="shared" si="16"/>
        <v>7.1495291935419611E-3</v>
      </c>
      <c r="AA48" s="34" t="str">
        <f t="shared" si="2"/>
        <v>Y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603</v>
      </c>
      <c r="B49" s="784" t="s">
        <v>525</v>
      </c>
      <c r="C49" s="784" t="s">
        <v>1611</v>
      </c>
      <c r="D49" s="134">
        <f>VLOOKUP(B49,'Enrollment 22-23'!$B:$I,8,FALSE)</f>
        <v>0</v>
      </c>
      <c r="E49" s="67">
        <f t="shared" si="3"/>
        <v>0</v>
      </c>
      <c r="F49" s="146">
        <v>0</v>
      </c>
      <c r="G49" s="146">
        <v>0</v>
      </c>
      <c r="H49" s="91">
        <f t="shared" si="4"/>
        <v>0</v>
      </c>
      <c r="I49" s="67">
        <f t="shared" si="5"/>
        <v>0</v>
      </c>
      <c r="J49" s="739">
        <f t="shared" si="6"/>
        <v>0</v>
      </c>
      <c r="K49" s="837">
        <f>_xlfn.IFNA(VLOOKUP(B49,'[2]22-23 Survey Results'!$A:$F,6,FALSE),0)</f>
        <v>0</v>
      </c>
      <c r="L49" s="740">
        <f t="shared" si="7"/>
        <v>0</v>
      </c>
      <c r="M49" s="741">
        <f t="shared" si="8"/>
        <v>0</v>
      </c>
      <c r="N49" s="67">
        <f t="shared" si="9"/>
        <v>0</v>
      </c>
      <c r="O49" s="67">
        <f t="shared" si="10"/>
        <v>0</v>
      </c>
      <c r="Q49" s="674">
        <f t="shared" si="11"/>
        <v>0</v>
      </c>
      <c r="R49" s="674" t="str">
        <f t="shared" si="12"/>
        <v>Not Applicable</v>
      </c>
      <c r="S49" s="798" t="str">
        <f>IF($R$7=0,"",IFERROR(VLOOKUP(B49,[3]Sheet1!$C$1:$P$65536,14,FALSE),"NA"))</f>
        <v/>
      </c>
      <c r="T49" s="798">
        <f>IF(O49=0,0,IF(S49="N",0,VLOOKUP(B49,Enrollment!B:J,9,FALSE)))</f>
        <v>0</v>
      </c>
      <c r="U49" s="88">
        <f t="shared" si="13"/>
        <v>0</v>
      </c>
      <c r="V49" s="71">
        <f t="shared" si="14"/>
        <v>0</v>
      </c>
      <c r="W49" s="449">
        <v>0</v>
      </c>
      <c r="X49" s="67">
        <f>IFERROR(VLOOKUP($B49,'Allocation 2021-22'!$B:$O,14,FALSE),0)</f>
        <v>0</v>
      </c>
      <c r="Y49" s="163">
        <f t="shared" si="15"/>
        <v>0</v>
      </c>
      <c r="Z49" s="166">
        <f t="shared" si="16"/>
        <v>0</v>
      </c>
      <c r="AA49" s="34">
        <f t="shared" si="2"/>
        <v>0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596</v>
      </c>
      <c r="B50" s="784" t="s">
        <v>494</v>
      </c>
      <c r="C50" s="784" t="s">
        <v>1597</v>
      </c>
      <c r="D50" s="134">
        <f>VLOOKUP(B50,'Enrollment 22-23'!$B:$I,8,FALSE)</f>
        <v>292.83999999999997</v>
      </c>
      <c r="E50" s="67">
        <f t="shared" si="3"/>
        <v>40490</v>
      </c>
      <c r="F50" s="146">
        <v>0</v>
      </c>
      <c r="G50" s="146">
        <v>0</v>
      </c>
      <c r="H50" s="91">
        <f t="shared" si="4"/>
        <v>40490</v>
      </c>
      <c r="I50" s="67">
        <f t="shared" si="5"/>
        <v>0</v>
      </c>
      <c r="J50" s="739">
        <f t="shared" si="6"/>
        <v>40490</v>
      </c>
      <c r="K50" s="837" t="str">
        <f>_xlfn.IFNA(VLOOKUP(B50,'[2]22-23 Survey Results'!$A:$F,6,FALSE),0)</f>
        <v>Y</v>
      </c>
      <c r="L50" s="740">
        <f t="shared" si="7"/>
        <v>0</v>
      </c>
      <c r="M50" s="741">
        <f t="shared" si="8"/>
        <v>292.83999999999997</v>
      </c>
      <c r="N50" s="67">
        <f t="shared" si="9"/>
        <v>395</v>
      </c>
      <c r="O50" s="67">
        <f t="shared" si="10"/>
        <v>40885</v>
      </c>
      <c r="Q50" s="674">
        <f t="shared" si="11"/>
        <v>0</v>
      </c>
      <c r="R50" s="674" t="str">
        <f t="shared" si="12"/>
        <v>Not Applicable</v>
      </c>
      <c r="S50" s="798" t="str">
        <f>IF($R$7=0,"",IFERROR(VLOOKUP(B50,[3]Sheet1!$C$1:$P$65536,14,FALSE),"NA"))</f>
        <v/>
      </c>
      <c r="T50" s="798">
        <f>IF(O50=0,0,IF(S50="N",0,VLOOKUP(B50,Enrollment!B:J,9,FALSE)))</f>
        <v>0</v>
      </c>
      <c r="U50" s="88">
        <f t="shared" si="13"/>
        <v>40885</v>
      </c>
      <c r="V50" s="71">
        <f t="shared" si="14"/>
        <v>139.6154896872012</v>
      </c>
      <c r="W50" s="449">
        <v>42601</v>
      </c>
      <c r="X50" s="67">
        <f>IFERROR(VLOOKUP($B50,'Allocation 2021-22'!$B:$O,14,FALSE),0)</f>
        <v>42441</v>
      </c>
      <c r="Y50" s="163">
        <f t="shared" si="15"/>
        <v>-1556</v>
      </c>
      <c r="Z50" s="166">
        <f t="shared" si="16"/>
        <v>-3.6662661106005988E-2</v>
      </c>
      <c r="AA50" s="34" t="str">
        <f t="shared" si="2"/>
        <v>Y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603</v>
      </c>
      <c r="B51" s="784" t="s">
        <v>533</v>
      </c>
      <c r="C51" s="784" t="s">
        <v>1615</v>
      </c>
      <c r="D51" s="134">
        <f>VLOOKUP(B51,'Enrollment 22-23'!$B:$I,8,FALSE)</f>
        <v>0</v>
      </c>
      <c r="E51" s="67">
        <f t="shared" si="3"/>
        <v>0</v>
      </c>
      <c r="F51" s="146">
        <v>0</v>
      </c>
      <c r="G51" s="146">
        <v>0</v>
      </c>
      <c r="H51" s="91">
        <f t="shared" si="4"/>
        <v>0</v>
      </c>
      <c r="I51" s="67">
        <f t="shared" si="5"/>
        <v>0</v>
      </c>
      <c r="J51" s="739">
        <f t="shared" si="6"/>
        <v>0</v>
      </c>
      <c r="K51" s="837">
        <f>_xlfn.IFNA(VLOOKUP(B51,'[2]22-23 Survey Results'!$A:$F,6,FALSE),0)</f>
        <v>0</v>
      </c>
      <c r="L51" s="740">
        <f t="shared" si="7"/>
        <v>0</v>
      </c>
      <c r="M51" s="741">
        <f t="shared" si="8"/>
        <v>0</v>
      </c>
      <c r="N51" s="67">
        <f t="shared" si="9"/>
        <v>0</v>
      </c>
      <c r="O51" s="67">
        <f t="shared" si="10"/>
        <v>0</v>
      </c>
      <c r="Q51" s="674">
        <f t="shared" si="11"/>
        <v>0</v>
      </c>
      <c r="R51" s="674" t="str">
        <f t="shared" si="12"/>
        <v>Not Applicable</v>
      </c>
      <c r="S51" s="798" t="str">
        <f>IF($R$7=0,"",IFERROR(VLOOKUP(B51,[3]Sheet1!$C$1:$P$65536,14,FALSE),"NA"))</f>
        <v/>
      </c>
      <c r="T51" s="798">
        <f>IF(O51=0,0,IF(S51="N",0,VLOOKUP(B51,Enrollment!B:J,9,FALSE)))</f>
        <v>0</v>
      </c>
      <c r="U51" s="88">
        <f t="shared" si="13"/>
        <v>0</v>
      </c>
      <c r="V51" s="71">
        <f t="shared" si="14"/>
        <v>0</v>
      </c>
      <c r="W51" s="449">
        <v>0</v>
      </c>
      <c r="X51" s="67">
        <f>IFERROR(VLOOKUP($B51,'Allocation 2021-22'!$B:$O,14,FALSE),0)</f>
        <v>0</v>
      </c>
      <c r="Y51" s="163">
        <f t="shared" si="15"/>
        <v>0</v>
      </c>
      <c r="Z51" s="166">
        <f t="shared" si="16"/>
        <v>0</v>
      </c>
      <c r="AA51" s="34">
        <f t="shared" si="2"/>
        <v>0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603</v>
      </c>
      <c r="B52" s="784" t="s">
        <v>464</v>
      </c>
      <c r="C52" s="784" t="s">
        <v>1584</v>
      </c>
      <c r="D52" s="134">
        <f>VLOOKUP(B52,'Enrollment 22-23'!$B:$I,8,FALSE)</f>
        <v>0</v>
      </c>
      <c r="E52" s="67">
        <f t="shared" si="3"/>
        <v>0</v>
      </c>
      <c r="F52" s="146">
        <v>0</v>
      </c>
      <c r="G52" s="146">
        <v>0</v>
      </c>
      <c r="H52" s="91">
        <f t="shared" si="4"/>
        <v>0</v>
      </c>
      <c r="I52" s="67">
        <f t="shared" si="5"/>
        <v>0</v>
      </c>
      <c r="J52" s="739">
        <f t="shared" si="6"/>
        <v>0</v>
      </c>
      <c r="K52" s="837">
        <f>_xlfn.IFNA(VLOOKUP(B52,'[2]22-23 Survey Results'!$A:$F,6,FALSE),0)</f>
        <v>0</v>
      </c>
      <c r="L52" s="740">
        <f t="shared" si="7"/>
        <v>0</v>
      </c>
      <c r="M52" s="741">
        <f t="shared" si="8"/>
        <v>0</v>
      </c>
      <c r="N52" s="67">
        <f t="shared" si="9"/>
        <v>0</v>
      </c>
      <c r="O52" s="67">
        <f t="shared" si="10"/>
        <v>0</v>
      </c>
      <c r="Q52" s="674">
        <f t="shared" si="11"/>
        <v>0</v>
      </c>
      <c r="R52" s="674" t="str">
        <f t="shared" si="12"/>
        <v>Not Applicable</v>
      </c>
      <c r="S52" s="798" t="str">
        <f>IF($R$7=0,"",IFERROR(VLOOKUP(B52,[3]Sheet1!$C$1:$P$65536,14,FALSE),"NA"))</f>
        <v/>
      </c>
      <c r="T52" s="798">
        <f>IF(O52=0,0,IF(S52="N",0,VLOOKUP(B52,Enrollment!B:J,9,FALSE)))</f>
        <v>0</v>
      </c>
      <c r="U52" s="88">
        <f t="shared" si="13"/>
        <v>0</v>
      </c>
      <c r="V52" s="71">
        <f t="shared" si="14"/>
        <v>0</v>
      </c>
      <c r="W52" s="449">
        <v>0</v>
      </c>
      <c r="X52" s="67">
        <f>IFERROR(VLOOKUP($B52,'Allocation 2021-22'!$B:$O,14,FALSE),0)</f>
        <v>0</v>
      </c>
      <c r="Y52" s="163">
        <f t="shared" si="15"/>
        <v>0</v>
      </c>
      <c r="Z52" s="166">
        <f t="shared" si="16"/>
        <v>0</v>
      </c>
      <c r="AA52" s="34">
        <f t="shared" si="2"/>
        <v>0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596</v>
      </c>
      <c r="B53" s="784" t="s">
        <v>498</v>
      </c>
      <c r="C53" s="784" t="s">
        <v>1599</v>
      </c>
      <c r="D53" s="134">
        <f>VLOOKUP(B53,'Enrollment 22-23'!$B:$I,8,FALSE)</f>
        <v>133.16</v>
      </c>
      <c r="E53" s="67">
        <f t="shared" si="3"/>
        <v>18411</v>
      </c>
      <c r="F53" s="146">
        <v>0</v>
      </c>
      <c r="G53" s="146">
        <v>0</v>
      </c>
      <c r="H53" s="91">
        <f t="shared" si="4"/>
        <v>18411</v>
      </c>
      <c r="I53" s="67">
        <f t="shared" si="5"/>
        <v>0</v>
      </c>
      <c r="J53" s="739">
        <f t="shared" si="6"/>
        <v>18411</v>
      </c>
      <c r="K53" s="837" t="str">
        <f>_xlfn.IFNA(VLOOKUP(B53,'[2]22-23 Survey Results'!$A:$F,6,FALSE),0)</f>
        <v>Y</v>
      </c>
      <c r="L53" s="740">
        <f t="shared" si="7"/>
        <v>0</v>
      </c>
      <c r="M53" s="741">
        <f t="shared" si="8"/>
        <v>133.16</v>
      </c>
      <c r="N53" s="67">
        <f t="shared" si="9"/>
        <v>180</v>
      </c>
      <c r="O53" s="67">
        <f t="shared" si="10"/>
        <v>18591</v>
      </c>
      <c r="Q53" s="674">
        <f t="shared" si="11"/>
        <v>0</v>
      </c>
      <c r="R53" s="674" t="str">
        <f t="shared" si="12"/>
        <v>Not Applicable</v>
      </c>
      <c r="S53" s="798" t="str">
        <f>IF($R$7=0,"",IFERROR(VLOOKUP(B53,[3]Sheet1!$C$1:$P$65536,14,FALSE),"NA"))</f>
        <v/>
      </c>
      <c r="T53" s="798">
        <f>IF(O53=0,0,IF(S53="N",0,VLOOKUP(B53,Enrollment!B:J,9,FALSE)))</f>
        <v>0</v>
      </c>
      <c r="U53" s="88">
        <f t="shared" si="13"/>
        <v>18591</v>
      </c>
      <c r="V53" s="71">
        <f t="shared" si="14"/>
        <v>139.61399819765697</v>
      </c>
      <c r="W53" s="449">
        <v>15732</v>
      </c>
      <c r="X53" s="67">
        <f>IFERROR(VLOOKUP($B53,'Allocation 2021-22'!$B:$O,14,FALSE),0)</f>
        <v>15673</v>
      </c>
      <c r="Y53" s="163">
        <f t="shared" si="15"/>
        <v>2918</v>
      </c>
      <c r="Z53" s="166">
        <f t="shared" si="16"/>
        <v>0.18618005487143496</v>
      </c>
      <c r="AA53" s="34" t="str">
        <f t="shared" si="2"/>
        <v>Y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603</v>
      </c>
      <c r="B54" s="784" t="s">
        <v>456</v>
      </c>
      <c r="C54" s="784" t="s">
        <v>1580</v>
      </c>
      <c r="D54" s="134">
        <f>VLOOKUP(B54,'Enrollment 22-23'!$B:$I,8,FALSE)</f>
        <v>17.329999999999998</v>
      </c>
      <c r="E54" s="67">
        <f t="shared" si="3"/>
        <v>2396</v>
      </c>
      <c r="F54" s="146">
        <v>0</v>
      </c>
      <c r="G54" s="146">
        <v>0</v>
      </c>
      <c r="H54" s="91">
        <f t="shared" si="4"/>
        <v>2396</v>
      </c>
      <c r="I54" s="67">
        <f t="shared" si="5"/>
        <v>0</v>
      </c>
      <c r="J54" s="739">
        <f t="shared" si="6"/>
        <v>2396</v>
      </c>
      <c r="K54" s="837" t="str">
        <f>_xlfn.IFNA(VLOOKUP(B54,'[2]22-23 Survey Results'!$A:$F,6,FALSE),0)</f>
        <v>N</v>
      </c>
      <c r="L54" s="740">
        <f t="shared" si="7"/>
        <v>2396</v>
      </c>
      <c r="M54" s="741">
        <f t="shared" si="8"/>
        <v>0</v>
      </c>
      <c r="N54" s="67">
        <f t="shared" si="9"/>
        <v>0</v>
      </c>
      <c r="O54" s="67">
        <f t="shared" si="10"/>
        <v>0</v>
      </c>
      <c r="Q54" s="674">
        <f t="shared" si="11"/>
        <v>0</v>
      </c>
      <c r="R54" s="674" t="str">
        <f t="shared" si="12"/>
        <v>Not Applicable</v>
      </c>
      <c r="S54" s="798" t="str">
        <f>IF($R$7=0,"",IFERROR(VLOOKUP(B54,[3]Sheet1!$C$1:$P$65536,14,FALSE),"NA"))</f>
        <v/>
      </c>
      <c r="T54" s="798">
        <f>IF(O54=0,0,IF(S54="N",0,VLOOKUP(B54,Enrollment!B:J,9,FALSE)))</f>
        <v>0</v>
      </c>
      <c r="U54" s="88">
        <f t="shared" si="13"/>
        <v>0</v>
      </c>
      <c r="V54" s="71">
        <f t="shared" si="14"/>
        <v>0</v>
      </c>
      <c r="W54" s="449">
        <v>0</v>
      </c>
      <c r="X54" s="67">
        <f>IFERROR(VLOOKUP($B54,'Allocation 2021-22'!$B:$O,14,FALSE),0)</f>
        <v>0</v>
      </c>
      <c r="Y54" s="163">
        <f t="shared" si="15"/>
        <v>0</v>
      </c>
      <c r="Z54" s="166">
        <f t="shared" si="16"/>
        <v>0</v>
      </c>
      <c r="AA54" s="34" t="str">
        <f t="shared" si="2"/>
        <v>N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595</v>
      </c>
      <c r="B55" s="784" t="s">
        <v>376</v>
      </c>
      <c r="C55" s="784" t="s">
        <v>1540</v>
      </c>
      <c r="D55" s="134">
        <f>VLOOKUP(B55,'Enrollment 22-23'!$B:$I,8,FALSE)</f>
        <v>0</v>
      </c>
      <c r="E55" s="67">
        <f t="shared" si="3"/>
        <v>0</v>
      </c>
      <c r="F55" s="146">
        <v>0</v>
      </c>
      <c r="G55" s="146">
        <v>0</v>
      </c>
      <c r="H55" s="91">
        <f t="shared" si="4"/>
        <v>0</v>
      </c>
      <c r="I55" s="67">
        <f t="shared" si="5"/>
        <v>0</v>
      </c>
      <c r="J55" s="739">
        <f t="shared" si="6"/>
        <v>0</v>
      </c>
      <c r="K55" s="837">
        <f>_xlfn.IFNA(VLOOKUP(B55,'[2]22-23 Survey Results'!$A:$F,6,FALSE),0)</f>
        <v>0</v>
      </c>
      <c r="L55" s="740">
        <f t="shared" si="7"/>
        <v>0</v>
      </c>
      <c r="M55" s="741">
        <f t="shared" si="8"/>
        <v>0</v>
      </c>
      <c r="N55" s="67">
        <f t="shared" si="9"/>
        <v>0</v>
      </c>
      <c r="O55" s="67">
        <f t="shared" si="10"/>
        <v>0</v>
      </c>
      <c r="Q55" s="674">
        <f t="shared" si="11"/>
        <v>0</v>
      </c>
      <c r="R55" s="674" t="str">
        <f t="shared" si="12"/>
        <v>Not Applicable</v>
      </c>
      <c r="S55" s="798" t="str">
        <f>IF($R$7=0,"",IFERROR(VLOOKUP(B55,[3]Sheet1!$C$1:$P$65536,14,FALSE),"NA"))</f>
        <v/>
      </c>
      <c r="T55" s="798">
        <f>IF(O55=0,0,IF(S55="N",0,VLOOKUP(B55,Enrollment!B:J,9,FALSE)))</f>
        <v>0</v>
      </c>
      <c r="U55" s="88">
        <f t="shared" si="13"/>
        <v>0</v>
      </c>
      <c r="V55" s="71">
        <f t="shared" si="14"/>
        <v>0</v>
      </c>
      <c r="W55" s="449">
        <v>0</v>
      </c>
      <c r="X55" s="67">
        <f>IFERROR(VLOOKUP($B55,'Allocation 2021-22'!$B:$O,14,FALSE),0)</f>
        <v>0</v>
      </c>
      <c r="Y55" s="163">
        <f t="shared" si="15"/>
        <v>0</v>
      </c>
      <c r="Z55" s="166">
        <f t="shared" si="16"/>
        <v>0</v>
      </c>
      <c r="AA55" s="34">
        <f t="shared" si="2"/>
        <v>0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595</v>
      </c>
      <c r="B56" s="784" t="s">
        <v>384</v>
      </c>
      <c r="C56" s="784" t="s">
        <v>1543</v>
      </c>
      <c r="D56" s="134">
        <f>VLOOKUP(B56,'Enrollment 22-23'!$B:$I,8,FALSE)</f>
        <v>31.5</v>
      </c>
      <c r="E56" s="67">
        <f t="shared" si="3"/>
        <v>4355</v>
      </c>
      <c r="F56" s="146">
        <v>0</v>
      </c>
      <c r="G56" s="146">
        <v>0</v>
      </c>
      <c r="H56" s="91">
        <f t="shared" si="4"/>
        <v>4355</v>
      </c>
      <c r="I56" s="67">
        <f t="shared" si="5"/>
        <v>0</v>
      </c>
      <c r="J56" s="739">
        <f t="shared" si="6"/>
        <v>4355</v>
      </c>
      <c r="K56" s="837" t="str">
        <f>_xlfn.IFNA(VLOOKUP(B56,'[2]22-23 Survey Results'!$A:$F,6,FALSE),0)</f>
        <v>C</v>
      </c>
      <c r="L56" s="740">
        <f t="shared" si="7"/>
        <v>0</v>
      </c>
      <c r="M56" s="741">
        <f t="shared" si="8"/>
        <v>31.5</v>
      </c>
      <c r="N56" s="67">
        <f t="shared" si="9"/>
        <v>43</v>
      </c>
      <c r="O56" s="67">
        <f t="shared" si="10"/>
        <v>4398</v>
      </c>
      <c r="Q56" s="674">
        <f t="shared" si="11"/>
        <v>0</v>
      </c>
      <c r="R56" s="674" t="str">
        <f t="shared" si="12"/>
        <v>Not Applicable</v>
      </c>
      <c r="S56" s="798" t="str">
        <f>IF($R$7=0,"",IFERROR(VLOOKUP(B56,[3]Sheet1!$C$1:$P$65536,14,FALSE),"NA"))</f>
        <v/>
      </c>
      <c r="T56" s="798">
        <f>IF(O56=0,0,IF(S56="N",0,VLOOKUP(B56,Enrollment!B:J,9,FALSE)))</f>
        <v>0</v>
      </c>
      <c r="U56" s="88">
        <f t="shared" si="13"/>
        <v>4398</v>
      </c>
      <c r="V56" s="71">
        <f t="shared" si="14"/>
        <v>139.61904761904762</v>
      </c>
      <c r="W56" s="449">
        <v>0</v>
      </c>
      <c r="X56" s="67">
        <f>IFERROR(VLOOKUP($B56,'Allocation 2021-22'!$B:$O,14,FALSE),0)</f>
        <v>4119</v>
      </c>
      <c r="Y56" s="163">
        <f t="shared" si="15"/>
        <v>279</v>
      </c>
      <c r="Z56" s="166">
        <f t="shared" si="16"/>
        <v>6.7734887108521491E-2</v>
      </c>
      <c r="AA56" s="34" t="str">
        <f t="shared" si="2"/>
        <v>C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594</v>
      </c>
      <c r="B57" s="784" t="s">
        <v>147</v>
      </c>
      <c r="C57" s="784" t="s">
        <v>1435</v>
      </c>
      <c r="D57" s="134">
        <f>VLOOKUP(B57,'Enrollment 22-23'!$B:$I,8,FALSE)</f>
        <v>2</v>
      </c>
      <c r="E57" s="67">
        <f t="shared" si="3"/>
        <v>277</v>
      </c>
      <c r="F57" s="146">
        <v>0</v>
      </c>
      <c r="G57" s="146">
        <v>0</v>
      </c>
      <c r="H57" s="91">
        <f t="shared" si="4"/>
        <v>277</v>
      </c>
      <c r="I57" s="67">
        <f t="shared" si="5"/>
        <v>0</v>
      </c>
      <c r="J57" s="739">
        <f t="shared" si="6"/>
        <v>277</v>
      </c>
      <c r="K57" s="837" t="str">
        <f>_xlfn.IFNA(VLOOKUP(B57,'[2]22-23 Survey Results'!$A:$F,6,FALSE),0)</f>
        <v>N</v>
      </c>
      <c r="L57" s="740">
        <f t="shared" si="7"/>
        <v>277</v>
      </c>
      <c r="M57" s="741">
        <f t="shared" si="8"/>
        <v>0</v>
      </c>
      <c r="N57" s="67">
        <f t="shared" si="9"/>
        <v>0</v>
      </c>
      <c r="O57" s="67">
        <f t="shared" si="10"/>
        <v>0</v>
      </c>
      <c r="Q57" s="674">
        <f t="shared" si="11"/>
        <v>0</v>
      </c>
      <c r="R57" s="674" t="str">
        <f t="shared" si="12"/>
        <v>Not Applicable</v>
      </c>
      <c r="S57" s="798" t="str">
        <f>IF($R$7=0,"",IFERROR(VLOOKUP(B57,[3]Sheet1!$C$1:$P$65536,14,FALSE),"NA"))</f>
        <v/>
      </c>
      <c r="T57" s="798">
        <f>IF(O57=0,0,IF(S57="N",0,VLOOKUP(B57,Enrollment!B:J,9,FALSE)))</f>
        <v>0</v>
      </c>
      <c r="U57" s="88">
        <f t="shared" si="13"/>
        <v>0</v>
      </c>
      <c r="V57" s="71">
        <f t="shared" si="14"/>
        <v>0</v>
      </c>
      <c r="W57" s="449">
        <v>0</v>
      </c>
      <c r="X57" s="67">
        <f>IFERROR(VLOOKUP($B57,'Allocation 2021-22'!$B:$O,14,FALSE),0)</f>
        <v>0</v>
      </c>
      <c r="Y57" s="163">
        <f t="shared" si="15"/>
        <v>0</v>
      </c>
      <c r="Z57" s="166">
        <f t="shared" si="16"/>
        <v>0</v>
      </c>
      <c r="AA57" s="34" t="str">
        <f t="shared" si="2"/>
        <v>N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601</v>
      </c>
      <c r="B58" s="784" t="s">
        <v>120</v>
      </c>
      <c r="C58" s="784" t="s">
        <v>1423</v>
      </c>
      <c r="D58" s="134">
        <f>VLOOKUP(B58,'Enrollment 22-23'!$B:$I,8,FALSE)</f>
        <v>0</v>
      </c>
      <c r="E58" s="67">
        <f t="shared" si="3"/>
        <v>0</v>
      </c>
      <c r="F58" s="146">
        <v>0</v>
      </c>
      <c r="G58" s="146">
        <v>0</v>
      </c>
      <c r="H58" s="91">
        <f t="shared" si="4"/>
        <v>0</v>
      </c>
      <c r="I58" s="67">
        <f t="shared" si="5"/>
        <v>0</v>
      </c>
      <c r="J58" s="739">
        <f t="shared" si="6"/>
        <v>0</v>
      </c>
      <c r="K58" s="837">
        <f>_xlfn.IFNA(VLOOKUP(B58,'[2]22-23 Survey Results'!$A:$F,6,FALSE),0)</f>
        <v>0</v>
      </c>
      <c r="L58" s="740">
        <f t="shared" si="7"/>
        <v>0</v>
      </c>
      <c r="M58" s="741">
        <f t="shared" si="8"/>
        <v>0</v>
      </c>
      <c r="N58" s="67">
        <f t="shared" si="9"/>
        <v>0</v>
      </c>
      <c r="O58" s="67">
        <f t="shared" si="10"/>
        <v>0</v>
      </c>
      <c r="Q58" s="674">
        <f t="shared" si="11"/>
        <v>0</v>
      </c>
      <c r="R58" s="674" t="str">
        <f t="shared" si="12"/>
        <v>Not Applicable</v>
      </c>
      <c r="S58" s="798" t="str">
        <f>IF($R$7=0,"",IFERROR(VLOOKUP(B58,[3]Sheet1!$C$1:$P$65536,14,FALSE),"NA"))</f>
        <v/>
      </c>
      <c r="T58" s="798">
        <f>IF(O58=0,0,IF(S58="N",0,VLOOKUP(B58,Enrollment!B:J,9,FALSE)))</f>
        <v>0</v>
      </c>
      <c r="U58" s="88">
        <f t="shared" si="13"/>
        <v>0</v>
      </c>
      <c r="V58" s="71">
        <f t="shared" si="14"/>
        <v>0</v>
      </c>
      <c r="W58" s="449">
        <v>0</v>
      </c>
      <c r="X58" s="67">
        <f>IFERROR(VLOOKUP($B58,'Allocation 2021-22'!$B:$O,14,FALSE),0)</f>
        <v>0</v>
      </c>
      <c r="Y58" s="163">
        <f t="shared" si="15"/>
        <v>0</v>
      </c>
      <c r="Z58" s="166">
        <f t="shared" si="16"/>
        <v>0</v>
      </c>
      <c r="AA58" s="34">
        <f t="shared" si="2"/>
        <v>0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595</v>
      </c>
      <c r="B59" s="784" t="s">
        <v>159</v>
      </c>
      <c r="C59" s="784" t="s">
        <v>1441</v>
      </c>
      <c r="D59" s="134">
        <f>VLOOKUP(B59,'Enrollment 22-23'!$B:$I,8,FALSE)</f>
        <v>35.83</v>
      </c>
      <c r="E59" s="67">
        <f t="shared" si="3"/>
        <v>4954</v>
      </c>
      <c r="F59" s="146">
        <v>0</v>
      </c>
      <c r="G59" s="146">
        <v>0</v>
      </c>
      <c r="H59" s="91">
        <f t="shared" si="4"/>
        <v>4954</v>
      </c>
      <c r="I59" s="67">
        <f t="shared" si="5"/>
        <v>0</v>
      </c>
      <c r="J59" s="739">
        <f t="shared" si="6"/>
        <v>4954</v>
      </c>
      <c r="K59" s="837" t="str">
        <f>_xlfn.IFNA(VLOOKUP(B59,'[2]22-23 Survey Results'!$A:$F,6,FALSE),0)</f>
        <v>N</v>
      </c>
      <c r="L59" s="740">
        <f t="shared" si="7"/>
        <v>4954</v>
      </c>
      <c r="M59" s="741">
        <f t="shared" si="8"/>
        <v>0</v>
      </c>
      <c r="N59" s="67">
        <f t="shared" si="9"/>
        <v>0</v>
      </c>
      <c r="O59" s="67">
        <f t="shared" si="10"/>
        <v>0</v>
      </c>
      <c r="Q59" s="674">
        <f t="shared" si="11"/>
        <v>0</v>
      </c>
      <c r="R59" s="674" t="str">
        <f t="shared" si="12"/>
        <v>Not Applicable</v>
      </c>
      <c r="S59" s="798" t="str">
        <f>IF($R$7=0,"",IFERROR(VLOOKUP(B59,[3]Sheet1!$C$1:$P$65536,14,FALSE),"NA"))</f>
        <v/>
      </c>
      <c r="T59" s="798">
        <f>IF(O59=0,0,IF(S59="N",0,VLOOKUP(B59,Enrollment!B:J,9,FALSE)))</f>
        <v>0</v>
      </c>
      <c r="U59" s="88">
        <f t="shared" si="13"/>
        <v>0</v>
      </c>
      <c r="V59" s="71">
        <f t="shared" si="14"/>
        <v>0</v>
      </c>
      <c r="W59" s="449">
        <v>0</v>
      </c>
      <c r="X59" s="67">
        <f>IFERROR(VLOOKUP($B59,'Allocation 2021-22'!$B:$O,14,FALSE),0)</f>
        <v>0</v>
      </c>
      <c r="Y59" s="163">
        <f t="shared" si="15"/>
        <v>0</v>
      </c>
      <c r="Z59" s="166">
        <f t="shared" si="16"/>
        <v>0</v>
      </c>
      <c r="AA59" s="34" t="str">
        <f t="shared" si="2"/>
        <v>N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600</v>
      </c>
      <c r="B60" s="784" t="s">
        <v>41</v>
      </c>
      <c r="C60" s="784" t="s">
        <v>1386</v>
      </c>
      <c r="D60" s="134">
        <f>VLOOKUP(B60,'Enrollment 22-23'!$B:$I,8,FALSE)</f>
        <v>0</v>
      </c>
      <c r="E60" s="67">
        <f t="shared" si="3"/>
        <v>0</v>
      </c>
      <c r="F60" s="146">
        <v>0</v>
      </c>
      <c r="G60" s="146">
        <v>0</v>
      </c>
      <c r="H60" s="91">
        <f t="shared" si="4"/>
        <v>0</v>
      </c>
      <c r="I60" s="67">
        <f t="shared" si="5"/>
        <v>0</v>
      </c>
      <c r="J60" s="739">
        <f t="shared" si="6"/>
        <v>0</v>
      </c>
      <c r="K60" s="837">
        <f>_xlfn.IFNA(VLOOKUP(B60,'[2]22-23 Survey Results'!$A:$F,6,FALSE),0)</f>
        <v>0</v>
      </c>
      <c r="L60" s="740">
        <f t="shared" si="7"/>
        <v>0</v>
      </c>
      <c r="M60" s="741">
        <f t="shared" si="8"/>
        <v>0</v>
      </c>
      <c r="N60" s="67">
        <f t="shared" si="9"/>
        <v>0</v>
      </c>
      <c r="O60" s="67">
        <f t="shared" si="10"/>
        <v>0</v>
      </c>
      <c r="Q60" s="674">
        <f t="shared" si="11"/>
        <v>0</v>
      </c>
      <c r="R60" s="674" t="str">
        <f t="shared" si="12"/>
        <v>Not Applicable</v>
      </c>
      <c r="S60" s="798" t="str">
        <f>IF($R$7=0,"",IFERROR(VLOOKUP(B60,[3]Sheet1!$C$1:$P$65536,14,FALSE),"NA"))</f>
        <v/>
      </c>
      <c r="T60" s="798">
        <f>IF(O60=0,0,IF(S60="N",0,VLOOKUP(B60,Enrollment!B:J,9,FALSE)))</f>
        <v>0</v>
      </c>
      <c r="U60" s="88">
        <f t="shared" si="13"/>
        <v>0</v>
      </c>
      <c r="V60" s="71">
        <f t="shared" si="14"/>
        <v>0</v>
      </c>
      <c r="W60" s="449">
        <v>0</v>
      </c>
      <c r="X60" s="67">
        <f>IFERROR(VLOOKUP($B60,'Allocation 2021-22'!$B:$O,14,FALSE),0)</f>
        <v>0</v>
      </c>
      <c r="Y60" s="163">
        <f t="shared" si="15"/>
        <v>0</v>
      </c>
      <c r="Z60" s="166">
        <f t="shared" si="16"/>
        <v>0</v>
      </c>
      <c r="AA60" s="34">
        <f t="shared" si="2"/>
        <v>0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285</v>
      </c>
      <c r="C61" s="784" t="s">
        <v>1496</v>
      </c>
      <c r="D61" s="134">
        <f>VLOOKUP(B61,'Enrollment 22-23'!$B:$I,8,FALSE)</f>
        <v>0</v>
      </c>
      <c r="E61" s="67">
        <f t="shared" si="3"/>
        <v>0</v>
      </c>
      <c r="F61" s="146">
        <v>0</v>
      </c>
      <c r="G61" s="146">
        <v>0</v>
      </c>
      <c r="H61" s="91">
        <f t="shared" si="4"/>
        <v>0</v>
      </c>
      <c r="I61" s="67">
        <f t="shared" si="5"/>
        <v>0</v>
      </c>
      <c r="J61" s="739">
        <f t="shared" si="6"/>
        <v>0</v>
      </c>
      <c r="K61" s="837">
        <f>_xlfn.IFNA(VLOOKUP(B61,'[2]22-23 Survey Results'!$A:$F,6,FALSE),0)</f>
        <v>0</v>
      </c>
      <c r="L61" s="740">
        <f t="shared" si="7"/>
        <v>0</v>
      </c>
      <c r="M61" s="741">
        <f t="shared" si="8"/>
        <v>0</v>
      </c>
      <c r="N61" s="67">
        <f t="shared" si="9"/>
        <v>0</v>
      </c>
      <c r="O61" s="67">
        <f t="shared" si="10"/>
        <v>0</v>
      </c>
      <c r="Q61" s="674">
        <f t="shared" si="11"/>
        <v>0</v>
      </c>
      <c r="R61" s="674" t="str">
        <f t="shared" si="12"/>
        <v>Not Applicable</v>
      </c>
      <c r="S61" s="798" t="str">
        <f>IF($R$7=0,"",IFERROR(VLOOKUP(B61,[3]Sheet1!$C$1:$P$65536,14,FALSE),"NA"))</f>
        <v/>
      </c>
      <c r="T61" s="798">
        <f>IF(O61=0,0,IF(S61="N",0,VLOOKUP(B61,Enrollment!B:J,9,FALSE)))</f>
        <v>0</v>
      </c>
      <c r="U61" s="88">
        <f t="shared" si="13"/>
        <v>0</v>
      </c>
      <c r="V61" s="71">
        <f t="shared" si="14"/>
        <v>0</v>
      </c>
      <c r="W61" s="449">
        <v>0</v>
      </c>
      <c r="X61" s="67">
        <f>IFERROR(VLOOKUP($B61,'Allocation 2021-22'!$B:$O,14,FALSE),0)</f>
        <v>0</v>
      </c>
      <c r="Y61" s="163">
        <f t="shared" si="15"/>
        <v>0</v>
      </c>
      <c r="Z61" s="166">
        <f t="shared" si="16"/>
        <v>0</v>
      </c>
      <c r="AA61" s="34">
        <f t="shared" si="2"/>
        <v>0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96</v>
      </c>
      <c r="C62" s="784" t="s">
        <v>1412</v>
      </c>
      <c r="D62" s="134">
        <f>VLOOKUP(B62,'Enrollment 22-23'!$B:$I,8,FALSE)</f>
        <v>0</v>
      </c>
      <c r="E62" s="67">
        <f t="shared" si="3"/>
        <v>0</v>
      </c>
      <c r="F62" s="146">
        <v>0</v>
      </c>
      <c r="G62" s="146">
        <v>0</v>
      </c>
      <c r="H62" s="91">
        <f t="shared" si="4"/>
        <v>0</v>
      </c>
      <c r="I62" s="67">
        <f t="shared" si="5"/>
        <v>0</v>
      </c>
      <c r="J62" s="739">
        <f t="shared" si="6"/>
        <v>0</v>
      </c>
      <c r="K62" s="837">
        <f>_xlfn.IFNA(VLOOKUP(B62,'[2]22-23 Survey Results'!$A:$F,6,FALSE),0)</f>
        <v>0</v>
      </c>
      <c r="L62" s="740">
        <f t="shared" si="7"/>
        <v>0</v>
      </c>
      <c r="M62" s="741">
        <f t="shared" si="8"/>
        <v>0</v>
      </c>
      <c r="N62" s="67">
        <f t="shared" si="9"/>
        <v>0</v>
      </c>
      <c r="O62" s="67">
        <f t="shared" si="10"/>
        <v>0</v>
      </c>
      <c r="Q62" s="674">
        <f t="shared" si="11"/>
        <v>0</v>
      </c>
      <c r="R62" s="674" t="str">
        <f t="shared" si="12"/>
        <v>Not Applicable</v>
      </c>
      <c r="S62" s="798" t="str">
        <f>IF($R$7=0,"",IFERROR(VLOOKUP(B62,[3]Sheet1!$C$1:$P$65536,14,FALSE),"NA"))</f>
        <v/>
      </c>
      <c r="T62" s="798">
        <f>IF(O62=0,0,IF(S62="N",0,VLOOKUP(B62,Enrollment!B:J,9,FALSE)))</f>
        <v>0</v>
      </c>
      <c r="U62" s="88">
        <f t="shared" si="13"/>
        <v>0</v>
      </c>
      <c r="V62" s="71">
        <f t="shared" si="14"/>
        <v>0</v>
      </c>
      <c r="W62" s="449">
        <v>0</v>
      </c>
      <c r="X62" s="67">
        <f>IFERROR(VLOOKUP($B62,'Allocation 2021-22'!$B:$O,14,FALSE),0)</f>
        <v>0</v>
      </c>
      <c r="Y62" s="163">
        <f t="shared" si="15"/>
        <v>0</v>
      </c>
      <c r="Z62" s="166">
        <f t="shared" si="16"/>
        <v>0</v>
      </c>
      <c r="AA62" s="34">
        <f t="shared" si="2"/>
        <v>0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603</v>
      </c>
      <c r="B63" s="784" t="s">
        <v>338</v>
      </c>
      <c r="C63" s="784" t="s">
        <v>1520</v>
      </c>
      <c r="D63" s="134">
        <f>VLOOKUP(B63,'Enrollment 22-23'!$B:$I,8,FALSE)</f>
        <v>0</v>
      </c>
      <c r="E63" s="67">
        <f t="shared" si="3"/>
        <v>0</v>
      </c>
      <c r="F63" s="146">
        <v>0</v>
      </c>
      <c r="G63" s="146">
        <v>0</v>
      </c>
      <c r="H63" s="91">
        <f t="shared" si="4"/>
        <v>0</v>
      </c>
      <c r="I63" s="67">
        <f t="shared" si="5"/>
        <v>0</v>
      </c>
      <c r="J63" s="739">
        <f t="shared" si="6"/>
        <v>0</v>
      </c>
      <c r="K63" s="837">
        <f>_xlfn.IFNA(VLOOKUP(B63,'[2]22-23 Survey Results'!$A:$F,6,FALSE),0)</f>
        <v>0</v>
      </c>
      <c r="L63" s="740">
        <f t="shared" si="7"/>
        <v>0</v>
      </c>
      <c r="M63" s="741">
        <f t="shared" si="8"/>
        <v>0</v>
      </c>
      <c r="N63" s="67">
        <f t="shared" si="9"/>
        <v>0</v>
      </c>
      <c r="O63" s="67">
        <f t="shared" si="10"/>
        <v>0</v>
      </c>
      <c r="Q63" s="674">
        <f t="shared" si="11"/>
        <v>0</v>
      </c>
      <c r="R63" s="674" t="str">
        <f t="shared" si="12"/>
        <v>Not Applicable</v>
      </c>
      <c r="S63" s="798" t="str">
        <f>IF($R$7=0,"",IFERROR(VLOOKUP(B63,[3]Sheet1!$C$1:$P$65536,14,FALSE),"NA"))</f>
        <v/>
      </c>
      <c r="T63" s="798">
        <f>IF(O63=0,0,IF(S63="N",0,VLOOKUP(B63,Enrollment!B:J,9,FALSE)))</f>
        <v>0</v>
      </c>
      <c r="U63" s="88">
        <f t="shared" si="13"/>
        <v>0</v>
      </c>
      <c r="V63" s="71">
        <f t="shared" si="14"/>
        <v>0</v>
      </c>
      <c r="W63" s="449">
        <v>0</v>
      </c>
      <c r="X63" s="67">
        <f>IFERROR(VLOOKUP($B63,'Allocation 2021-22'!$B:$O,14,FALSE),0)</f>
        <v>0</v>
      </c>
      <c r="Y63" s="163">
        <f t="shared" si="15"/>
        <v>0</v>
      </c>
      <c r="Z63" s="166">
        <f t="shared" si="16"/>
        <v>0</v>
      </c>
      <c r="AA63" s="34">
        <f t="shared" si="2"/>
        <v>0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605</v>
      </c>
      <c r="B64" s="784" t="s">
        <v>220</v>
      </c>
      <c r="C64" s="784" t="s">
        <v>1466</v>
      </c>
      <c r="D64" s="134">
        <f>VLOOKUP(B64,'Enrollment 22-23'!$B:$I,8,FALSE)</f>
        <v>0</v>
      </c>
      <c r="E64" s="67">
        <f t="shared" si="3"/>
        <v>0</v>
      </c>
      <c r="F64" s="146">
        <v>0</v>
      </c>
      <c r="G64" s="146">
        <v>0</v>
      </c>
      <c r="H64" s="91">
        <f t="shared" si="4"/>
        <v>0</v>
      </c>
      <c r="I64" s="67">
        <f t="shared" si="5"/>
        <v>0</v>
      </c>
      <c r="J64" s="739">
        <f t="shared" si="6"/>
        <v>0</v>
      </c>
      <c r="K64" s="837">
        <f>_xlfn.IFNA(VLOOKUP(B64,'[2]22-23 Survey Results'!$A:$F,6,FALSE),0)</f>
        <v>0</v>
      </c>
      <c r="L64" s="740">
        <f t="shared" si="7"/>
        <v>0</v>
      </c>
      <c r="M64" s="741">
        <f t="shared" si="8"/>
        <v>0</v>
      </c>
      <c r="N64" s="67">
        <f t="shared" si="9"/>
        <v>0</v>
      </c>
      <c r="O64" s="67">
        <f t="shared" si="10"/>
        <v>0</v>
      </c>
      <c r="Q64" s="674">
        <f t="shared" si="11"/>
        <v>0</v>
      </c>
      <c r="R64" s="674" t="str">
        <f t="shared" si="12"/>
        <v>Not Applicable</v>
      </c>
      <c r="S64" s="798" t="str">
        <f>IF($R$7=0,"",IFERROR(VLOOKUP(B64,[3]Sheet1!$C$1:$P$65536,14,FALSE),"NA"))</f>
        <v/>
      </c>
      <c r="T64" s="798">
        <f>IF(O64=0,0,IF(S64="N",0,VLOOKUP(B64,Enrollment!B:J,9,FALSE)))</f>
        <v>0</v>
      </c>
      <c r="U64" s="88">
        <f t="shared" si="13"/>
        <v>0</v>
      </c>
      <c r="V64" s="71">
        <f t="shared" si="14"/>
        <v>0</v>
      </c>
      <c r="W64" s="449">
        <v>0</v>
      </c>
      <c r="X64" s="67">
        <f>IFERROR(VLOOKUP($B64,'Allocation 2021-22'!$B:$O,14,FALSE),0)</f>
        <v>0</v>
      </c>
      <c r="Y64" s="163">
        <f t="shared" si="15"/>
        <v>0</v>
      </c>
      <c r="Z64" s="166">
        <f t="shared" si="16"/>
        <v>0</v>
      </c>
      <c r="AA64" s="34">
        <f t="shared" si="2"/>
        <v>0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595</v>
      </c>
      <c r="B65" s="784" t="s">
        <v>417</v>
      </c>
      <c r="C65" s="784" t="s">
        <v>1559</v>
      </c>
      <c r="D65" s="134">
        <f>VLOOKUP(B65,'Enrollment 22-23'!$B:$I,8,FALSE)</f>
        <v>4.34</v>
      </c>
      <c r="E65" s="67">
        <f t="shared" si="3"/>
        <v>600</v>
      </c>
      <c r="F65" s="146">
        <v>0</v>
      </c>
      <c r="G65" s="146">
        <v>0</v>
      </c>
      <c r="H65" s="91">
        <f t="shared" si="4"/>
        <v>600</v>
      </c>
      <c r="I65" s="67">
        <f t="shared" si="5"/>
        <v>0</v>
      </c>
      <c r="J65" s="739">
        <f t="shared" si="6"/>
        <v>600</v>
      </c>
      <c r="K65" s="837" t="str">
        <f>_xlfn.IFNA(VLOOKUP(B65,'[2]22-23 Survey Results'!$A:$F,6,FALSE),0)</f>
        <v>N</v>
      </c>
      <c r="L65" s="740">
        <f t="shared" si="7"/>
        <v>600</v>
      </c>
      <c r="M65" s="741">
        <f t="shared" si="8"/>
        <v>0</v>
      </c>
      <c r="N65" s="67">
        <f t="shared" si="9"/>
        <v>0</v>
      </c>
      <c r="O65" s="67">
        <f t="shared" si="10"/>
        <v>0</v>
      </c>
      <c r="Q65" s="674">
        <f t="shared" si="11"/>
        <v>0</v>
      </c>
      <c r="R65" s="674" t="str">
        <f t="shared" si="12"/>
        <v>Not Applicable</v>
      </c>
      <c r="S65" s="798" t="str">
        <f>IF($R$7=0,"",IFERROR(VLOOKUP(B65,[3]Sheet1!$C$1:$P$65536,14,FALSE),"NA"))</f>
        <v/>
      </c>
      <c r="T65" s="798">
        <f>IF(O65=0,0,IF(S65="N",0,VLOOKUP(B65,Enrollment!B:J,9,FALSE)))</f>
        <v>0</v>
      </c>
      <c r="U65" s="88">
        <f t="shared" si="13"/>
        <v>0</v>
      </c>
      <c r="V65" s="71">
        <f t="shared" si="14"/>
        <v>0</v>
      </c>
      <c r="W65" s="449">
        <v>0</v>
      </c>
      <c r="X65" s="67">
        <f>IFERROR(VLOOKUP($B65,'Allocation 2021-22'!$B:$O,14,FALSE),0)</f>
        <v>0</v>
      </c>
      <c r="Y65" s="163">
        <f t="shared" si="15"/>
        <v>0</v>
      </c>
      <c r="Z65" s="166">
        <f t="shared" si="16"/>
        <v>0</v>
      </c>
      <c r="AA65" s="34" t="str">
        <f t="shared" si="2"/>
        <v>N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603</v>
      </c>
      <c r="B66" s="784" t="s">
        <v>293</v>
      </c>
      <c r="C66" s="784" t="s">
        <v>1500</v>
      </c>
      <c r="D66" s="134">
        <f>VLOOKUP(B66,'Enrollment 22-23'!$B:$I,8,FALSE)</f>
        <v>0</v>
      </c>
      <c r="E66" s="67">
        <f t="shared" si="3"/>
        <v>0</v>
      </c>
      <c r="F66" s="146">
        <v>0</v>
      </c>
      <c r="G66" s="146">
        <v>0</v>
      </c>
      <c r="H66" s="91">
        <f t="shared" si="4"/>
        <v>0</v>
      </c>
      <c r="I66" s="67">
        <f t="shared" si="5"/>
        <v>0</v>
      </c>
      <c r="J66" s="739">
        <f t="shared" si="6"/>
        <v>0</v>
      </c>
      <c r="K66" s="837">
        <f>_xlfn.IFNA(VLOOKUP(B66,'[2]22-23 Survey Results'!$A:$F,6,FALSE),0)</f>
        <v>0</v>
      </c>
      <c r="L66" s="740">
        <f t="shared" si="7"/>
        <v>0</v>
      </c>
      <c r="M66" s="741">
        <f t="shared" si="8"/>
        <v>0</v>
      </c>
      <c r="N66" s="67">
        <f t="shared" si="9"/>
        <v>0</v>
      </c>
      <c r="O66" s="67">
        <f t="shared" si="10"/>
        <v>0</v>
      </c>
      <c r="Q66" s="674">
        <f t="shared" si="11"/>
        <v>0</v>
      </c>
      <c r="R66" s="674" t="str">
        <f t="shared" si="12"/>
        <v>Not Applicable</v>
      </c>
      <c r="S66" s="798" t="str">
        <f>IF($R$7=0,"",IFERROR(VLOOKUP(B66,[3]Sheet1!$C$1:$P$65536,14,FALSE),"NA"))</f>
        <v/>
      </c>
      <c r="T66" s="798">
        <f>IF(O66=0,0,IF(S66="N",0,VLOOKUP(B66,Enrollment!B:J,9,FALSE)))</f>
        <v>0</v>
      </c>
      <c r="U66" s="88">
        <f t="shared" si="13"/>
        <v>0</v>
      </c>
      <c r="V66" s="71">
        <f t="shared" si="14"/>
        <v>0</v>
      </c>
      <c r="W66" s="449">
        <v>0</v>
      </c>
      <c r="X66" s="67">
        <f>IFERROR(VLOOKUP($B66,'Allocation 2021-22'!$B:$O,14,FALSE),0)</f>
        <v>0</v>
      </c>
      <c r="Y66" s="163">
        <f t="shared" si="15"/>
        <v>0</v>
      </c>
      <c r="Z66" s="166">
        <f t="shared" si="16"/>
        <v>0</v>
      </c>
      <c r="AA66" s="34">
        <f t="shared" si="2"/>
        <v>0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66</v>
      </c>
      <c r="C67" s="784" t="s">
        <v>758</v>
      </c>
      <c r="D67" s="134">
        <f>VLOOKUP(B67,'Enrollment 22-23'!$B:$I,8,FALSE)</f>
        <v>1.5</v>
      </c>
      <c r="E67" s="67">
        <f t="shared" si="3"/>
        <v>207</v>
      </c>
      <c r="F67" s="146">
        <v>0</v>
      </c>
      <c r="G67" s="146">
        <v>0</v>
      </c>
      <c r="H67" s="91">
        <f t="shared" si="4"/>
        <v>207</v>
      </c>
      <c r="I67" s="67">
        <f t="shared" si="5"/>
        <v>0</v>
      </c>
      <c r="J67" s="739">
        <f t="shared" si="6"/>
        <v>207</v>
      </c>
      <c r="K67" s="837" t="str">
        <f>_xlfn.IFNA(VLOOKUP(B67,'[2]22-23 Survey Results'!$A:$F,6,FALSE),0)</f>
        <v>N</v>
      </c>
      <c r="L67" s="740">
        <f t="shared" si="7"/>
        <v>207</v>
      </c>
      <c r="M67" s="741">
        <f t="shared" si="8"/>
        <v>0</v>
      </c>
      <c r="N67" s="67">
        <f t="shared" si="9"/>
        <v>0</v>
      </c>
      <c r="O67" s="67">
        <f t="shared" si="10"/>
        <v>0</v>
      </c>
      <c r="Q67" s="674">
        <f t="shared" si="11"/>
        <v>0</v>
      </c>
      <c r="R67" s="674" t="str">
        <f t="shared" si="12"/>
        <v>Not Applicable</v>
      </c>
      <c r="S67" s="798" t="str">
        <f>IF($R$7=0,"",IFERROR(VLOOKUP(B67,[3]Sheet1!$C$1:$P$65536,14,FALSE),"NA"))</f>
        <v/>
      </c>
      <c r="T67" s="798">
        <f>IF(O67=0,0,IF(S67="N",0,VLOOKUP(B67,Enrollment!B:J,9,FALSE)))</f>
        <v>0</v>
      </c>
      <c r="U67" s="88">
        <f t="shared" si="13"/>
        <v>0</v>
      </c>
      <c r="V67" s="71">
        <f t="shared" si="14"/>
        <v>0</v>
      </c>
      <c r="W67" s="449">
        <v>0</v>
      </c>
      <c r="X67" s="67">
        <f>IFERROR(VLOOKUP($B67,'Allocation 2021-22'!$B:$O,14,FALSE),0)</f>
        <v>0</v>
      </c>
      <c r="Y67" s="163">
        <f t="shared" si="15"/>
        <v>0</v>
      </c>
      <c r="Z67" s="166">
        <f t="shared" si="16"/>
        <v>0</v>
      </c>
      <c r="AA67" s="34" t="str">
        <f t="shared" si="2"/>
        <v>N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603</v>
      </c>
      <c r="B68" s="784" t="s">
        <v>444</v>
      </c>
      <c r="C68" s="784" t="s">
        <v>1574</v>
      </c>
      <c r="D68" s="134">
        <f>VLOOKUP(B68,'Enrollment 22-23'!$B:$I,8,FALSE)</f>
        <v>25</v>
      </c>
      <c r="E68" s="67">
        <f t="shared" si="3"/>
        <v>3457</v>
      </c>
      <c r="F68" s="146">
        <v>0</v>
      </c>
      <c r="G68" s="146">
        <v>0</v>
      </c>
      <c r="H68" s="91">
        <f t="shared" si="4"/>
        <v>3457</v>
      </c>
      <c r="I68" s="67">
        <f t="shared" si="5"/>
        <v>0</v>
      </c>
      <c r="J68" s="739">
        <f t="shared" si="6"/>
        <v>3457</v>
      </c>
      <c r="K68" s="837" t="str">
        <f>_xlfn.IFNA(VLOOKUP(B68,'[2]22-23 Survey Results'!$A:$F,6,FALSE),0)</f>
        <v>N</v>
      </c>
      <c r="L68" s="740">
        <f t="shared" si="7"/>
        <v>3457</v>
      </c>
      <c r="M68" s="741">
        <f t="shared" si="8"/>
        <v>0</v>
      </c>
      <c r="N68" s="67">
        <f t="shared" si="9"/>
        <v>0</v>
      </c>
      <c r="O68" s="67">
        <f t="shared" si="10"/>
        <v>0</v>
      </c>
      <c r="Q68" s="674">
        <f t="shared" si="11"/>
        <v>0</v>
      </c>
      <c r="R68" s="674" t="str">
        <f t="shared" si="12"/>
        <v>Not Applicable</v>
      </c>
      <c r="S68" s="798" t="str">
        <f>IF($R$7=0,"",IFERROR(VLOOKUP(B68,[3]Sheet1!$C$1:$P$65536,14,FALSE),"NA"))</f>
        <v/>
      </c>
      <c r="T68" s="798">
        <f>IF(O68=0,0,IF(S68="N",0,VLOOKUP(B68,Enrollment!B:J,9,FALSE)))</f>
        <v>0</v>
      </c>
      <c r="U68" s="88">
        <f t="shared" si="13"/>
        <v>0</v>
      </c>
      <c r="V68" s="71">
        <f t="shared" si="14"/>
        <v>0</v>
      </c>
      <c r="W68" s="449">
        <v>0</v>
      </c>
      <c r="X68" s="67">
        <f>IFERROR(VLOOKUP($B68,'Allocation 2021-22'!$B:$O,14,FALSE),0)</f>
        <v>0</v>
      </c>
      <c r="Y68" s="163">
        <f t="shared" si="15"/>
        <v>0</v>
      </c>
      <c r="Z68" s="166">
        <f t="shared" si="16"/>
        <v>0</v>
      </c>
      <c r="AA68" s="34" t="str">
        <f t="shared" si="2"/>
        <v>N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597</v>
      </c>
      <c r="B69" s="784" t="s">
        <v>353</v>
      </c>
      <c r="C69" s="784" t="s">
        <v>1528</v>
      </c>
      <c r="D69" s="134">
        <f>VLOOKUP(B69,'Enrollment 22-23'!$B:$I,8,FALSE)</f>
        <v>58.34</v>
      </c>
      <c r="E69" s="67">
        <f t="shared" si="3"/>
        <v>8066</v>
      </c>
      <c r="F69" s="146">
        <v>0</v>
      </c>
      <c r="G69" s="146">
        <v>0</v>
      </c>
      <c r="H69" s="91">
        <f t="shared" si="4"/>
        <v>8066</v>
      </c>
      <c r="I69" s="67">
        <f t="shared" si="5"/>
        <v>0</v>
      </c>
      <c r="J69" s="739">
        <f t="shared" si="6"/>
        <v>8066</v>
      </c>
      <c r="K69" s="837" t="str">
        <f>_xlfn.IFNA(VLOOKUP(B69,'[2]22-23 Survey Results'!$A:$F,6,FALSE),0)</f>
        <v>C</v>
      </c>
      <c r="L69" s="740">
        <f t="shared" si="7"/>
        <v>0</v>
      </c>
      <c r="M69" s="741">
        <f t="shared" si="8"/>
        <v>58.34</v>
      </c>
      <c r="N69" s="67">
        <f t="shared" si="9"/>
        <v>79</v>
      </c>
      <c r="O69" s="67">
        <f t="shared" si="10"/>
        <v>8145</v>
      </c>
      <c r="Q69" s="674">
        <f t="shared" si="11"/>
        <v>0</v>
      </c>
      <c r="R69" s="674" t="str">
        <f t="shared" si="12"/>
        <v>Not Applicable</v>
      </c>
      <c r="S69" s="798" t="str">
        <f>IF($R$7=0,"",IFERROR(VLOOKUP(B69,[3]Sheet1!$C$1:$P$65536,14,FALSE),"NA"))</f>
        <v/>
      </c>
      <c r="T69" s="798">
        <f>IF(O69=0,0,IF(S69="N",0,VLOOKUP(B69,Enrollment!B:J,9,FALSE)))</f>
        <v>0</v>
      </c>
      <c r="U69" s="88">
        <f t="shared" si="13"/>
        <v>8145</v>
      </c>
      <c r="V69" s="71">
        <f t="shared" si="14"/>
        <v>139.61261570106274</v>
      </c>
      <c r="W69" s="449">
        <v>0</v>
      </c>
      <c r="X69" s="67">
        <f>IFERROR(VLOOKUP($B69,'Allocation 2021-22'!$B:$O,14,FALSE),0)</f>
        <v>9519</v>
      </c>
      <c r="Y69" s="163">
        <f t="shared" si="15"/>
        <v>-1374</v>
      </c>
      <c r="Z69" s="166">
        <f t="shared" si="16"/>
        <v>-0.14434289316104632</v>
      </c>
      <c r="AA69" s="34" t="str">
        <f t="shared" si="2"/>
        <v>C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596</v>
      </c>
      <c r="B70" s="784" t="s">
        <v>490</v>
      </c>
      <c r="C70" s="784" t="s">
        <v>1596</v>
      </c>
      <c r="D70" s="134">
        <f>VLOOKUP(B70,'Enrollment 22-23'!$B:$I,8,FALSE)</f>
        <v>0</v>
      </c>
      <c r="E70" s="67">
        <f t="shared" si="3"/>
        <v>0</v>
      </c>
      <c r="F70" s="146">
        <v>0</v>
      </c>
      <c r="G70" s="146">
        <v>0</v>
      </c>
      <c r="H70" s="91">
        <f t="shared" si="4"/>
        <v>0</v>
      </c>
      <c r="I70" s="67">
        <f t="shared" si="5"/>
        <v>0</v>
      </c>
      <c r="J70" s="739">
        <f t="shared" si="6"/>
        <v>0</v>
      </c>
      <c r="K70" s="837">
        <f>_xlfn.IFNA(VLOOKUP(B70,'[2]22-23 Survey Results'!$A:$F,6,FALSE),0)</f>
        <v>0</v>
      </c>
      <c r="L70" s="740">
        <f t="shared" si="7"/>
        <v>0</v>
      </c>
      <c r="M70" s="741">
        <f t="shared" si="8"/>
        <v>0</v>
      </c>
      <c r="N70" s="67">
        <f t="shared" si="9"/>
        <v>0</v>
      </c>
      <c r="O70" s="67">
        <f t="shared" si="10"/>
        <v>0</v>
      </c>
      <c r="Q70" s="674">
        <f t="shared" si="11"/>
        <v>0</v>
      </c>
      <c r="R70" s="674" t="str">
        <f t="shared" si="12"/>
        <v>Not Applicable</v>
      </c>
      <c r="S70" s="798" t="str">
        <f>IF($R$7=0,"",IFERROR(VLOOKUP(B70,[3]Sheet1!$C$1:$P$65536,14,FALSE),"NA"))</f>
        <v/>
      </c>
      <c r="T70" s="798">
        <f>IF(O70=0,0,IF(S70="N",0,VLOOKUP(B70,Enrollment!B:J,9,FALSE)))</f>
        <v>0</v>
      </c>
      <c r="U70" s="88">
        <f t="shared" si="13"/>
        <v>0</v>
      </c>
      <c r="V70" s="71">
        <f t="shared" si="14"/>
        <v>0</v>
      </c>
      <c r="W70" s="449">
        <v>0</v>
      </c>
      <c r="X70" s="67">
        <f>IFERROR(VLOOKUP($B70,'Allocation 2021-22'!$B:$O,14,FALSE),0)</f>
        <v>0</v>
      </c>
      <c r="Y70" s="163">
        <f t="shared" si="15"/>
        <v>0</v>
      </c>
      <c r="Z70" s="166">
        <f t="shared" si="16"/>
        <v>0</v>
      </c>
      <c r="AA70" s="34">
        <f t="shared" si="2"/>
        <v>0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603</v>
      </c>
      <c r="B71" s="784" t="s">
        <v>440</v>
      </c>
      <c r="C71" s="784" t="s">
        <v>1571</v>
      </c>
      <c r="D71" s="134">
        <f>VLOOKUP(B71,'Enrollment 22-23'!$B:$I,8,FALSE)</f>
        <v>100.17</v>
      </c>
      <c r="E71" s="67">
        <f t="shared" si="3"/>
        <v>13850</v>
      </c>
      <c r="F71" s="146">
        <v>0</v>
      </c>
      <c r="G71" s="146">
        <v>0</v>
      </c>
      <c r="H71" s="91">
        <f t="shared" si="4"/>
        <v>13850</v>
      </c>
      <c r="I71" s="67">
        <f t="shared" si="5"/>
        <v>0</v>
      </c>
      <c r="J71" s="739">
        <f t="shared" si="6"/>
        <v>13850</v>
      </c>
      <c r="K71" s="837" t="str">
        <f>_xlfn.IFNA(VLOOKUP(B71,'[2]22-23 Survey Results'!$A:$F,6,FALSE),0)</f>
        <v>Y</v>
      </c>
      <c r="L71" s="740">
        <f t="shared" si="7"/>
        <v>0</v>
      </c>
      <c r="M71" s="741">
        <f t="shared" si="8"/>
        <v>100.17</v>
      </c>
      <c r="N71" s="67">
        <f t="shared" si="9"/>
        <v>135</v>
      </c>
      <c r="O71" s="67">
        <f t="shared" si="10"/>
        <v>13985</v>
      </c>
      <c r="Q71" s="674">
        <f t="shared" si="11"/>
        <v>0</v>
      </c>
      <c r="R71" s="674" t="str">
        <f t="shared" si="12"/>
        <v>Not Applicable</v>
      </c>
      <c r="S71" s="798" t="str">
        <f>IF($R$7=0,"",IFERROR(VLOOKUP(B71,[3]Sheet1!$C$1:$P$65536,14,FALSE),"NA"))</f>
        <v/>
      </c>
      <c r="T71" s="798">
        <f>IF(O71=0,0,IF(S71="N",0,VLOOKUP(B71,Enrollment!B:J,9,FALSE)))</f>
        <v>0</v>
      </c>
      <c r="U71" s="88">
        <f t="shared" si="13"/>
        <v>13985</v>
      </c>
      <c r="V71" s="71">
        <f t="shared" si="14"/>
        <v>139.61265848058301</v>
      </c>
      <c r="W71" s="449">
        <v>14423</v>
      </c>
      <c r="X71" s="67">
        <f>IFERROR(VLOOKUP($B71,'Allocation 2021-22'!$B:$O,14,FALSE),0)</f>
        <v>14369</v>
      </c>
      <c r="Y71" s="163">
        <f t="shared" si="15"/>
        <v>-384</v>
      </c>
      <c r="Z71" s="166">
        <f t="shared" si="16"/>
        <v>-2.672419792609089E-2</v>
      </c>
      <c r="AA71" s="34" t="str">
        <f t="shared" si="2"/>
        <v>Y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605</v>
      </c>
      <c r="B72" s="784" t="s">
        <v>549</v>
      </c>
      <c r="C72" s="784" t="s">
        <v>1623</v>
      </c>
      <c r="D72" s="134">
        <f>VLOOKUP(B72,'Enrollment 22-23'!$B:$I,8,FALSE)</f>
        <v>351.83</v>
      </c>
      <c r="E72" s="67">
        <f t="shared" si="3"/>
        <v>48646</v>
      </c>
      <c r="F72" s="146">
        <v>0</v>
      </c>
      <c r="G72" s="146">
        <v>0</v>
      </c>
      <c r="H72" s="91">
        <f t="shared" si="4"/>
        <v>48646</v>
      </c>
      <c r="I72" s="67">
        <f t="shared" si="5"/>
        <v>0</v>
      </c>
      <c r="J72" s="739">
        <f t="shared" si="6"/>
        <v>48646</v>
      </c>
      <c r="K72" s="837" t="str">
        <f>_xlfn.IFNA(VLOOKUP(B72,'[2]22-23 Survey Results'!$A:$F,6,FALSE),0)</f>
        <v>Y</v>
      </c>
      <c r="L72" s="740">
        <f t="shared" si="7"/>
        <v>0</v>
      </c>
      <c r="M72" s="741">
        <f t="shared" si="8"/>
        <v>351.83</v>
      </c>
      <c r="N72" s="67">
        <f t="shared" si="9"/>
        <v>475</v>
      </c>
      <c r="O72" s="67">
        <f t="shared" si="10"/>
        <v>49121</v>
      </c>
      <c r="Q72" s="674">
        <f t="shared" si="11"/>
        <v>0</v>
      </c>
      <c r="R72" s="674" t="str">
        <f t="shared" si="12"/>
        <v>Not Applicable</v>
      </c>
      <c r="S72" s="798" t="str">
        <f>IF($R$7=0,"",IFERROR(VLOOKUP(B72,[3]Sheet1!$C$1:$P$65536,14,FALSE),"NA"))</f>
        <v/>
      </c>
      <c r="T72" s="798">
        <f>IF(O72=0,0,IF(S72="N",0,VLOOKUP(B72,Enrollment!B:J,9,FALSE)))</f>
        <v>0</v>
      </c>
      <c r="U72" s="88">
        <f t="shared" si="13"/>
        <v>49121</v>
      </c>
      <c r="V72" s="71">
        <f t="shared" si="14"/>
        <v>139.61572350282808</v>
      </c>
      <c r="W72" s="449">
        <v>47609</v>
      </c>
      <c r="X72" s="67">
        <f>IFERROR(VLOOKUP($B72,'Allocation 2021-22'!$B:$O,14,FALSE),0)</f>
        <v>47429</v>
      </c>
      <c r="Y72" s="163">
        <f t="shared" si="15"/>
        <v>1692</v>
      </c>
      <c r="Z72" s="166">
        <f t="shared" si="16"/>
        <v>3.5674376436357499E-2</v>
      </c>
      <c r="AA72" s="34" t="str">
        <f t="shared" si="2"/>
        <v>Y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601</v>
      </c>
      <c r="B73" s="784" t="s">
        <v>88</v>
      </c>
      <c r="C73" s="784" t="s">
        <v>1408</v>
      </c>
      <c r="D73" s="134">
        <f>VLOOKUP(B73,'Enrollment 22-23'!$B:$I,8,FALSE)</f>
        <v>1036.67</v>
      </c>
      <c r="E73" s="67">
        <f t="shared" si="3"/>
        <v>143336</v>
      </c>
      <c r="F73" s="146">
        <v>0</v>
      </c>
      <c r="G73" s="146">
        <v>0</v>
      </c>
      <c r="H73" s="91">
        <f t="shared" si="4"/>
        <v>143336</v>
      </c>
      <c r="I73" s="67">
        <f t="shared" si="5"/>
        <v>0</v>
      </c>
      <c r="J73" s="739">
        <f t="shared" si="6"/>
        <v>143336</v>
      </c>
      <c r="K73" s="837" t="str">
        <f>_xlfn.IFNA(VLOOKUP(B73,'[2]22-23 Survey Results'!$A:$F,6,FALSE),0)</f>
        <v>Y</v>
      </c>
      <c r="L73" s="740">
        <f t="shared" si="7"/>
        <v>0</v>
      </c>
      <c r="M73" s="741">
        <f t="shared" si="8"/>
        <v>1036.67</v>
      </c>
      <c r="N73" s="67">
        <f t="shared" si="9"/>
        <v>1399</v>
      </c>
      <c r="O73" s="67">
        <f t="shared" si="10"/>
        <v>144735</v>
      </c>
      <c r="Q73" s="674">
        <f t="shared" si="11"/>
        <v>0</v>
      </c>
      <c r="R73" s="674" t="str">
        <f t="shared" si="12"/>
        <v>Not Applicable</v>
      </c>
      <c r="S73" s="798" t="str">
        <f>IF($R$7=0,"",IFERROR(VLOOKUP(B73,[3]Sheet1!$C$1:$P$65536,14,FALSE),"NA"))</f>
        <v/>
      </c>
      <c r="T73" s="798">
        <f>IF(O73=0,0,IF(S73="N",0,VLOOKUP(B73,Enrollment!B:J,9,FALSE)))</f>
        <v>0</v>
      </c>
      <c r="U73" s="88">
        <f t="shared" si="13"/>
        <v>144735</v>
      </c>
      <c r="V73" s="71">
        <f t="shared" si="14"/>
        <v>139.61530670319388</v>
      </c>
      <c r="W73" s="449">
        <v>141747</v>
      </c>
      <c r="X73" s="67">
        <f>IFERROR(VLOOKUP($B73,'Allocation 2021-22'!$B:$O,14,FALSE),0)</f>
        <v>141213</v>
      </c>
      <c r="Y73" s="163">
        <f t="shared" si="15"/>
        <v>3522</v>
      </c>
      <c r="Z73" s="166">
        <f t="shared" si="16"/>
        <v>2.4941046504217034E-2</v>
      </c>
      <c r="AA73" s="34" t="str">
        <f t="shared" ref="AA73:AA136" si="17">IF(ISERROR(VLOOKUP(B73,$AC$9:$AC$38,2,0)),K73,"C")</f>
        <v>Y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605</v>
      </c>
      <c r="B74" s="784" t="s">
        <v>222</v>
      </c>
      <c r="C74" s="784" t="s">
        <v>1467</v>
      </c>
      <c r="D74" s="134">
        <f>VLOOKUP(B74,'Enrollment 22-23'!$B:$I,8,FALSE)</f>
        <v>6.67</v>
      </c>
      <c r="E74" s="67">
        <f t="shared" ref="E74:E137" si="18">ROUND($D74/$D$7*$E$6,0)</f>
        <v>922</v>
      </c>
      <c r="F74" s="146">
        <v>0</v>
      </c>
      <c r="G74" s="146">
        <v>0</v>
      </c>
      <c r="H74" s="91">
        <f t="shared" ref="H74:H137" si="19">SUM(E74:G74)</f>
        <v>922</v>
      </c>
      <c r="I74" s="67">
        <f t="shared" ref="I74:I137" si="20">ROUND($D74/$D$7*$I$6,0)</f>
        <v>0</v>
      </c>
      <c r="J74" s="739">
        <f t="shared" ref="J74:J137" si="21">+H74+I74</f>
        <v>922</v>
      </c>
      <c r="K74" s="837" t="str">
        <f>_xlfn.IFNA(VLOOKUP(B74,'[2]22-23 Survey Results'!$A:$F,6,FALSE),0)</f>
        <v>N</v>
      </c>
      <c r="L74" s="740">
        <f t="shared" ref="L74:L137" si="22">IF(OR(K74="N",K74="NR",AND(J74&lt;$L$6,K74&lt;&gt;"C")),J74,0)</f>
        <v>922</v>
      </c>
      <c r="M74" s="741">
        <f t="shared" ref="M74:M137" si="23">IF(L74=0,D74,0)</f>
        <v>0</v>
      </c>
      <c r="N74" s="67">
        <f t="shared" ref="N74:N137" si="24">ROUND(M74/$M$7*$L$3,0)</f>
        <v>0</v>
      </c>
      <c r="O74" s="67">
        <f t="shared" ref="O74:O137" si="25">J74-L74+N74</f>
        <v>0</v>
      </c>
      <c r="Q74" s="674">
        <f t="shared" ref="Q74:Q137" si="26">-ROUND(IF(P74&gt;0,O74*(0.9-P74),0),0)</f>
        <v>0</v>
      </c>
      <c r="R74" s="674" t="str">
        <f t="shared" ref="R74:R137" si="27">IF($R$7=0,"Not Applicable",T74*($R$7/$T$7))</f>
        <v>Not Applicable</v>
      </c>
      <c r="S74" s="798" t="str">
        <f>IF($R$7=0,"",IFERROR(VLOOKUP(B74,[3]Sheet1!$C$1:$P$65536,14,FALSE),"NA"))</f>
        <v/>
      </c>
      <c r="T74" s="798">
        <f>IF(O74=0,0,IF(S74="N",0,VLOOKUP(B74,Enrollment!B:J,9,FALSE)))</f>
        <v>0</v>
      </c>
      <c r="U74" s="88">
        <f t="shared" ref="U74:U137" si="28">IF(ISNUMBER(R74),O74+R74,O74)</f>
        <v>0</v>
      </c>
      <c r="V74" s="71">
        <f t="shared" ref="V74:V137" si="29">IF(M74=0,0,O74/M74)</f>
        <v>0</v>
      </c>
      <c r="W74" s="449">
        <v>0</v>
      </c>
      <c r="X74" s="67">
        <f>IFERROR(VLOOKUP($B74,'Allocation 2021-22'!$B:$O,14,FALSE),0)</f>
        <v>915</v>
      </c>
      <c r="Y74" s="163">
        <f t="shared" ref="Y74:Y137" si="30">O74-X74</f>
        <v>-915</v>
      </c>
      <c r="Z74" s="166">
        <f t="shared" ref="Z74:Z137" si="31">IFERROR(IF(X74&gt;0,Y74/X74,0),0)</f>
        <v>-1</v>
      </c>
      <c r="AA74" s="34" t="str">
        <f t="shared" si="17"/>
        <v>N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597</v>
      </c>
      <c r="B75" s="784" t="s">
        <v>365</v>
      </c>
      <c r="C75" s="784" t="s">
        <v>1532</v>
      </c>
      <c r="D75" s="134">
        <f>VLOOKUP(B75,'Enrollment 22-23'!$B:$I,8,FALSE)</f>
        <v>15.83</v>
      </c>
      <c r="E75" s="67">
        <f t="shared" si="18"/>
        <v>2189</v>
      </c>
      <c r="F75" s="146">
        <v>0</v>
      </c>
      <c r="G75" s="146">
        <v>0</v>
      </c>
      <c r="H75" s="91">
        <f t="shared" si="19"/>
        <v>2189</v>
      </c>
      <c r="I75" s="67">
        <f t="shared" si="20"/>
        <v>0</v>
      </c>
      <c r="J75" s="739">
        <f t="shared" si="21"/>
        <v>2189</v>
      </c>
      <c r="K75" s="837" t="str">
        <f>_xlfn.IFNA(VLOOKUP(B75,'[2]22-23 Survey Results'!$A:$F,6,FALSE),0)</f>
        <v>N</v>
      </c>
      <c r="L75" s="740">
        <f t="shared" si="22"/>
        <v>2189</v>
      </c>
      <c r="M75" s="741">
        <f t="shared" si="23"/>
        <v>0</v>
      </c>
      <c r="N75" s="67">
        <f t="shared" si="24"/>
        <v>0</v>
      </c>
      <c r="O75" s="67">
        <f t="shared" si="25"/>
        <v>0</v>
      </c>
      <c r="Q75" s="674">
        <f t="shared" si="26"/>
        <v>0</v>
      </c>
      <c r="R75" s="674" t="str">
        <f t="shared" si="27"/>
        <v>Not Applicable</v>
      </c>
      <c r="S75" s="798" t="str">
        <f>IF($R$7=0,"",IFERROR(VLOOKUP(B75,[3]Sheet1!$C$1:$P$65536,14,FALSE),"NA"))</f>
        <v/>
      </c>
      <c r="T75" s="798">
        <f>IF(O75=0,0,IF(S75="N",0,VLOOKUP(B75,Enrollment!B:J,9,FALSE)))</f>
        <v>0</v>
      </c>
      <c r="U75" s="88">
        <f t="shared" si="28"/>
        <v>0</v>
      </c>
      <c r="V75" s="71">
        <f t="shared" si="29"/>
        <v>0</v>
      </c>
      <c r="W75" s="449">
        <v>0</v>
      </c>
      <c r="X75" s="67">
        <f>IFERROR(VLOOKUP($B75,'Allocation 2021-22'!$B:$O,14,FALSE),0)</f>
        <v>0</v>
      </c>
      <c r="Y75" s="163">
        <f t="shared" si="30"/>
        <v>0</v>
      </c>
      <c r="Z75" s="166">
        <f t="shared" si="31"/>
        <v>0</v>
      </c>
      <c r="AA75" s="34" t="str">
        <f t="shared" si="17"/>
        <v>N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595</v>
      </c>
      <c r="B76" s="784" t="s">
        <v>401</v>
      </c>
      <c r="C76" s="784" t="s">
        <v>1551</v>
      </c>
      <c r="D76" s="134">
        <f>VLOOKUP(B76,'Enrollment 22-23'!$B:$I,8,FALSE)</f>
        <v>3416.17</v>
      </c>
      <c r="E76" s="67">
        <f t="shared" si="18"/>
        <v>472340</v>
      </c>
      <c r="F76" s="146">
        <v>0</v>
      </c>
      <c r="G76" s="146">
        <v>0</v>
      </c>
      <c r="H76" s="91">
        <f t="shared" si="19"/>
        <v>472340</v>
      </c>
      <c r="I76" s="67">
        <f t="shared" si="20"/>
        <v>0</v>
      </c>
      <c r="J76" s="739">
        <f t="shared" si="21"/>
        <v>472340</v>
      </c>
      <c r="K76" s="837" t="str">
        <f>_xlfn.IFNA(VLOOKUP(B76,'[2]22-23 Survey Results'!$A:$F,6,FALSE),0)</f>
        <v>Y</v>
      </c>
      <c r="L76" s="740">
        <f t="shared" si="22"/>
        <v>0</v>
      </c>
      <c r="M76" s="741">
        <f t="shared" si="23"/>
        <v>3416.17</v>
      </c>
      <c r="N76" s="67">
        <f t="shared" si="24"/>
        <v>4611</v>
      </c>
      <c r="O76" s="67">
        <f t="shared" si="25"/>
        <v>476951</v>
      </c>
      <c r="Q76" s="674">
        <f t="shared" si="26"/>
        <v>0</v>
      </c>
      <c r="R76" s="674" t="str">
        <f t="shared" si="27"/>
        <v>Not Applicable</v>
      </c>
      <c r="S76" s="798" t="str">
        <f>IF($R$7=0,"",IFERROR(VLOOKUP(B76,[3]Sheet1!$C$1:$P$65536,14,FALSE),"NA"))</f>
        <v/>
      </c>
      <c r="T76" s="798">
        <f>IF(O76=0,0,IF(S76="N",0,VLOOKUP(B76,Enrollment!B:J,9,FALSE)))</f>
        <v>0</v>
      </c>
      <c r="U76" s="88">
        <f t="shared" si="28"/>
        <v>476951</v>
      </c>
      <c r="V76" s="71">
        <f t="shared" si="29"/>
        <v>139.61570999101332</v>
      </c>
      <c r="W76" s="449">
        <v>429397</v>
      </c>
      <c r="X76" s="67">
        <f>IFERROR(VLOOKUP($B76,'Allocation 2021-22'!$B:$O,14,FALSE),0)</f>
        <v>427780</v>
      </c>
      <c r="Y76" s="163">
        <f t="shared" si="30"/>
        <v>49171</v>
      </c>
      <c r="Z76" s="166">
        <f t="shared" si="31"/>
        <v>0.11494459769040161</v>
      </c>
      <c r="AA76" s="34" t="str">
        <f t="shared" si="17"/>
        <v>Y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605</v>
      </c>
      <c r="B77" s="784" t="s">
        <v>226</v>
      </c>
      <c r="C77" s="784" t="s">
        <v>1469</v>
      </c>
      <c r="D77" s="134">
        <f>VLOOKUP(B77,'Enrollment 22-23'!$B:$I,8,FALSE)</f>
        <v>233.16</v>
      </c>
      <c r="E77" s="67">
        <f t="shared" si="18"/>
        <v>32238</v>
      </c>
      <c r="F77" s="146">
        <v>0</v>
      </c>
      <c r="G77" s="146">
        <v>0</v>
      </c>
      <c r="H77" s="91">
        <f t="shared" si="19"/>
        <v>32238</v>
      </c>
      <c r="I77" s="67">
        <f t="shared" si="20"/>
        <v>0</v>
      </c>
      <c r="J77" s="739">
        <f t="shared" si="21"/>
        <v>32238</v>
      </c>
      <c r="K77" s="837" t="str">
        <f>_xlfn.IFNA(VLOOKUP(B77,'[2]22-23 Survey Results'!$A:$F,6,FALSE),0)</f>
        <v>Y</v>
      </c>
      <c r="L77" s="740">
        <f t="shared" si="22"/>
        <v>0</v>
      </c>
      <c r="M77" s="741">
        <f t="shared" si="23"/>
        <v>233.16</v>
      </c>
      <c r="N77" s="67">
        <f t="shared" si="24"/>
        <v>315</v>
      </c>
      <c r="O77" s="67">
        <f t="shared" si="25"/>
        <v>32553</v>
      </c>
      <c r="Q77" s="674">
        <f t="shared" si="26"/>
        <v>0</v>
      </c>
      <c r="R77" s="674" t="str">
        <f t="shared" si="27"/>
        <v>Not Applicable</v>
      </c>
      <c r="S77" s="798" t="str">
        <f>IF($R$7=0,"",IFERROR(VLOOKUP(B77,[3]Sheet1!$C$1:$P$65536,14,FALSE),"NA"))</f>
        <v/>
      </c>
      <c r="T77" s="798">
        <f>IF(O77=0,0,IF(S77="N",0,VLOOKUP(B77,Enrollment!B:J,9,FALSE)))</f>
        <v>0</v>
      </c>
      <c r="U77" s="88">
        <f t="shared" si="28"/>
        <v>32553</v>
      </c>
      <c r="V77" s="71">
        <f t="shared" si="29"/>
        <v>139.61657231085951</v>
      </c>
      <c r="W77" s="449">
        <v>32635</v>
      </c>
      <c r="X77" s="67">
        <f>IFERROR(VLOOKUP($B77,'Allocation 2021-22'!$B:$O,14,FALSE),0)</f>
        <v>32512</v>
      </c>
      <c r="Y77" s="163">
        <f t="shared" si="30"/>
        <v>41</v>
      </c>
      <c r="Z77" s="166">
        <f t="shared" si="31"/>
        <v>1.2610728346456692E-3</v>
      </c>
      <c r="AA77" s="34" t="str">
        <f t="shared" si="17"/>
        <v>Y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141</v>
      </c>
      <c r="C78" s="784" t="s">
        <v>1433</v>
      </c>
      <c r="D78" s="134">
        <f>VLOOKUP(B78,'Enrollment 22-23'!$B:$I,8,FALSE)</f>
        <v>125.84</v>
      </c>
      <c r="E78" s="67">
        <f t="shared" si="18"/>
        <v>17399</v>
      </c>
      <c r="F78" s="146">
        <v>0</v>
      </c>
      <c r="G78" s="146">
        <v>0</v>
      </c>
      <c r="H78" s="91">
        <f t="shared" si="19"/>
        <v>17399</v>
      </c>
      <c r="I78" s="67">
        <f t="shared" si="20"/>
        <v>0</v>
      </c>
      <c r="J78" s="739">
        <f t="shared" si="21"/>
        <v>17399</v>
      </c>
      <c r="K78" s="837" t="str">
        <f>_xlfn.IFNA(VLOOKUP(B78,'[2]22-23 Survey Results'!$A:$F,6,FALSE),0)</f>
        <v>Y</v>
      </c>
      <c r="L78" s="740">
        <f t="shared" si="22"/>
        <v>0</v>
      </c>
      <c r="M78" s="741">
        <f t="shared" si="23"/>
        <v>125.84</v>
      </c>
      <c r="N78" s="67">
        <f t="shared" si="24"/>
        <v>170</v>
      </c>
      <c r="O78" s="67">
        <f t="shared" si="25"/>
        <v>17569</v>
      </c>
      <c r="Q78" s="674">
        <f t="shared" si="26"/>
        <v>0</v>
      </c>
      <c r="R78" s="674" t="str">
        <f t="shared" si="27"/>
        <v>Not Applicable</v>
      </c>
      <c r="S78" s="798" t="str">
        <f>IF($R$7=0,"",IFERROR(VLOOKUP(B78,[3]Sheet1!$C$1:$P$65536,14,FALSE),"NA"))</f>
        <v/>
      </c>
      <c r="T78" s="798">
        <f>IF(O78=0,0,IF(S78="N",0,VLOOKUP(B78,Enrollment!B:J,9,FALSE)))</f>
        <v>0</v>
      </c>
      <c r="U78" s="88">
        <f t="shared" si="28"/>
        <v>17569</v>
      </c>
      <c r="V78" s="71">
        <f t="shared" si="29"/>
        <v>139.61379529561347</v>
      </c>
      <c r="W78" s="449">
        <v>16236</v>
      </c>
      <c r="X78" s="67">
        <f>IFERROR(VLOOKUP($B78,'Allocation 2021-22'!$B:$O,14,FALSE),0)</f>
        <v>16176</v>
      </c>
      <c r="Y78" s="163">
        <f t="shared" si="30"/>
        <v>1393</v>
      </c>
      <c r="Z78" s="166">
        <f t="shared" si="31"/>
        <v>8.6115232443125619E-2</v>
      </c>
      <c r="AA78" s="34" t="str">
        <f t="shared" si="17"/>
        <v>Y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603</v>
      </c>
      <c r="B79" s="784" t="s">
        <v>535</v>
      </c>
      <c r="C79" s="784" t="s">
        <v>1616</v>
      </c>
      <c r="D79" s="134">
        <f>VLOOKUP(B79,'Enrollment 22-23'!$B:$I,8,FALSE)</f>
        <v>0</v>
      </c>
      <c r="E79" s="67">
        <f t="shared" si="18"/>
        <v>0</v>
      </c>
      <c r="F79" s="146">
        <v>0</v>
      </c>
      <c r="G79" s="146">
        <v>0</v>
      </c>
      <c r="H79" s="91">
        <f t="shared" si="19"/>
        <v>0</v>
      </c>
      <c r="I79" s="67">
        <f t="shared" si="20"/>
        <v>0</v>
      </c>
      <c r="J79" s="739">
        <f t="shared" si="21"/>
        <v>0</v>
      </c>
      <c r="K79" s="837">
        <f>_xlfn.IFNA(VLOOKUP(B79,'[2]22-23 Survey Results'!$A:$F,6,FALSE),0)</f>
        <v>0</v>
      </c>
      <c r="L79" s="740">
        <f t="shared" si="22"/>
        <v>0</v>
      </c>
      <c r="M79" s="741">
        <f t="shared" si="23"/>
        <v>0</v>
      </c>
      <c r="N79" s="67">
        <f t="shared" si="24"/>
        <v>0</v>
      </c>
      <c r="O79" s="67">
        <f t="shared" si="25"/>
        <v>0</v>
      </c>
      <c r="Q79" s="674">
        <f t="shared" si="26"/>
        <v>0</v>
      </c>
      <c r="R79" s="674" t="str">
        <f t="shared" si="27"/>
        <v>Not Applicable</v>
      </c>
      <c r="S79" s="798" t="str">
        <f>IF($R$7=0,"",IFERROR(VLOOKUP(B79,[3]Sheet1!$C$1:$P$65536,14,FALSE),"NA"))</f>
        <v/>
      </c>
      <c r="T79" s="798">
        <f>IF(O79=0,0,IF(S79="N",0,VLOOKUP(B79,Enrollment!B:J,9,FALSE)))</f>
        <v>0</v>
      </c>
      <c r="U79" s="88">
        <f t="shared" si="28"/>
        <v>0</v>
      </c>
      <c r="V79" s="71">
        <f t="shared" si="29"/>
        <v>0</v>
      </c>
      <c r="W79" s="449">
        <v>0</v>
      </c>
      <c r="X79" s="67">
        <f>IFERROR(VLOOKUP($B79,'Allocation 2021-22'!$B:$O,14,FALSE),0)</f>
        <v>0</v>
      </c>
      <c r="Y79" s="163">
        <f t="shared" si="30"/>
        <v>0</v>
      </c>
      <c r="Z79" s="166">
        <f t="shared" si="31"/>
        <v>0</v>
      </c>
      <c r="AA79" s="34">
        <f t="shared" si="17"/>
        <v>0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601</v>
      </c>
      <c r="B80" s="784" t="s">
        <v>29</v>
      </c>
      <c r="C80" s="784" t="s">
        <v>1382</v>
      </c>
      <c r="D80" s="134">
        <f>VLOOKUP(B80,'Enrollment 22-23'!$B:$I,8,FALSE)</f>
        <v>50.67</v>
      </c>
      <c r="E80" s="67">
        <f t="shared" si="18"/>
        <v>7006</v>
      </c>
      <c r="F80" s="146">
        <v>0</v>
      </c>
      <c r="G80" s="146">
        <v>0</v>
      </c>
      <c r="H80" s="91">
        <f t="shared" si="19"/>
        <v>7006</v>
      </c>
      <c r="I80" s="67">
        <f t="shared" si="20"/>
        <v>0</v>
      </c>
      <c r="J80" s="739">
        <f t="shared" si="21"/>
        <v>7006</v>
      </c>
      <c r="K80" s="837" t="str">
        <f>_xlfn.IFNA(VLOOKUP(B80,'[2]22-23 Survey Results'!$A:$F,6,FALSE),0)</f>
        <v>N</v>
      </c>
      <c r="L80" s="740">
        <f t="shared" si="22"/>
        <v>7006</v>
      </c>
      <c r="M80" s="741">
        <f t="shared" si="23"/>
        <v>0</v>
      </c>
      <c r="N80" s="67">
        <f t="shared" si="24"/>
        <v>0</v>
      </c>
      <c r="O80" s="67">
        <f t="shared" si="25"/>
        <v>0</v>
      </c>
      <c r="Q80" s="674">
        <f t="shared" si="26"/>
        <v>0</v>
      </c>
      <c r="R80" s="674" t="str">
        <f t="shared" si="27"/>
        <v>Not Applicable</v>
      </c>
      <c r="S80" s="798" t="str">
        <f>IF($R$7=0,"",IFERROR(VLOOKUP(B80,[3]Sheet1!$C$1:$P$65536,14,FALSE),"NA"))</f>
        <v/>
      </c>
      <c r="T80" s="798">
        <f>IF(O80=0,0,IF(S80="N",0,VLOOKUP(B80,Enrollment!B:J,9,FALSE)))</f>
        <v>0</v>
      </c>
      <c r="U80" s="88">
        <f t="shared" si="28"/>
        <v>0</v>
      </c>
      <c r="V80" s="71">
        <f t="shared" si="29"/>
        <v>0</v>
      </c>
      <c r="W80" s="449">
        <v>0</v>
      </c>
      <c r="X80" s="67">
        <f>IFERROR(VLOOKUP($B80,'Allocation 2021-22'!$B:$O,14,FALSE),0)</f>
        <v>0</v>
      </c>
      <c r="Y80" s="163">
        <f t="shared" si="30"/>
        <v>0</v>
      </c>
      <c r="Z80" s="166">
        <f t="shared" si="31"/>
        <v>0</v>
      </c>
      <c r="AA80" s="34" t="str">
        <f t="shared" si="17"/>
        <v>N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597</v>
      </c>
      <c r="B81" s="784" t="s">
        <v>177</v>
      </c>
      <c r="C81" s="784" t="s">
        <v>1450</v>
      </c>
      <c r="D81" s="134">
        <f>VLOOKUP(B81,'Enrollment 22-23'!$B:$I,8,FALSE)</f>
        <v>285.83000000000004</v>
      </c>
      <c r="E81" s="67">
        <f t="shared" si="18"/>
        <v>39521</v>
      </c>
      <c r="F81" s="146">
        <v>0</v>
      </c>
      <c r="G81" s="146">
        <v>0</v>
      </c>
      <c r="H81" s="91">
        <f t="shared" si="19"/>
        <v>39521</v>
      </c>
      <c r="I81" s="67">
        <f t="shared" si="20"/>
        <v>0</v>
      </c>
      <c r="J81" s="739">
        <f t="shared" si="21"/>
        <v>39521</v>
      </c>
      <c r="K81" s="837" t="str">
        <f>_xlfn.IFNA(VLOOKUP(B81,'[2]22-23 Survey Results'!$A:$F,6,FALSE),0)</f>
        <v>Y</v>
      </c>
      <c r="L81" s="740">
        <f t="shared" si="22"/>
        <v>0</v>
      </c>
      <c r="M81" s="741">
        <f t="shared" si="23"/>
        <v>285.83000000000004</v>
      </c>
      <c r="N81" s="67">
        <f t="shared" si="24"/>
        <v>386</v>
      </c>
      <c r="O81" s="67">
        <f t="shared" si="25"/>
        <v>39907</v>
      </c>
      <c r="Q81" s="674">
        <f t="shared" si="26"/>
        <v>0</v>
      </c>
      <c r="R81" s="674" t="str">
        <f t="shared" si="27"/>
        <v>Not Applicable</v>
      </c>
      <c r="S81" s="798" t="str">
        <f>IF($R$7=0,"",IFERROR(VLOOKUP(B81,[3]Sheet1!$C$1:$P$65536,14,FALSE),"NA"))</f>
        <v/>
      </c>
      <c r="T81" s="798">
        <f>IF(O81=0,0,IF(S81="N",0,VLOOKUP(B81,Enrollment!B:J,9,FALSE)))</f>
        <v>0</v>
      </c>
      <c r="U81" s="88">
        <f t="shared" si="28"/>
        <v>39907</v>
      </c>
      <c r="V81" s="71">
        <f t="shared" si="29"/>
        <v>139.61795472833501</v>
      </c>
      <c r="W81" s="449">
        <v>34586</v>
      </c>
      <c r="X81" s="67">
        <f>IFERROR(VLOOKUP($B81,'Allocation 2021-22'!$B:$O,14,FALSE),0)</f>
        <v>34456</v>
      </c>
      <c r="Y81" s="163">
        <f t="shared" si="30"/>
        <v>5451</v>
      </c>
      <c r="Z81" s="166">
        <f t="shared" si="31"/>
        <v>0.15820176456930579</v>
      </c>
      <c r="AA81" s="34" t="str">
        <f t="shared" si="17"/>
        <v>Y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601</v>
      </c>
      <c r="B82" s="784" t="s">
        <v>127</v>
      </c>
      <c r="C82" s="784" t="s">
        <v>623</v>
      </c>
      <c r="D82" s="134">
        <f>VLOOKUP(B82,'Enrollment 22-23'!$B:$I,8,FALSE)</f>
        <v>377.83000000000004</v>
      </c>
      <c r="E82" s="67">
        <f t="shared" si="18"/>
        <v>52241</v>
      </c>
      <c r="F82" s="146">
        <v>0</v>
      </c>
      <c r="G82" s="146">
        <v>0</v>
      </c>
      <c r="H82" s="91">
        <f t="shared" si="19"/>
        <v>52241</v>
      </c>
      <c r="I82" s="67">
        <f t="shared" si="20"/>
        <v>0</v>
      </c>
      <c r="J82" s="739">
        <f t="shared" si="21"/>
        <v>52241</v>
      </c>
      <c r="K82" s="837" t="str">
        <f>_xlfn.IFNA(VLOOKUP(B82,'[2]22-23 Survey Results'!$A:$F,6,FALSE),0)</f>
        <v>Y</v>
      </c>
      <c r="L82" s="740">
        <f t="shared" si="22"/>
        <v>0</v>
      </c>
      <c r="M82" s="741">
        <f t="shared" si="23"/>
        <v>377.83000000000004</v>
      </c>
      <c r="N82" s="67">
        <f t="shared" si="24"/>
        <v>510</v>
      </c>
      <c r="O82" s="67">
        <f t="shared" si="25"/>
        <v>52751</v>
      </c>
      <c r="Q82" s="674">
        <f t="shared" si="26"/>
        <v>0</v>
      </c>
      <c r="R82" s="674" t="str">
        <f t="shared" si="27"/>
        <v>Not Applicable</v>
      </c>
      <c r="S82" s="798" t="str">
        <f>IF($R$7=0,"",IFERROR(VLOOKUP(B82,[3]Sheet1!$C$1:$P$65536,14,FALSE),"NA"))</f>
        <v/>
      </c>
      <c r="T82" s="798">
        <f>IF(O82=0,0,IF(S82="N",0,VLOOKUP(B82,Enrollment!B:J,9,FALSE)))</f>
        <v>0</v>
      </c>
      <c r="U82" s="88">
        <f t="shared" si="28"/>
        <v>52751</v>
      </c>
      <c r="V82" s="71">
        <f t="shared" si="29"/>
        <v>139.61570018262179</v>
      </c>
      <c r="W82" s="449">
        <v>45519</v>
      </c>
      <c r="X82" s="67">
        <f>IFERROR(VLOOKUP($B82,'Allocation 2021-22'!$B:$O,14,FALSE),0)</f>
        <v>47682</v>
      </c>
      <c r="Y82" s="163">
        <f t="shared" si="30"/>
        <v>5069</v>
      </c>
      <c r="Z82" s="166">
        <f t="shared" si="31"/>
        <v>0.10630846021559498</v>
      </c>
      <c r="AA82" s="34" t="str">
        <f t="shared" si="17"/>
        <v>Y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1666</v>
      </c>
      <c r="B83" s="857" t="s">
        <v>1728</v>
      </c>
      <c r="C83" s="784" t="s">
        <v>681</v>
      </c>
      <c r="D83" s="134">
        <f>VLOOKUP(B83,'Enrollment 22-23'!$B:$I,8,FALSE)</f>
        <v>0</v>
      </c>
      <c r="E83" s="67">
        <f t="shared" si="18"/>
        <v>0</v>
      </c>
      <c r="F83" s="146">
        <v>0</v>
      </c>
      <c r="G83" s="146">
        <v>0</v>
      </c>
      <c r="H83" s="91">
        <f t="shared" si="19"/>
        <v>0</v>
      </c>
      <c r="I83" s="67">
        <f t="shared" si="20"/>
        <v>0</v>
      </c>
      <c r="J83" s="739">
        <f t="shared" si="21"/>
        <v>0</v>
      </c>
      <c r="K83" s="837">
        <f>_xlfn.IFNA(VLOOKUP(B83,'[2]22-23 Survey Results'!$A:$F,6,FALSE),0)</f>
        <v>0</v>
      </c>
      <c r="L83" s="740">
        <f t="shared" si="22"/>
        <v>0</v>
      </c>
      <c r="M83" s="741">
        <f t="shared" si="23"/>
        <v>0</v>
      </c>
      <c r="N83" s="67">
        <f t="shared" si="24"/>
        <v>0</v>
      </c>
      <c r="O83" s="67">
        <f t="shared" si="25"/>
        <v>0</v>
      </c>
      <c r="Q83" s="674">
        <f t="shared" si="26"/>
        <v>0</v>
      </c>
      <c r="R83" s="674" t="str">
        <f t="shared" si="27"/>
        <v>Not Applicable</v>
      </c>
      <c r="S83" s="798" t="str">
        <f>IF($R$7=0,"",IFERROR(VLOOKUP(B83,[3]Sheet1!$C$1:$P$65536,14,FALSE),"NA"))</f>
        <v/>
      </c>
      <c r="T83" s="798">
        <f>IF(O83=0,0,IF(S83="N",0,VLOOKUP(B83,Enrollment!B:J,9,FALSE)))</f>
        <v>0</v>
      </c>
      <c r="U83" s="88">
        <f t="shared" si="28"/>
        <v>0</v>
      </c>
      <c r="V83" s="71">
        <f t="shared" si="29"/>
        <v>0</v>
      </c>
      <c r="W83" s="449">
        <v>13458</v>
      </c>
      <c r="X83" s="67">
        <f>IFERROR(VLOOKUP($B83,'Allocation 2021-22'!$B:$O,14,FALSE),0)</f>
        <v>0</v>
      </c>
      <c r="Y83" s="163">
        <f t="shared" si="30"/>
        <v>0</v>
      </c>
      <c r="Z83" s="166">
        <f t="shared" si="31"/>
        <v>0</v>
      </c>
      <c r="AA83" s="34">
        <f t="shared" si="17"/>
        <v>0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1666</v>
      </c>
      <c r="B84" s="784" t="s">
        <v>651</v>
      </c>
      <c r="C84" s="784" t="s">
        <v>652</v>
      </c>
      <c r="D84" s="134">
        <f>VLOOKUP(B84,'Enrollment 22-23'!$B:$I,8,FALSE)</f>
        <v>0.67</v>
      </c>
      <c r="E84" s="67">
        <f t="shared" si="18"/>
        <v>93</v>
      </c>
      <c r="F84" s="146">
        <v>0</v>
      </c>
      <c r="G84" s="146">
        <v>0</v>
      </c>
      <c r="H84" s="91">
        <f t="shared" si="19"/>
        <v>93</v>
      </c>
      <c r="I84" s="67">
        <f t="shared" si="20"/>
        <v>0</v>
      </c>
      <c r="J84" s="739">
        <f t="shared" si="21"/>
        <v>93</v>
      </c>
      <c r="K84" s="837" t="str">
        <f>_xlfn.IFNA(VLOOKUP(B84,'[2]22-23 Survey Results'!$A:$F,6,FALSE),0)</f>
        <v>N</v>
      </c>
      <c r="L84" s="740">
        <f t="shared" si="22"/>
        <v>93</v>
      </c>
      <c r="M84" s="741">
        <f t="shared" si="23"/>
        <v>0</v>
      </c>
      <c r="N84" s="67">
        <f t="shared" si="24"/>
        <v>0</v>
      </c>
      <c r="O84" s="67">
        <f t="shared" si="25"/>
        <v>0</v>
      </c>
      <c r="Q84" s="674">
        <f t="shared" si="26"/>
        <v>0</v>
      </c>
      <c r="R84" s="674" t="str">
        <f t="shared" si="27"/>
        <v>Not Applicable</v>
      </c>
      <c r="S84" s="798" t="str">
        <f>IF($R$7=0,"",IFERROR(VLOOKUP(B84,[3]Sheet1!$C$1:$P$65536,14,FALSE),"NA"))</f>
        <v/>
      </c>
      <c r="T84" s="798">
        <f>IF(O84=0,0,IF(S84="N",0,VLOOKUP(B84,Enrollment!B:J,9,FALSE)))</f>
        <v>0</v>
      </c>
      <c r="U84" s="88">
        <f t="shared" si="28"/>
        <v>0</v>
      </c>
      <c r="V84" s="71">
        <f t="shared" si="29"/>
        <v>0</v>
      </c>
      <c r="W84" s="449">
        <v>0</v>
      </c>
      <c r="X84" s="67">
        <f>IFERROR(VLOOKUP($B84,'Allocation 2021-22'!$B:$O,14,FALSE),0)</f>
        <v>0</v>
      </c>
      <c r="Y84" s="163">
        <f t="shared" si="30"/>
        <v>0</v>
      </c>
      <c r="Z84" s="166">
        <f t="shared" si="31"/>
        <v>0</v>
      </c>
      <c r="AA84" s="34" t="str">
        <f t="shared" si="17"/>
        <v>N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1666</v>
      </c>
      <c r="B85" s="784" t="s">
        <v>678</v>
      </c>
      <c r="C85" s="784" t="s">
        <v>679</v>
      </c>
      <c r="D85" s="134">
        <f>VLOOKUP(B85,'Enrollment 22-23'!$B:$I,8,FALSE)</f>
        <v>0</v>
      </c>
      <c r="E85" s="67">
        <f t="shared" si="18"/>
        <v>0</v>
      </c>
      <c r="F85" s="146">
        <v>0</v>
      </c>
      <c r="G85" s="146">
        <v>0</v>
      </c>
      <c r="H85" s="91">
        <f t="shared" si="19"/>
        <v>0</v>
      </c>
      <c r="I85" s="67">
        <f t="shared" si="20"/>
        <v>0</v>
      </c>
      <c r="J85" s="739">
        <f t="shared" si="21"/>
        <v>0</v>
      </c>
      <c r="K85" s="837">
        <f>_xlfn.IFNA(VLOOKUP(B85,'[2]22-23 Survey Results'!$A:$F,6,FALSE),0)</f>
        <v>0</v>
      </c>
      <c r="L85" s="740">
        <f t="shared" si="22"/>
        <v>0</v>
      </c>
      <c r="M85" s="741">
        <f t="shared" si="23"/>
        <v>0</v>
      </c>
      <c r="N85" s="67">
        <f t="shared" si="24"/>
        <v>0</v>
      </c>
      <c r="O85" s="67">
        <f t="shared" si="25"/>
        <v>0</v>
      </c>
      <c r="Q85" s="674">
        <f t="shared" si="26"/>
        <v>0</v>
      </c>
      <c r="R85" s="674" t="str">
        <f t="shared" si="27"/>
        <v>Not Applicable</v>
      </c>
      <c r="S85" s="798" t="str">
        <f>IF($R$7=0,"",IFERROR(VLOOKUP(B85,[3]Sheet1!$C$1:$P$65536,14,FALSE),"NA"))</f>
        <v/>
      </c>
      <c r="T85" s="798">
        <f>IF(O85=0,0,IF(S85="N",0,VLOOKUP(B85,Enrollment!B:J,9,FALSE)))</f>
        <v>0</v>
      </c>
      <c r="U85" s="88">
        <f t="shared" si="28"/>
        <v>0</v>
      </c>
      <c r="V85" s="71">
        <f t="shared" si="29"/>
        <v>0</v>
      </c>
      <c r="W85" s="449">
        <v>0</v>
      </c>
      <c r="X85" s="67">
        <f>IFERROR(VLOOKUP($B85,'Allocation 2021-22'!$B:$O,14,FALSE),0)</f>
        <v>0</v>
      </c>
      <c r="Y85" s="163">
        <f t="shared" si="30"/>
        <v>0</v>
      </c>
      <c r="Z85" s="166">
        <f t="shared" si="31"/>
        <v>0</v>
      </c>
      <c r="AA85" s="34">
        <f t="shared" si="17"/>
        <v>0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256</v>
      </c>
      <c r="C86" s="784" t="s">
        <v>1483</v>
      </c>
      <c r="D86" s="134">
        <f>VLOOKUP(B86,'Enrollment 22-23'!$B:$I,8,FALSE)</f>
        <v>2</v>
      </c>
      <c r="E86" s="67">
        <f t="shared" si="18"/>
        <v>277</v>
      </c>
      <c r="F86" s="146">
        <v>0</v>
      </c>
      <c r="G86" s="146">
        <v>0</v>
      </c>
      <c r="H86" s="91">
        <f t="shared" si="19"/>
        <v>277</v>
      </c>
      <c r="I86" s="67">
        <f t="shared" si="20"/>
        <v>0</v>
      </c>
      <c r="J86" s="739">
        <f t="shared" si="21"/>
        <v>277</v>
      </c>
      <c r="K86" s="837" t="str">
        <f>_xlfn.IFNA(VLOOKUP(B86,'[2]22-23 Survey Results'!$A:$F,6,FALSE),0)</f>
        <v>N</v>
      </c>
      <c r="L86" s="740">
        <f t="shared" si="22"/>
        <v>277</v>
      </c>
      <c r="M86" s="741">
        <f t="shared" si="23"/>
        <v>0</v>
      </c>
      <c r="N86" s="67">
        <f t="shared" si="24"/>
        <v>0</v>
      </c>
      <c r="O86" s="67">
        <f t="shared" si="25"/>
        <v>0</v>
      </c>
      <c r="Q86" s="674">
        <f t="shared" si="26"/>
        <v>0</v>
      </c>
      <c r="R86" s="674" t="str">
        <f t="shared" si="27"/>
        <v>Not Applicable</v>
      </c>
      <c r="S86" s="798" t="str">
        <f>IF($R$7=0,"",IFERROR(VLOOKUP(B86,[3]Sheet1!$C$1:$P$65536,14,FALSE),"NA"))</f>
        <v/>
      </c>
      <c r="T86" s="798">
        <f>IF(O86=0,0,IF(S86="N",0,VLOOKUP(B86,Enrollment!B:J,9,FALSE)))</f>
        <v>0</v>
      </c>
      <c r="U86" s="88">
        <f t="shared" si="28"/>
        <v>0</v>
      </c>
      <c r="V86" s="71">
        <f t="shared" si="29"/>
        <v>0</v>
      </c>
      <c r="W86" s="449">
        <v>0</v>
      </c>
      <c r="X86" s="67">
        <f>IFERROR(VLOOKUP($B86,'Allocation 2021-22'!$B:$O,14,FALSE),0)</f>
        <v>0</v>
      </c>
      <c r="Y86" s="163">
        <f t="shared" si="30"/>
        <v>0</v>
      </c>
      <c r="Z86" s="166">
        <f t="shared" si="31"/>
        <v>0</v>
      </c>
      <c r="AA86" s="34" t="str">
        <f t="shared" si="17"/>
        <v>N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595</v>
      </c>
      <c r="B87" s="784" t="s">
        <v>395</v>
      </c>
      <c r="C87" s="784" t="s">
        <v>635</v>
      </c>
      <c r="D87" s="134">
        <f>VLOOKUP(B87,'Enrollment 22-23'!$B:$I,8,FALSE)</f>
        <v>3380.33</v>
      </c>
      <c r="E87" s="67">
        <f t="shared" si="18"/>
        <v>467384</v>
      </c>
      <c r="F87" s="146">
        <v>0</v>
      </c>
      <c r="G87" s="146">
        <v>0</v>
      </c>
      <c r="H87" s="91">
        <f t="shared" si="19"/>
        <v>467384</v>
      </c>
      <c r="I87" s="67">
        <f t="shared" si="20"/>
        <v>0</v>
      </c>
      <c r="J87" s="739">
        <f t="shared" si="21"/>
        <v>467384</v>
      </c>
      <c r="K87" s="837" t="str">
        <f>_xlfn.IFNA(VLOOKUP(B87,'[2]22-23 Survey Results'!$A:$F,6,FALSE),0)</f>
        <v>Y</v>
      </c>
      <c r="L87" s="740">
        <f t="shared" si="22"/>
        <v>0</v>
      </c>
      <c r="M87" s="741">
        <f t="shared" si="23"/>
        <v>3380.33</v>
      </c>
      <c r="N87" s="67">
        <f t="shared" si="24"/>
        <v>4563</v>
      </c>
      <c r="O87" s="67">
        <f t="shared" si="25"/>
        <v>471947</v>
      </c>
      <c r="Q87" s="674">
        <f t="shared" si="26"/>
        <v>0</v>
      </c>
      <c r="R87" s="674" t="str">
        <f t="shared" si="27"/>
        <v>Not Applicable</v>
      </c>
      <c r="S87" s="798" t="str">
        <f>IF($R$7=0,"",IFERROR(VLOOKUP(B87,[3]Sheet1!$C$1:$P$65536,14,FALSE),"NA"))</f>
        <v/>
      </c>
      <c r="T87" s="798">
        <f>IF(O87=0,0,IF(S87="N",0,VLOOKUP(B87,Enrollment!B:J,9,FALSE)))</f>
        <v>0</v>
      </c>
      <c r="U87" s="88">
        <f t="shared" si="28"/>
        <v>471947</v>
      </c>
      <c r="V87" s="71">
        <f t="shared" si="29"/>
        <v>139.61565882620928</v>
      </c>
      <c r="W87" s="449">
        <v>426296</v>
      </c>
      <c r="X87" s="67">
        <f>IFERROR(VLOOKUP($B87,'Allocation 2021-22'!$B:$O,14,FALSE),0)</f>
        <v>438098</v>
      </c>
      <c r="Y87" s="163">
        <f t="shared" si="30"/>
        <v>33849</v>
      </c>
      <c r="Z87" s="166">
        <f t="shared" si="31"/>
        <v>7.726353464293377E-2</v>
      </c>
      <c r="AA87" s="34" t="str">
        <f t="shared" si="17"/>
        <v>Y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599</v>
      </c>
      <c r="B88" s="784" t="s">
        <v>58</v>
      </c>
      <c r="C88" s="784" t="s">
        <v>1394</v>
      </c>
      <c r="D88" s="134">
        <f>VLOOKUP(B88,'Enrollment 22-23'!$B:$I,8,FALSE)</f>
        <v>3369.34</v>
      </c>
      <c r="E88" s="67">
        <f t="shared" si="18"/>
        <v>465865</v>
      </c>
      <c r="F88" s="146">
        <v>0</v>
      </c>
      <c r="G88" s="146">
        <v>0</v>
      </c>
      <c r="H88" s="91">
        <f t="shared" si="19"/>
        <v>465865</v>
      </c>
      <c r="I88" s="67">
        <f t="shared" si="20"/>
        <v>0</v>
      </c>
      <c r="J88" s="739">
        <f t="shared" si="21"/>
        <v>465865</v>
      </c>
      <c r="K88" s="837" t="str">
        <f>_xlfn.IFNA(VLOOKUP(B88,'[2]22-23 Survey Results'!$A:$F,6,FALSE),0)</f>
        <v>Y</v>
      </c>
      <c r="L88" s="740">
        <f t="shared" si="22"/>
        <v>0</v>
      </c>
      <c r="M88" s="741">
        <f t="shared" si="23"/>
        <v>3369.34</v>
      </c>
      <c r="N88" s="67">
        <f t="shared" si="24"/>
        <v>4548</v>
      </c>
      <c r="O88" s="67">
        <f t="shared" si="25"/>
        <v>470413</v>
      </c>
      <c r="Q88" s="674">
        <f t="shared" si="26"/>
        <v>0</v>
      </c>
      <c r="R88" s="674" t="str">
        <f t="shared" si="27"/>
        <v>Not Applicable</v>
      </c>
      <c r="S88" s="798" t="str">
        <f>IF($R$7=0,"",IFERROR(VLOOKUP(B88,[3]Sheet1!$C$1:$P$65536,14,FALSE),"NA"))</f>
        <v/>
      </c>
      <c r="T88" s="798">
        <f>IF(O88=0,0,IF(S88="N",0,VLOOKUP(B88,Enrollment!B:J,9,FALSE)))</f>
        <v>0</v>
      </c>
      <c r="U88" s="88">
        <f t="shared" si="28"/>
        <v>470413</v>
      </c>
      <c r="V88" s="71">
        <f t="shared" si="29"/>
        <v>139.61577044762475</v>
      </c>
      <c r="W88" s="449">
        <v>467588</v>
      </c>
      <c r="X88" s="67">
        <f>IFERROR(VLOOKUP($B88,'Allocation 2021-22'!$B:$O,14,FALSE),0)</f>
        <v>465827</v>
      </c>
      <c r="Y88" s="163">
        <f t="shared" si="30"/>
        <v>4586</v>
      </c>
      <c r="Z88" s="166">
        <f t="shared" si="31"/>
        <v>9.8448565669229139E-3</v>
      </c>
      <c r="AA88" s="34" t="str">
        <f t="shared" si="17"/>
        <v>Y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603</v>
      </c>
      <c r="B89" s="784" t="s">
        <v>462</v>
      </c>
      <c r="C89" s="784" t="s">
        <v>1583</v>
      </c>
      <c r="D89" s="134">
        <f>VLOOKUP(B89,'Enrollment 22-23'!$B:$I,8,FALSE)</f>
        <v>0</v>
      </c>
      <c r="E89" s="67">
        <f t="shared" si="18"/>
        <v>0</v>
      </c>
      <c r="F89" s="146">
        <v>0</v>
      </c>
      <c r="G89" s="146">
        <v>0</v>
      </c>
      <c r="H89" s="91">
        <f t="shared" si="19"/>
        <v>0</v>
      </c>
      <c r="I89" s="67">
        <f t="shared" si="20"/>
        <v>0</v>
      </c>
      <c r="J89" s="739">
        <f t="shared" si="21"/>
        <v>0</v>
      </c>
      <c r="K89" s="837">
        <f>_xlfn.IFNA(VLOOKUP(B89,'[2]22-23 Survey Results'!$A:$F,6,FALSE),0)</f>
        <v>0</v>
      </c>
      <c r="L89" s="740">
        <f t="shared" si="22"/>
        <v>0</v>
      </c>
      <c r="M89" s="741">
        <f t="shared" si="23"/>
        <v>0</v>
      </c>
      <c r="N89" s="67">
        <f t="shared" si="24"/>
        <v>0</v>
      </c>
      <c r="O89" s="67">
        <f t="shared" si="25"/>
        <v>0</v>
      </c>
      <c r="Q89" s="674">
        <f t="shared" si="26"/>
        <v>0</v>
      </c>
      <c r="R89" s="674" t="str">
        <f t="shared" si="27"/>
        <v>Not Applicable</v>
      </c>
      <c r="S89" s="798" t="str">
        <f>IF($R$7=0,"",IFERROR(VLOOKUP(B89,[3]Sheet1!$C$1:$P$65536,14,FALSE),"NA"))</f>
        <v/>
      </c>
      <c r="T89" s="798">
        <f>IF(O89=0,0,IF(S89="N",0,VLOOKUP(B89,Enrollment!B:J,9,FALSE)))</f>
        <v>0</v>
      </c>
      <c r="U89" s="88">
        <f t="shared" si="28"/>
        <v>0</v>
      </c>
      <c r="V89" s="71">
        <f t="shared" si="29"/>
        <v>0</v>
      </c>
      <c r="W89" s="449">
        <v>0</v>
      </c>
      <c r="X89" s="67">
        <f>IFERROR(VLOOKUP($B89,'Allocation 2021-22'!$B:$O,14,FALSE),0)</f>
        <v>0</v>
      </c>
      <c r="Y89" s="163">
        <f t="shared" si="30"/>
        <v>0</v>
      </c>
      <c r="Z89" s="166">
        <f t="shared" si="31"/>
        <v>0</v>
      </c>
      <c r="AA89" s="34">
        <f t="shared" si="17"/>
        <v>0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597</v>
      </c>
      <c r="B90" s="784" t="s">
        <v>175</v>
      </c>
      <c r="C90" s="784" t="s">
        <v>1449</v>
      </c>
      <c r="D90" s="134">
        <f>VLOOKUP(B90,'Enrollment 22-23'!$B:$I,8,FALSE)</f>
        <v>5190.67</v>
      </c>
      <c r="E90" s="67">
        <f t="shared" si="18"/>
        <v>717692</v>
      </c>
      <c r="F90" s="146">
        <v>0</v>
      </c>
      <c r="G90" s="146">
        <v>0</v>
      </c>
      <c r="H90" s="91">
        <f t="shared" si="19"/>
        <v>717692</v>
      </c>
      <c r="I90" s="67">
        <f t="shared" si="20"/>
        <v>0</v>
      </c>
      <c r="J90" s="739">
        <f t="shared" si="21"/>
        <v>717692</v>
      </c>
      <c r="K90" s="837" t="str">
        <f>_xlfn.IFNA(VLOOKUP(B90,'[2]22-23 Survey Results'!$A:$F,6,FALSE),0)</f>
        <v>Y</v>
      </c>
      <c r="L90" s="740">
        <f t="shared" si="22"/>
        <v>0</v>
      </c>
      <c r="M90" s="741">
        <f t="shared" si="23"/>
        <v>5190.67</v>
      </c>
      <c r="N90" s="67">
        <f t="shared" si="24"/>
        <v>7007</v>
      </c>
      <c r="O90" s="67">
        <f t="shared" si="25"/>
        <v>724699</v>
      </c>
      <c r="Q90" s="674">
        <f t="shared" si="26"/>
        <v>0</v>
      </c>
      <c r="R90" s="674" t="str">
        <f t="shared" si="27"/>
        <v>Not Applicable</v>
      </c>
      <c r="S90" s="798" t="str">
        <f>IF($R$7=0,"",IFERROR(VLOOKUP(B90,[3]Sheet1!$C$1:$P$65536,14,FALSE),"NA"))</f>
        <v/>
      </c>
      <c r="T90" s="798">
        <f>IF(O90=0,0,IF(S90="N",0,VLOOKUP(B90,Enrollment!B:J,9,FALSE)))</f>
        <v>0</v>
      </c>
      <c r="U90" s="88">
        <f t="shared" si="28"/>
        <v>724699</v>
      </c>
      <c r="V90" s="71">
        <f t="shared" si="29"/>
        <v>139.61569508367899</v>
      </c>
      <c r="W90" s="449">
        <v>677266</v>
      </c>
      <c r="X90" s="67">
        <f>IFERROR(VLOOKUP($B90,'Allocation 2021-22'!$B:$O,14,FALSE),0)</f>
        <v>674030</v>
      </c>
      <c r="Y90" s="163">
        <f t="shared" si="30"/>
        <v>50669</v>
      </c>
      <c r="Z90" s="166">
        <f t="shared" si="31"/>
        <v>7.5173211874842369E-2</v>
      </c>
      <c r="AA90" s="34" t="str">
        <f t="shared" si="17"/>
        <v>Y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506</v>
      </c>
      <c r="C91" s="784" t="s">
        <v>1602</v>
      </c>
      <c r="D91" s="134">
        <f>VLOOKUP(B91,'Enrollment 22-23'!$B:$I,8,FALSE)</f>
        <v>361</v>
      </c>
      <c r="E91" s="67">
        <f t="shared" si="18"/>
        <v>49914</v>
      </c>
      <c r="F91" s="146">
        <v>0</v>
      </c>
      <c r="G91" s="146">
        <v>0</v>
      </c>
      <c r="H91" s="91">
        <f t="shared" si="19"/>
        <v>49914</v>
      </c>
      <c r="I91" s="67">
        <f t="shared" si="20"/>
        <v>0</v>
      </c>
      <c r="J91" s="739">
        <f t="shared" si="21"/>
        <v>49914</v>
      </c>
      <c r="K91" s="837" t="str">
        <f>_xlfn.IFNA(VLOOKUP(B91,'[2]22-23 Survey Results'!$A:$F,6,FALSE),0)</f>
        <v>Y</v>
      </c>
      <c r="L91" s="740">
        <f t="shared" si="22"/>
        <v>0</v>
      </c>
      <c r="M91" s="741">
        <f t="shared" si="23"/>
        <v>361</v>
      </c>
      <c r="N91" s="67">
        <f t="shared" si="24"/>
        <v>487</v>
      </c>
      <c r="O91" s="67">
        <f t="shared" si="25"/>
        <v>50401</v>
      </c>
      <c r="Q91" s="674">
        <f t="shared" si="26"/>
        <v>0</v>
      </c>
      <c r="R91" s="674" t="str">
        <f t="shared" si="27"/>
        <v>Not Applicable</v>
      </c>
      <c r="S91" s="798" t="str">
        <f>IF($R$7=0,"",IFERROR(VLOOKUP(B91,[3]Sheet1!$C$1:$P$65536,14,FALSE),"NA"))</f>
        <v/>
      </c>
      <c r="T91" s="798">
        <f>IF(O91=0,0,IF(S91="N",0,VLOOKUP(B91,Enrollment!B:J,9,FALSE)))</f>
        <v>0</v>
      </c>
      <c r="U91" s="88">
        <f t="shared" si="28"/>
        <v>50401</v>
      </c>
      <c r="V91" s="71">
        <f t="shared" si="29"/>
        <v>139.61495844875347</v>
      </c>
      <c r="W91" s="449">
        <v>47678</v>
      </c>
      <c r="X91" s="67">
        <f>IFERROR(VLOOKUP($B91,'Allocation 2021-22'!$B:$O,14,FALSE),0)</f>
        <v>0</v>
      </c>
      <c r="Y91" s="163">
        <f t="shared" si="30"/>
        <v>50401</v>
      </c>
      <c r="Z91" s="166">
        <f t="shared" si="31"/>
        <v>0</v>
      </c>
      <c r="AA91" s="34" t="str">
        <f t="shared" si="17"/>
        <v>Y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597</v>
      </c>
      <c r="B92" s="784" t="s">
        <v>369</v>
      </c>
      <c r="C92" s="784" t="s">
        <v>1534</v>
      </c>
      <c r="D92" s="134">
        <f>VLOOKUP(B92,'Enrollment 22-23'!$B:$I,8,FALSE)</f>
        <v>543.33000000000004</v>
      </c>
      <c r="E92" s="67">
        <f t="shared" si="18"/>
        <v>75124</v>
      </c>
      <c r="F92" s="146">
        <v>0</v>
      </c>
      <c r="G92" s="146">
        <v>0</v>
      </c>
      <c r="H92" s="91">
        <f t="shared" si="19"/>
        <v>75124</v>
      </c>
      <c r="I92" s="67">
        <f t="shared" si="20"/>
        <v>0</v>
      </c>
      <c r="J92" s="739">
        <f t="shared" si="21"/>
        <v>75124</v>
      </c>
      <c r="K92" s="837" t="str">
        <f>_xlfn.IFNA(VLOOKUP(B92,'[2]22-23 Survey Results'!$A:$F,6,FALSE),0)</f>
        <v>Y</v>
      </c>
      <c r="L92" s="740">
        <f t="shared" si="22"/>
        <v>0</v>
      </c>
      <c r="M92" s="741">
        <f t="shared" si="23"/>
        <v>543.33000000000004</v>
      </c>
      <c r="N92" s="67">
        <f t="shared" si="24"/>
        <v>733</v>
      </c>
      <c r="O92" s="67">
        <f t="shared" si="25"/>
        <v>75857</v>
      </c>
      <c r="Q92" s="674">
        <f t="shared" si="26"/>
        <v>0</v>
      </c>
      <c r="R92" s="674" t="str">
        <f t="shared" si="27"/>
        <v>Not Applicable</v>
      </c>
      <c r="S92" s="798" t="str">
        <f>IF($R$7=0,"",IFERROR(VLOOKUP(B92,[3]Sheet1!$C$1:$P$65536,14,FALSE),"NA"))</f>
        <v/>
      </c>
      <c r="T92" s="798">
        <f>IF(O92=0,0,IF(S92="N",0,VLOOKUP(B92,Enrollment!B:J,9,FALSE)))</f>
        <v>0</v>
      </c>
      <c r="U92" s="88">
        <f t="shared" si="28"/>
        <v>75857</v>
      </c>
      <c r="V92" s="71">
        <f t="shared" si="29"/>
        <v>139.61496696298749</v>
      </c>
      <c r="W92" s="449">
        <v>72481</v>
      </c>
      <c r="X92" s="67">
        <f>IFERROR(VLOOKUP($B92,'Allocation 2021-22'!$B:$O,14,FALSE),0)</f>
        <v>72207</v>
      </c>
      <c r="Y92" s="163">
        <f t="shared" si="30"/>
        <v>3650</v>
      </c>
      <c r="Z92" s="166">
        <f t="shared" si="31"/>
        <v>5.0549115736701428E-2</v>
      </c>
      <c r="AA92" s="34" t="str">
        <f t="shared" si="17"/>
        <v>Y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596</v>
      </c>
      <c r="B93" s="784" t="s">
        <v>19</v>
      </c>
      <c r="C93" s="784" t="s">
        <v>1377</v>
      </c>
      <c r="D93" s="134">
        <f>VLOOKUP(B93,'Enrollment 22-23'!$B:$I,8,FALSE)</f>
        <v>169.17</v>
      </c>
      <c r="E93" s="67">
        <f t="shared" si="18"/>
        <v>23390</v>
      </c>
      <c r="F93" s="146">
        <v>0</v>
      </c>
      <c r="G93" s="146">
        <v>0</v>
      </c>
      <c r="H93" s="91">
        <f t="shared" si="19"/>
        <v>23390</v>
      </c>
      <c r="I93" s="67">
        <f t="shared" si="20"/>
        <v>0</v>
      </c>
      <c r="J93" s="739">
        <f t="shared" si="21"/>
        <v>23390</v>
      </c>
      <c r="K93" s="837" t="str">
        <f>_xlfn.IFNA(VLOOKUP(B93,'[2]22-23 Survey Results'!$A:$F,6,FALSE),0)</f>
        <v>Y</v>
      </c>
      <c r="L93" s="740">
        <f t="shared" si="22"/>
        <v>0</v>
      </c>
      <c r="M93" s="741">
        <f t="shared" si="23"/>
        <v>169.17</v>
      </c>
      <c r="N93" s="67">
        <f t="shared" si="24"/>
        <v>228</v>
      </c>
      <c r="O93" s="67">
        <f t="shared" si="25"/>
        <v>23618</v>
      </c>
      <c r="Q93" s="674">
        <f t="shared" si="26"/>
        <v>0</v>
      </c>
      <c r="R93" s="674" t="str">
        <f t="shared" si="27"/>
        <v>Not Applicable</v>
      </c>
      <c r="S93" s="798" t="str">
        <f>IF($R$7=0,"",IFERROR(VLOOKUP(B93,[3]Sheet1!$C$1:$P$65536,14,FALSE),"NA"))</f>
        <v/>
      </c>
      <c r="T93" s="798">
        <f>IF(O93=0,0,IF(S93="N",0,VLOOKUP(B93,Enrollment!B:J,9,FALSE)))</f>
        <v>0</v>
      </c>
      <c r="U93" s="88">
        <f t="shared" si="28"/>
        <v>23618</v>
      </c>
      <c r="V93" s="71">
        <f t="shared" si="29"/>
        <v>139.61104214695277</v>
      </c>
      <c r="W93" s="449">
        <v>25378</v>
      </c>
      <c r="X93" s="67">
        <f>IFERROR(VLOOKUP($B93,'Allocation 2021-22'!$B:$O,14,FALSE),0)</f>
        <v>25283</v>
      </c>
      <c r="Y93" s="163">
        <f t="shared" si="30"/>
        <v>-1665</v>
      </c>
      <c r="Z93" s="166">
        <f t="shared" si="31"/>
        <v>-6.5854526757109524E-2</v>
      </c>
      <c r="AA93" s="34" t="str">
        <f t="shared" si="17"/>
        <v>Y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597</v>
      </c>
      <c r="B94" s="784" t="s">
        <v>361</v>
      </c>
      <c r="C94" s="784" t="s">
        <v>630</v>
      </c>
      <c r="D94" s="134">
        <f>VLOOKUP(B94,'Enrollment 22-23'!$B:$I,8,FALSE)</f>
        <v>929.33</v>
      </c>
      <c r="E94" s="67">
        <f t="shared" si="18"/>
        <v>128495</v>
      </c>
      <c r="F94" s="146">
        <v>0</v>
      </c>
      <c r="G94" s="146">
        <v>0</v>
      </c>
      <c r="H94" s="91">
        <f t="shared" si="19"/>
        <v>128495</v>
      </c>
      <c r="I94" s="67">
        <f t="shared" si="20"/>
        <v>0</v>
      </c>
      <c r="J94" s="739">
        <f t="shared" si="21"/>
        <v>128495</v>
      </c>
      <c r="K94" s="837" t="str">
        <f>_xlfn.IFNA(VLOOKUP(B94,'[2]22-23 Survey Results'!$A:$F,6,FALSE),0)</f>
        <v>Y</v>
      </c>
      <c r="L94" s="740">
        <f t="shared" si="22"/>
        <v>0</v>
      </c>
      <c r="M94" s="741">
        <f t="shared" si="23"/>
        <v>929.33</v>
      </c>
      <c r="N94" s="67">
        <f t="shared" si="24"/>
        <v>1254</v>
      </c>
      <c r="O94" s="67">
        <f t="shared" si="25"/>
        <v>129749</v>
      </c>
      <c r="Q94" s="674">
        <f t="shared" si="26"/>
        <v>0</v>
      </c>
      <c r="R94" s="674" t="str">
        <f t="shared" si="27"/>
        <v>Not Applicable</v>
      </c>
      <c r="S94" s="798" t="str">
        <f>IF($R$7=0,"",IFERROR(VLOOKUP(B94,[3]Sheet1!$C$1:$P$65536,14,FALSE),"NA"))</f>
        <v/>
      </c>
      <c r="T94" s="798">
        <f>IF(O94=0,0,IF(S94="N",0,VLOOKUP(B94,Enrollment!B:J,9,FALSE)))</f>
        <v>0</v>
      </c>
      <c r="U94" s="88">
        <f t="shared" si="28"/>
        <v>129749</v>
      </c>
      <c r="V94" s="71">
        <f t="shared" si="29"/>
        <v>139.61563707186897</v>
      </c>
      <c r="W94" s="449">
        <v>124200</v>
      </c>
      <c r="X94" s="67">
        <f>IFERROR(VLOOKUP($B94,'Allocation 2021-22'!$B:$O,14,FALSE),0)</f>
        <v>123732</v>
      </c>
      <c r="Y94" s="163">
        <f t="shared" si="30"/>
        <v>6017</v>
      </c>
      <c r="Z94" s="166">
        <f t="shared" si="31"/>
        <v>4.8629295574305759E-2</v>
      </c>
      <c r="AA94" s="34" t="str">
        <f t="shared" si="17"/>
        <v>Y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603</v>
      </c>
      <c r="B95" s="784" t="s">
        <v>436</v>
      </c>
      <c r="C95" s="784" t="s">
        <v>1569</v>
      </c>
      <c r="D95" s="134">
        <f>VLOOKUP(B95,'Enrollment 22-23'!$B:$I,8,FALSE)</f>
        <v>0.5</v>
      </c>
      <c r="E95" s="67">
        <f t="shared" si="18"/>
        <v>69</v>
      </c>
      <c r="F95" s="146">
        <v>0</v>
      </c>
      <c r="G95" s="146">
        <v>0</v>
      </c>
      <c r="H95" s="91">
        <f t="shared" si="19"/>
        <v>69</v>
      </c>
      <c r="I95" s="67">
        <f t="shared" si="20"/>
        <v>0</v>
      </c>
      <c r="J95" s="739">
        <f t="shared" si="21"/>
        <v>69</v>
      </c>
      <c r="K95" s="837" t="str">
        <f>_xlfn.IFNA(VLOOKUP(B95,'[2]22-23 Survey Results'!$A:$F,6,FALSE),0)</f>
        <v>N</v>
      </c>
      <c r="L95" s="740">
        <f t="shared" si="22"/>
        <v>69</v>
      </c>
      <c r="M95" s="741">
        <f t="shared" si="23"/>
        <v>0</v>
      </c>
      <c r="N95" s="67">
        <f t="shared" si="24"/>
        <v>0</v>
      </c>
      <c r="O95" s="67">
        <f t="shared" si="25"/>
        <v>0</v>
      </c>
      <c r="Q95" s="674">
        <f t="shared" si="26"/>
        <v>0</v>
      </c>
      <c r="R95" s="674" t="str">
        <f t="shared" si="27"/>
        <v>Not Applicable</v>
      </c>
      <c r="S95" s="798" t="str">
        <f>IF($R$7=0,"",IFERROR(VLOOKUP(B95,[3]Sheet1!$C$1:$P$65536,14,FALSE),"NA"))</f>
        <v/>
      </c>
      <c r="T95" s="798">
        <f>IF(O95=0,0,IF(S95="N",0,VLOOKUP(B95,Enrollment!B:J,9,FALSE)))</f>
        <v>0</v>
      </c>
      <c r="U95" s="88">
        <f t="shared" si="28"/>
        <v>0</v>
      </c>
      <c r="V95" s="71">
        <f t="shared" si="29"/>
        <v>0</v>
      </c>
      <c r="W95" s="449">
        <v>0</v>
      </c>
      <c r="X95" s="67">
        <f>IFERROR(VLOOKUP($B95,'Allocation 2021-22'!$B:$O,14,FALSE),0)</f>
        <v>0</v>
      </c>
      <c r="Y95" s="163">
        <f t="shared" si="30"/>
        <v>0</v>
      </c>
      <c r="Z95" s="166">
        <f t="shared" si="31"/>
        <v>0</v>
      </c>
      <c r="AA95" s="34" t="str">
        <f t="shared" si="17"/>
        <v>N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603</v>
      </c>
      <c r="B96" s="784" t="s">
        <v>529</v>
      </c>
      <c r="C96" s="784" t="s">
        <v>1613</v>
      </c>
      <c r="D96" s="134">
        <f>VLOOKUP(B96,'Enrollment 22-23'!$B:$I,8,FALSE)</f>
        <v>0</v>
      </c>
      <c r="E96" s="67">
        <f t="shared" si="18"/>
        <v>0</v>
      </c>
      <c r="F96" s="146">
        <v>0</v>
      </c>
      <c r="G96" s="146">
        <v>0</v>
      </c>
      <c r="H96" s="91">
        <f t="shared" si="19"/>
        <v>0</v>
      </c>
      <c r="I96" s="67">
        <f t="shared" si="20"/>
        <v>0</v>
      </c>
      <c r="J96" s="739">
        <f t="shared" si="21"/>
        <v>0</v>
      </c>
      <c r="K96" s="837">
        <f>_xlfn.IFNA(VLOOKUP(B96,'[2]22-23 Survey Results'!$A:$F,6,FALSE),0)</f>
        <v>0</v>
      </c>
      <c r="L96" s="740">
        <f t="shared" si="22"/>
        <v>0</v>
      </c>
      <c r="M96" s="741">
        <f t="shared" si="23"/>
        <v>0</v>
      </c>
      <c r="N96" s="67">
        <f t="shared" si="24"/>
        <v>0</v>
      </c>
      <c r="O96" s="67">
        <f t="shared" si="25"/>
        <v>0</v>
      </c>
      <c r="Q96" s="674">
        <f t="shared" si="26"/>
        <v>0</v>
      </c>
      <c r="R96" s="674" t="str">
        <f t="shared" si="27"/>
        <v>Not Applicable</v>
      </c>
      <c r="S96" s="798" t="str">
        <f>IF($R$7=0,"",IFERROR(VLOOKUP(B96,[3]Sheet1!$C$1:$P$65536,14,FALSE),"NA"))</f>
        <v/>
      </c>
      <c r="T96" s="798">
        <f>IF(O96=0,0,IF(S96="N",0,VLOOKUP(B96,Enrollment!B:J,9,FALSE)))</f>
        <v>0</v>
      </c>
      <c r="U96" s="88">
        <f t="shared" si="28"/>
        <v>0</v>
      </c>
      <c r="V96" s="71">
        <f t="shared" si="29"/>
        <v>0</v>
      </c>
      <c r="W96" s="449">
        <v>0</v>
      </c>
      <c r="X96" s="67">
        <f>IFERROR(VLOOKUP($B96,'Allocation 2021-22'!$B:$O,14,FALSE),0)</f>
        <v>0</v>
      </c>
      <c r="Y96" s="163">
        <f t="shared" si="30"/>
        <v>0</v>
      </c>
      <c r="Z96" s="166">
        <f t="shared" si="31"/>
        <v>0</v>
      </c>
      <c r="AA96" s="34">
        <f t="shared" si="17"/>
        <v>0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599</v>
      </c>
      <c r="B97" s="784" t="s">
        <v>240</v>
      </c>
      <c r="C97" s="784" t="s">
        <v>1476</v>
      </c>
      <c r="D97" s="134">
        <f>VLOOKUP(B97,'Enrollment 22-23'!$B:$I,8,FALSE)</f>
        <v>0</v>
      </c>
      <c r="E97" s="67">
        <f t="shared" si="18"/>
        <v>0</v>
      </c>
      <c r="F97" s="146">
        <v>0</v>
      </c>
      <c r="G97" s="146">
        <v>0</v>
      </c>
      <c r="H97" s="91">
        <f t="shared" si="19"/>
        <v>0</v>
      </c>
      <c r="I97" s="67">
        <f t="shared" si="20"/>
        <v>0</v>
      </c>
      <c r="J97" s="739">
        <f t="shared" si="21"/>
        <v>0</v>
      </c>
      <c r="K97" s="837">
        <f>_xlfn.IFNA(VLOOKUP(B97,'[2]22-23 Survey Results'!$A:$F,6,FALSE),0)</f>
        <v>0</v>
      </c>
      <c r="L97" s="740">
        <f t="shared" si="22"/>
        <v>0</v>
      </c>
      <c r="M97" s="741">
        <f t="shared" si="23"/>
        <v>0</v>
      </c>
      <c r="N97" s="67">
        <f t="shared" si="24"/>
        <v>0</v>
      </c>
      <c r="O97" s="67">
        <f t="shared" si="25"/>
        <v>0</v>
      </c>
      <c r="Q97" s="674">
        <f t="shared" si="26"/>
        <v>0</v>
      </c>
      <c r="R97" s="674" t="str">
        <f t="shared" si="27"/>
        <v>Not Applicable</v>
      </c>
      <c r="S97" s="798" t="str">
        <f>IF($R$7=0,"",IFERROR(VLOOKUP(B97,[3]Sheet1!$C$1:$P$65536,14,FALSE),"NA"))</f>
        <v/>
      </c>
      <c r="T97" s="798">
        <f>IF(O97=0,0,IF(S97="N",0,VLOOKUP(B97,Enrollment!B:J,9,FALSE)))</f>
        <v>0</v>
      </c>
      <c r="U97" s="88">
        <f t="shared" si="28"/>
        <v>0</v>
      </c>
      <c r="V97" s="71">
        <f t="shared" si="29"/>
        <v>0</v>
      </c>
      <c r="W97" s="449">
        <v>0</v>
      </c>
      <c r="X97" s="67">
        <f>IFERROR(VLOOKUP($B97,'Allocation 2021-22'!$B:$O,14,FALSE),0)</f>
        <v>0</v>
      </c>
      <c r="Y97" s="163">
        <f t="shared" si="30"/>
        <v>0</v>
      </c>
      <c r="Z97" s="166">
        <f t="shared" si="31"/>
        <v>0</v>
      </c>
      <c r="AA97" s="34">
        <f t="shared" si="17"/>
        <v>0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605</v>
      </c>
      <c r="B98" s="784" t="s">
        <v>246</v>
      </c>
      <c r="C98" s="784" t="s">
        <v>1479</v>
      </c>
      <c r="D98" s="134">
        <f>VLOOKUP(B98,'Enrollment 22-23'!$B:$I,8,FALSE)</f>
        <v>79.33</v>
      </c>
      <c r="E98" s="67">
        <f t="shared" si="18"/>
        <v>10969</v>
      </c>
      <c r="F98" s="146">
        <v>0</v>
      </c>
      <c r="G98" s="146">
        <v>0</v>
      </c>
      <c r="H98" s="91">
        <f t="shared" si="19"/>
        <v>10969</v>
      </c>
      <c r="I98" s="67">
        <f t="shared" si="20"/>
        <v>0</v>
      </c>
      <c r="J98" s="739">
        <f t="shared" si="21"/>
        <v>10969</v>
      </c>
      <c r="K98" s="837" t="str">
        <f>_xlfn.IFNA(VLOOKUP(B98,'[2]22-23 Survey Results'!$A:$F,6,FALSE),0)</f>
        <v>C</v>
      </c>
      <c r="L98" s="740">
        <f t="shared" si="22"/>
        <v>0</v>
      </c>
      <c r="M98" s="741">
        <f t="shared" si="23"/>
        <v>79.33</v>
      </c>
      <c r="N98" s="67">
        <f t="shared" si="24"/>
        <v>107</v>
      </c>
      <c r="O98" s="67">
        <f t="shared" si="25"/>
        <v>11076</v>
      </c>
      <c r="Q98" s="674">
        <f t="shared" si="26"/>
        <v>0</v>
      </c>
      <c r="R98" s="674" t="str">
        <f t="shared" si="27"/>
        <v>Not Applicable</v>
      </c>
      <c r="S98" s="798" t="str">
        <f>IF($R$7=0,"",IFERROR(VLOOKUP(B98,[3]Sheet1!$C$1:$P$65536,14,FALSE),"NA"))</f>
        <v/>
      </c>
      <c r="T98" s="798">
        <f>IF(O98=0,0,IF(S98="N",0,VLOOKUP(B98,Enrollment!B:J,9,FALSE)))</f>
        <v>0</v>
      </c>
      <c r="U98" s="88">
        <f t="shared" si="28"/>
        <v>11076</v>
      </c>
      <c r="V98" s="71">
        <f t="shared" si="29"/>
        <v>139.61931173578722</v>
      </c>
      <c r="W98" s="449">
        <v>0</v>
      </c>
      <c r="X98" s="67">
        <f>IFERROR(VLOOKUP($B98,'Allocation 2021-22'!$B:$O,14,FALSE),0)</f>
        <v>7207</v>
      </c>
      <c r="Y98" s="163">
        <f t="shared" si="30"/>
        <v>3869</v>
      </c>
      <c r="Z98" s="166">
        <f t="shared" si="31"/>
        <v>0.53683918412654363</v>
      </c>
      <c r="AA98" s="34" t="str">
        <f t="shared" si="17"/>
        <v>C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601</v>
      </c>
      <c r="B99" s="784" t="s">
        <v>131</v>
      </c>
      <c r="C99" s="784" t="s">
        <v>1428</v>
      </c>
      <c r="D99" s="134">
        <f>VLOOKUP(B99,'Enrollment 22-23'!$B:$I,8,FALSE)</f>
        <v>112.17</v>
      </c>
      <c r="E99" s="67">
        <f t="shared" si="18"/>
        <v>15509</v>
      </c>
      <c r="F99" s="146">
        <v>0</v>
      </c>
      <c r="G99" s="146">
        <v>0</v>
      </c>
      <c r="H99" s="91">
        <f t="shared" si="19"/>
        <v>15509</v>
      </c>
      <c r="I99" s="67">
        <f t="shared" si="20"/>
        <v>0</v>
      </c>
      <c r="J99" s="739">
        <f t="shared" si="21"/>
        <v>15509</v>
      </c>
      <c r="K99" s="837" t="str">
        <f>_xlfn.IFNA(VLOOKUP(B99,'[2]22-23 Survey Results'!$A:$F,6,FALSE),0)</f>
        <v>Y</v>
      </c>
      <c r="L99" s="740">
        <f t="shared" si="22"/>
        <v>0</v>
      </c>
      <c r="M99" s="741">
        <f t="shared" si="23"/>
        <v>112.17</v>
      </c>
      <c r="N99" s="67">
        <f t="shared" si="24"/>
        <v>151</v>
      </c>
      <c r="O99" s="67">
        <f t="shared" si="25"/>
        <v>15660</v>
      </c>
      <c r="Q99" s="674">
        <f t="shared" si="26"/>
        <v>0</v>
      </c>
      <c r="R99" s="674" t="str">
        <f t="shared" si="27"/>
        <v>Not Applicable</v>
      </c>
      <c r="S99" s="798" t="str">
        <f>IF($R$7=0,"",IFERROR(VLOOKUP(B99,[3]Sheet1!$C$1:$P$65536,14,FALSE),"NA"))</f>
        <v/>
      </c>
      <c r="T99" s="798">
        <f>IF(O99=0,0,IF(S99="N",0,VLOOKUP(B99,Enrollment!B:J,9,FALSE)))</f>
        <v>0</v>
      </c>
      <c r="U99" s="88">
        <f t="shared" si="28"/>
        <v>15660</v>
      </c>
      <c r="V99" s="71">
        <f t="shared" si="29"/>
        <v>139.60952126236961</v>
      </c>
      <c r="W99" s="449">
        <v>16443</v>
      </c>
      <c r="X99" s="67">
        <f>IFERROR(VLOOKUP($B99,'Allocation 2021-22'!$B:$O,14,FALSE),0)</f>
        <v>16382</v>
      </c>
      <c r="Y99" s="163">
        <f t="shared" si="30"/>
        <v>-722</v>
      </c>
      <c r="Z99" s="166">
        <f t="shared" si="31"/>
        <v>-4.4072762788426319E-2</v>
      </c>
      <c r="AA99" s="34" t="str">
        <f t="shared" si="17"/>
        <v>Y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605</v>
      </c>
      <c r="B100" s="784" t="s">
        <v>555</v>
      </c>
      <c r="C100" s="784" t="s">
        <v>1625</v>
      </c>
      <c r="D100" s="134">
        <f>VLOOKUP(B100,'Enrollment 22-23'!$B:$I,8,FALSE)</f>
        <v>1092.5</v>
      </c>
      <c r="E100" s="67">
        <f t="shared" si="18"/>
        <v>151055</v>
      </c>
      <c r="F100" s="146">
        <v>0</v>
      </c>
      <c r="G100" s="146">
        <v>0</v>
      </c>
      <c r="H100" s="91">
        <f t="shared" si="19"/>
        <v>151055</v>
      </c>
      <c r="I100" s="67">
        <f t="shared" si="20"/>
        <v>0</v>
      </c>
      <c r="J100" s="739">
        <f t="shared" si="21"/>
        <v>151055</v>
      </c>
      <c r="K100" s="837" t="str">
        <f>_xlfn.IFNA(VLOOKUP(B100,'[2]22-23 Survey Results'!$A:$F,6,FALSE),0)</f>
        <v>Y</v>
      </c>
      <c r="L100" s="740">
        <f t="shared" si="22"/>
        <v>0</v>
      </c>
      <c r="M100" s="741">
        <f t="shared" si="23"/>
        <v>1092.5</v>
      </c>
      <c r="N100" s="67">
        <f t="shared" si="24"/>
        <v>1475</v>
      </c>
      <c r="O100" s="67">
        <f t="shared" si="25"/>
        <v>152530</v>
      </c>
      <c r="Q100" s="674">
        <f t="shared" si="26"/>
        <v>0</v>
      </c>
      <c r="R100" s="674" t="str">
        <f t="shared" si="27"/>
        <v>Not Applicable</v>
      </c>
      <c r="S100" s="798" t="str">
        <f>IF($R$7=0,"",IFERROR(VLOOKUP(B100,[3]Sheet1!$C$1:$P$65536,14,FALSE),"NA"))</f>
        <v/>
      </c>
      <c r="T100" s="798">
        <f>IF(O100=0,0,IF(S100="N",0,VLOOKUP(B100,Enrollment!B:J,9,FALSE)))</f>
        <v>0</v>
      </c>
      <c r="U100" s="88">
        <f t="shared" si="28"/>
        <v>152530</v>
      </c>
      <c r="V100" s="71">
        <f t="shared" si="29"/>
        <v>139.61556064073227</v>
      </c>
      <c r="W100" s="449">
        <v>157318</v>
      </c>
      <c r="X100" s="67">
        <f>IFERROR(VLOOKUP($B100,'Allocation 2021-22'!$B:$O,14,FALSE),0)</f>
        <v>156726</v>
      </c>
      <c r="Y100" s="163">
        <f t="shared" si="30"/>
        <v>-4196</v>
      </c>
      <c r="Z100" s="166">
        <f t="shared" si="31"/>
        <v>-2.6772839222592295E-2</v>
      </c>
      <c r="AA100" s="34" t="str">
        <f t="shared" si="17"/>
        <v>Y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605</v>
      </c>
      <c r="B101" s="784" t="s">
        <v>563</v>
      </c>
      <c r="C101" s="784" t="s">
        <v>1628</v>
      </c>
      <c r="D101" s="134">
        <f>VLOOKUP(B101,'Enrollment 22-23'!$B:$I,8,FALSE)</f>
        <v>621.33000000000004</v>
      </c>
      <c r="E101" s="67">
        <f t="shared" si="18"/>
        <v>85909</v>
      </c>
      <c r="F101" s="146">
        <v>0</v>
      </c>
      <c r="G101" s="146">
        <v>0</v>
      </c>
      <c r="H101" s="91">
        <f t="shared" si="19"/>
        <v>85909</v>
      </c>
      <c r="I101" s="67">
        <f t="shared" si="20"/>
        <v>0</v>
      </c>
      <c r="J101" s="739">
        <f t="shared" si="21"/>
        <v>85909</v>
      </c>
      <c r="K101" s="837" t="str">
        <f>_xlfn.IFNA(VLOOKUP(B101,'[2]22-23 Survey Results'!$A:$F,6,FALSE),0)</f>
        <v>Y</v>
      </c>
      <c r="L101" s="740">
        <f t="shared" si="22"/>
        <v>0</v>
      </c>
      <c r="M101" s="741">
        <f t="shared" si="23"/>
        <v>621.33000000000004</v>
      </c>
      <c r="N101" s="67">
        <f t="shared" si="24"/>
        <v>839</v>
      </c>
      <c r="O101" s="67">
        <f t="shared" si="25"/>
        <v>86748</v>
      </c>
      <c r="Q101" s="674">
        <f t="shared" si="26"/>
        <v>0</v>
      </c>
      <c r="R101" s="674" t="str">
        <f t="shared" si="27"/>
        <v>Not Applicable</v>
      </c>
      <c r="S101" s="798" t="str">
        <f>IF($R$7=0,"",IFERROR(VLOOKUP(B101,[3]Sheet1!$C$1:$P$65536,14,FALSE),"NA"))</f>
        <v/>
      </c>
      <c r="T101" s="798">
        <f>IF(O101=0,0,IF(S101="N",0,VLOOKUP(B101,Enrollment!B:J,9,FALSE)))</f>
        <v>0</v>
      </c>
      <c r="U101" s="88">
        <f t="shared" si="28"/>
        <v>86748</v>
      </c>
      <c r="V101" s="71">
        <f t="shared" si="29"/>
        <v>139.61662884457533</v>
      </c>
      <c r="W101" s="449">
        <v>78705</v>
      </c>
      <c r="X101" s="67">
        <f>IFERROR(VLOOKUP($B101,'Allocation 2021-22'!$B:$O,14,FALSE),0)</f>
        <v>78409</v>
      </c>
      <c r="Y101" s="163">
        <f t="shared" si="30"/>
        <v>8339</v>
      </c>
      <c r="Z101" s="166">
        <f t="shared" si="31"/>
        <v>0.10635258707546327</v>
      </c>
      <c r="AA101" s="34" t="str">
        <f t="shared" si="17"/>
        <v>Y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595</v>
      </c>
      <c r="B102" s="784" t="s">
        <v>419</v>
      </c>
      <c r="C102" s="784" t="s">
        <v>1560</v>
      </c>
      <c r="D102" s="134">
        <f>VLOOKUP(B102,'Enrollment 22-23'!$B:$I,8,FALSE)</f>
        <v>81.67</v>
      </c>
      <c r="E102" s="67">
        <f t="shared" si="18"/>
        <v>11292</v>
      </c>
      <c r="F102" s="146">
        <v>0</v>
      </c>
      <c r="G102" s="146">
        <v>0</v>
      </c>
      <c r="H102" s="91">
        <f t="shared" si="19"/>
        <v>11292</v>
      </c>
      <c r="I102" s="67">
        <f t="shared" si="20"/>
        <v>0</v>
      </c>
      <c r="J102" s="739">
        <f t="shared" si="21"/>
        <v>11292</v>
      </c>
      <c r="K102" s="837" t="str">
        <f>_xlfn.IFNA(VLOOKUP(B102,'[2]22-23 Survey Results'!$A:$F,6,FALSE),0)</f>
        <v>Y</v>
      </c>
      <c r="L102" s="740">
        <f t="shared" si="22"/>
        <v>0</v>
      </c>
      <c r="M102" s="741">
        <f t="shared" si="23"/>
        <v>81.67</v>
      </c>
      <c r="N102" s="67">
        <f t="shared" si="24"/>
        <v>110</v>
      </c>
      <c r="O102" s="67">
        <f t="shared" si="25"/>
        <v>11402</v>
      </c>
      <c r="Q102" s="674">
        <f t="shared" si="26"/>
        <v>0</v>
      </c>
      <c r="R102" s="674" t="str">
        <f t="shared" si="27"/>
        <v>Not Applicable</v>
      </c>
      <c r="S102" s="798" t="str">
        <f>IF($R$7=0,"",IFERROR(VLOOKUP(B102,[3]Sheet1!$C$1:$P$65536,14,FALSE),"NA"))</f>
        <v/>
      </c>
      <c r="T102" s="798">
        <f>IF(O102=0,0,IF(S102="N",0,VLOOKUP(B102,Enrollment!B:J,9,FALSE)))</f>
        <v>0</v>
      </c>
      <c r="U102" s="88">
        <f t="shared" si="28"/>
        <v>11402</v>
      </c>
      <c r="V102" s="71">
        <f t="shared" si="29"/>
        <v>139.61062813762703</v>
      </c>
      <c r="W102" s="449">
        <v>0</v>
      </c>
      <c r="X102" s="67">
        <f>IFERROR(VLOOKUP($B102,'Allocation 2021-22'!$B:$O,14,FALSE),0)</f>
        <v>0</v>
      </c>
      <c r="Y102" s="163">
        <f t="shared" si="30"/>
        <v>11402</v>
      </c>
      <c r="Z102" s="166">
        <f t="shared" si="31"/>
        <v>0</v>
      </c>
      <c r="AA102" s="34" t="str">
        <f t="shared" si="17"/>
        <v>Y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594</v>
      </c>
      <c r="B103" s="784" t="s">
        <v>297</v>
      </c>
      <c r="C103" s="784" t="s">
        <v>1502</v>
      </c>
      <c r="D103" s="134">
        <f>VLOOKUP(B103,'Enrollment 22-23'!$B:$I,8,FALSE)</f>
        <v>0</v>
      </c>
      <c r="E103" s="67">
        <f t="shared" si="18"/>
        <v>0</v>
      </c>
      <c r="F103" s="146">
        <v>0</v>
      </c>
      <c r="G103" s="146">
        <v>0</v>
      </c>
      <c r="H103" s="91">
        <f t="shared" si="19"/>
        <v>0</v>
      </c>
      <c r="I103" s="67">
        <f t="shared" si="20"/>
        <v>0</v>
      </c>
      <c r="J103" s="739">
        <f t="shared" si="21"/>
        <v>0</v>
      </c>
      <c r="K103" s="837">
        <f>_xlfn.IFNA(VLOOKUP(B103,'[2]22-23 Survey Results'!$A:$F,6,FALSE),0)</f>
        <v>0</v>
      </c>
      <c r="L103" s="740">
        <f t="shared" si="22"/>
        <v>0</v>
      </c>
      <c r="M103" s="741">
        <f t="shared" si="23"/>
        <v>0</v>
      </c>
      <c r="N103" s="67">
        <f t="shared" si="24"/>
        <v>0</v>
      </c>
      <c r="O103" s="67">
        <f t="shared" si="25"/>
        <v>0</v>
      </c>
      <c r="Q103" s="674">
        <f t="shared" si="26"/>
        <v>0</v>
      </c>
      <c r="R103" s="674" t="str">
        <f t="shared" si="27"/>
        <v>Not Applicable</v>
      </c>
      <c r="S103" s="798" t="str">
        <f>IF($R$7=0,"",IFERROR(VLOOKUP(B103,[3]Sheet1!$C$1:$P$65536,14,FALSE),"NA"))</f>
        <v/>
      </c>
      <c r="T103" s="798">
        <f>IF(O103=0,0,IF(S103="N",0,VLOOKUP(B103,Enrollment!B:J,9,FALSE)))</f>
        <v>0</v>
      </c>
      <c r="U103" s="88">
        <f t="shared" si="28"/>
        <v>0</v>
      </c>
      <c r="V103" s="71">
        <f t="shared" si="29"/>
        <v>0</v>
      </c>
      <c r="W103" s="449">
        <v>0</v>
      </c>
      <c r="X103" s="67">
        <f>IFERROR(VLOOKUP($B103,'Allocation 2021-22'!$B:$O,14,FALSE),0)</f>
        <v>0</v>
      </c>
      <c r="Y103" s="163">
        <f t="shared" si="30"/>
        <v>0</v>
      </c>
      <c r="Z103" s="166">
        <f t="shared" si="31"/>
        <v>0</v>
      </c>
      <c r="AA103" s="34">
        <f t="shared" si="17"/>
        <v>0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603</v>
      </c>
      <c r="B104" s="784" t="s">
        <v>426</v>
      </c>
      <c r="C104" s="784" t="s">
        <v>1564</v>
      </c>
      <c r="D104" s="134">
        <f>VLOOKUP(B104,'Enrollment 22-23'!$B:$I,8,FALSE)</f>
        <v>0</v>
      </c>
      <c r="E104" s="67">
        <f t="shared" si="18"/>
        <v>0</v>
      </c>
      <c r="F104" s="146">
        <v>0</v>
      </c>
      <c r="G104" s="146">
        <v>0</v>
      </c>
      <c r="H104" s="91">
        <f t="shared" si="19"/>
        <v>0</v>
      </c>
      <c r="I104" s="67">
        <f t="shared" si="20"/>
        <v>0</v>
      </c>
      <c r="J104" s="739">
        <f t="shared" si="21"/>
        <v>0</v>
      </c>
      <c r="K104" s="837">
        <f>_xlfn.IFNA(VLOOKUP(B104,'[2]22-23 Survey Results'!$A:$F,6,FALSE),0)</f>
        <v>0</v>
      </c>
      <c r="L104" s="740">
        <f t="shared" si="22"/>
        <v>0</v>
      </c>
      <c r="M104" s="741">
        <f t="shared" si="23"/>
        <v>0</v>
      </c>
      <c r="N104" s="67">
        <f t="shared" si="24"/>
        <v>0</v>
      </c>
      <c r="O104" s="67">
        <f t="shared" si="25"/>
        <v>0</v>
      </c>
      <c r="Q104" s="674">
        <f t="shared" si="26"/>
        <v>0</v>
      </c>
      <c r="R104" s="674" t="str">
        <f t="shared" si="27"/>
        <v>Not Applicable</v>
      </c>
      <c r="S104" s="798" t="str">
        <f>IF($R$7=0,"",IFERROR(VLOOKUP(B104,[3]Sheet1!$C$1:$P$65536,14,FALSE),"NA"))</f>
        <v/>
      </c>
      <c r="T104" s="798">
        <f>IF(O104=0,0,IF(S104="N",0,VLOOKUP(B104,Enrollment!B:J,9,FALSE)))</f>
        <v>0</v>
      </c>
      <c r="U104" s="88">
        <f t="shared" si="28"/>
        <v>0</v>
      </c>
      <c r="V104" s="71">
        <f t="shared" si="29"/>
        <v>0</v>
      </c>
      <c r="W104" s="449">
        <v>0</v>
      </c>
      <c r="X104" s="67">
        <f>IFERROR(VLOOKUP($B104,'Allocation 2021-22'!$B:$O,14,FALSE),0)</f>
        <v>0</v>
      </c>
      <c r="Y104" s="163">
        <f t="shared" si="30"/>
        <v>0</v>
      </c>
      <c r="Z104" s="166">
        <f t="shared" si="31"/>
        <v>0</v>
      </c>
      <c r="AA104" s="34">
        <f t="shared" si="17"/>
        <v>0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599</v>
      </c>
      <c r="B105" s="784" t="s">
        <v>54</v>
      </c>
      <c r="C105" s="784" t="s">
        <v>1393</v>
      </c>
      <c r="D105" s="134">
        <f>VLOOKUP(B105,'Enrollment 22-23'!$B:$I,8,FALSE)</f>
        <v>3</v>
      </c>
      <c r="E105" s="67">
        <f t="shared" si="18"/>
        <v>415</v>
      </c>
      <c r="F105" s="146">
        <v>0</v>
      </c>
      <c r="G105" s="146">
        <v>0</v>
      </c>
      <c r="H105" s="91">
        <f t="shared" si="19"/>
        <v>415</v>
      </c>
      <c r="I105" s="67">
        <f t="shared" si="20"/>
        <v>0</v>
      </c>
      <c r="J105" s="739">
        <f t="shared" si="21"/>
        <v>415</v>
      </c>
      <c r="K105" s="837" t="str">
        <f>_xlfn.IFNA(VLOOKUP(B105,'[2]22-23 Survey Results'!$A:$F,6,FALSE),0)</f>
        <v>N</v>
      </c>
      <c r="L105" s="740">
        <f t="shared" si="22"/>
        <v>415</v>
      </c>
      <c r="M105" s="741">
        <f t="shared" si="23"/>
        <v>0</v>
      </c>
      <c r="N105" s="67">
        <f t="shared" si="24"/>
        <v>0</v>
      </c>
      <c r="O105" s="67">
        <f t="shared" si="25"/>
        <v>0</v>
      </c>
      <c r="Q105" s="674">
        <f t="shared" si="26"/>
        <v>0</v>
      </c>
      <c r="R105" s="674" t="str">
        <f t="shared" si="27"/>
        <v>Not Applicable</v>
      </c>
      <c r="S105" s="798" t="str">
        <f>IF($R$7=0,"",IFERROR(VLOOKUP(B105,[3]Sheet1!$C$1:$P$65536,14,FALSE),"NA"))</f>
        <v/>
      </c>
      <c r="T105" s="798">
        <f>IF(O105=0,0,IF(S105="N",0,VLOOKUP(B105,Enrollment!B:J,9,FALSE)))</f>
        <v>0</v>
      </c>
      <c r="U105" s="88">
        <f t="shared" si="28"/>
        <v>0</v>
      </c>
      <c r="V105" s="71">
        <f t="shared" si="29"/>
        <v>0</v>
      </c>
      <c r="W105" s="449">
        <v>0</v>
      </c>
      <c r="X105" s="67">
        <f>IFERROR(VLOOKUP($B105,'Allocation 2021-22'!$B:$O,14,FALSE),0)</f>
        <v>0</v>
      </c>
      <c r="Y105" s="163">
        <f t="shared" si="30"/>
        <v>0</v>
      </c>
      <c r="Z105" s="166">
        <f t="shared" si="31"/>
        <v>0</v>
      </c>
      <c r="AA105" s="34" t="str">
        <f t="shared" si="17"/>
        <v>N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594</v>
      </c>
      <c r="B106" s="784" t="s">
        <v>482</v>
      </c>
      <c r="C106" s="784" t="s">
        <v>1592</v>
      </c>
      <c r="D106" s="134">
        <f>VLOOKUP(B106,'Enrollment 22-23'!$B:$I,8,FALSE)</f>
        <v>1.33</v>
      </c>
      <c r="E106" s="67">
        <f t="shared" si="18"/>
        <v>184</v>
      </c>
      <c r="F106" s="146">
        <v>0</v>
      </c>
      <c r="G106" s="146">
        <v>0</v>
      </c>
      <c r="H106" s="91">
        <f t="shared" si="19"/>
        <v>184</v>
      </c>
      <c r="I106" s="67">
        <f t="shared" si="20"/>
        <v>0</v>
      </c>
      <c r="J106" s="739">
        <f t="shared" si="21"/>
        <v>184</v>
      </c>
      <c r="K106" s="837" t="str">
        <f>_xlfn.IFNA(VLOOKUP(B106,'[2]22-23 Survey Results'!$A:$F,6,FALSE),0)</f>
        <v>N</v>
      </c>
      <c r="L106" s="740">
        <f t="shared" si="22"/>
        <v>184</v>
      </c>
      <c r="M106" s="741">
        <f t="shared" si="23"/>
        <v>0</v>
      </c>
      <c r="N106" s="67">
        <f t="shared" si="24"/>
        <v>0</v>
      </c>
      <c r="O106" s="67">
        <f t="shared" si="25"/>
        <v>0</v>
      </c>
      <c r="Q106" s="674">
        <f t="shared" si="26"/>
        <v>0</v>
      </c>
      <c r="R106" s="674" t="str">
        <f t="shared" si="27"/>
        <v>Not Applicable</v>
      </c>
      <c r="S106" s="798" t="str">
        <f>IF($R$7=0,"",IFERROR(VLOOKUP(B106,[3]Sheet1!$C$1:$P$65536,14,FALSE),"NA"))</f>
        <v/>
      </c>
      <c r="T106" s="798">
        <f>IF(O106=0,0,IF(S106="N",0,VLOOKUP(B106,Enrollment!B:J,9,FALSE)))</f>
        <v>0</v>
      </c>
      <c r="U106" s="88">
        <f t="shared" si="28"/>
        <v>0</v>
      </c>
      <c r="V106" s="71">
        <f t="shared" si="29"/>
        <v>0</v>
      </c>
      <c r="W106" s="449">
        <v>0</v>
      </c>
      <c r="X106" s="67">
        <f>IFERROR(VLOOKUP($B106,'Allocation 2021-22'!$B:$O,14,FALSE),0)</f>
        <v>0</v>
      </c>
      <c r="Y106" s="163">
        <f t="shared" si="30"/>
        <v>0</v>
      </c>
      <c r="Z106" s="166">
        <f t="shared" si="31"/>
        <v>0</v>
      </c>
      <c r="AA106" s="34" t="str">
        <f t="shared" si="17"/>
        <v>N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603</v>
      </c>
      <c r="B107" s="784" t="s">
        <v>291</v>
      </c>
      <c r="C107" s="784" t="s">
        <v>1499</v>
      </c>
      <c r="D107" s="134">
        <f>VLOOKUP(B107,'Enrollment 22-23'!$B:$I,8,FALSE)</f>
        <v>0</v>
      </c>
      <c r="E107" s="67">
        <f t="shared" si="18"/>
        <v>0</v>
      </c>
      <c r="F107" s="146">
        <v>0</v>
      </c>
      <c r="G107" s="146">
        <v>0</v>
      </c>
      <c r="H107" s="91">
        <f t="shared" si="19"/>
        <v>0</v>
      </c>
      <c r="I107" s="67">
        <f t="shared" si="20"/>
        <v>0</v>
      </c>
      <c r="J107" s="739">
        <f t="shared" si="21"/>
        <v>0</v>
      </c>
      <c r="K107" s="837">
        <f>_xlfn.IFNA(VLOOKUP(B107,'[2]22-23 Survey Results'!$A:$F,6,FALSE),0)</f>
        <v>0</v>
      </c>
      <c r="L107" s="740">
        <f t="shared" si="22"/>
        <v>0</v>
      </c>
      <c r="M107" s="741">
        <f t="shared" si="23"/>
        <v>0</v>
      </c>
      <c r="N107" s="67">
        <f t="shared" si="24"/>
        <v>0</v>
      </c>
      <c r="O107" s="67">
        <f t="shared" si="25"/>
        <v>0</v>
      </c>
      <c r="Q107" s="674">
        <f t="shared" si="26"/>
        <v>0</v>
      </c>
      <c r="R107" s="674" t="str">
        <f t="shared" si="27"/>
        <v>Not Applicable</v>
      </c>
      <c r="S107" s="798" t="str">
        <f>IF($R$7=0,"",IFERROR(VLOOKUP(B107,[3]Sheet1!$C$1:$P$65536,14,FALSE),"NA"))</f>
        <v/>
      </c>
      <c r="T107" s="798">
        <f>IF(O107=0,0,IF(S107="N",0,VLOOKUP(B107,Enrollment!B:J,9,FALSE)))</f>
        <v>0</v>
      </c>
      <c r="U107" s="88">
        <f t="shared" si="28"/>
        <v>0</v>
      </c>
      <c r="V107" s="71">
        <f t="shared" si="29"/>
        <v>0</v>
      </c>
      <c r="W107" s="449">
        <v>0</v>
      </c>
      <c r="X107" s="67">
        <f>IFERROR(VLOOKUP($B107,'Allocation 2021-22'!$B:$O,14,FALSE),0)</f>
        <v>0</v>
      </c>
      <c r="Y107" s="163">
        <f t="shared" si="30"/>
        <v>0</v>
      </c>
      <c r="Z107" s="166">
        <f t="shared" si="31"/>
        <v>0</v>
      </c>
      <c r="AA107" s="34">
        <f t="shared" si="17"/>
        <v>0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605</v>
      </c>
      <c r="B108" s="784" t="s">
        <v>561</v>
      </c>
      <c r="C108" s="784" t="s">
        <v>1627</v>
      </c>
      <c r="D108" s="134">
        <f>VLOOKUP(B108,'Enrollment 22-23'!$B:$I,8,FALSE)</f>
        <v>297.5</v>
      </c>
      <c r="E108" s="67">
        <f t="shared" si="18"/>
        <v>41134</v>
      </c>
      <c r="F108" s="146">
        <v>0</v>
      </c>
      <c r="G108" s="146">
        <v>0</v>
      </c>
      <c r="H108" s="91">
        <f t="shared" si="19"/>
        <v>41134</v>
      </c>
      <c r="I108" s="67">
        <f t="shared" si="20"/>
        <v>0</v>
      </c>
      <c r="J108" s="739">
        <f t="shared" si="21"/>
        <v>41134</v>
      </c>
      <c r="K108" s="837" t="str">
        <f>_xlfn.IFNA(VLOOKUP(B108,'[2]22-23 Survey Results'!$A:$F,6,FALSE),0)</f>
        <v>Y</v>
      </c>
      <c r="L108" s="740">
        <f t="shared" si="22"/>
        <v>0</v>
      </c>
      <c r="M108" s="741">
        <f t="shared" si="23"/>
        <v>297.5</v>
      </c>
      <c r="N108" s="67">
        <f t="shared" si="24"/>
        <v>402</v>
      </c>
      <c r="O108" s="67">
        <f t="shared" si="25"/>
        <v>41536</v>
      </c>
      <c r="Q108" s="674">
        <f t="shared" si="26"/>
        <v>0</v>
      </c>
      <c r="R108" s="674" t="str">
        <f t="shared" si="27"/>
        <v>Not Applicable</v>
      </c>
      <c r="S108" s="798" t="str">
        <f>IF($R$7=0,"",IFERROR(VLOOKUP(B108,[3]Sheet1!$C$1:$P$65536,14,FALSE),"NA"))</f>
        <v/>
      </c>
      <c r="T108" s="798">
        <f>IF(O108=0,0,IF(S108="N",0,VLOOKUP(B108,Enrollment!B:J,9,FALSE)))</f>
        <v>0</v>
      </c>
      <c r="U108" s="88">
        <f t="shared" si="28"/>
        <v>41536</v>
      </c>
      <c r="V108" s="71">
        <f t="shared" si="29"/>
        <v>139.61680672268906</v>
      </c>
      <c r="W108" s="449">
        <v>40191</v>
      </c>
      <c r="X108" s="67">
        <f>IFERROR(VLOOKUP($B108,'Allocation 2021-22'!$B:$O,14,FALSE),0)</f>
        <v>40040</v>
      </c>
      <c r="Y108" s="163">
        <f t="shared" si="30"/>
        <v>1496</v>
      </c>
      <c r="Z108" s="166">
        <f t="shared" si="31"/>
        <v>3.7362637362637362E-2</v>
      </c>
      <c r="AA108" s="34" t="str">
        <f t="shared" si="17"/>
        <v>Y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181</v>
      </c>
      <c r="C109" s="784" t="s">
        <v>1452</v>
      </c>
      <c r="D109" s="134">
        <f>VLOOKUP(B109,'Enrollment 22-23'!$B:$I,8,FALSE)</f>
        <v>5888.17</v>
      </c>
      <c r="E109" s="67">
        <f t="shared" si="18"/>
        <v>814133</v>
      </c>
      <c r="F109" s="146">
        <v>0</v>
      </c>
      <c r="G109" s="146">
        <v>0</v>
      </c>
      <c r="H109" s="91">
        <f t="shared" si="19"/>
        <v>814133</v>
      </c>
      <c r="I109" s="67">
        <f t="shared" si="20"/>
        <v>0</v>
      </c>
      <c r="J109" s="739">
        <f t="shared" si="21"/>
        <v>814133</v>
      </c>
      <c r="K109" s="837" t="str">
        <f>_xlfn.IFNA(VLOOKUP(B109,'[2]22-23 Survey Results'!$A:$F,6,FALSE),0)</f>
        <v>Y</v>
      </c>
      <c r="L109" s="740">
        <f t="shared" si="22"/>
        <v>0</v>
      </c>
      <c r="M109" s="741">
        <f t="shared" si="23"/>
        <v>5888.17</v>
      </c>
      <c r="N109" s="67">
        <f t="shared" si="24"/>
        <v>7948</v>
      </c>
      <c r="O109" s="67">
        <f t="shared" si="25"/>
        <v>822081</v>
      </c>
      <c r="Q109" s="674">
        <f t="shared" si="26"/>
        <v>0</v>
      </c>
      <c r="R109" s="674" t="str">
        <f t="shared" si="27"/>
        <v>Not Applicable</v>
      </c>
      <c r="S109" s="798" t="str">
        <f>IF($R$7=0,"",IFERROR(VLOOKUP(B109,[3]Sheet1!$C$1:$P$65536,14,FALSE),"NA"))</f>
        <v/>
      </c>
      <c r="T109" s="798">
        <f>IF(O109=0,0,IF(S109="N",0,VLOOKUP(B109,Enrollment!B:J,9,FALSE)))</f>
        <v>0</v>
      </c>
      <c r="U109" s="88">
        <f t="shared" si="28"/>
        <v>822081</v>
      </c>
      <c r="V109" s="71">
        <f t="shared" si="29"/>
        <v>139.61570403028446</v>
      </c>
      <c r="W109" s="449">
        <v>856104</v>
      </c>
      <c r="X109" s="67">
        <f>IFERROR(VLOOKUP($B109,'Allocation 2021-22'!$B:$O,14,FALSE),0)</f>
        <v>852880</v>
      </c>
      <c r="Y109" s="163">
        <f t="shared" si="30"/>
        <v>-30799</v>
      </c>
      <c r="Z109" s="166">
        <f t="shared" si="31"/>
        <v>-3.6111762498827499E-2</v>
      </c>
      <c r="AA109" s="34" t="str">
        <f t="shared" si="17"/>
        <v>Y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599</v>
      </c>
      <c r="B110" s="784" t="s">
        <v>51</v>
      </c>
      <c r="C110" s="784" t="s">
        <v>1391</v>
      </c>
      <c r="D110" s="134">
        <f>VLOOKUP(B110,'Enrollment 22-23'!$B:$I,8,FALSE)</f>
        <v>70</v>
      </c>
      <c r="E110" s="67">
        <f t="shared" si="18"/>
        <v>9679</v>
      </c>
      <c r="F110" s="146">
        <v>0</v>
      </c>
      <c r="G110" s="146">
        <v>0</v>
      </c>
      <c r="H110" s="91">
        <f t="shared" si="19"/>
        <v>9679</v>
      </c>
      <c r="I110" s="67">
        <f t="shared" si="20"/>
        <v>0</v>
      </c>
      <c r="J110" s="739">
        <f t="shared" si="21"/>
        <v>9679</v>
      </c>
      <c r="K110" s="837" t="str">
        <f>_xlfn.IFNA(VLOOKUP(B110,'[2]22-23 Survey Results'!$A:$F,6,FALSE),0)</f>
        <v>C</v>
      </c>
      <c r="L110" s="740">
        <f t="shared" si="22"/>
        <v>0</v>
      </c>
      <c r="M110" s="741">
        <f t="shared" si="23"/>
        <v>70</v>
      </c>
      <c r="N110" s="67">
        <f t="shared" si="24"/>
        <v>94</v>
      </c>
      <c r="O110" s="67">
        <f t="shared" si="25"/>
        <v>9773</v>
      </c>
      <c r="Q110" s="674">
        <f t="shared" si="26"/>
        <v>0</v>
      </c>
      <c r="R110" s="674" t="str">
        <f t="shared" si="27"/>
        <v>Not Applicable</v>
      </c>
      <c r="S110" s="798" t="str">
        <f>IF($R$7=0,"",IFERROR(VLOOKUP(B110,[3]Sheet1!$C$1:$P$65536,14,FALSE),"NA"))</f>
        <v/>
      </c>
      <c r="T110" s="798">
        <f>IF(O110=0,0,IF(S110="N",0,VLOOKUP(B110,Enrollment!B:J,9,FALSE)))</f>
        <v>0</v>
      </c>
      <c r="U110" s="88">
        <f t="shared" si="28"/>
        <v>9773</v>
      </c>
      <c r="V110" s="71">
        <f t="shared" si="29"/>
        <v>139.61428571428573</v>
      </c>
      <c r="W110" s="449">
        <v>0</v>
      </c>
      <c r="X110" s="67">
        <f>IFERROR(VLOOKUP($B110,'Allocation 2021-22'!$B:$O,14,FALSE),0)</f>
        <v>9998</v>
      </c>
      <c r="Y110" s="163">
        <f t="shared" si="30"/>
        <v>-225</v>
      </c>
      <c r="Z110" s="166">
        <f t="shared" si="31"/>
        <v>-2.2504500900180035E-2</v>
      </c>
      <c r="AA110" s="34" t="str">
        <f t="shared" si="17"/>
        <v>C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594</v>
      </c>
      <c r="B111" s="784" t="s">
        <v>307</v>
      </c>
      <c r="C111" s="784" t="s">
        <v>1507</v>
      </c>
      <c r="D111" s="134">
        <f>VLOOKUP(B111,'Enrollment 22-23'!$B:$I,8,FALSE)</f>
        <v>7</v>
      </c>
      <c r="E111" s="67">
        <f t="shared" si="18"/>
        <v>968</v>
      </c>
      <c r="F111" s="146">
        <v>0</v>
      </c>
      <c r="G111" s="146">
        <v>0</v>
      </c>
      <c r="H111" s="91">
        <f t="shared" si="19"/>
        <v>968</v>
      </c>
      <c r="I111" s="67">
        <f t="shared" si="20"/>
        <v>0</v>
      </c>
      <c r="J111" s="739">
        <f t="shared" si="21"/>
        <v>968</v>
      </c>
      <c r="K111" s="837" t="str">
        <f>_xlfn.IFNA(VLOOKUP(B111,'[2]22-23 Survey Results'!$A:$F,6,FALSE),0)</f>
        <v>N</v>
      </c>
      <c r="L111" s="740">
        <f t="shared" si="22"/>
        <v>968</v>
      </c>
      <c r="M111" s="741">
        <f t="shared" si="23"/>
        <v>0</v>
      </c>
      <c r="N111" s="67">
        <f t="shared" si="24"/>
        <v>0</v>
      </c>
      <c r="O111" s="67">
        <f t="shared" si="25"/>
        <v>0</v>
      </c>
      <c r="Q111" s="674">
        <f t="shared" si="26"/>
        <v>0</v>
      </c>
      <c r="R111" s="674" t="str">
        <f t="shared" si="27"/>
        <v>Not Applicable</v>
      </c>
      <c r="S111" s="798" t="str">
        <f>IF($R$7=0,"",IFERROR(VLOOKUP(B111,[3]Sheet1!$C$1:$P$65536,14,FALSE),"NA"))</f>
        <v/>
      </c>
      <c r="T111" s="798">
        <f>IF(O111=0,0,IF(S111="N",0,VLOOKUP(B111,Enrollment!B:J,9,FALSE)))</f>
        <v>0</v>
      </c>
      <c r="U111" s="88">
        <f t="shared" si="28"/>
        <v>0</v>
      </c>
      <c r="V111" s="71">
        <f t="shared" si="29"/>
        <v>0</v>
      </c>
      <c r="W111" s="449">
        <v>0</v>
      </c>
      <c r="X111" s="67">
        <f>IFERROR(VLOOKUP($B111,'Allocation 2021-22'!$B:$O,14,FALSE),0)</f>
        <v>0</v>
      </c>
      <c r="Y111" s="163">
        <f t="shared" si="30"/>
        <v>0</v>
      </c>
      <c r="Z111" s="166">
        <f t="shared" si="31"/>
        <v>0</v>
      </c>
      <c r="AA111" s="34" t="str">
        <f t="shared" si="17"/>
        <v>N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594</v>
      </c>
      <c r="B112" s="784" t="s">
        <v>134</v>
      </c>
      <c r="C112" s="784" t="s">
        <v>748</v>
      </c>
      <c r="D112" s="134">
        <f>VLOOKUP(B112,'Enrollment 22-23'!$B:$I,8,FALSE)</f>
        <v>96.66</v>
      </c>
      <c r="E112" s="67">
        <f t="shared" si="18"/>
        <v>13365</v>
      </c>
      <c r="F112" s="146">
        <v>0</v>
      </c>
      <c r="G112" s="146">
        <v>0</v>
      </c>
      <c r="H112" s="91">
        <f t="shared" si="19"/>
        <v>13365</v>
      </c>
      <c r="I112" s="67">
        <f t="shared" si="20"/>
        <v>0</v>
      </c>
      <c r="J112" s="739">
        <f t="shared" si="21"/>
        <v>13365</v>
      </c>
      <c r="K112" s="837" t="str">
        <f>_xlfn.IFNA(VLOOKUP(B112,'[2]22-23 Survey Results'!$A:$F,6,FALSE),0)</f>
        <v>Y</v>
      </c>
      <c r="L112" s="740">
        <f t="shared" si="22"/>
        <v>0</v>
      </c>
      <c r="M112" s="741">
        <f t="shared" si="23"/>
        <v>96.66</v>
      </c>
      <c r="N112" s="67">
        <f t="shared" si="24"/>
        <v>130</v>
      </c>
      <c r="O112" s="67">
        <f t="shared" si="25"/>
        <v>13495</v>
      </c>
      <c r="Q112" s="674">
        <f t="shared" si="26"/>
        <v>0</v>
      </c>
      <c r="R112" s="674" t="str">
        <f t="shared" si="27"/>
        <v>Not Applicable</v>
      </c>
      <c r="S112" s="798" t="str">
        <f>IF($R$7=0,"",IFERROR(VLOOKUP(B112,[3]Sheet1!$C$1:$P$65536,14,FALSE),"NA"))</f>
        <v/>
      </c>
      <c r="T112" s="798">
        <f>IF(O112=0,0,IF(S112="N",0,VLOOKUP(B112,Enrollment!B:J,9,FALSE)))</f>
        <v>0</v>
      </c>
      <c r="U112" s="88">
        <f t="shared" si="28"/>
        <v>13495</v>
      </c>
      <c r="V112" s="71">
        <f t="shared" si="29"/>
        <v>139.61307676391476</v>
      </c>
      <c r="W112" s="449">
        <v>12379</v>
      </c>
      <c r="X112" s="67">
        <f>IFERROR(VLOOKUP($B112,'Allocation 2021-22'!$B:$O,14,FALSE),0)</f>
        <v>12333</v>
      </c>
      <c r="Y112" s="163">
        <f t="shared" si="30"/>
        <v>1162</v>
      </c>
      <c r="Z112" s="166">
        <f t="shared" si="31"/>
        <v>9.4218762669261324E-2</v>
      </c>
      <c r="AA112" s="34" t="str">
        <f t="shared" si="17"/>
        <v>Y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1666</v>
      </c>
      <c r="B113" s="786" t="s">
        <v>1777</v>
      </c>
      <c r="C113" s="784" t="s">
        <v>1782</v>
      </c>
      <c r="D113" s="134">
        <f>VLOOKUP(B113,'Enrollment 22-23'!$B:$I,8,FALSE)</f>
        <v>27</v>
      </c>
      <c r="E113" s="67">
        <f t="shared" si="18"/>
        <v>3733</v>
      </c>
      <c r="F113" s="146">
        <v>0</v>
      </c>
      <c r="G113" s="146">
        <v>0</v>
      </c>
      <c r="H113" s="91">
        <f t="shared" si="19"/>
        <v>3733</v>
      </c>
      <c r="I113" s="67">
        <f t="shared" si="20"/>
        <v>0</v>
      </c>
      <c r="J113" s="739">
        <f t="shared" si="21"/>
        <v>3733</v>
      </c>
      <c r="K113" s="837" t="str">
        <f>_xlfn.IFNA(VLOOKUP(B113,'[2]22-23 Survey Results'!$A:$F,6,FALSE),0)</f>
        <v>C</v>
      </c>
      <c r="L113" s="740">
        <f t="shared" si="22"/>
        <v>0</v>
      </c>
      <c r="M113" s="741">
        <f t="shared" si="23"/>
        <v>27</v>
      </c>
      <c r="N113" s="67">
        <f t="shared" si="24"/>
        <v>36</v>
      </c>
      <c r="O113" s="67">
        <f t="shared" si="25"/>
        <v>3769</v>
      </c>
      <c r="Q113" s="674">
        <f t="shared" si="26"/>
        <v>0</v>
      </c>
      <c r="R113" s="674" t="str">
        <f t="shared" si="27"/>
        <v>Not Applicable</v>
      </c>
      <c r="S113" s="798" t="str">
        <f>IF($R$7=0,"",IFERROR(VLOOKUP(B113,[3]Sheet1!$C$1:$P$65536,14,FALSE),"NA"))</f>
        <v/>
      </c>
      <c r="T113" s="798">
        <f>IF(O113=0,0,IF(S113="N",0,VLOOKUP(B113,Enrollment!B:J,9,FALSE)))</f>
        <v>0</v>
      </c>
      <c r="U113" s="88">
        <f t="shared" si="28"/>
        <v>3769</v>
      </c>
      <c r="V113" s="71">
        <f t="shared" si="29"/>
        <v>139.59259259259258</v>
      </c>
      <c r="W113" s="449">
        <v>21795</v>
      </c>
      <c r="X113" s="67">
        <f>IFERROR(VLOOKUP($B113,'Allocation 2021-22'!$B:$O,14,FALSE),0)</f>
        <v>21713</v>
      </c>
      <c r="Y113" s="163">
        <f t="shared" si="30"/>
        <v>-17944</v>
      </c>
      <c r="Z113" s="166">
        <f t="shared" si="31"/>
        <v>-0.82641735365909819</v>
      </c>
      <c r="AA113" s="34" t="str">
        <f t="shared" si="17"/>
        <v>C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1666</v>
      </c>
      <c r="B114" s="784" t="s">
        <v>1715</v>
      </c>
      <c r="C114" s="784" t="s">
        <v>1783</v>
      </c>
      <c r="D114" s="134">
        <f>VLOOKUP(B114,'Enrollment 22-23'!$B:$I,8,FALSE)</f>
        <v>153.66999999999999</v>
      </c>
      <c r="E114" s="67">
        <f t="shared" si="18"/>
        <v>21247</v>
      </c>
      <c r="F114" s="146">
        <v>0</v>
      </c>
      <c r="G114" s="146">
        <v>0</v>
      </c>
      <c r="H114" s="91">
        <f t="shared" si="19"/>
        <v>21247</v>
      </c>
      <c r="I114" s="67">
        <f t="shared" si="20"/>
        <v>0</v>
      </c>
      <c r="J114" s="739">
        <f t="shared" si="21"/>
        <v>21247</v>
      </c>
      <c r="K114" s="837" t="str">
        <f>_xlfn.IFNA(VLOOKUP(B114,'[2]22-23 Survey Results'!$A:$F,6,FALSE),0)</f>
        <v>C</v>
      </c>
      <c r="L114" s="740">
        <f t="shared" si="22"/>
        <v>0</v>
      </c>
      <c r="M114" s="741">
        <f t="shared" si="23"/>
        <v>153.66999999999999</v>
      </c>
      <c r="N114" s="67">
        <f t="shared" si="24"/>
        <v>207</v>
      </c>
      <c r="O114" s="67">
        <f t="shared" si="25"/>
        <v>21454</v>
      </c>
      <c r="Q114" s="674">
        <f t="shared" si="26"/>
        <v>0</v>
      </c>
      <c r="R114" s="674" t="str">
        <f t="shared" si="27"/>
        <v>Not Applicable</v>
      </c>
      <c r="S114" s="798" t="str">
        <f>IF($R$7=0,"",IFERROR(VLOOKUP(B114,[3]Sheet1!$C$1:$P$65536,14,FALSE),"NA"))</f>
        <v/>
      </c>
      <c r="T114" s="798">
        <f>IF(O114=0,0,IF(S114="N",0,VLOOKUP(B114,Enrollment!B:J,9,FALSE)))</f>
        <v>0</v>
      </c>
      <c r="U114" s="88">
        <f t="shared" si="28"/>
        <v>21454</v>
      </c>
      <c r="V114" s="71">
        <f t="shared" si="29"/>
        <v>139.61085442832044</v>
      </c>
      <c r="W114" s="449">
        <v>0</v>
      </c>
      <c r="X114" s="67">
        <f>IFERROR(VLOOKUP($B114,'Allocation 2021-22'!$B:$O,14,FALSE),0)</f>
        <v>0</v>
      </c>
      <c r="Y114" s="163">
        <f t="shared" si="30"/>
        <v>21454</v>
      </c>
      <c r="Z114" s="166">
        <f t="shared" si="31"/>
        <v>0</v>
      </c>
      <c r="AA114" s="34" t="str">
        <f t="shared" si="17"/>
        <v>C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1666</v>
      </c>
      <c r="B115" s="784" t="s">
        <v>1755</v>
      </c>
      <c r="C115" s="784" t="s">
        <v>1784</v>
      </c>
      <c r="D115" s="134">
        <f>VLOOKUP(B115,'Enrollment 22-23'!$B:$I,8,FALSE)</f>
        <v>47.67</v>
      </c>
      <c r="E115" s="67">
        <f t="shared" si="18"/>
        <v>6591</v>
      </c>
      <c r="F115" s="146">
        <v>0</v>
      </c>
      <c r="G115" s="146">
        <v>0</v>
      </c>
      <c r="H115" s="91">
        <f t="shared" si="19"/>
        <v>6591</v>
      </c>
      <c r="I115" s="67">
        <f t="shared" si="20"/>
        <v>0</v>
      </c>
      <c r="J115" s="739">
        <f t="shared" si="21"/>
        <v>6591</v>
      </c>
      <c r="K115" s="837" t="str">
        <f>_xlfn.IFNA(VLOOKUP(B115,'[2]22-23 Survey Results'!$A:$F,6,FALSE),0)</f>
        <v>C</v>
      </c>
      <c r="L115" s="740">
        <f t="shared" si="22"/>
        <v>0</v>
      </c>
      <c r="M115" s="741">
        <f t="shared" si="23"/>
        <v>47.67</v>
      </c>
      <c r="N115" s="67">
        <f t="shared" si="24"/>
        <v>64</v>
      </c>
      <c r="O115" s="67">
        <f t="shared" si="25"/>
        <v>6655</v>
      </c>
      <c r="Q115" s="674">
        <f t="shared" si="26"/>
        <v>0</v>
      </c>
      <c r="R115" s="674" t="str">
        <f t="shared" si="27"/>
        <v>Not Applicable</v>
      </c>
      <c r="S115" s="798" t="str">
        <f>IF($R$7=0,"",IFERROR(VLOOKUP(B115,[3]Sheet1!$C$1:$P$65536,14,FALSE),"NA"))</f>
        <v/>
      </c>
      <c r="T115" s="798">
        <f>IF(O115=0,0,IF(S115="N",0,VLOOKUP(B115,Enrollment!B:J,9,FALSE)))</f>
        <v>0</v>
      </c>
      <c r="U115" s="88">
        <f t="shared" si="28"/>
        <v>6655</v>
      </c>
      <c r="V115" s="71">
        <f t="shared" si="29"/>
        <v>139.60562198447661</v>
      </c>
      <c r="W115" s="449">
        <v>0</v>
      </c>
      <c r="X115" s="67">
        <f>IFERROR(VLOOKUP($B115,'Allocation 2021-22'!$B:$O,14,FALSE),0)</f>
        <v>7093</v>
      </c>
      <c r="Y115" s="163">
        <f t="shared" si="30"/>
        <v>-438</v>
      </c>
      <c r="Z115" s="166">
        <f t="shared" si="31"/>
        <v>-6.1751022134498804E-2</v>
      </c>
      <c r="AA115" s="34" t="str">
        <f t="shared" si="17"/>
        <v>C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603</v>
      </c>
      <c r="B116" s="784" t="s">
        <v>100</v>
      </c>
      <c r="C116" s="784" t="s">
        <v>1414</v>
      </c>
      <c r="D116" s="134">
        <f>VLOOKUP(B116,'Enrollment 22-23'!$B:$I,8,FALSE)</f>
        <v>0</v>
      </c>
      <c r="E116" s="67">
        <f t="shared" si="18"/>
        <v>0</v>
      </c>
      <c r="F116" s="146">
        <v>0</v>
      </c>
      <c r="G116" s="146">
        <v>0</v>
      </c>
      <c r="H116" s="91">
        <f t="shared" si="19"/>
        <v>0</v>
      </c>
      <c r="I116" s="67">
        <f t="shared" si="20"/>
        <v>0</v>
      </c>
      <c r="J116" s="739">
        <f t="shared" si="21"/>
        <v>0</v>
      </c>
      <c r="K116" s="837">
        <f>_xlfn.IFNA(VLOOKUP(B116,'[2]22-23 Survey Results'!$A:$F,6,FALSE),0)</f>
        <v>0</v>
      </c>
      <c r="L116" s="740">
        <f t="shared" si="22"/>
        <v>0</v>
      </c>
      <c r="M116" s="741">
        <f t="shared" si="23"/>
        <v>0</v>
      </c>
      <c r="N116" s="67">
        <f t="shared" si="24"/>
        <v>0</v>
      </c>
      <c r="O116" s="67">
        <f t="shared" si="25"/>
        <v>0</v>
      </c>
      <c r="Q116" s="674">
        <f t="shared" si="26"/>
        <v>0</v>
      </c>
      <c r="R116" s="674" t="str">
        <f t="shared" si="27"/>
        <v>Not Applicable</v>
      </c>
      <c r="S116" s="798" t="str">
        <f>IF($R$7=0,"",IFERROR(VLOOKUP(B116,[3]Sheet1!$C$1:$P$65536,14,FALSE),"NA"))</f>
        <v/>
      </c>
      <c r="T116" s="798">
        <f>IF(O116=0,0,IF(S116="N",0,VLOOKUP(B116,Enrollment!B:J,9,FALSE)))</f>
        <v>0</v>
      </c>
      <c r="U116" s="88">
        <f t="shared" si="28"/>
        <v>0</v>
      </c>
      <c r="V116" s="71">
        <f t="shared" si="29"/>
        <v>0</v>
      </c>
      <c r="W116" s="449">
        <v>13756</v>
      </c>
      <c r="X116" s="67">
        <f>IFERROR(VLOOKUP($B116,'Allocation 2021-22'!$B:$O,14,FALSE),0)</f>
        <v>13704</v>
      </c>
      <c r="Y116" s="163">
        <f t="shared" si="30"/>
        <v>-13704</v>
      </c>
      <c r="Z116" s="166">
        <f t="shared" si="31"/>
        <v>-1</v>
      </c>
      <c r="AA116" s="34">
        <f t="shared" si="17"/>
        <v>0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595</v>
      </c>
      <c r="B117" s="784" t="s">
        <v>407</v>
      </c>
      <c r="C117" s="784" t="s">
        <v>1554</v>
      </c>
      <c r="D117" s="134">
        <f>VLOOKUP(B117,'Enrollment 22-23'!$B:$I,8,FALSE)</f>
        <v>0</v>
      </c>
      <c r="E117" s="67">
        <f t="shared" si="18"/>
        <v>0</v>
      </c>
      <c r="F117" s="146">
        <v>0</v>
      </c>
      <c r="G117" s="146">
        <v>0</v>
      </c>
      <c r="H117" s="91">
        <f t="shared" si="19"/>
        <v>0</v>
      </c>
      <c r="I117" s="67">
        <f t="shared" si="20"/>
        <v>0</v>
      </c>
      <c r="J117" s="739">
        <f t="shared" si="21"/>
        <v>0</v>
      </c>
      <c r="K117" s="837">
        <f>_xlfn.IFNA(VLOOKUP(B117,'[2]22-23 Survey Results'!$A:$F,6,FALSE),0)</f>
        <v>0</v>
      </c>
      <c r="L117" s="740">
        <f t="shared" si="22"/>
        <v>0</v>
      </c>
      <c r="M117" s="741">
        <f t="shared" si="23"/>
        <v>0</v>
      </c>
      <c r="N117" s="67">
        <f t="shared" si="24"/>
        <v>0</v>
      </c>
      <c r="O117" s="67">
        <f t="shared" si="25"/>
        <v>0</v>
      </c>
      <c r="Q117" s="674">
        <f t="shared" si="26"/>
        <v>0</v>
      </c>
      <c r="R117" s="674" t="str">
        <f t="shared" si="27"/>
        <v>Not Applicable</v>
      </c>
      <c r="S117" s="798" t="str">
        <f>IF($R$7=0,"",IFERROR(VLOOKUP(B117,[3]Sheet1!$C$1:$P$65536,14,FALSE),"NA"))</f>
        <v/>
      </c>
      <c r="T117" s="798">
        <f>IF(O117=0,0,IF(S117="N",0,VLOOKUP(B117,Enrollment!B:J,9,FALSE)))</f>
        <v>0</v>
      </c>
      <c r="U117" s="88">
        <f t="shared" si="28"/>
        <v>0</v>
      </c>
      <c r="V117" s="71">
        <f t="shared" si="29"/>
        <v>0</v>
      </c>
      <c r="W117" s="449">
        <v>0</v>
      </c>
      <c r="X117" s="67">
        <f>IFERROR(VLOOKUP($B117,'Allocation 2021-22'!$B:$O,14,FALSE),0)</f>
        <v>0</v>
      </c>
      <c r="Y117" s="163">
        <f t="shared" si="30"/>
        <v>0</v>
      </c>
      <c r="Z117" s="166">
        <f t="shared" si="31"/>
        <v>0</v>
      </c>
      <c r="AA117" s="34">
        <f t="shared" si="17"/>
        <v>0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201</v>
      </c>
      <c r="C118" s="784" t="s">
        <v>1458</v>
      </c>
      <c r="D118" s="134">
        <f>VLOOKUP(B118,'Enrollment 22-23'!$B:$I,8,FALSE)</f>
        <v>1207.5</v>
      </c>
      <c r="E118" s="67">
        <f t="shared" si="18"/>
        <v>166956</v>
      </c>
      <c r="F118" s="146">
        <v>0</v>
      </c>
      <c r="G118" s="146">
        <v>0</v>
      </c>
      <c r="H118" s="91">
        <f t="shared" si="19"/>
        <v>166956</v>
      </c>
      <c r="I118" s="67">
        <f t="shared" si="20"/>
        <v>0</v>
      </c>
      <c r="J118" s="739">
        <f t="shared" si="21"/>
        <v>166956</v>
      </c>
      <c r="K118" s="837" t="str">
        <f>_xlfn.IFNA(VLOOKUP(B118,'[2]22-23 Survey Results'!$A:$F,6,FALSE),0)</f>
        <v>Y</v>
      </c>
      <c r="L118" s="740">
        <f t="shared" si="22"/>
        <v>0</v>
      </c>
      <c r="M118" s="741">
        <f t="shared" si="23"/>
        <v>1207.5</v>
      </c>
      <c r="N118" s="67">
        <f t="shared" si="24"/>
        <v>1630</v>
      </c>
      <c r="O118" s="67">
        <f t="shared" si="25"/>
        <v>168586</v>
      </c>
      <c r="Q118" s="674">
        <f t="shared" si="26"/>
        <v>0</v>
      </c>
      <c r="R118" s="674" t="str">
        <f t="shared" si="27"/>
        <v>Not Applicable</v>
      </c>
      <c r="S118" s="798" t="str">
        <f>IF($R$7=0,"",IFERROR(VLOOKUP(B118,[3]Sheet1!$C$1:$P$65536,14,FALSE),"NA"))</f>
        <v/>
      </c>
      <c r="T118" s="798">
        <f>IF(O118=0,0,IF(S118="N",0,VLOOKUP(B118,Enrollment!B:J,9,FALSE)))</f>
        <v>0</v>
      </c>
      <c r="U118" s="88">
        <f t="shared" si="28"/>
        <v>168586</v>
      </c>
      <c r="V118" s="71">
        <f t="shared" si="29"/>
        <v>139.61573498964805</v>
      </c>
      <c r="W118" s="449">
        <v>198243</v>
      </c>
      <c r="X118" s="67">
        <f>IFERROR(VLOOKUP($B118,'Allocation 2021-22'!$B:$O,14,FALSE),0)</f>
        <v>197497</v>
      </c>
      <c r="Y118" s="163">
        <f t="shared" si="30"/>
        <v>-28911</v>
      </c>
      <c r="Z118" s="166">
        <f t="shared" si="31"/>
        <v>-0.14638703372709458</v>
      </c>
      <c r="AA118" s="34" t="str">
        <f t="shared" si="17"/>
        <v>Y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596</v>
      </c>
      <c r="B119" s="784" t="s">
        <v>110</v>
      </c>
      <c r="C119" s="784" t="s">
        <v>1419</v>
      </c>
      <c r="D119" s="134">
        <f>VLOOKUP(B119,'Enrollment 22-23'!$B:$I,8,FALSE)</f>
        <v>0</v>
      </c>
      <c r="E119" s="67">
        <f t="shared" si="18"/>
        <v>0</v>
      </c>
      <c r="F119" s="146">
        <v>0</v>
      </c>
      <c r="G119" s="146">
        <v>0</v>
      </c>
      <c r="H119" s="91">
        <f t="shared" si="19"/>
        <v>0</v>
      </c>
      <c r="I119" s="67">
        <f t="shared" si="20"/>
        <v>0</v>
      </c>
      <c r="J119" s="739">
        <f t="shared" si="21"/>
        <v>0</v>
      </c>
      <c r="K119" s="837">
        <f>_xlfn.IFNA(VLOOKUP(B119,'[2]22-23 Survey Results'!$A:$F,6,FALSE),0)</f>
        <v>0</v>
      </c>
      <c r="L119" s="740">
        <f t="shared" si="22"/>
        <v>0</v>
      </c>
      <c r="M119" s="741">
        <f t="shared" si="23"/>
        <v>0</v>
      </c>
      <c r="N119" s="67">
        <f t="shared" si="24"/>
        <v>0</v>
      </c>
      <c r="O119" s="67">
        <f t="shared" si="25"/>
        <v>0</v>
      </c>
      <c r="Q119" s="674">
        <f t="shared" si="26"/>
        <v>0</v>
      </c>
      <c r="R119" s="674" t="str">
        <f t="shared" si="27"/>
        <v>Not Applicable</v>
      </c>
      <c r="S119" s="798" t="str">
        <f>IF($R$7=0,"",IFERROR(VLOOKUP(B119,[3]Sheet1!$C$1:$P$65536,14,FALSE),"NA"))</f>
        <v/>
      </c>
      <c r="T119" s="798">
        <f>IF(O119=0,0,IF(S119="N",0,VLOOKUP(B119,Enrollment!B:J,9,FALSE)))</f>
        <v>0</v>
      </c>
      <c r="U119" s="88">
        <f t="shared" si="28"/>
        <v>0</v>
      </c>
      <c r="V119" s="71">
        <f t="shared" si="29"/>
        <v>0</v>
      </c>
      <c r="W119" s="449">
        <v>0</v>
      </c>
      <c r="X119" s="67">
        <f>IFERROR(VLOOKUP($B119,'Allocation 2021-22'!$B:$O,14,FALSE),0)</f>
        <v>0</v>
      </c>
      <c r="Y119" s="163">
        <f t="shared" si="30"/>
        <v>0</v>
      </c>
      <c r="Z119" s="166">
        <f t="shared" si="31"/>
        <v>0</v>
      </c>
      <c r="AA119" s="34">
        <f t="shared" si="17"/>
        <v>0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599</v>
      </c>
      <c r="B120" s="784" t="s">
        <v>76</v>
      </c>
      <c r="C120" s="784" t="s">
        <v>1402</v>
      </c>
      <c r="D120" s="134">
        <f>VLOOKUP(B120,'Enrollment 22-23'!$B:$I,8,FALSE)</f>
        <v>30.159999999999997</v>
      </c>
      <c r="E120" s="67">
        <f t="shared" si="18"/>
        <v>4170</v>
      </c>
      <c r="F120" s="146">
        <v>0</v>
      </c>
      <c r="G120" s="146">
        <v>0</v>
      </c>
      <c r="H120" s="91">
        <f t="shared" si="19"/>
        <v>4170</v>
      </c>
      <c r="I120" s="67">
        <f t="shared" si="20"/>
        <v>0</v>
      </c>
      <c r="J120" s="739">
        <f t="shared" si="21"/>
        <v>4170</v>
      </c>
      <c r="K120" s="837" t="str">
        <f>_xlfn.IFNA(VLOOKUP(B120,'[2]22-23 Survey Results'!$A:$F,6,FALSE),0)</f>
        <v>N</v>
      </c>
      <c r="L120" s="740">
        <f t="shared" si="22"/>
        <v>4170</v>
      </c>
      <c r="M120" s="741">
        <f t="shared" si="23"/>
        <v>0</v>
      </c>
      <c r="N120" s="67">
        <f t="shared" si="24"/>
        <v>0</v>
      </c>
      <c r="O120" s="67">
        <f t="shared" si="25"/>
        <v>0</v>
      </c>
      <c r="Q120" s="674">
        <f t="shared" si="26"/>
        <v>0</v>
      </c>
      <c r="R120" s="674" t="str">
        <f t="shared" si="27"/>
        <v>Not Applicable</v>
      </c>
      <c r="S120" s="798" t="str">
        <f>IF($R$7=0,"",IFERROR(VLOOKUP(B120,[3]Sheet1!$C$1:$P$65536,14,FALSE),"NA"))</f>
        <v/>
      </c>
      <c r="T120" s="798">
        <f>IF(O120=0,0,IF(S120="N",0,VLOOKUP(B120,Enrollment!B:J,9,FALSE)))</f>
        <v>0</v>
      </c>
      <c r="U120" s="88">
        <f t="shared" si="28"/>
        <v>0</v>
      </c>
      <c r="V120" s="71">
        <f t="shared" si="29"/>
        <v>0</v>
      </c>
      <c r="W120" s="449">
        <v>0</v>
      </c>
      <c r="X120" s="67">
        <f>IFERROR(VLOOKUP($B120,'Allocation 2021-22'!$B:$O,14,FALSE),0)</f>
        <v>0</v>
      </c>
      <c r="Y120" s="163">
        <f t="shared" si="30"/>
        <v>0</v>
      </c>
      <c r="Z120" s="166">
        <f t="shared" si="31"/>
        <v>0</v>
      </c>
      <c r="AA120" s="34" t="str">
        <f t="shared" si="17"/>
        <v>N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603</v>
      </c>
      <c r="B121" s="784" t="s">
        <v>94</v>
      </c>
      <c r="C121" s="784" t="s">
        <v>1411</v>
      </c>
      <c r="D121" s="134">
        <f>VLOOKUP(B121,'Enrollment 22-23'!$B:$I,8,FALSE)</f>
        <v>0</v>
      </c>
      <c r="E121" s="67">
        <f t="shared" si="18"/>
        <v>0</v>
      </c>
      <c r="F121" s="146">
        <v>0</v>
      </c>
      <c r="G121" s="146">
        <v>0</v>
      </c>
      <c r="H121" s="91">
        <f t="shared" si="19"/>
        <v>0</v>
      </c>
      <c r="I121" s="67">
        <f t="shared" si="20"/>
        <v>0</v>
      </c>
      <c r="J121" s="739">
        <f t="shared" si="21"/>
        <v>0</v>
      </c>
      <c r="K121" s="837">
        <f>_xlfn.IFNA(VLOOKUP(B121,'[2]22-23 Survey Results'!$A:$F,6,FALSE),0)</f>
        <v>0</v>
      </c>
      <c r="L121" s="740">
        <f t="shared" si="22"/>
        <v>0</v>
      </c>
      <c r="M121" s="741">
        <f t="shared" si="23"/>
        <v>0</v>
      </c>
      <c r="N121" s="67">
        <f t="shared" si="24"/>
        <v>0</v>
      </c>
      <c r="O121" s="67">
        <f t="shared" si="25"/>
        <v>0</v>
      </c>
      <c r="Q121" s="674">
        <f t="shared" si="26"/>
        <v>0</v>
      </c>
      <c r="R121" s="674" t="str">
        <f t="shared" si="27"/>
        <v>Not Applicable</v>
      </c>
      <c r="S121" s="798" t="str">
        <f>IF($R$7=0,"",IFERROR(VLOOKUP(B121,[3]Sheet1!$C$1:$P$65536,14,FALSE),"NA"))</f>
        <v/>
      </c>
      <c r="T121" s="798">
        <f>IF(O121=0,0,IF(S121="N",0,VLOOKUP(B121,Enrollment!B:J,9,FALSE)))</f>
        <v>0</v>
      </c>
      <c r="U121" s="88">
        <f t="shared" si="28"/>
        <v>0</v>
      </c>
      <c r="V121" s="71">
        <f t="shared" si="29"/>
        <v>0</v>
      </c>
      <c r="W121" s="449">
        <v>0</v>
      </c>
      <c r="X121" s="67">
        <f>IFERROR(VLOOKUP($B121,'Allocation 2021-22'!$B:$O,14,FALSE),0)</f>
        <v>0</v>
      </c>
      <c r="Y121" s="163">
        <f t="shared" si="30"/>
        <v>0</v>
      </c>
      <c r="Z121" s="166">
        <f t="shared" si="31"/>
        <v>0</v>
      </c>
      <c r="AA121" s="34">
        <f t="shared" si="17"/>
        <v>0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599</v>
      </c>
      <c r="B122" s="784" t="s">
        <v>80</v>
      </c>
      <c r="C122" s="784" t="s">
        <v>1404</v>
      </c>
      <c r="D122" s="134">
        <f>VLOOKUP(B122,'Enrollment 22-23'!$B:$I,8,FALSE)</f>
        <v>328.33</v>
      </c>
      <c r="E122" s="67">
        <f t="shared" si="18"/>
        <v>45397</v>
      </c>
      <c r="F122" s="146">
        <v>0</v>
      </c>
      <c r="G122" s="146">
        <v>0</v>
      </c>
      <c r="H122" s="91">
        <f t="shared" si="19"/>
        <v>45397</v>
      </c>
      <c r="I122" s="67">
        <f t="shared" si="20"/>
        <v>0</v>
      </c>
      <c r="J122" s="739">
        <f t="shared" si="21"/>
        <v>45397</v>
      </c>
      <c r="K122" s="837" t="str">
        <f>_xlfn.IFNA(VLOOKUP(B122,'[2]22-23 Survey Results'!$A:$F,6,FALSE),0)</f>
        <v>Y</v>
      </c>
      <c r="L122" s="740">
        <f t="shared" si="22"/>
        <v>0</v>
      </c>
      <c r="M122" s="741">
        <f t="shared" si="23"/>
        <v>328.33</v>
      </c>
      <c r="N122" s="67">
        <f t="shared" si="24"/>
        <v>443</v>
      </c>
      <c r="O122" s="67">
        <f t="shared" si="25"/>
        <v>45840</v>
      </c>
      <c r="Q122" s="674">
        <f t="shared" si="26"/>
        <v>0</v>
      </c>
      <c r="R122" s="674" t="str">
        <f t="shared" si="27"/>
        <v>Not Applicable</v>
      </c>
      <c r="S122" s="798" t="str">
        <f>IF($R$7=0,"",IFERROR(VLOOKUP(B122,[3]Sheet1!$C$1:$P$65536,14,FALSE),"NA"))</f>
        <v/>
      </c>
      <c r="T122" s="798">
        <f>IF(O122=0,0,IF(S122="N",0,VLOOKUP(B122,Enrollment!B:J,9,FALSE)))</f>
        <v>0</v>
      </c>
      <c r="U122" s="88">
        <f t="shared" si="28"/>
        <v>45840</v>
      </c>
      <c r="V122" s="71">
        <f t="shared" si="29"/>
        <v>139.61563061553926</v>
      </c>
      <c r="W122" s="449">
        <v>41959</v>
      </c>
      <c r="X122" s="67">
        <f>IFERROR(VLOOKUP($B122,'Allocation 2021-22'!$B:$O,14,FALSE),0)</f>
        <v>41801</v>
      </c>
      <c r="Y122" s="163">
        <f t="shared" si="30"/>
        <v>4039</v>
      </c>
      <c r="Z122" s="166">
        <f t="shared" si="31"/>
        <v>9.6624482667878764E-2</v>
      </c>
      <c r="AA122" s="34" t="str">
        <f t="shared" si="17"/>
        <v>Y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596</v>
      </c>
      <c r="B123" s="784" t="s">
        <v>14</v>
      </c>
      <c r="C123" s="784" t="s">
        <v>636</v>
      </c>
      <c r="D123" s="134">
        <f>VLOOKUP(B123,'Enrollment 22-23'!$B:$I,8,FALSE)</f>
        <v>2662.66</v>
      </c>
      <c r="E123" s="67">
        <f t="shared" si="18"/>
        <v>368155</v>
      </c>
      <c r="F123" s="146">
        <v>0</v>
      </c>
      <c r="G123" s="146">
        <v>0</v>
      </c>
      <c r="H123" s="91">
        <f t="shared" si="19"/>
        <v>368155</v>
      </c>
      <c r="I123" s="67">
        <f t="shared" si="20"/>
        <v>0</v>
      </c>
      <c r="J123" s="739">
        <f t="shared" si="21"/>
        <v>368155</v>
      </c>
      <c r="K123" s="837" t="str">
        <f>_xlfn.IFNA(VLOOKUP(B123,'[2]22-23 Survey Results'!$A:$F,6,FALSE),0)</f>
        <v>Y</v>
      </c>
      <c r="L123" s="740">
        <f t="shared" si="22"/>
        <v>0</v>
      </c>
      <c r="M123" s="741">
        <f t="shared" si="23"/>
        <v>2662.66</v>
      </c>
      <c r="N123" s="67">
        <f t="shared" si="24"/>
        <v>3594</v>
      </c>
      <c r="O123" s="67">
        <f t="shared" si="25"/>
        <v>371749</v>
      </c>
      <c r="Q123" s="674">
        <f t="shared" si="26"/>
        <v>0</v>
      </c>
      <c r="R123" s="674" t="str">
        <f t="shared" si="27"/>
        <v>Not Applicable</v>
      </c>
      <c r="S123" s="798" t="str">
        <f>IF($R$7=0,"",IFERROR(VLOOKUP(B123,[3]Sheet1!$C$1:$P$65536,14,FALSE),"NA"))</f>
        <v/>
      </c>
      <c r="T123" s="798">
        <f>IF(O123=0,0,IF(S123="N",0,VLOOKUP(B123,Enrollment!B:J,9,FALSE)))</f>
        <v>0</v>
      </c>
      <c r="U123" s="88">
        <f t="shared" si="28"/>
        <v>371749</v>
      </c>
      <c r="V123" s="71">
        <f t="shared" si="29"/>
        <v>139.61564751038435</v>
      </c>
      <c r="W123" s="449">
        <v>367020</v>
      </c>
      <c r="X123" s="67">
        <f>IFERROR(VLOOKUP($B123,'Allocation 2021-22'!$B:$O,14,FALSE),0)</f>
        <v>367697</v>
      </c>
      <c r="Y123" s="163">
        <f t="shared" si="30"/>
        <v>4052</v>
      </c>
      <c r="Z123" s="166">
        <f t="shared" si="31"/>
        <v>1.1019943050935961E-2</v>
      </c>
      <c r="AA123" s="34" t="str">
        <f t="shared" si="17"/>
        <v>Y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597</v>
      </c>
      <c r="B124" s="784" t="s">
        <v>207</v>
      </c>
      <c r="C124" s="784" t="s">
        <v>1460</v>
      </c>
      <c r="D124" s="134">
        <f>VLOOKUP(B124,'Enrollment 22-23'!$B:$I,8,FALSE)</f>
        <v>5912</v>
      </c>
      <c r="E124" s="67">
        <f t="shared" si="18"/>
        <v>817428</v>
      </c>
      <c r="F124" s="146">
        <v>0</v>
      </c>
      <c r="G124" s="146">
        <v>0</v>
      </c>
      <c r="H124" s="91">
        <f t="shared" si="19"/>
        <v>817428</v>
      </c>
      <c r="I124" s="67">
        <f t="shared" si="20"/>
        <v>0</v>
      </c>
      <c r="J124" s="739">
        <f t="shared" si="21"/>
        <v>817428</v>
      </c>
      <c r="K124" s="837" t="str">
        <f>_xlfn.IFNA(VLOOKUP(B124,'[2]22-23 Survey Results'!$A:$F,6,FALSE),0)</f>
        <v>Y</v>
      </c>
      <c r="L124" s="740">
        <f t="shared" si="22"/>
        <v>0</v>
      </c>
      <c r="M124" s="741">
        <f t="shared" si="23"/>
        <v>5912</v>
      </c>
      <c r="N124" s="67">
        <f t="shared" si="24"/>
        <v>7980</v>
      </c>
      <c r="O124" s="67">
        <f t="shared" si="25"/>
        <v>825408</v>
      </c>
      <c r="Q124" s="674">
        <f t="shared" si="26"/>
        <v>0</v>
      </c>
      <c r="R124" s="674" t="str">
        <f t="shared" si="27"/>
        <v>Not Applicable</v>
      </c>
      <c r="S124" s="798" t="str">
        <f>IF($R$7=0,"",IFERROR(VLOOKUP(B124,[3]Sheet1!$C$1:$P$65536,14,FALSE),"NA"))</f>
        <v/>
      </c>
      <c r="T124" s="798">
        <f>IF(O124=0,0,IF(S124="N",0,VLOOKUP(B124,Enrollment!B:J,9,FALSE)))</f>
        <v>0</v>
      </c>
      <c r="U124" s="88">
        <f t="shared" si="28"/>
        <v>825408</v>
      </c>
      <c r="V124" s="71">
        <f t="shared" si="29"/>
        <v>139.61569688768606</v>
      </c>
      <c r="W124" s="449">
        <v>787274</v>
      </c>
      <c r="X124" s="67">
        <f>IFERROR(VLOOKUP($B124,'Allocation 2021-22'!$B:$O,14,FALSE),0)</f>
        <v>784310</v>
      </c>
      <c r="Y124" s="163">
        <f t="shared" si="30"/>
        <v>41098</v>
      </c>
      <c r="Z124" s="166">
        <f t="shared" si="31"/>
        <v>5.2400198900944779E-2</v>
      </c>
      <c r="AA124" s="34" t="str">
        <f t="shared" si="17"/>
        <v>Y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603</v>
      </c>
      <c r="B125" s="784" t="s">
        <v>470</v>
      </c>
      <c r="C125" s="784" t="s">
        <v>1587</v>
      </c>
      <c r="D125" s="134">
        <f>VLOOKUP(B125,'Enrollment 22-23'!$B:$I,8,FALSE)</f>
        <v>3.83</v>
      </c>
      <c r="E125" s="67">
        <f t="shared" si="18"/>
        <v>530</v>
      </c>
      <c r="F125" s="146">
        <v>0</v>
      </c>
      <c r="G125" s="146">
        <v>0</v>
      </c>
      <c r="H125" s="91">
        <f t="shared" si="19"/>
        <v>530</v>
      </c>
      <c r="I125" s="67">
        <f t="shared" si="20"/>
        <v>0</v>
      </c>
      <c r="J125" s="739">
        <f t="shared" si="21"/>
        <v>530</v>
      </c>
      <c r="K125" s="837" t="str">
        <f>_xlfn.IFNA(VLOOKUP(B125,'[2]22-23 Survey Results'!$A:$F,6,FALSE),0)</f>
        <v>N</v>
      </c>
      <c r="L125" s="740">
        <f t="shared" si="22"/>
        <v>530</v>
      </c>
      <c r="M125" s="741">
        <f t="shared" si="23"/>
        <v>0</v>
      </c>
      <c r="N125" s="67">
        <f t="shared" si="24"/>
        <v>0</v>
      </c>
      <c r="O125" s="67">
        <f t="shared" si="25"/>
        <v>0</v>
      </c>
      <c r="Q125" s="674">
        <f t="shared" si="26"/>
        <v>0</v>
      </c>
      <c r="R125" s="674" t="str">
        <f t="shared" si="27"/>
        <v>Not Applicable</v>
      </c>
      <c r="S125" s="798" t="str">
        <f>IF($R$7=0,"",IFERROR(VLOOKUP(B125,[3]Sheet1!$C$1:$P$65536,14,FALSE),"NA"))</f>
        <v/>
      </c>
      <c r="T125" s="798">
        <f>IF(O125=0,0,IF(S125="N",0,VLOOKUP(B125,Enrollment!B:J,9,FALSE)))</f>
        <v>0</v>
      </c>
      <c r="U125" s="88">
        <f t="shared" si="28"/>
        <v>0</v>
      </c>
      <c r="V125" s="71">
        <f t="shared" si="29"/>
        <v>0</v>
      </c>
      <c r="W125" s="449">
        <v>0</v>
      </c>
      <c r="X125" s="67">
        <f>IFERROR(VLOOKUP($B125,'Allocation 2021-22'!$B:$O,14,FALSE),0)</f>
        <v>0</v>
      </c>
      <c r="Y125" s="163">
        <f t="shared" si="30"/>
        <v>0</v>
      </c>
      <c r="Z125" s="166">
        <f t="shared" si="31"/>
        <v>0</v>
      </c>
      <c r="AA125" s="34" t="str">
        <f t="shared" si="17"/>
        <v>N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596</v>
      </c>
      <c r="B126" s="784" t="s">
        <v>18</v>
      </c>
      <c r="C126" s="784" t="s">
        <v>1376</v>
      </c>
      <c r="D126" s="134">
        <f>VLOOKUP(B126,'Enrollment 22-23'!$B:$I,8,FALSE)</f>
        <v>346.33</v>
      </c>
      <c r="E126" s="67">
        <f t="shared" si="18"/>
        <v>47886</v>
      </c>
      <c r="F126" s="146">
        <v>0</v>
      </c>
      <c r="G126" s="146">
        <v>0</v>
      </c>
      <c r="H126" s="91">
        <f t="shared" si="19"/>
        <v>47886</v>
      </c>
      <c r="I126" s="67">
        <f t="shared" si="20"/>
        <v>0</v>
      </c>
      <c r="J126" s="739">
        <f t="shared" si="21"/>
        <v>47886</v>
      </c>
      <c r="K126" s="837" t="str">
        <f>_xlfn.IFNA(VLOOKUP(B126,'[2]22-23 Survey Results'!$A:$F,6,FALSE),0)</f>
        <v>Y</v>
      </c>
      <c r="L126" s="740">
        <f t="shared" si="22"/>
        <v>0</v>
      </c>
      <c r="M126" s="741">
        <f t="shared" si="23"/>
        <v>346.33</v>
      </c>
      <c r="N126" s="67">
        <f t="shared" si="24"/>
        <v>467</v>
      </c>
      <c r="O126" s="67">
        <f t="shared" si="25"/>
        <v>48353</v>
      </c>
      <c r="Q126" s="674">
        <f t="shared" si="26"/>
        <v>0</v>
      </c>
      <c r="R126" s="674" t="str">
        <f t="shared" si="27"/>
        <v>Not Applicable</v>
      </c>
      <c r="S126" s="798" t="str">
        <f>IF($R$7=0,"",IFERROR(VLOOKUP(B126,[3]Sheet1!$C$1:$P$65536,14,FALSE),"NA"))</f>
        <v/>
      </c>
      <c r="T126" s="798">
        <f>IF(O126=0,0,IF(S126="N",0,VLOOKUP(B126,Enrollment!B:J,9,FALSE)))</f>
        <v>0</v>
      </c>
      <c r="U126" s="88">
        <f t="shared" si="28"/>
        <v>48353</v>
      </c>
      <c r="V126" s="71">
        <f t="shared" si="29"/>
        <v>139.61539572084428</v>
      </c>
      <c r="W126" s="449">
        <v>45107</v>
      </c>
      <c r="X126" s="67">
        <f>IFERROR(VLOOKUP($B126,'Allocation 2021-22'!$B:$O,14,FALSE),0)</f>
        <v>44937</v>
      </c>
      <c r="Y126" s="163">
        <f t="shared" si="30"/>
        <v>3416</v>
      </c>
      <c r="Z126" s="166">
        <f t="shared" si="31"/>
        <v>7.6017535661036556E-2</v>
      </c>
      <c r="AA126" s="34" t="str">
        <f t="shared" si="17"/>
        <v>Y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228</v>
      </c>
      <c r="C127" s="784" t="s">
        <v>1470</v>
      </c>
      <c r="D127" s="134">
        <f>VLOOKUP(B127,'Enrollment 22-23'!$B:$I,8,FALSE)</f>
        <v>32.17</v>
      </c>
      <c r="E127" s="67">
        <f t="shared" si="18"/>
        <v>4448</v>
      </c>
      <c r="F127" s="146">
        <v>0</v>
      </c>
      <c r="G127" s="146">
        <v>0</v>
      </c>
      <c r="H127" s="91">
        <f t="shared" si="19"/>
        <v>4448</v>
      </c>
      <c r="I127" s="67">
        <f t="shared" si="20"/>
        <v>0</v>
      </c>
      <c r="J127" s="739">
        <f t="shared" si="21"/>
        <v>4448</v>
      </c>
      <c r="K127" s="837" t="str">
        <f>_xlfn.IFNA(VLOOKUP(B127,'[2]22-23 Survey Results'!$A:$F,6,FALSE),0)</f>
        <v>N</v>
      </c>
      <c r="L127" s="740">
        <f t="shared" si="22"/>
        <v>4448</v>
      </c>
      <c r="M127" s="741">
        <f t="shared" si="23"/>
        <v>0</v>
      </c>
      <c r="N127" s="67">
        <f t="shared" si="24"/>
        <v>0</v>
      </c>
      <c r="O127" s="67">
        <f t="shared" si="25"/>
        <v>0</v>
      </c>
      <c r="Q127" s="674">
        <f t="shared" si="26"/>
        <v>0</v>
      </c>
      <c r="R127" s="674" t="str">
        <f t="shared" si="27"/>
        <v>Not Applicable</v>
      </c>
      <c r="S127" s="798" t="str">
        <f>IF($R$7=0,"",IFERROR(VLOOKUP(B127,[3]Sheet1!$C$1:$P$65536,14,FALSE),"NA"))</f>
        <v/>
      </c>
      <c r="T127" s="798">
        <f>IF(O127=0,0,IF(S127="N",0,VLOOKUP(B127,Enrollment!B:J,9,FALSE)))</f>
        <v>0</v>
      </c>
      <c r="U127" s="88">
        <f t="shared" si="28"/>
        <v>0</v>
      </c>
      <c r="V127" s="71">
        <f t="shared" si="29"/>
        <v>0</v>
      </c>
      <c r="W127" s="449">
        <v>0</v>
      </c>
      <c r="X127" s="67">
        <f>IFERROR(VLOOKUP($B127,'Allocation 2021-22'!$B:$O,14,FALSE),0)</f>
        <v>6040</v>
      </c>
      <c r="Y127" s="163">
        <f t="shared" si="30"/>
        <v>-6040</v>
      </c>
      <c r="Z127" s="166">
        <f t="shared" si="31"/>
        <v>-1</v>
      </c>
      <c r="AA127" s="34" t="str">
        <f t="shared" si="17"/>
        <v>N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599</v>
      </c>
      <c r="B128" s="784" t="s">
        <v>242</v>
      </c>
      <c r="C128" s="784" t="s">
        <v>1477</v>
      </c>
      <c r="D128" s="134">
        <f>VLOOKUP(B128,'Enrollment 22-23'!$B:$I,8,FALSE)</f>
        <v>0</v>
      </c>
      <c r="E128" s="67">
        <f t="shared" si="18"/>
        <v>0</v>
      </c>
      <c r="F128" s="146">
        <v>0</v>
      </c>
      <c r="G128" s="146">
        <v>0</v>
      </c>
      <c r="H128" s="91">
        <f t="shared" si="19"/>
        <v>0</v>
      </c>
      <c r="I128" s="67">
        <f t="shared" si="20"/>
        <v>0</v>
      </c>
      <c r="J128" s="739">
        <f t="shared" si="21"/>
        <v>0</v>
      </c>
      <c r="K128" s="837">
        <f>_xlfn.IFNA(VLOOKUP(B128,'[2]22-23 Survey Results'!$A:$F,6,FALSE),0)</f>
        <v>0</v>
      </c>
      <c r="L128" s="740">
        <f t="shared" si="22"/>
        <v>0</v>
      </c>
      <c r="M128" s="741">
        <f t="shared" si="23"/>
        <v>0</v>
      </c>
      <c r="N128" s="67">
        <f t="shared" si="24"/>
        <v>0</v>
      </c>
      <c r="O128" s="67">
        <f t="shared" si="25"/>
        <v>0</v>
      </c>
      <c r="Q128" s="674">
        <f t="shared" si="26"/>
        <v>0</v>
      </c>
      <c r="R128" s="674" t="str">
        <f t="shared" si="27"/>
        <v>Not Applicable</v>
      </c>
      <c r="S128" s="798" t="str">
        <f>IF($R$7=0,"",IFERROR(VLOOKUP(B128,[3]Sheet1!$C$1:$P$65536,14,FALSE),"NA"))</f>
        <v/>
      </c>
      <c r="T128" s="798">
        <f>IF(O128=0,0,IF(S128="N",0,VLOOKUP(B128,Enrollment!B:J,9,FALSE)))</f>
        <v>0</v>
      </c>
      <c r="U128" s="88">
        <f t="shared" si="28"/>
        <v>0</v>
      </c>
      <c r="V128" s="71">
        <f t="shared" si="29"/>
        <v>0</v>
      </c>
      <c r="W128" s="449">
        <v>0</v>
      </c>
      <c r="X128" s="67">
        <f>IFERROR(VLOOKUP($B128,'Allocation 2021-22'!$B:$O,14,FALSE),0)</f>
        <v>0</v>
      </c>
      <c r="Y128" s="163">
        <f t="shared" si="30"/>
        <v>0</v>
      </c>
      <c r="Z128" s="166">
        <f t="shared" si="31"/>
        <v>0</v>
      </c>
      <c r="AA128" s="34">
        <f t="shared" si="17"/>
        <v>0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595</v>
      </c>
      <c r="B129" s="784" t="s">
        <v>382</v>
      </c>
      <c r="C129" s="784" t="s">
        <v>1542</v>
      </c>
      <c r="D129" s="134">
        <f>VLOOKUP(B129,'Enrollment 22-23'!$B:$I,8,FALSE)</f>
        <v>160.49</v>
      </c>
      <c r="E129" s="67">
        <f t="shared" si="18"/>
        <v>22190</v>
      </c>
      <c r="F129" s="146">
        <v>0</v>
      </c>
      <c r="G129" s="146">
        <v>0</v>
      </c>
      <c r="H129" s="91">
        <f t="shared" si="19"/>
        <v>22190</v>
      </c>
      <c r="I129" s="67">
        <f t="shared" si="20"/>
        <v>0</v>
      </c>
      <c r="J129" s="739">
        <f t="shared" si="21"/>
        <v>22190</v>
      </c>
      <c r="K129" s="837" t="str">
        <f>_xlfn.IFNA(VLOOKUP(B129,'[2]22-23 Survey Results'!$A:$F,6,FALSE),0)</f>
        <v>Y</v>
      </c>
      <c r="L129" s="740">
        <f t="shared" si="22"/>
        <v>0</v>
      </c>
      <c r="M129" s="741">
        <f t="shared" si="23"/>
        <v>160.49</v>
      </c>
      <c r="N129" s="67">
        <f t="shared" si="24"/>
        <v>217</v>
      </c>
      <c r="O129" s="67">
        <f t="shared" si="25"/>
        <v>22407</v>
      </c>
      <c r="Q129" s="674">
        <f t="shared" si="26"/>
        <v>0</v>
      </c>
      <c r="R129" s="674" t="str">
        <f t="shared" si="27"/>
        <v>Not Applicable</v>
      </c>
      <c r="S129" s="798" t="str">
        <f>IF($R$7=0,"",IFERROR(VLOOKUP(B129,[3]Sheet1!$C$1:$P$65536,14,FALSE),"NA"))</f>
        <v/>
      </c>
      <c r="T129" s="798">
        <f>IF(O129=0,0,IF(S129="N",0,VLOOKUP(B129,Enrollment!B:J,9,FALSE)))</f>
        <v>0</v>
      </c>
      <c r="U129" s="88">
        <f t="shared" si="28"/>
        <v>22407</v>
      </c>
      <c r="V129" s="71">
        <f t="shared" si="29"/>
        <v>139.61617546264563</v>
      </c>
      <c r="W129" s="449">
        <v>22002</v>
      </c>
      <c r="X129" s="67">
        <f>IFERROR(VLOOKUP($B129,'Allocation 2021-22'!$B:$O,14,FALSE),0)</f>
        <v>21919</v>
      </c>
      <c r="Y129" s="163">
        <f t="shared" si="30"/>
        <v>488</v>
      </c>
      <c r="Z129" s="166">
        <f t="shared" si="31"/>
        <v>2.2263789406451025E-2</v>
      </c>
      <c r="AA129" s="34" t="str">
        <f t="shared" si="17"/>
        <v>Y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53</v>
      </c>
      <c r="C130" s="784" t="s">
        <v>1392</v>
      </c>
      <c r="D130" s="134">
        <f>VLOOKUP(B130,'Enrollment 22-23'!$B:$I,8,FALSE)</f>
        <v>44.83</v>
      </c>
      <c r="E130" s="67">
        <f t="shared" si="18"/>
        <v>6198</v>
      </c>
      <c r="F130" s="146">
        <v>0</v>
      </c>
      <c r="G130" s="146">
        <v>0</v>
      </c>
      <c r="H130" s="91">
        <f t="shared" si="19"/>
        <v>6198</v>
      </c>
      <c r="I130" s="67">
        <f t="shared" si="20"/>
        <v>0</v>
      </c>
      <c r="J130" s="739">
        <f t="shared" si="21"/>
        <v>6198</v>
      </c>
      <c r="K130" s="837" t="str">
        <f>_xlfn.IFNA(VLOOKUP(B130,'[2]22-23 Survey Results'!$A:$F,6,FALSE),0)</f>
        <v>N</v>
      </c>
      <c r="L130" s="740">
        <f t="shared" si="22"/>
        <v>6198</v>
      </c>
      <c r="M130" s="741">
        <f t="shared" si="23"/>
        <v>0</v>
      </c>
      <c r="N130" s="67">
        <f t="shared" si="24"/>
        <v>0</v>
      </c>
      <c r="O130" s="67">
        <f t="shared" si="25"/>
        <v>0</v>
      </c>
      <c r="Q130" s="674">
        <f t="shared" si="26"/>
        <v>0</v>
      </c>
      <c r="R130" s="674" t="str">
        <f t="shared" si="27"/>
        <v>Not Applicable</v>
      </c>
      <c r="S130" s="798" t="str">
        <f>IF($R$7=0,"",IFERROR(VLOOKUP(B130,[3]Sheet1!$C$1:$P$65536,14,FALSE),"NA"))</f>
        <v/>
      </c>
      <c r="T130" s="798">
        <f>IF(O130=0,0,IF(S130="N",0,VLOOKUP(B130,Enrollment!B:J,9,FALSE)))</f>
        <v>0</v>
      </c>
      <c r="U130" s="88">
        <f t="shared" si="28"/>
        <v>0</v>
      </c>
      <c r="V130" s="71">
        <f t="shared" si="29"/>
        <v>0</v>
      </c>
      <c r="W130" s="449">
        <v>0</v>
      </c>
      <c r="X130" s="67">
        <f>IFERROR(VLOOKUP($B130,'Allocation 2021-22'!$B:$O,14,FALSE),0)</f>
        <v>0</v>
      </c>
      <c r="Y130" s="163">
        <f t="shared" si="30"/>
        <v>0</v>
      </c>
      <c r="Z130" s="166">
        <f t="shared" si="31"/>
        <v>0</v>
      </c>
      <c r="AA130" s="34" t="str">
        <f t="shared" si="17"/>
        <v>N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603</v>
      </c>
      <c r="B131" s="784" t="s">
        <v>518</v>
      </c>
      <c r="C131" s="784" t="s">
        <v>1607</v>
      </c>
      <c r="D131" s="134">
        <f>VLOOKUP(B131,'Enrollment 22-23'!$B:$I,8,FALSE)</f>
        <v>0</v>
      </c>
      <c r="E131" s="67">
        <f t="shared" si="18"/>
        <v>0</v>
      </c>
      <c r="F131" s="146">
        <v>0</v>
      </c>
      <c r="G131" s="146">
        <v>0</v>
      </c>
      <c r="H131" s="91">
        <f t="shared" si="19"/>
        <v>0</v>
      </c>
      <c r="I131" s="67">
        <f t="shared" si="20"/>
        <v>0</v>
      </c>
      <c r="J131" s="739">
        <f t="shared" si="21"/>
        <v>0</v>
      </c>
      <c r="K131" s="837">
        <f>_xlfn.IFNA(VLOOKUP(B131,'[2]22-23 Survey Results'!$A:$F,6,FALSE),0)</f>
        <v>0</v>
      </c>
      <c r="L131" s="740">
        <f t="shared" si="22"/>
        <v>0</v>
      </c>
      <c r="M131" s="741">
        <f t="shared" si="23"/>
        <v>0</v>
      </c>
      <c r="N131" s="67">
        <f t="shared" si="24"/>
        <v>0</v>
      </c>
      <c r="O131" s="67">
        <f t="shared" si="25"/>
        <v>0</v>
      </c>
      <c r="Q131" s="674">
        <f t="shared" si="26"/>
        <v>0</v>
      </c>
      <c r="R131" s="674" t="str">
        <f t="shared" si="27"/>
        <v>Not Applicable</v>
      </c>
      <c r="S131" s="798" t="str">
        <f>IF($R$7=0,"",IFERROR(VLOOKUP(B131,[3]Sheet1!$C$1:$P$65536,14,FALSE),"NA"))</f>
        <v/>
      </c>
      <c r="T131" s="798">
        <f>IF(O131=0,0,IF(S131="N",0,VLOOKUP(B131,Enrollment!B:J,9,FALSE)))</f>
        <v>0</v>
      </c>
      <c r="U131" s="88">
        <f t="shared" si="28"/>
        <v>0</v>
      </c>
      <c r="V131" s="71">
        <f t="shared" si="29"/>
        <v>0</v>
      </c>
      <c r="W131" s="449">
        <v>0</v>
      </c>
      <c r="X131" s="67">
        <f>IFERROR(VLOOKUP($B131,'Allocation 2021-22'!$B:$O,14,FALSE),0)</f>
        <v>0</v>
      </c>
      <c r="Y131" s="163">
        <f t="shared" si="30"/>
        <v>0</v>
      </c>
      <c r="Z131" s="166">
        <f t="shared" si="31"/>
        <v>0</v>
      </c>
      <c r="AA131" s="34">
        <f t="shared" si="17"/>
        <v>0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601</v>
      </c>
      <c r="B132" s="784" t="s">
        <v>31</v>
      </c>
      <c r="C132" s="784" t="s">
        <v>624</v>
      </c>
      <c r="D132" s="134">
        <f>VLOOKUP(B132,'Enrollment 22-23'!$B:$I,8,FALSE)</f>
        <v>359.5</v>
      </c>
      <c r="E132" s="67">
        <f t="shared" si="18"/>
        <v>49707</v>
      </c>
      <c r="F132" s="146">
        <v>0</v>
      </c>
      <c r="G132" s="146">
        <v>0</v>
      </c>
      <c r="H132" s="91">
        <f t="shared" si="19"/>
        <v>49707</v>
      </c>
      <c r="I132" s="67">
        <f t="shared" si="20"/>
        <v>0</v>
      </c>
      <c r="J132" s="739">
        <f t="shared" si="21"/>
        <v>49707</v>
      </c>
      <c r="K132" s="837" t="str">
        <f>_xlfn.IFNA(VLOOKUP(B132,'[2]22-23 Survey Results'!$A:$F,6,FALSE),0)</f>
        <v>Y</v>
      </c>
      <c r="L132" s="740">
        <f t="shared" si="22"/>
        <v>0</v>
      </c>
      <c r="M132" s="741">
        <f t="shared" si="23"/>
        <v>359.5</v>
      </c>
      <c r="N132" s="67">
        <f t="shared" si="24"/>
        <v>485</v>
      </c>
      <c r="O132" s="67">
        <f t="shared" si="25"/>
        <v>50192</v>
      </c>
      <c r="Q132" s="674">
        <f t="shared" si="26"/>
        <v>0</v>
      </c>
      <c r="R132" s="674" t="str">
        <f t="shared" si="27"/>
        <v>Not Applicable</v>
      </c>
      <c r="S132" s="798" t="str">
        <f>IF($R$7=0,"",IFERROR(VLOOKUP(B132,[3]Sheet1!$C$1:$P$65536,14,FALSE),"NA"))</f>
        <v/>
      </c>
      <c r="T132" s="798">
        <f>IF(O132=0,0,IF(S132="N",0,VLOOKUP(B132,Enrollment!B:J,9,FALSE)))</f>
        <v>0</v>
      </c>
      <c r="U132" s="88">
        <f t="shared" si="28"/>
        <v>50192</v>
      </c>
      <c r="V132" s="71">
        <f t="shared" si="29"/>
        <v>139.61613351877608</v>
      </c>
      <c r="W132" s="449">
        <v>49792</v>
      </c>
      <c r="X132" s="67">
        <f>IFERROR(VLOOKUP($B132,'Allocation 2021-22'!$B:$O,14,FALSE),0)</f>
        <v>49604</v>
      </c>
      <c r="Y132" s="163">
        <f t="shared" si="30"/>
        <v>588</v>
      </c>
      <c r="Z132" s="166">
        <f t="shared" si="31"/>
        <v>1.1853882751391017E-2</v>
      </c>
      <c r="AA132" s="34" t="str">
        <f t="shared" si="17"/>
        <v>Y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595</v>
      </c>
      <c r="B133" s="784" t="s">
        <v>397</v>
      </c>
      <c r="C133" s="784" t="s">
        <v>1549</v>
      </c>
      <c r="D133" s="134">
        <f>VLOOKUP(B133,'Enrollment 22-23'!$B:$I,8,FALSE)</f>
        <v>611</v>
      </c>
      <c r="E133" s="67">
        <f t="shared" si="18"/>
        <v>84480</v>
      </c>
      <c r="F133" s="146">
        <v>0</v>
      </c>
      <c r="G133" s="146">
        <v>0</v>
      </c>
      <c r="H133" s="91">
        <f t="shared" si="19"/>
        <v>84480</v>
      </c>
      <c r="I133" s="67">
        <f t="shared" si="20"/>
        <v>0</v>
      </c>
      <c r="J133" s="739">
        <f t="shared" si="21"/>
        <v>84480</v>
      </c>
      <c r="K133" s="837" t="str">
        <f>_xlfn.IFNA(VLOOKUP(B133,'[2]22-23 Survey Results'!$A:$F,6,FALSE),0)</f>
        <v>Y</v>
      </c>
      <c r="L133" s="740">
        <f t="shared" si="22"/>
        <v>0</v>
      </c>
      <c r="M133" s="741">
        <f t="shared" si="23"/>
        <v>611</v>
      </c>
      <c r="N133" s="67">
        <f t="shared" si="24"/>
        <v>825</v>
      </c>
      <c r="O133" s="67">
        <f t="shared" si="25"/>
        <v>85305</v>
      </c>
      <c r="Q133" s="674">
        <f t="shared" si="26"/>
        <v>0</v>
      </c>
      <c r="R133" s="674" t="str">
        <f t="shared" si="27"/>
        <v>Not Applicable</v>
      </c>
      <c r="S133" s="798" t="str">
        <f>IF($R$7=0,"",IFERROR(VLOOKUP(B133,[3]Sheet1!$C$1:$P$65536,14,FALSE),"NA"))</f>
        <v/>
      </c>
      <c r="T133" s="798">
        <f>IF(O133=0,0,IF(S133="N",0,VLOOKUP(B133,Enrollment!B:J,9,FALSE)))</f>
        <v>0</v>
      </c>
      <c r="U133" s="88">
        <f t="shared" si="28"/>
        <v>85305</v>
      </c>
      <c r="V133" s="71">
        <f t="shared" si="29"/>
        <v>139.61538461538461</v>
      </c>
      <c r="W133" s="449">
        <v>68623</v>
      </c>
      <c r="X133" s="67">
        <f>IFERROR(VLOOKUP($B133,'Allocation 2021-22'!$B:$O,14,FALSE),0)</f>
        <v>68364</v>
      </c>
      <c r="Y133" s="163">
        <f t="shared" si="30"/>
        <v>16941</v>
      </c>
      <c r="Z133" s="166">
        <f t="shared" si="31"/>
        <v>0.24780586273477268</v>
      </c>
      <c r="AA133" s="34" t="str">
        <f t="shared" si="17"/>
        <v>Y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597</v>
      </c>
      <c r="B134" s="784" t="s">
        <v>205</v>
      </c>
      <c r="C134" s="784" t="s">
        <v>1459</v>
      </c>
      <c r="D134" s="134">
        <f>VLOOKUP(B134,'Enrollment 22-23'!$B:$I,8,FALSE)</f>
        <v>3526.34</v>
      </c>
      <c r="E134" s="67">
        <f t="shared" si="18"/>
        <v>487572</v>
      </c>
      <c r="F134" s="146">
        <v>0</v>
      </c>
      <c r="G134" s="146">
        <v>0</v>
      </c>
      <c r="H134" s="91">
        <f t="shared" si="19"/>
        <v>487572</v>
      </c>
      <c r="I134" s="67">
        <f t="shared" si="20"/>
        <v>0</v>
      </c>
      <c r="J134" s="739">
        <f t="shared" si="21"/>
        <v>487572</v>
      </c>
      <c r="K134" s="837" t="str">
        <f>_xlfn.IFNA(VLOOKUP(B134,'[2]22-23 Survey Results'!$A:$F,6,FALSE),0)</f>
        <v>Y</v>
      </c>
      <c r="L134" s="740">
        <f t="shared" si="22"/>
        <v>0</v>
      </c>
      <c r="M134" s="741">
        <f t="shared" si="23"/>
        <v>3526.34</v>
      </c>
      <c r="N134" s="67">
        <f t="shared" si="24"/>
        <v>4760</v>
      </c>
      <c r="O134" s="67">
        <f t="shared" si="25"/>
        <v>492332</v>
      </c>
      <c r="Q134" s="674">
        <f t="shared" si="26"/>
        <v>0</v>
      </c>
      <c r="R134" s="674" t="str">
        <f t="shared" si="27"/>
        <v>Not Applicable</v>
      </c>
      <c r="S134" s="798" t="str">
        <f>IF($R$7=0,"",IFERROR(VLOOKUP(B134,[3]Sheet1!$C$1:$P$65536,14,FALSE),"NA"))</f>
        <v/>
      </c>
      <c r="T134" s="798">
        <f>IF(O134=0,0,IF(S134="N",0,VLOOKUP(B134,Enrollment!B:J,9,FALSE)))</f>
        <v>0</v>
      </c>
      <c r="U134" s="88">
        <f t="shared" si="28"/>
        <v>492332</v>
      </c>
      <c r="V134" s="71">
        <f t="shared" si="29"/>
        <v>139.61557875871299</v>
      </c>
      <c r="W134" s="449">
        <v>488006</v>
      </c>
      <c r="X134" s="67">
        <f>IFERROR(VLOOKUP($B134,'Allocation 2021-22'!$B:$O,14,FALSE),0)</f>
        <v>486169</v>
      </c>
      <c r="Y134" s="163">
        <f t="shared" si="30"/>
        <v>6163</v>
      </c>
      <c r="Z134" s="166">
        <f t="shared" si="31"/>
        <v>1.2676661819243925E-2</v>
      </c>
      <c r="AA134" s="34" t="str">
        <f t="shared" si="17"/>
        <v>Y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595</v>
      </c>
      <c r="B135" s="784" t="s">
        <v>413</v>
      </c>
      <c r="C135" s="784" t="s">
        <v>1557</v>
      </c>
      <c r="D135" s="134">
        <f>VLOOKUP(B135,'Enrollment 22-23'!$B:$I,8,FALSE)</f>
        <v>216.17000000000002</v>
      </c>
      <c r="E135" s="67">
        <f t="shared" si="18"/>
        <v>29889</v>
      </c>
      <c r="F135" s="146">
        <v>0</v>
      </c>
      <c r="G135" s="146">
        <v>0</v>
      </c>
      <c r="H135" s="91">
        <f t="shared" si="19"/>
        <v>29889</v>
      </c>
      <c r="I135" s="67">
        <f t="shared" si="20"/>
        <v>0</v>
      </c>
      <c r="J135" s="739">
        <f t="shared" si="21"/>
        <v>29889</v>
      </c>
      <c r="K135" s="837" t="str">
        <f>_xlfn.IFNA(VLOOKUP(B135,'[2]22-23 Survey Results'!$A:$F,6,FALSE),0)</f>
        <v>Y</v>
      </c>
      <c r="L135" s="740">
        <f t="shared" si="22"/>
        <v>0</v>
      </c>
      <c r="M135" s="741">
        <f t="shared" si="23"/>
        <v>216.17000000000002</v>
      </c>
      <c r="N135" s="67">
        <f t="shared" si="24"/>
        <v>292</v>
      </c>
      <c r="O135" s="67">
        <f t="shared" si="25"/>
        <v>30181</v>
      </c>
      <c r="Q135" s="674">
        <f t="shared" si="26"/>
        <v>0</v>
      </c>
      <c r="R135" s="674" t="str">
        <f t="shared" si="27"/>
        <v>Not Applicable</v>
      </c>
      <c r="S135" s="798" t="str">
        <f>IF($R$7=0,"",IFERROR(VLOOKUP(B135,[3]Sheet1!$C$1:$P$65536,14,FALSE),"NA"))</f>
        <v/>
      </c>
      <c r="T135" s="798">
        <f>IF(O135=0,0,IF(S135="N",0,VLOOKUP(B135,Enrollment!B:J,9,FALSE)))</f>
        <v>0</v>
      </c>
      <c r="U135" s="88">
        <f t="shared" si="28"/>
        <v>30181</v>
      </c>
      <c r="V135" s="71">
        <f t="shared" si="29"/>
        <v>139.61696812693711</v>
      </c>
      <c r="W135" s="449">
        <v>24022</v>
      </c>
      <c r="X135" s="67">
        <f>IFERROR(VLOOKUP($B135,'Allocation 2021-22'!$B:$O,14,FALSE),0)</f>
        <v>23932</v>
      </c>
      <c r="Y135" s="163">
        <f t="shared" si="30"/>
        <v>6249</v>
      </c>
      <c r="Z135" s="166">
        <f t="shared" si="31"/>
        <v>0.26111482533845898</v>
      </c>
      <c r="AA135" s="34" t="str">
        <f t="shared" si="17"/>
        <v>Y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603</v>
      </c>
      <c r="B136" s="784" t="s">
        <v>519</v>
      </c>
      <c r="C136" s="784" t="s">
        <v>1608</v>
      </c>
      <c r="D136" s="134">
        <f>VLOOKUP(B136,'Enrollment 22-23'!$B:$I,8,FALSE)</f>
        <v>0</v>
      </c>
      <c r="E136" s="67">
        <f t="shared" si="18"/>
        <v>0</v>
      </c>
      <c r="F136" s="146">
        <v>0</v>
      </c>
      <c r="G136" s="146">
        <v>0</v>
      </c>
      <c r="H136" s="91">
        <f t="shared" si="19"/>
        <v>0</v>
      </c>
      <c r="I136" s="67">
        <f t="shared" si="20"/>
        <v>0</v>
      </c>
      <c r="J136" s="739">
        <f t="shared" si="21"/>
        <v>0</v>
      </c>
      <c r="K136" s="837">
        <f>_xlfn.IFNA(VLOOKUP(B136,'[2]22-23 Survey Results'!$A:$F,6,FALSE),0)</f>
        <v>0</v>
      </c>
      <c r="L136" s="740">
        <f t="shared" si="22"/>
        <v>0</v>
      </c>
      <c r="M136" s="741">
        <f t="shared" si="23"/>
        <v>0</v>
      </c>
      <c r="N136" s="67">
        <f t="shared" si="24"/>
        <v>0</v>
      </c>
      <c r="O136" s="67">
        <f t="shared" si="25"/>
        <v>0</v>
      </c>
      <c r="Q136" s="674">
        <f t="shared" si="26"/>
        <v>0</v>
      </c>
      <c r="R136" s="674" t="str">
        <f t="shared" si="27"/>
        <v>Not Applicable</v>
      </c>
      <c r="S136" s="798" t="str">
        <f>IF($R$7=0,"",IFERROR(VLOOKUP(B136,[3]Sheet1!$C$1:$P$65536,14,FALSE),"NA"))</f>
        <v/>
      </c>
      <c r="T136" s="798">
        <f>IF(O136=0,0,IF(S136="N",0,VLOOKUP(B136,Enrollment!B:J,9,FALSE)))</f>
        <v>0</v>
      </c>
      <c r="U136" s="88">
        <f t="shared" si="28"/>
        <v>0</v>
      </c>
      <c r="V136" s="71">
        <f t="shared" si="29"/>
        <v>0</v>
      </c>
      <c r="W136" s="449">
        <v>0</v>
      </c>
      <c r="X136" s="67">
        <f>IFERROR(VLOOKUP($B136,'Allocation 2021-22'!$B:$O,14,FALSE),0)</f>
        <v>0</v>
      </c>
      <c r="Y136" s="163">
        <f t="shared" si="30"/>
        <v>0</v>
      </c>
      <c r="Z136" s="166">
        <f t="shared" si="31"/>
        <v>0</v>
      </c>
      <c r="AA136" s="34">
        <f t="shared" si="17"/>
        <v>0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603</v>
      </c>
      <c r="B137" s="784" t="s">
        <v>441</v>
      </c>
      <c r="C137" s="784" t="s">
        <v>1572</v>
      </c>
      <c r="D137" s="134">
        <f>VLOOKUP(B137,'Enrollment 22-23'!$B:$I,8,FALSE)</f>
        <v>1</v>
      </c>
      <c r="E137" s="67">
        <f t="shared" si="18"/>
        <v>138</v>
      </c>
      <c r="F137" s="146">
        <v>0</v>
      </c>
      <c r="G137" s="146">
        <v>0</v>
      </c>
      <c r="H137" s="91">
        <f t="shared" si="19"/>
        <v>138</v>
      </c>
      <c r="I137" s="67">
        <f t="shared" si="20"/>
        <v>0</v>
      </c>
      <c r="J137" s="739">
        <f t="shared" si="21"/>
        <v>138</v>
      </c>
      <c r="K137" s="837" t="str">
        <f>_xlfn.IFNA(VLOOKUP(B137,'[2]22-23 Survey Results'!$A:$F,6,FALSE),0)</f>
        <v>N</v>
      </c>
      <c r="L137" s="740">
        <f t="shared" si="22"/>
        <v>138</v>
      </c>
      <c r="M137" s="741">
        <f t="shared" si="23"/>
        <v>0</v>
      </c>
      <c r="N137" s="67">
        <f t="shared" si="24"/>
        <v>0</v>
      </c>
      <c r="O137" s="67">
        <f t="shared" si="25"/>
        <v>0</v>
      </c>
      <c r="Q137" s="674">
        <f t="shared" si="26"/>
        <v>0</v>
      </c>
      <c r="R137" s="674" t="str">
        <f t="shared" si="27"/>
        <v>Not Applicable</v>
      </c>
      <c r="S137" s="798" t="str">
        <f>IF($R$7=0,"",IFERROR(VLOOKUP(B137,[3]Sheet1!$C$1:$P$65536,14,FALSE),"NA"))</f>
        <v/>
      </c>
      <c r="T137" s="798">
        <f>IF(O137=0,0,IF(S137="N",0,VLOOKUP(B137,Enrollment!B:J,9,FALSE)))</f>
        <v>0</v>
      </c>
      <c r="U137" s="88">
        <f t="shared" si="28"/>
        <v>0</v>
      </c>
      <c r="V137" s="71">
        <f t="shared" si="29"/>
        <v>0</v>
      </c>
      <c r="W137" s="449">
        <v>0</v>
      </c>
      <c r="X137" s="67">
        <f>IFERROR(VLOOKUP($B137,'Allocation 2021-22'!$B:$O,14,FALSE),0)</f>
        <v>0</v>
      </c>
      <c r="Y137" s="163">
        <f t="shared" si="30"/>
        <v>0</v>
      </c>
      <c r="Z137" s="166">
        <f t="shared" si="31"/>
        <v>0</v>
      </c>
      <c r="AA137" s="34" t="str">
        <f t="shared" ref="AA137:AA200" si="32">IF(ISERROR(VLOOKUP(B137,$AC$9:$AC$38,2,0)),K137,"C")</f>
        <v>N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603</v>
      </c>
      <c r="B138" s="784" t="s">
        <v>6</v>
      </c>
      <c r="C138" s="784" t="s">
        <v>1371</v>
      </c>
      <c r="D138" s="134">
        <f>VLOOKUP(B138,'Enrollment 22-23'!$B:$I,8,FALSE)</f>
        <v>29.83</v>
      </c>
      <c r="E138" s="67">
        <f t="shared" ref="E138:E201" si="33">ROUND($D138/$D$7*$E$6,0)</f>
        <v>4124</v>
      </c>
      <c r="F138" s="146">
        <v>0</v>
      </c>
      <c r="G138" s="146">
        <v>0</v>
      </c>
      <c r="H138" s="91">
        <f t="shared" ref="H138:H201" si="34">SUM(E138:G138)</f>
        <v>4124</v>
      </c>
      <c r="I138" s="67">
        <f t="shared" ref="I138:I201" si="35">ROUND($D138/$D$7*$I$6,0)</f>
        <v>0</v>
      </c>
      <c r="J138" s="739">
        <f t="shared" ref="J138:J201" si="36">+H138+I138</f>
        <v>4124</v>
      </c>
      <c r="K138" s="837" t="str">
        <f>_xlfn.IFNA(VLOOKUP(B138,'[2]22-23 Survey Results'!$A:$F,6,FALSE),0)</f>
        <v>C</v>
      </c>
      <c r="L138" s="740">
        <f t="shared" ref="L138:L201" si="37">IF(OR(K138="N",K138="NR",AND(J138&lt;$L$6,K138&lt;&gt;"C")),J138,0)</f>
        <v>0</v>
      </c>
      <c r="M138" s="741">
        <f t="shared" ref="M138:M201" si="38">IF(L138=0,D138,0)</f>
        <v>29.83</v>
      </c>
      <c r="N138" s="67">
        <f t="shared" ref="N138:N201" si="39">ROUND(M138/$M$7*$L$3,0)</f>
        <v>40</v>
      </c>
      <c r="O138" s="67">
        <f t="shared" ref="O138:O201" si="40">J138-L138+N138</f>
        <v>4164</v>
      </c>
      <c r="Q138" s="674">
        <f t="shared" ref="Q138:Q201" si="41">-ROUND(IF(P138&gt;0,O138*(0.9-P138),0),0)</f>
        <v>0</v>
      </c>
      <c r="R138" s="674" t="str">
        <f t="shared" ref="R138:R201" si="42">IF($R$7=0,"Not Applicable",T138*($R$7/$T$7))</f>
        <v>Not Applicable</v>
      </c>
      <c r="S138" s="798" t="str">
        <f>IF($R$7=0,"",IFERROR(VLOOKUP(B138,[3]Sheet1!$C$1:$P$65536,14,FALSE),"NA"))</f>
        <v/>
      </c>
      <c r="T138" s="798">
        <f>IF(O138=0,0,IF(S138="N",0,VLOOKUP(B138,Enrollment!B:J,9,FALSE)))</f>
        <v>0</v>
      </c>
      <c r="U138" s="88">
        <f t="shared" ref="U138:U201" si="43">IF(ISNUMBER(R138),O138+R138,O138)</f>
        <v>4164</v>
      </c>
      <c r="V138" s="71">
        <f t="shared" ref="V138:V201" si="44">IF(M138=0,0,O138/M138)</f>
        <v>139.59101575595039</v>
      </c>
      <c r="W138" s="449">
        <v>0</v>
      </c>
      <c r="X138" s="67">
        <f>IFERROR(VLOOKUP($B138,'Allocation 2021-22'!$B:$O,14,FALSE),0)</f>
        <v>0</v>
      </c>
      <c r="Y138" s="163">
        <f t="shared" ref="Y138:Y201" si="45">O138-X138</f>
        <v>4164</v>
      </c>
      <c r="Z138" s="166">
        <f t="shared" ref="Z138:Z201" si="46">IFERROR(IF(X138&gt;0,Y138/X138,0),0)</f>
        <v>0</v>
      </c>
      <c r="AA138" s="34" t="str">
        <f t="shared" si="32"/>
        <v>C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70</v>
      </c>
      <c r="C139" s="784" t="s">
        <v>1399</v>
      </c>
      <c r="D139" s="134">
        <f>VLOOKUP(B139,'Enrollment 22-23'!$B:$I,8,FALSE)</f>
        <v>430.67</v>
      </c>
      <c r="E139" s="67">
        <f t="shared" si="33"/>
        <v>59547</v>
      </c>
      <c r="F139" s="146">
        <v>0</v>
      </c>
      <c r="G139" s="146">
        <v>0</v>
      </c>
      <c r="H139" s="91">
        <f t="shared" si="34"/>
        <v>59547</v>
      </c>
      <c r="I139" s="67">
        <f t="shared" si="35"/>
        <v>0</v>
      </c>
      <c r="J139" s="739">
        <f t="shared" si="36"/>
        <v>59547</v>
      </c>
      <c r="K139" s="837" t="str">
        <f>_xlfn.IFNA(VLOOKUP(B139,'[2]22-23 Survey Results'!$A:$F,6,FALSE),0)</f>
        <v>Y</v>
      </c>
      <c r="L139" s="740">
        <f t="shared" si="37"/>
        <v>0</v>
      </c>
      <c r="M139" s="741">
        <f t="shared" si="38"/>
        <v>430.67</v>
      </c>
      <c r="N139" s="67">
        <f t="shared" si="39"/>
        <v>581</v>
      </c>
      <c r="O139" s="67">
        <f t="shared" si="40"/>
        <v>60128</v>
      </c>
      <c r="Q139" s="674">
        <f t="shared" si="41"/>
        <v>0</v>
      </c>
      <c r="R139" s="674" t="str">
        <f t="shared" si="42"/>
        <v>Not Applicable</v>
      </c>
      <c r="S139" s="798" t="str">
        <f>IF($R$7=0,"",IFERROR(VLOOKUP(B139,[3]Sheet1!$C$1:$P$65536,14,FALSE),"NA"))</f>
        <v/>
      </c>
      <c r="T139" s="798">
        <f>IF(O139=0,0,IF(S139="N",0,VLOOKUP(B139,Enrollment!B:J,9,FALSE)))</f>
        <v>0</v>
      </c>
      <c r="U139" s="88">
        <f t="shared" si="43"/>
        <v>60128</v>
      </c>
      <c r="V139" s="71">
        <f t="shared" si="44"/>
        <v>139.61501845960944</v>
      </c>
      <c r="W139" s="449">
        <v>58585</v>
      </c>
      <c r="X139" s="67">
        <f>IFERROR(VLOOKUP($B139,'Allocation 2021-22'!$B:$O,14,FALSE),0)</f>
        <v>58365</v>
      </c>
      <c r="Y139" s="163">
        <f t="shared" si="45"/>
        <v>1763</v>
      </c>
      <c r="Z139" s="166">
        <f t="shared" si="46"/>
        <v>3.0206459350638225E-2</v>
      </c>
      <c r="AA139" s="34" t="str">
        <f t="shared" si="32"/>
        <v>Y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603</v>
      </c>
      <c r="B140" s="784" t="s">
        <v>458</v>
      </c>
      <c r="C140" s="784" t="s">
        <v>1581</v>
      </c>
      <c r="D140" s="134">
        <f>VLOOKUP(B140,'Enrollment 22-23'!$B:$I,8,FALSE)</f>
        <v>0</v>
      </c>
      <c r="E140" s="67">
        <f t="shared" si="33"/>
        <v>0</v>
      </c>
      <c r="F140" s="146">
        <v>0</v>
      </c>
      <c r="G140" s="146">
        <v>0</v>
      </c>
      <c r="H140" s="91">
        <f t="shared" si="34"/>
        <v>0</v>
      </c>
      <c r="I140" s="67">
        <f t="shared" si="35"/>
        <v>0</v>
      </c>
      <c r="J140" s="739">
        <f t="shared" si="36"/>
        <v>0</v>
      </c>
      <c r="K140" s="837">
        <f>_xlfn.IFNA(VLOOKUP(B140,'[2]22-23 Survey Results'!$A:$F,6,FALSE),0)</f>
        <v>0</v>
      </c>
      <c r="L140" s="740">
        <f t="shared" si="37"/>
        <v>0</v>
      </c>
      <c r="M140" s="741">
        <f t="shared" si="38"/>
        <v>0</v>
      </c>
      <c r="N140" s="67">
        <f t="shared" si="39"/>
        <v>0</v>
      </c>
      <c r="O140" s="67">
        <f t="shared" si="40"/>
        <v>0</v>
      </c>
      <c r="Q140" s="674">
        <f t="shared" si="41"/>
        <v>0</v>
      </c>
      <c r="R140" s="674" t="str">
        <f t="shared" si="42"/>
        <v>Not Applicable</v>
      </c>
      <c r="S140" s="798" t="str">
        <f>IF($R$7=0,"",IFERROR(VLOOKUP(B140,[3]Sheet1!$C$1:$P$65536,14,FALSE),"NA"))</f>
        <v/>
      </c>
      <c r="T140" s="798">
        <f>IF(O140=0,0,IF(S140="N",0,VLOOKUP(B140,Enrollment!B:J,9,FALSE)))</f>
        <v>0</v>
      </c>
      <c r="U140" s="88">
        <f t="shared" si="43"/>
        <v>0</v>
      </c>
      <c r="V140" s="71">
        <f t="shared" si="44"/>
        <v>0</v>
      </c>
      <c r="W140" s="449">
        <v>0</v>
      </c>
      <c r="X140" s="67">
        <f>IFERROR(VLOOKUP($B140,'Allocation 2021-22'!$B:$O,14,FALSE),0)</f>
        <v>0</v>
      </c>
      <c r="Y140" s="163">
        <f t="shared" si="45"/>
        <v>0</v>
      </c>
      <c r="Z140" s="166">
        <f t="shared" si="46"/>
        <v>0</v>
      </c>
      <c r="AA140" s="34">
        <f t="shared" si="32"/>
        <v>0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595</v>
      </c>
      <c r="B141" s="784" t="s">
        <v>373</v>
      </c>
      <c r="C141" s="784" t="s">
        <v>1539</v>
      </c>
      <c r="D141" s="134">
        <f>VLOOKUP(B141,'Enrollment 22-23'!$B:$I,8,FALSE)</f>
        <v>18.829999999999998</v>
      </c>
      <c r="E141" s="67">
        <f t="shared" si="33"/>
        <v>2604</v>
      </c>
      <c r="F141" s="146">
        <v>0</v>
      </c>
      <c r="G141" s="146">
        <v>0</v>
      </c>
      <c r="H141" s="91">
        <f t="shared" si="34"/>
        <v>2604</v>
      </c>
      <c r="I141" s="67">
        <f t="shared" si="35"/>
        <v>0</v>
      </c>
      <c r="J141" s="739">
        <f t="shared" si="36"/>
        <v>2604</v>
      </c>
      <c r="K141" s="837" t="str">
        <f>_xlfn.IFNA(VLOOKUP(B141,'[2]22-23 Survey Results'!$A:$F,6,FALSE),0)</f>
        <v>C</v>
      </c>
      <c r="L141" s="740">
        <f t="shared" si="37"/>
        <v>0</v>
      </c>
      <c r="M141" s="741">
        <f t="shared" si="38"/>
        <v>18.829999999999998</v>
      </c>
      <c r="N141" s="67">
        <f t="shared" si="39"/>
        <v>25</v>
      </c>
      <c r="O141" s="67">
        <f t="shared" si="40"/>
        <v>2629</v>
      </c>
      <c r="Q141" s="674">
        <f t="shared" si="41"/>
        <v>0</v>
      </c>
      <c r="R141" s="674" t="str">
        <f t="shared" si="42"/>
        <v>Not Applicable</v>
      </c>
      <c r="S141" s="798" t="str">
        <f>IF($R$7=0,"",IFERROR(VLOOKUP(B141,[3]Sheet1!$C$1:$P$65536,14,FALSE),"NA"))</f>
        <v/>
      </c>
      <c r="T141" s="798">
        <f>IF(O141=0,0,IF(S141="N",0,VLOOKUP(B141,Enrollment!B:J,9,FALSE)))</f>
        <v>0</v>
      </c>
      <c r="U141" s="88">
        <f t="shared" si="43"/>
        <v>2629</v>
      </c>
      <c r="V141" s="71">
        <f t="shared" si="44"/>
        <v>139.61763143919279</v>
      </c>
      <c r="W141" s="449">
        <v>0</v>
      </c>
      <c r="X141" s="67">
        <f>IFERROR(VLOOKUP($B141,'Allocation 2021-22'!$B:$O,14,FALSE),0)</f>
        <v>3135</v>
      </c>
      <c r="Y141" s="163">
        <f t="shared" si="45"/>
        <v>-506</v>
      </c>
      <c r="Z141" s="166">
        <f t="shared" si="46"/>
        <v>-0.16140350877192983</v>
      </c>
      <c r="AA141" s="34" t="str">
        <f t="shared" si="32"/>
        <v>C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1666</v>
      </c>
      <c r="B142" s="784" t="s">
        <v>1757</v>
      </c>
      <c r="C142" s="784" t="s">
        <v>1785</v>
      </c>
      <c r="D142" s="134">
        <f>VLOOKUP(B142,'Enrollment 22-23'!$B:$I,8,FALSE)</f>
        <v>0</v>
      </c>
      <c r="E142" s="67">
        <f t="shared" si="33"/>
        <v>0</v>
      </c>
      <c r="F142" s="146">
        <v>0</v>
      </c>
      <c r="G142" s="146">
        <v>0</v>
      </c>
      <c r="H142" s="91">
        <f t="shared" si="34"/>
        <v>0</v>
      </c>
      <c r="I142" s="67">
        <f t="shared" si="35"/>
        <v>0</v>
      </c>
      <c r="J142" s="739">
        <f t="shared" si="36"/>
        <v>0</v>
      </c>
      <c r="K142" s="837">
        <f>_xlfn.IFNA(VLOOKUP(B142,'[2]22-23 Survey Results'!$A:$F,6,FALSE),0)</f>
        <v>0</v>
      </c>
      <c r="L142" s="740">
        <f t="shared" si="37"/>
        <v>0</v>
      </c>
      <c r="M142" s="741">
        <f t="shared" si="38"/>
        <v>0</v>
      </c>
      <c r="N142" s="67">
        <f t="shared" si="39"/>
        <v>0</v>
      </c>
      <c r="O142" s="67">
        <f t="shared" si="40"/>
        <v>0</v>
      </c>
      <c r="Q142" s="674">
        <f t="shared" si="41"/>
        <v>0</v>
      </c>
      <c r="R142" s="674" t="str">
        <f t="shared" si="42"/>
        <v>Not Applicable</v>
      </c>
      <c r="S142" s="798" t="str">
        <f>IF($R$7=0,"",IFERROR(VLOOKUP(B142,[3]Sheet1!$C$1:$P$65536,14,FALSE),"NA"))</f>
        <v/>
      </c>
      <c r="T142" s="798">
        <f>IF(O142=0,0,IF(S142="N",0,VLOOKUP(B142,Enrollment!B:J,9,FALSE)))</f>
        <v>0</v>
      </c>
      <c r="U142" s="88">
        <f t="shared" si="43"/>
        <v>0</v>
      </c>
      <c r="V142" s="71">
        <f t="shared" si="44"/>
        <v>0</v>
      </c>
      <c r="W142" s="449">
        <v>0</v>
      </c>
      <c r="X142" s="67">
        <f>IFERROR(VLOOKUP($B142,'Allocation 2021-22'!$B:$O,14,FALSE),0)</f>
        <v>0</v>
      </c>
      <c r="Y142" s="163">
        <f t="shared" si="45"/>
        <v>0</v>
      </c>
      <c r="Z142" s="166">
        <f t="shared" si="46"/>
        <v>0</v>
      </c>
      <c r="AA142" s="34">
        <f t="shared" si="32"/>
        <v>0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599</v>
      </c>
      <c r="B143" s="784" t="s">
        <v>250</v>
      </c>
      <c r="C143" s="784" t="s">
        <v>1481</v>
      </c>
      <c r="D143" s="134">
        <f>VLOOKUP(B143,'Enrollment 22-23'!$B:$I,8,FALSE)</f>
        <v>8.16</v>
      </c>
      <c r="E143" s="67">
        <f t="shared" si="33"/>
        <v>1128</v>
      </c>
      <c r="F143" s="146">
        <v>0</v>
      </c>
      <c r="G143" s="146">
        <v>0</v>
      </c>
      <c r="H143" s="91">
        <f t="shared" si="34"/>
        <v>1128</v>
      </c>
      <c r="I143" s="67">
        <f t="shared" si="35"/>
        <v>0</v>
      </c>
      <c r="J143" s="739">
        <f t="shared" si="36"/>
        <v>1128</v>
      </c>
      <c r="K143" s="837" t="str">
        <f>_xlfn.IFNA(VLOOKUP(B143,'[2]22-23 Survey Results'!$A:$F,6,FALSE),0)</f>
        <v>N</v>
      </c>
      <c r="L143" s="740">
        <f t="shared" si="37"/>
        <v>1128</v>
      </c>
      <c r="M143" s="741">
        <f t="shared" si="38"/>
        <v>0</v>
      </c>
      <c r="N143" s="67">
        <f t="shared" si="39"/>
        <v>0</v>
      </c>
      <c r="O143" s="67">
        <f t="shared" si="40"/>
        <v>0</v>
      </c>
      <c r="Q143" s="674">
        <f t="shared" si="41"/>
        <v>0</v>
      </c>
      <c r="R143" s="674" t="str">
        <f t="shared" si="42"/>
        <v>Not Applicable</v>
      </c>
      <c r="S143" s="798" t="str">
        <f>IF($R$7=0,"",IFERROR(VLOOKUP(B143,[3]Sheet1!$C$1:$P$65536,14,FALSE),"NA"))</f>
        <v/>
      </c>
      <c r="T143" s="798">
        <f>IF(O143=0,0,IF(S143="N",0,VLOOKUP(B143,Enrollment!B:J,9,FALSE)))</f>
        <v>0</v>
      </c>
      <c r="U143" s="88">
        <f t="shared" si="43"/>
        <v>0</v>
      </c>
      <c r="V143" s="71">
        <f t="shared" si="44"/>
        <v>0</v>
      </c>
      <c r="W143" s="449">
        <v>0</v>
      </c>
      <c r="X143" s="67">
        <f>IFERROR(VLOOKUP($B143,'Allocation 2021-22'!$B:$O,14,FALSE),0)</f>
        <v>0</v>
      </c>
      <c r="Y143" s="163">
        <f t="shared" si="45"/>
        <v>0</v>
      </c>
      <c r="Z143" s="166">
        <f t="shared" si="46"/>
        <v>0</v>
      </c>
      <c r="AA143" s="34" t="str">
        <f t="shared" si="32"/>
        <v>N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595</v>
      </c>
      <c r="B144" s="784" t="s">
        <v>510</v>
      </c>
      <c r="C144" s="784" t="s">
        <v>1604</v>
      </c>
      <c r="D144" s="134">
        <f>VLOOKUP(B144,'Enrollment 22-23'!$B:$I,8,FALSE)</f>
        <v>346.16</v>
      </c>
      <c r="E144" s="67">
        <f t="shared" si="33"/>
        <v>47862</v>
      </c>
      <c r="F144" s="146">
        <v>0</v>
      </c>
      <c r="G144" s="146">
        <v>0</v>
      </c>
      <c r="H144" s="91">
        <f t="shared" si="34"/>
        <v>47862</v>
      </c>
      <c r="I144" s="67">
        <f t="shared" si="35"/>
        <v>0</v>
      </c>
      <c r="J144" s="739">
        <f t="shared" si="36"/>
        <v>47862</v>
      </c>
      <c r="K144" s="837" t="str">
        <f>_xlfn.IFNA(VLOOKUP(B144,'[2]22-23 Survey Results'!$A:$F,6,FALSE),0)</f>
        <v>Y</v>
      </c>
      <c r="L144" s="740">
        <f t="shared" si="37"/>
        <v>0</v>
      </c>
      <c r="M144" s="741">
        <f t="shared" si="38"/>
        <v>346.16</v>
      </c>
      <c r="N144" s="67">
        <f t="shared" si="39"/>
        <v>467</v>
      </c>
      <c r="O144" s="67">
        <f t="shared" si="40"/>
        <v>48329</v>
      </c>
      <c r="Q144" s="674">
        <f t="shared" si="41"/>
        <v>0</v>
      </c>
      <c r="R144" s="674" t="str">
        <f t="shared" si="42"/>
        <v>Not Applicable</v>
      </c>
      <c r="S144" s="798" t="str">
        <f>IF($R$7=0,"",IFERROR(VLOOKUP(B144,[3]Sheet1!$C$1:$P$65536,14,FALSE),"NA"))</f>
        <v/>
      </c>
      <c r="T144" s="798">
        <f>IF(O144=0,0,IF(S144="N",0,VLOOKUP(B144,Enrollment!B:J,9,FALSE)))</f>
        <v>0</v>
      </c>
      <c r="U144" s="88">
        <f t="shared" si="43"/>
        <v>48329</v>
      </c>
      <c r="V144" s="71">
        <f t="shared" si="44"/>
        <v>139.61462907326091</v>
      </c>
      <c r="W144" s="449">
        <v>49239</v>
      </c>
      <c r="X144" s="67">
        <f>IFERROR(VLOOKUP($B144,'Allocation 2021-22'!$B:$O,14,FALSE),0)</f>
        <v>49053</v>
      </c>
      <c r="Y144" s="163">
        <f t="shared" si="45"/>
        <v>-724</v>
      </c>
      <c r="Z144" s="166">
        <f t="shared" si="46"/>
        <v>-1.4759545797402809E-2</v>
      </c>
      <c r="AA144" s="34" t="str">
        <f t="shared" si="32"/>
        <v>Y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605</v>
      </c>
      <c r="B145" s="784" t="s">
        <v>553</v>
      </c>
      <c r="C145" s="784" t="s">
        <v>639</v>
      </c>
      <c r="D145" s="134">
        <f>VLOOKUP(B145,'Enrollment 22-23'!$B:$I,8,FALSE)</f>
        <v>334</v>
      </c>
      <c r="E145" s="67">
        <f t="shared" si="33"/>
        <v>46181</v>
      </c>
      <c r="F145" s="146">
        <v>0</v>
      </c>
      <c r="G145" s="146">
        <v>0</v>
      </c>
      <c r="H145" s="91">
        <f t="shared" si="34"/>
        <v>46181</v>
      </c>
      <c r="I145" s="67">
        <f t="shared" si="35"/>
        <v>0</v>
      </c>
      <c r="J145" s="739">
        <f t="shared" si="36"/>
        <v>46181</v>
      </c>
      <c r="K145" s="837" t="str">
        <f>_xlfn.IFNA(VLOOKUP(B145,'[2]22-23 Survey Results'!$A:$F,6,FALSE),0)</f>
        <v>Y</v>
      </c>
      <c r="L145" s="740">
        <f t="shared" si="37"/>
        <v>0</v>
      </c>
      <c r="M145" s="741">
        <f t="shared" si="38"/>
        <v>334</v>
      </c>
      <c r="N145" s="67">
        <f t="shared" si="39"/>
        <v>451</v>
      </c>
      <c r="O145" s="67">
        <f t="shared" si="40"/>
        <v>46632</v>
      </c>
      <c r="Q145" s="674">
        <f t="shared" si="41"/>
        <v>0</v>
      </c>
      <c r="R145" s="674" t="str">
        <f t="shared" si="42"/>
        <v>Not Applicable</v>
      </c>
      <c r="S145" s="798" t="str">
        <f>IF($R$7=0,"",IFERROR(VLOOKUP(B145,[3]Sheet1!$C$1:$P$65536,14,FALSE),"NA"))</f>
        <v/>
      </c>
      <c r="T145" s="798">
        <f>IF(O145=0,0,IF(S145="N",0,VLOOKUP(B145,Enrollment!B:J,9,FALSE)))</f>
        <v>0</v>
      </c>
      <c r="U145" s="88">
        <f t="shared" si="43"/>
        <v>46632</v>
      </c>
      <c r="V145" s="71">
        <f t="shared" si="44"/>
        <v>139.61676646706587</v>
      </c>
      <c r="W145" s="449">
        <v>49353</v>
      </c>
      <c r="X145" s="67">
        <f>IFERROR(VLOOKUP($B145,'Allocation 2021-22'!$B:$O,14,FALSE),0)</f>
        <v>49168</v>
      </c>
      <c r="Y145" s="163">
        <f t="shared" si="45"/>
        <v>-2536</v>
      </c>
      <c r="Z145" s="166">
        <f t="shared" si="46"/>
        <v>-5.1578262284412625E-2</v>
      </c>
      <c r="AA145" s="34" t="str">
        <f t="shared" si="32"/>
        <v>Y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601</v>
      </c>
      <c r="B146" s="784" t="s">
        <v>90</v>
      </c>
      <c r="C146" s="784" t="s">
        <v>1409</v>
      </c>
      <c r="D146" s="134">
        <f>VLOOKUP(B146,'Enrollment 22-23'!$B:$I,8,FALSE)</f>
        <v>5</v>
      </c>
      <c r="E146" s="67">
        <f t="shared" si="33"/>
        <v>691</v>
      </c>
      <c r="F146" s="146">
        <v>0</v>
      </c>
      <c r="G146" s="146">
        <v>0</v>
      </c>
      <c r="H146" s="91">
        <f t="shared" si="34"/>
        <v>691</v>
      </c>
      <c r="I146" s="67">
        <f t="shared" si="35"/>
        <v>0</v>
      </c>
      <c r="J146" s="739">
        <f t="shared" si="36"/>
        <v>691</v>
      </c>
      <c r="K146" s="837" t="str">
        <f>_xlfn.IFNA(VLOOKUP(B146,'[2]22-23 Survey Results'!$A:$F,6,FALSE),0)</f>
        <v>N</v>
      </c>
      <c r="L146" s="740">
        <f t="shared" si="37"/>
        <v>691</v>
      </c>
      <c r="M146" s="741">
        <f t="shared" si="38"/>
        <v>0</v>
      </c>
      <c r="N146" s="67">
        <f t="shared" si="39"/>
        <v>0</v>
      </c>
      <c r="O146" s="67">
        <f t="shared" si="40"/>
        <v>0</v>
      </c>
      <c r="Q146" s="674">
        <f t="shared" si="41"/>
        <v>0</v>
      </c>
      <c r="R146" s="674" t="str">
        <f t="shared" si="42"/>
        <v>Not Applicable</v>
      </c>
      <c r="S146" s="798" t="str">
        <f>IF($R$7=0,"",IFERROR(VLOOKUP(B146,[3]Sheet1!$C$1:$P$65536,14,FALSE),"NA"))</f>
        <v/>
      </c>
      <c r="T146" s="798">
        <f>IF(O146=0,0,IF(S146="N",0,VLOOKUP(B146,Enrollment!B:J,9,FALSE)))</f>
        <v>0</v>
      </c>
      <c r="U146" s="88">
        <f t="shared" si="43"/>
        <v>0</v>
      </c>
      <c r="V146" s="71">
        <f t="shared" si="44"/>
        <v>0</v>
      </c>
      <c r="W146" s="449">
        <v>0</v>
      </c>
      <c r="X146" s="67">
        <f>IFERROR(VLOOKUP($B146,'Allocation 2021-22'!$B:$O,14,FALSE),0)</f>
        <v>0</v>
      </c>
      <c r="Y146" s="163">
        <f t="shared" si="45"/>
        <v>0</v>
      </c>
      <c r="Z146" s="166">
        <f t="shared" si="46"/>
        <v>0</v>
      </c>
      <c r="AA146" s="34" t="str">
        <f t="shared" si="32"/>
        <v>N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601</v>
      </c>
      <c r="B147" s="784" t="s">
        <v>25</v>
      </c>
      <c r="C147" s="784" t="s">
        <v>1380</v>
      </c>
      <c r="D147" s="134">
        <f>VLOOKUP(B147,'Enrollment 22-23'!$B:$I,8,FALSE)</f>
        <v>217</v>
      </c>
      <c r="E147" s="67">
        <f t="shared" si="33"/>
        <v>30004</v>
      </c>
      <c r="F147" s="146">
        <v>0</v>
      </c>
      <c r="G147" s="146">
        <v>0</v>
      </c>
      <c r="H147" s="91">
        <f t="shared" si="34"/>
        <v>30004</v>
      </c>
      <c r="I147" s="67">
        <f t="shared" si="35"/>
        <v>0</v>
      </c>
      <c r="J147" s="739">
        <f t="shared" si="36"/>
        <v>30004</v>
      </c>
      <c r="K147" s="837" t="str">
        <f>_xlfn.IFNA(VLOOKUP(B147,'[2]22-23 Survey Results'!$A:$F,6,FALSE),0)</f>
        <v>Y</v>
      </c>
      <c r="L147" s="740">
        <f t="shared" si="37"/>
        <v>0</v>
      </c>
      <c r="M147" s="741">
        <f t="shared" si="38"/>
        <v>217</v>
      </c>
      <c r="N147" s="67">
        <f t="shared" si="39"/>
        <v>293</v>
      </c>
      <c r="O147" s="67">
        <f t="shared" si="40"/>
        <v>30297</v>
      </c>
      <c r="Q147" s="674">
        <f t="shared" si="41"/>
        <v>0</v>
      </c>
      <c r="R147" s="674" t="str">
        <f t="shared" si="42"/>
        <v>Not Applicable</v>
      </c>
      <c r="S147" s="798" t="str">
        <f>IF($R$7=0,"",IFERROR(VLOOKUP(B147,[3]Sheet1!$C$1:$P$65536,14,FALSE),"NA"))</f>
        <v/>
      </c>
      <c r="T147" s="798">
        <f>IF(O147=0,0,IF(S147="N",0,VLOOKUP(B147,Enrollment!B:J,9,FALSE)))</f>
        <v>0</v>
      </c>
      <c r="U147" s="88">
        <f t="shared" si="43"/>
        <v>30297</v>
      </c>
      <c r="V147" s="71">
        <f t="shared" si="44"/>
        <v>139.61751152073734</v>
      </c>
      <c r="W147" s="449">
        <v>30200</v>
      </c>
      <c r="X147" s="67">
        <f>IFERROR(VLOOKUP($B147,'Allocation 2021-22'!$B:$O,14,FALSE),0)</f>
        <v>30085</v>
      </c>
      <c r="Y147" s="163">
        <f t="shared" si="45"/>
        <v>212</v>
      </c>
      <c r="Z147" s="166">
        <f t="shared" si="46"/>
        <v>7.0467010137942494E-3</v>
      </c>
      <c r="AA147" s="34" t="str">
        <f t="shared" si="32"/>
        <v>Y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301</v>
      </c>
      <c r="C148" s="784" t="s">
        <v>1504</v>
      </c>
      <c r="D148" s="134">
        <f>VLOOKUP(B148,'Enrollment 22-23'!$B:$I,8,FALSE)</f>
        <v>34.159999999999997</v>
      </c>
      <c r="E148" s="67">
        <f t="shared" si="33"/>
        <v>4723</v>
      </c>
      <c r="F148" s="146">
        <v>0</v>
      </c>
      <c r="G148" s="146">
        <v>0</v>
      </c>
      <c r="H148" s="91">
        <f t="shared" si="34"/>
        <v>4723</v>
      </c>
      <c r="I148" s="67">
        <f t="shared" si="35"/>
        <v>0</v>
      </c>
      <c r="J148" s="739">
        <f t="shared" si="36"/>
        <v>4723</v>
      </c>
      <c r="K148" s="837" t="str">
        <f>_xlfn.IFNA(VLOOKUP(B148,'[2]22-23 Survey Results'!$A:$F,6,FALSE),0)</f>
        <v>N</v>
      </c>
      <c r="L148" s="740">
        <f t="shared" si="37"/>
        <v>4723</v>
      </c>
      <c r="M148" s="741">
        <f t="shared" si="38"/>
        <v>0</v>
      </c>
      <c r="N148" s="67">
        <f t="shared" si="39"/>
        <v>0</v>
      </c>
      <c r="O148" s="67">
        <f t="shared" si="40"/>
        <v>0</v>
      </c>
      <c r="Q148" s="674">
        <f t="shared" si="41"/>
        <v>0</v>
      </c>
      <c r="R148" s="674" t="str">
        <f t="shared" si="42"/>
        <v>Not Applicable</v>
      </c>
      <c r="S148" s="798" t="str">
        <f>IF($R$7=0,"",IFERROR(VLOOKUP(B148,[3]Sheet1!$C$1:$P$65536,14,FALSE),"NA"))</f>
        <v/>
      </c>
      <c r="T148" s="798">
        <f>IF(O148=0,0,IF(S148="N",0,VLOOKUP(B148,Enrollment!B:J,9,FALSE)))</f>
        <v>0</v>
      </c>
      <c r="U148" s="88">
        <f t="shared" si="43"/>
        <v>0</v>
      </c>
      <c r="V148" s="71">
        <f t="shared" si="44"/>
        <v>0</v>
      </c>
      <c r="W148" s="449">
        <v>0</v>
      </c>
      <c r="X148" s="67">
        <f>IFERROR(VLOOKUP($B148,'Allocation 2021-22'!$B:$O,14,FALSE),0)</f>
        <v>0</v>
      </c>
      <c r="Y148" s="163">
        <f t="shared" si="45"/>
        <v>0</v>
      </c>
      <c r="Z148" s="166">
        <f t="shared" si="46"/>
        <v>0</v>
      </c>
      <c r="AA148" s="34" t="str">
        <f t="shared" si="32"/>
        <v>N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603</v>
      </c>
      <c r="B149" s="784" t="s">
        <v>466</v>
      </c>
      <c r="C149" s="784" t="s">
        <v>1585</v>
      </c>
      <c r="D149" s="134">
        <f>VLOOKUP(B149,'Enrollment 22-23'!$B:$I,8,FALSE)</f>
        <v>3</v>
      </c>
      <c r="E149" s="67">
        <f t="shared" si="33"/>
        <v>415</v>
      </c>
      <c r="F149" s="146">
        <v>0</v>
      </c>
      <c r="G149" s="146">
        <v>0</v>
      </c>
      <c r="H149" s="91">
        <f t="shared" si="34"/>
        <v>415</v>
      </c>
      <c r="I149" s="67">
        <f t="shared" si="35"/>
        <v>0</v>
      </c>
      <c r="J149" s="739">
        <f t="shared" si="36"/>
        <v>415</v>
      </c>
      <c r="K149" s="837" t="str">
        <f>_xlfn.IFNA(VLOOKUP(B149,'[2]22-23 Survey Results'!$A:$F,6,FALSE),0)</f>
        <v>N</v>
      </c>
      <c r="L149" s="740">
        <f t="shared" si="37"/>
        <v>415</v>
      </c>
      <c r="M149" s="741">
        <f t="shared" si="38"/>
        <v>0</v>
      </c>
      <c r="N149" s="67">
        <f t="shared" si="39"/>
        <v>0</v>
      </c>
      <c r="O149" s="67">
        <f t="shared" si="40"/>
        <v>0</v>
      </c>
      <c r="Q149" s="674">
        <f t="shared" si="41"/>
        <v>0</v>
      </c>
      <c r="R149" s="674" t="str">
        <f t="shared" si="42"/>
        <v>Not Applicable</v>
      </c>
      <c r="S149" s="798" t="str">
        <f>IF($R$7=0,"",IFERROR(VLOOKUP(B149,[3]Sheet1!$C$1:$P$65536,14,FALSE),"NA"))</f>
        <v/>
      </c>
      <c r="T149" s="798">
        <f>IF(O149=0,0,IF(S149="N",0,VLOOKUP(B149,Enrollment!B:J,9,FALSE)))</f>
        <v>0</v>
      </c>
      <c r="U149" s="88">
        <f t="shared" si="43"/>
        <v>0</v>
      </c>
      <c r="V149" s="71">
        <f t="shared" si="44"/>
        <v>0</v>
      </c>
      <c r="W149" s="449">
        <v>0</v>
      </c>
      <c r="X149" s="67">
        <f>IFERROR(VLOOKUP($B149,'Allocation 2021-22'!$B:$O,14,FALSE),0)</f>
        <v>0</v>
      </c>
      <c r="Y149" s="163">
        <f t="shared" si="45"/>
        <v>0</v>
      </c>
      <c r="Z149" s="166">
        <f t="shared" si="46"/>
        <v>0</v>
      </c>
      <c r="AA149" s="34" t="str">
        <f t="shared" si="32"/>
        <v>N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595</v>
      </c>
      <c r="B150" s="784" t="s">
        <v>405</v>
      </c>
      <c r="C150" s="784" t="s">
        <v>1553</v>
      </c>
      <c r="D150" s="134">
        <f>VLOOKUP(B150,'Enrollment 22-23'!$B:$I,8,FALSE)</f>
        <v>1238.67</v>
      </c>
      <c r="E150" s="67">
        <f t="shared" si="33"/>
        <v>171266</v>
      </c>
      <c r="F150" s="146">
        <v>0</v>
      </c>
      <c r="G150" s="146">
        <v>0</v>
      </c>
      <c r="H150" s="91">
        <f t="shared" si="34"/>
        <v>171266</v>
      </c>
      <c r="I150" s="67">
        <f t="shared" si="35"/>
        <v>0</v>
      </c>
      <c r="J150" s="739">
        <f t="shared" si="36"/>
        <v>171266</v>
      </c>
      <c r="K150" s="837" t="str">
        <f>_xlfn.IFNA(VLOOKUP(B150,'[2]22-23 Survey Results'!$A:$F,6,FALSE),0)</f>
        <v>Y</v>
      </c>
      <c r="L150" s="740">
        <f t="shared" si="37"/>
        <v>0</v>
      </c>
      <c r="M150" s="741">
        <f t="shared" si="38"/>
        <v>1238.67</v>
      </c>
      <c r="N150" s="67">
        <f t="shared" si="39"/>
        <v>1672</v>
      </c>
      <c r="O150" s="67">
        <f t="shared" si="40"/>
        <v>172938</v>
      </c>
      <c r="Q150" s="674">
        <f t="shared" si="41"/>
        <v>0</v>
      </c>
      <c r="R150" s="674" t="str">
        <f t="shared" si="42"/>
        <v>Not Applicable</v>
      </c>
      <c r="S150" s="798" t="str">
        <f>IF($R$7=0,"",IFERROR(VLOOKUP(B150,[3]Sheet1!$C$1:$P$65536,14,FALSE),"NA"))</f>
        <v/>
      </c>
      <c r="T150" s="798">
        <f>IF(O150=0,0,IF(S150="N",0,VLOOKUP(B150,Enrollment!B:J,9,FALSE)))</f>
        <v>0</v>
      </c>
      <c r="U150" s="88">
        <f t="shared" si="43"/>
        <v>172938</v>
      </c>
      <c r="V150" s="71">
        <f t="shared" si="44"/>
        <v>139.61587832110246</v>
      </c>
      <c r="W150" s="449">
        <v>176173</v>
      </c>
      <c r="X150" s="67">
        <f>IFERROR(VLOOKUP($B150,'Allocation 2021-22'!$B:$O,14,FALSE),0)</f>
        <v>175509</v>
      </c>
      <c r="Y150" s="163">
        <f t="shared" si="45"/>
        <v>-2571</v>
      </c>
      <c r="Z150" s="166">
        <f t="shared" si="46"/>
        <v>-1.4648821427960959E-2</v>
      </c>
      <c r="AA150" s="34" t="str">
        <f t="shared" si="32"/>
        <v>Y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138</v>
      </c>
      <c r="C151" s="784" t="s">
        <v>1431</v>
      </c>
      <c r="D151" s="134">
        <f>VLOOKUP(B151,'Enrollment 22-23'!$B:$I,8,FALSE)</f>
        <v>2.5</v>
      </c>
      <c r="E151" s="67">
        <f t="shared" si="33"/>
        <v>346</v>
      </c>
      <c r="F151" s="146">
        <v>0</v>
      </c>
      <c r="G151" s="146">
        <v>0</v>
      </c>
      <c r="H151" s="91">
        <f t="shared" si="34"/>
        <v>346</v>
      </c>
      <c r="I151" s="67">
        <f t="shared" si="35"/>
        <v>0</v>
      </c>
      <c r="J151" s="739">
        <f t="shared" si="36"/>
        <v>346</v>
      </c>
      <c r="K151" s="837" t="str">
        <f>_xlfn.IFNA(VLOOKUP(B151,'[2]22-23 Survey Results'!$A:$F,6,FALSE),0)</f>
        <v>N</v>
      </c>
      <c r="L151" s="740">
        <f t="shared" si="37"/>
        <v>346</v>
      </c>
      <c r="M151" s="741">
        <f t="shared" si="38"/>
        <v>0</v>
      </c>
      <c r="N151" s="67">
        <f t="shared" si="39"/>
        <v>0</v>
      </c>
      <c r="O151" s="67">
        <f t="shared" si="40"/>
        <v>0</v>
      </c>
      <c r="Q151" s="674">
        <f t="shared" si="41"/>
        <v>0</v>
      </c>
      <c r="R151" s="674" t="str">
        <f t="shared" si="42"/>
        <v>Not Applicable</v>
      </c>
      <c r="S151" s="798" t="str">
        <f>IF($R$7=0,"",IFERROR(VLOOKUP(B151,[3]Sheet1!$C$1:$P$65536,14,FALSE),"NA"))</f>
        <v/>
      </c>
      <c r="T151" s="798">
        <f>IF(O151=0,0,IF(S151="N",0,VLOOKUP(B151,Enrollment!B:J,9,FALSE)))</f>
        <v>0</v>
      </c>
      <c r="U151" s="88">
        <f t="shared" si="43"/>
        <v>0</v>
      </c>
      <c r="V151" s="71">
        <f t="shared" si="44"/>
        <v>0</v>
      </c>
      <c r="W151" s="449">
        <v>0</v>
      </c>
      <c r="X151" s="67">
        <f>IFERROR(VLOOKUP($B151,'Allocation 2021-22'!$B:$O,14,FALSE),0)</f>
        <v>0</v>
      </c>
      <c r="Y151" s="163">
        <f t="shared" si="45"/>
        <v>0</v>
      </c>
      <c r="Z151" s="166">
        <f t="shared" si="46"/>
        <v>0</v>
      </c>
      <c r="AA151" s="34" t="str">
        <f t="shared" si="32"/>
        <v>N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603</v>
      </c>
      <c r="B152" s="784" t="s">
        <v>432</v>
      </c>
      <c r="C152" s="784" t="s">
        <v>1567</v>
      </c>
      <c r="D152" s="134">
        <f>VLOOKUP(B152,'Enrollment 22-23'!$B:$I,8,FALSE)</f>
        <v>314.16000000000003</v>
      </c>
      <c r="E152" s="67">
        <f t="shared" si="33"/>
        <v>43438</v>
      </c>
      <c r="F152" s="146">
        <v>0</v>
      </c>
      <c r="G152" s="146">
        <v>0</v>
      </c>
      <c r="H152" s="91">
        <f t="shared" si="34"/>
        <v>43438</v>
      </c>
      <c r="I152" s="67">
        <f t="shared" si="35"/>
        <v>0</v>
      </c>
      <c r="J152" s="739">
        <f t="shared" si="36"/>
        <v>43438</v>
      </c>
      <c r="K152" s="837" t="str">
        <f>_xlfn.IFNA(VLOOKUP(B152,'[2]22-23 Survey Results'!$A:$F,6,FALSE),0)</f>
        <v>Y</v>
      </c>
      <c r="L152" s="740">
        <f t="shared" si="37"/>
        <v>0</v>
      </c>
      <c r="M152" s="741">
        <f t="shared" si="38"/>
        <v>314.16000000000003</v>
      </c>
      <c r="N152" s="67">
        <f t="shared" si="39"/>
        <v>424</v>
      </c>
      <c r="O152" s="67">
        <f t="shared" si="40"/>
        <v>43862</v>
      </c>
      <c r="Q152" s="674">
        <f t="shared" si="41"/>
        <v>0</v>
      </c>
      <c r="R152" s="674" t="str">
        <f t="shared" si="42"/>
        <v>Not Applicable</v>
      </c>
      <c r="S152" s="798" t="str">
        <f>IF($R$7=0,"",IFERROR(VLOOKUP(B152,[3]Sheet1!$C$1:$P$65536,14,FALSE),"NA"))</f>
        <v/>
      </c>
      <c r="T152" s="798">
        <f>IF(O152=0,0,IF(S152="N",0,VLOOKUP(B152,Enrollment!B:J,9,FALSE)))</f>
        <v>0</v>
      </c>
      <c r="U152" s="88">
        <f t="shared" si="43"/>
        <v>43862</v>
      </c>
      <c r="V152" s="71">
        <f t="shared" si="44"/>
        <v>139.61675579322636</v>
      </c>
      <c r="W152" s="449">
        <v>40857</v>
      </c>
      <c r="X152" s="67">
        <f>IFERROR(VLOOKUP($B152,'Allocation 2021-22'!$B:$O,14,FALSE),0)</f>
        <v>40702</v>
      </c>
      <c r="Y152" s="163">
        <f t="shared" si="45"/>
        <v>3160</v>
      </c>
      <c r="Z152" s="166">
        <f t="shared" si="46"/>
        <v>7.7637462532553686E-2</v>
      </c>
      <c r="AA152" s="34" t="str">
        <f t="shared" si="32"/>
        <v>Y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430</v>
      </c>
      <c r="C153" s="784" t="s">
        <v>1566</v>
      </c>
      <c r="D153" s="134">
        <f>VLOOKUP(B153,'Enrollment 22-23'!$B:$I,8,FALSE)</f>
        <v>22.67</v>
      </c>
      <c r="E153" s="67">
        <f t="shared" si="33"/>
        <v>3134</v>
      </c>
      <c r="F153" s="146">
        <v>0</v>
      </c>
      <c r="G153" s="146">
        <v>0</v>
      </c>
      <c r="H153" s="91">
        <f t="shared" si="34"/>
        <v>3134</v>
      </c>
      <c r="I153" s="67">
        <f t="shared" si="35"/>
        <v>0</v>
      </c>
      <c r="J153" s="739">
        <f t="shared" si="36"/>
        <v>3134</v>
      </c>
      <c r="K153" s="837" t="str">
        <f>_xlfn.IFNA(VLOOKUP(B153,'[2]22-23 Survey Results'!$A:$F,6,FALSE),0)</f>
        <v>N</v>
      </c>
      <c r="L153" s="740">
        <f t="shared" si="37"/>
        <v>3134</v>
      </c>
      <c r="M153" s="741">
        <f t="shared" si="38"/>
        <v>0</v>
      </c>
      <c r="N153" s="67">
        <f t="shared" si="39"/>
        <v>0</v>
      </c>
      <c r="O153" s="67">
        <f t="shared" si="40"/>
        <v>0</v>
      </c>
      <c r="Q153" s="674">
        <f t="shared" si="41"/>
        <v>0</v>
      </c>
      <c r="R153" s="674" t="str">
        <f t="shared" si="42"/>
        <v>Not Applicable</v>
      </c>
      <c r="S153" s="798" t="str">
        <f>IF($R$7=0,"",IFERROR(VLOOKUP(B153,[3]Sheet1!$C$1:$P$65536,14,FALSE),"NA"))</f>
        <v/>
      </c>
      <c r="T153" s="798">
        <f>IF(O153=0,0,IF(S153="N",0,VLOOKUP(B153,Enrollment!B:J,9,FALSE)))</f>
        <v>0</v>
      </c>
      <c r="U153" s="88">
        <f t="shared" si="43"/>
        <v>0</v>
      </c>
      <c r="V153" s="71">
        <f t="shared" si="44"/>
        <v>0</v>
      </c>
      <c r="W153" s="449">
        <v>0</v>
      </c>
      <c r="X153" s="67">
        <f>IFERROR(VLOOKUP($B153,'Allocation 2021-22'!$B:$O,14,FALSE),0)</f>
        <v>0</v>
      </c>
      <c r="Y153" s="163">
        <f t="shared" si="45"/>
        <v>0</v>
      </c>
      <c r="Z153" s="166">
        <f t="shared" si="46"/>
        <v>0</v>
      </c>
      <c r="AA153" s="34" t="str">
        <f t="shared" si="32"/>
        <v>N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597</v>
      </c>
      <c r="B154" s="784" t="s">
        <v>179</v>
      </c>
      <c r="C154" s="784" t="s">
        <v>1451</v>
      </c>
      <c r="D154" s="134">
        <f>VLOOKUP(B154,'Enrollment 22-23'!$B:$I,8,FALSE)</f>
        <v>116.5</v>
      </c>
      <c r="E154" s="67">
        <f t="shared" si="33"/>
        <v>16108</v>
      </c>
      <c r="F154" s="146">
        <v>0</v>
      </c>
      <c r="G154" s="146">
        <v>0</v>
      </c>
      <c r="H154" s="91">
        <f t="shared" si="34"/>
        <v>16108</v>
      </c>
      <c r="I154" s="67">
        <f t="shared" si="35"/>
        <v>0</v>
      </c>
      <c r="J154" s="739">
        <f t="shared" si="36"/>
        <v>16108</v>
      </c>
      <c r="K154" s="837" t="str">
        <f>_xlfn.IFNA(VLOOKUP(B154,'[2]22-23 Survey Results'!$A:$F,6,FALSE),0)</f>
        <v>Y</v>
      </c>
      <c r="L154" s="740">
        <f t="shared" si="37"/>
        <v>0</v>
      </c>
      <c r="M154" s="741">
        <f t="shared" si="38"/>
        <v>116.5</v>
      </c>
      <c r="N154" s="67">
        <f t="shared" si="39"/>
        <v>157</v>
      </c>
      <c r="O154" s="67">
        <f t="shared" si="40"/>
        <v>16265</v>
      </c>
      <c r="Q154" s="674">
        <f t="shared" si="41"/>
        <v>0</v>
      </c>
      <c r="R154" s="674" t="str">
        <f t="shared" si="42"/>
        <v>Not Applicable</v>
      </c>
      <c r="S154" s="798" t="str">
        <f>IF($R$7=0,"",IFERROR(VLOOKUP(B154,[3]Sheet1!$C$1:$P$65536,14,FALSE),"NA"))</f>
        <v/>
      </c>
      <c r="T154" s="798">
        <f>IF(O154=0,0,IF(S154="N",0,VLOOKUP(B154,Enrollment!B:J,9,FALSE)))</f>
        <v>0</v>
      </c>
      <c r="U154" s="88">
        <f t="shared" si="43"/>
        <v>16265</v>
      </c>
      <c r="V154" s="71">
        <f t="shared" si="44"/>
        <v>139.61373390557941</v>
      </c>
      <c r="W154" s="449">
        <v>20073</v>
      </c>
      <c r="X154" s="67">
        <f>IFERROR(VLOOKUP($B154,'Allocation 2021-22'!$B:$O,14,FALSE),0)</f>
        <v>19997</v>
      </c>
      <c r="Y154" s="163">
        <f t="shared" si="45"/>
        <v>-3732</v>
      </c>
      <c r="Z154" s="166">
        <f t="shared" si="46"/>
        <v>-0.18662799419912987</v>
      </c>
      <c r="AA154" s="34" t="str">
        <f t="shared" si="32"/>
        <v>Y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595</v>
      </c>
      <c r="B155" s="784" t="s">
        <v>512</v>
      </c>
      <c r="C155" s="784" t="s">
        <v>1605</v>
      </c>
      <c r="D155" s="134">
        <f>VLOOKUP(B155,'Enrollment 22-23'!$B:$I,8,FALSE)</f>
        <v>199.17000000000002</v>
      </c>
      <c r="E155" s="67">
        <f t="shared" si="33"/>
        <v>27538</v>
      </c>
      <c r="F155" s="146">
        <v>0</v>
      </c>
      <c r="G155" s="146">
        <v>0</v>
      </c>
      <c r="H155" s="91">
        <f t="shared" si="34"/>
        <v>27538</v>
      </c>
      <c r="I155" s="67">
        <f t="shared" si="35"/>
        <v>0</v>
      </c>
      <c r="J155" s="739">
        <f t="shared" si="36"/>
        <v>27538</v>
      </c>
      <c r="K155" s="837" t="str">
        <f>_xlfn.IFNA(VLOOKUP(B155,'[2]22-23 Survey Results'!$A:$F,6,FALSE),0)</f>
        <v>Y</v>
      </c>
      <c r="L155" s="740">
        <f t="shared" si="37"/>
        <v>0</v>
      </c>
      <c r="M155" s="741">
        <f t="shared" si="38"/>
        <v>199.17000000000002</v>
      </c>
      <c r="N155" s="67">
        <f t="shared" si="39"/>
        <v>269</v>
      </c>
      <c r="O155" s="67">
        <f t="shared" si="40"/>
        <v>27807</v>
      </c>
      <c r="Q155" s="674">
        <f t="shared" si="41"/>
        <v>0</v>
      </c>
      <c r="R155" s="674" t="str">
        <f t="shared" si="42"/>
        <v>Not Applicable</v>
      </c>
      <c r="S155" s="798" t="str">
        <f>IF($R$7=0,"",IFERROR(VLOOKUP(B155,[3]Sheet1!$C$1:$P$65536,14,FALSE),"NA"))</f>
        <v/>
      </c>
      <c r="T155" s="798">
        <f>IF(O155=0,0,IF(S155="N",0,VLOOKUP(B155,Enrollment!B:J,9,FALSE)))</f>
        <v>0</v>
      </c>
      <c r="U155" s="88">
        <f t="shared" si="43"/>
        <v>27807</v>
      </c>
      <c r="V155" s="71">
        <f t="shared" si="44"/>
        <v>139.61439975899984</v>
      </c>
      <c r="W155" s="449">
        <v>31325</v>
      </c>
      <c r="X155" s="67">
        <f>IFERROR(VLOOKUP($B155,'Allocation 2021-22'!$B:$O,14,FALSE),0)</f>
        <v>31208</v>
      </c>
      <c r="Y155" s="163">
        <f t="shared" si="45"/>
        <v>-3401</v>
      </c>
      <c r="Z155" s="166">
        <f t="shared" si="46"/>
        <v>-0.10897846705972827</v>
      </c>
      <c r="AA155" s="34" t="str">
        <f t="shared" si="32"/>
        <v>Y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601</v>
      </c>
      <c r="B156" s="784" t="s">
        <v>319</v>
      </c>
      <c r="C156" s="784" t="s">
        <v>1512</v>
      </c>
      <c r="D156" s="134">
        <f>VLOOKUP(B156,'Enrollment 22-23'!$B:$I,8,FALSE)</f>
        <v>25.33</v>
      </c>
      <c r="E156" s="67">
        <f t="shared" si="33"/>
        <v>3502</v>
      </c>
      <c r="F156" s="146">
        <v>0</v>
      </c>
      <c r="G156" s="146">
        <v>0</v>
      </c>
      <c r="H156" s="91">
        <f t="shared" si="34"/>
        <v>3502</v>
      </c>
      <c r="I156" s="67">
        <f t="shared" si="35"/>
        <v>0</v>
      </c>
      <c r="J156" s="739">
        <f t="shared" si="36"/>
        <v>3502</v>
      </c>
      <c r="K156" s="837" t="str">
        <f>_xlfn.IFNA(VLOOKUP(B156,'[2]22-23 Survey Results'!$A:$F,6,FALSE),0)</f>
        <v>N</v>
      </c>
      <c r="L156" s="740">
        <f t="shared" si="37"/>
        <v>3502</v>
      </c>
      <c r="M156" s="741">
        <f t="shared" si="38"/>
        <v>0</v>
      </c>
      <c r="N156" s="67">
        <f t="shared" si="39"/>
        <v>0</v>
      </c>
      <c r="O156" s="67">
        <f t="shared" si="40"/>
        <v>0</v>
      </c>
      <c r="Q156" s="674">
        <f t="shared" si="41"/>
        <v>0</v>
      </c>
      <c r="R156" s="674" t="str">
        <f t="shared" si="42"/>
        <v>Not Applicable</v>
      </c>
      <c r="S156" s="798" t="str">
        <f>IF($R$7=0,"",IFERROR(VLOOKUP(B156,[3]Sheet1!$C$1:$P$65536,14,FALSE),"NA"))</f>
        <v/>
      </c>
      <c r="T156" s="798">
        <f>IF(O156=0,0,IF(S156="N",0,VLOOKUP(B156,Enrollment!B:J,9,FALSE)))</f>
        <v>0</v>
      </c>
      <c r="U156" s="88">
        <f t="shared" si="43"/>
        <v>0</v>
      </c>
      <c r="V156" s="71">
        <f t="shared" si="44"/>
        <v>0</v>
      </c>
      <c r="W156" s="449">
        <v>0</v>
      </c>
      <c r="X156" s="67">
        <f>IFERROR(VLOOKUP($B156,'Allocation 2021-22'!$B:$O,14,FALSE),0)</f>
        <v>0</v>
      </c>
      <c r="Y156" s="163">
        <f t="shared" si="45"/>
        <v>0</v>
      </c>
      <c r="Z156" s="166">
        <f t="shared" si="46"/>
        <v>0</v>
      </c>
      <c r="AA156" s="34" t="str">
        <f t="shared" si="32"/>
        <v>N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599</v>
      </c>
      <c r="B157" s="784" t="s">
        <v>391</v>
      </c>
      <c r="C157" s="784" t="s">
        <v>1547</v>
      </c>
      <c r="D157" s="134">
        <f>VLOOKUP(B157,'Enrollment 22-23'!$B:$I,8,FALSE)</f>
        <v>0</v>
      </c>
      <c r="E157" s="67">
        <f t="shared" si="33"/>
        <v>0</v>
      </c>
      <c r="F157" s="146">
        <v>0</v>
      </c>
      <c r="G157" s="146">
        <v>0</v>
      </c>
      <c r="H157" s="91">
        <f t="shared" si="34"/>
        <v>0</v>
      </c>
      <c r="I157" s="67">
        <f t="shared" si="35"/>
        <v>0</v>
      </c>
      <c r="J157" s="739">
        <f t="shared" si="36"/>
        <v>0</v>
      </c>
      <c r="K157" s="837">
        <f>_xlfn.IFNA(VLOOKUP(B157,'[2]22-23 Survey Results'!$A:$F,6,FALSE),0)</f>
        <v>0</v>
      </c>
      <c r="L157" s="740">
        <f t="shared" si="37"/>
        <v>0</v>
      </c>
      <c r="M157" s="741">
        <f t="shared" si="38"/>
        <v>0</v>
      </c>
      <c r="N157" s="67">
        <f t="shared" si="39"/>
        <v>0</v>
      </c>
      <c r="O157" s="67">
        <f t="shared" si="40"/>
        <v>0</v>
      </c>
      <c r="Q157" s="674">
        <f t="shared" si="41"/>
        <v>0</v>
      </c>
      <c r="R157" s="674" t="str">
        <f t="shared" si="42"/>
        <v>Not Applicable</v>
      </c>
      <c r="S157" s="798" t="str">
        <f>IF($R$7=0,"",IFERROR(VLOOKUP(B157,[3]Sheet1!$C$1:$P$65536,14,FALSE),"NA"))</f>
        <v/>
      </c>
      <c r="T157" s="798">
        <f>IF(O157=0,0,IF(S157="N",0,VLOOKUP(B157,Enrollment!B:J,9,FALSE)))</f>
        <v>0</v>
      </c>
      <c r="U157" s="88">
        <f t="shared" si="43"/>
        <v>0</v>
      </c>
      <c r="V157" s="71">
        <f t="shared" si="44"/>
        <v>0</v>
      </c>
      <c r="W157" s="449">
        <v>0</v>
      </c>
      <c r="X157" s="67">
        <f>IFERROR(VLOOKUP($B157,'Allocation 2021-22'!$B:$O,14,FALSE),0)</f>
        <v>0</v>
      </c>
      <c r="Y157" s="163">
        <f t="shared" si="45"/>
        <v>0</v>
      </c>
      <c r="Z157" s="166">
        <f t="shared" si="46"/>
        <v>0</v>
      </c>
      <c r="AA157" s="34">
        <f t="shared" si="32"/>
        <v>0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595</v>
      </c>
      <c r="B158" s="784" t="s">
        <v>409</v>
      </c>
      <c r="C158" s="784" t="s">
        <v>1555</v>
      </c>
      <c r="D158" s="134">
        <f>VLOOKUP(B158,'Enrollment 22-23'!$B:$I,8,FALSE)</f>
        <v>677.67000000000007</v>
      </c>
      <c r="E158" s="67">
        <f t="shared" si="33"/>
        <v>93699</v>
      </c>
      <c r="F158" s="146">
        <v>0</v>
      </c>
      <c r="G158" s="146">
        <v>0</v>
      </c>
      <c r="H158" s="91">
        <f t="shared" si="34"/>
        <v>93699</v>
      </c>
      <c r="I158" s="67">
        <f t="shared" si="35"/>
        <v>0</v>
      </c>
      <c r="J158" s="739">
        <f t="shared" si="36"/>
        <v>93699</v>
      </c>
      <c r="K158" s="837" t="str">
        <f>_xlfn.IFNA(VLOOKUP(B158,'[2]22-23 Survey Results'!$A:$F,6,FALSE),0)</f>
        <v>Y</v>
      </c>
      <c r="L158" s="740">
        <f t="shared" si="37"/>
        <v>0</v>
      </c>
      <c r="M158" s="741">
        <f t="shared" si="38"/>
        <v>677.67000000000007</v>
      </c>
      <c r="N158" s="67">
        <f t="shared" si="39"/>
        <v>915</v>
      </c>
      <c r="O158" s="67">
        <f t="shared" si="40"/>
        <v>94614</v>
      </c>
      <c r="Q158" s="674">
        <f t="shared" si="41"/>
        <v>0</v>
      </c>
      <c r="R158" s="674" t="str">
        <f t="shared" si="42"/>
        <v>Not Applicable</v>
      </c>
      <c r="S158" s="798" t="str">
        <f>IF($R$7=0,"",IFERROR(VLOOKUP(B158,[3]Sheet1!$C$1:$P$65536,14,FALSE),"NA"))</f>
        <v/>
      </c>
      <c r="T158" s="798">
        <f>IF(O158=0,0,IF(S158="N",0,VLOOKUP(B158,Enrollment!B:J,9,FALSE)))</f>
        <v>0</v>
      </c>
      <c r="U158" s="88">
        <f t="shared" si="43"/>
        <v>94614</v>
      </c>
      <c r="V158" s="71">
        <f t="shared" si="44"/>
        <v>139.61662756208773</v>
      </c>
      <c r="W158" s="449">
        <v>89522</v>
      </c>
      <c r="X158" s="67">
        <f>IFERROR(VLOOKUP($B158,'Allocation 2021-22'!$B:$O,14,FALSE),0)</f>
        <v>89185</v>
      </c>
      <c r="Y158" s="163">
        <f t="shared" si="45"/>
        <v>5429</v>
      </c>
      <c r="Z158" s="166">
        <f t="shared" si="46"/>
        <v>6.0873465268823229E-2</v>
      </c>
      <c r="AA158" s="34" t="str">
        <f t="shared" si="32"/>
        <v>Y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594</v>
      </c>
      <c r="B159" s="784" t="s">
        <v>139</v>
      </c>
      <c r="C159" s="784" t="s">
        <v>1432</v>
      </c>
      <c r="D159" s="134">
        <f>VLOOKUP(B159,'Enrollment 22-23'!$B:$I,8,FALSE)</f>
        <v>23.33</v>
      </c>
      <c r="E159" s="67">
        <f t="shared" si="33"/>
        <v>3226</v>
      </c>
      <c r="F159" s="146">
        <v>0</v>
      </c>
      <c r="G159" s="146">
        <v>0</v>
      </c>
      <c r="H159" s="91">
        <f t="shared" si="34"/>
        <v>3226</v>
      </c>
      <c r="I159" s="67">
        <f t="shared" si="35"/>
        <v>0</v>
      </c>
      <c r="J159" s="739">
        <f t="shared" si="36"/>
        <v>3226</v>
      </c>
      <c r="K159" s="837" t="str">
        <f>_xlfn.IFNA(VLOOKUP(B159,'[2]22-23 Survey Results'!$A:$F,6,FALSE),0)</f>
        <v>N</v>
      </c>
      <c r="L159" s="740">
        <f t="shared" si="37"/>
        <v>3226</v>
      </c>
      <c r="M159" s="741">
        <f t="shared" si="38"/>
        <v>0</v>
      </c>
      <c r="N159" s="67">
        <f t="shared" si="39"/>
        <v>0</v>
      </c>
      <c r="O159" s="67">
        <f t="shared" si="40"/>
        <v>0</v>
      </c>
      <c r="Q159" s="674">
        <f t="shared" si="41"/>
        <v>0</v>
      </c>
      <c r="R159" s="674" t="str">
        <f t="shared" si="42"/>
        <v>Not Applicable</v>
      </c>
      <c r="S159" s="798" t="str">
        <f>IF($R$7=0,"",IFERROR(VLOOKUP(B159,[3]Sheet1!$C$1:$P$65536,14,FALSE),"NA"))</f>
        <v/>
      </c>
      <c r="T159" s="798">
        <f>IF(O159=0,0,IF(S159="N",0,VLOOKUP(B159,Enrollment!B:J,9,FALSE)))</f>
        <v>0</v>
      </c>
      <c r="U159" s="88">
        <f t="shared" si="43"/>
        <v>0</v>
      </c>
      <c r="V159" s="71">
        <f t="shared" si="44"/>
        <v>0</v>
      </c>
      <c r="W159" s="449">
        <v>0</v>
      </c>
      <c r="X159" s="67">
        <f>IFERROR(VLOOKUP($B159,'Allocation 2021-22'!$B:$O,14,FALSE),0)</f>
        <v>0</v>
      </c>
      <c r="Y159" s="163">
        <f t="shared" si="45"/>
        <v>0</v>
      </c>
      <c r="Z159" s="166">
        <f t="shared" si="46"/>
        <v>0</v>
      </c>
      <c r="AA159" s="34" t="str">
        <f t="shared" si="32"/>
        <v>N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594</v>
      </c>
      <c r="B160" s="784" t="s">
        <v>260</v>
      </c>
      <c r="C160" s="784" t="s">
        <v>1484</v>
      </c>
      <c r="D160" s="134">
        <f>VLOOKUP(B160,'Enrollment 22-23'!$B:$I,8,FALSE)</f>
        <v>0</v>
      </c>
      <c r="E160" s="67">
        <f t="shared" si="33"/>
        <v>0</v>
      </c>
      <c r="F160" s="146">
        <v>0</v>
      </c>
      <c r="G160" s="146">
        <v>0</v>
      </c>
      <c r="H160" s="91">
        <f t="shared" si="34"/>
        <v>0</v>
      </c>
      <c r="I160" s="67">
        <f t="shared" si="35"/>
        <v>0</v>
      </c>
      <c r="J160" s="739">
        <f t="shared" si="36"/>
        <v>0</v>
      </c>
      <c r="K160" s="837">
        <f>_xlfn.IFNA(VLOOKUP(B160,'[2]22-23 Survey Results'!$A:$F,6,FALSE),0)</f>
        <v>0</v>
      </c>
      <c r="L160" s="740">
        <f t="shared" si="37"/>
        <v>0</v>
      </c>
      <c r="M160" s="741">
        <f t="shared" si="38"/>
        <v>0</v>
      </c>
      <c r="N160" s="67">
        <f t="shared" si="39"/>
        <v>0</v>
      </c>
      <c r="O160" s="67">
        <f t="shared" si="40"/>
        <v>0</v>
      </c>
      <c r="Q160" s="674">
        <f t="shared" si="41"/>
        <v>0</v>
      </c>
      <c r="R160" s="674" t="str">
        <f t="shared" si="42"/>
        <v>Not Applicable</v>
      </c>
      <c r="S160" s="798" t="str">
        <f>IF($R$7=0,"",IFERROR(VLOOKUP(B160,[3]Sheet1!$C$1:$P$65536,14,FALSE),"NA"))</f>
        <v/>
      </c>
      <c r="T160" s="798">
        <f>IF(O160=0,0,IF(S160="N",0,VLOOKUP(B160,Enrollment!B:J,9,FALSE)))</f>
        <v>0</v>
      </c>
      <c r="U160" s="88">
        <f t="shared" si="43"/>
        <v>0</v>
      </c>
      <c r="V160" s="71">
        <f t="shared" si="44"/>
        <v>0</v>
      </c>
      <c r="W160" s="449">
        <v>0</v>
      </c>
      <c r="X160" s="67">
        <f>IFERROR(VLOOKUP($B160,'Allocation 2021-22'!$B:$O,14,FALSE),0)</f>
        <v>0</v>
      </c>
      <c r="Y160" s="163">
        <f t="shared" si="45"/>
        <v>0</v>
      </c>
      <c r="Z160" s="166">
        <f t="shared" si="46"/>
        <v>0</v>
      </c>
      <c r="AA160" s="34">
        <f t="shared" si="32"/>
        <v>0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601</v>
      </c>
      <c r="B161" s="784" t="s">
        <v>125</v>
      </c>
      <c r="C161" s="784" t="s">
        <v>1426</v>
      </c>
      <c r="D161" s="134">
        <f>VLOOKUP(B161,'Enrollment 22-23'!$B:$I,8,FALSE)</f>
        <v>1150.5</v>
      </c>
      <c r="E161" s="67">
        <f t="shared" si="33"/>
        <v>159075</v>
      </c>
      <c r="F161" s="146">
        <v>0</v>
      </c>
      <c r="G161" s="146">
        <v>0</v>
      </c>
      <c r="H161" s="91">
        <f t="shared" si="34"/>
        <v>159075</v>
      </c>
      <c r="I161" s="67">
        <f t="shared" si="35"/>
        <v>0</v>
      </c>
      <c r="J161" s="739">
        <f t="shared" si="36"/>
        <v>159075</v>
      </c>
      <c r="K161" s="837" t="str">
        <f>_xlfn.IFNA(VLOOKUP(B161,'[2]22-23 Survey Results'!$A:$F,6,FALSE),0)</f>
        <v>Y</v>
      </c>
      <c r="L161" s="740">
        <f t="shared" si="37"/>
        <v>0</v>
      </c>
      <c r="M161" s="741">
        <f t="shared" si="38"/>
        <v>1150.5</v>
      </c>
      <c r="N161" s="67">
        <f t="shared" si="39"/>
        <v>1553</v>
      </c>
      <c r="O161" s="67">
        <f t="shared" si="40"/>
        <v>160628</v>
      </c>
      <c r="Q161" s="674">
        <f t="shared" si="41"/>
        <v>0</v>
      </c>
      <c r="R161" s="674" t="str">
        <f t="shared" si="42"/>
        <v>Not Applicable</v>
      </c>
      <c r="S161" s="798" t="str">
        <f>IF($R$7=0,"",IFERROR(VLOOKUP(B161,[3]Sheet1!$C$1:$P$65536,14,FALSE),"NA"))</f>
        <v/>
      </c>
      <c r="T161" s="798">
        <f>IF(O161=0,0,IF(S161="N",0,VLOOKUP(B161,Enrollment!B:J,9,FALSE)))</f>
        <v>0</v>
      </c>
      <c r="U161" s="88">
        <f t="shared" si="43"/>
        <v>160628</v>
      </c>
      <c r="V161" s="71">
        <f t="shared" si="44"/>
        <v>139.61581920903956</v>
      </c>
      <c r="W161" s="449">
        <v>162990</v>
      </c>
      <c r="X161" s="67">
        <f>IFERROR(VLOOKUP($B161,'Allocation 2021-22'!$B:$O,14,FALSE),0)</f>
        <v>162377</v>
      </c>
      <c r="Y161" s="163">
        <f t="shared" si="45"/>
        <v>-1749</v>
      </c>
      <c r="Z161" s="166">
        <f t="shared" si="46"/>
        <v>-1.077122991556686E-2</v>
      </c>
      <c r="AA161" s="34" t="str">
        <f t="shared" si="32"/>
        <v>Y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258</v>
      </c>
      <c r="C162" s="784" t="s">
        <v>1356</v>
      </c>
      <c r="D162" s="134">
        <f>VLOOKUP(B162,'Enrollment 22-23'!$B:$I,8,FALSE)</f>
        <v>55.34</v>
      </c>
      <c r="E162" s="67">
        <f t="shared" si="33"/>
        <v>7652</v>
      </c>
      <c r="F162" s="146">
        <v>0</v>
      </c>
      <c r="G162" s="146">
        <v>0</v>
      </c>
      <c r="H162" s="91">
        <f t="shared" si="34"/>
        <v>7652</v>
      </c>
      <c r="I162" s="67">
        <f t="shared" si="35"/>
        <v>0</v>
      </c>
      <c r="J162" s="739">
        <f t="shared" si="36"/>
        <v>7652</v>
      </c>
      <c r="K162" s="837" t="str">
        <f>_xlfn.IFNA(VLOOKUP(B162,'[2]22-23 Survey Results'!$A:$F,6,FALSE),0)</f>
        <v>C</v>
      </c>
      <c r="L162" s="740">
        <f t="shared" si="37"/>
        <v>0</v>
      </c>
      <c r="M162" s="741">
        <f t="shared" si="38"/>
        <v>55.34</v>
      </c>
      <c r="N162" s="67">
        <f t="shared" si="39"/>
        <v>75</v>
      </c>
      <c r="O162" s="67">
        <f t="shared" si="40"/>
        <v>7727</v>
      </c>
      <c r="Q162" s="674">
        <f t="shared" si="41"/>
        <v>0</v>
      </c>
      <c r="R162" s="674" t="str">
        <f t="shared" si="42"/>
        <v>Not Applicable</v>
      </c>
      <c r="S162" s="798" t="str">
        <f>IF($R$7=0,"",IFERROR(VLOOKUP(B162,[3]Sheet1!$C$1:$P$65536,14,FALSE),"NA"))</f>
        <v/>
      </c>
      <c r="T162" s="798">
        <f>IF(O162=0,0,IF(S162="N",0,VLOOKUP(B162,Enrollment!B:J,9,FALSE)))</f>
        <v>0</v>
      </c>
      <c r="U162" s="88">
        <f t="shared" si="43"/>
        <v>7727</v>
      </c>
      <c r="V162" s="71">
        <f t="shared" si="44"/>
        <v>139.62775569208529</v>
      </c>
      <c r="W162" s="449">
        <v>0</v>
      </c>
      <c r="X162" s="67">
        <f>IFERROR(VLOOKUP($B162,'Allocation 2021-22'!$B:$O,14,FALSE),0)</f>
        <v>6795</v>
      </c>
      <c r="Y162" s="163">
        <f t="shared" si="45"/>
        <v>932</v>
      </c>
      <c r="Z162" s="166">
        <f t="shared" si="46"/>
        <v>0.13715967623252392</v>
      </c>
      <c r="AA162" s="34" t="str">
        <f t="shared" si="32"/>
        <v>C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605</v>
      </c>
      <c r="B163" s="784" t="s">
        <v>571</v>
      </c>
      <c r="C163" s="784" t="s">
        <v>1632</v>
      </c>
      <c r="D163" s="134">
        <f>VLOOKUP(B163,'Enrollment 22-23'!$B:$I,8,FALSE)</f>
        <v>405</v>
      </c>
      <c r="E163" s="67">
        <f t="shared" si="33"/>
        <v>55998</v>
      </c>
      <c r="F163" s="146">
        <v>0</v>
      </c>
      <c r="G163" s="146">
        <v>0</v>
      </c>
      <c r="H163" s="91">
        <f t="shared" si="34"/>
        <v>55998</v>
      </c>
      <c r="I163" s="67">
        <f t="shared" si="35"/>
        <v>0</v>
      </c>
      <c r="J163" s="739">
        <f t="shared" si="36"/>
        <v>55998</v>
      </c>
      <c r="K163" s="837" t="str">
        <f>_xlfn.IFNA(VLOOKUP(B163,'[2]22-23 Survey Results'!$A:$F,6,FALSE),0)</f>
        <v>Y</v>
      </c>
      <c r="L163" s="740">
        <f t="shared" si="37"/>
        <v>0</v>
      </c>
      <c r="M163" s="741">
        <f t="shared" si="38"/>
        <v>405</v>
      </c>
      <c r="N163" s="67">
        <f t="shared" si="39"/>
        <v>547</v>
      </c>
      <c r="O163" s="67">
        <f t="shared" si="40"/>
        <v>56545</v>
      </c>
      <c r="Q163" s="674">
        <f t="shared" si="41"/>
        <v>0</v>
      </c>
      <c r="R163" s="674" t="str">
        <f t="shared" si="42"/>
        <v>Not Applicable</v>
      </c>
      <c r="S163" s="798" t="str">
        <f>IF($R$7=0,"",IFERROR(VLOOKUP(B163,[3]Sheet1!$C$1:$P$65536,14,FALSE),"NA"))</f>
        <v/>
      </c>
      <c r="T163" s="798">
        <f>IF(O163=0,0,IF(S163="N",0,VLOOKUP(B163,Enrollment!B:J,9,FALSE)))</f>
        <v>0</v>
      </c>
      <c r="U163" s="88">
        <f t="shared" si="43"/>
        <v>56545</v>
      </c>
      <c r="V163" s="71">
        <f t="shared" si="44"/>
        <v>139.61728395061729</v>
      </c>
      <c r="W163" s="449">
        <v>61181</v>
      </c>
      <c r="X163" s="67">
        <f>IFERROR(VLOOKUP($B163,'Allocation 2021-22'!$B:$O,14,FALSE),0)</f>
        <v>60951</v>
      </c>
      <c r="Y163" s="163">
        <f t="shared" si="45"/>
        <v>-4406</v>
      </c>
      <c r="Z163" s="166">
        <f t="shared" si="46"/>
        <v>-7.2287575265377102E-2</v>
      </c>
      <c r="AA163" s="34" t="str">
        <f t="shared" si="32"/>
        <v>Y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595</v>
      </c>
      <c r="B164" s="784" t="s">
        <v>516</v>
      </c>
      <c r="C164" s="784" t="s">
        <v>1606</v>
      </c>
      <c r="D164" s="134">
        <f>VLOOKUP(B164,'Enrollment 22-23'!$B:$I,8,FALSE)</f>
        <v>129.5</v>
      </c>
      <c r="E164" s="67">
        <f t="shared" si="33"/>
        <v>17905</v>
      </c>
      <c r="F164" s="146">
        <v>0</v>
      </c>
      <c r="G164" s="146">
        <v>0</v>
      </c>
      <c r="H164" s="91">
        <f t="shared" si="34"/>
        <v>17905</v>
      </c>
      <c r="I164" s="67">
        <f t="shared" si="35"/>
        <v>0</v>
      </c>
      <c r="J164" s="739">
        <f t="shared" si="36"/>
        <v>17905</v>
      </c>
      <c r="K164" s="837" t="str">
        <f>_xlfn.IFNA(VLOOKUP(B164,'[2]22-23 Survey Results'!$A:$F,6,FALSE),0)</f>
        <v>Y</v>
      </c>
      <c r="L164" s="740">
        <f t="shared" si="37"/>
        <v>0</v>
      </c>
      <c r="M164" s="741">
        <f t="shared" si="38"/>
        <v>129.5</v>
      </c>
      <c r="N164" s="67">
        <f t="shared" si="39"/>
        <v>175</v>
      </c>
      <c r="O164" s="67">
        <f t="shared" si="40"/>
        <v>18080</v>
      </c>
      <c r="Q164" s="674">
        <f t="shared" si="41"/>
        <v>0</v>
      </c>
      <c r="R164" s="674" t="str">
        <f t="shared" si="42"/>
        <v>Not Applicable</v>
      </c>
      <c r="S164" s="798" t="str">
        <f>IF($R$7=0,"",IFERROR(VLOOKUP(B164,[3]Sheet1!$C$1:$P$65536,14,FALSE),"NA"))</f>
        <v/>
      </c>
      <c r="T164" s="798">
        <f>IF(O164=0,0,IF(S164="N",0,VLOOKUP(B164,Enrollment!B:J,9,FALSE)))</f>
        <v>0</v>
      </c>
      <c r="U164" s="88">
        <f t="shared" si="43"/>
        <v>18080</v>
      </c>
      <c r="V164" s="71">
        <f t="shared" si="44"/>
        <v>139.6138996138996</v>
      </c>
      <c r="W164" s="449">
        <v>17362</v>
      </c>
      <c r="X164" s="67">
        <f>IFERROR(VLOOKUP($B164,'Allocation 2021-22'!$B:$O,14,FALSE),0)</f>
        <v>17297</v>
      </c>
      <c r="Y164" s="163">
        <f t="shared" si="45"/>
        <v>783</v>
      </c>
      <c r="Z164" s="166">
        <f t="shared" si="46"/>
        <v>4.5267965543157776E-2</v>
      </c>
      <c r="AA164" s="34" t="str">
        <f t="shared" si="32"/>
        <v>Y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599</v>
      </c>
      <c r="B165" s="784" t="s">
        <v>389</v>
      </c>
      <c r="C165" s="784" t="s">
        <v>1546</v>
      </c>
      <c r="D165" s="134">
        <f>VLOOKUP(B165,'Enrollment 22-23'!$B:$I,8,FALSE)</f>
        <v>0</v>
      </c>
      <c r="E165" s="67">
        <f t="shared" si="33"/>
        <v>0</v>
      </c>
      <c r="F165" s="146">
        <v>0</v>
      </c>
      <c r="G165" s="146">
        <v>0</v>
      </c>
      <c r="H165" s="91">
        <f t="shared" si="34"/>
        <v>0</v>
      </c>
      <c r="I165" s="67">
        <f t="shared" si="35"/>
        <v>0</v>
      </c>
      <c r="J165" s="739">
        <f t="shared" si="36"/>
        <v>0</v>
      </c>
      <c r="K165" s="837">
        <f>_xlfn.IFNA(VLOOKUP(B165,'[2]22-23 Survey Results'!$A:$F,6,FALSE),0)</f>
        <v>0</v>
      </c>
      <c r="L165" s="740">
        <f t="shared" si="37"/>
        <v>0</v>
      </c>
      <c r="M165" s="741">
        <f t="shared" si="38"/>
        <v>0</v>
      </c>
      <c r="N165" s="67">
        <f t="shared" si="39"/>
        <v>0</v>
      </c>
      <c r="O165" s="67">
        <f t="shared" si="40"/>
        <v>0</v>
      </c>
      <c r="Q165" s="674">
        <f t="shared" si="41"/>
        <v>0</v>
      </c>
      <c r="R165" s="674" t="str">
        <f t="shared" si="42"/>
        <v>Not Applicable</v>
      </c>
      <c r="S165" s="798" t="str">
        <f>IF($R$7=0,"",IFERROR(VLOOKUP(B165,[3]Sheet1!$C$1:$P$65536,14,FALSE),"NA"))</f>
        <v/>
      </c>
      <c r="T165" s="798">
        <f>IF(O165=0,0,IF(S165="N",0,VLOOKUP(B165,Enrollment!B:J,9,FALSE)))</f>
        <v>0</v>
      </c>
      <c r="U165" s="88">
        <f t="shared" si="43"/>
        <v>0</v>
      </c>
      <c r="V165" s="71">
        <f t="shared" si="44"/>
        <v>0</v>
      </c>
      <c r="W165" s="449">
        <v>0</v>
      </c>
      <c r="X165" s="67">
        <f>IFERROR(VLOOKUP($B165,'Allocation 2021-22'!$B:$O,14,FALSE),0)</f>
        <v>0</v>
      </c>
      <c r="Y165" s="163">
        <f t="shared" si="45"/>
        <v>0</v>
      </c>
      <c r="Z165" s="166">
        <f t="shared" si="46"/>
        <v>0</v>
      </c>
      <c r="AA165" s="34">
        <f t="shared" si="32"/>
        <v>0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595</v>
      </c>
      <c r="B166" s="784" t="s">
        <v>386</v>
      </c>
      <c r="C166" s="784" t="s">
        <v>1544</v>
      </c>
      <c r="D166" s="134">
        <f>VLOOKUP(B166,'Enrollment 22-23'!$B:$I,8,FALSE)</f>
        <v>1602.17</v>
      </c>
      <c r="E166" s="67">
        <f t="shared" si="33"/>
        <v>221525</v>
      </c>
      <c r="F166" s="146">
        <v>0</v>
      </c>
      <c r="G166" s="146">
        <v>0</v>
      </c>
      <c r="H166" s="91">
        <f t="shared" si="34"/>
        <v>221525</v>
      </c>
      <c r="I166" s="67">
        <f t="shared" si="35"/>
        <v>0</v>
      </c>
      <c r="J166" s="739">
        <f t="shared" si="36"/>
        <v>221525</v>
      </c>
      <c r="K166" s="837" t="str">
        <f>_xlfn.IFNA(VLOOKUP(B166,'[2]22-23 Survey Results'!$A:$F,6,FALSE),0)</f>
        <v>C</v>
      </c>
      <c r="L166" s="740">
        <f t="shared" si="37"/>
        <v>0</v>
      </c>
      <c r="M166" s="741">
        <f t="shared" si="38"/>
        <v>1602.17</v>
      </c>
      <c r="N166" s="67">
        <f t="shared" si="39"/>
        <v>2163</v>
      </c>
      <c r="O166" s="67">
        <f t="shared" si="40"/>
        <v>223688</v>
      </c>
      <c r="Q166" s="674">
        <f t="shared" si="41"/>
        <v>0</v>
      </c>
      <c r="R166" s="674" t="str">
        <f t="shared" si="42"/>
        <v>Not Applicable</v>
      </c>
      <c r="S166" s="798" t="str">
        <f>IF($R$7=0,"",IFERROR(VLOOKUP(B166,[3]Sheet1!$C$1:$P$65536,14,FALSE),"NA"))</f>
        <v/>
      </c>
      <c r="T166" s="798">
        <f>IF(O166=0,0,IF(S166="N",0,VLOOKUP(B166,Enrollment!B:J,9,FALSE)))</f>
        <v>0</v>
      </c>
      <c r="U166" s="88">
        <f t="shared" si="43"/>
        <v>223688</v>
      </c>
      <c r="V166" s="71">
        <f t="shared" si="44"/>
        <v>139.61564627973311</v>
      </c>
      <c r="W166" s="449">
        <v>223849</v>
      </c>
      <c r="X166" s="67">
        <f>IFERROR(VLOOKUP($B166,'Allocation 2021-22'!$B:$O,14,FALSE),0)</f>
        <v>221497</v>
      </c>
      <c r="Y166" s="163">
        <f t="shared" si="45"/>
        <v>2191</v>
      </c>
      <c r="Z166" s="166">
        <f t="shared" si="46"/>
        <v>9.8917818300022116E-3</v>
      </c>
      <c r="AA166" s="34" t="str">
        <f t="shared" si="32"/>
        <v>C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595</v>
      </c>
      <c r="B167" s="784" t="s">
        <v>399</v>
      </c>
      <c r="C167" s="784" t="s">
        <v>1550</v>
      </c>
      <c r="D167" s="134">
        <f>VLOOKUP(B167,'Enrollment 22-23'!$B:$I,8,FALSE)</f>
        <v>3281</v>
      </c>
      <c r="E167" s="67">
        <f t="shared" si="33"/>
        <v>453650</v>
      </c>
      <c r="F167" s="146">
        <v>0</v>
      </c>
      <c r="G167" s="146">
        <v>0</v>
      </c>
      <c r="H167" s="91">
        <f t="shared" si="34"/>
        <v>453650</v>
      </c>
      <c r="I167" s="67">
        <f t="shared" si="35"/>
        <v>0</v>
      </c>
      <c r="J167" s="739">
        <f t="shared" si="36"/>
        <v>453650</v>
      </c>
      <c r="K167" s="837" t="str">
        <f>_xlfn.IFNA(VLOOKUP(B167,'[2]22-23 Survey Results'!$A:$F,6,FALSE),0)</f>
        <v>Y</v>
      </c>
      <c r="L167" s="740">
        <f t="shared" si="37"/>
        <v>0</v>
      </c>
      <c r="M167" s="741">
        <f t="shared" si="38"/>
        <v>3281</v>
      </c>
      <c r="N167" s="67">
        <f t="shared" si="39"/>
        <v>4429</v>
      </c>
      <c r="O167" s="67">
        <f t="shared" si="40"/>
        <v>458079</v>
      </c>
      <c r="Q167" s="674">
        <f t="shared" si="41"/>
        <v>0</v>
      </c>
      <c r="R167" s="674" t="str">
        <f t="shared" si="42"/>
        <v>Not Applicable</v>
      </c>
      <c r="S167" s="798" t="str">
        <f>IF($R$7=0,"",IFERROR(VLOOKUP(B167,[3]Sheet1!$C$1:$P$65536,14,FALSE),"NA"))</f>
        <v/>
      </c>
      <c r="T167" s="798">
        <f>IF(O167=0,0,IF(S167="N",0,VLOOKUP(B167,Enrollment!B:J,9,FALSE)))</f>
        <v>0</v>
      </c>
      <c r="U167" s="88">
        <f t="shared" si="43"/>
        <v>458079</v>
      </c>
      <c r="V167" s="71">
        <f t="shared" si="44"/>
        <v>139.61566595550138</v>
      </c>
      <c r="W167" s="449">
        <v>431648</v>
      </c>
      <c r="X167" s="67">
        <f>IFERROR(VLOOKUP($B167,'Allocation 2021-22'!$B:$O,14,FALSE),0)</f>
        <v>430023</v>
      </c>
      <c r="Y167" s="163">
        <f t="shared" si="45"/>
        <v>28056</v>
      </c>
      <c r="Z167" s="166">
        <f t="shared" si="46"/>
        <v>6.5243021884875921E-2</v>
      </c>
      <c r="AA167" s="34" t="str">
        <f t="shared" si="32"/>
        <v>Y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605</v>
      </c>
      <c r="B168" s="784" t="s">
        <v>545</v>
      </c>
      <c r="C168" s="784" t="s">
        <v>1621</v>
      </c>
      <c r="D168" s="134">
        <f>VLOOKUP(B168,'Enrollment 22-23'!$B:$I,8,FALSE)</f>
        <v>73.66</v>
      </c>
      <c r="E168" s="67">
        <f t="shared" si="33"/>
        <v>10185</v>
      </c>
      <c r="F168" s="146">
        <v>0</v>
      </c>
      <c r="G168" s="146">
        <v>0</v>
      </c>
      <c r="H168" s="91">
        <f t="shared" si="34"/>
        <v>10185</v>
      </c>
      <c r="I168" s="67">
        <f t="shared" si="35"/>
        <v>0</v>
      </c>
      <c r="J168" s="739">
        <f t="shared" si="36"/>
        <v>10185</v>
      </c>
      <c r="K168" s="837" t="str">
        <f>_xlfn.IFNA(VLOOKUP(B168,'[2]22-23 Survey Results'!$A:$F,6,FALSE),0)</f>
        <v>Y</v>
      </c>
      <c r="L168" s="740">
        <f t="shared" si="37"/>
        <v>0</v>
      </c>
      <c r="M168" s="741">
        <f t="shared" si="38"/>
        <v>73.66</v>
      </c>
      <c r="N168" s="67">
        <f t="shared" si="39"/>
        <v>99</v>
      </c>
      <c r="O168" s="67">
        <f t="shared" si="40"/>
        <v>10284</v>
      </c>
      <c r="Q168" s="674">
        <f t="shared" si="41"/>
        <v>0</v>
      </c>
      <c r="R168" s="674" t="str">
        <f t="shared" si="42"/>
        <v>Not Applicable</v>
      </c>
      <c r="S168" s="798" t="str">
        <f>IF($R$7=0,"",IFERROR(VLOOKUP(B168,[3]Sheet1!$C$1:$P$65536,14,FALSE),"NA"))</f>
        <v/>
      </c>
      <c r="T168" s="798">
        <f>IF(O168=0,0,IF(S168="N",0,VLOOKUP(B168,Enrollment!B:J,9,FALSE)))</f>
        <v>0</v>
      </c>
      <c r="U168" s="88">
        <f t="shared" si="43"/>
        <v>10284</v>
      </c>
      <c r="V168" s="71">
        <f t="shared" si="44"/>
        <v>139.61444474613089</v>
      </c>
      <c r="W168" s="449">
        <v>10703</v>
      </c>
      <c r="X168" s="67">
        <f>IFERROR(VLOOKUP($B168,'Allocation 2021-22'!$B:$O,14,FALSE),0)</f>
        <v>10663</v>
      </c>
      <c r="Y168" s="163">
        <f t="shared" si="45"/>
        <v>-379</v>
      </c>
      <c r="Z168" s="166">
        <f t="shared" si="46"/>
        <v>-3.554346806714808E-2</v>
      </c>
      <c r="AA168" s="34" t="str">
        <f t="shared" si="32"/>
        <v>Y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594</v>
      </c>
      <c r="B169" s="784" t="s">
        <v>252</v>
      </c>
      <c r="C169" s="784" t="s">
        <v>1482</v>
      </c>
      <c r="D169" s="134">
        <f>VLOOKUP(B169,'Enrollment 22-23'!$B:$I,8,FALSE)</f>
        <v>18</v>
      </c>
      <c r="E169" s="67">
        <f t="shared" si="33"/>
        <v>2489</v>
      </c>
      <c r="F169" s="146">
        <v>0</v>
      </c>
      <c r="G169" s="146">
        <v>0</v>
      </c>
      <c r="H169" s="91">
        <f t="shared" si="34"/>
        <v>2489</v>
      </c>
      <c r="I169" s="67">
        <f t="shared" si="35"/>
        <v>0</v>
      </c>
      <c r="J169" s="739">
        <f t="shared" si="36"/>
        <v>2489</v>
      </c>
      <c r="K169" s="837" t="str">
        <f>_xlfn.IFNA(VLOOKUP(B169,'[2]22-23 Survey Results'!$A:$F,6,FALSE),0)</f>
        <v>N</v>
      </c>
      <c r="L169" s="740">
        <f t="shared" si="37"/>
        <v>2489</v>
      </c>
      <c r="M169" s="741">
        <f t="shared" si="38"/>
        <v>0</v>
      </c>
      <c r="N169" s="67">
        <f t="shared" si="39"/>
        <v>0</v>
      </c>
      <c r="O169" s="67">
        <f t="shared" si="40"/>
        <v>0</v>
      </c>
      <c r="Q169" s="674">
        <f t="shared" si="41"/>
        <v>0</v>
      </c>
      <c r="R169" s="674" t="str">
        <f t="shared" si="42"/>
        <v>Not Applicable</v>
      </c>
      <c r="S169" s="798" t="str">
        <f>IF($R$7=0,"",IFERROR(VLOOKUP(B169,[3]Sheet1!$C$1:$P$65536,14,FALSE),"NA"))</f>
        <v/>
      </c>
      <c r="T169" s="798">
        <f>IF(O169=0,0,IF(S169="N",0,VLOOKUP(B169,Enrollment!B:J,9,FALSE)))</f>
        <v>0</v>
      </c>
      <c r="U169" s="88">
        <f t="shared" si="43"/>
        <v>0</v>
      </c>
      <c r="V169" s="71">
        <f t="shared" si="44"/>
        <v>0</v>
      </c>
      <c r="W169" s="449">
        <v>0</v>
      </c>
      <c r="X169" s="67">
        <f>IFERROR(VLOOKUP($B169,'Allocation 2021-22'!$B:$O,14,FALSE),0)</f>
        <v>0</v>
      </c>
      <c r="Y169" s="163">
        <f t="shared" si="45"/>
        <v>0</v>
      </c>
      <c r="Z169" s="166">
        <f t="shared" si="46"/>
        <v>0</v>
      </c>
      <c r="AA169" s="34" t="str">
        <f t="shared" si="32"/>
        <v>N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599</v>
      </c>
      <c r="B170" s="784" t="s">
        <v>331</v>
      </c>
      <c r="C170" s="784" t="s">
        <v>1516</v>
      </c>
      <c r="D170" s="134">
        <f>VLOOKUP(B170,'Enrollment 22-23'!$B:$I,8,FALSE)</f>
        <v>11.5</v>
      </c>
      <c r="E170" s="67">
        <f t="shared" si="33"/>
        <v>1590</v>
      </c>
      <c r="F170" s="146">
        <v>0</v>
      </c>
      <c r="G170" s="146">
        <v>0</v>
      </c>
      <c r="H170" s="91">
        <f t="shared" si="34"/>
        <v>1590</v>
      </c>
      <c r="I170" s="67">
        <f t="shared" si="35"/>
        <v>0</v>
      </c>
      <c r="J170" s="739">
        <f t="shared" si="36"/>
        <v>1590</v>
      </c>
      <c r="K170" s="837" t="str">
        <f>_xlfn.IFNA(VLOOKUP(B170,'[2]22-23 Survey Results'!$A:$F,6,FALSE),0)</f>
        <v>C</v>
      </c>
      <c r="L170" s="740">
        <f t="shared" si="37"/>
        <v>0</v>
      </c>
      <c r="M170" s="741">
        <f t="shared" si="38"/>
        <v>11.5</v>
      </c>
      <c r="N170" s="67">
        <f t="shared" si="39"/>
        <v>16</v>
      </c>
      <c r="O170" s="67">
        <f t="shared" si="40"/>
        <v>1606</v>
      </c>
      <c r="Q170" s="674">
        <f t="shared" si="41"/>
        <v>0</v>
      </c>
      <c r="R170" s="674" t="str">
        <f t="shared" si="42"/>
        <v>Not Applicable</v>
      </c>
      <c r="S170" s="798" t="str">
        <f>IF($R$7=0,"",IFERROR(VLOOKUP(B170,[3]Sheet1!$C$1:$P$65536,14,FALSE),"NA"))</f>
        <v/>
      </c>
      <c r="T170" s="798">
        <f>IF(O170=0,0,IF(S170="N",0,VLOOKUP(B170,Enrollment!B:J,9,FALSE)))</f>
        <v>0</v>
      </c>
      <c r="U170" s="88">
        <f t="shared" si="43"/>
        <v>1606</v>
      </c>
      <c r="V170" s="71">
        <f t="shared" si="44"/>
        <v>139.65217391304347</v>
      </c>
      <c r="W170" s="449">
        <v>0</v>
      </c>
      <c r="X170" s="67">
        <f>IFERROR(VLOOKUP($B170,'Allocation 2021-22'!$B:$O,14,FALSE),0)</f>
        <v>2471</v>
      </c>
      <c r="Y170" s="163">
        <f t="shared" si="45"/>
        <v>-865</v>
      </c>
      <c r="Z170" s="166">
        <f t="shared" si="46"/>
        <v>-0.35006070416835289</v>
      </c>
      <c r="AA170" s="34" t="str">
        <f t="shared" si="32"/>
        <v>C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309</v>
      </c>
      <c r="C171" s="784" t="s">
        <v>1309</v>
      </c>
      <c r="D171" s="134">
        <f>VLOOKUP(B171,'Enrollment 22-23'!$B:$I,8,FALSE)</f>
        <v>0</v>
      </c>
      <c r="E171" s="67">
        <f t="shared" si="33"/>
        <v>0</v>
      </c>
      <c r="F171" s="146">
        <v>0</v>
      </c>
      <c r="G171" s="146">
        <v>0</v>
      </c>
      <c r="H171" s="91">
        <f t="shared" si="34"/>
        <v>0</v>
      </c>
      <c r="I171" s="67">
        <f t="shared" si="35"/>
        <v>0</v>
      </c>
      <c r="J171" s="739">
        <f t="shared" si="36"/>
        <v>0</v>
      </c>
      <c r="K171" s="837">
        <f>_xlfn.IFNA(VLOOKUP(B171,'[2]22-23 Survey Results'!$A:$F,6,FALSE),0)</f>
        <v>0</v>
      </c>
      <c r="L171" s="740">
        <f t="shared" si="37"/>
        <v>0</v>
      </c>
      <c r="M171" s="741">
        <f t="shared" si="38"/>
        <v>0</v>
      </c>
      <c r="N171" s="67">
        <f t="shared" si="39"/>
        <v>0</v>
      </c>
      <c r="O171" s="67">
        <f t="shared" si="40"/>
        <v>0</v>
      </c>
      <c r="Q171" s="674">
        <f t="shared" si="41"/>
        <v>0</v>
      </c>
      <c r="R171" s="674" t="str">
        <f t="shared" si="42"/>
        <v>Not Applicable</v>
      </c>
      <c r="S171" s="798" t="str">
        <f>IF($R$7=0,"",IFERROR(VLOOKUP(B171,[3]Sheet1!$C$1:$P$65536,14,FALSE),"NA"))</f>
        <v/>
      </c>
      <c r="T171" s="798">
        <f>IF(O171=0,0,IF(S171="N",0,VLOOKUP(B171,Enrollment!B:J,9,FALSE)))</f>
        <v>0</v>
      </c>
      <c r="U171" s="88">
        <f t="shared" si="43"/>
        <v>0</v>
      </c>
      <c r="V171" s="71">
        <f t="shared" si="44"/>
        <v>0</v>
      </c>
      <c r="W171" s="449">
        <v>17339</v>
      </c>
      <c r="X171" s="67">
        <f>IFERROR(VLOOKUP($B171,'Allocation 2021-22'!$B:$O,14,FALSE),0)</f>
        <v>17274</v>
      </c>
      <c r="Y171" s="163">
        <f t="shared" si="45"/>
        <v>-17274</v>
      </c>
      <c r="Z171" s="166">
        <f t="shared" si="46"/>
        <v>-1</v>
      </c>
      <c r="AA171" s="34">
        <f t="shared" si="32"/>
        <v>0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603</v>
      </c>
      <c r="B172" s="784" t="s">
        <v>336</v>
      </c>
      <c r="C172" s="784" t="s">
        <v>1519</v>
      </c>
      <c r="D172" s="134">
        <f>VLOOKUP(B172,'Enrollment 22-23'!$B:$I,8,FALSE)</f>
        <v>0</v>
      </c>
      <c r="E172" s="67">
        <f t="shared" si="33"/>
        <v>0</v>
      </c>
      <c r="F172" s="146">
        <v>0</v>
      </c>
      <c r="G172" s="146">
        <v>0</v>
      </c>
      <c r="H172" s="91">
        <f t="shared" si="34"/>
        <v>0</v>
      </c>
      <c r="I172" s="67">
        <f t="shared" si="35"/>
        <v>0</v>
      </c>
      <c r="J172" s="739">
        <f t="shared" si="36"/>
        <v>0</v>
      </c>
      <c r="K172" s="837">
        <f>_xlfn.IFNA(VLOOKUP(B172,'[2]22-23 Survey Results'!$A:$F,6,FALSE),0)</f>
        <v>0</v>
      </c>
      <c r="L172" s="740">
        <f t="shared" si="37"/>
        <v>0</v>
      </c>
      <c r="M172" s="741">
        <f t="shared" si="38"/>
        <v>0</v>
      </c>
      <c r="N172" s="67">
        <f t="shared" si="39"/>
        <v>0</v>
      </c>
      <c r="O172" s="67">
        <f t="shared" si="40"/>
        <v>0</v>
      </c>
      <c r="Q172" s="674">
        <f t="shared" si="41"/>
        <v>0</v>
      </c>
      <c r="R172" s="674" t="str">
        <f t="shared" si="42"/>
        <v>Not Applicable</v>
      </c>
      <c r="S172" s="798" t="str">
        <f>IF($R$7=0,"",IFERROR(VLOOKUP(B172,[3]Sheet1!$C$1:$P$65536,14,FALSE),"NA"))</f>
        <v/>
      </c>
      <c r="T172" s="798">
        <f>IF(O172=0,0,IF(S172="N",0,VLOOKUP(B172,Enrollment!B:J,9,FALSE)))</f>
        <v>0</v>
      </c>
      <c r="U172" s="88">
        <f t="shared" si="43"/>
        <v>0</v>
      </c>
      <c r="V172" s="71">
        <f t="shared" si="44"/>
        <v>0</v>
      </c>
      <c r="W172" s="449">
        <v>0</v>
      </c>
      <c r="X172" s="67">
        <f>IFERROR(VLOOKUP($B172,'Allocation 2021-22'!$B:$O,14,FALSE),0)</f>
        <v>0</v>
      </c>
      <c r="Y172" s="163">
        <f t="shared" si="45"/>
        <v>0</v>
      </c>
      <c r="Z172" s="166">
        <f t="shared" si="46"/>
        <v>0</v>
      </c>
      <c r="AA172" s="34">
        <f t="shared" si="32"/>
        <v>0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603</v>
      </c>
      <c r="B173" s="784" t="s">
        <v>428</v>
      </c>
      <c r="C173" s="784" t="s">
        <v>1565</v>
      </c>
      <c r="D173" s="134">
        <f>VLOOKUP(B173,'Enrollment 22-23'!$B:$I,8,FALSE)</f>
        <v>11.33</v>
      </c>
      <c r="E173" s="67">
        <f t="shared" si="33"/>
        <v>1567</v>
      </c>
      <c r="F173" s="146">
        <v>0</v>
      </c>
      <c r="G173" s="146">
        <v>0</v>
      </c>
      <c r="H173" s="91">
        <f t="shared" si="34"/>
        <v>1567</v>
      </c>
      <c r="I173" s="67">
        <f t="shared" si="35"/>
        <v>0</v>
      </c>
      <c r="J173" s="739">
        <f t="shared" si="36"/>
        <v>1567</v>
      </c>
      <c r="K173" s="837" t="str">
        <f>_xlfn.IFNA(VLOOKUP(B173,'[2]22-23 Survey Results'!$A:$F,6,FALSE),0)</f>
        <v>N</v>
      </c>
      <c r="L173" s="740">
        <f t="shared" si="37"/>
        <v>1567</v>
      </c>
      <c r="M173" s="741">
        <f t="shared" si="38"/>
        <v>0</v>
      </c>
      <c r="N173" s="67">
        <f t="shared" si="39"/>
        <v>0</v>
      </c>
      <c r="O173" s="67">
        <f t="shared" si="40"/>
        <v>0</v>
      </c>
      <c r="Q173" s="674">
        <f t="shared" si="41"/>
        <v>0</v>
      </c>
      <c r="R173" s="674" t="str">
        <f t="shared" si="42"/>
        <v>Not Applicable</v>
      </c>
      <c r="S173" s="798" t="str">
        <f>IF($R$7=0,"",IFERROR(VLOOKUP(B173,[3]Sheet1!$C$1:$P$65536,14,FALSE),"NA"))</f>
        <v/>
      </c>
      <c r="T173" s="798">
        <f>IF(O173=0,0,IF(S173="N",0,VLOOKUP(B173,Enrollment!B:J,9,FALSE)))</f>
        <v>0</v>
      </c>
      <c r="U173" s="88">
        <f t="shared" si="43"/>
        <v>0</v>
      </c>
      <c r="V173" s="71">
        <f t="shared" si="44"/>
        <v>0</v>
      </c>
      <c r="W173" s="449">
        <v>0</v>
      </c>
      <c r="X173" s="67">
        <f>IFERROR(VLOOKUP($B173,'Allocation 2021-22'!$B:$O,14,FALSE),0)</f>
        <v>0</v>
      </c>
      <c r="Y173" s="163">
        <f t="shared" si="45"/>
        <v>0</v>
      </c>
      <c r="Z173" s="166">
        <f t="shared" si="46"/>
        <v>0</v>
      </c>
      <c r="AA173" s="34" t="str">
        <f t="shared" si="32"/>
        <v>N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595</v>
      </c>
      <c r="B174" s="784" t="s">
        <v>514</v>
      </c>
      <c r="C174" s="784" t="s">
        <v>685</v>
      </c>
      <c r="D174" s="134">
        <f>VLOOKUP(B174,'Enrollment 22-23'!$B:$I,8,FALSE)</f>
        <v>257.33</v>
      </c>
      <c r="E174" s="67">
        <f t="shared" si="33"/>
        <v>35580</v>
      </c>
      <c r="F174" s="146">
        <v>0</v>
      </c>
      <c r="G174" s="146">
        <v>0</v>
      </c>
      <c r="H174" s="91">
        <f t="shared" si="34"/>
        <v>35580</v>
      </c>
      <c r="I174" s="67">
        <f t="shared" si="35"/>
        <v>0</v>
      </c>
      <c r="J174" s="739">
        <f t="shared" si="36"/>
        <v>35580</v>
      </c>
      <c r="K174" s="837" t="str">
        <f>_xlfn.IFNA(VLOOKUP(B174,'[2]22-23 Survey Results'!$A:$F,6,FALSE),0)</f>
        <v>Y</v>
      </c>
      <c r="L174" s="740">
        <f t="shared" si="37"/>
        <v>0</v>
      </c>
      <c r="M174" s="741">
        <f t="shared" si="38"/>
        <v>257.33</v>
      </c>
      <c r="N174" s="67">
        <f t="shared" si="39"/>
        <v>347</v>
      </c>
      <c r="O174" s="67">
        <f t="shared" si="40"/>
        <v>35927</v>
      </c>
      <c r="Q174" s="674">
        <f t="shared" si="41"/>
        <v>0</v>
      </c>
      <c r="R174" s="674" t="str">
        <f t="shared" si="42"/>
        <v>Not Applicable</v>
      </c>
      <c r="S174" s="798" t="str">
        <f>IF($R$7=0,"",IFERROR(VLOOKUP(B174,[3]Sheet1!$C$1:$P$65536,14,FALSE),"NA"))</f>
        <v/>
      </c>
      <c r="T174" s="798">
        <f>IF(O174=0,0,IF(S174="N",0,VLOOKUP(B174,Enrollment!B:J,9,FALSE)))</f>
        <v>0</v>
      </c>
      <c r="U174" s="88">
        <f t="shared" si="43"/>
        <v>35927</v>
      </c>
      <c r="V174" s="71">
        <f t="shared" si="44"/>
        <v>139.61450277853342</v>
      </c>
      <c r="W174" s="449">
        <v>36309</v>
      </c>
      <c r="X174" s="67">
        <f>IFERROR(VLOOKUP($B174,'Allocation 2021-22'!$B:$O,14,FALSE),0)</f>
        <v>36173</v>
      </c>
      <c r="Y174" s="163">
        <f t="shared" si="45"/>
        <v>-246</v>
      </c>
      <c r="Z174" s="166">
        <f t="shared" si="46"/>
        <v>-6.8006524203134931E-3</v>
      </c>
      <c r="AA174" s="34" t="str">
        <f t="shared" si="32"/>
        <v>Y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594</v>
      </c>
      <c r="B175" s="784" t="s">
        <v>136</v>
      </c>
      <c r="C175" s="784" t="s">
        <v>1430</v>
      </c>
      <c r="D175" s="134">
        <f>VLOOKUP(B175,'Enrollment 22-23'!$B:$I,8,FALSE)</f>
        <v>39.67</v>
      </c>
      <c r="E175" s="67">
        <f t="shared" si="33"/>
        <v>5485</v>
      </c>
      <c r="F175" s="146">
        <v>0</v>
      </c>
      <c r="G175" s="146">
        <v>0</v>
      </c>
      <c r="H175" s="91">
        <f t="shared" si="34"/>
        <v>5485</v>
      </c>
      <c r="I175" s="67">
        <f t="shared" si="35"/>
        <v>0</v>
      </c>
      <c r="J175" s="739">
        <f t="shared" si="36"/>
        <v>5485</v>
      </c>
      <c r="K175" s="837" t="str">
        <f>_xlfn.IFNA(VLOOKUP(B175,'[2]22-23 Survey Results'!$A:$F,6,FALSE),0)</f>
        <v>N</v>
      </c>
      <c r="L175" s="740">
        <f t="shared" si="37"/>
        <v>5485</v>
      </c>
      <c r="M175" s="741">
        <f t="shared" si="38"/>
        <v>0</v>
      </c>
      <c r="N175" s="67">
        <f t="shared" si="39"/>
        <v>0</v>
      </c>
      <c r="O175" s="67">
        <f t="shared" si="40"/>
        <v>0</v>
      </c>
      <c r="Q175" s="674">
        <f t="shared" si="41"/>
        <v>0</v>
      </c>
      <c r="R175" s="674" t="str">
        <f t="shared" si="42"/>
        <v>Not Applicable</v>
      </c>
      <c r="S175" s="798" t="str">
        <f>IF($R$7=0,"",IFERROR(VLOOKUP(B175,[3]Sheet1!$C$1:$P$65536,14,FALSE),"NA"))</f>
        <v/>
      </c>
      <c r="T175" s="798">
        <f>IF(O175=0,0,IF(S175="N",0,VLOOKUP(B175,Enrollment!B:J,9,FALSE)))</f>
        <v>0</v>
      </c>
      <c r="U175" s="88">
        <f t="shared" si="43"/>
        <v>0</v>
      </c>
      <c r="V175" s="71">
        <f t="shared" si="44"/>
        <v>0</v>
      </c>
      <c r="W175" s="449">
        <v>0</v>
      </c>
      <c r="X175" s="67">
        <f>IFERROR(VLOOKUP($B175,'Allocation 2021-22'!$B:$O,14,FALSE),0)</f>
        <v>0</v>
      </c>
      <c r="Y175" s="163">
        <f t="shared" si="45"/>
        <v>0</v>
      </c>
      <c r="Z175" s="166">
        <f t="shared" si="46"/>
        <v>0</v>
      </c>
      <c r="AA175" s="34" t="str">
        <f t="shared" si="32"/>
        <v>N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596</v>
      </c>
      <c r="B176" s="784" t="s">
        <v>106</v>
      </c>
      <c r="C176" s="784" t="s">
        <v>1417</v>
      </c>
      <c r="D176" s="134">
        <f>VLOOKUP(B176,'Enrollment 22-23'!$B:$I,8,FALSE)</f>
        <v>725.67</v>
      </c>
      <c r="E176" s="67">
        <f t="shared" si="33"/>
        <v>100335</v>
      </c>
      <c r="F176" s="146">
        <v>0</v>
      </c>
      <c r="G176" s="146">
        <v>0</v>
      </c>
      <c r="H176" s="91">
        <f t="shared" si="34"/>
        <v>100335</v>
      </c>
      <c r="I176" s="67">
        <f t="shared" si="35"/>
        <v>0</v>
      </c>
      <c r="J176" s="739">
        <f t="shared" si="36"/>
        <v>100335</v>
      </c>
      <c r="K176" s="837" t="str">
        <f>_xlfn.IFNA(VLOOKUP(B176,'[2]22-23 Survey Results'!$A:$F,6,FALSE),0)</f>
        <v>Y</v>
      </c>
      <c r="L176" s="740">
        <f t="shared" si="37"/>
        <v>0</v>
      </c>
      <c r="M176" s="741">
        <f t="shared" si="38"/>
        <v>725.67</v>
      </c>
      <c r="N176" s="67">
        <f t="shared" si="39"/>
        <v>980</v>
      </c>
      <c r="O176" s="67">
        <f t="shared" si="40"/>
        <v>101315</v>
      </c>
      <c r="Q176" s="674">
        <f t="shared" si="41"/>
        <v>0</v>
      </c>
      <c r="R176" s="674" t="str">
        <f t="shared" si="42"/>
        <v>Not Applicable</v>
      </c>
      <c r="S176" s="798" t="str">
        <f>IF($R$7=0,"",IFERROR(VLOOKUP(B176,[3]Sheet1!$C$1:$P$65536,14,FALSE),"NA"))</f>
        <v/>
      </c>
      <c r="T176" s="798">
        <f>IF(O176=0,0,IF(S176="N",0,VLOOKUP(B176,Enrollment!B:J,9,FALSE)))</f>
        <v>0</v>
      </c>
      <c r="U176" s="88">
        <f t="shared" si="43"/>
        <v>101315</v>
      </c>
      <c r="V176" s="71">
        <f t="shared" si="44"/>
        <v>139.61580332658096</v>
      </c>
      <c r="W176" s="449">
        <v>104426</v>
      </c>
      <c r="X176" s="67">
        <f>IFERROR(VLOOKUP($B176,'Allocation 2021-22'!$B:$O,14,FALSE),0)</f>
        <v>104033</v>
      </c>
      <c r="Y176" s="163">
        <f t="shared" si="45"/>
        <v>-2718</v>
      </c>
      <c r="Z176" s="166">
        <f t="shared" si="46"/>
        <v>-2.6126325300625763E-2</v>
      </c>
      <c r="AA176" s="34" t="str">
        <f t="shared" si="32"/>
        <v>Y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600</v>
      </c>
      <c r="B177" s="784" t="s">
        <v>214</v>
      </c>
      <c r="C177" s="784" t="s">
        <v>625</v>
      </c>
      <c r="D177" s="134">
        <f>VLOOKUP(B177,'Enrollment 22-23'!$B:$I,8,FALSE)</f>
        <v>257.16000000000003</v>
      </c>
      <c r="E177" s="67">
        <f t="shared" si="33"/>
        <v>35556</v>
      </c>
      <c r="F177" s="146">
        <v>0</v>
      </c>
      <c r="G177" s="146">
        <v>0</v>
      </c>
      <c r="H177" s="91">
        <f t="shared" si="34"/>
        <v>35556</v>
      </c>
      <c r="I177" s="67">
        <f t="shared" si="35"/>
        <v>0</v>
      </c>
      <c r="J177" s="739">
        <f t="shared" si="36"/>
        <v>35556</v>
      </c>
      <c r="K177" s="837" t="str">
        <f>_xlfn.IFNA(VLOOKUP(B177,'[2]22-23 Survey Results'!$A:$F,6,FALSE),0)</f>
        <v>Y</v>
      </c>
      <c r="L177" s="740">
        <f t="shared" si="37"/>
        <v>0</v>
      </c>
      <c r="M177" s="741">
        <f t="shared" si="38"/>
        <v>257.16000000000003</v>
      </c>
      <c r="N177" s="67">
        <f t="shared" si="39"/>
        <v>347</v>
      </c>
      <c r="O177" s="67">
        <f t="shared" si="40"/>
        <v>35903</v>
      </c>
      <c r="Q177" s="674">
        <f t="shared" si="41"/>
        <v>0</v>
      </c>
      <c r="R177" s="674" t="str">
        <f t="shared" si="42"/>
        <v>Not Applicable</v>
      </c>
      <c r="S177" s="798" t="str">
        <f>IF($R$7=0,"",IFERROR(VLOOKUP(B177,[3]Sheet1!$C$1:$P$65536,14,FALSE),"NA"))</f>
        <v/>
      </c>
      <c r="T177" s="798">
        <f>IF(O177=0,0,IF(S177="N",0,VLOOKUP(B177,Enrollment!B:J,9,FALSE)))</f>
        <v>0</v>
      </c>
      <c r="U177" s="88">
        <f t="shared" si="43"/>
        <v>35903</v>
      </c>
      <c r="V177" s="71">
        <f t="shared" si="44"/>
        <v>139.61347021309689</v>
      </c>
      <c r="W177" s="449">
        <v>33233</v>
      </c>
      <c r="X177" s="67">
        <f>IFERROR(VLOOKUP($B177,'Allocation 2021-22'!$B:$O,14,FALSE),0)</f>
        <v>33108</v>
      </c>
      <c r="Y177" s="163">
        <f t="shared" si="45"/>
        <v>2795</v>
      </c>
      <c r="Z177" s="166">
        <f t="shared" si="46"/>
        <v>8.4420683822641049E-2</v>
      </c>
      <c r="AA177" s="34" t="str">
        <f t="shared" si="32"/>
        <v>Y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600</v>
      </c>
      <c r="B178" s="784" t="s">
        <v>305</v>
      </c>
      <c r="C178" s="784" t="s">
        <v>1506</v>
      </c>
      <c r="D178" s="134">
        <f>VLOOKUP(B178,'Enrollment 22-23'!$B:$I,8,FALSE)</f>
        <v>332.34</v>
      </c>
      <c r="E178" s="67">
        <f t="shared" si="33"/>
        <v>45951</v>
      </c>
      <c r="F178" s="146">
        <v>0</v>
      </c>
      <c r="G178" s="146">
        <v>0</v>
      </c>
      <c r="H178" s="91">
        <f t="shared" si="34"/>
        <v>45951</v>
      </c>
      <c r="I178" s="67">
        <f t="shared" si="35"/>
        <v>0</v>
      </c>
      <c r="J178" s="739">
        <f t="shared" si="36"/>
        <v>45951</v>
      </c>
      <c r="K178" s="837" t="str">
        <f>_xlfn.IFNA(VLOOKUP(B178,'[2]22-23 Survey Results'!$A:$F,6,FALSE),0)</f>
        <v>Y</v>
      </c>
      <c r="L178" s="740">
        <f t="shared" si="37"/>
        <v>0</v>
      </c>
      <c r="M178" s="741">
        <f t="shared" si="38"/>
        <v>332.34</v>
      </c>
      <c r="N178" s="67">
        <f t="shared" si="39"/>
        <v>449</v>
      </c>
      <c r="O178" s="67">
        <f t="shared" si="40"/>
        <v>46400</v>
      </c>
      <c r="Q178" s="674">
        <f t="shared" si="41"/>
        <v>0</v>
      </c>
      <c r="R178" s="674" t="str">
        <f t="shared" si="42"/>
        <v>Not Applicable</v>
      </c>
      <c r="S178" s="798" t="str">
        <f>IF($R$7=0,"",IFERROR(VLOOKUP(B178,[3]Sheet1!$C$1:$P$65536,14,FALSE),"NA"))</f>
        <v/>
      </c>
      <c r="T178" s="798">
        <f>IF(O178=0,0,IF(S178="N",0,VLOOKUP(B178,Enrollment!B:J,9,FALSE)))</f>
        <v>0</v>
      </c>
      <c r="U178" s="88">
        <f t="shared" si="43"/>
        <v>46400</v>
      </c>
      <c r="V178" s="71">
        <f t="shared" si="44"/>
        <v>139.61605584642234</v>
      </c>
      <c r="W178" s="449">
        <v>48160</v>
      </c>
      <c r="X178" s="67">
        <f>IFERROR(VLOOKUP($B178,'Allocation 2021-22'!$B:$O,14,FALSE),0)</f>
        <v>47978</v>
      </c>
      <c r="Y178" s="163">
        <f t="shared" si="45"/>
        <v>-1578</v>
      </c>
      <c r="Z178" s="166">
        <f t="shared" si="46"/>
        <v>-3.2890074617533037E-2</v>
      </c>
      <c r="AA178" s="34" t="str">
        <f t="shared" si="32"/>
        <v>Y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594</v>
      </c>
      <c r="B179" s="784" t="s">
        <v>334</v>
      </c>
      <c r="C179" s="784" t="s">
        <v>1518</v>
      </c>
      <c r="D179" s="134">
        <f>VLOOKUP(B179,'Enrollment 22-23'!$B:$I,8,FALSE)</f>
        <v>0</v>
      </c>
      <c r="E179" s="67">
        <f t="shared" si="33"/>
        <v>0</v>
      </c>
      <c r="F179" s="146">
        <v>0</v>
      </c>
      <c r="G179" s="146">
        <v>0</v>
      </c>
      <c r="H179" s="91">
        <f t="shared" si="34"/>
        <v>0</v>
      </c>
      <c r="I179" s="67">
        <f t="shared" si="35"/>
        <v>0</v>
      </c>
      <c r="J179" s="739">
        <f t="shared" si="36"/>
        <v>0</v>
      </c>
      <c r="K179" s="837">
        <f>_xlfn.IFNA(VLOOKUP(B179,'[2]22-23 Survey Results'!$A:$F,6,FALSE),0)</f>
        <v>0</v>
      </c>
      <c r="L179" s="740">
        <f t="shared" si="37"/>
        <v>0</v>
      </c>
      <c r="M179" s="741">
        <f t="shared" si="38"/>
        <v>0</v>
      </c>
      <c r="N179" s="67">
        <f t="shared" si="39"/>
        <v>0</v>
      </c>
      <c r="O179" s="67">
        <f t="shared" si="40"/>
        <v>0</v>
      </c>
      <c r="Q179" s="674">
        <f t="shared" si="41"/>
        <v>0</v>
      </c>
      <c r="R179" s="674" t="str">
        <f t="shared" si="42"/>
        <v>Not Applicable</v>
      </c>
      <c r="S179" s="798" t="str">
        <f>IF($R$7=0,"",IFERROR(VLOOKUP(B179,[3]Sheet1!$C$1:$P$65536,14,FALSE),"NA"))</f>
        <v/>
      </c>
      <c r="T179" s="798">
        <f>IF(O179=0,0,IF(S179="N",0,VLOOKUP(B179,Enrollment!B:J,9,FALSE)))</f>
        <v>0</v>
      </c>
      <c r="U179" s="88">
        <f t="shared" si="43"/>
        <v>0</v>
      </c>
      <c r="V179" s="71">
        <f t="shared" si="44"/>
        <v>0</v>
      </c>
      <c r="W179" s="449">
        <v>0</v>
      </c>
      <c r="X179" s="67">
        <f>IFERROR(VLOOKUP($B179,'Allocation 2021-22'!$B:$O,14,FALSE),0)</f>
        <v>0</v>
      </c>
      <c r="Y179" s="163">
        <f t="shared" si="45"/>
        <v>0</v>
      </c>
      <c r="Z179" s="166">
        <f t="shared" si="46"/>
        <v>0</v>
      </c>
      <c r="AA179" s="34">
        <f t="shared" si="32"/>
        <v>0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474</v>
      </c>
      <c r="C180" s="784" t="s">
        <v>631</v>
      </c>
      <c r="D180" s="134">
        <f>VLOOKUP(B180,'Enrollment 22-23'!$B:$I,8,FALSE)</f>
        <v>925</v>
      </c>
      <c r="E180" s="67">
        <f t="shared" si="33"/>
        <v>127896</v>
      </c>
      <c r="F180" s="146">
        <v>0</v>
      </c>
      <c r="G180" s="146">
        <v>0</v>
      </c>
      <c r="H180" s="91">
        <f t="shared" si="34"/>
        <v>127896</v>
      </c>
      <c r="I180" s="67">
        <f t="shared" si="35"/>
        <v>0</v>
      </c>
      <c r="J180" s="739">
        <f t="shared" si="36"/>
        <v>127896</v>
      </c>
      <c r="K180" s="837" t="str">
        <f>_xlfn.IFNA(VLOOKUP(B180,'[2]22-23 Survey Results'!$A:$F,6,FALSE),0)</f>
        <v>Y</v>
      </c>
      <c r="L180" s="740">
        <f t="shared" si="37"/>
        <v>0</v>
      </c>
      <c r="M180" s="741">
        <f t="shared" si="38"/>
        <v>925</v>
      </c>
      <c r="N180" s="67">
        <f t="shared" si="39"/>
        <v>1249</v>
      </c>
      <c r="O180" s="67">
        <f t="shared" si="40"/>
        <v>129145</v>
      </c>
      <c r="Q180" s="674">
        <f t="shared" si="41"/>
        <v>0</v>
      </c>
      <c r="R180" s="674" t="str">
        <f t="shared" si="42"/>
        <v>Not Applicable</v>
      </c>
      <c r="S180" s="798" t="str">
        <f>IF($R$7=0,"",IFERROR(VLOOKUP(B180,[3]Sheet1!$C$1:$P$65536,14,FALSE),"NA"))</f>
        <v/>
      </c>
      <c r="T180" s="798">
        <f>IF(O180=0,0,IF(S180="N",0,VLOOKUP(B180,Enrollment!B:J,9,FALSE)))</f>
        <v>0</v>
      </c>
      <c r="U180" s="88">
        <f t="shared" si="43"/>
        <v>129145</v>
      </c>
      <c r="V180" s="71">
        <f t="shared" si="44"/>
        <v>139.61621621621623</v>
      </c>
      <c r="W180" s="449">
        <v>117654</v>
      </c>
      <c r="X180" s="67">
        <f>IFERROR(VLOOKUP($B180,'Allocation 2021-22'!$B:$O,14,FALSE),0)</f>
        <v>117212</v>
      </c>
      <c r="Y180" s="163">
        <f t="shared" si="45"/>
        <v>11933</v>
      </c>
      <c r="Z180" s="166">
        <f t="shared" si="46"/>
        <v>0.10180698222025049</v>
      </c>
      <c r="AA180" s="34" t="str">
        <f t="shared" si="32"/>
        <v>Y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603</v>
      </c>
      <c r="B181" s="784" t="s">
        <v>468</v>
      </c>
      <c r="C181" s="784" t="s">
        <v>1586</v>
      </c>
      <c r="D181" s="134">
        <f>VLOOKUP(B181,'Enrollment 22-23'!$B:$I,8,FALSE)</f>
        <v>0</v>
      </c>
      <c r="E181" s="67">
        <f t="shared" si="33"/>
        <v>0</v>
      </c>
      <c r="F181" s="146">
        <v>0</v>
      </c>
      <c r="G181" s="146">
        <v>0</v>
      </c>
      <c r="H181" s="91">
        <f t="shared" si="34"/>
        <v>0</v>
      </c>
      <c r="I181" s="67">
        <f t="shared" si="35"/>
        <v>0</v>
      </c>
      <c r="J181" s="739">
        <f t="shared" si="36"/>
        <v>0</v>
      </c>
      <c r="K181" s="837">
        <f>_xlfn.IFNA(VLOOKUP(B181,'[2]22-23 Survey Results'!$A:$F,6,FALSE),0)</f>
        <v>0</v>
      </c>
      <c r="L181" s="740">
        <f t="shared" si="37"/>
        <v>0</v>
      </c>
      <c r="M181" s="741">
        <f t="shared" si="38"/>
        <v>0</v>
      </c>
      <c r="N181" s="67">
        <f t="shared" si="39"/>
        <v>0</v>
      </c>
      <c r="O181" s="67">
        <f t="shared" si="40"/>
        <v>0</v>
      </c>
      <c r="Q181" s="674">
        <f t="shared" si="41"/>
        <v>0</v>
      </c>
      <c r="R181" s="674" t="str">
        <f t="shared" si="42"/>
        <v>Not Applicable</v>
      </c>
      <c r="S181" s="798" t="str">
        <f>IF($R$7=0,"",IFERROR(VLOOKUP(B181,[3]Sheet1!$C$1:$P$65536,14,FALSE),"NA"))</f>
        <v/>
      </c>
      <c r="T181" s="798">
        <f>IF(O181=0,0,IF(S181="N",0,VLOOKUP(B181,Enrollment!B:J,9,FALSE)))</f>
        <v>0</v>
      </c>
      <c r="U181" s="88">
        <f t="shared" si="43"/>
        <v>0</v>
      </c>
      <c r="V181" s="71">
        <f t="shared" si="44"/>
        <v>0</v>
      </c>
      <c r="W181" s="449">
        <v>299179</v>
      </c>
      <c r="X181" s="67">
        <f>IFERROR(VLOOKUP($B181,'Allocation 2021-22'!$B:$O,14,FALSE),0)</f>
        <v>0</v>
      </c>
      <c r="Y181" s="163">
        <f t="shared" si="45"/>
        <v>0</v>
      </c>
      <c r="Z181" s="166">
        <f t="shared" si="46"/>
        <v>0</v>
      </c>
      <c r="AA181" s="34">
        <f t="shared" si="32"/>
        <v>0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597</v>
      </c>
      <c r="B182" s="784" t="s">
        <v>209</v>
      </c>
      <c r="C182" s="784" t="s">
        <v>637</v>
      </c>
      <c r="D182" s="134">
        <f>VLOOKUP(B182,'Enrollment 22-23'!$B:$I,8,FALSE)</f>
        <v>2109.0100000000002</v>
      </c>
      <c r="E182" s="67">
        <f t="shared" si="33"/>
        <v>291604</v>
      </c>
      <c r="F182" s="146">
        <v>0</v>
      </c>
      <c r="G182" s="146">
        <v>0</v>
      </c>
      <c r="H182" s="91">
        <f t="shared" si="34"/>
        <v>291604</v>
      </c>
      <c r="I182" s="67">
        <f t="shared" si="35"/>
        <v>0</v>
      </c>
      <c r="J182" s="739">
        <f t="shared" si="36"/>
        <v>291604</v>
      </c>
      <c r="K182" s="837" t="str">
        <f>_xlfn.IFNA(VLOOKUP(B182,'[2]22-23 Survey Results'!$A:$F,6,FALSE),0)</f>
        <v>Y</v>
      </c>
      <c r="L182" s="740">
        <f t="shared" si="37"/>
        <v>0</v>
      </c>
      <c r="M182" s="741">
        <f t="shared" si="38"/>
        <v>2109.0100000000002</v>
      </c>
      <c r="N182" s="67">
        <f t="shared" si="39"/>
        <v>2847</v>
      </c>
      <c r="O182" s="67">
        <f t="shared" si="40"/>
        <v>294451</v>
      </c>
      <c r="Q182" s="674">
        <f t="shared" si="41"/>
        <v>0</v>
      </c>
      <c r="R182" s="674" t="str">
        <f t="shared" si="42"/>
        <v>Not Applicable</v>
      </c>
      <c r="S182" s="798" t="str">
        <f>IF($R$7=0,"",IFERROR(VLOOKUP(B182,[3]Sheet1!$C$1:$P$65536,14,FALSE),"NA"))</f>
        <v/>
      </c>
      <c r="T182" s="798">
        <f>IF(O182=0,0,IF(S182="N",0,VLOOKUP(B182,Enrollment!B:J,9,FALSE)))</f>
        <v>0</v>
      </c>
      <c r="U182" s="88">
        <f t="shared" si="43"/>
        <v>294451</v>
      </c>
      <c r="V182" s="71">
        <f t="shared" si="44"/>
        <v>139.61574387982986</v>
      </c>
      <c r="W182" s="449">
        <v>0</v>
      </c>
      <c r="X182" s="67">
        <f>IFERROR(VLOOKUP($B182,'Allocation 2021-22'!$B:$O,14,FALSE),0)</f>
        <v>300775</v>
      </c>
      <c r="Y182" s="163">
        <f t="shared" si="45"/>
        <v>-6324</v>
      </c>
      <c r="Z182" s="166">
        <f t="shared" si="46"/>
        <v>-2.1025683650569362E-2</v>
      </c>
      <c r="AA182" s="34" t="str">
        <f t="shared" si="32"/>
        <v>Y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595</v>
      </c>
      <c r="B183" s="784" t="s">
        <v>157</v>
      </c>
      <c r="C183" s="784" t="s">
        <v>1440</v>
      </c>
      <c r="D183" s="134">
        <f>VLOOKUP(B183,'Enrollment 22-23'!$B:$I,8,FALSE)</f>
        <v>233.34000000000003</v>
      </c>
      <c r="E183" s="67">
        <f t="shared" si="33"/>
        <v>32263</v>
      </c>
      <c r="F183" s="146">
        <v>0</v>
      </c>
      <c r="G183" s="146">
        <v>0</v>
      </c>
      <c r="H183" s="91">
        <f t="shared" si="34"/>
        <v>32263</v>
      </c>
      <c r="I183" s="67">
        <f t="shared" si="35"/>
        <v>0</v>
      </c>
      <c r="J183" s="739">
        <f t="shared" si="36"/>
        <v>32263</v>
      </c>
      <c r="K183" s="837" t="str">
        <f>_xlfn.IFNA(VLOOKUP(B183,'[2]22-23 Survey Results'!$A:$F,6,FALSE),0)</f>
        <v>Y</v>
      </c>
      <c r="L183" s="740">
        <f t="shared" si="37"/>
        <v>0</v>
      </c>
      <c r="M183" s="741">
        <f t="shared" si="38"/>
        <v>233.34000000000003</v>
      </c>
      <c r="N183" s="67">
        <f t="shared" si="39"/>
        <v>315</v>
      </c>
      <c r="O183" s="67">
        <f t="shared" si="40"/>
        <v>32578</v>
      </c>
      <c r="Q183" s="674">
        <f t="shared" si="41"/>
        <v>0</v>
      </c>
      <c r="R183" s="674" t="str">
        <f t="shared" si="42"/>
        <v>Not Applicable</v>
      </c>
      <c r="S183" s="798" t="str">
        <f>IF($R$7=0,"",IFERROR(VLOOKUP(B183,[3]Sheet1!$C$1:$P$65536,14,FALSE),"NA"))</f>
        <v/>
      </c>
      <c r="T183" s="798">
        <f>IF(O183=0,0,IF(S183="N",0,VLOOKUP(B183,Enrollment!B:J,9,FALSE)))</f>
        <v>0</v>
      </c>
      <c r="U183" s="88">
        <f t="shared" si="43"/>
        <v>32578</v>
      </c>
      <c r="V183" s="71">
        <f t="shared" si="44"/>
        <v>139.61601097111509</v>
      </c>
      <c r="W183" s="449">
        <v>31739</v>
      </c>
      <c r="X183" s="67">
        <f>IFERROR(VLOOKUP($B183,'Allocation 2021-22'!$B:$O,14,FALSE),0)</f>
        <v>31619</v>
      </c>
      <c r="Y183" s="163">
        <f t="shared" si="45"/>
        <v>959</v>
      </c>
      <c r="Z183" s="166">
        <f t="shared" si="46"/>
        <v>3.0329864954615895E-2</v>
      </c>
      <c r="AA183" s="34" t="str">
        <f t="shared" si="32"/>
        <v>Y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541</v>
      </c>
      <c r="C184" s="784" t="s">
        <v>1619</v>
      </c>
      <c r="D184" s="134">
        <f>VLOOKUP(B184,'Enrollment 22-23'!$B:$I,8,FALSE)</f>
        <v>0</v>
      </c>
      <c r="E184" s="67">
        <f t="shared" si="33"/>
        <v>0</v>
      </c>
      <c r="F184" s="146">
        <v>0</v>
      </c>
      <c r="G184" s="146">
        <v>0</v>
      </c>
      <c r="H184" s="91">
        <f t="shared" si="34"/>
        <v>0</v>
      </c>
      <c r="I184" s="67">
        <f t="shared" si="35"/>
        <v>0</v>
      </c>
      <c r="J184" s="739">
        <f t="shared" si="36"/>
        <v>0</v>
      </c>
      <c r="K184" s="837">
        <f>_xlfn.IFNA(VLOOKUP(B184,'[2]22-23 Survey Results'!$A:$F,6,FALSE),0)</f>
        <v>0</v>
      </c>
      <c r="L184" s="740">
        <f t="shared" si="37"/>
        <v>0</v>
      </c>
      <c r="M184" s="741">
        <f t="shared" si="38"/>
        <v>0</v>
      </c>
      <c r="N184" s="67">
        <f t="shared" si="39"/>
        <v>0</v>
      </c>
      <c r="O184" s="67">
        <f t="shared" si="40"/>
        <v>0</v>
      </c>
      <c r="Q184" s="674">
        <f t="shared" si="41"/>
        <v>0</v>
      </c>
      <c r="R184" s="674" t="str">
        <f t="shared" si="42"/>
        <v>Not Applicable</v>
      </c>
      <c r="S184" s="798" t="str">
        <f>IF($R$7=0,"",IFERROR(VLOOKUP(B184,[3]Sheet1!$C$1:$P$65536,14,FALSE),"NA"))</f>
        <v/>
      </c>
      <c r="T184" s="798">
        <f>IF(O184=0,0,IF(S184="N",0,VLOOKUP(B184,Enrollment!B:J,9,FALSE)))</f>
        <v>0</v>
      </c>
      <c r="U184" s="88">
        <f t="shared" si="43"/>
        <v>0</v>
      </c>
      <c r="V184" s="71">
        <f t="shared" si="44"/>
        <v>0</v>
      </c>
      <c r="W184" s="449">
        <v>0</v>
      </c>
      <c r="X184" s="67">
        <f>IFERROR(VLOOKUP($B184,'Allocation 2021-22'!$B:$O,14,FALSE),0)</f>
        <v>0</v>
      </c>
      <c r="Y184" s="163">
        <f t="shared" si="45"/>
        <v>0</v>
      </c>
      <c r="Z184" s="166">
        <f t="shared" si="46"/>
        <v>0</v>
      </c>
      <c r="AA184" s="34">
        <f t="shared" si="32"/>
        <v>0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594</v>
      </c>
      <c r="B185" s="784" t="s">
        <v>155</v>
      </c>
      <c r="C185" s="784" t="s">
        <v>1439</v>
      </c>
      <c r="D185" s="134">
        <f>VLOOKUP(B185,'Enrollment 22-23'!$B:$I,8,FALSE)</f>
        <v>38.67</v>
      </c>
      <c r="E185" s="67">
        <f t="shared" si="33"/>
        <v>5347</v>
      </c>
      <c r="F185" s="146">
        <v>0</v>
      </c>
      <c r="G185" s="146">
        <v>0</v>
      </c>
      <c r="H185" s="91">
        <f t="shared" si="34"/>
        <v>5347</v>
      </c>
      <c r="I185" s="67">
        <f t="shared" si="35"/>
        <v>0</v>
      </c>
      <c r="J185" s="739">
        <f t="shared" si="36"/>
        <v>5347</v>
      </c>
      <c r="K185" s="837" t="str">
        <f>_xlfn.IFNA(VLOOKUP(B185,'[2]22-23 Survey Results'!$A:$F,6,FALSE),0)</f>
        <v>C</v>
      </c>
      <c r="L185" s="740">
        <f t="shared" si="37"/>
        <v>0</v>
      </c>
      <c r="M185" s="741">
        <f t="shared" si="38"/>
        <v>38.67</v>
      </c>
      <c r="N185" s="67">
        <f t="shared" si="39"/>
        <v>52</v>
      </c>
      <c r="O185" s="67">
        <f t="shared" si="40"/>
        <v>5399</v>
      </c>
      <c r="Q185" s="674">
        <f t="shared" si="41"/>
        <v>0</v>
      </c>
      <c r="R185" s="674" t="str">
        <f t="shared" si="42"/>
        <v>Not Applicable</v>
      </c>
      <c r="S185" s="798" t="str">
        <f>IF($R$7=0,"",IFERROR(VLOOKUP(B185,[3]Sheet1!$C$1:$P$65536,14,FALSE),"NA"))</f>
        <v/>
      </c>
      <c r="T185" s="798">
        <f>IF(O185=0,0,IF(S185="N",0,VLOOKUP(B185,Enrollment!B:J,9,FALSE)))</f>
        <v>0</v>
      </c>
      <c r="U185" s="88">
        <f t="shared" si="43"/>
        <v>5399</v>
      </c>
      <c r="V185" s="71">
        <f t="shared" si="44"/>
        <v>139.61727437289889</v>
      </c>
      <c r="W185" s="449">
        <v>0</v>
      </c>
      <c r="X185" s="67">
        <f>IFERROR(VLOOKUP($B185,'Allocation 2021-22'!$B:$O,14,FALSE),0)</f>
        <v>6338</v>
      </c>
      <c r="Y185" s="163">
        <f t="shared" si="45"/>
        <v>-939</v>
      </c>
      <c r="Z185" s="166">
        <f t="shared" si="46"/>
        <v>-0.14815399179551908</v>
      </c>
      <c r="AA185" s="34" t="str">
        <f t="shared" si="32"/>
        <v>C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599</v>
      </c>
      <c r="B186" s="784" t="s">
        <v>325</v>
      </c>
      <c r="C186" s="784" t="s">
        <v>712</v>
      </c>
      <c r="D186" s="134">
        <f>VLOOKUP(B186,'Enrollment 22-23'!$B:$I,8,FALSE)</f>
        <v>50.5</v>
      </c>
      <c r="E186" s="67">
        <f t="shared" si="33"/>
        <v>6982</v>
      </c>
      <c r="F186" s="146">
        <v>0</v>
      </c>
      <c r="G186" s="146">
        <v>0</v>
      </c>
      <c r="H186" s="91">
        <f t="shared" si="34"/>
        <v>6982</v>
      </c>
      <c r="I186" s="67">
        <f t="shared" si="35"/>
        <v>0</v>
      </c>
      <c r="J186" s="739">
        <f t="shared" si="36"/>
        <v>6982</v>
      </c>
      <c r="K186" s="837" t="str">
        <f>_xlfn.IFNA(VLOOKUP(B186,'[2]22-23 Survey Results'!$A:$F,6,FALSE),0)</f>
        <v>C</v>
      </c>
      <c r="L186" s="740">
        <f t="shared" si="37"/>
        <v>0</v>
      </c>
      <c r="M186" s="741">
        <f t="shared" si="38"/>
        <v>50.5</v>
      </c>
      <c r="N186" s="67">
        <f t="shared" si="39"/>
        <v>68</v>
      </c>
      <c r="O186" s="67">
        <f t="shared" si="40"/>
        <v>7050</v>
      </c>
      <c r="Q186" s="674">
        <f t="shared" si="41"/>
        <v>0</v>
      </c>
      <c r="R186" s="674" t="str">
        <f t="shared" si="42"/>
        <v>Not Applicable</v>
      </c>
      <c r="S186" s="798" t="str">
        <f>IF($R$7=0,"",IFERROR(VLOOKUP(B186,[3]Sheet1!$C$1:$P$65536,14,FALSE),"NA"))</f>
        <v/>
      </c>
      <c r="T186" s="798">
        <f>IF(O186=0,0,IF(S186="N",0,VLOOKUP(B186,Enrollment!B:J,9,FALSE)))</f>
        <v>0</v>
      </c>
      <c r="U186" s="88">
        <f t="shared" si="43"/>
        <v>7050</v>
      </c>
      <c r="V186" s="71">
        <f t="shared" si="44"/>
        <v>139.60396039603961</v>
      </c>
      <c r="W186" s="449">
        <v>0</v>
      </c>
      <c r="X186" s="67">
        <f>IFERROR(VLOOKUP($B186,'Allocation 2021-22'!$B:$O,14,FALSE),0)</f>
        <v>6360</v>
      </c>
      <c r="Y186" s="163">
        <f t="shared" si="45"/>
        <v>690</v>
      </c>
      <c r="Z186" s="166">
        <f t="shared" si="46"/>
        <v>0.10849056603773585</v>
      </c>
      <c r="AA186" s="34" t="str">
        <f t="shared" si="32"/>
        <v>C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594</v>
      </c>
      <c r="B187" s="784" t="s">
        <v>153</v>
      </c>
      <c r="C187" s="784" t="s">
        <v>1438</v>
      </c>
      <c r="D187" s="134">
        <f>VLOOKUP(B187,'Enrollment 22-23'!$B:$I,8,FALSE)</f>
        <v>52</v>
      </c>
      <c r="E187" s="67">
        <f t="shared" si="33"/>
        <v>7190</v>
      </c>
      <c r="F187" s="146">
        <v>0</v>
      </c>
      <c r="G187" s="146">
        <v>0</v>
      </c>
      <c r="H187" s="91">
        <f t="shared" si="34"/>
        <v>7190</v>
      </c>
      <c r="I187" s="67">
        <f t="shared" si="35"/>
        <v>0</v>
      </c>
      <c r="J187" s="739">
        <f t="shared" si="36"/>
        <v>7190</v>
      </c>
      <c r="K187" s="837" t="str">
        <f>_xlfn.IFNA(VLOOKUP(B187,'[2]22-23 Survey Results'!$A:$F,6,FALSE),0)</f>
        <v>C</v>
      </c>
      <c r="L187" s="740">
        <f t="shared" si="37"/>
        <v>0</v>
      </c>
      <c r="M187" s="741">
        <f t="shared" si="38"/>
        <v>52</v>
      </c>
      <c r="N187" s="67">
        <f t="shared" si="39"/>
        <v>70</v>
      </c>
      <c r="O187" s="67">
        <f t="shared" si="40"/>
        <v>7260</v>
      </c>
      <c r="Q187" s="674">
        <f t="shared" si="41"/>
        <v>0</v>
      </c>
      <c r="R187" s="674" t="str">
        <f t="shared" si="42"/>
        <v>Not Applicable</v>
      </c>
      <c r="S187" s="798" t="str">
        <f>IF($R$7=0,"",IFERROR(VLOOKUP(B187,[3]Sheet1!$C$1:$P$65536,14,FALSE),"NA"))</f>
        <v/>
      </c>
      <c r="T187" s="798">
        <f>IF(O187=0,0,IF(S187="N",0,VLOOKUP(B187,Enrollment!B:J,9,FALSE)))</f>
        <v>0</v>
      </c>
      <c r="U187" s="88">
        <f t="shared" si="43"/>
        <v>7260</v>
      </c>
      <c r="V187" s="71">
        <f t="shared" si="44"/>
        <v>139.61538461538461</v>
      </c>
      <c r="W187" s="449">
        <v>0</v>
      </c>
      <c r="X187" s="67">
        <f>IFERROR(VLOOKUP($B187,'Allocation 2021-22'!$B:$O,14,FALSE),0)</f>
        <v>7825</v>
      </c>
      <c r="Y187" s="163">
        <f t="shared" si="45"/>
        <v>-565</v>
      </c>
      <c r="Z187" s="166">
        <f t="shared" si="46"/>
        <v>-7.2204472843450482E-2</v>
      </c>
      <c r="AA187" s="34" t="str">
        <f t="shared" si="32"/>
        <v>C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603</v>
      </c>
      <c r="B188" s="784" t="s">
        <v>287</v>
      </c>
      <c r="C188" s="784" t="s">
        <v>1497</v>
      </c>
      <c r="D188" s="134">
        <f>VLOOKUP(B188,'Enrollment 22-23'!$B:$I,8,FALSE)</f>
        <v>0</v>
      </c>
      <c r="E188" s="67">
        <f t="shared" si="33"/>
        <v>0</v>
      </c>
      <c r="F188" s="146">
        <v>0</v>
      </c>
      <c r="G188" s="146">
        <v>0</v>
      </c>
      <c r="H188" s="91">
        <f t="shared" si="34"/>
        <v>0</v>
      </c>
      <c r="I188" s="67">
        <f t="shared" si="35"/>
        <v>0</v>
      </c>
      <c r="J188" s="739">
        <f t="shared" si="36"/>
        <v>0</v>
      </c>
      <c r="K188" s="837">
        <f>_xlfn.IFNA(VLOOKUP(B188,'[2]22-23 Survey Results'!$A:$F,6,FALSE),0)</f>
        <v>0</v>
      </c>
      <c r="L188" s="740">
        <f t="shared" si="37"/>
        <v>0</v>
      </c>
      <c r="M188" s="741">
        <f t="shared" si="38"/>
        <v>0</v>
      </c>
      <c r="N188" s="67">
        <f t="shared" si="39"/>
        <v>0</v>
      </c>
      <c r="O188" s="67">
        <f t="shared" si="40"/>
        <v>0</v>
      </c>
      <c r="Q188" s="674">
        <f t="shared" si="41"/>
        <v>0</v>
      </c>
      <c r="R188" s="674" t="str">
        <f t="shared" si="42"/>
        <v>Not Applicable</v>
      </c>
      <c r="S188" s="798" t="str">
        <f>IF($R$7=0,"",IFERROR(VLOOKUP(B188,[3]Sheet1!$C$1:$P$65536,14,FALSE),"NA"))</f>
        <v/>
      </c>
      <c r="T188" s="798">
        <f>IF(O188=0,0,IF(S188="N",0,VLOOKUP(B188,Enrollment!B:J,9,FALSE)))</f>
        <v>0</v>
      </c>
      <c r="U188" s="88">
        <f t="shared" si="43"/>
        <v>0</v>
      </c>
      <c r="V188" s="71">
        <f t="shared" si="44"/>
        <v>0</v>
      </c>
      <c r="W188" s="449">
        <v>0</v>
      </c>
      <c r="X188" s="67">
        <f>IFERROR(VLOOKUP($B188,'Allocation 2021-22'!$B:$O,14,FALSE),0)</f>
        <v>0</v>
      </c>
      <c r="Y188" s="163">
        <f t="shared" si="45"/>
        <v>0</v>
      </c>
      <c r="Z188" s="166">
        <f t="shared" si="46"/>
        <v>0</v>
      </c>
      <c r="AA188" s="34">
        <f t="shared" si="32"/>
        <v>0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601</v>
      </c>
      <c r="B189" s="784" t="s">
        <v>313</v>
      </c>
      <c r="C189" s="784" t="s">
        <v>1509</v>
      </c>
      <c r="D189" s="134">
        <f>VLOOKUP(B189,'Enrollment 22-23'!$B:$I,8,FALSE)</f>
        <v>72.5</v>
      </c>
      <c r="E189" s="67">
        <f t="shared" si="33"/>
        <v>10024</v>
      </c>
      <c r="F189" s="146">
        <v>0</v>
      </c>
      <c r="G189" s="146">
        <v>0</v>
      </c>
      <c r="H189" s="91">
        <f t="shared" si="34"/>
        <v>10024</v>
      </c>
      <c r="I189" s="67">
        <f t="shared" si="35"/>
        <v>0</v>
      </c>
      <c r="J189" s="739">
        <f t="shared" si="36"/>
        <v>10024</v>
      </c>
      <c r="K189" s="837" t="str">
        <f>_xlfn.IFNA(VLOOKUP(B189,'[2]22-23 Survey Results'!$A:$F,6,FALSE),0)</f>
        <v>Y</v>
      </c>
      <c r="L189" s="740">
        <f t="shared" si="37"/>
        <v>0</v>
      </c>
      <c r="M189" s="741">
        <f t="shared" si="38"/>
        <v>72.5</v>
      </c>
      <c r="N189" s="67">
        <f t="shared" si="39"/>
        <v>98</v>
      </c>
      <c r="O189" s="67">
        <f t="shared" si="40"/>
        <v>10122</v>
      </c>
      <c r="Q189" s="674">
        <f t="shared" si="41"/>
        <v>0</v>
      </c>
      <c r="R189" s="674" t="str">
        <f t="shared" si="42"/>
        <v>Not Applicable</v>
      </c>
      <c r="S189" s="798" t="str">
        <f>IF($R$7=0,"",IFERROR(VLOOKUP(B189,[3]Sheet1!$C$1:$P$65536,14,FALSE),"NA"))</f>
        <v/>
      </c>
      <c r="T189" s="798">
        <f>IF(O189=0,0,IF(S189="N",0,VLOOKUP(B189,Enrollment!B:J,9,FALSE)))</f>
        <v>0</v>
      </c>
      <c r="U189" s="88">
        <f t="shared" si="43"/>
        <v>10122</v>
      </c>
      <c r="V189" s="71">
        <f t="shared" si="44"/>
        <v>139.61379310344827</v>
      </c>
      <c r="W189" s="449">
        <v>11988</v>
      </c>
      <c r="X189" s="67">
        <f>IFERROR(VLOOKUP($B189,'Allocation 2021-22'!$B:$O,14,FALSE),0)</f>
        <v>11944</v>
      </c>
      <c r="Y189" s="163">
        <f t="shared" si="45"/>
        <v>-1822</v>
      </c>
      <c r="Z189" s="166">
        <f t="shared" si="46"/>
        <v>-0.15254521098459478</v>
      </c>
      <c r="AA189" s="34" t="str">
        <f t="shared" si="32"/>
        <v>Y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594</v>
      </c>
      <c r="B190" s="784" t="s">
        <v>478</v>
      </c>
      <c r="C190" s="784" t="s">
        <v>1590</v>
      </c>
      <c r="D190" s="134">
        <f>VLOOKUP(B190,'Enrollment 22-23'!$B:$I,8,FALSE)</f>
        <v>314.33</v>
      </c>
      <c r="E190" s="67">
        <f t="shared" si="33"/>
        <v>43461</v>
      </c>
      <c r="F190" s="146">
        <v>0</v>
      </c>
      <c r="G190" s="146">
        <v>0</v>
      </c>
      <c r="H190" s="91">
        <f t="shared" si="34"/>
        <v>43461</v>
      </c>
      <c r="I190" s="67">
        <f t="shared" si="35"/>
        <v>0</v>
      </c>
      <c r="J190" s="739">
        <f t="shared" si="36"/>
        <v>43461</v>
      </c>
      <c r="K190" s="837" t="str">
        <f>_xlfn.IFNA(VLOOKUP(B190,'[2]22-23 Survey Results'!$A:$F,6,FALSE),0)</f>
        <v>Y</v>
      </c>
      <c r="L190" s="740">
        <f t="shared" si="37"/>
        <v>0</v>
      </c>
      <c r="M190" s="741">
        <f t="shared" si="38"/>
        <v>314.33</v>
      </c>
      <c r="N190" s="67">
        <f t="shared" si="39"/>
        <v>424</v>
      </c>
      <c r="O190" s="67">
        <f t="shared" si="40"/>
        <v>43885</v>
      </c>
      <c r="Q190" s="674">
        <f t="shared" si="41"/>
        <v>0</v>
      </c>
      <c r="R190" s="674" t="str">
        <f t="shared" si="42"/>
        <v>Not Applicable</v>
      </c>
      <c r="S190" s="798" t="str">
        <f>IF($R$7=0,"",IFERROR(VLOOKUP(B190,[3]Sheet1!$C$1:$P$65536,14,FALSE),"NA"))</f>
        <v/>
      </c>
      <c r="T190" s="798">
        <f>IF(O190=0,0,IF(S190="N",0,VLOOKUP(B190,Enrollment!B:J,9,FALSE)))</f>
        <v>0</v>
      </c>
      <c r="U190" s="88">
        <f t="shared" si="43"/>
        <v>43885</v>
      </c>
      <c r="V190" s="71">
        <f t="shared" si="44"/>
        <v>139.61441796837718</v>
      </c>
      <c r="W190" s="449">
        <v>40604</v>
      </c>
      <c r="X190" s="67">
        <f>IFERROR(VLOOKUP($B190,'Allocation 2021-22'!$B:$O,14,FALSE),0)</f>
        <v>40452</v>
      </c>
      <c r="Y190" s="163">
        <f t="shared" si="45"/>
        <v>3433</v>
      </c>
      <c r="Z190" s="166">
        <f t="shared" si="46"/>
        <v>8.4866014041332941E-2</v>
      </c>
      <c r="AA190" s="34" t="str">
        <f t="shared" si="32"/>
        <v>Y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601</v>
      </c>
      <c r="B191" s="784" t="s">
        <v>311</v>
      </c>
      <c r="C191" s="784" t="s">
        <v>1508</v>
      </c>
      <c r="D191" s="134">
        <f>VLOOKUP(B191,'Enrollment 22-23'!$B:$I,8,FALSE)</f>
        <v>275.49</v>
      </c>
      <c r="E191" s="67">
        <f t="shared" si="33"/>
        <v>38091</v>
      </c>
      <c r="F191" s="146">
        <v>0</v>
      </c>
      <c r="G191" s="146">
        <v>0</v>
      </c>
      <c r="H191" s="91">
        <f t="shared" si="34"/>
        <v>38091</v>
      </c>
      <c r="I191" s="67">
        <f t="shared" si="35"/>
        <v>0</v>
      </c>
      <c r="J191" s="739">
        <f t="shared" si="36"/>
        <v>38091</v>
      </c>
      <c r="K191" s="837" t="str">
        <f>_xlfn.IFNA(VLOOKUP(B191,'[2]22-23 Survey Results'!$A:$F,6,FALSE),0)</f>
        <v>Y</v>
      </c>
      <c r="L191" s="740">
        <f t="shared" si="37"/>
        <v>0</v>
      </c>
      <c r="M191" s="741">
        <f t="shared" si="38"/>
        <v>275.49</v>
      </c>
      <c r="N191" s="67">
        <f t="shared" si="39"/>
        <v>372</v>
      </c>
      <c r="O191" s="67">
        <f t="shared" si="40"/>
        <v>38463</v>
      </c>
      <c r="Q191" s="674">
        <f t="shared" si="41"/>
        <v>0</v>
      </c>
      <c r="R191" s="674" t="str">
        <f t="shared" si="42"/>
        <v>Not Applicable</v>
      </c>
      <c r="S191" s="798" t="str">
        <f>IF($R$7=0,"",IFERROR(VLOOKUP(B191,[3]Sheet1!$C$1:$P$65536,14,FALSE),"NA"))</f>
        <v/>
      </c>
      <c r="T191" s="798">
        <f>IF(O191=0,0,IF(S191="N",0,VLOOKUP(B191,Enrollment!B:J,9,FALSE)))</f>
        <v>0</v>
      </c>
      <c r="U191" s="88">
        <f t="shared" si="43"/>
        <v>38463</v>
      </c>
      <c r="V191" s="71">
        <f t="shared" si="44"/>
        <v>139.61668300119786</v>
      </c>
      <c r="W191" s="449">
        <v>37733</v>
      </c>
      <c r="X191" s="67">
        <f>IFERROR(VLOOKUP($B191,'Allocation 2021-22'!$B:$O,14,FALSE),0)</f>
        <v>37591</v>
      </c>
      <c r="Y191" s="163">
        <f t="shared" si="45"/>
        <v>872</v>
      </c>
      <c r="Z191" s="166">
        <f t="shared" si="46"/>
        <v>2.3197041845122501E-2</v>
      </c>
      <c r="AA191" s="34" t="str">
        <f t="shared" si="32"/>
        <v>Y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594</v>
      </c>
      <c r="B192" s="784" t="s">
        <v>270</v>
      </c>
      <c r="C192" s="784" t="s">
        <v>1489</v>
      </c>
      <c r="D192" s="134">
        <f>VLOOKUP(B192,'Enrollment 22-23'!$B:$I,8,FALSE)</f>
        <v>21</v>
      </c>
      <c r="E192" s="67">
        <f t="shared" si="33"/>
        <v>2904</v>
      </c>
      <c r="F192" s="146">
        <v>0</v>
      </c>
      <c r="G192" s="146">
        <v>0</v>
      </c>
      <c r="H192" s="91">
        <f t="shared" si="34"/>
        <v>2904</v>
      </c>
      <c r="I192" s="67">
        <f t="shared" si="35"/>
        <v>0</v>
      </c>
      <c r="J192" s="739">
        <f t="shared" si="36"/>
        <v>2904</v>
      </c>
      <c r="K192" s="837" t="str">
        <f>_xlfn.IFNA(VLOOKUP(B192,'[2]22-23 Survey Results'!$A:$F,6,FALSE),0)</f>
        <v>N</v>
      </c>
      <c r="L192" s="740">
        <f t="shared" si="37"/>
        <v>2904</v>
      </c>
      <c r="M192" s="741">
        <f t="shared" si="38"/>
        <v>0</v>
      </c>
      <c r="N192" s="67">
        <f t="shared" si="39"/>
        <v>0</v>
      </c>
      <c r="O192" s="67">
        <f t="shared" si="40"/>
        <v>0</v>
      </c>
      <c r="Q192" s="674">
        <f t="shared" si="41"/>
        <v>0</v>
      </c>
      <c r="R192" s="674" t="str">
        <f t="shared" si="42"/>
        <v>Not Applicable</v>
      </c>
      <c r="S192" s="798" t="str">
        <f>IF($R$7=0,"",IFERROR(VLOOKUP(B192,[3]Sheet1!$C$1:$P$65536,14,FALSE),"NA"))</f>
        <v/>
      </c>
      <c r="T192" s="798">
        <f>IF(O192=0,0,IF(S192="N",0,VLOOKUP(B192,Enrollment!B:J,9,FALSE)))</f>
        <v>0</v>
      </c>
      <c r="U192" s="88">
        <f t="shared" si="43"/>
        <v>0</v>
      </c>
      <c r="V192" s="71">
        <f t="shared" si="44"/>
        <v>0</v>
      </c>
      <c r="W192" s="449">
        <v>0</v>
      </c>
      <c r="X192" s="67">
        <f>IFERROR(VLOOKUP($B192,'Allocation 2021-22'!$B:$O,14,FALSE),0)</f>
        <v>3546</v>
      </c>
      <c r="Y192" s="163">
        <f t="shared" si="45"/>
        <v>-3546</v>
      </c>
      <c r="Z192" s="166">
        <f t="shared" si="46"/>
        <v>-1</v>
      </c>
      <c r="AA192" s="34" t="str">
        <f t="shared" si="32"/>
        <v>N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603</v>
      </c>
      <c r="B193" s="784" t="s">
        <v>448</v>
      </c>
      <c r="C193" s="784" t="s">
        <v>1576</v>
      </c>
      <c r="D193" s="134">
        <f>VLOOKUP(B193,'Enrollment 22-23'!$B:$I,8,FALSE)</f>
        <v>0</v>
      </c>
      <c r="E193" s="67">
        <f t="shared" si="33"/>
        <v>0</v>
      </c>
      <c r="F193" s="146">
        <v>0</v>
      </c>
      <c r="G193" s="146">
        <v>0</v>
      </c>
      <c r="H193" s="91">
        <f t="shared" si="34"/>
        <v>0</v>
      </c>
      <c r="I193" s="67">
        <f t="shared" si="35"/>
        <v>0</v>
      </c>
      <c r="J193" s="739">
        <f t="shared" si="36"/>
        <v>0</v>
      </c>
      <c r="K193" s="837">
        <f>_xlfn.IFNA(VLOOKUP(B193,'[2]22-23 Survey Results'!$A:$F,6,FALSE),0)</f>
        <v>0</v>
      </c>
      <c r="L193" s="740">
        <f t="shared" si="37"/>
        <v>0</v>
      </c>
      <c r="M193" s="741">
        <f t="shared" si="38"/>
        <v>0</v>
      </c>
      <c r="N193" s="67">
        <f t="shared" si="39"/>
        <v>0</v>
      </c>
      <c r="O193" s="67">
        <f t="shared" si="40"/>
        <v>0</v>
      </c>
      <c r="Q193" s="674">
        <f t="shared" si="41"/>
        <v>0</v>
      </c>
      <c r="R193" s="674" t="str">
        <f t="shared" si="42"/>
        <v>Not Applicable</v>
      </c>
      <c r="S193" s="798" t="str">
        <f>IF($R$7=0,"",IFERROR(VLOOKUP(B193,[3]Sheet1!$C$1:$P$65536,14,FALSE),"NA"))</f>
        <v/>
      </c>
      <c r="T193" s="798">
        <f>IF(O193=0,0,IF(S193="N",0,VLOOKUP(B193,Enrollment!B:J,9,FALSE)))</f>
        <v>0</v>
      </c>
      <c r="U193" s="88">
        <f t="shared" si="43"/>
        <v>0</v>
      </c>
      <c r="V193" s="71">
        <f t="shared" si="44"/>
        <v>0</v>
      </c>
      <c r="W193" s="449">
        <v>0</v>
      </c>
      <c r="X193" s="67">
        <f>IFERROR(VLOOKUP($B193,'Allocation 2021-22'!$B:$O,14,FALSE),0)</f>
        <v>0</v>
      </c>
      <c r="Y193" s="163">
        <f t="shared" si="45"/>
        <v>0</v>
      </c>
      <c r="Z193" s="166">
        <f t="shared" si="46"/>
        <v>0</v>
      </c>
      <c r="AA193" s="34">
        <f t="shared" si="32"/>
        <v>0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595</v>
      </c>
      <c r="B194" s="784" t="s">
        <v>372</v>
      </c>
      <c r="C194" s="784" t="s">
        <v>1538</v>
      </c>
      <c r="D194" s="134">
        <f>VLOOKUP(B194,'Enrollment 22-23'!$B:$I,8,FALSE)</f>
        <v>33.840000000000003</v>
      </c>
      <c r="E194" s="67">
        <f t="shared" si="33"/>
        <v>4679</v>
      </c>
      <c r="F194" s="146">
        <v>0</v>
      </c>
      <c r="G194" s="146">
        <v>0</v>
      </c>
      <c r="H194" s="91">
        <f t="shared" si="34"/>
        <v>4679</v>
      </c>
      <c r="I194" s="67">
        <f t="shared" si="35"/>
        <v>0</v>
      </c>
      <c r="J194" s="739">
        <f t="shared" si="36"/>
        <v>4679</v>
      </c>
      <c r="K194" s="837" t="str">
        <f>_xlfn.IFNA(VLOOKUP(B194,'[2]22-23 Survey Results'!$A:$F,6,FALSE),0)</f>
        <v>C</v>
      </c>
      <c r="L194" s="740">
        <f t="shared" si="37"/>
        <v>0</v>
      </c>
      <c r="M194" s="741">
        <f t="shared" si="38"/>
        <v>33.840000000000003</v>
      </c>
      <c r="N194" s="67">
        <f t="shared" si="39"/>
        <v>46</v>
      </c>
      <c r="O194" s="67">
        <f t="shared" si="40"/>
        <v>4725</v>
      </c>
      <c r="Q194" s="674">
        <f t="shared" si="41"/>
        <v>0</v>
      </c>
      <c r="R194" s="674" t="str">
        <f t="shared" si="42"/>
        <v>Not Applicable</v>
      </c>
      <c r="S194" s="798" t="str">
        <f>IF($R$7=0,"",IFERROR(VLOOKUP(B194,[3]Sheet1!$C$1:$P$65536,14,FALSE),"NA"))</f>
        <v/>
      </c>
      <c r="T194" s="798">
        <f>IF(O194=0,0,IF(S194="N",0,VLOOKUP(B194,Enrollment!B:J,9,FALSE)))</f>
        <v>0</v>
      </c>
      <c r="U194" s="88">
        <f t="shared" si="43"/>
        <v>4725</v>
      </c>
      <c r="V194" s="71">
        <f t="shared" si="44"/>
        <v>139.62765957446808</v>
      </c>
      <c r="W194" s="449">
        <v>0</v>
      </c>
      <c r="X194" s="67">
        <f>IFERROR(VLOOKUP($B194,'Allocation 2021-22'!$B:$O,14,FALSE),0)</f>
        <v>4462</v>
      </c>
      <c r="Y194" s="163">
        <f t="shared" si="45"/>
        <v>263</v>
      </c>
      <c r="Z194" s="166">
        <f t="shared" si="46"/>
        <v>5.8942178395338413E-2</v>
      </c>
      <c r="AA194" s="34" t="str">
        <f t="shared" si="32"/>
        <v>C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603</v>
      </c>
      <c r="B195" s="784" t="s">
        <v>424</v>
      </c>
      <c r="C195" s="784" t="s">
        <v>1563</v>
      </c>
      <c r="D195" s="134">
        <f>VLOOKUP(B195,'Enrollment 22-23'!$B:$I,8,FALSE)</f>
        <v>2.33</v>
      </c>
      <c r="E195" s="67">
        <f t="shared" si="33"/>
        <v>322</v>
      </c>
      <c r="F195" s="146">
        <v>0</v>
      </c>
      <c r="G195" s="146">
        <v>0</v>
      </c>
      <c r="H195" s="91">
        <f t="shared" si="34"/>
        <v>322</v>
      </c>
      <c r="I195" s="67">
        <f t="shared" si="35"/>
        <v>0</v>
      </c>
      <c r="J195" s="739">
        <f t="shared" si="36"/>
        <v>322</v>
      </c>
      <c r="K195" s="837" t="str">
        <f>_xlfn.IFNA(VLOOKUP(B195,'[2]22-23 Survey Results'!$A:$F,6,FALSE),0)</f>
        <v>N</v>
      </c>
      <c r="L195" s="740">
        <f t="shared" si="37"/>
        <v>322</v>
      </c>
      <c r="M195" s="741">
        <f t="shared" si="38"/>
        <v>0</v>
      </c>
      <c r="N195" s="67">
        <f t="shared" si="39"/>
        <v>0</v>
      </c>
      <c r="O195" s="67">
        <f t="shared" si="40"/>
        <v>0</v>
      </c>
      <c r="Q195" s="674">
        <f t="shared" si="41"/>
        <v>0</v>
      </c>
      <c r="R195" s="674" t="str">
        <f t="shared" si="42"/>
        <v>Not Applicable</v>
      </c>
      <c r="S195" s="798" t="str">
        <f>IF($R$7=0,"",IFERROR(VLOOKUP(B195,[3]Sheet1!$C$1:$P$65536,14,FALSE),"NA"))</f>
        <v/>
      </c>
      <c r="T195" s="798">
        <f>IF(O195=0,0,IF(S195="N",0,VLOOKUP(B195,Enrollment!B:J,9,FALSE)))</f>
        <v>0</v>
      </c>
      <c r="U195" s="88">
        <f t="shared" si="43"/>
        <v>0</v>
      </c>
      <c r="V195" s="71">
        <f t="shared" si="44"/>
        <v>0</v>
      </c>
      <c r="W195" s="449">
        <v>0</v>
      </c>
      <c r="X195" s="67">
        <f>IFERROR(VLOOKUP($B195,'Allocation 2021-22'!$B:$O,14,FALSE),0)</f>
        <v>0</v>
      </c>
      <c r="Y195" s="163">
        <f t="shared" si="45"/>
        <v>0</v>
      </c>
      <c r="Z195" s="166">
        <f t="shared" si="46"/>
        <v>0</v>
      </c>
      <c r="AA195" s="34" t="str">
        <f t="shared" si="32"/>
        <v>N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603</v>
      </c>
      <c r="B196" s="784" t="s">
        <v>98</v>
      </c>
      <c r="C196" s="784" t="s">
        <v>1413</v>
      </c>
      <c r="D196" s="134">
        <f>VLOOKUP(B196,'Enrollment 22-23'!$B:$I,8,FALSE)</f>
        <v>0</v>
      </c>
      <c r="E196" s="67">
        <f t="shared" si="33"/>
        <v>0</v>
      </c>
      <c r="F196" s="146">
        <v>0</v>
      </c>
      <c r="G196" s="146">
        <v>0</v>
      </c>
      <c r="H196" s="91">
        <f t="shared" si="34"/>
        <v>0</v>
      </c>
      <c r="I196" s="67">
        <f t="shared" si="35"/>
        <v>0</v>
      </c>
      <c r="J196" s="739">
        <f t="shared" si="36"/>
        <v>0</v>
      </c>
      <c r="K196" s="837">
        <f>_xlfn.IFNA(VLOOKUP(B196,'[2]22-23 Survey Results'!$A:$F,6,FALSE),0)</f>
        <v>0</v>
      </c>
      <c r="L196" s="740">
        <f t="shared" si="37"/>
        <v>0</v>
      </c>
      <c r="M196" s="741">
        <f t="shared" si="38"/>
        <v>0</v>
      </c>
      <c r="N196" s="67">
        <f t="shared" si="39"/>
        <v>0</v>
      </c>
      <c r="O196" s="67">
        <f t="shared" si="40"/>
        <v>0</v>
      </c>
      <c r="Q196" s="674">
        <f t="shared" si="41"/>
        <v>0</v>
      </c>
      <c r="R196" s="674" t="str">
        <f t="shared" si="42"/>
        <v>Not Applicable</v>
      </c>
      <c r="S196" s="798" t="str">
        <f>IF($R$7=0,"",IFERROR(VLOOKUP(B196,[3]Sheet1!$C$1:$P$65536,14,FALSE),"NA"))</f>
        <v/>
      </c>
      <c r="T196" s="798">
        <f>IF(O196=0,0,IF(S196="N",0,VLOOKUP(B196,Enrollment!B:J,9,FALSE)))</f>
        <v>0</v>
      </c>
      <c r="U196" s="88">
        <f t="shared" si="43"/>
        <v>0</v>
      </c>
      <c r="V196" s="71">
        <f t="shared" si="44"/>
        <v>0</v>
      </c>
      <c r="W196" s="449">
        <v>0</v>
      </c>
      <c r="X196" s="67">
        <f>IFERROR(VLOOKUP($B196,'Allocation 2021-22'!$B:$O,14,FALSE),0)</f>
        <v>0</v>
      </c>
      <c r="Y196" s="163">
        <f t="shared" si="45"/>
        <v>0</v>
      </c>
      <c r="Z196" s="166">
        <f t="shared" si="46"/>
        <v>0</v>
      </c>
      <c r="AA196" s="34">
        <f t="shared" si="32"/>
        <v>0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601</v>
      </c>
      <c r="B197" s="784" t="s">
        <v>82</v>
      </c>
      <c r="C197" s="784" t="s">
        <v>1405</v>
      </c>
      <c r="D197" s="134">
        <f>VLOOKUP(B197,'Enrollment 22-23'!$B:$I,8,FALSE)</f>
        <v>59.33</v>
      </c>
      <c r="E197" s="67">
        <f t="shared" si="33"/>
        <v>8203</v>
      </c>
      <c r="F197" s="146">
        <v>0</v>
      </c>
      <c r="G197" s="146">
        <v>0</v>
      </c>
      <c r="H197" s="91">
        <f t="shared" si="34"/>
        <v>8203</v>
      </c>
      <c r="I197" s="67">
        <f t="shared" si="35"/>
        <v>0</v>
      </c>
      <c r="J197" s="739">
        <f t="shared" si="36"/>
        <v>8203</v>
      </c>
      <c r="K197" s="837" t="str">
        <f>_xlfn.IFNA(VLOOKUP(B197,'[2]22-23 Survey Results'!$A:$F,6,FALSE),0)</f>
        <v>C</v>
      </c>
      <c r="L197" s="740">
        <f t="shared" si="37"/>
        <v>0</v>
      </c>
      <c r="M197" s="741">
        <f t="shared" si="38"/>
        <v>59.33</v>
      </c>
      <c r="N197" s="67">
        <f t="shared" si="39"/>
        <v>80</v>
      </c>
      <c r="O197" s="67">
        <f t="shared" si="40"/>
        <v>8283</v>
      </c>
      <c r="Q197" s="674">
        <f t="shared" si="41"/>
        <v>0</v>
      </c>
      <c r="R197" s="674" t="str">
        <f t="shared" si="42"/>
        <v>Not Applicable</v>
      </c>
      <c r="S197" s="798" t="str">
        <f>IF($R$7=0,"",IFERROR(VLOOKUP(B197,[3]Sheet1!$C$1:$P$65536,14,FALSE),"NA"))</f>
        <v/>
      </c>
      <c r="T197" s="798">
        <f>IF(O197=0,0,IF(S197="N",0,VLOOKUP(B197,Enrollment!B:J,9,FALSE)))</f>
        <v>0</v>
      </c>
      <c r="U197" s="88">
        <f t="shared" si="43"/>
        <v>8283</v>
      </c>
      <c r="V197" s="71">
        <f t="shared" si="44"/>
        <v>139.60896679588743</v>
      </c>
      <c r="W197" s="449">
        <v>0</v>
      </c>
      <c r="X197" s="67">
        <f>IFERROR(VLOOKUP($B197,'Allocation 2021-22'!$B:$O,14,FALSE),0)</f>
        <v>9060</v>
      </c>
      <c r="Y197" s="163">
        <f t="shared" si="45"/>
        <v>-777</v>
      </c>
      <c r="Z197" s="166">
        <f t="shared" si="46"/>
        <v>-8.5761589403973507E-2</v>
      </c>
      <c r="AA197" s="34" t="str">
        <f t="shared" si="32"/>
        <v>C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601</v>
      </c>
      <c r="B198" s="784" t="s">
        <v>323</v>
      </c>
      <c r="C198" s="784" t="s">
        <v>1513</v>
      </c>
      <c r="D198" s="134">
        <f>VLOOKUP(B198,'Enrollment 22-23'!$B:$I,8,FALSE)</f>
        <v>63</v>
      </c>
      <c r="E198" s="67">
        <f t="shared" si="33"/>
        <v>8711</v>
      </c>
      <c r="F198" s="146">
        <v>0</v>
      </c>
      <c r="G198" s="146">
        <v>0</v>
      </c>
      <c r="H198" s="91">
        <f t="shared" si="34"/>
        <v>8711</v>
      </c>
      <c r="I198" s="67">
        <f t="shared" si="35"/>
        <v>0</v>
      </c>
      <c r="J198" s="739">
        <f t="shared" si="36"/>
        <v>8711</v>
      </c>
      <c r="K198" s="837" t="str">
        <f>_xlfn.IFNA(VLOOKUP(B198,'[2]22-23 Survey Results'!$A:$F,6,FALSE),0)</f>
        <v>N</v>
      </c>
      <c r="L198" s="740">
        <f t="shared" si="37"/>
        <v>8711</v>
      </c>
      <c r="M198" s="741">
        <f t="shared" si="38"/>
        <v>0</v>
      </c>
      <c r="N198" s="67">
        <f t="shared" si="39"/>
        <v>0</v>
      </c>
      <c r="O198" s="67">
        <f t="shared" si="40"/>
        <v>0</v>
      </c>
      <c r="Q198" s="674">
        <f t="shared" si="41"/>
        <v>0</v>
      </c>
      <c r="R198" s="674" t="str">
        <f t="shared" si="42"/>
        <v>Not Applicable</v>
      </c>
      <c r="S198" s="798" t="str">
        <f>IF($R$7=0,"",IFERROR(VLOOKUP(B198,[3]Sheet1!$C$1:$P$65536,14,FALSE),"NA"))</f>
        <v/>
      </c>
      <c r="T198" s="798">
        <f>IF(O198=0,0,IF(S198="N",0,VLOOKUP(B198,Enrollment!B:J,9,FALSE)))</f>
        <v>0</v>
      </c>
      <c r="U198" s="88">
        <f t="shared" si="43"/>
        <v>0</v>
      </c>
      <c r="V198" s="71">
        <f t="shared" si="44"/>
        <v>0</v>
      </c>
      <c r="W198" s="449">
        <v>0</v>
      </c>
      <c r="X198" s="67">
        <f>IFERROR(VLOOKUP($B198,'Allocation 2021-22'!$B:$O,14,FALSE),0)</f>
        <v>0</v>
      </c>
      <c r="Y198" s="163">
        <f t="shared" si="45"/>
        <v>0</v>
      </c>
      <c r="Z198" s="166">
        <f t="shared" si="46"/>
        <v>0</v>
      </c>
      <c r="AA198" s="34" t="str">
        <f t="shared" si="32"/>
        <v>N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355</v>
      </c>
      <c r="C199" s="784" t="s">
        <v>1529</v>
      </c>
      <c r="D199" s="134">
        <f>VLOOKUP(B199,'Enrollment 22-23'!$B:$I,8,FALSE)</f>
        <v>76.67</v>
      </c>
      <c r="E199" s="67">
        <f t="shared" si="33"/>
        <v>10601</v>
      </c>
      <c r="F199" s="146">
        <v>0</v>
      </c>
      <c r="G199" s="146">
        <v>0</v>
      </c>
      <c r="H199" s="91">
        <f t="shared" si="34"/>
        <v>10601</v>
      </c>
      <c r="I199" s="67">
        <f t="shared" si="35"/>
        <v>0</v>
      </c>
      <c r="J199" s="739">
        <f t="shared" si="36"/>
        <v>10601</v>
      </c>
      <c r="K199" s="837" t="str">
        <f>_xlfn.IFNA(VLOOKUP(B199,'[2]22-23 Survey Results'!$A:$F,6,FALSE),0)</f>
        <v>Y</v>
      </c>
      <c r="L199" s="740">
        <f t="shared" si="37"/>
        <v>0</v>
      </c>
      <c r="M199" s="741">
        <f t="shared" si="38"/>
        <v>76.67</v>
      </c>
      <c r="N199" s="67">
        <f t="shared" si="39"/>
        <v>103</v>
      </c>
      <c r="O199" s="67">
        <f t="shared" si="40"/>
        <v>10704</v>
      </c>
      <c r="Q199" s="674">
        <f t="shared" si="41"/>
        <v>0</v>
      </c>
      <c r="R199" s="674" t="str">
        <f t="shared" si="42"/>
        <v>Not Applicable</v>
      </c>
      <c r="S199" s="798" t="str">
        <f>IF($R$7=0,"",IFERROR(VLOOKUP(B199,[3]Sheet1!$C$1:$P$65536,14,FALSE),"NA"))</f>
        <v/>
      </c>
      <c r="T199" s="798">
        <f>IF(O199=0,0,IF(S199="N",0,VLOOKUP(B199,Enrollment!B:J,9,FALSE)))</f>
        <v>0</v>
      </c>
      <c r="U199" s="88">
        <f t="shared" si="43"/>
        <v>10704</v>
      </c>
      <c r="V199" s="71">
        <f t="shared" si="44"/>
        <v>139.61132124690229</v>
      </c>
      <c r="W199" s="449">
        <v>0</v>
      </c>
      <c r="X199" s="67">
        <f>IFERROR(VLOOKUP($B199,'Allocation 2021-22'!$B:$O,14,FALSE),0)</f>
        <v>8580</v>
      </c>
      <c r="Y199" s="163">
        <f t="shared" si="45"/>
        <v>2124</v>
      </c>
      <c r="Z199" s="166">
        <f t="shared" si="46"/>
        <v>0.24755244755244754</v>
      </c>
      <c r="AA199" s="34" t="str">
        <f t="shared" si="32"/>
        <v>Y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596</v>
      </c>
      <c r="B200" s="784" t="s">
        <v>4</v>
      </c>
      <c r="C200" s="784" t="s">
        <v>632</v>
      </c>
      <c r="D200" s="134">
        <f>VLOOKUP(B200,'Enrollment 22-23'!$B:$I,8,FALSE)</f>
        <v>1789.5</v>
      </c>
      <c r="E200" s="67">
        <f t="shared" si="33"/>
        <v>247427</v>
      </c>
      <c r="F200" s="146">
        <v>0</v>
      </c>
      <c r="G200" s="146">
        <v>0</v>
      </c>
      <c r="H200" s="91">
        <f t="shared" si="34"/>
        <v>247427</v>
      </c>
      <c r="I200" s="67">
        <f t="shared" si="35"/>
        <v>0</v>
      </c>
      <c r="J200" s="739">
        <f t="shared" si="36"/>
        <v>247427</v>
      </c>
      <c r="K200" s="837" t="str">
        <f>_xlfn.IFNA(VLOOKUP(B200,'[2]22-23 Survey Results'!$A:$F,6,FALSE),0)</f>
        <v>Y</v>
      </c>
      <c r="L200" s="740">
        <f t="shared" si="37"/>
        <v>0</v>
      </c>
      <c r="M200" s="741">
        <f t="shared" si="38"/>
        <v>1789.5</v>
      </c>
      <c r="N200" s="67">
        <f t="shared" si="39"/>
        <v>2416</v>
      </c>
      <c r="O200" s="67">
        <f t="shared" si="40"/>
        <v>249843</v>
      </c>
      <c r="Q200" s="674">
        <f t="shared" si="41"/>
        <v>0</v>
      </c>
      <c r="R200" s="674" t="str">
        <f t="shared" si="42"/>
        <v>Not Applicable</v>
      </c>
      <c r="S200" s="798" t="str">
        <f>IF($R$7=0,"",IFERROR(VLOOKUP(B200,[3]Sheet1!$C$1:$P$65536,14,FALSE),"NA"))</f>
        <v/>
      </c>
      <c r="T200" s="798">
        <f>IF(O200=0,0,IF(S200="N",0,VLOOKUP(B200,Enrollment!B:J,9,FALSE)))</f>
        <v>0</v>
      </c>
      <c r="U200" s="88">
        <f t="shared" si="43"/>
        <v>249843</v>
      </c>
      <c r="V200" s="71">
        <f t="shared" si="44"/>
        <v>139.61609388097233</v>
      </c>
      <c r="W200" s="449">
        <v>242245</v>
      </c>
      <c r="X200" s="67">
        <f>IFERROR(VLOOKUP($B200,'Allocation 2021-22'!$B:$O,14,FALSE),0)</f>
        <v>241333</v>
      </c>
      <c r="Y200" s="163">
        <f t="shared" si="45"/>
        <v>8510</v>
      </c>
      <c r="Z200" s="166">
        <f t="shared" si="46"/>
        <v>3.5262479644308904E-2</v>
      </c>
      <c r="AA200" s="34" t="str">
        <f t="shared" si="32"/>
        <v>Y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601</v>
      </c>
      <c r="B201" s="784" t="s">
        <v>86</v>
      </c>
      <c r="C201" s="784" t="s">
        <v>1407</v>
      </c>
      <c r="D201" s="134">
        <f>VLOOKUP(B201,'Enrollment 22-23'!$B:$I,8,FALSE)</f>
        <v>8.17</v>
      </c>
      <c r="E201" s="67">
        <f t="shared" si="33"/>
        <v>1130</v>
      </c>
      <c r="F201" s="146">
        <v>0</v>
      </c>
      <c r="G201" s="146">
        <v>0</v>
      </c>
      <c r="H201" s="91">
        <f t="shared" si="34"/>
        <v>1130</v>
      </c>
      <c r="I201" s="67">
        <f t="shared" si="35"/>
        <v>0</v>
      </c>
      <c r="J201" s="739">
        <f t="shared" si="36"/>
        <v>1130</v>
      </c>
      <c r="K201" s="837" t="str">
        <f>_xlfn.IFNA(VLOOKUP(B201,'[2]22-23 Survey Results'!$A:$F,6,FALSE),0)</f>
        <v>N</v>
      </c>
      <c r="L201" s="740">
        <f t="shared" si="37"/>
        <v>1130</v>
      </c>
      <c r="M201" s="741">
        <f t="shared" si="38"/>
        <v>0</v>
      </c>
      <c r="N201" s="67">
        <f t="shared" si="39"/>
        <v>0</v>
      </c>
      <c r="O201" s="67">
        <f t="shared" si="40"/>
        <v>0</v>
      </c>
      <c r="Q201" s="674">
        <f t="shared" si="41"/>
        <v>0</v>
      </c>
      <c r="R201" s="674" t="str">
        <f t="shared" si="42"/>
        <v>Not Applicable</v>
      </c>
      <c r="S201" s="798" t="str">
        <f>IF($R$7=0,"",IFERROR(VLOOKUP(B201,[3]Sheet1!$C$1:$P$65536,14,FALSE),"NA"))</f>
        <v/>
      </c>
      <c r="T201" s="798">
        <f>IF(O201=0,0,IF(S201="N",0,VLOOKUP(B201,Enrollment!B:J,9,FALSE)))</f>
        <v>0</v>
      </c>
      <c r="U201" s="88">
        <f t="shared" si="43"/>
        <v>0</v>
      </c>
      <c r="V201" s="71">
        <f t="shared" si="44"/>
        <v>0</v>
      </c>
      <c r="W201" s="449">
        <v>0</v>
      </c>
      <c r="X201" s="67">
        <f>IFERROR(VLOOKUP($B201,'Allocation 2021-22'!$B:$O,14,FALSE),0)</f>
        <v>0</v>
      </c>
      <c r="Y201" s="163">
        <f t="shared" si="45"/>
        <v>0</v>
      </c>
      <c r="Z201" s="166">
        <f t="shared" si="46"/>
        <v>0</v>
      </c>
      <c r="AA201" s="34" t="str">
        <f t="shared" ref="AA201:AA264" si="47">IF(ISERROR(VLOOKUP(B201,$AC$9:$AC$38,2,0)),K201,"C")</f>
        <v>N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603</v>
      </c>
      <c r="B202" s="784" t="s">
        <v>527</v>
      </c>
      <c r="C202" s="784" t="s">
        <v>1612</v>
      </c>
      <c r="D202" s="134">
        <f>VLOOKUP(B202,'Enrollment 22-23'!$B:$I,8,FALSE)</f>
        <v>0</v>
      </c>
      <c r="E202" s="67">
        <f t="shared" ref="E202:E265" si="48">ROUND($D202/$D$7*$E$6,0)</f>
        <v>0</v>
      </c>
      <c r="F202" s="146">
        <v>0</v>
      </c>
      <c r="G202" s="146">
        <v>0</v>
      </c>
      <c r="H202" s="91">
        <f t="shared" ref="H202:H265" si="49">SUM(E202:G202)</f>
        <v>0</v>
      </c>
      <c r="I202" s="67">
        <f t="shared" ref="I202:I265" si="50">ROUND($D202/$D$7*$I$6,0)</f>
        <v>0</v>
      </c>
      <c r="J202" s="739">
        <f t="shared" ref="J202:J265" si="51">+H202+I202</f>
        <v>0</v>
      </c>
      <c r="K202" s="837">
        <f>_xlfn.IFNA(VLOOKUP(B202,'[2]22-23 Survey Results'!$A:$F,6,FALSE),0)</f>
        <v>0</v>
      </c>
      <c r="L202" s="740">
        <f t="shared" ref="L202:L265" si="52">IF(OR(K202="N",K202="NR",AND(J202&lt;$L$6,K202&lt;&gt;"C")),J202,0)</f>
        <v>0</v>
      </c>
      <c r="M202" s="741">
        <f t="shared" ref="M202:M265" si="53">IF(L202=0,D202,0)</f>
        <v>0</v>
      </c>
      <c r="N202" s="67">
        <f t="shared" ref="N202:N265" si="54">ROUND(M202/$M$7*$L$3,0)</f>
        <v>0</v>
      </c>
      <c r="O202" s="67">
        <f t="shared" ref="O202:O265" si="55">J202-L202+N202</f>
        <v>0</v>
      </c>
      <c r="Q202" s="674">
        <f t="shared" ref="Q202:Q265" si="56">-ROUND(IF(P202&gt;0,O202*(0.9-P202),0),0)</f>
        <v>0</v>
      </c>
      <c r="R202" s="674" t="str">
        <f t="shared" ref="R202:R265" si="57">IF($R$7=0,"Not Applicable",T202*($R$7/$T$7))</f>
        <v>Not Applicable</v>
      </c>
      <c r="S202" s="798" t="str">
        <f>IF($R$7=0,"",IFERROR(VLOOKUP(B202,[3]Sheet1!$C$1:$P$65536,14,FALSE),"NA"))</f>
        <v/>
      </c>
      <c r="T202" s="798">
        <f>IF(O202=0,0,IF(S202="N",0,VLOOKUP(B202,Enrollment!B:J,9,FALSE)))</f>
        <v>0</v>
      </c>
      <c r="U202" s="88">
        <f t="shared" ref="U202:U265" si="58">IF(ISNUMBER(R202),O202+R202,O202)</f>
        <v>0</v>
      </c>
      <c r="V202" s="71">
        <f t="shared" ref="V202:V265" si="59">IF(M202=0,0,O202/M202)</f>
        <v>0</v>
      </c>
      <c r="W202" s="449">
        <v>0</v>
      </c>
      <c r="X202" s="67">
        <f>IFERROR(VLOOKUP($B202,'Allocation 2021-22'!$B:$O,14,FALSE),0)</f>
        <v>0</v>
      </c>
      <c r="Y202" s="163">
        <f t="shared" ref="Y202:Y265" si="60">O202-X202</f>
        <v>0</v>
      </c>
      <c r="Z202" s="166">
        <f t="shared" ref="Z202:Z265" si="61">IFERROR(IF(X202&gt;0,Y202/X202,0),0)</f>
        <v>0</v>
      </c>
      <c r="AA202" s="34">
        <f t="shared" si="47"/>
        <v>0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596</v>
      </c>
      <c r="B203" s="784" t="s">
        <v>104</v>
      </c>
      <c r="C203" s="784" t="s">
        <v>1416</v>
      </c>
      <c r="D203" s="134">
        <f>VLOOKUP(B203,'Enrollment 22-23'!$B:$I,8,FALSE)</f>
        <v>6351.33</v>
      </c>
      <c r="E203" s="67">
        <f t="shared" si="48"/>
        <v>878172</v>
      </c>
      <c r="F203" s="146">
        <v>0</v>
      </c>
      <c r="G203" s="146">
        <v>0</v>
      </c>
      <c r="H203" s="91">
        <f t="shared" si="49"/>
        <v>878172</v>
      </c>
      <c r="I203" s="67">
        <f t="shared" si="50"/>
        <v>0</v>
      </c>
      <c r="J203" s="739">
        <f t="shared" si="51"/>
        <v>878172</v>
      </c>
      <c r="K203" s="837" t="str">
        <f>_xlfn.IFNA(VLOOKUP(B203,'[2]22-23 Survey Results'!$A:$F,6,FALSE),0)</f>
        <v>Y</v>
      </c>
      <c r="L203" s="740">
        <f t="shared" si="52"/>
        <v>0</v>
      </c>
      <c r="M203" s="741">
        <f t="shared" si="53"/>
        <v>6351.33</v>
      </c>
      <c r="N203" s="67">
        <f t="shared" si="54"/>
        <v>8573</v>
      </c>
      <c r="O203" s="67">
        <f t="shared" si="55"/>
        <v>886745</v>
      </c>
      <c r="Q203" s="674">
        <f t="shared" si="56"/>
        <v>0</v>
      </c>
      <c r="R203" s="674" t="str">
        <f t="shared" si="57"/>
        <v>Not Applicable</v>
      </c>
      <c r="S203" s="798" t="str">
        <f>IF($R$7=0,"",IFERROR(VLOOKUP(B203,[3]Sheet1!$C$1:$P$65536,14,FALSE),"NA"))</f>
        <v/>
      </c>
      <c r="T203" s="798">
        <f>IF(O203=0,0,IF(S203="N",0,VLOOKUP(B203,Enrollment!B:J,9,FALSE)))</f>
        <v>0</v>
      </c>
      <c r="U203" s="88">
        <f t="shared" si="58"/>
        <v>886745</v>
      </c>
      <c r="V203" s="71">
        <f t="shared" si="59"/>
        <v>139.61563955895852</v>
      </c>
      <c r="W203" s="449">
        <v>839568</v>
      </c>
      <c r="X203" s="67">
        <f>IFERROR(VLOOKUP($B203,'Allocation 2021-22'!$B:$O,14,FALSE),0)</f>
        <v>831602</v>
      </c>
      <c r="Y203" s="163">
        <f t="shared" si="60"/>
        <v>55143</v>
      </c>
      <c r="Z203" s="166">
        <f t="shared" si="61"/>
        <v>6.630936433534311E-2</v>
      </c>
      <c r="AA203" s="34" t="str">
        <f t="shared" si="47"/>
        <v>Y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601</v>
      </c>
      <c r="B204" s="784" t="s">
        <v>317</v>
      </c>
      <c r="C204" s="784" t="s">
        <v>1511</v>
      </c>
      <c r="D204" s="134">
        <f>VLOOKUP(B204,'Enrollment 22-23'!$B:$I,8,FALSE)</f>
        <v>31.67</v>
      </c>
      <c r="E204" s="67">
        <f t="shared" si="48"/>
        <v>4379</v>
      </c>
      <c r="F204" s="146">
        <v>0</v>
      </c>
      <c r="G204" s="146">
        <v>0</v>
      </c>
      <c r="H204" s="91">
        <f t="shared" si="49"/>
        <v>4379</v>
      </c>
      <c r="I204" s="67">
        <f t="shared" si="50"/>
        <v>0</v>
      </c>
      <c r="J204" s="739">
        <f t="shared" si="51"/>
        <v>4379</v>
      </c>
      <c r="K204" s="837" t="str">
        <f>_xlfn.IFNA(VLOOKUP(B204,'[2]22-23 Survey Results'!$A:$F,6,FALSE),0)</f>
        <v>N</v>
      </c>
      <c r="L204" s="740">
        <f t="shared" si="52"/>
        <v>4379</v>
      </c>
      <c r="M204" s="741">
        <f t="shared" si="53"/>
        <v>0</v>
      </c>
      <c r="N204" s="67">
        <f t="shared" si="54"/>
        <v>0</v>
      </c>
      <c r="O204" s="67">
        <f t="shared" si="55"/>
        <v>0</v>
      </c>
      <c r="Q204" s="674">
        <f t="shared" si="56"/>
        <v>0</v>
      </c>
      <c r="R204" s="674" t="str">
        <f t="shared" si="57"/>
        <v>Not Applicable</v>
      </c>
      <c r="S204" s="798" t="str">
        <f>IF($R$7=0,"",IFERROR(VLOOKUP(B204,[3]Sheet1!$C$1:$P$65536,14,FALSE),"NA"))</f>
        <v/>
      </c>
      <c r="T204" s="798">
        <f>IF(O204=0,0,IF(S204="N",0,VLOOKUP(B204,Enrollment!B:J,9,FALSE)))</f>
        <v>0</v>
      </c>
      <c r="U204" s="88">
        <f t="shared" si="58"/>
        <v>0</v>
      </c>
      <c r="V204" s="71">
        <f t="shared" si="59"/>
        <v>0</v>
      </c>
      <c r="W204" s="449">
        <v>0</v>
      </c>
      <c r="X204" s="67">
        <f>IFERROR(VLOOKUP($B204,'Allocation 2021-22'!$B:$O,14,FALSE),0)</f>
        <v>0</v>
      </c>
      <c r="Y204" s="163">
        <f t="shared" si="60"/>
        <v>0</v>
      </c>
      <c r="Z204" s="166">
        <f t="shared" si="61"/>
        <v>0</v>
      </c>
      <c r="AA204" s="34" t="str">
        <f t="shared" si="47"/>
        <v>N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596</v>
      </c>
      <c r="B205" s="784" t="s">
        <v>16</v>
      </c>
      <c r="C205" s="784" t="s">
        <v>1375</v>
      </c>
      <c r="D205" s="134">
        <f>VLOOKUP(B205,'Enrollment 22-23'!$B:$I,8,FALSE)</f>
        <v>25</v>
      </c>
      <c r="E205" s="67">
        <f t="shared" si="48"/>
        <v>3457</v>
      </c>
      <c r="F205" s="146">
        <v>0</v>
      </c>
      <c r="G205" s="146">
        <v>0</v>
      </c>
      <c r="H205" s="91">
        <f t="shared" si="49"/>
        <v>3457</v>
      </c>
      <c r="I205" s="67">
        <f t="shared" si="50"/>
        <v>0</v>
      </c>
      <c r="J205" s="739">
        <f t="shared" si="51"/>
        <v>3457</v>
      </c>
      <c r="K205" s="837" t="str">
        <f>_xlfn.IFNA(VLOOKUP(B205,'[2]22-23 Survey Results'!$A:$F,6,FALSE),0)</f>
        <v>C</v>
      </c>
      <c r="L205" s="740">
        <f t="shared" si="52"/>
        <v>0</v>
      </c>
      <c r="M205" s="741">
        <f t="shared" si="53"/>
        <v>25</v>
      </c>
      <c r="N205" s="67">
        <f t="shared" si="54"/>
        <v>34</v>
      </c>
      <c r="O205" s="67">
        <f t="shared" si="55"/>
        <v>3491</v>
      </c>
      <c r="Q205" s="674">
        <f t="shared" si="56"/>
        <v>0</v>
      </c>
      <c r="R205" s="674" t="str">
        <f t="shared" si="57"/>
        <v>Not Applicable</v>
      </c>
      <c r="S205" s="798" t="str">
        <f>IF($R$7=0,"",IFERROR(VLOOKUP(B205,[3]Sheet1!$C$1:$P$65536,14,FALSE),"NA"))</f>
        <v/>
      </c>
      <c r="T205" s="798">
        <f>IF(O205=0,0,IF(S205="N",0,VLOOKUP(B205,Enrollment!B:J,9,FALSE)))</f>
        <v>0</v>
      </c>
      <c r="U205" s="88">
        <f t="shared" si="58"/>
        <v>3491</v>
      </c>
      <c r="V205" s="71">
        <f t="shared" si="59"/>
        <v>139.63999999999999</v>
      </c>
      <c r="W205" s="449">
        <v>0</v>
      </c>
      <c r="X205" s="67">
        <f>IFERROR(VLOOKUP($B205,'Allocation 2021-22'!$B:$O,14,FALSE),0)</f>
        <v>0</v>
      </c>
      <c r="Y205" s="163">
        <f t="shared" si="60"/>
        <v>3491</v>
      </c>
      <c r="Z205" s="166">
        <f t="shared" si="61"/>
        <v>0</v>
      </c>
      <c r="AA205" s="34" t="str">
        <f t="shared" si="47"/>
        <v>C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594</v>
      </c>
      <c r="B206" s="784" t="s">
        <v>272</v>
      </c>
      <c r="C206" s="784" t="s">
        <v>1490</v>
      </c>
      <c r="D206" s="134">
        <f>VLOOKUP(B206,'Enrollment 22-23'!$B:$I,8,FALSE)</f>
        <v>0</v>
      </c>
      <c r="E206" s="67">
        <f t="shared" si="48"/>
        <v>0</v>
      </c>
      <c r="F206" s="146">
        <v>0</v>
      </c>
      <c r="G206" s="146">
        <v>0</v>
      </c>
      <c r="H206" s="91">
        <f t="shared" si="49"/>
        <v>0</v>
      </c>
      <c r="I206" s="67">
        <f t="shared" si="50"/>
        <v>0</v>
      </c>
      <c r="J206" s="739">
        <f t="shared" si="51"/>
        <v>0</v>
      </c>
      <c r="K206" s="837">
        <f>_xlfn.IFNA(VLOOKUP(B206,'[2]22-23 Survey Results'!$A:$F,6,FALSE),0)</f>
        <v>0</v>
      </c>
      <c r="L206" s="740">
        <f t="shared" si="52"/>
        <v>0</v>
      </c>
      <c r="M206" s="741">
        <f t="shared" si="53"/>
        <v>0</v>
      </c>
      <c r="N206" s="67">
        <f t="shared" si="54"/>
        <v>0</v>
      </c>
      <c r="O206" s="67">
        <f t="shared" si="55"/>
        <v>0</v>
      </c>
      <c r="Q206" s="674">
        <f t="shared" si="56"/>
        <v>0</v>
      </c>
      <c r="R206" s="674" t="str">
        <f t="shared" si="57"/>
        <v>Not Applicable</v>
      </c>
      <c r="S206" s="798" t="str">
        <f>IF($R$7=0,"",IFERROR(VLOOKUP(B206,[3]Sheet1!$C$1:$P$65536,14,FALSE),"NA"))</f>
        <v/>
      </c>
      <c r="T206" s="798">
        <f>IF(O206=0,0,IF(S206="N",0,VLOOKUP(B206,Enrollment!B:J,9,FALSE)))</f>
        <v>0</v>
      </c>
      <c r="U206" s="88">
        <f t="shared" si="58"/>
        <v>0</v>
      </c>
      <c r="V206" s="71">
        <f t="shared" si="59"/>
        <v>0</v>
      </c>
      <c r="W206" s="449">
        <v>0</v>
      </c>
      <c r="X206" s="67">
        <f>IFERROR(VLOOKUP($B206,'Allocation 2021-22'!$B:$O,14,FALSE),0)</f>
        <v>0</v>
      </c>
      <c r="Y206" s="163">
        <f t="shared" si="60"/>
        <v>0</v>
      </c>
      <c r="Z206" s="166">
        <f t="shared" si="61"/>
        <v>0</v>
      </c>
      <c r="AA206" s="34">
        <f t="shared" si="47"/>
        <v>0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597</v>
      </c>
      <c r="B207" s="784" t="s">
        <v>359</v>
      </c>
      <c r="C207" s="784" t="s">
        <v>626</v>
      </c>
      <c r="D207" s="134">
        <f>VLOOKUP(B207,'Enrollment 22-23'!$B:$I,8,FALSE)</f>
        <v>207.33999999999997</v>
      </c>
      <c r="E207" s="67">
        <f t="shared" si="48"/>
        <v>28668</v>
      </c>
      <c r="F207" s="146">
        <v>0</v>
      </c>
      <c r="G207" s="146">
        <v>0</v>
      </c>
      <c r="H207" s="91">
        <f t="shared" si="49"/>
        <v>28668</v>
      </c>
      <c r="I207" s="67">
        <f t="shared" si="50"/>
        <v>0</v>
      </c>
      <c r="J207" s="739">
        <f t="shared" si="51"/>
        <v>28668</v>
      </c>
      <c r="K207" s="837" t="str">
        <f>_xlfn.IFNA(VLOOKUP(B207,'[2]22-23 Survey Results'!$A:$F,6,FALSE),0)</f>
        <v>Y</v>
      </c>
      <c r="L207" s="740">
        <f t="shared" si="52"/>
        <v>0</v>
      </c>
      <c r="M207" s="741">
        <f t="shared" si="53"/>
        <v>207.33999999999997</v>
      </c>
      <c r="N207" s="67">
        <f t="shared" si="54"/>
        <v>280</v>
      </c>
      <c r="O207" s="67">
        <f t="shared" si="55"/>
        <v>28948</v>
      </c>
      <c r="Q207" s="674">
        <f t="shared" si="56"/>
        <v>0</v>
      </c>
      <c r="R207" s="674" t="str">
        <f t="shared" si="57"/>
        <v>Not Applicable</v>
      </c>
      <c r="S207" s="798" t="str">
        <f>IF($R$7=0,"",IFERROR(VLOOKUP(B207,[3]Sheet1!$C$1:$P$65536,14,FALSE),"NA"))</f>
        <v/>
      </c>
      <c r="T207" s="798">
        <f>IF(O207=0,0,IF(S207="N",0,VLOOKUP(B207,Enrollment!B:J,9,FALSE)))</f>
        <v>0</v>
      </c>
      <c r="U207" s="88">
        <f t="shared" si="58"/>
        <v>28948</v>
      </c>
      <c r="V207" s="71">
        <f t="shared" si="59"/>
        <v>139.61608951480662</v>
      </c>
      <c r="W207" s="449">
        <v>25974</v>
      </c>
      <c r="X207" s="67">
        <f>IFERROR(VLOOKUP($B207,'Allocation 2021-22'!$B:$O,14,FALSE),0)</f>
        <v>25876</v>
      </c>
      <c r="Y207" s="163">
        <f t="shared" si="60"/>
        <v>3072</v>
      </c>
      <c r="Z207" s="166">
        <f t="shared" si="61"/>
        <v>0.11872004946668728</v>
      </c>
      <c r="AA207" s="34" t="str">
        <f t="shared" si="47"/>
        <v>Y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1666</v>
      </c>
      <c r="B208" s="784" t="s">
        <v>1778</v>
      </c>
      <c r="C208" s="784" t="s">
        <v>1786</v>
      </c>
      <c r="D208" s="134">
        <f>VLOOKUP(B208,'Enrollment 22-23'!$B:$I,8,FALSE)</f>
        <v>18.66</v>
      </c>
      <c r="E208" s="67">
        <f t="shared" si="48"/>
        <v>2580</v>
      </c>
      <c r="F208" s="146">
        <v>0</v>
      </c>
      <c r="G208" s="146">
        <v>0</v>
      </c>
      <c r="H208" s="91">
        <f t="shared" si="49"/>
        <v>2580</v>
      </c>
      <c r="I208" s="67">
        <f t="shared" si="50"/>
        <v>0</v>
      </c>
      <c r="J208" s="739">
        <f t="shared" si="51"/>
        <v>2580</v>
      </c>
      <c r="K208" s="837" t="str">
        <f>_xlfn.IFNA(VLOOKUP(B208,'[2]22-23 Survey Results'!$A:$F,6,FALSE),0)</f>
        <v>N</v>
      </c>
      <c r="L208" s="740">
        <f t="shared" si="52"/>
        <v>2580</v>
      </c>
      <c r="M208" s="741">
        <f t="shared" si="53"/>
        <v>0</v>
      </c>
      <c r="N208" s="67">
        <f t="shared" si="54"/>
        <v>0</v>
      </c>
      <c r="O208" s="67">
        <f t="shared" si="55"/>
        <v>0</v>
      </c>
      <c r="Q208" s="674">
        <f t="shared" si="56"/>
        <v>0</v>
      </c>
      <c r="R208" s="674" t="str">
        <f t="shared" si="57"/>
        <v>Not Applicable</v>
      </c>
      <c r="S208" s="798" t="str">
        <f>IF($R$7=0,"",IFERROR(VLOOKUP(B208,[3]Sheet1!$C$1:$P$65536,14,FALSE),"NA"))</f>
        <v/>
      </c>
      <c r="T208" s="798">
        <f>IF(O208=0,0,IF(S208="N",0,VLOOKUP(B208,Enrollment!B:J,9,FALSE)))</f>
        <v>0</v>
      </c>
      <c r="U208" s="88">
        <f t="shared" si="58"/>
        <v>0</v>
      </c>
      <c r="V208" s="71">
        <f t="shared" si="59"/>
        <v>0</v>
      </c>
      <c r="W208" s="449">
        <v>0</v>
      </c>
      <c r="X208" s="67">
        <f>IFERROR(VLOOKUP($B208,'Allocation 2021-22'!$B:$O,14,FALSE),0)</f>
        <v>0</v>
      </c>
      <c r="Y208" s="163">
        <f t="shared" si="60"/>
        <v>0</v>
      </c>
      <c r="Z208" s="166">
        <f t="shared" si="61"/>
        <v>0</v>
      </c>
      <c r="AA208" s="34" t="str">
        <f t="shared" si="47"/>
        <v>N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594</v>
      </c>
      <c r="B209" s="784" t="s">
        <v>303</v>
      </c>
      <c r="C209" s="784" t="s">
        <v>1505</v>
      </c>
      <c r="D209" s="134">
        <f>VLOOKUP(B209,'Enrollment 22-23'!$B:$I,8,FALSE)</f>
        <v>33.67</v>
      </c>
      <c r="E209" s="67">
        <f t="shared" si="48"/>
        <v>4655</v>
      </c>
      <c r="F209" s="146">
        <v>0</v>
      </c>
      <c r="G209" s="146">
        <v>0</v>
      </c>
      <c r="H209" s="91">
        <f t="shared" si="49"/>
        <v>4655</v>
      </c>
      <c r="I209" s="67">
        <f t="shared" si="50"/>
        <v>0</v>
      </c>
      <c r="J209" s="739">
        <f t="shared" si="51"/>
        <v>4655</v>
      </c>
      <c r="K209" s="837" t="str">
        <f>_xlfn.IFNA(VLOOKUP(B209,'[2]22-23 Survey Results'!$A:$F,6,FALSE),0)</f>
        <v>N</v>
      </c>
      <c r="L209" s="740">
        <f t="shared" si="52"/>
        <v>4655</v>
      </c>
      <c r="M209" s="741">
        <f t="shared" si="53"/>
        <v>0</v>
      </c>
      <c r="N209" s="67">
        <f t="shared" si="54"/>
        <v>0</v>
      </c>
      <c r="O209" s="67">
        <f t="shared" si="55"/>
        <v>0</v>
      </c>
      <c r="Q209" s="674">
        <f t="shared" si="56"/>
        <v>0</v>
      </c>
      <c r="R209" s="674" t="str">
        <f t="shared" si="57"/>
        <v>Not Applicable</v>
      </c>
      <c r="S209" s="798" t="str">
        <f>IF($R$7=0,"",IFERROR(VLOOKUP(B209,[3]Sheet1!$C$1:$P$65536,14,FALSE),"NA"))</f>
        <v/>
      </c>
      <c r="T209" s="798">
        <f>IF(O209=0,0,IF(S209="N",0,VLOOKUP(B209,Enrollment!B:J,9,FALSE)))</f>
        <v>0</v>
      </c>
      <c r="U209" s="88">
        <f t="shared" si="58"/>
        <v>0</v>
      </c>
      <c r="V209" s="71">
        <f t="shared" si="59"/>
        <v>0</v>
      </c>
      <c r="W209" s="449">
        <v>0</v>
      </c>
      <c r="X209" s="67">
        <f>IFERROR(VLOOKUP($B209,'Allocation 2021-22'!$B:$O,14,FALSE),0)</f>
        <v>0</v>
      </c>
      <c r="Y209" s="163">
        <f t="shared" si="60"/>
        <v>0</v>
      </c>
      <c r="Z209" s="166">
        <f t="shared" si="61"/>
        <v>0</v>
      </c>
      <c r="AA209" s="34" t="str">
        <f t="shared" si="47"/>
        <v>N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596</v>
      </c>
      <c r="B210" s="784" t="s">
        <v>112</v>
      </c>
      <c r="C210" s="784" t="s">
        <v>1420</v>
      </c>
      <c r="D210" s="134">
        <f>VLOOKUP(B210,'Enrollment 22-23'!$B:$I,8,FALSE)</f>
        <v>3</v>
      </c>
      <c r="E210" s="67">
        <f t="shared" si="48"/>
        <v>415</v>
      </c>
      <c r="F210" s="146">
        <v>0</v>
      </c>
      <c r="G210" s="146">
        <v>0</v>
      </c>
      <c r="H210" s="91">
        <f t="shared" si="49"/>
        <v>415</v>
      </c>
      <c r="I210" s="67">
        <f t="shared" si="50"/>
        <v>0</v>
      </c>
      <c r="J210" s="739">
        <f t="shared" si="51"/>
        <v>415</v>
      </c>
      <c r="K210" s="837" t="str">
        <f>_xlfn.IFNA(VLOOKUP(B210,'[2]22-23 Survey Results'!$A:$F,6,FALSE),0)</f>
        <v>C</v>
      </c>
      <c r="L210" s="740">
        <f t="shared" si="52"/>
        <v>0</v>
      </c>
      <c r="M210" s="741">
        <f t="shared" si="53"/>
        <v>3</v>
      </c>
      <c r="N210" s="67">
        <f t="shared" si="54"/>
        <v>4</v>
      </c>
      <c r="O210" s="67">
        <f t="shared" si="55"/>
        <v>419</v>
      </c>
      <c r="Q210" s="674">
        <f t="shared" si="56"/>
        <v>0</v>
      </c>
      <c r="R210" s="674" t="str">
        <f t="shared" si="57"/>
        <v>Not Applicable</v>
      </c>
      <c r="S210" s="798" t="str">
        <f>IF($R$7=0,"",IFERROR(VLOOKUP(B210,[3]Sheet1!$C$1:$P$65536,14,FALSE),"NA"))</f>
        <v/>
      </c>
      <c r="T210" s="798">
        <f>IF(O210=0,0,IF(S210="N",0,VLOOKUP(B210,Enrollment!B:J,9,FALSE)))</f>
        <v>0</v>
      </c>
      <c r="U210" s="88">
        <f t="shared" si="58"/>
        <v>419</v>
      </c>
      <c r="V210" s="71">
        <f t="shared" si="59"/>
        <v>139.66666666666666</v>
      </c>
      <c r="W210" s="449">
        <v>0</v>
      </c>
      <c r="X210" s="67">
        <f>IFERROR(VLOOKUP($B210,'Allocation 2021-22'!$B:$O,14,FALSE),0)</f>
        <v>0</v>
      </c>
      <c r="Y210" s="163">
        <f t="shared" si="60"/>
        <v>419</v>
      </c>
      <c r="Z210" s="166">
        <f t="shared" si="61"/>
        <v>0</v>
      </c>
      <c r="AA210" s="34" t="str">
        <f t="shared" si="47"/>
        <v>C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600</v>
      </c>
      <c r="B211" s="784" t="s">
        <v>39</v>
      </c>
      <c r="C211" s="784" t="s">
        <v>1385</v>
      </c>
      <c r="D211" s="134">
        <f>VLOOKUP(B211,'Enrollment 22-23'!$B:$I,8,FALSE)</f>
        <v>57.5</v>
      </c>
      <c r="E211" s="67">
        <f t="shared" si="48"/>
        <v>7950</v>
      </c>
      <c r="F211" s="146">
        <v>0</v>
      </c>
      <c r="G211" s="146">
        <v>0</v>
      </c>
      <c r="H211" s="91">
        <f t="shared" si="49"/>
        <v>7950</v>
      </c>
      <c r="I211" s="67">
        <f t="shared" si="50"/>
        <v>0</v>
      </c>
      <c r="J211" s="739">
        <f t="shared" si="51"/>
        <v>7950</v>
      </c>
      <c r="K211" s="837" t="str">
        <f>_xlfn.IFNA(VLOOKUP(B211,'[2]22-23 Survey Results'!$A:$F,6,FALSE),0)</f>
        <v>N</v>
      </c>
      <c r="L211" s="740">
        <f t="shared" si="52"/>
        <v>7950</v>
      </c>
      <c r="M211" s="741">
        <f t="shared" si="53"/>
        <v>0</v>
      </c>
      <c r="N211" s="67">
        <f t="shared" si="54"/>
        <v>0</v>
      </c>
      <c r="O211" s="67">
        <f t="shared" si="55"/>
        <v>0</v>
      </c>
      <c r="Q211" s="674">
        <f t="shared" si="56"/>
        <v>0</v>
      </c>
      <c r="R211" s="674" t="str">
        <f t="shared" si="57"/>
        <v>Not Applicable</v>
      </c>
      <c r="S211" s="798" t="str">
        <f>IF($R$7=0,"",IFERROR(VLOOKUP(B211,[3]Sheet1!$C$1:$P$65536,14,FALSE),"NA"))</f>
        <v/>
      </c>
      <c r="T211" s="798">
        <f>IF(O211=0,0,IF(S211="N",0,VLOOKUP(B211,Enrollment!B:J,9,FALSE)))</f>
        <v>0</v>
      </c>
      <c r="U211" s="88">
        <f t="shared" si="58"/>
        <v>0</v>
      </c>
      <c r="V211" s="71">
        <f t="shared" si="59"/>
        <v>0</v>
      </c>
      <c r="W211" s="449">
        <v>0</v>
      </c>
      <c r="X211" s="67">
        <f>IFERROR(VLOOKUP($B211,'Allocation 2021-22'!$B:$O,14,FALSE),0)</f>
        <v>0</v>
      </c>
      <c r="Y211" s="163">
        <f t="shared" si="60"/>
        <v>0</v>
      </c>
      <c r="Z211" s="166">
        <f t="shared" si="61"/>
        <v>0</v>
      </c>
      <c r="AA211" s="34" t="str">
        <f t="shared" si="47"/>
        <v>N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600</v>
      </c>
      <c r="B212" s="784" t="s">
        <v>171</v>
      </c>
      <c r="C212" s="784" t="s">
        <v>1447</v>
      </c>
      <c r="D212" s="134">
        <f>VLOOKUP(B212,'Enrollment 22-23'!$B:$I,8,FALSE)</f>
        <v>36.5</v>
      </c>
      <c r="E212" s="67">
        <f t="shared" si="48"/>
        <v>5047</v>
      </c>
      <c r="F212" s="146">
        <v>0</v>
      </c>
      <c r="G212" s="146">
        <v>0</v>
      </c>
      <c r="H212" s="91">
        <f t="shared" si="49"/>
        <v>5047</v>
      </c>
      <c r="I212" s="67">
        <f t="shared" si="50"/>
        <v>0</v>
      </c>
      <c r="J212" s="739">
        <f t="shared" si="51"/>
        <v>5047</v>
      </c>
      <c r="K212" s="837" t="str">
        <f>_xlfn.IFNA(VLOOKUP(B212,'[2]22-23 Survey Results'!$A:$F,6,FALSE),0)</f>
        <v>N</v>
      </c>
      <c r="L212" s="740">
        <f t="shared" si="52"/>
        <v>5047</v>
      </c>
      <c r="M212" s="741">
        <f t="shared" si="53"/>
        <v>0</v>
      </c>
      <c r="N212" s="67">
        <f t="shared" si="54"/>
        <v>0</v>
      </c>
      <c r="O212" s="67">
        <f t="shared" si="55"/>
        <v>0</v>
      </c>
      <c r="Q212" s="674">
        <f t="shared" si="56"/>
        <v>0</v>
      </c>
      <c r="R212" s="674" t="str">
        <f t="shared" si="57"/>
        <v>Not Applicable</v>
      </c>
      <c r="S212" s="798" t="str">
        <f>IF($R$7=0,"",IFERROR(VLOOKUP(B212,[3]Sheet1!$C$1:$P$65536,14,FALSE),"NA"))</f>
        <v/>
      </c>
      <c r="T212" s="798">
        <f>IF(O212=0,0,IF(S212="N",0,VLOOKUP(B212,Enrollment!B:J,9,FALSE)))</f>
        <v>0</v>
      </c>
      <c r="U212" s="88">
        <f t="shared" si="58"/>
        <v>0</v>
      </c>
      <c r="V212" s="71">
        <f t="shared" si="59"/>
        <v>0</v>
      </c>
      <c r="W212" s="449">
        <v>0</v>
      </c>
      <c r="X212" s="67">
        <f>IFERROR(VLOOKUP($B212,'Allocation 2021-22'!$B:$O,14,FALSE),0)</f>
        <v>0</v>
      </c>
      <c r="Y212" s="163">
        <f t="shared" si="60"/>
        <v>0</v>
      </c>
      <c r="Z212" s="166">
        <f t="shared" si="61"/>
        <v>0</v>
      </c>
      <c r="AA212" s="34" t="str">
        <f t="shared" si="47"/>
        <v>N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596</v>
      </c>
      <c r="B213" s="784" t="s">
        <v>502</v>
      </c>
      <c r="C213" s="784" t="s">
        <v>1601</v>
      </c>
      <c r="D213" s="134">
        <f>VLOOKUP(B213,'Enrollment 22-23'!$B:$I,8,FALSE)</f>
        <v>91.17</v>
      </c>
      <c r="E213" s="67">
        <f t="shared" si="48"/>
        <v>12606</v>
      </c>
      <c r="F213" s="146">
        <v>0</v>
      </c>
      <c r="G213" s="146">
        <v>0</v>
      </c>
      <c r="H213" s="91">
        <f t="shared" si="49"/>
        <v>12606</v>
      </c>
      <c r="I213" s="67">
        <f t="shared" si="50"/>
        <v>0</v>
      </c>
      <c r="J213" s="739">
        <f t="shared" si="51"/>
        <v>12606</v>
      </c>
      <c r="K213" s="837" t="str">
        <f>_xlfn.IFNA(VLOOKUP(B213,'[2]22-23 Survey Results'!$A:$F,6,FALSE),0)</f>
        <v>C</v>
      </c>
      <c r="L213" s="740">
        <f t="shared" si="52"/>
        <v>0</v>
      </c>
      <c r="M213" s="741">
        <f t="shared" si="53"/>
        <v>91.17</v>
      </c>
      <c r="N213" s="67">
        <f t="shared" si="54"/>
        <v>123</v>
      </c>
      <c r="O213" s="67">
        <f t="shared" si="55"/>
        <v>12729</v>
      </c>
      <c r="Q213" s="674">
        <f t="shared" si="56"/>
        <v>0</v>
      </c>
      <c r="R213" s="674" t="str">
        <f t="shared" si="57"/>
        <v>Not Applicable</v>
      </c>
      <c r="S213" s="798" t="str">
        <f>IF($R$7=0,"",IFERROR(VLOOKUP(B213,[3]Sheet1!$C$1:$P$65536,14,FALSE),"NA"))</f>
        <v/>
      </c>
      <c r="T213" s="798">
        <f>IF(O213=0,0,IF(S213="N",0,VLOOKUP(B213,Enrollment!B:J,9,FALSE)))</f>
        <v>0</v>
      </c>
      <c r="U213" s="88">
        <f t="shared" si="58"/>
        <v>12729</v>
      </c>
      <c r="V213" s="71">
        <f t="shared" si="59"/>
        <v>139.61829549193814</v>
      </c>
      <c r="W213" s="449">
        <v>11114</v>
      </c>
      <c r="X213" s="67">
        <f>IFERROR(VLOOKUP($B213,'Allocation 2021-22'!$B:$O,14,FALSE),0)</f>
        <v>11073</v>
      </c>
      <c r="Y213" s="163">
        <f t="shared" si="60"/>
        <v>1656</v>
      </c>
      <c r="Z213" s="166">
        <f t="shared" si="61"/>
        <v>0.14955296667569765</v>
      </c>
      <c r="AA213" s="34" t="str">
        <f t="shared" si="47"/>
        <v>C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1666</v>
      </c>
      <c r="B214" s="784" t="s">
        <v>1690</v>
      </c>
      <c r="C214" s="784" t="s">
        <v>1765</v>
      </c>
      <c r="D214" s="134">
        <f>VLOOKUP(B214,'Enrollment 22-23'!$B:$I,8,FALSE)</f>
        <v>0</v>
      </c>
      <c r="E214" s="67">
        <f t="shared" si="48"/>
        <v>0</v>
      </c>
      <c r="F214" s="146">
        <v>0</v>
      </c>
      <c r="G214" s="146">
        <v>0</v>
      </c>
      <c r="H214" s="91">
        <f t="shared" si="49"/>
        <v>0</v>
      </c>
      <c r="I214" s="67">
        <f t="shared" si="50"/>
        <v>0</v>
      </c>
      <c r="J214" s="739">
        <f t="shared" si="51"/>
        <v>0</v>
      </c>
      <c r="K214" s="837">
        <f>_xlfn.IFNA(VLOOKUP(B214,'[2]22-23 Survey Results'!$A:$F,6,FALSE),0)</f>
        <v>0</v>
      </c>
      <c r="L214" s="740">
        <f t="shared" si="52"/>
        <v>0</v>
      </c>
      <c r="M214" s="741">
        <f t="shared" si="53"/>
        <v>0</v>
      </c>
      <c r="N214" s="67">
        <f t="shared" si="54"/>
        <v>0</v>
      </c>
      <c r="O214" s="67">
        <f t="shared" si="55"/>
        <v>0</v>
      </c>
      <c r="Q214" s="674">
        <f t="shared" si="56"/>
        <v>0</v>
      </c>
      <c r="R214" s="674" t="str">
        <f t="shared" si="57"/>
        <v>Not Applicable</v>
      </c>
      <c r="S214" s="798" t="str">
        <f>IF($R$7=0,"",IFERROR(VLOOKUP(B214,[3]Sheet1!$C$1:$P$65536,14,FALSE),"NA"))</f>
        <v/>
      </c>
      <c r="T214" s="798">
        <f>IF(O214=0,0,IF(S214="N",0,VLOOKUP(B214,Enrollment!B:J,9,FALSE)))</f>
        <v>0</v>
      </c>
      <c r="U214" s="88">
        <f t="shared" si="58"/>
        <v>0</v>
      </c>
      <c r="V214" s="71">
        <f t="shared" si="59"/>
        <v>0</v>
      </c>
      <c r="W214" s="449">
        <v>0</v>
      </c>
      <c r="X214" s="67">
        <f>IFERROR(VLOOKUP($B214,'Allocation 2021-22'!$B:$O,14,FALSE),0)</f>
        <v>0</v>
      </c>
      <c r="Y214" s="163">
        <f t="shared" si="60"/>
        <v>0</v>
      </c>
      <c r="Z214" s="166">
        <f t="shared" si="61"/>
        <v>0</v>
      </c>
      <c r="AA214" s="34">
        <f t="shared" si="47"/>
        <v>0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596</v>
      </c>
      <c r="B215" s="784" t="s">
        <v>21</v>
      </c>
      <c r="C215" s="784" t="s">
        <v>1378</v>
      </c>
      <c r="D215" s="134">
        <f>VLOOKUP(B215,'Enrollment 22-23'!$B:$I,8,FALSE)</f>
        <v>588.16999999999996</v>
      </c>
      <c r="E215" s="67">
        <f t="shared" si="48"/>
        <v>81324</v>
      </c>
      <c r="F215" s="146">
        <v>0</v>
      </c>
      <c r="G215" s="146">
        <v>0</v>
      </c>
      <c r="H215" s="91">
        <f t="shared" si="49"/>
        <v>81324</v>
      </c>
      <c r="I215" s="67">
        <f t="shared" si="50"/>
        <v>0</v>
      </c>
      <c r="J215" s="739">
        <f t="shared" si="51"/>
        <v>81324</v>
      </c>
      <c r="K215" s="837" t="str">
        <f>_xlfn.IFNA(VLOOKUP(B215,'[2]22-23 Survey Results'!$A:$F,6,FALSE),0)</f>
        <v>Y</v>
      </c>
      <c r="L215" s="740">
        <f t="shared" si="52"/>
        <v>0</v>
      </c>
      <c r="M215" s="741">
        <f t="shared" si="53"/>
        <v>588.16999999999996</v>
      </c>
      <c r="N215" s="67">
        <f t="shared" si="54"/>
        <v>794</v>
      </c>
      <c r="O215" s="67">
        <f t="shared" si="55"/>
        <v>82118</v>
      </c>
      <c r="Q215" s="674">
        <f t="shared" si="56"/>
        <v>0</v>
      </c>
      <c r="R215" s="674" t="str">
        <f t="shared" si="57"/>
        <v>Not Applicable</v>
      </c>
      <c r="S215" s="798" t="str">
        <f>IF($R$7=0,"",IFERROR(VLOOKUP(B215,[3]Sheet1!$C$1:$P$65536,14,FALSE),"NA"))</f>
        <v/>
      </c>
      <c r="T215" s="798">
        <f>IF(O215=0,0,IF(S215="N",0,VLOOKUP(B215,Enrollment!B:J,9,FALSE)))</f>
        <v>0</v>
      </c>
      <c r="U215" s="88">
        <f t="shared" si="58"/>
        <v>82118</v>
      </c>
      <c r="V215" s="71">
        <f t="shared" si="59"/>
        <v>139.61609738680994</v>
      </c>
      <c r="W215" s="449">
        <v>80267</v>
      </c>
      <c r="X215" s="67">
        <f>IFERROR(VLOOKUP($B215,'Allocation 2021-22'!$B:$O,14,FALSE),0)</f>
        <v>79964</v>
      </c>
      <c r="Y215" s="163">
        <f t="shared" si="60"/>
        <v>2154</v>
      </c>
      <c r="Z215" s="166">
        <f t="shared" si="61"/>
        <v>2.6937121704767145E-2</v>
      </c>
      <c r="AA215" s="34" t="str">
        <f t="shared" si="47"/>
        <v>Y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603</v>
      </c>
      <c r="B216" s="784" t="s">
        <v>523</v>
      </c>
      <c r="C216" s="784" t="s">
        <v>1610</v>
      </c>
      <c r="D216" s="134">
        <f>VLOOKUP(B216,'Enrollment 22-23'!$B:$I,8,FALSE)</f>
        <v>121.5</v>
      </c>
      <c r="E216" s="67">
        <f t="shared" si="48"/>
        <v>16799</v>
      </c>
      <c r="F216" s="146">
        <v>0</v>
      </c>
      <c r="G216" s="146">
        <v>0</v>
      </c>
      <c r="H216" s="91">
        <f t="shared" si="49"/>
        <v>16799</v>
      </c>
      <c r="I216" s="67">
        <f t="shared" si="50"/>
        <v>0</v>
      </c>
      <c r="J216" s="739">
        <f t="shared" si="51"/>
        <v>16799</v>
      </c>
      <c r="K216" s="837" t="str">
        <f>_xlfn.IFNA(VLOOKUP(B216,'[2]22-23 Survey Results'!$A:$F,6,FALSE),0)</f>
        <v>Y</v>
      </c>
      <c r="L216" s="740">
        <f t="shared" si="52"/>
        <v>0</v>
      </c>
      <c r="M216" s="741">
        <f t="shared" si="53"/>
        <v>121.5</v>
      </c>
      <c r="N216" s="67">
        <f t="shared" si="54"/>
        <v>164</v>
      </c>
      <c r="O216" s="67">
        <f t="shared" si="55"/>
        <v>16963</v>
      </c>
      <c r="Q216" s="674">
        <f t="shared" si="56"/>
        <v>0</v>
      </c>
      <c r="R216" s="674" t="str">
        <f t="shared" si="57"/>
        <v>Not Applicable</v>
      </c>
      <c r="S216" s="798" t="str">
        <f>IF($R$7=0,"",IFERROR(VLOOKUP(B216,[3]Sheet1!$C$1:$P$65536,14,FALSE),"NA"))</f>
        <v/>
      </c>
      <c r="T216" s="798">
        <f>IF(O216=0,0,IF(S216="N",0,VLOOKUP(B216,Enrollment!B:J,9,FALSE)))</f>
        <v>0</v>
      </c>
      <c r="U216" s="88">
        <f t="shared" si="58"/>
        <v>16963</v>
      </c>
      <c r="V216" s="71">
        <f t="shared" si="59"/>
        <v>139.61316872427983</v>
      </c>
      <c r="W216" s="449">
        <v>15227</v>
      </c>
      <c r="X216" s="67">
        <f>IFERROR(VLOOKUP($B216,'Allocation 2021-22'!$B:$O,14,FALSE),0)</f>
        <v>15169</v>
      </c>
      <c r="Y216" s="163">
        <f t="shared" si="60"/>
        <v>1794</v>
      </c>
      <c r="Z216" s="166">
        <f t="shared" si="61"/>
        <v>0.11826751928274772</v>
      </c>
      <c r="AA216" s="34" t="str">
        <f t="shared" si="47"/>
        <v>Y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1666</v>
      </c>
      <c r="B217" s="784" t="s">
        <v>1779</v>
      </c>
      <c r="C217" s="784" t="s">
        <v>1787</v>
      </c>
      <c r="D217" s="134">
        <f>VLOOKUP(B217,'Enrollment 22-23'!$B:$I,8,FALSE)</f>
        <v>3.67</v>
      </c>
      <c r="E217" s="67">
        <f t="shared" si="48"/>
        <v>507</v>
      </c>
      <c r="F217" s="146">
        <v>0</v>
      </c>
      <c r="G217" s="146">
        <v>0</v>
      </c>
      <c r="H217" s="91">
        <f t="shared" si="49"/>
        <v>507</v>
      </c>
      <c r="I217" s="67">
        <f t="shared" si="50"/>
        <v>0</v>
      </c>
      <c r="J217" s="739">
        <f t="shared" si="51"/>
        <v>507</v>
      </c>
      <c r="K217" s="837" t="str">
        <f>_xlfn.IFNA(VLOOKUP(B217,'[2]22-23 Survey Results'!$A:$F,6,FALSE),0)</f>
        <v>N</v>
      </c>
      <c r="L217" s="740">
        <f t="shared" si="52"/>
        <v>507</v>
      </c>
      <c r="M217" s="741">
        <f t="shared" si="53"/>
        <v>0</v>
      </c>
      <c r="N217" s="67">
        <f t="shared" si="54"/>
        <v>0</v>
      </c>
      <c r="O217" s="67">
        <f t="shared" si="55"/>
        <v>0</v>
      </c>
      <c r="Q217" s="674">
        <f t="shared" si="56"/>
        <v>0</v>
      </c>
      <c r="R217" s="674" t="str">
        <f t="shared" si="57"/>
        <v>Not Applicable</v>
      </c>
      <c r="S217" s="798" t="str">
        <f>IF($R$7=0,"",IFERROR(VLOOKUP(B217,[3]Sheet1!$C$1:$P$65536,14,FALSE),"NA"))</f>
        <v/>
      </c>
      <c r="T217" s="798">
        <f>IF(O217=0,0,IF(S217="N",0,VLOOKUP(B217,Enrollment!B:J,9,FALSE)))</f>
        <v>0</v>
      </c>
      <c r="U217" s="88">
        <f t="shared" si="58"/>
        <v>0</v>
      </c>
      <c r="V217" s="71">
        <f t="shared" si="59"/>
        <v>0</v>
      </c>
      <c r="W217" s="449">
        <v>0</v>
      </c>
      <c r="X217" s="67">
        <f>IFERROR(VLOOKUP($B217,'Allocation 2021-22'!$B:$O,14,FALSE),0)</f>
        <v>0</v>
      </c>
      <c r="Y217" s="163">
        <f t="shared" si="60"/>
        <v>0</v>
      </c>
      <c r="Z217" s="166">
        <f t="shared" si="61"/>
        <v>0</v>
      </c>
      <c r="AA217" s="34" t="str">
        <f t="shared" si="47"/>
        <v>N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597</v>
      </c>
      <c r="B218" s="784" t="s">
        <v>343</v>
      </c>
      <c r="C218" s="784" t="s">
        <v>1523</v>
      </c>
      <c r="D218" s="134">
        <f>VLOOKUP(B218,'Enrollment 22-23'!$B:$I,8,FALSE)</f>
        <v>1470.3400000000001</v>
      </c>
      <c r="E218" s="67">
        <f t="shared" si="48"/>
        <v>203298</v>
      </c>
      <c r="F218" s="146">
        <v>0</v>
      </c>
      <c r="G218" s="146">
        <v>0</v>
      </c>
      <c r="H218" s="91">
        <f t="shared" si="49"/>
        <v>203298</v>
      </c>
      <c r="I218" s="67">
        <f t="shared" si="50"/>
        <v>0</v>
      </c>
      <c r="J218" s="739">
        <f t="shared" si="51"/>
        <v>203298</v>
      </c>
      <c r="K218" s="837" t="str">
        <f>_xlfn.IFNA(VLOOKUP(B218,'[2]22-23 Survey Results'!$A:$F,6,FALSE),0)</f>
        <v>Y</v>
      </c>
      <c r="L218" s="740">
        <f t="shared" si="52"/>
        <v>0</v>
      </c>
      <c r="M218" s="741">
        <f t="shared" si="53"/>
        <v>1470.3400000000001</v>
      </c>
      <c r="N218" s="67">
        <f t="shared" si="54"/>
        <v>1985</v>
      </c>
      <c r="O218" s="67">
        <f t="shared" si="55"/>
        <v>205283</v>
      </c>
      <c r="Q218" s="674">
        <f t="shared" si="56"/>
        <v>0</v>
      </c>
      <c r="R218" s="674" t="str">
        <f t="shared" si="57"/>
        <v>Not Applicable</v>
      </c>
      <c r="S218" s="798" t="str">
        <f>IF($R$7=0,"",IFERROR(VLOOKUP(B218,[3]Sheet1!$C$1:$P$65536,14,FALSE),"NA"))</f>
        <v/>
      </c>
      <c r="T218" s="798">
        <f>IF(O218=0,0,IF(S218="N",0,VLOOKUP(B218,Enrollment!B:J,9,FALSE)))</f>
        <v>0</v>
      </c>
      <c r="U218" s="88">
        <f t="shared" si="58"/>
        <v>205283</v>
      </c>
      <c r="V218" s="71">
        <f t="shared" si="59"/>
        <v>139.61600718201231</v>
      </c>
      <c r="W218" s="449">
        <v>178125</v>
      </c>
      <c r="X218" s="67">
        <f>IFERROR(VLOOKUP($B218,'Allocation 2021-22'!$B:$O,14,FALSE),0)</f>
        <v>177454</v>
      </c>
      <c r="Y218" s="163">
        <f t="shared" si="60"/>
        <v>27829</v>
      </c>
      <c r="Z218" s="166">
        <f t="shared" si="61"/>
        <v>0.15682374023690646</v>
      </c>
      <c r="AA218" s="34" t="str">
        <f t="shared" si="47"/>
        <v>Y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600</v>
      </c>
      <c r="B219" s="784" t="s">
        <v>163</v>
      </c>
      <c r="C219" s="784" t="s">
        <v>1443</v>
      </c>
      <c r="D219" s="134">
        <f>VLOOKUP(B219,'Enrollment 22-23'!$B:$I,8,FALSE)</f>
        <v>0</v>
      </c>
      <c r="E219" s="67">
        <f t="shared" si="48"/>
        <v>0</v>
      </c>
      <c r="F219" s="146">
        <v>0</v>
      </c>
      <c r="G219" s="146">
        <v>0</v>
      </c>
      <c r="H219" s="91">
        <f t="shared" si="49"/>
        <v>0</v>
      </c>
      <c r="I219" s="67">
        <f t="shared" si="50"/>
        <v>0</v>
      </c>
      <c r="J219" s="739">
        <f t="shared" si="51"/>
        <v>0</v>
      </c>
      <c r="K219" s="837">
        <f>_xlfn.IFNA(VLOOKUP(B219,'[2]22-23 Survey Results'!$A:$F,6,FALSE),0)</f>
        <v>0</v>
      </c>
      <c r="L219" s="740">
        <f t="shared" si="52"/>
        <v>0</v>
      </c>
      <c r="M219" s="741">
        <f t="shared" si="53"/>
        <v>0</v>
      </c>
      <c r="N219" s="67">
        <f t="shared" si="54"/>
        <v>0</v>
      </c>
      <c r="O219" s="67">
        <f t="shared" si="55"/>
        <v>0</v>
      </c>
      <c r="Q219" s="674">
        <f t="shared" si="56"/>
        <v>0</v>
      </c>
      <c r="R219" s="674" t="str">
        <f t="shared" si="57"/>
        <v>Not Applicable</v>
      </c>
      <c r="S219" s="798" t="str">
        <f>IF($R$7=0,"",IFERROR(VLOOKUP(B219,[3]Sheet1!$C$1:$P$65536,14,FALSE),"NA"))</f>
        <v/>
      </c>
      <c r="T219" s="798">
        <f>IF(O219=0,0,IF(S219="N",0,VLOOKUP(B219,Enrollment!B:J,9,FALSE)))</f>
        <v>0</v>
      </c>
      <c r="U219" s="88">
        <f t="shared" si="58"/>
        <v>0</v>
      </c>
      <c r="V219" s="71">
        <f t="shared" si="59"/>
        <v>0</v>
      </c>
      <c r="W219" s="449">
        <v>0</v>
      </c>
      <c r="X219" s="67">
        <f>IFERROR(VLOOKUP($B219,'Allocation 2021-22'!$B:$O,14,FALSE),0)</f>
        <v>0</v>
      </c>
      <c r="Y219" s="163">
        <f t="shared" si="60"/>
        <v>0</v>
      </c>
      <c r="Z219" s="166">
        <f t="shared" si="61"/>
        <v>0</v>
      </c>
      <c r="AA219" s="34">
        <f t="shared" si="47"/>
        <v>0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600</v>
      </c>
      <c r="B220" s="784" t="s">
        <v>167</v>
      </c>
      <c r="C220" s="784" t="s">
        <v>1445</v>
      </c>
      <c r="D220" s="134">
        <f>VLOOKUP(B220,'Enrollment 22-23'!$B:$I,8,FALSE)</f>
        <v>0</v>
      </c>
      <c r="E220" s="67">
        <f t="shared" si="48"/>
        <v>0</v>
      </c>
      <c r="F220" s="146">
        <v>0</v>
      </c>
      <c r="G220" s="146">
        <v>0</v>
      </c>
      <c r="H220" s="91">
        <f t="shared" si="49"/>
        <v>0</v>
      </c>
      <c r="I220" s="67">
        <f t="shared" si="50"/>
        <v>0</v>
      </c>
      <c r="J220" s="739">
        <f t="shared" si="51"/>
        <v>0</v>
      </c>
      <c r="K220" s="837">
        <f>_xlfn.IFNA(VLOOKUP(B220,'[2]22-23 Survey Results'!$A:$F,6,FALSE),0)</f>
        <v>0</v>
      </c>
      <c r="L220" s="740">
        <f t="shared" si="52"/>
        <v>0</v>
      </c>
      <c r="M220" s="741">
        <f t="shared" si="53"/>
        <v>0</v>
      </c>
      <c r="N220" s="67">
        <f t="shared" si="54"/>
        <v>0</v>
      </c>
      <c r="O220" s="67">
        <f t="shared" si="55"/>
        <v>0</v>
      </c>
      <c r="Q220" s="674">
        <f t="shared" si="56"/>
        <v>0</v>
      </c>
      <c r="R220" s="674" t="str">
        <f t="shared" si="57"/>
        <v>Not Applicable</v>
      </c>
      <c r="S220" s="798" t="str">
        <f>IF($R$7=0,"",IFERROR(VLOOKUP(B220,[3]Sheet1!$C$1:$P$65536,14,FALSE),"NA"))</f>
        <v/>
      </c>
      <c r="T220" s="798">
        <f>IF(O220=0,0,IF(S220="N",0,VLOOKUP(B220,Enrollment!B:J,9,FALSE)))</f>
        <v>0</v>
      </c>
      <c r="U220" s="88">
        <f t="shared" si="58"/>
        <v>0</v>
      </c>
      <c r="V220" s="71">
        <f t="shared" si="59"/>
        <v>0</v>
      </c>
      <c r="W220" s="449">
        <v>0</v>
      </c>
      <c r="X220" s="67">
        <f>IFERROR(VLOOKUP($B220,'Allocation 2021-22'!$B:$O,14,FALSE),0)</f>
        <v>0</v>
      </c>
      <c r="Y220" s="163">
        <f t="shared" si="60"/>
        <v>0</v>
      </c>
      <c r="Z220" s="166">
        <f t="shared" si="61"/>
        <v>0</v>
      </c>
      <c r="AA220" s="34">
        <f t="shared" si="47"/>
        <v>0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600</v>
      </c>
      <c r="B221" s="784" t="s">
        <v>47</v>
      </c>
      <c r="C221" s="784" t="s">
        <v>1389</v>
      </c>
      <c r="D221" s="134">
        <f>VLOOKUP(B221,'Enrollment 22-23'!$B:$I,8,FALSE)</f>
        <v>273.5</v>
      </c>
      <c r="E221" s="67">
        <f t="shared" si="48"/>
        <v>37816</v>
      </c>
      <c r="F221" s="146">
        <v>0</v>
      </c>
      <c r="G221" s="146">
        <v>0</v>
      </c>
      <c r="H221" s="91">
        <f t="shared" si="49"/>
        <v>37816</v>
      </c>
      <c r="I221" s="67">
        <f t="shared" si="50"/>
        <v>0</v>
      </c>
      <c r="J221" s="739">
        <f t="shared" si="51"/>
        <v>37816</v>
      </c>
      <c r="K221" s="837" t="str">
        <f>_xlfn.IFNA(VLOOKUP(B221,'[2]22-23 Survey Results'!$A:$F,6,FALSE),0)</f>
        <v>Y</v>
      </c>
      <c r="L221" s="740">
        <f t="shared" si="52"/>
        <v>0</v>
      </c>
      <c r="M221" s="741">
        <f t="shared" si="53"/>
        <v>273.5</v>
      </c>
      <c r="N221" s="67">
        <f t="shared" si="54"/>
        <v>369</v>
      </c>
      <c r="O221" s="67">
        <f t="shared" si="55"/>
        <v>38185</v>
      </c>
      <c r="Q221" s="674">
        <f t="shared" si="56"/>
        <v>0</v>
      </c>
      <c r="R221" s="674" t="str">
        <f t="shared" si="57"/>
        <v>Not Applicable</v>
      </c>
      <c r="S221" s="798" t="str">
        <f>IF($R$7=0,"",IFERROR(VLOOKUP(B221,[3]Sheet1!$C$1:$P$65536,14,FALSE),"NA"))</f>
        <v/>
      </c>
      <c r="T221" s="798">
        <f>IF(O221=0,0,IF(S221="N",0,VLOOKUP(B221,Enrollment!B:J,9,FALSE)))</f>
        <v>0</v>
      </c>
      <c r="U221" s="88">
        <f t="shared" si="58"/>
        <v>38185</v>
      </c>
      <c r="V221" s="71">
        <f t="shared" si="59"/>
        <v>139.61608775137111</v>
      </c>
      <c r="W221" s="449">
        <v>31187</v>
      </c>
      <c r="X221" s="67">
        <f>IFERROR(VLOOKUP($B221,'Allocation 2021-22'!$B:$O,14,FALSE),0)</f>
        <v>31070</v>
      </c>
      <c r="Y221" s="163">
        <f t="shared" si="60"/>
        <v>7115</v>
      </c>
      <c r="Z221" s="166">
        <f t="shared" si="61"/>
        <v>0.22899903443836497</v>
      </c>
      <c r="AA221" s="34" t="str">
        <f t="shared" si="47"/>
        <v>Y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594</v>
      </c>
      <c r="B222" s="784" t="s">
        <v>145</v>
      </c>
      <c r="C222" s="784" t="s">
        <v>607</v>
      </c>
      <c r="D222" s="134">
        <f>VLOOKUP(B222,'Enrollment 22-23'!$B:$I,8,FALSE)</f>
        <v>52.33</v>
      </c>
      <c r="E222" s="67">
        <f t="shared" si="48"/>
        <v>7235</v>
      </c>
      <c r="F222" s="146">
        <v>0</v>
      </c>
      <c r="G222" s="146">
        <v>0</v>
      </c>
      <c r="H222" s="91">
        <f t="shared" si="49"/>
        <v>7235</v>
      </c>
      <c r="I222" s="67">
        <f t="shared" si="50"/>
        <v>0</v>
      </c>
      <c r="J222" s="739">
        <f t="shared" si="51"/>
        <v>7235</v>
      </c>
      <c r="K222" s="837" t="str">
        <f>_xlfn.IFNA(VLOOKUP(B222,'[2]22-23 Survey Results'!$A:$F,6,FALSE),0)</f>
        <v>C</v>
      </c>
      <c r="L222" s="740">
        <f t="shared" si="52"/>
        <v>0</v>
      </c>
      <c r="M222" s="741">
        <f t="shared" si="53"/>
        <v>52.33</v>
      </c>
      <c r="N222" s="67">
        <f t="shared" si="54"/>
        <v>71</v>
      </c>
      <c r="O222" s="67">
        <f t="shared" si="55"/>
        <v>7306</v>
      </c>
      <c r="Q222" s="674">
        <f t="shared" si="56"/>
        <v>0</v>
      </c>
      <c r="R222" s="674" t="str">
        <f t="shared" si="57"/>
        <v>Not Applicable</v>
      </c>
      <c r="S222" s="798" t="str">
        <f>IF($R$7=0,"",IFERROR(VLOOKUP(B222,[3]Sheet1!$C$1:$P$65536,14,FALSE),"NA"))</f>
        <v/>
      </c>
      <c r="T222" s="798">
        <f>IF(O222=0,0,IF(S222="N",0,VLOOKUP(B222,Enrollment!B:J,9,FALSE)))</f>
        <v>0</v>
      </c>
      <c r="U222" s="88">
        <f t="shared" si="58"/>
        <v>7306</v>
      </c>
      <c r="V222" s="71">
        <f t="shared" si="59"/>
        <v>139.6139881521116</v>
      </c>
      <c r="W222" s="449">
        <v>0</v>
      </c>
      <c r="X222" s="67">
        <f>IFERROR(VLOOKUP($B222,'Allocation 2021-22'!$B:$O,14,FALSE),0)</f>
        <v>5446</v>
      </c>
      <c r="Y222" s="163">
        <f t="shared" si="60"/>
        <v>1860</v>
      </c>
      <c r="Z222" s="166">
        <f t="shared" si="61"/>
        <v>0.34153507161219243</v>
      </c>
      <c r="AA222" s="34" t="str">
        <f t="shared" si="47"/>
        <v>C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601</v>
      </c>
      <c r="B223" s="784" t="s">
        <v>116</v>
      </c>
      <c r="C223" s="784" t="s">
        <v>1421</v>
      </c>
      <c r="D223" s="134">
        <f>VLOOKUP(B223,'Enrollment 22-23'!$B:$I,8,FALSE)</f>
        <v>1209</v>
      </c>
      <c r="E223" s="67">
        <f t="shared" si="48"/>
        <v>167163</v>
      </c>
      <c r="F223" s="146">
        <v>0</v>
      </c>
      <c r="G223" s="146">
        <v>0</v>
      </c>
      <c r="H223" s="91">
        <f t="shared" si="49"/>
        <v>167163</v>
      </c>
      <c r="I223" s="67">
        <f t="shared" si="50"/>
        <v>0</v>
      </c>
      <c r="J223" s="739">
        <f t="shared" si="51"/>
        <v>167163</v>
      </c>
      <c r="K223" s="837" t="str">
        <f>_xlfn.IFNA(VLOOKUP(B223,'[2]22-23 Survey Results'!$A:$F,6,FALSE),0)</f>
        <v>Y</v>
      </c>
      <c r="L223" s="740">
        <f t="shared" si="52"/>
        <v>0</v>
      </c>
      <c r="M223" s="741">
        <f t="shared" si="53"/>
        <v>1209</v>
      </c>
      <c r="N223" s="67">
        <f t="shared" si="54"/>
        <v>1632</v>
      </c>
      <c r="O223" s="67">
        <f t="shared" si="55"/>
        <v>168795</v>
      </c>
      <c r="Q223" s="674">
        <f t="shared" si="56"/>
        <v>0</v>
      </c>
      <c r="R223" s="674" t="str">
        <f t="shared" si="57"/>
        <v>Not Applicable</v>
      </c>
      <c r="S223" s="798" t="str">
        <f>IF($R$7=0,"",IFERROR(VLOOKUP(B223,[3]Sheet1!$C$1:$P$65536,14,FALSE),"NA"))</f>
        <v/>
      </c>
      <c r="T223" s="798">
        <f>IF(O223=0,0,IF(S223="N",0,VLOOKUP(B223,Enrollment!B:J,9,FALSE)))</f>
        <v>0</v>
      </c>
      <c r="U223" s="88">
        <f t="shared" si="58"/>
        <v>168795</v>
      </c>
      <c r="V223" s="71">
        <f t="shared" si="59"/>
        <v>139.61538461538461</v>
      </c>
      <c r="W223" s="449">
        <v>168686</v>
      </c>
      <c r="X223" s="67">
        <f>IFERROR(VLOOKUP($B223,'Allocation 2021-22'!$B:$O,14,FALSE),0)</f>
        <v>168051</v>
      </c>
      <c r="Y223" s="163">
        <f t="shared" si="60"/>
        <v>744</v>
      </c>
      <c r="Z223" s="166">
        <f t="shared" si="61"/>
        <v>4.4272274488101823E-3</v>
      </c>
      <c r="AA223" s="34" t="str">
        <f t="shared" si="47"/>
        <v>Y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594</v>
      </c>
      <c r="B224" s="784" t="s">
        <v>480</v>
      </c>
      <c r="C224" s="784" t="s">
        <v>1591</v>
      </c>
      <c r="D224" s="134">
        <f>VLOOKUP(B224,'Enrollment 22-23'!$B:$I,8,FALSE)</f>
        <v>0</v>
      </c>
      <c r="E224" s="67">
        <f t="shared" si="48"/>
        <v>0</v>
      </c>
      <c r="F224" s="146">
        <v>0</v>
      </c>
      <c r="G224" s="146">
        <v>0</v>
      </c>
      <c r="H224" s="91">
        <f t="shared" si="49"/>
        <v>0</v>
      </c>
      <c r="I224" s="67">
        <f t="shared" si="50"/>
        <v>0</v>
      </c>
      <c r="J224" s="739">
        <f t="shared" si="51"/>
        <v>0</v>
      </c>
      <c r="K224" s="837">
        <f>_xlfn.IFNA(VLOOKUP(B224,'[2]22-23 Survey Results'!$A:$F,6,FALSE),0)</f>
        <v>0</v>
      </c>
      <c r="L224" s="740">
        <f t="shared" si="52"/>
        <v>0</v>
      </c>
      <c r="M224" s="741">
        <f t="shared" si="53"/>
        <v>0</v>
      </c>
      <c r="N224" s="67">
        <f t="shared" si="54"/>
        <v>0</v>
      </c>
      <c r="O224" s="67">
        <f t="shared" si="55"/>
        <v>0</v>
      </c>
      <c r="Q224" s="674">
        <f t="shared" si="56"/>
        <v>0</v>
      </c>
      <c r="R224" s="674" t="str">
        <f t="shared" si="57"/>
        <v>Not Applicable</v>
      </c>
      <c r="S224" s="798" t="str">
        <f>IF($R$7=0,"",IFERROR(VLOOKUP(B224,[3]Sheet1!$C$1:$P$65536,14,FALSE),"NA"))</f>
        <v/>
      </c>
      <c r="T224" s="798">
        <f>IF(O224=0,0,IF(S224="N",0,VLOOKUP(B224,Enrollment!B:J,9,FALSE)))</f>
        <v>0</v>
      </c>
      <c r="U224" s="88">
        <f t="shared" si="58"/>
        <v>0</v>
      </c>
      <c r="V224" s="71">
        <f t="shared" si="59"/>
        <v>0</v>
      </c>
      <c r="W224" s="449">
        <v>0</v>
      </c>
      <c r="X224" s="67">
        <f>IFERROR(VLOOKUP($B224,'Allocation 2021-22'!$B:$O,14,FALSE),0)</f>
        <v>0</v>
      </c>
      <c r="Y224" s="163">
        <f t="shared" si="60"/>
        <v>0</v>
      </c>
      <c r="Z224" s="166">
        <f t="shared" si="61"/>
        <v>0</v>
      </c>
      <c r="AA224" s="34">
        <f t="shared" si="47"/>
        <v>0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1666</v>
      </c>
      <c r="B225" s="784" t="s">
        <v>1686</v>
      </c>
      <c r="C225" s="784" t="s">
        <v>1766</v>
      </c>
      <c r="D225" s="134">
        <f>VLOOKUP(B225,'Enrollment 22-23'!$B:$I,8,FALSE)</f>
        <v>100.83</v>
      </c>
      <c r="E225" s="67">
        <f t="shared" si="48"/>
        <v>13941</v>
      </c>
      <c r="F225" s="146">
        <v>0</v>
      </c>
      <c r="G225" s="146">
        <v>0</v>
      </c>
      <c r="H225" s="91">
        <f t="shared" si="49"/>
        <v>13941</v>
      </c>
      <c r="I225" s="67">
        <f t="shared" si="50"/>
        <v>0</v>
      </c>
      <c r="J225" s="739">
        <f t="shared" si="51"/>
        <v>13941</v>
      </c>
      <c r="K225" s="837" t="str">
        <f>_xlfn.IFNA(VLOOKUP(B225,'[2]22-23 Survey Results'!$A:$F,6,FALSE),0)</f>
        <v>Y</v>
      </c>
      <c r="L225" s="740">
        <f t="shared" si="52"/>
        <v>0</v>
      </c>
      <c r="M225" s="741">
        <f t="shared" si="53"/>
        <v>100.83</v>
      </c>
      <c r="N225" s="67">
        <f t="shared" si="54"/>
        <v>136</v>
      </c>
      <c r="O225" s="67">
        <f t="shared" si="55"/>
        <v>14077</v>
      </c>
      <c r="Q225" s="674">
        <f t="shared" si="56"/>
        <v>0</v>
      </c>
      <c r="R225" s="674" t="str">
        <f t="shared" si="57"/>
        <v>Not Applicable</v>
      </c>
      <c r="S225" s="798" t="str">
        <f>IF($R$7=0,"",IFERROR(VLOOKUP(B225,[3]Sheet1!$C$1:$P$65536,14,FALSE),"NA"))</f>
        <v/>
      </c>
      <c r="T225" s="798">
        <f>IF(O225=0,0,IF(S225="N",0,VLOOKUP(B225,Enrollment!B:J,9,FALSE)))</f>
        <v>0</v>
      </c>
      <c r="U225" s="88">
        <f t="shared" si="58"/>
        <v>14077</v>
      </c>
      <c r="V225" s="71">
        <f t="shared" si="59"/>
        <v>139.61122681741546</v>
      </c>
      <c r="W225" s="449">
        <v>11230</v>
      </c>
      <c r="X225" s="67">
        <f>IFERROR(VLOOKUP($B225,'Allocation 2021-22'!$B:$O,14,FALSE),0)</f>
        <v>11188</v>
      </c>
      <c r="Y225" s="163">
        <f t="shared" si="60"/>
        <v>2889</v>
      </c>
      <c r="Z225" s="166">
        <f t="shared" si="61"/>
        <v>0.25822309617447264</v>
      </c>
      <c r="AA225" s="34" t="str">
        <f t="shared" si="47"/>
        <v>Y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1666</v>
      </c>
      <c r="B226" s="784" t="s">
        <v>1720</v>
      </c>
      <c r="C226" s="784" t="s">
        <v>1789</v>
      </c>
      <c r="D226" s="134">
        <f>VLOOKUP(B226,'Enrollment 22-23'!$B:$I,8,FALSE)</f>
        <v>23.159999999999997</v>
      </c>
      <c r="E226" s="67">
        <f t="shared" si="48"/>
        <v>3202</v>
      </c>
      <c r="F226" s="146">
        <v>0</v>
      </c>
      <c r="G226" s="146">
        <v>0</v>
      </c>
      <c r="H226" s="91">
        <f t="shared" si="49"/>
        <v>3202</v>
      </c>
      <c r="I226" s="67">
        <f t="shared" si="50"/>
        <v>0</v>
      </c>
      <c r="J226" s="739">
        <f t="shared" si="51"/>
        <v>3202</v>
      </c>
      <c r="K226" s="837" t="str">
        <f>_xlfn.IFNA(VLOOKUP(B226,'[2]22-23 Survey Results'!$A:$F,6,FALSE),0)</f>
        <v>C</v>
      </c>
      <c r="L226" s="740">
        <f t="shared" si="52"/>
        <v>0</v>
      </c>
      <c r="M226" s="741">
        <f t="shared" si="53"/>
        <v>23.159999999999997</v>
      </c>
      <c r="N226" s="67">
        <f t="shared" si="54"/>
        <v>31</v>
      </c>
      <c r="O226" s="67">
        <f t="shared" si="55"/>
        <v>3233</v>
      </c>
      <c r="Q226" s="674">
        <f t="shared" si="56"/>
        <v>0</v>
      </c>
      <c r="R226" s="674" t="str">
        <f t="shared" si="57"/>
        <v>Not Applicable</v>
      </c>
      <c r="S226" s="798" t="str">
        <f>IF($R$7=0,"",IFERROR(VLOOKUP(B226,[3]Sheet1!$C$1:$P$65536,14,FALSE),"NA"))</f>
        <v/>
      </c>
      <c r="T226" s="798">
        <f>IF(O226=0,0,IF(S226="N",0,VLOOKUP(B226,Enrollment!B:J,9,FALSE)))</f>
        <v>0</v>
      </c>
      <c r="U226" s="88">
        <f t="shared" si="58"/>
        <v>3233</v>
      </c>
      <c r="V226" s="71">
        <f t="shared" si="59"/>
        <v>139.59412780656305</v>
      </c>
      <c r="W226" s="449">
        <v>0</v>
      </c>
      <c r="X226" s="67">
        <f>IFERROR(VLOOKUP($B226,'Allocation 2021-22'!$B:$O,14,FALSE),0)</f>
        <v>3065</v>
      </c>
      <c r="Y226" s="163">
        <f t="shared" si="60"/>
        <v>168</v>
      </c>
      <c r="Z226" s="166">
        <f t="shared" si="61"/>
        <v>5.4812398042414355E-2</v>
      </c>
      <c r="AA226" s="34" t="str">
        <f t="shared" si="47"/>
        <v>C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594</v>
      </c>
      <c r="B227" s="784" t="s">
        <v>327</v>
      </c>
      <c r="C227" s="784" t="s">
        <v>1514</v>
      </c>
      <c r="D227" s="134">
        <f>VLOOKUP(B227,'Enrollment 22-23'!$B:$I,8,FALSE)</f>
        <v>61</v>
      </c>
      <c r="E227" s="67">
        <f t="shared" si="48"/>
        <v>8434</v>
      </c>
      <c r="F227" s="146">
        <v>0</v>
      </c>
      <c r="G227" s="146">
        <v>0</v>
      </c>
      <c r="H227" s="91">
        <f t="shared" si="49"/>
        <v>8434</v>
      </c>
      <c r="I227" s="67">
        <f t="shared" si="50"/>
        <v>0</v>
      </c>
      <c r="J227" s="739">
        <f t="shared" si="51"/>
        <v>8434</v>
      </c>
      <c r="K227" s="837" t="str">
        <f>_xlfn.IFNA(VLOOKUP(B227,'[2]22-23 Survey Results'!$A:$F,6,FALSE),0)</f>
        <v>C</v>
      </c>
      <c r="L227" s="740">
        <f t="shared" si="52"/>
        <v>0</v>
      </c>
      <c r="M227" s="741">
        <f t="shared" si="53"/>
        <v>61</v>
      </c>
      <c r="N227" s="67">
        <f t="shared" si="54"/>
        <v>82</v>
      </c>
      <c r="O227" s="67">
        <f t="shared" si="55"/>
        <v>8516</v>
      </c>
      <c r="Q227" s="674">
        <f t="shared" si="56"/>
        <v>0</v>
      </c>
      <c r="R227" s="674" t="str">
        <f t="shared" si="57"/>
        <v>Not Applicable</v>
      </c>
      <c r="S227" s="798" t="str">
        <f>IF($R$7=0,"",IFERROR(VLOOKUP(B227,[3]Sheet1!$C$1:$P$65536,14,FALSE),"NA"))</f>
        <v/>
      </c>
      <c r="T227" s="798">
        <f>IF(O227=0,0,IF(S227="N",0,VLOOKUP(B227,Enrollment!B:J,9,FALSE)))</f>
        <v>0</v>
      </c>
      <c r="U227" s="88">
        <f t="shared" si="58"/>
        <v>8516</v>
      </c>
      <c r="V227" s="71">
        <f t="shared" si="59"/>
        <v>139.60655737704917</v>
      </c>
      <c r="W227" s="449">
        <v>0</v>
      </c>
      <c r="X227" s="67">
        <f>IFERROR(VLOOKUP($B227,'Allocation 2021-22'!$B:$O,14,FALSE),0)</f>
        <v>9403</v>
      </c>
      <c r="Y227" s="163">
        <f t="shared" si="60"/>
        <v>-887</v>
      </c>
      <c r="Z227" s="166">
        <f t="shared" si="61"/>
        <v>-9.4331596299053494E-2</v>
      </c>
      <c r="AA227" s="34" t="str">
        <f t="shared" si="47"/>
        <v>C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603</v>
      </c>
      <c r="B228" s="784" t="s">
        <v>282</v>
      </c>
      <c r="C228" s="784" t="s">
        <v>1494</v>
      </c>
      <c r="D228" s="134">
        <f>VLOOKUP(B228,'Enrollment 22-23'!$B:$I,8,FALSE)</f>
        <v>9.5</v>
      </c>
      <c r="E228" s="67">
        <f t="shared" si="48"/>
        <v>1314</v>
      </c>
      <c r="F228" s="146">
        <v>0</v>
      </c>
      <c r="G228" s="146">
        <v>0</v>
      </c>
      <c r="H228" s="91">
        <f t="shared" si="49"/>
        <v>1314</v>
      </c>
      <c r="I228" s="67">
        <f t="shared" si="50"/>
        <v>0</v>
      </c>
      <c r="J228" s="739">
        <f t="shared" si="51"/>
        <v>1314</v>
      </c>
      <c r="K228" s="837" t="str">
        <f>_xlfn.IFNA(VLOOKUP(B228,'[2]22-23 Survey Results'!$A:$F,6,FALSE),0)</f>
        <v>N</v>
      </c>
      <c r="L228" s="740">
        <f t="shared" si="52"/>
        <v>1314</v>
      </c>
      <c r="M228" s="741">
        <f t="shared" si="53"/>
        <v>0</v>
      </c>
      <c r="N228" s="67">
        <f t="shared" si="54"/>
        <v>0</v>
      </c>
      <c r="O228" s="67">
        <f t="shared" si="55"/>
        <v>0</v>
      </c>
      <c r="Q228" s="674">
        <f t="shared" si="56"/>
        <v>0</v>
      </c>
      <c r="R228" s="674" t="str">
        <f t="shared" si="57"/>
        <v>Not Applicable</v>
      </c>
      <c r="S228" s="798" t="str">
        <f>IF($R$7=0,"",IFERROR(VLOOKUP(B228,[3]Sheet1!$C$1:$P$65536,14,FALSE),"NA"))</f>
        <v/>
      </c>
      <c r="T228" s="798">
        <f>IF(O228=0,0,IF(S228="N",0,VLOOKUP(B228,Enrollment!B:J,9,FALSE)))</f>
        <v>0</v>
      </c>
      <c r="U228" s="88">
        <f t="shared" si="58"/>
        <v>0</v>
      </c>
      <c r="V228" s="71">
        <f t="shared" si="59"/>
        <v>0</v>
      </c>
      <c r="W228" s="449">
        <v>0</v>
      </c>
      <c r="X228" s="67">
        <f>IFERROR(VLOOKUP($B228,'Allocation 2021-22'!$B:$O,14,FALSE),0)</f>
        <v>0</v>
      </c>
      <c r="Y228" s="163">
        <f t="shared" si="60"/>
        <v>0</v>
      </c>
      <c r="Z228" s="166">
        <f t="shared" si="61"/>
        <v>0</v>
      </c>
      <c r="AA228" s="34" t="str">
        <f t="shared" si="47"/>
        <v>N</v>
      </c>
      <c r="AC228" s="67"/>
      <c r="AD228" s="451"/>
      <c r="AE228" s="452"/>
      <c r="AH228" s="36"/>
      <c r="AI228" s="36"/>
      <c r="AJ228" s="36"/>
      <c r="AK228" s="19"/>
    </row>
    <row r="229" spans="1:37">
      <c r="A229" s="64" t="s">
        <v>597</v>
      </c>
      <c r="B229" s="784" t="s">
        <v>185</v>
      </c>
      <c r="C229" s="784" t="s">
        <v>638</v>
      </c>
      <c r="D229" s="134">
        <f>VLOOKUP(B229,'Enrollment 22-23'!$B:$I,8,FALSE)</f>
        <v>3138.49</v>
      </c>
      <c r="E229" s="67">
        <f t="shared" si="48"/>
        <v>433946</v>
      </c>
      <c r="F229" s="146">
        <v>0</v>
      </c>
      <c r="G229" s="146">
        <v>0</v>
      </c>
      <c r="H229" s="91">
        <f t="shared" si="49"/>
        <v>433946</v>
      </c>
      <c r="I229" s="67">
        <f t="shared" si="50"/>
        <v>0</v>
      </c>
      <c r="J229" s="739">
        <f t="shared" si="51"/>
        <v>433946</v>
      </c>
      <c r="K229" s="837" t="str">
        <f>_xlfn.IFNA(VLOOKUP(B229,'[2]22-23 Survey Results'!$A:$F,6,FALSE),0)</f>
        <v>Y</v>
      </c>
      <c r="L229" s="740">
        <f t="shared" si="52"/>
        <v>0</v>
      </c>
      <c r="M229" s="741">
        <f t="shared" si="53"/>
        <v>3138.49</v>
      </c>
      <c r="N229" s="67">
        <f t="shared" si="54"/>
        <v>4236</v>
      </c>
      <c r="O229" s="67">
        <f t="shared" si="55"/>
        <v>438182</v>
      </c>
      <c r="Q229" s="674">
        <f t="shared" si="56"/>
        <v>0</v>
      </c>
      <c r="R229" s="674" t="str">
        <f t="shared" si="57"/>
        <v>Not Applicable</v>
      </c>
      <c r="S229" s="798" t="str">
        <f>IF($R$7=0,"",IFERROR(VLOOKUP(B229,[3]Sheet1!$C$1:$P$65536,14,FALSE),"NA"))</f>
        <v/>
      </c>
      <c r="T229" s="798">
        <f>IF(O229=0,0,IF(S229="N",0,VLOOKUP(B229,Enrollment!B:J,9,FALSE)))</f>
        <v>0</v>
      </c>
      <c r="U229" s="88">
        <f t="shared" si="58"/>
        <v>438182</v>
      </c>
      <c r="V229" s="71">
        <f t="shared" si="59"/>
        <v>139.61554760410263</v>
      </c>
      <c r="W229" s="449">
        <v>407257</v>
      </c>
      <c r="X229" s="67">
        <f>IFERROR(VLOOKUP($B229,'Allocation 2021-22'!$B:$O,14,FALSE),0)</f>
        <v>405723</v>
      </c>
      <c r="Y229" s="163">
        <f t="shared" si="60"/>
        <v>32459</v>
      </c>
      <c r="Z229" s="166">
        <f t="shared" si="61"/>
        <v>8.0002859093519466E-2</v>
      </c>
      <c r="AA229" s="34" t="str">
        <f t="shared" si="47"/>
        <v>Y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603</v>
      </c>
      <c r="B230" s="785" t="s">
        <v>102</v>
      </c>
      <c r="C230" s="784" t="s">
        <v>1415</v>
      </c>
      <c r="D230" s="134">
        <f>VLOOKUP(B230,'Enrollment 22-23'!$B:$I,8,FALSE)</f>
        <v>0</v>
      </c>
      <c r="E230" s="67">
        <f t="shared" si="48"/>
        <v>0</v>
      </c>
      <c r="F230" s="146">
        <v>0</v>
      </c>
      <c r="G230" s="146">
        <v>0</v>
      </c>
      <c r="H230" s="91">
        <f t="shared" si="49"/>
        <v>0</v>
      </c>
      <c r="I230" s="67">
        <f t="shared" si="50"/>
        <v>0</v>
      </c>
      <c r="J230" s="739">
        <f t="shared" si="51"/>
        <v>0</v>
      </c>
      <c r="K230" s="837">
        <f>_xlfn.IFNA(VLOOKUP(B230,'[2]22-23 Survey Results'!$A:$F,6,FALSE),0)</f>
        <v>0</v>
      </c>
      <c r="L230" s="740">
        <f t="shared" si="52"/>
        <v>0</v>
      </c>
      <c r="M230" s="741">
        <f t="shared" si="53"/>
        <v>0</v>
      </c>
      <c r="N230" s="67">
        <f t="shared" si="54"/>
        <v>0</v>
      </c>
      <c r="O230" s="67">
        <f t="shared" si="55"/>
        <v>0</v>
      </c>
      <c r="P230" s="674"/>
      <c r="Q230" s="674">
        <f t="shared" si="56"/>
        <v>0</v>
      </c>
      <c r="R230" s="674" t="str">
        <f t="shared" si="57"/>
        <v>Not Applicable</v>
      </c>
      <c r="S230" s="798" t="str">
        <f>IF($R$7=0,"",IFERROR(VLOOKUP(B230,[3]Sheet1!$C$1:$P$65536,14,FALSE),"NA"))</f>
        <v/>
      </c>
      <c r="T230" s="798">
        <f>IF(O230=0,0,IF(S230="N",0,VLOOKUP(B230,Enrollment!B:J,9,FALSE)))</f>
        <v>0</v>
      </c>
      <c r="U230" s="88">
        <f t="shared" si="58"/>
        <v>0</v>
      </c>
      <c r="V230" s="71">
        <f t="shared" si="59"/>
        <v>0</v>
      </c>
      <c r="W230" s="449">
        <v>0</v>
      </c>
      <c r="X230" s="67">
        <f>IFERROR(VLOOKUP($B230,'Allocation 2021-22'!$B:$O,14,FALSE),0)</f>
        <v>0</v>
      </c>
      <c r="Y230" s="163">
        <f t="shared" si="60"/>
        <v>0</v>
      </c>
      <c r="Z230" s="166">
        <f t="shared" si="61"/>
        <v>0</v>
      </c>
      <c r="AA230" s="34">
        <f t="shared" si="47"/>
        <v>0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596</v>
      </c>
      <c r="B231" s="784" t="s">
        <v>23</v>
      </c>
      <c r="C231" s="784" t="s">
        <v>1379</v>
      </c>
      <c r="D231" s="134">
        <f>VLOOKUP(B231,'Enrollment 22-23'!$B:$I,8,FALSE)</f>
        <v>786.5</v>
      </c>
      <c r="E231" s="67">
        <f t="shared" si="48"/>
        <v>108746</v>
      </c>
      <c r="F231" s="146">
        <v>0</v>
      </c>
      <c r="G231" s="146">
        <v>0</v>
      </c>
      <c r="H231" s="91">
        <f t="shared" si="49"/>
        <v>108746</v>
      </c>
      <c r="I231" s="67">
        <f t="shared" si="50"/>
        <v>0</v>
      </c>
      <c r="J231" s="739">
        <f t="shared" si="51"/>
        <v>108746</v>
      </c>
      <c r="K231" s="837" t="str">
        <f>_xlfn.IFNA(VLOOKUP(B231,'[2]22-23 Survey Results'!$A:$F,6,FALSE),0)</f>
        <v>Y</v>
      </c>
      <c r="L231" s="740">
        <f t="shared" si="52"/>
        <v>0</v>
      </c>
      <c r="M231" s="741">
        <f t="shared" si="53"/>
        <v>786.5</v>
      </c>
      <c r="N231" s="67">
        <f t="shared" si="54"/>
        <v>1062</v>
      </c>
      <c r="O231" s="67">
        <f t="shared" si="55"/>
        <v>109808</v>
      </c>
      <c r="Q231" s="674">
        <f t="shared" si="56"/>
        <v>0</v>
      </c>
      <c r="R231" s="674" t="str">
        <f t="shared" si="57"/>
        <v>Not Applicable</v>
      </c>
      <c r="S231" s="798" t="str">
        <f>IF($R$7=0,"",IFERROR(VLOOKUP(B231,[3]Sheet1!$C$1:$P$65536,14,FALSE),"NA"))</f>
        <v/>
      </c>
      <c r="T231" s="798">
        <f>IF(O231=0,0,IF(S231="N",0,VLOOKUP(B231,Enrollment!B:J,9,FALSE)))</f>
        <v>0</v>
      </c>
      <c r="U231" s="88">
        <f t="shared" si="58"/>
        <v>109808</v>
      </c>
      <c r="V231" s="71">
        <f t="shared" si="59"/>
        <v>139.61602034329306</v>
      </c>
      <c r="W231" s="449">
        <v>101074</v>
      </c>
      <c r="X231" s="67">
        <f>IFERROR(VLOOKUP($B231,'Allocation 2021-22'!$B:$O,14,FALSE),0)</f>
        <v>100693</v>
      </c>
      <c r="Y231" s="163">
        <f t="shared" si="60"/>
        <v>9115</v>
      </c>
      <c r="Z231" s="166">
        <f t="shared" si="61"/>
        <v>9.0522677842551122E-2</v>
      </c>
      <c r="AA231" s="34" t="str">
        <f t="shared" si="47"/>
        <v>Y</v>
      </c>
      <c r="AC231" s="303"/>
      <c r="AD231" s="451"/>
      <c r="AE231" s="452"/>
      <c r="AH231" s="36"/>
      <c r="AI231" s="36"/>
      <c r="AJ231" s="36"/>
      <c r="AK231" s="19"/>
    </row>
    <row r="232" spans="1:37">
      <c r="A232" s="64" t="s">
        <v>599</v>
      </c>
      <c r="B232" s="784" t="s">
        <v>64</v>
      </c>
      <c r="C232" s="784" t="s">
        <v>1397</v>
      </c>
      <c r="D232" s="134">
        <f>VLOOKUP(B232,'Enrollment 22-23'!$B:$I,8,FALSE)</f>
        <v>116.33</v>
      </c>
      <c r="E232" s="67">
        <f t="shared" si="48"/>
        <v>16084</v>
      </c>
      <c r="F232" s="146">
        <v>0</v>
      </c>
      <c r="G232" s="146">
        <v>0</v>
      </c>
      <c r="H232" s="91">
        <f t="shared" si="49"/>
        <v>16084</v>
      </c>
      <c r="I232" s="67">
        <f t="shared" si="50"/>
        <v>0</v>
      </c>
      <c r="J232" s="739">
        <f t="shared" si="51"/>
        <v>16084</v>
      </c>
      <c r="K232" s="837" t="str">
        <f>_xlfn.IFNA(VLOOKUP(B232,'[2]22-23 Survey Results'!$A:$F,6,FALSE),0)</f>
        <v>Y</v>
      </c>
      <c r="L232" s="740">
        <f t="shared" si="52"/>
        <v>0</v>
      </c>
      <c r="M232" s="741">
        <f t="shared" si="53"/>
        <v>116.33</v>
      </c>
      <c r="N232" s="67">
        <f t="shared" si="54"/>
        <v>157</v>
      </c>
      <c r="O232" s="67">
        <f t="shared" si="55"/>
        <v>16241</v>
      </c>
      <c r="Q232" s="674">
        <f t="shared" si="56"/>
        <v>0</v>
      </c>
      <c r="R232" s="674" t="str">
        <f t="shared" si="57"/>
        <v>Not Applicable</v>
      </c>
      <c r="S232" s="798" t="str">
        <f>IF($R$7=0,"",IFERROR(VLOOKUP(B232,[3]Sheet1!$C$1:$P$65536,14,FALSE),"NA"))</f>
        <v/>
      </c>
      <c r="T232" s="798">
        <f>IF(O232=0,0,IF(S232="N",0,VLOOKUP(B232,Enrollment!B:J,9,FALSE)))</f>
        <v>0</v>
      </c>
      <c r="U232" s="88">
        <f t="shared" si="58"/>
        <v>16241</v>
      </c>
      <c r="V232" s="71">
        <f t="shared" si="59"/>
        <v>139.61145018481906</v>
      </c>
      <c r="W232" s="449">
        <v>12309</v>
      </c>
      <c r="X232" s="67">
        <f>IFERROR(VLOOKUP($B232,'Allocation 2021-22'!$B:$O,14,FALSE),0)</f>
        <v>12263</v>
      </c>
      <c r="Y232" s="163">
        <f t="shared" si="60"/>
        <v>3978</v>
      </c>
      <c r="Z232" s="166">
        <f t="shared" si="61"/>
        <v>0.3243904427954008</v>
      </c>
      <c r="AA232" s="34" t="str">
        <f t="shared" si="47"/>
        <v>Y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8</v>
      </c>
      <c r="C233" s="784" t="s">
        <v>1372</v>
      </c>
      <c r="D233" s="134">
        <f>VLOOKUP(B233,'Enrollment 22-23'!$B:$I,8,FALSE)</f>
        <v>0</v>
      </c>
      <c r="E233" s="67">
        <f t="shared" si="48"/>
        <v>0</v>
      </c>
      <c r="F233" s="146">
        <v>0</v>
      </c>
      <c r="G233" s="146">
        <v>0</v>
      </c>
      <c r="H233" s="91">
        <f t="shared" si="49"/>
        <v>0</v>
      </c>
      <c r="I233" s="67">
        <f t="shared" si="50"/>
        <v>0</v>
      </c>
      <c r="J233" s="739">
        <f t="shared" si="51"/>
        <v>0</v>
      </c>
      <c r="K233" s="837">
        <f>_xlfn.IFNA(VLOOKUP(B233,'[2]22-23 Survey Results'!$A:$F,6,FALSE),0)</f>
        <v>0</v>
      </c>
      <c r="L233" s="740">
        <f t="shared" si="52"/>
        <v>0</v>
      </c>
      <c r="M233" s="741">
        <f t="shared" si="53"/>
        <v>0</v>
      </c>
      <c r="N233" s="67">
        <f t="shared" si="54"/>
        <v>0</v>
      </c>
      <c r="O233" s="67">
        <f t="shared" si="55"/>
        <v>0</v>
      </c>
      <c r="Q233" s="674">
        <f t="shared" si="56"/>
        <v>0</v>
      </c>
      <c r="R233" s="674" t="str">
        <f t="shared" si="57"/>
        <v>Not Applicable</v>
      </c>
      <c r="S233" s="798" t="str">
        <f>IF($R$7=0,"",IFERROR(VLOOKUP(B233,[3]Sheet1!$C$1:$P$65536,14,FALSE),"NA"))</f>
        <v/>
      </c>
      <c r="T233" s="798">
        <f>IF(O233=0,0,IF(S233="N",0,VLOOKUP(B233,Enrollment!B:J,9,FALSE)))</f>
        <v>0</v>
      </c>
      <c r="U233" s="88">
        <f t="shared" si="58"/>
        <v>0</v>
      </c>
      <c r="V233" s="71">
        <f t="shared" si="59"/>
        <v>0</v>
      </c>
      <c r="W233" s="449">
        <v>0</v>
      </c>
      <c r="X233" s="67">
        <f>IFERROR(VLOOKUP($B233,'Allocation 2021-22'!$B:$O,14,FALSE),0)</f>
        <v>0</v>
      </c>
      <c r="Y233" s="163">
        <f t="shared" si="60"/>
        <v>0</v>
      </c>
      <c r="Z233" s="166">
        <f t="shared" si="61"/>
        <v>0</v>
      </c>
      <c r="AA233" s="34">
        <f t="shared" si="47"/>
        <v>0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446</v>
      </c>
      <c r="C234" s="784" t="s">
        <v>1575</v>
      </c>
      <c r="D234" s="134">
        <f>VLOOKUP(B234,'Enrollment 22-23'!$B:$I,8,FALSE)</f>
        <v>18.659999999999997</v>
      </c>
      <c r="E234" s="67">
        <f t="shared" si="48"/>
        <v>2580</v>
      </c>
      <c r="F234" s="146">
        <v>0</v>
      </c>
      <c r="G234" s="146">
        <v>0</v>
      </c>
      <c r="H234" s="91">
        <f t="shared" si="49"/>
        <v>2580</v>
      </c>
      <c r="I234" s="67">
        <f t="shared" si="50"/>
        <v>0</v>
      </c>
      <c r="J234" s="739">
        <f t="shared" si="51"/>
        <v>2580</v>
      </c>
      <c r="K234" s="837" t="str">
        <f>_xlfn.IFNA(VLOOKUP(B234,'[2]22-23 Survey Results'!$A:$F,6,FALSE),0)</f>
        <v>N</v>
      </c>
      <c r="L234" s="740">
        <f t="shared" si="52"/>
        <v>2580</v>
      </c>
      <c r="M234" s="741">
        <f t="shared" si="53"/>
        <v>0</v>
      </c>
      <c r="N234" s="67">
        <f t="shared" si="54"/>
        <v>0</v>
      </c>
      <c r="O234" s="67">
        <f t="shared" si="55"/>
        <v>0</v>
      </c>
      <c r="Q234" s="674">
        <f t="shared" si="56"/>
        <v>0</v>
      </c>
      <c r="R234" s="674" t="str">
        <f t="shared" si="57"/>
        <v>Not Applicable</v>
      </c>
      <c r="S234" s="798" t="str">
        <f>IF($R$7=0,"",IFERROR(VLOOKUP(B234,[3]Sheet1!$C$1:$P$65536,14,FALSE),"NA"))</f>
        <v/>
      </c>
      <c r="T234" s="798">
        <f>IF(O234=0,0,IF(S234="N",0,VLOOKUP(B234,Enrollment!B:J,9,FALSE)))</f>
        <v>0</v>
      </c>
      <c r="U234" s="88">
        <f t="shared" si="58"/>
        <v>0</v>
      </c>
      <c r="V234" s="71">
        <f t="shared" si="59"/>
        <v>0</v>
      </c>
      <c r="W234" s="449">
        <v>0</v>
      </c>
      <c r="X234" s="67">
        <f>IFERROR(VLOOKUP($B234,'Allocation 2021-22'!$B:$O,14,FALSE),0)</f>
        <v>0</v>
      </c>
      <c r="Y234" s="163">
        <f t="shared" si="60"/>
        <v>0</v>
      </c>
      <c r="Z234" s="166">
        <f t="shared" si="61"/>
        <v>0</v>
      </c>
      <c r="AA234" s="34" t="str">
        <f t="shared" si="47"/>
        <v>N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597</v>
      </c>
      <c r="B235" s="784" t="s">
        <v>193</v>
      </c>
      <c r="C235" s="784" t="s">
        <v>1457</v>
      </c>
      <c r="D235" s="134">
        <f>VLOOKUP(B235,'Enrollment 22-23'!$B:$I,8,FALSE)</f>
        <v>196.17</v>
      </c>
      <c r="E235" s="67">
        <f t="shared" si="48"/>
        <v>27124</v>
      </c>
      <c r="F235" s="146">
        <v>0</v>
      </c>
      <c r="G235" s="146">
        <v>0</v>
      </c>
      <c r="H235" s="91">
        <f t="shared" si="49"/>
        <v>27124</v>
      </c>
      <c r="I235" s="67">
        <f t="shared" si="50"/>
        <v>0</v>
      </c>
      <c r="J235" s="739">
        <f t="shared" si="51"/>
        <v>27124</v>
      </c>
      <c r="K235" s="837" t="str">
        <f>_xlfn.IFNA(VLOOKUP(B235,'[2]22-23 Survey Results'!$A:$F,6,FALSE),0)</f>
        <v>Y</v>
      </c>
      <c r="L235" s="740">
        <f t="shared" si="52"/>
        <v>0</v>
      </c>
      <c r="M235" s="741">
        <f t="shared" si="53"/>
        <v>196.17</v>
      </c>
      <c r="N235" s="67">
        <f t="shared" si="54"/>
        <v>265</v>
      </c>
      <c r="O235" s="67">
        <f t="shared" si="55"/>
        <v>27389</v>
      </c>
      <c r="Q235" s="674">
        <f t="shared" si="56"/>
        <v>0</v>
      </c>
      <c r="R235" s="674" t="str">
        <f t="shared" si="57"/>
        <v>Not Applicable</v>
      </c>
      <c r="S235" s="798" t="str">
        <f>IF($R$7=0,"",IFERROR(VLOOKUP(B235,[3]Sheet1!$C$1:$P$65536,14,FALSE),"NA"))</f>
        <v/>
      </c>
      <c r="T235" s="798">
        <f>IF(O235=0,0,IF(S235="N",0,VLOOKUP(B235,Enrollment!B:J,9,FALSE)))</f>
        <v>0</v>
      </c>
      <c r="U235" s="88">
        <f t="shared" si="58"/>
        <v>27389</v>
      </c>
      <c r="V235" s="71">
        <f t="shared" si="59"/>
        <v>139.61869806800226</v>
      </c>
      <c r="W235" s="449">
        <v>25079</v>
      </c>
      <c r="X235" s="67">
        <f>IFERROR(VLOOKUP($B235,'Allocation 2021-22'!$B:$O,14,FALSE),0)</f>
        <v>24984</v>
      </c>
      <c r="Y235" s="163">
        <f t="shared" si="60"/>
        <v>2405</v>
      </c>
      <c r="Z235" s="166">
        <f t="shared" si="61"/>
        <v>9.6261607428754406E-2</v>
      </c>
      <c r="AA235" s="34" t="str">
        <f t="shared" si="47"/>
        <v>Y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594</v>
      </c>
      <c r="B236" s="784" t="s">
        <v>484</v>
      </c>
      <c r="C236" s="784" t="s">
        <v>1593</v>
      </c>
      <c r="D236" s="134">
        <f>VLOOKUP(B236,'Enrollment 22-23'!$B:$I,8,FALSE)</f>
        <v>244.66999999999996</v>
      </c>
      <c r="E236" s="67">
        <f t="shared" si="48"/>
        <v>33830</v>
      </c>
      <c r="F236" s="146">
        <v>0</v>
      </c>
      <c r="G236" s="146">
        <v>0</v>
      </c>
      <c r="H236" s="91">
        <f t="shared" si="49"/>
        <v>33830</v>
      </c>
      <c r="I236" s="67">
        <f t="shared" si="50"/>
        <v>0</v>
      </c>
      <c r="J236" s="739">
        <f t="shared" si="51"/>
        <v>33830</v>
      </c>
      <c r="K236" s="837" t="str">
        <f>_xlfn.IFNA(VLOOKUP(B236,'[2]22-23 Survey Results'!$A:$F,6,FALSE),0)</f>
        <v>C</v>
      </c>
      <c r="L236" s="740">
        <f t="shared" si="52"/>
        <v>0</v>
      </c>
      <c r="M236" s="741">
        <f t="shared" si="53"/>
        <v>244.66999999999996</v>
      </c>
      <c r="N236" s="67">
        <f t="shared" si="54"/>
        <v>330</v>
      </c>
      <c r="O236" s="67">
        <f t="shared" si="55"/>
        <v>34160</v>
      </c>
      <c r="Q236" s="674">
        <f t="shared" si="56"/>
        <v>0</v>
      </c>
      <c r="R236" s="674" t="str">
        <f t="shared" si="57"/>
        <v>Not Applicable</v>
      </c>
      <c r="S236" s="798" t="str">
        <f>IF($R$7=0,"",IFERROR(VLOOKUP(B236,[3]Sheet1!$C$1:$P$65536,14,FALSE),"NA"))</f>
        <v/>
      </c>
      <c r="T236" s="798">
        <f>IF(O236=0,0,IF(S236="N",0,VLOOKUP(B236,Enrollment!B:J,9,FALSE)))</f>
        <v>0</v>
      </c>
      <c r="U236" s="88">
        <f t="shared" si="58"/>
        <v>34160</v>
      </c>
      <c r="V236" s="71">
        <f t="shared" si="59"/>
        <v>139.61662647647856</v>
      </c>
      <c r="W236" s="449">
        <v>29650</v>
      </c>
      <c r="X236" s="67">
        <f>IFERROR(VLOOKUP($B236,'Allocation 2021-22'!$B:$O,14,FALSE),0)</f>
        <v>29538</v>
      </c>
      <c r="Y236" s="163">
        <f t="shared" si="60"/>
        <v>4622</v>
      </c>
      <c r="Z236" s="166">
        <f t="shared" si="61"/>
        <v>0.15647640327713455</v>
      </c>
      <c r="AA236" s="34" t="str">
        <f t="shared" si="47"/>
        <v>C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599</v>
      </c>
      <c r="B237" s="784" t="s">
        <v>244</v>
      </c>
      <c r="C237" s="784" t="s">
        <v>1478</v>
      </c>
      <c r="D237" s="134">
        <f>VLOOKUP(B237,'Enrollment 22-23'!$B:$I,8,FALSE)</f>
        <v>0</v>
      </c>
      <c r="E237" s="67">
        <f t="shared" si="48"/>
        <v>0</v>
      </c>
      <c r="F237" s="146">
        <v>0</v>
      </c>
      <c r="G237" s="146">
        <v>0</v>
      </c>
      <c r="H237" s="91">
        <f t="shared" si="49"/>
        <v>0</v>
      </c>
      <c r="I237" s="67">
        <f t="shared" si="50"/>
        <v>0</v>
      </c>
      <c r="J237" s="739">
        <f t="shared" si="51"/>
        <v>0</v>
      </c>
      <c r="K237" s="837">
        <f>_xlfn.IFNA(VLOOKUP(B237,'[2]22-23 Survey Results'!$A:$F,6,FALSE),0)</f>
        <v>0</v>
      </c>
      <c r="L237" s="740">
        <f t="shared" si="52"/>
        <v>0</v>
      </c>
      <c r="M237" s="741">
        <f t="shared" si="53"/>
        <v>0</v>
      </c>
      <c r="N237" s="67">
        <f t="shared" si="54"/>
        <v>0</v>
      </c>
      <c r="O237" s="67">
        <f t="shared" si="55"/>
        <v>0</v>
      </c>
      <c r="Q237" s="674">
        <f t="shared" si="56"/>
        <v>0</v>
      </c>
      <c r="R237" s="674" t="str">
        <f t="shared" si="57"/>
        <v>Not Applicable</v>
      </c>
      <c r="S237" s="798" t="str">
        <f>IF($R$7=0,"",IFERROR(VLOOKUP(B237,[3]Sheet1!$C$1:$P$65536,14,FALSE),"NA"))</f>
        <v/>
      </c>
      <c r="T237" s="798">
        <f>IF(O237=0,0,IF(S237="N",0,VLOOKUP(B237,Enrollment!B:J,9,FALSE)))</f>
        <v>0</v>
      </c>
      <c r="U237" s="88">
        <f t="shared" si="58"/>
        <v>0</v>
      </c>
      <c r="V237" s="71">
        <f t="shared" si="59"/>
        <v>0</v>
      </c>
      <c r="W237" s="449">
        <v>0</v>
      </c>
      <c r="X237" s="67">
        <f>IFERROR(VLOOKUP($B237,'Allocation 2021-22'!$B:$O,14,FALSE),0)</f>
        <v>0</v>
      </c>
      <c r="Y237" s="163">
        <f t="shared" si="60"/>
        <v>0</v>
      </c>
      <c r="Z237" s="166">
        <f t="shared" si="61"/>
        <v>0</v>
      </c>
      <c r="AA237" s="34">
        <f t="shared" si="47"/>
        <v>0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537</v>
      </c>
      <c r="C238" s="784" t="s">
        <v>1617</v>
      </c>
      <c r="D238" s="134">
        <f>VLOOKUP(B238,'Enrollment 22-23'!$B:$I,8,FALSE)</f>
        <v>0</v>
      </c>
      <c r="E238" s="67">
        <f t="shared" si="48"/>
        <v>0</v>
      </c>
      <c r="F238" s="146">
        <v>0</v>
      </c>
      <c r="G238" s="146">
        <v>0</v>
      </c>
      <c r="H238" s="91">
        <f t="shared" si="49"/>
        <v>0</v>
      </c>
      <c r="I238" s="67">
        <f t="shared" si="50"/>
        <v>0</v>
      </c>
      <c r="J238" s="739">
        <f t="shared" si="51"/>
        <v>0</v>
      </c>
      <c r="K238" s="837">
        <f>_xlfn.IFNA(VLOOKUP(B238,'[2]22-23 Survey Results'!$A:$F,6,FALSE),0)</f>
        <v>0</v>
      </c>
      <c r="L238" s="740">
        <f t="shared" si="52"/>
        <v>0</v>
      </c>
      <c r="M238" s="741">
        <f t="shared" si="53"/>
        <v>0</v>
      </c>
      <c r="N238" s="67">
        <f t="shared" si="54"/>
        <v>0</v>
      </c>
      <c r="O238" s="67">
        <f t="shared" si="55"/>
        <v>0</v>
      </c>
      <c r="Q238" s="674">
        <f t="shared" si="56"/>
        <v>0</v>
      </c>
      <c r="R238" s="674" t="str">
        <f t="shared" si="57"/>
        <v>Not Applicable</v>
      </c>
      <c r="S238" s="798" t="str">
        <f>IF($R$7=0,"",IFERROR(VLOOKUP(B238,[3]Sheet1!$C$1:$P$65536,14,FALSE),"NA"))</f>
        <v/>
      </c>
      <c r="T238" s="798">
        <f>IF(O238=0,0,IF(S238="N",0,VLOOKUP(B238,Enrollment!B:J,9,FALSE)))</f>
        <v>0</v>
      </c>
      <c r="U238" s="88">
        <f t="shared" si="58"/>
        <v>0</v>
      </c>
      <c r="V238" s="71">
        <f t="shared" si="59"/>
        <v>0</v>
      </c>
      <c r="W238" s="449">
        <v>0</v>
      </c>
      <c r="X238" s="67">
        <f>IFERROR(VLOOKUP($B238,'Allocation 2021-22'!$B:$O,14,FALSE),0)</f>
        <v>0</v>
      </c>
      <c r="Y238" s="163">
        <f t="shared" si="60"/>
        <v>0</v>
      </c>
      <c r="Z238" s="166">
        <f t="shared" si="61"/>
        <v>0</v>
      </c>
      <c r="AA238" s="34">
        <f t="shared" si="47"/>
        <v>0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605</v>
      </c>
      <c r="B239" s="784" t="s">
        <v>123</v>
      </c>
      <c r="C239" s="784" t="s">
        <v>1425</v>
      </c>
      <c r="D239" s="134">
        <f>VLOOKUP(B239,'Enrollment 22-23'!$B:$I,8,FALSE)</f>
        <v>753.84</v>
      </c>
      <c r="E239" s="67">
        <f t="shared" si="48"/>
        <v>104230</v>
      </c>
      <c r="F239" s="146">
        <v>0</v>
      </c>
      <c r="G239" s="146">
        <v>0</v>
      </c>
      <c r="H239" s="91">
        <f t="shared" si="49"/>
        <v>104230</v>
      </c>
      <c r="I239" s="67">
        <f t="shared" si="50"/>
        <v>0</v>
      </c>
      <c r="J239" s="739">
        <f t="shared" si="51"/>
        <v>104230</v>
      </c>
      <c r="K239" s="837" t="str">
        <f>_xlfn.IFNA(VLOOKUP(B239,'[2]22-23 Survey Results'!$A:$F,6,FALSE),0)</f>
        <v>Y</v>
      </c>
      <c r="L239" s="740">
        <f t="shared" si="52"/>
        <v>0</v>
      </c>
      <c r="M239" s="741">
        <f t="shared" si="53"/>
        <v>753.84</v>
      </c>
      <c r="N239" s="67">
        <f t="shared" si="54"/>
        <v>1018</v>
      </c>
      <c r="O239" s="67">
        <f t="shared" si="55"/>
        <v>105248</v>
      </c>
      <c r="Q239" s="674">
        <f t="shared" si="56"/>
        <v>0</v>
      </c>
      <c r="R239" s="674" t="str">
        <f t="shared" si="57"/>
        <v>Not Applicable</v>
      </c>
      <c r="S239" s="798" t="str">
        <f>IF($R$7=0,"",IFERROR(VLOOKUP(B239,[3]Sheet1!$C$1:$P$65536,14,FALSE),"NA"))</f>
        <v/>
      </c>
      <c r="T239" s="798">
        <f>IF(O239=0,0,IF(S239="N",0,VLOOKUP(B239,Enrollment!B:J,9,FALSE)))</f>
        <v>0</v>
      </c>
      <c r="U239" s="88">
        <f t="shared" si="58"/>
        <v>105248</v>
      </c>
      <c r="V239" s="71">
        <f t="shared" si="59"/>
        <v>139.61583359864161</v>
      </c>
      <c r="W239" s="449">
        <v>114255</v>
      </c>
      <c r="X239" s="67">
        <f>IFERROR(VLOOKUP($B239,'Allocation 2021-22'!$B:$O,14,FALSE),0)</f>
        <v>113825</v>
      </c>
      <c r="Y239" s="163">
        <f t="shared" si="60"/>
        <v>-8577</v>
      </c>
      <c r="Z239" s="166">
        <f t="shared" si="61"/>
        <v>-7.5352514825389849E-2</v>
      </c>
      <c r="AA239" s="34" t="str">
        <f t="shared" si="47"/>
        <v>Y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595</v>
      </c>
      <c r="B240" s="784" t="s">
        <v>375</v>
      </c>
      <c r="C240" s="784" t="s">
        <v>1269</v>
      </c>
      <c r="D240" s="134">
        <f>VLOOKUP(B240,'Enrollment 22-23'!$B:$I,8,FALSE)</f>
        <v>49</v>
      </c>
      <c r="E240" s="67">
        <f t="shared" si="48"/>
        <v>6775</v>
      </c>
      <c r="F240" s="146">
        <v>0</v>
      </c>
      <c r="G240" s="146">
        <v>0</v>
      </c>
      <c r="H240" s="91">
        <f t="shared" si="49"/>
        <v>6775</v>
      </c>
      <c r="I240" s="67">
        <f t="shared" si="50"/>
        <v>0</v>
      </c>
      <c r="J240" s="739">
        <f t="shared" si="51"/>
        <v>6775</v>
      </c>
      <c r="K240" s="837" t="str">
        <f>_xlfn.IFNA(VLOOKUP(B240,'[2]22-23 Survey Results'!$A:$F,6,FALSE),0)</f>
        <v>C</v>
      </c>
      <c r="L240" s="740">
        <f t="shared" si="52"/>
        <v>0</v>
      </c>
      <c r="M240" s="741">
        <f t="shared" si="53"/>
        <v>49</v>
      </c>
      <c r="N240" s="67">
        <f t="shared" si="54"/>
        <v>66</v>
      </c>
      <c r="O240" s="67">
        <f t="shared" si="55"/>
        <v>6841</v>
      </c>
      <c r="Q240" s="674">
        <f t="shared" si="56"/>
        <v>0</v>
      </c>
      <c r="R240" s="674" t="str">
        <f t="shared" si="57"/>
        <v>Not Applicable</v>
      </c>
      <c r="S240" s="798" t="str">
        <f>IF($R$7=0,"",IFERROR(VLOOKUP(B240,[3]Sheet1!$C$1:$P$65536,14,FALSE),"NA"))</f>
        <v/>
      </c>
      <c r="T240" s="798">
        <f>IF(O240=0,0,IF(S240="N",0,VLOOKUP(B240,Enrollment!B:J,9,FALSE)))</f>
        <v>0</v>
      </c>
      <c r="U240" s="88">
        <f t="shared" si="58"/>
        <v>6841</v>
      </c>
      <c r="V240" s="71">
        <f t="shared" si="59"/>
        <v>139.61224489795919</v>
      </c>
      <c r="W240" s="449">
        <v>0</v>
      </c>
      <c r="X240" s="67">
        <f>IFERROR(VLOOKUP($B240,'Allocation 2021-22'!$B:$O,14,FALSE),0)</f>
        <v>7550</v>
      </c>
      <c r="Y240" s="163">
        <f t="shared" si="60"/>
        <v>-709</v>
      </c>
      <c r="Z240" s="166">
        <f t="shared" si="61"/>
        <v>-9.3907284768211918E-2</v>
      </c>
      <c r="AA240" s="34" t="str">
        <f t="shared" si="47"/>
        <v>C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594</v>
      </c>
      <c r="B241" s="784" t="s">
        <v>149</v>
      </c>
      <c r="C241" s="784" t="s">
        <v>1436</v>
      </c>
      <c r="D241" s="134">
        <f>VLOOKUP(B241,'Enrollment 22-23'!$B:$I,8,FALSE)</f>
        <v>0</v>
      </c>
      <c r="E241" s="67">
        <f t="shared" si="48"/>
        <v>0</v>
      </c>
      <c r="F241" s="146">
        <v>0</v>
      </c>
      <c r="G241" s="146">
        <v>0</v>
      </c>
      <c r="H241" s="91">
        <f t="shared" si="49"/>
        <v>0</v>
      </c>
      <c r="I241" s="67">
        <f t="shared" si="50"/>
        <v>0</v>
      </c>
      <c r="J241" s="739">
        <f t="shared" si="51"/>
        <v>0</v>
      </c>
      <c r="K241" s="837">
        <f>_xlfn.IFNA(VLOOKUP(B241,'[2]22-23 Survey Results'!$A:$F,6,FALSE),0)</f>
        <v>0</v>
      </c>
      <c r="L241" s="740">
        <f t="shared" si="52"/>
        <v>0</v>
      </c>
      <c r="M241" s="741">
        <f t="shared" si="53"/>
        <v>0</v>
      </c>
      <c r="N241" s="67">
        <f t="shared" si="54"/>
        <v>0</v>
      </c>
      <c r="O241" s="67">
        <f t="shared" si="55"/>
        <v>0</v>
      </c>
      <c r="Q241" s="674">
        <f t="shared" si="56"/>
        <v>0</v>
      </c>
      <c r="R241" s="674" t="str">
        <f t="shared" si="57"/>
        <v>Not Applicable</v>
      </c>
      <c r="S241" s="798" t="str">
        <f>IF($R$7=0,"",IFERROR(VLOOKUP(B241,[3]Sheet1!$C$1:$P$65536,14,FALSE),"NA"))</f>
        <v/>
      </c>
      <c r="T241" s="798">
        <f>IF(O241=0,0,IF(S241="N",0,VLOOKUP(B241,Enrollment!B:J,9,FALSE)))</f>
        <v>0</v>
      </c>
      <c r="U241" s="88">
        <f t="shared" si="58"/>
        <v>0</v>
      </c>
      <c r="V241" s="71">
        <f t="shared" si="59"/>
        <v>0</v>
      </c>
      <c r="W241" s="449">
        <v>0</v>
      </c>
      <c r="X241" s="67">
        <f>IFERROR(VLOOKUP($B241,'Allocation 2021-22'!$B:$O,14,FALSE),0)</f>
        <v>0</v>
      </c>
      <c r="Y241" s="163">
        <f t="shared" si="60"/>
        <v>0</v>
      </c>
      <c r="Z241" s="166">
        <f t="shared" si="61"/>
        <v>0</v>
      </c>
      <c r="AA241" s="34">
        <f t="shared" si="47"/>
        <v>0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1666</v>
      </c>
      <c r="B242" s="784" t="s">
        <v>1682</v>
      </c>
      <c r="C242" s="784" t="s">
        <v>1683</v>
      </c>
      <c r="D242" s="134">
        <f>VLOOKUP(B242,'Enrollment 22-23'!$B:$I,8,FALSE)</f>
        <v>0</v>
      </c>
      <c r="E242" s="67">
        <f t="shared" si="48"/>
        <v>0</v>
      </c>
      <c r="F242" s="146">
        <v>0</v>
      </c>
      <c r="G242" s="146">
        <v>0</v>
      </c>
      <c r="H242" s="91">
        <f t="shared" si="49"/>
        <v>0</v>
      </c>
      <c r="I242" s="67">
        <f t="shared" si="50"/>
        <v>0</v>
      </c>
      <c r="J242" s="739">
        <f t="shared" si="51"/>
        <v>0</v>
      </c>
      <c r="K242" s="837">
        <f>_xlfn.IFNA(VLOOKUP(B242,'[2]22-23 Survey Results'!$A:$F,6,FALSE),0)</f>
        <v>0</v>
      </c>
      <c r="L242" s="740">
        <f t="shared" si="52"/>
        <v>0</v>
      </c>
      <c r="M242" s="741">
        <f t="shared" si="53"/>
        <v>0</v>
      </c>
      <c r="N242" s="67">
        <f t="shared" si="54"/>
        <v>0</v>
      </c>
      <c r="O242" s="67">
        <f t="shared" si="55"/>
        <v>0</v>
      </c>
      <c r="Q242" s="674">
        <f t="shared" si="56"/>
        <v>0</v>
      </c>
      <c r="R242" s="674" t="str">
        <f t="shared" si="57"/>
        <v>Not Applicable</v>
      </c>
      <c r="S242" s="798" t="str">
        <f>IF($R$7=0,"",IFERROR(VLOOKUP(B242,[3]Sheet1!$C$1:$P$65536,14,FALSE),"NA"))</f>
        <v/>
      </c>
      <c r="T242" s="798">
        <f>IF(O242=0,0,IF(S242="N",0,VLOOKUP(B242,Enrollment!B:J,9,FALSE)))</f>
        <v>0</v>
      </c>
      <c r="U242" s="88">
        <f t="shared" si="58"/>
        <v>0</v>
      </c>
      <c r="V242" s="71">
        <f t="shared" si="59"/>
        <v>0</v>
      </c>
      <c r="W242" s="449">
        <v>0</v>
      </c>
      <c r="X242" s="67">
        <f>IFERROR(VLOOKUP($B242,'Allocation 2021-22'!$B:$O,14,FALSE),0)</f>
        <v>0</v>
      </c>
      <c r="Y242" s="163">
        <f t="shared" si="60"/>
        <v>0</v>
      </c>
      <c r="Z242" s="166">
        <f t="shared" si="61"/>
        <v>0</v>
      </c>
      <c r="AA242" s="34">
        <f t="shared" si="47"/>
        <v>0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1666</v>
      </c>
      <c r="B243" s="784" t="s">
        <v>1684</v>
      </c>
      <c r="C243" s="784" t="s">
        <v>1685</v>
      </c>
      <c r="D243" s="134">
        <f>VLOOKUP(B243,'Enrollment 22-23'!$B:$I,8,FALSE)</f>
        <v>0</v>
      </c>
      <c r="E243" s="67">
        <f t="shared" si="48"/>
        <v>0</v>
      </c>
      <c r="F243" s="146">
        <v>0</v>
      </c>
      <c r="G243" s="146">
        <v>0</v>
      </c>
      <c r="H243" s="91">
        <f t="shared" si="49"/>
        <v>0</v>
      </c>
      <c r="I243" s="67">
        <f t="shared" si="50"/>
        <v>0</v>
      </c>
      <c r="J243" s="739">
        <f t="shared" si="51"/>
        <v>0</v>
      </c>
      <c r="K243" s="837">
        <f>_xlfn.IFNA(VLOOKUP(B243,'[2]22-23 Survey Results'!$A:$F,6,FALSE),0)</f>
        <v>0</v>
      </c>
      <c r="L243" s="740">
        <f t="shared" si="52"/>
        <v>0</v>
      </c>
      <c r="M243" s="741">
        <f t="shared" si="53"/>
        <v>0</v>
      </c>
      <c r="N243" s="67">
        <f t="shared" si="54"/>
        <v>0</v>
      </c>
      <c r="O243" s="67">
        <f t="shared" si="55"/>
        <v>0</v>
      </c>
      <c r="Q243" s="674">
        <f t="shared" si="56"/>
        <v>0</v>
      </c>
      <c r="R243" s="674" t="str">
        <f t="shared" si="57"/>
        <v>Not Applicable</v>
      </c>
      <c r="S243" s="798" t="str">
        <f>IF($R$7=0,"",IFERROR(VLOOKUP(B243,[3]Sheet1!$C$1:$P$65536,14,FALSE),"NA"))</f>
        <v/>
      </c>
      <c r="T243" s="798">
        <f>IF(O243=0,0,IF(S243="N",0,VLOOKUP(B243,Enrollment!B:J,9,FALSE)))</f>
        <v>0</v>
      </c>
      <c r="U243" s="88">
        <f t="shared" si="58"/>
        <v>0</v>
      </c>
      <c r="V243" s="71">
        <f t="shared" si="59"/>
        <v>0</v>
      </c>
      <c r="W243" s="449">
        <v>0</v>
      </c>
      <c r="X243" s="67">
        <f>IFERROR(VLOOKUP($B243,'Allocation 2021-22'!$B:$O,14,FALSE),0)</f>
        <v>0</v>
      </c>
      <c r="Y243" s="163">
        <f t="shared" si="60"/>
        <v>0</v>
      </c>
      <c r="Z243" s="166">
        <f t="shared" si="61"/>
        <v>0</v>
      </c>
      <c r="AA243" s="34">
        <f t="shared" si="47"/>
        <v>0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597</v>
      </c>
      <c r="B244" s="784" t="s">
        <v>173</v>
      </c>
      <c r="C244" s="784" t="s">
        <v>1448</v>
      </c>
      <c r="D244" s="134">
        <f>VLOOKUP(B244,'Enrollment 22-23'!$B:$I,8,FALSE)</f>
        <v>6780.66</v>
      </c>
      <c r="E244" s="67">
        <f t="shared" si="48"/>
        <v>937534</v>
      </c>
      <c r="F244" s="146">
        <v>0</v>
      </c>
      <c r="G244" s="146">
        <v>0</v>
      </c>
      <c r="H244" s="91">
        <f t="shared" si="49"/>
        <v>937534</v>
      </c>
      <c r="I244" s="67">
        <f t="shared" si="50"/>
        <v>0</v>
      </c>
      <c r="J244" s="739">
        <f t="shared" si="51"/>
        <v>937534</v>
      </c>
      <c r="K244" s="837" t="str">
        <f>_xlfn.IFNA(VLOOKUP(B244,'[2]22-23 Survey Results'!$A:$F,6,FALSE),0)</f>
        <v>Y</v>
      </c>
      <c r="L244" s="740">
        <f t="shared" si="52"/>
        <v>0</v>
      </c>
      <c r="M244" s="741">
        <f t="shared" si="53"/>
        <v>6780.66</v>
      </c>
      <c r="N244" s="67">
        <f t="shared" si="54"/>
        <v>9153</v>
      </c>
      <c r="O244" s="865">
        <f>J244-L244+N244+2</f>
        <v>946689</v>
      </c>
      <c r="Q244" s="674">
        <f t="shared" si="56"/>
        <v>0</v>
      </c>
      <c r="R244" s="674" t="str">
        <f t="shared" si="57"/>
        <v>Not Applicable</v>
      </c>
      <c r="S244" s="798" t="str">
        <f>IF($R$7=0,"",IFERROR(VLOOKUP(B244,[3]Sheet1!$C$1:$P$65536,14,FALSE),"NA"))</f>
        <v/>
      </c>
      <c r="T244" s="798">
        <f>IF(O244=0,0,IF(S244="N",0,VLOOKUP(B244,Enrollment!B:J,9,FALSE)))</f>
        <v>0</v>
      </c>
      <c r="U244" s="88">
        <f>IF(ISNUMBER(R244),O244+R244,O244)</f>
        <v>946689</v>
      </c>
      <c r="V244" s="71">
        <f t="shared" si="59"/>
        <v>139.61605507428482</v>
      </c>
      <c r="W244" s="449">
        <v>912441</v>
      </c>
      <c r="X244" s="67">
        <f>IFERROR(VLOOKUP($B244,'Allocation 2021-22'!$B:$O,14,FALSE),0)</f>
        <v>908999</v>
      </c>
      <c r="Y244" s="163">
        <f t="shared" si="60"/>
        <v>37690</v>
      </c>
      <c r="Z244" s="166">
        <f t="shared" si="61"/>
        <v>4.1463191928703992E-2</v>
      </c>
      <c r="AA244" s="34" t="str">
        <f t="shared" si="47"/>
        <v>Y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595</v>
      </c>
      <c r="B245" s="784" t="s">
        <v>379</v>
      </c>
      <c r="C245" s="784" t="s">
        <v>686</v>
      </c>
      <c r="D245" s="134">
        <f>VLOOKUP(B245,'Enrollment 22-23'!$B:$I,8,FALSE)</f>
        <v>402.83000000000004</v>
      </c>
      <c r="E245" s="67">
        <f t="shared" si="48"/>
        <v>55698</v>
      </c>
      <c r="F245" s="146">
        <v>0</v>
      </c>
      <c r="G245" s="146">
        <v>0</v>
      </c>
      <c r="H245" s="91">
        <f t="shared" si="49"/>
        <v>55698</v>
      </c>
      <c r="I245" s="67">
        <f t="shared" si="50"/>
        <v>0</v>
      </c>
      <c r="J245" s="739">
        <f t="shared" si="51"/>
        <v>55698</v>
      </c>
      <c r="K245" s="837" t="str">
        <f>_xlfn.IFNA(VLOOKUP(B245,'[2]22-23 Survey Results'!$A:$F,6,FALSE),0)</f>
        <v>Y</v>
      </c>
      <c r="L245" s="740">
        <f t="shared" si="52"/>
        <v>0</v>
      </c>
      <c r="M245" s="741">
        <f t="shared" si="53"/>
        <v>402.83000000000004</v>
      </c>
      <c r="N245" s="67">
        <f t="shared" si="54"/>
        <v>544</v>
      </c>
      <c r="O245" s="67">
        <f t="shared" si="55"/>
        <v>56242</v>
      </c>
      <c r="Q245" s="674">
        <f t="shared" si="56"/>
        <v>0</v>
      </c>
      <c r="R245" s="674" t="str">
        <f t="shared" si="57"/>
        <v>Not Applicable</v>
      </c>
      <c r="S245" s="798" t="str">
        <f>IF($R$7=0,"",IFERROR(VLOOKUP(B245,[3]Sheet1!$C$1:$P$65536,14,FALSE),"NA"))</f>
        <v/>
      </c>
      <c r="T245" s="798">
        <f>IF(O245=0,0,IF(S245="N",0,VLOOKUP(B245,Enrollment!B:J,9,FALSE)))</f>
        <v>0</v>
      </c>
      <c r="U245" s="88">
        <f t="shared" si="58"/>
        <v>56242</v>
      </c>
      <c r="V245" s="71">
        <f t="shared" si="59"/>
        <v>139.61720825161979</v>
      </c>
      <c r="W245" s="449">
        <v>51146</v>
      </c>
      <c r="X245" s="67">
        <f>IFERROR(VLOOKUP($B245,'Allocation 2021-22'!$B:$O,14,FALSE),0)</f>
        <v>50953</v>
      </c>
      <c r="Y245" s="163">
        <f t="shared" si="60"/>
        <v>5289</v>
      </c>
      <c r="Z245" s="166">
        <f t="shared" si="61"/>
        <v>0.10380154259808058</v>
      </c>
      <c r="AA245" s="34" t="str">
        <f t="shared" si="47"/>
        <v>Y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605</v>
      </c>
      <c r="B246" s="784" t="s">
        <v>551</v>
      </c>
      <c r="C246" s="784" t="s">
        <v>1624</v>
      </c>
      <c r="D246" s="134">
        <f>VLOOKUP(B246,'Enrollment 22-23'!$B:$I,8,FALSE)</f>
        <v>386.83</v>
      </c>
      <c r="E246" s="67">
        <f t="shared" si="48"/>
        <v>53485</v>
      </c>
      <c r="F246" s="146">
        <v>0</v>
      </c>
      <c r="G246" s="146">
        <v>0</v>
      </c>
      <c r="H246" s="91">
        <f t="shared" si="49"/>
        <v>53485</v>
      </c>
      <c r="I246" s="67">
        <f t="shared" si="50"/>
        <v>0</v>
      </c>
      <c r="J246" s="739">
        <f t="shared" si="51"/>
        <v>53485</v>
      </c>
      <c r="K246" s="837" t="str">
        <f>_xlfn.IFNA(VLOOKUP(B246,'[2]22-23 Survey Results'!$A:$F,6,FALSE),0)</f>
        <v>Y</v>
      </c>
      <c r="L246" s="740">
        <f t="shared" si="52"/>
        <v>0</v>
      </c>
      <c r="M246" s="741">
        <f t="shared" si="53"/>
        <v>386.83</v>
      </c>
      <c r="N246" s="67">
        <f t="shared" si="54"/>
        <v>522</v>
      </c>
      <c r="O246" s="67">
        <f t="shared" si="55"/>
        <v>54007</v>
      </c>
      <c r="Q246" s="674">
        <f t="shared" si="56"/>
        <v>0</v>
      </c>
      <c r="R246" s="674" t="str">
        <f t="shared" si="57"/>
        <v>Not Applicable</v>
      </c>
      <c r="S246" s="798" t="str">
        <f>IF($R$7=0,"",IFERROR(VLOOKUP(B246,[3]Sheet1!$C$1:$P$65536,14,FALSE),"NA"))</f>
        <v/>
      </c>
      <c r="T246" s="798">
        <f>IF(O246=0,0,IF(S246="N",0,VLOOKUP(B246,Enrollment!B:J,9,FALSE)))</f>
        <v>0</v>
      </c>
      <c r="U246" s="88">
        <f t="shared" si="58"/>
        <v>54007</v>
      </c>
      <c r="V246" s="71">
        <f t="shared" si="59"/>
        <v>139.61430085567304</v>
      </c>
      <c r="W246" s="449">
        <v>47103</v>
      </c>
      <c r="X246" s="67">
        <f>IFERROR(VLOOKUP($B246,'Allocation 2021-22'!$B:$O,14,FALSE),0)</f>
        <v>46926</v>
      </c>
      <c r="Y246" s="163">
        <f t="shared" si="60"/>
        <v>7081</v>
      </c>
      <c r="Z246" s="166">
        <f t="shared" si="61"/>
        <v>0.15089715722627114</v>
      </c>
      <c r="AA246" s="34" t="str">
        <f t="shared" si="47"/>
        <v>Y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340</v>
      </c>
      <c r="C247" s="784" t="s">
        <v>1521</v>
      </c>
      <c r="D247" s="134">
        <f>VLOOKUP(B247,'Enrollment 22-23'!$B:$I,8,FALSE)</f>
        <v>0</v>
      </c>
      <c r="E247" s="67">
        <f t="shared" si="48"/>
        <v>0</v>
      </c>
      <c r="F247" s="146">
        <v>0</v>
      </c>
      <c r="G247" s="146">
        <v>0</v>
      </c>
      <c r="H247" s="91">
        <f t="shared" si="49"/>
        <v>0</v>
      </c>
      <c r="I247" s="67">
        <f t="shared" si="50"/>
        <v>0</v>
      </c>
      <c r="J247" s="739">
        <f t="shared" si="51"/>
        <v>0</v>
      </c>
      <c r="K247" s="837">
        <f>_xlfn.IFNA(VLOOKUP(B247,'[2]22-23 Survey Results'!$A:$F,6,FALSE),0)</f>
        <v>0</v>
      </c>
      <c r="L247" s="740">
        <f t="shared" si="52"/>
        <v>0</v>
      </c>
      <c r="M247" s="741">
        <f t="shared" si="53"/>
        <v>0</v>
      </c>
      <c r="N247" s="67">
        <f t="shared" si="54"/>
        <v>0</v>
      </c>
      <c r="O247" s="67">
        <f t="shared" si="55"/>
        <v>0</v>
      </c>
      <c r="Q247" s="674">
        <f t="shared" si="56"/>
        <v>0</v>
      </c>
      <c r="R247" s="674" t="str">
        <f t="shared" si="57"/>
        <v>Not Applicable</v>
      </c>
      <c r="S247" s="798" t="str">
        <f>IF($R$7=0,"",IFERROR(VLOOKUP(B247,[3]Sheet1!$C$1:$P$65536,14,FALSE),"NA"))</f>
        <v/>
      </c>
      <c r="T247" s="798">
        <f>IF(O247=0,0,IF(S247="N",0,VLOOKUP(B247,Enrollment!B:J,9,FALSE)))</f>
        <v>0</v>
      </c>
      <c r="U247" s="88">
        <f t="shared" si="58"/>
        <v>0</v>
      </c>
      <c r="V247" s="71">
        <f t="shared" si="59"/>
        <v>0</v>
      </c>
      <c r="W247" s="449">
        <v>0</v>
      </c>
      <c r="X247" s="67">
        <f>IFERROR(VLOOKUP($B247,'Allocation 2021-22'!$B:$O,14,FALSE),0)</f>
        <v>0</v>
      </c>
      <c r="Y247" s="163">
        <f t="shared" si="60"/>
        <v>0</v>
      </c>
      <c r="Z247" s="166">
        <f t="shared" si="61"/>
        <v>0</v>
      </c>
      <c r="AA247" s="34">
        <f t="shared" si="47"/>
        <v>0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600</v>
      </c>
      <c r="B248" s="784" t="s">
        <v>43</v>
      </c>
      <c r="C248" s="784" t="s">
        <v>1387</v>
      </c>
      <c r="D248" s="134">
        <f>VLOOKUP(B248,'Enrollment 22-23'!$B:$I,8,FALSE)</f>
        <v>48.67</v>
      </c>
      <c r="E248" s="67">
        <f t="shared" si="48"/>
        <v>6729</v>
      </c>
      <c r="F248" s="146">
        <v>0</v>
      </c>
      <c r="G248" s="146">
        <v>0</v>
      </c>
      <c r="H248" s="91">
        <f t="shared" si="49"/>
        <v>6729</v>
      </c>
      <c r="I248" s="67">
        <f t="shared" si="50"/>
        <v>0</v>
      </c>
      <c r="J248" s="739">
        <f t="shared" si="51"/>
        <v>6729</v>
      </c>
      <c r="K248" s="837" t="str">
        <f>_xlfn.IFNA(VLOOKUP(B248,'[2]22-23 Survey Results'!$A:$F,6,FALSE),0)</f>
        <v>N</v>
      </c>
      <c r="L248" s="740">
        <f t="shared" si="52"/>
        <v>6729</v>
      </c>
      <c r="M248" s="741">
        <f t="shared" si="53"/>
        <v>0</v>
      </c>
      <c r="N248" s="67">
        <f t="shared" si="54"/>
        <v>0</v>
      </c>
      <c r="O248" s="67">
        <f t="shared" si="55"/>
        <v>0</v>
      </c>
      <c r="Q248" s="674">
        <f t="shared" si="56"/>
        <v>0</v>
      </c>
      <c r="R248" s="674" t="str">
        <f t="shared" si="57"/>
        <v>Not Applicable</v>
      </c>
      <c r="S248" s="798" t="str">
        <f>IF($R$7=0,"",IFERROR(VLOOKUP(B248,[3]Sheet1!$C$1:$P$65536,14,FALSE),"NA"))</f>
        <v/>
      </c>
      <c r="T248" s="798">
        <f>IF(O248=0,0,IF(S248="N",0,VLOOKUP(B248,Enrollment!B:J,9,FALSE)))</f>
        <v>0</v>
      </c>
      <c r="U248" s="88">
        <f t="shared" si="58"/>
        <v>0</v>
      </c>
      <c r="V248" s="71">
        <f t="shared" si="59"/>
        <v>0</v>
      </c>
      <c r="W248" s="449">
        <v>0</v>
      </c>
      <c r="X248" s="67">
        <f>IFERROR(VLOOKUP($B248,'Allocation 2021-22'!$B:$O,14,FALSE),0)</f>
        <v>0</v>
      </c>
      <c r="Y248" s="163">
        <f t="shared" si="60"/>
        <v>0</v>
      </c>
      <c r="Z248" s="166">
        <f t="shared" si="61"/>
        <v>0</v>
      </c>
      <c r="AA248" s="34" t="str">
        <f t="shared" si="47"/>
        <v>N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595</v>
      </c>
      <c r="B249" s="784" t="s">
        <v>371</v>
      </c>
      <c r="C249" s="784" t="s">
        <v>1537</v>
      </c>
      <c r="D249" s="134">
        <f>VLOOKUP(B249,'Enrollment 22-23'!$B:$I,8,FALSE)</f>
        <v>0</v>
      </c>
      <c r="E249" s="67">
        <f t="shared" si="48"/>
        <v>0</v>
      </c>
      <c r="F249" s="146">
        <v>0</v>
      </c>
      <c r="G249" s="146">
        <v>0</v>
      </c>
      <c r="H249" s="91">
        <f t="shared" si="49"/>
        <v>0</v>
      </c>
      <c r="I249" s="67">
        <f t="shared" si="50"/>
        <v>0</v>
      </c>
      <c r="J249" s="739">
        <f t="shared" si="51"/>
        <v>0</v>
      </c>
      <c r="K249" s="837">
        <f>_xlfn.IFNA(VLOOKUP(B249,'[2]22-23 Survey Results'!$A:$F,6,FALSE),0)</f>
        <v>0</v>
      </c>
      <c r="L249" s="740">
        <f t="shared" si="52"/>
        <v>0</v>
      </c>
      <c r="M249" s="741">
        <f t="shared" si="53"/>
        <v>0</v>
      </c>
      <c r="N249" s="67">
        <f t="shared" si="54"/>
        <v>0</v>
      </c>
      <c r="O249" s="67">
        <f t="shared" si="55"/>
        <v>0</v>
      </c>
      <c r="Q249" s="674">
        <f t="shared" si="56"/>
        <v>0</v>
      </c>
      <c r="R249" s="674" t="str">
        <f t="shared" si="57"/>
        <v>Not Applicable</v>
      </c>
      <c r="S249" s="798" t="str">
        <f>IF($R$7=0,"",IFERROR(VLOOKUP(B249,[3]Sheet1!$C$1:$P$65536,14,FALSE),"NA"))</f>
        <v/>
      </c>
      <c r="T249" s="798">
        <f>IF(O249=0,0,IF(S249="N",0,VLOOKUP(B249,Enrollment!B:J,9,FALSE)))</f>
        <v>0</v>
      </c>
      <c r="U249" s="88">
        <f t="shared" si="58"/>
        <v>0</v>
      </c>
      <c r="V249" s="71">
        <f t="shared" si="59"/>
        <v>0</v>
      </c>
      <c r="W249" s="449">
        <v>0</v>
      </c>
      <c r="X249" s="67">
        <f>IFERROR(VLOOKUP($B249,'Allocation 2021-22'!$B:$O,14,FALSE),0)</f>
        <v>0</v>
      </c>
      <c r="Y249" s="163">
        <f t="shared" si="60"/>
        <v>0</v>
      </c>
      <c r="Z249" s="166">
        <f t="shared" si="61"/>
        <v>0</v>
      </c>
      <c r="AA249" s="34">
        <f t="shared" si="47"/>
        <v>0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594</v>
      </c>
      <c r="B250" s="784" t="s">
        <v>299</v>
      </c>
      <c r="C250" s="784" t="s">
        <v>1503</v>
      </c>
      <c r="D250" s="134">
        <f>VLOOKUP(B250,'Enrollment 22-23'!$B:$I,8,FALSE)</f>
        <v>947.34</v>
      </c>
      <c r="E250" s="67">
        <f t="shared" si="48"/>
        <v>130985</v>
      </c>
      <c r="F250" s="146">
        <v>0</v>
      </c>
      <c r="G250" s="146">
        <v>0</v>
      </c>
      <c r="H250" s="91">
        <f t="shared" si="49"/>
        <v>130985</v>
      </c>
      <c r="I250" s="67">
        <f t="shared" si="50"/>
        <v>0</v>
      </c>
      <c r="J250" s="739">
        <f t="shared" si="51"/>
        <v>130985</v>
      </c>
      <c r="K250" s="837" t="str">
        <f>_xlfn.IFNA(VLOOKUP(B250,'[2]22-23 Survey Results'!$A:$F,6,FALSE),0)</f>
        <v>Y</v>
      </c>
      <c r="L250" s="740">
        <f t="shared" si="52"/>
        <v>0</v>
      </c>
      <c r="M250" s="741">
        <f t="shared" si="53"/>
        <v>947.34</v>
      </c>
      <c r="N250" s="67">
        <f t="shared" si="54"/>
        <v>1279</v>
      </c>
      <c r="O250" s="67">
        <f t="shared" si="55"/>
        <v>132264</v>
      </c>
      <c r="Q250" s="674">
        <f t="shared" si="56"/>
        <v>0</v>
      </c>
      <c r="R250" s="674" t="str">
        <f t="shared" si="57"/>
        <v>Not Applicable</v>
      </c>
      <c r="S250" s="798" t="str">
        <f>IF($R$7=0,"",IFERROR(VLOOKUP(B250,[3]Sheet1!$C$1:$P$65536,14,FALSE),"NA"))</f>
        <v/>
      </c>
      <c r="T250" s="798">
        <f>IF(O250=0,0,IF(S250="N",0,VLOOKUP(B250,Enrollment!B:J,9,FALSE)))</f>
        <v>0</v>
      </c>
      <c r="U250" s="88">
        <f t="shared" si="58"/>
        <v>132264</v>
      </c>
      <c r="V250" s="71">
        <f t="shared" si="59"/>
        <v>139.61618848565456</v>
      </c>
      <c r="W250" s="449">
        <v>121881</v>
      </c>
      <c r="X250" s="67">
        <f>IFERROR(VLOOKUP($B250,'Allocation 2021-22'!$B:$O,14,FALSE),0)</f>
        <v>121422</v>
      </c>
      <c r="Y250" s="163">
        <f t="shared" si="60"/>
        <v>10842</v>
      </c>
      <c r="Z250" s="166">
        <f t="shared" si="61"/>
        <v>8.9291891090576669E-2</v>
      </c>
      <c r="AA250" s="34" t="str">
        <f t="shared" si="47"/>
        <v>Y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597</v>
      </c>
      <c r="B251" s="784" t="s">
        <v>203</v>
      </c>
      <c r="C251" s="784" t="s">
        <v>640</v>
      </c>
      <c r="D251" s="134">
        <f>VLOOKUP(B251,'Enrollment 22-23'!$B:$I,8,FALSE)</f>
        <v>873.5</v>
      </c>
      <c r="E251" s="67">
        <f t="shared" si="48"/>
        <v>120775</v>
      </c>
      <c r="F251" s="146">
        <v>0</v>
      </c>
      <c r="G251" s="146">
        <v>0</v>
      </c>
      <c r="H251" s="91">
        <f t="shared" si="49"/>
        <v>120775</v>
      </c>
      <c r="I251" s="67">
        <f t="shared" si="50"/>
        <v>0</v>
      </c>
      <c r="J251" s="739">
        <f t="shared" si="51"/>
        <v>120775</v>
      </c>
      <c r="K251" s="837" t="str">
        <f>_xlfn.IFNA(VLOOKUP(B251,'[2]22-23 Survey Results'!$A:$F,6,FALSE),0)</f>
        <v>Y</v>
      </c>
      <c r="L251" s="740">
        <f t="shared" si="52"/>
        <v>0</v>
      </c>
      <c r="M251" s="741">
        <f t="shared" si="53"/>
        <v>873.5</v>
      </c>
      <c r="N251" s="67">
        <f t="shared" si="54"/>
        <v>1179</v>
      </c>
      <c r="O251" s="67">
        <f t="shared" si="55"/>
        <v>121954</v>
      </c>
      <c r="Q251" s="674">
        <f t="shared" si="56"/>
        <v>0</v>
      </c>
      <c r="R251" s="674" t="str">
        <f t="shared" si="57"/>
        <v>Not Applicable</v>
      </c>
      <c r="S251" s="798" t="str">
        <f>IF($R$7=0,"",IFERROR(VLOOKUP(B251,[3]Sheet1!$C$1:$P$65536,14,FALSE),"NA"))</f>
        <v/>
      </c>
      <c r="T251" s="798">
        <f>IF(O251=0,0,IF(S251="N",0,VLOOKUP(B251,Enrollment!B:J,9,FALSE)))</f>
        <v>0</v>
      </c>
      <c r="U251" s="88">
        <f t="shared" si="58"/>
        <v>121954</v>
      </c>
      <c r="V251" s="71">
        <f t="shared" si="59"/>
        <v>139.61534058385803</v>
      </c>
      <c r="W251" s="449">
        <v>128357</v>
      </c>
      <c r="X251" s="67">
        <f>IFERROR(VLOOKUP($B251,'Allocation 2021-22'!$B:$O,14,FALSE),0)</f>
        <v>127874</v>
      </c>
      <c r="Y251" s="163">
        <f t="shared" si="60"/>
        <v>-5920</v>
      </c>
      <c r="Z251" s="166">
        <f t="shared" si="61"/>
        <v>-4.6295572203888205E-2</v>
      </c>
      <c r="AA251" s="34" t="str">
        <f t="shared" si="47"/>
        <v>Y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599</v>
      </c>
      <c r="B252" s="784" t="s">
        <v>387</v>
      </c>
      <c r="C252" s="784" t="s">
        <v>1545</v>
      </c>
      <c r="D252" s="134">
        <f>VLOOKUP(B252,'Enrollment 22-23'!$B:$I,8,FALSE)</f>
        <v>0</v>
      </c>
      <c r="E252" s="67">
        <f t="shared" si="48"/>
        <v>0</v>
      </c>
      <c r="F252" s="146">
        <v>0</v>
      </c>
      <c r="G252" s="146">
        <v>0</v>
      </c>
      <c r="H252" s="91">
        <f t="shared" si="49"/>
        <v>0</v>
      </c>
      <c r="I252" s="67">
        <f t="shared" si="50"/>
        <v>0</v>
      </c>
      <c r="J252" s="739">
        <f t="shared" si="51"/>
        <v>0</v>
      </c>
      <c r="K252" s="837">
        <f>_xlfn.IFNA(VLOOKUP(B252,'[2]22-23 Survey Results'!$A:$F,6,FALSE),0)</f>
        <v>0</v>
      </c>
      <c r="L252" s="740">
        <f t="shared" si="52"/>
        <v>0</v>
      </c>
      <c r="M252" s="741">
        <f t="shared" si="53"/>
        <v>0</v>
      </c>
      <c r="N252" s="67">
        <f t="shared" si="54"/>
        <v>0</v>
      </c>
      <c r="O252" s="67">
        <f t="shared" si="55"/>
        <v>0</v>
      </c>
      <c r="Q252" s="674">
        <f t="shared" si="56"/>
        <v>0</v>
      </c>
      <c r="R252" s="674" t="str">
        <f t="shared" si="57"/>
        <v>Not Applicable</v>
      </c>
      <c r="S252" s="798" t="str">
        <f>IF($R$7=0,"",IFERROR(VLOOKUP(B252,[3]Sheet1!$C$1:$P$65536,14,FALSE),"NA"))</f>
        <v/>
      </c>
      <c r="T252" s="798">
        <f>IF(O252=0,0,IF(S252="N",0,VLOOKUP(B252,Enrollment!B:J,9,FALSE)))</f>
        <v>0</v>
      </c>
      <c r="U252" s="88">
        <f t="shared" si="58"/>
        <v>0</v>
      </c>
      <c r="V252" s="71">
        <f t="shared" si="59"/>
        <v>0</v>
      </c>
      <c r="W252" s="449">
        <v>0</v>
      </c>
      <c r="X252" s="67">
        <f>IFERROR(VLOOKUP($B252,'Allocation 2021-22'!$B:$O,14,FALSE),0)</f>
        <v>0</v>
      </c>
      <c r="Y252" s="163">
        <f t="shared" si="60"/>
        <v>0</v>
      </c>
      <c r="Z252" s="166">
        <f t="shared" si="61"/>
        <v>0</v>
      </c>
      <c r="AA252" s="34">
        <f t="shared" si="47"/>
        <v>0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597</v>
      </c>
      <c r="B253" s="784" t="s">
        <v>187</v>
      </c>
      <c r="C253" s="784" t="s">
        <v>1454</v>
      </c>
      <c r="D253" s="134">
        <f>VLOOKUP(B253,'Enrollment 22-23'!$B:$I,8,FALSE)</f>
        <v>1</v>
      </c>
      <c r="E253" s="67">
        <f t="shared" si="48"/>
        <v>138</v>
      </c>
      <c r="F253" s="146">
        <v>0</v>
      </c>
      <c r="G253" s="146">
        <v>0</v>
      </c>
      <c r="H253" s="91">
        <f t="shared" si="49"/>
        <v>138</v>
      </c>
      <c r="I253" s="67">
        <f t="shared" si="50"/>
        <v>0</v>
      </c>
      <c r="J253" s="739">
        <f t="shared" si="51"/>
        <v>138</v>
      </c>
      <c r="K253" s="837" t="str">
        <f>_xlfn.IFNA(VLOOKUP(B253,'[2]22-23 Survey Results'!$A:$F,6,FALSE),0)</f>
        <v>N</v>
      </c>
      <c r="L253" s="740">
        <f t="shared" si="52"/>
        <v>138</v>
      </c>
      <c r="M253" s="741">
        <f t="shared" si="53"/>
        <v>0</v>
      </c>
      <c r="N253" s="67">
        <f t="shared" si="54"/>
        <v>0</v>
      </c>
      <c r="O253" s="67">
        <f t="shared" si="55"/>
        <v>0</v>
      </c>
      <c r="Q253" s="674">
        <f t="shared" si="56"/>
        <v>0</v>
      </c>
      <c r="R253" s="674" t="str">
        <f t="shared" si="57"/>
        <v>Not Applicable</v>
      </c>
      <c r="S253" s="798" t="str">
        <f>IF($R$7=0,"",IFERROR(VLOOKUP(B253,[3]Sheet1!$C$1:$P$65536,14,FALSE),"NA"))</f>
        <v/>
      </c>
      <c r="T253" s="798">
        <f>IF(O253=0,0,IF(S253="N",0,VLOOKUP(B253,Enrollment!B:J,9,FALSE)))</f>
        <v>0</v>
      </c>
      <c r="U253" s="88">
        <f t="shared" si="58"/>
        <v>0</v>
      </c>
      <c r="V253" s="71">
        <f t="shared" si="59"/>
        <v>0</v>
      </c>
      <c r="W253" s="449">
        <v>0</v>
      </c>
      <c r="X253" s="67">
        <f>IFERROR(VLOOKUP($B253,'Allocation 2021-22'!$B:$O,14,FALSE),0)</f>
        <v>0</v>
      </c>
      <c r="Y253" s="163">
        <f t="shared" si="60"/>
        <v>0</v>
      </c>
      <c r="Z253" s="166">
        <f t="shared" si="61"/>
        <v>0</v>
      </c>
      <c r="AA253" s="34" t="str">
        <f t="shared" si="47"/>
        <v>N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595</v>
      </c>
      <c r="B254" s="784" t="s">
        <v>411</v>
      </c>
      <c r="C254" s="784" t="s">
        <v>1556</v>
      </c>
      <c r="D254" s="134">
        <f>VLOOKUP(B254,'Enrollment 22-23'!$B:$I,8,FALSE)</f>
        <v>403.67</v>
      </c>
      <c r="E254" s="67">
        <f t="shared" si="48"/>
        <v>55814</v>
      </c>
      <c r="F254" s="146">
        <v>0</v>
      </c>
      <c r="G254" s="146">
        <v>0</v>
      </c>
      <c r="H254" s="91">
        <f t="shared" si="49"/>
        <v>55814</v>
      </c>
      <c r="I254" s="67">
        <f t="shared" si="50"/>
        <v>0</v>
      </c>
      <c r="J254" s="739">
        <f t="shared" si="51"/>
        <v>55814</v>
      </c>
      <c r="K254" s="837" t="str">
        <f>_xlfn.IFNA(VLOOKUP(B254,'[2]22-23 Survey Results'!$A:$F,6,FALSE),0)</f>
        <v>Y</v>
      </c>
      <c r="L254" s="740">
        <f t="shared" si="52"/>
        <v>0</v>
      </c>
      <c r="M254" s="741">
        <f t="shared" si="53"/>
        <v>403.67</v>
      </c>
      <c r="N254" s="67">
        <f t="shared" si="54"/>
        <v>545</v>
      </c>
      <c r="O254" s="67">
        <f t="shared" si="55"/>
        <v>56359</v>
      </c>
      <c r="Q254" s="674">
        <f t="shared" si="56"/>
        <v>0</v>
      </c>
      <c r="R254" s="674" t="str">
        <f t="shared" si="57"/>
        <v>Not Applicable</v>
      </c>
      <c r="S254" s="798" t="str">
        <f>IF($R$7=0,"",IFERROR(VLOOKUP(B254,[3]Sheet1!$C$1:$P$65536,14,FALSE),"NA"))</f>
        <v/>
      </c>
      <c r="T254" s="798">
        <f>IF(O254=0,0,IF(S254="N",0,VLOOKUP(B254,Enrollment!B:J,9,FALSE)))</f>
        <v>0</v>
      </c>
      <c r="U254" s="88">
        <f t="shared" si="58"/>
        <v>56359</v>
      </c>
      <c r="V254" s="71">
        <f t="shared" si="59"/>
        <v>139.61651844328287</v>
      </c>
      <c r="W254" s="449">
        <v>54866</v>
      </c>
      <c r="X254" s="67">
        <f>IFERROR(VLOOKUP($B254,'Allocation 2021-22'!$B:$O,14,FALSE),0)</f>
        <v>54659</v>
      </c>
      <c r="Y254" s="163">
        <f t="shared" si="60"/>
        <v>1700</v>
      </c>
      <c r="Z254" s="166">
        <f t="shared" si="61"/>
        <v>3.1101922830640883E-2</v>
      </c>
      <c r="AA254" s="34" t="str">
        <f t="shared" si="47"/>
        <v>Y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597</v>
      </c>
      <c r="B255" s="784" t="s">
        <v>199</v>
      </c>
      <c r="C255" s="784" t="s">
        <v>1272</v>
      </c>
      <c r="D255" s="134">
        <f>VLOOKUP(B255,'Enrollment 22-23'!$B:$I,8,FALSE)</f>
        <v>259.5</v>
      </c>
      <c r="E255" s="67">
        <f t="shared" si="48"/>
        <v>35880</v>
      </c>
      <c r="F255" s="146">
        <v>0</v>
      </c>
      <c r="G255" s="146">
        <v>0</v>
      </c>
      <c r="H255" s="91">
        <f t="shared" si="49"/>
        <v>35880</v>
      </c>
      <c r="I255" s="67">
        <f t="shared" si="50"/>
        <v>0</v>
      </c>
      <c r="J255" s="739">
        <f t="shared" si="51"/>
        <v>35880</v>
      </c>
      <c r="K255" s="837" t="str">
        <f>_xlfn.IFNA(VLOOKUP(B255,'[2]22-23 Survey Results'!$A:$F,6,FALSE),0)</f>
        <v>Y</v>
      </c>
      <c r="L255" s="740">
        <f t="shared" si="52"/>
        <v>0</v>
      </c>
      <c r="M255" s="741">
        <f t="shared" si="53"/>
        <v>259.5</v>
      </c>
      <c r="N255" s="67">
        <f t="shared" si="54"/>
        <v>350</v>
      </c>
      <c r="O255" s="67">
        <f t="shared" si="55"/>
        <v>36230</v>
      </c>
      <c r="Q255" s="674">
        <f t="shared" si="56"/>
        <v>0</v>
      </c>
      <c r="R255" s="674" t="str">
        <f t="shared" si="57"/>
        <v>Not Applicable</v>
      </c>
      <c r="S255" s="798" t="str">
        <f>IF($R$7=0,"",IFERROR(VLOOKUP(B255,[3]Sheet1!$C$1:$P$65536,14,FALSE),"NA"))</f>
        <v/>
      </c>
      <c r="T255" s="798">
        <f>IF(O255=0,0,IF(S255="N",0,VLOOKUP(B255,Enrollment!B:J,9,FALSE)))</f>
        <v>0</v>
      </c>
      <c r="U255" s="88">
        <f t="shared" si="58"/>
        <v>36230</v>
      </c>
      <c r="V255" s="71">
        <f t="shared" si="59"/>
        <v>139.61464354527939</v>
      </c>
      <c r="W255" s="449">
        <v>34817</v>
      </c>
      <c r="X255" s="67">
        <f>IFERROR(VLOOKUP($B255,'Allocation 2021-22'!$B:$O,14,FALSE),0)</f>
        <v>34686</v>
      </c>
      <c r="Y255" s="163">
        <f t="shared" si="60"/>
        <v>1544</v>
      </c>
      <c r="Z255" s="166">
        <f t="shared" si="61"/>
        <v>4.4513636625727958E-2</v>
      </c>
      <c r="AA255" s="34" t="str">
        <f t="shared" si="47"/>
        <v>Y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601</v>
      </c>
      <c r="B256" s="784" t="s">
        <v>121</v>
      </c>
      <c r="C256" s="784" t="s">
        <v>1424</v>
      </c>
      <c r="D256" s="134">
        <f>VLOOKUP(B256,'Enrollment 22-23'!$B:$I,8,FALSE)</f>
        <v>93.17</v>
      </c>
      <c r="E256" s="67">
        <f t="shared" si="48"/>
        <v>12882</v>
      </c>
      <c r="F256" s="146">
        <v>0</v>
      </c>
      <c r="G256" s="146">
        <v>0</v>
      </c>
      <c r="H256" s="91">
        <f t="shared" si="49"/>
        <v>12882</v>
      </c>
      <c r="I256" s="67">
        <f t="shared" si="50"/>
        <v>0</v>
      </c>
      <c r="J256" s="739">
        <f t="shared" si="51"/>
        <v>12882</v>
      </c>
      <c r="K256" s="837" t="str">
        <f>_xlfn.IFNA(VLOOKUP(B256,'[2]22-23 Survey Results'!$A:$F,6,FALSE),0)</f>
        <v>Y</v>
      </c>
      <c r="L256" s="740">
        <f t="shared" si="52"/>
        <v>0</v>
      </c>
      <c r="M256" s="741">
        <f t="shared" si="53"/>
        <v>93.17</v>
      </c>
      <c r="N256" s="67">
        <f t="shared" si="54"/>
        <v>126</v>
      </c>
      <c r="O256" s="67">
        <f t="shared" si="55"/>
        <v>13008</v>
      </c>
      <c r="Q256" s="674">
        <f t="shared" si="56"/>
        <v>0</v>
      </c>
      <c r="R256" s="674" t="str">
        <f t="shared" si="57"/>
        <v>Not Applicable</v>
      </c>
      <c r="S256" s="798" t="str">
        <f>IF($R$7=0,"",IFERROR(VLOOKUP(B256,[3]Sheet1!$C$1:$P$65536,14,FALSE),"NA"))</f>
        <v/>
      </c>
      <c r="T256" s="798">
        <f>IF(O256=0,0,IF(S256="N",0,VLOOKUP(B256,Enrollment!B:J,9,FALSE)))</f>
        <v>0</v>
      </c>
      <c r="U256" s="88">
        <f t="shared" si="58"/>
        <v>13008</v>
      </c>
      <c r="V256" s="71">
        <f t="shared" si="59"/>
        <v>139.61575614468177</v>
      </c>
      <c r="W256" s="449">
        <v>13457</v>
      </c>
      <c r="X256" s="67">
        <f>IFERROR(VLOOKUP($B256,'Allocation 2021-22'!$B:$O,14,FALSE),0)</f>
        <v>13406</v>
      </c>
      <c r="Y256" s="163">
        <f t="shared" si="60"/>
        <v>-398</v>
      </c>
      <c r="Z256" s="166">
        <f t="shared" si="61"/>
        <v>-2.9688199313740116E-2</v>
      </c>
      <c r="AA256" s="34" t="str">
        <f t="shared" si="47"/>
        <v>Y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329</v>
      </c>
      <c r="C257" s="784" t="s">
        <v>1515</v>
      </c>
      <c r="D257" s="134">
        <f>VLOOKUP(B257,'Enrollment 22-23'!$B:$I,8,FALSE)</f>
        <v>90</v>
      </c>
      <c r="E257" s="67">
        <f t="shared" si="48"/>
        <v>12444</v>
      </c>
      <c r="F257" s="146">
        <v>0</v>
      </c>
      <c r="G257" s="146">
        <v>0</v>
      </c>
      <c r="H257" s="91">
        <f t="shared" si="49"/>
        <v>12444</v>
      </c>
      <c r="I257" s="67">
        <f t="shared" si="50"/>
        <v>0</v>
      </c>
      <c r="J257" s="739">
        <f t="shared" si="51"/>
        <v>12444</v>
      </c>
      <c r="K257" s="837" t="str">
        <f>_xlfn.IFNA(VLOOKUP(B257,'[2]22-23 Survey Results'!$A:$F,6,FALSE),0)</f>
        <v>Y</v>
      </c>
      <c r="L257" s="740">
        <f t="shared" si="52"/>
        <v>0</v>
      </c>
      <c r="M257" s="741">
        <f t="shared" si="53"/>
        <v>90</v>
      </c>
      <c r="N257" s="67">
        <f t="shared" si="54"/>
        <v>121</v>
      </c>
      <c r="O257" s="67">
        <f t="shared" si="55"/>
        <v>12565</v>
      </c>
      <c r="Q257" s="674">
        <f t="shared" si="56"/>
        <v>0</v>
      </c>
      <c r="R257" s="674" t="str">
        <f t="shared" si="57"/>
        <v>Not Applicable</v>
      </c>
      <c r="S257" s="798" t="str">
        <f>IF($R$7=0,"",IFERROR(VLOOKUP(B257,[3]Sheet1!$C$1:$P$65536,14,FALSE),"NA"))</f>
        <v/>
      </c>
      <c r="T257" s="798">
        <f>IF(O257=0,0,IF(S257="N",0,VLOOKUP(B257,Enrollment!B:J,9,FALSE)))</f>
        <v>0</v>
      </c>
      <c r="U257" s="88">
        <f t="shared" si="58"/>
        <v>12565</v>
      </c>
      <c r="V257" s="71">
        <f t="shared" si="59"/>
        <v>139.61111111111111</v>
      </c>
      <c r="W257" s="449">
        <v>12311</v>
      </c>
      <c r="X257" s="67">
        <f>IFERROR(VLOOKUP($B257,'Allocation 2021-22'!$B:$O,14,FALSE),0)</f>
        <v>12264</v>
      </c>
      <c r="Y257" s="163">
        <f t="shared" si="60"/>
        <v>301</v>
      </c>
      <c r="Z257" s="166">
        <f t="shared" si="61"/>
        <v>2.4543378995433789E-2</v>
      </c>
      <c r="AA257" s="34" t="str">
        <f t="shared" si="47"/>
        <v>Y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600</v>
      </c>
      <c r="B258" s="784" t="s">
        <v>218</v>
      </c>
      <c r="C258" s="784" t="s">
        <v>1465</v>
      </c>
      <c r="D258" s="134">
        <f>VLOOKUP(B258,'Enrollment 22-23'!$B:$I,8,FALSE)</f>
        <v>287.17</v>
      </c>
      <c r="E258" s="67">
        <f t="shared" si="48"/>
        <v>39706</v>
      </c>
      <c r="F258" s="146">
        <v>0</v>
      </c>
      <c r="G258" s="146">
        <v>0</v>
      </c>
      <c r="H258" s="91">
        <f t="shared" si="49"/>
        <v>39706</v>
      </c>
      <c r="I258" s="67">
        <f t="shared" si="50"/>
        <v>0</v>
      </c>
      <c r="J258" s="739">
        <f t="shared" si="51"/>
        <v>39706</v>
      </c>
      <c r="K258" s="837" t="str">
        <f>_xlfn.IFNA(VLOOKUP(B258,'[2]22-23 Survey Results'!$A:$F,6,FALSE),0)</f>
        <v>Y</v>
      </c>
      <c r="L258" s="740">
        <f t="shared" si="52"/>
        <v>0</v>
      </c>
      <c r="M258" s="741">
        <f t="shared" si="53"/>
        <v>287.17</v>
      </c>
      <c r="N258" s="67">
        <f t="shared" si="54"/>
        <v>388</v>
      </c>
      <c r="O258" s="67">
        <f t="shared" si="55"/>
        <v>40094</v>
      </c>
      <c r="Q258" s="674">
        <f t="shared" si="56"/>
        <v>0</v>
      </c>
      <c r="R258" s="674" t="str">
        <f t="shared" si="57"/>
        <v>Not Applicable</v>
      </c>
      <c r="S258" s="798" t="str">
        <f>IF($R$7=0,"",IFERROR(VLOOKUP(B258,[3]Sheet1!$C$1:$P$65536,14,FALSE),"NA"))</f>
        <v/>
      </c>
      <c r="T258" s="798">
        <f>IF(O258=0,0,IF(S258="N",0,VLOOKUP(B258,Enrollment!B:J,9,FALSE)))</f>
        <v>0</v>
      </c>
      <c r="U258" s="88">
        <f t="shared" si="58"/>
        <v>40094</v>
      </c>
      <c r="V258" s="71">
        <f t="shared" si="59"/>
        <v>139.61764808301703</v>
      </c>
      <c r="W258" s="449">
        <v>37022</v>
      </c>
      <c r="X258" s="67">
        <f>IFERROR(VLOOKUP($B258,'Allocation 2021-22'!$B:$O,14,FALSE),0)</f>
        <v>36882</v>
      </c>
      <c r="Y258" s="163">
        <f t="shared" si="60"/>
        <v>3212</v>
      </c>
      <c r="Z258" s="166">
        <f t="shared" si="61"/>
        <v>8.7088552681524864E-2</v>
      </c>
      <c r="AA258" s="34" t="str">
        <f t="shared" si="47"/>
        <v>Y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595</v>
      </c>
      <c r="B259" s="784" t="s">
        <v>161</v>
      </c>
      <c r="C259" s="784" t="s">
        <v>1442</v>
      </c>
      <c r="D259" s="134">
        <f>VLOOKUP(B259,'Enrollment 22-23'!$B:$I,8,FALSE)</f>
        <v>4.5</v>
      </c>
      <c r="E259" s="67">
        <f t="shared" si="48"/>
        <v>622</v>
      </c>
      <c r="F259" s="146">
        <v>0</v>
      </c>
      <c r="G259" s="146">
        <v>0</v>
      </c>
      <c r="H259" s="91">
        <f t="shared" si="49"/>
        <v>622</v>
      </c>
      <c r="I259" s="67">
        <f t="shared" si="50"/>
        <v>0</v>
      </c>
      <c r="J259" s="739">
        <f t="shared" si="51"/>
        <v>622</v>
      </c>
      <c r="K259" s="837" t="str">
        <f>_xlfn.IFNA(VLOOKUP(B259,'[2]22-23 Survey Results'!$A:$F,6,FALSE),0)</f>
        <v>N</v>
      </c>
      <c r="L259" s="740">
        <f t="shared" si="52"/>
        <v>622</v>
      </c>
      <c r="M259" s="741">
        <f t="shared" si="53"/>
        <v>0</v>
      </c>
      <c r="N259" s="67">
        <f t="shared" si="54"/>
        <v>0</v>
      </c>
      <c r="O259" s="67">
        <f t="shared" si="55"/>
        <v>0</v>
      </c>
      <c r="Q259" s="674">
        <f t="shared" si="56"/>
        <v>0</v>
      </c>
      <c r="R259" s="674" t="str">
        <f t="shared" si="57"/>
        <v>Not Applicable</v>
      </c>
      <c r="S259" s="798" t="str">
        <f>IF($R$7=0,"",IFERROR(VLOOKUP(B259,[3]Sheet1!$C$1:$P$65536,14,FALSE),"NA"))</f>
        <v/>
      </c>
      <c r="T259" s="798">
        <f>IF(O259=0,0,IF(S259="N",0,VLOOKUP(B259,Enrollment!B:J,9,FALSE)))</f>
        <v>0</v>
      </c>
      <c r="U259" s="88">
        <f t="shared" si="58"/>
        <v>0</v>
      </c>
      <c r="V259" s="71">
        <f t="shared" si="59"/>
        <v>0</v>
      </c>
      <c r="W259" s="449">
        <v>0</v>
      </c>
      <c r="X259" s="67">
        <f>IFERROR(VLOOKUP($B259,'Allocation 2021-22'!$B:$O,14,FALSE),0)</f>
        <v>0</v>
      </c>
      <c r="Y259" s="163">
        <f t="shared" si="60"/>
        <v>0</v>
      </c>
      <c r="Z259" s="166">
        <f t="shared" si="61"/>
        <v>0</v>
      </c>
      <c r="AA259" s="34" t="str">
        <f t="shared" si="47"/>
        <v>N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295</v>
      </c>
      <c r="C260" s="784" t="s">
        <v>1501</v>
      </c>
      <c r="D260" s="134">
        <f>VLOOKUP(B260,'Enrollment 22-23'!$B:$I,8,FALSE)</f>
        <v>0</v>
      </c>
      <c r="E260" s="67">
        <f t="shared" si="48"/>
        <v>0</v>
      </c>
      <c r="F260" s="146">
        <v>0</v>
      </c>
      <c r="G260" s="146">
        <v>0</v>
      </c>
      <c r="H260" s="91">
        <f t="shared" si="49"/>
        <v>0</v>
      </c>
      <c r="I260" s="67">
        <f t="shared" si="50"/>
        <v>0</v>
      </c>
      <c r="J260" s="739">
        <f t="shared" si="51"/>
        <v>0</v>
      </c>
      <c r="K260" s="837">
        <f>_xlfn.IFNA(VLOOKUP(B260,'[2]22-23 Survey Results'!$A:$F,6,FALSE),0)</f>
        <v>0</v>
      </c>
      <c r="L260" s="740">
        <f t="shared" si="52"/>
        <v>0</v>
      </c>
      <c r="M260" s="741">
        <f t="shared" si="53"/>
        <v>0</v>
      </c>
      <c r="N260" s="67">
        <f t="shared" si="54"/>
        <v>0</v>
      </c>
      <c r="O260" s="67">
        <f t="shared" si="55"/>
        <v>0</v>
      </c>
      <c r="Q260" s="674">
        <f t="shared" si="56"/>
        <v>0</v>
      </c>
      <c r="R260" s="674" t="str">
        <f t="shared" si="57"/>
        <v>Not Applicable</v>
      </c>
      <c r="S260" s="798" t="str">
        <f>IF($R$7=0,"",IFERROR(VLOOKUP(B260,[3]Sheet1!$C$1:$P$65536,14,FALSE),"NA"))</f>
        <v/>
      </c>
      <c r="T260" s="798">
        <f>IF(O260=0,0,IF(S260="N",0,VLOOKUP(B260,Enrollment!B:J,9,FALSE)))</f>
        <v>0</v>
      </c>
      <c r="U260" s="88">
        <f t="shared" si="58"/>
        <v>0</v>
      </c>
      <c r="V260" s="71">
        <f t="shared" si="59"/>
        <v>0</v>
      </c>
      <c r="W260" s="449">
        <v>0</v>
      </c>
      <c r="X260" s="67">
        <f>IFERROR(VLOOKUP($B260,'Allocation 2021-22'!$B:$O,14,FALSE),0)</f>
        <v>0</v>
      </c>
      <c r="Y260" s="163">
        <f t="shared" si="60"/>
        <v>0</v>
      </c>
      <c r="Z260" s="166">
        <f t="shared" si="61"/>
        <v>0</v>
      </c>
      <c r="AA260" s="34">
        <f t="shared" si="47"/>
        <v>0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603</v>
      </c>
      <c r="B261" s="784" t="s">
        <v>422</v>
      </c>
      <c r="C261" s="784" t="s">
        <v>1562</v>
      </c>
      <c r="D261" s="134">
        <f>VLOOKUP(B261,'Enrollment 22-23'!$B:$I,8,FALSE)</f>
        <v>1907.5</v>
      </c>
      <c r="E261" s="67">
        <f t="shared" si="48"/>
        <v>263742</v>
      </c>
      <c r="F261" s="146">
        <v>0</v>
      </c>
      <c r="G261" s="146">
        <v>0</v>
      </c>
      <c r="H261" s="91">
        <f t="shared" si="49"/>
        <v>263742</v>
      </c>
      <c r="I261" s="67">
        <f t="shared" si="50"/>
        <v>0</v>
      </c>
      <c r="J261" s="739">
        <f t="shared" si="51"/>
        <v>263742</v>
      </c>
      <c r="K261" s="837" t="str">
        <f>_xlfn.IFNA(VLOOKUP(B261,'[2]22-23 Survey Results'!$A:$F,6,FALSE),0)</f>
        <v>Y</v>
      </c>
      <c r="L261" s="740">
        <f t="shared" si="52"/>
        <v>0</v>
      </c>
      <c r="M261" s="741">
        <f t="shared" si="53"/>
        <v>1907.5</v>
      </c>
      <c r="N261" s="67">
        <f t="shared" si="54"/>
        <v>2575</v>
      </c>
      <c r="O261" s="67">
        <f t="shared" si="55"/>
        <v>266317</v>
      </c>
      <c r="Q261" s="674">
        <f t="shared" si="56"/>
        <v>0</v>
      </c>
      <c r="R261" s="674" t="str">
        <f t="shared" si="57"/>
        <v>Not Applicable</v>
      </c>
      <c r="S261" s="798" t="str">
        <f>IF($R$7=0,"",IFERROR(VLOOKUP(B261,[3]Sheet1!$C$1:$P$65536,14,FALSE),"NA"))</f>
        <v/>
      </c>
      <c r="T261" s="798">
        <f>IF(O261=0,0,IF(S261="N",0,VLOOKUP(B261,Enrollment!B:J,9,FALSE)))</f>
        <v>0</v>
      </c>
      <c r="U261" s="88">
        <f t="shared" si="58"/>
        <v>266317</v>
      </c>
      <c r="V261" s="71">
        <f t="shared" si="59"/>
        <v>139.61572739187417</v>
      </c>
      <c r="W261" s="449">
        <v>263329</v>
      </c>
      <c r="X261" s="67">
        <f>IFERROR(VLOOKUP($B261,'Allocation 2021-22'!$B:$O,14,FALSE),0)</f>
        <v>262337</v>
      </c>
      <c r="Y261" s="163">
        <f t="shared" si="60"/>
        <v>3980</v>
      </c>
      <c r="Z261" s="166">
        <f t="shared" si="61"/>
        <v>1.5171325432554309E-2</v>
      </c>
      <c r="AA261" s="34" t="str">
        <f t="shared" si="47"/>
        <v>Y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1666</v>
      </c>
      <c r="B262" s="784" t="s">
        <v>1691</v>
      </c>
      <c r="C262" s="784" t="s">
        <v>1767</v>
      </c>
      <c r="D262" s="134">
        <f>VLOOKUP(B262,'Enrollment 22-23'!$B:$I,8,FALSE)</f>
        <v>21.5</v>
      </c>
      <c r="E262" s="67">
        <f t="shared" si="48"/>
        <v>2973</v>
      </c>
      <c r="F262" s="146">
        <v>0</v>
      </c>
      <c r="G262" s="146">
        <v>0</v>
      </c>
      <c r="H262" s="91">
        <f t="shared" si="49"/>
        <v>2973</v>
      </c>
      <c r="I262" s="67">
        <f t="shared" si="50"/>
        <v>0</v>
      </c>
      <c r="J262" s="739">
        <f t="shared" si="51"/>
        <v>2973</v>
      </c>
      <c r="K262" s="837" t="str">
        <f>_xlfn.IFNA(VLOOKUP(B262,'[2]22-23 Survey Results'!$A:$F,6,FALSE),0)</f>
        <v>N</v>
      </c>
      <c r="L262" s="740">
        <f t="shared" si="52"/>
        <v>2973</v>
      </c>
      <c r="M262" s="741">
        <f t="shared" si="53"/>
        <v>0</v>
      </c>
      <c r="N262" s="67">
        <f t="shared" si="54"/>
        <v>0</v>
      </c>
      <c r="O262" s="67">
        <f t="shared" si="55"/>
        <v>0</v>
      </c>
      <c r="Q262" s="674">
        <f t="shared" si="56"/>
        <v>0</v>
      </c>
      <c r="R262" s="674" t="str">
        <f t="shared" si="57"/>
        <v>Not Applicable</v>
      </c>
      <c r="S262" s="798" t="str">
        <f>IF($R$7=0,"",IFERROR(VLOOKUP(B262,[3]Sheet1!$C$1:$P$65536,14,FALSE),"NA"))</f>
        <v/>
      </c>
      <c r="T262" s="798">
        <f>IF(O262=0,0,IF(S262="N",0,VLOOKUP(B262,Enrollment!B:J,9,FALSE)))</f>
        <v>0</v>
      </c>
      <c r="U262" s="88">
        <f t="shared" si="58"/>
        <v>0</v>
      </c>
      <c r="V262" s="71">
        <f t="shared" si="59"/>
        <v>0</v>
      </c>
      <c r="W262" s="449">
        <v>0</v>
      </c>
      <c r="X262" s="67">
        <f>IFERROR(VLOOKUP($B262,'Allocation 2021-22'!$B:$O,14,FALSE),0)</f>
        <v>0</v>
      </c>
      <c r="Y262" s="163">
        <f t="shared" si="60"/>
        <v>0</v>
      </c>
      <c r="Z262" s="166">
        <f t="shared" si="61"/>
        <v>0</v>
      </c>
      <c r="AA262" s="34" t="str">
        <f t="shared" si="47"/>
        <v>N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603</v>
      </c>
      <c r="B263" s="784" t="s">
        <v>280</v>
      </c>
      <c r="C263" s="784" t="s">
        <v>1493</v>
      </c>
      <c r="D263" s="134">
        <f>VLOOKUP(B263,'Enrollment 22-23'!$B:$I,8,FALSE)</f>
        <v>0</v>
      </c>
      <c r="E263" s="67">
        <f t="shared" si="48"/>
        <v>0</v>
      </c>
      <c r="F263" s="146">
        <v>0</v>
      </c>
      <c r="G263" s="146">
        <v>0</v>
      </c>
      <c r="H263" s="91">
        <f t="shared" si="49"/>
        <v>0</v>
      </c>
      <c r="I263" s="67">
        <f t="shared" si="50"/>
        <v>0</v>
      </c>
      <c r="J263" s="739">
        <f t="shared" si="51"/>
        <v>0</v>
      </c>
      <c r="K263" s="837">
        <f>_xlfn.IFNA(VLOOKUP(B263,'[2]22-23 Survey Results'!$A:$F,6,FALSE),0)</f>
        <v>0</v>
      </c>
      <c r="L263" s="740">
        <f t="shared" si="52"/>
        <v>0</v>
      </c>
      <c r="M263" s="741">
        <f t="shared" si="53"/>
        <v>0</v>
      </c>
      <c r="N263" s="67">
        <f t="shared" si="54"/>
        <v>0</v>
      </c>
      <c r="O263" s="67">
        <f t="shared" si="55"/>
        <v>0</v>
      </c>
      <c r="Q263" s="674">
        <f t="shared" si="56"/>
        <v>0</v>
      </c>
      <c r="R263" s="674" t="str">
        <f t="shared" si="57"/>
        <v>Not Applicable</v>
      </c>
      <c r="S263" s="798" t="str">
        <f>IF($R$7=0,"",IFERROR(VLOOKUP(B263,[3]Sheet1!$C$1:$P$65536,14,FALSE),"NA"))</f>
        <v/>
      </c>
      <c r="T263" s="798">
        <f>IF(O263=0,0,IF(S263="N",0,VLOOKUP(B263,Enrollment!B:J,9,FALSE)))</f>
        <v>0</v>
      </c>
      <c r="U263" s="88">
        <f t="shared" si="58"/>
        <v>0</v>
      </c>
      <c r="V263" s="71">
        <f t="shared" si="59"/>
        <v>0</v>
      </c>
      <c r="W263" s="449">
        <v>0</v>
      </c>
      <c r="X263" s="67">
        <f>IFERROR(VLOOKUP($B263,'Allocation 2021-22'!$B:$O,14,FALSE),0)</f>
        <v>0</v>
      </c>
      <c r="Y263" s="163">
        <f t="shared" si="60"/>
        <v>0</v>
      </c>
      <c r="Z263" s="166">
        <f t="shared" si="61"/>
        <v>0</v>
      </c>
      <c r="AA263" s="34">
        <f t="shared" si="47"/>
        <v>0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603</v>
      </c>
      <c r="B264" s="784" t="s">
        <v>539</v>
      </c>
      <c r="C264" s="784" t="s">
        <v>1618</v>
      </c>
      <c r="D264" s="134">
        <f>VLOOKUP(B264,'Enrollment 22-23'!$B:$I,8,FALSE)</f>
        <v>0</v>
      </c>
      <c r="E264" s="67">
        <f t="shared" si="48"/>
        <v>0</v>
      </c>
      <c r="F264" s="146">
        <v>0</v>
      </c>
      <c r="G264" s="146">
        <v>0</v>
      </c>
      <c r="H264" s="91">
        <f t="shared" si="49"/>
        <v>0</v>
      </c>
      <c r="I264" s="67">
        <f t="shared" si="50"/>
        <v>0</v>
      </c>
      <c r="J264" s="739">
        <f t="shared" si="51"/>
        <v>0</v>
      </c>
      <c r="K264" s="837">
        <f>_xlfn.IFNA(VLOOKUP(B264,'[2]22-23 Survey Results'!$A:$F,6,FALSE),0)</f>
        <v>0</v>
      </c>
      <c r="L264" s="740">
        <f t="shared" si="52"/>
        <v>0</v>
      </c>
      <c r="M264" s="741">
        <f t="shared" si="53"/>
        <v>0</v>
      </c>
      <c r="N264" s="67">
        <f t="shared" si="54"/>
        <v>0</v>
      </c>
      <c r="O264" s="67">
        <f t="shared" si="55"/>
        <v>0</v>
      </c>
      <c r="Q264" s="674">
        <f t="shared" si="56"/>
        <v>0</v>
      </c>
      <c r="R264" s="674" t="str">
        <f t="shared" si="57"/>
        <v>Not Applicable</v>
      </c>
      <c r="S264" s="798" t="str">
        <f>IF($R$7=0,"",IFERROR(VLOOKUP(B264,[3]Sheet1!$C$1:$P$65536,14,FALSE),"NA"))</f>
        <v/>
      </c>
      <c r="T264" s="798">
        <f>IF(O264=0,0,IF(S264="N",0,VLOOKUP(B264,Enrollment!B:J,9,FALSE)))</f>
        <v>0</v>
      </c>
      <c r="U264" s="88">
        <f t="shared" si="58"/>
        <v>0</v>
      </c>
      <c r="V264" s="71">
        <f t="shared" si="59"/>
        <v>0</v>
      </c>
      <c r="W264" s="449">
        <v>0</v>
      </c>
      <c r="X264" s="67">
        <f>IFERROR(VLOOKUP($B264,'Allocation 2021-22'!$B:$O,14,FALSE),0)</f>
        <v>0</v>
      </c>
      <c r="Y264" s="163">
        <f t="shared" si="60"/>
        <v>0</v>
      </c>
      <c r="Z264" s="166">
        <f t="shared" si="61"/>
        <v>0</v>
      </c>
      <c r="AA264" s="34">
        <f t="shared" si="47"/>
        <v>0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595</v>
      </c>
      <c r="B265" s="784" t="s">
        <v>421</v>
      </c>
      <c r="C265" s="784" t="s">
        <v>1561</v>
      </c>
      <c r="D265" s="134">
        <f>VLOOKUP(B265,'Enrollment 22-23'!$B:$I,8,FALSE)</f>
        <v>135.83000000000001</v>
      </c>
      <c r="E265" s="67">
        <f t="shared" si="48"/>
        <v>18781</v>
      </c>
      <c r="F265" s="146">
        <v>0</v>
      </c>
      <c r="G265" s="146">
        <v>0</v>
      </c>
      <c r="H265" s="91">
        <f t="shared" si="49"/>
        <v>18781</v>
      </c>
      <c r="I265" s="67">
        <f t="shared" si="50"/>
        <v>0</v>
      </c>
      <c r="J265" s="739">
        <f t="shared" si="51"/>
        <v>18781</v>
      </c>
      <c r="K265" s="837" t="str">
        <f>_xlfn.IFNA(VLOOKUP(B265,'[2]22-23 Survey Results'!$A:$F,6,FALSE),0)</f>
        <v>Y</v>
      </c>
      <c r="L265" s="740">
        <f t="shared" si="52"/>
        <v>0</v>
      </c>
      <c r="M265" s="741">
        <f t="shared" si="53"/>
        <v>135.83000000000001</v>
      </c>
      <c r="N265" s="67">
        <f t="shared" si="54"/>
        <v>183</v>
      </c>
      <c r="O265" s="67">
        <f t="shared" si="55"/>
        <v>18964</v>
      </c>
      <c r="Q265" s="674">
        <f t="shared" si="56"/>
        <v>0</v>
      </c>
      <c r="R265" s="674" t="str">
        <f t="shared" si="57"/>
        <v>Not Applicable</v>
      </c>
      <c r="S265" s="798" t="str">
        <f>IF($R$7=0,"",IFERROR(VLOOKUP(B265,[3]Sheet1!$C$1:$P$65536,14,FALSE),"NA"))</f>
        <v/>
      </c>
      <c r="T265" s="798">
        <f>IF(O265=0,0,IF(S265="N",0,VLOOKUP(B265,Enrollment!B:J,9,FALSE)))</f>
        <v>0</v>
      </c>
      <c r="U265" s="88">
        <f t="shared" si="58"/>
        <v>18964</v>
      </c>
      <c r="V265" s="71">
        <f t="shared" si="59"/>
        <v>139.61569609070159</v>
      </c>
      <c r="W265" s="449">
        <v>16973</v>
      </c>
      <c r="X265" s="67">
        <f>IFERROR(VLOOKUP($B265,'Allocation 2021-22'!$B:$O,14,FALSE),0)</f>
        <v>16909</v>
      </c>
      <c r="Y265" s="163">
        <f t="shared" si="60"/>
        <v>2055</v>
      </c>
      <c r="Z265" s="166">
        <f t="shared" si="61"/>
        <v>0.12153291146726596</v>
      </c>
      <c r="AA265" s="34" t="str">
        <f t="shared" ref="AA265:AA325" si="62">IF(ISERROR(VLOOKUP(B265,$AC$9:$AC$38,2,0)),K265,"C")</f>
        <v>Y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596</v>
      </c>
      <c r="B266" s="784" t="s">
        <v>108</v>
      </c>
      <c r="C266" s="784" t="s">
        <v>1418</v>
      </c>
      <c r="D266" s="134">
        <f>VLOOKUP(B266,'Enrollment 22-23'!$B:$I,8,FALSE)</f>
        <v>0</v>
      </c>
      <c r="E266" s="67">
        <f t="shared" ref="E266:E325" si="63">ROUND($D266/$D$7*$E$6,0)</f>
        <v>0</v>
      </c>
      <c r="F266" s="146">
        <v>0</v>
      </c>
      <c r="G266" s="146">
        <v>0</v>
      </c>
      <c r="H266" s="91">
        <f t="shared" ref="H266:H325" si="64">SUM(E266:G266)</f>
        <v>0</v>
      </c>
      <c r="I266" s="67">
        <f t="shared" ref="I266:I325" si="65">ROUND($D266/$D$7*$I$6,0)</f>
        <v>0</v>
      </c>
      <c r="J266" s="739">
        <f t="shared" ref="J266:J325" si="66">+H266+I266</f>
        <v>0</v>
      </c>
      <c r="K266" s="837">
        <f>_xlfn.IFNA(VLOOKUP(B266,'[2]22-23 Survey Results'!$A:$F,6,FALSE),0)</f>
        <v>0</v>
      </c>
      <c r="L266" s="740">
        <f t="shared" ref="L266:L325" si="67">IF(OR(K266="N",K266="NR",AND(J266&lt;$L$6,K266&lt;&gt;"C")),J266,0)</f>
        <v>0</v>
      </c>
      <c r="M266" s="741">
        <f t="shared" ref="M266:M325" si="68">IF(L266=0,D266,0)</f>
        <v>0</v>
      </c>
      <c r="N266" s="67">
        <f t="shared" ref="N266:N325" si="69">ROUND(M266/$M$7*$L$3,0)</f>
        <v>0</v>
      </c>
      <c r="O266" s="67">
        <f t="shared" ref="O266:O325" si="70">J266-L266+N266</f>
        <v>0</v>
      </c>
      <c r="Q266" s="674">
        <f t="shared" ref="Q266:Q325" si="71">-ROUND(IF(P266&gt;0,O266*(0.9-P266),0),0)</f>
        <v>0</v>
      </c>
      <c r="R266" s="674" t="str">
        <f t="shared" ref="R266:R325" si="72">IF($R$7=0,"Not Applicable",T266*($R$7/$T$7))</f>
        <v>Not Applicable</v>
      </c>
      <c r="S266" s="798" t="str">
        <f>IF($R$7=0,"",IFERROR(VLOOKUP(B266,[3]Sheet1!$C$1:$P$65536,14,FALSE),"NA"))</f>
        <v/>
      </c>
      <c r="T266" s="798">
        <f>IF(O266=0,0,IF(S266="N",0,VLOOKUP(B266,Enrollment!B:J,9,FALSE)))</f>
        <v>0</v>
      </c>
      <c r="U266" s="88">
        <f t="shared" ref="U266:U325" si="73">IF(ISNUMBER(R266),O266+R266,O266)</f>
        <v>0</v>
      </c>
      <c r="V266" s="71">
        <f t="shared" ref="V266:V325" si="74">IF(M266=0,0,O266/M266)</f>
        <v>0</v>
      </c>
      <c r="W266" s="449">
        <v>0</v>
      </c>
      <c r="X266" s="67">
        <f>IFERROR(VLOOKUP($B266,'Allocation 2021-22'!$B:$O,14,FALSE),0)</f>
        <v>0</v>
      </c>
      <c r="Y266" s="163">
        <f t="shared" ref="Y266:Y325" si="75">O266-X266</f>
        <v>0</v>
      </c>
      <c r="Z266" s="166">
        <f t="shared" ref="Z266:Z325" si="76">IFERROR(IF(X266&gt;0,Y266/X266,0),0)</f>
        <v>0</v>
      </c>
      <c r="AA266" s="34">
        <f t="shared" si="62"/>
        <v>0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68</v>
      </c>
      <c r="C267" s="784" t="s">
        <v>1398</v>
      </c>
      <c r="D267" s="134">
        <f>VLOOKUP(B267,'Enrollment 22-23'!$B:$I,8,FALSE)</f>
        <v>0</v>
      </c>
      <c r="E267" s="67">
        <f t="shared" si="63"/>
        <v>0</v>
      </c>
      <c r="F267" s="146">
        <v>0</v>
      </c>
      <c r="G267" s="146">
        <v>0</v>
      </c>
      <c r="H267" s="91">
        <f t="shared" si="64"/>
        <v>0</v>
      </c>
      <c r="I267" s="67">
        <f t="shared" si="65"/>
        <v>0</v>
      </c>
      <c r="J267" s="739">
        <f t="shared" si="66"/>
        <v>0</v>
      </c>
      <c r="K267" s="837">
        <f>_xlfn.IFNA(VLOOKUP(B267,'[2]22-23 Survey Results'!$A:$F,6,FALSE),0)</f>
        <v>0</v>
      </c>
      <c r="L267" s="740">
        <f t="shared" si="67"/>
        <v>0</v>
      </c>
      <c r="M267" s="741">
        <f t="shared" si="68"/>
        <v>0</v>
      </c>
      <c r="N267" s="67">
        <f t="shared" si="69"/>
        <v>0</v>
      </c>
      <c r="O267" s="67">
        <f t="shared" si="70"/>
        <v>0</v>
      </c>
      <c r="Q267" s="674">
        <f t="shared" si="71"/>
        <v>0</v>
      </c>
      <c r="R267" s="674" t="str">
        <f t="shared" si="72"/>
        <v>Not Applicable</v>
      </c>
      <c r="S267" s="798" t="str">
        <f>IF($R$7=0,"",IFERROR(VLOOKUP(B267,[3]Sheet1!$C$1:$P$65536,14,FALSE),"NA"))</f>
        <v/>
      </c>
      <c r="T267" s="798">
        <f>IF(O267=0,0,IF(S267="N",0,VLOOKUP(B267,Enrollment!B:J,9,FALSE)))</f>
        <v>0</v>
      </c>
      <c r="U267" s="88">
        <f t="shared" si="73"/>
        <v>0</v>
      </c>
      <c r="V267" s="71">
        <f t="shared" si="74"/>
        <v>0</v>
      </c>
      <c r="W267" s="449">
        <v>0</v>
      </c>
      <c r="X267" s="67">
        <f>IFERROR(VLOOKUP($B267,'Allocation 2021-22'!$B:$O,14,FALSE),0)</f>
        <v>0</v>
      </c>
      <c r="Y267" s="163">
        <f t="shared" si="75"/>
        <v>0</v>
      </c>
      <c r="Z267" s="166">
        <f t="shared" si="76"/>
        <v>0</v>
      </c>
      <c r="AA267" s="34">
        <f t="shared" si="62"/>
        <v>0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601</v>
      </c>
      <c r="B268" s="784" t="s">
        <v>27</v>
      </c>
      <c r="C268" s="784" t="s">
        <v>1381</v>
      </c>
      <c r="D268" s="134">
        <f>VLOOKUP(B268,'Enrollment 22-23'!$B:$I,8,FALSE)</f>
        <v>0</v>
      </c>
      <c r="E268" s="67">
        <f t="shared" si="63"/>
        <v>0</v>
      </c>
      <c r="F268" s="146">
        <v>0</v>
      </c>
      <c r="G268" s="146">
        <v>0</v>
      </c>
      <c r="H268" s="91">
        <f t="shared" si="64"/>
        <v>0</v>
      </c>
      <c r="I268" s="67">
        <f t="shared" si="65"/>
        <v>0</v>
      </c>
      <c r="J268" s="739">
        <f t="shared" si="66"/>
        <v>0</v>
      </c>
      <c r="K268" s="837">
        <f>_xlfn.IFNA(VLOOKUP(B268,'[2]22-23 Survey Results'!$A:$F,6,FALSE),0)</f>
        <v>0</v>
      </c>
      <c r="L268" s="740">
        <f t="shared" si="67"/>
        <v>0</v>
      </c>
      <c r="M268" s="741">
        <f t="shared" si="68"/>
        <v>0</v>
      </c>
      <c r="N268" s="67">
        <f t="shared" si="69"/>
        <v>0</v>
      </c>
      <c r="O268" s="67">
        <f t="shared" si="70"/>
        <v>0</v>
      </c>
      <c r="Q268" s="674">
        <f t="shared" si="71"/>
        <v>0</v>
      </c>
      <c r="R268" s="674" t="str">
        <f t="shared" si="72"/>
        <v>Not Applicable</v>
      </c>
      <c r="S268" s="798" t="str">
        <f>IF($R$7=0,"",IFERROR(VLOOKUP(B268,[3]Sheet1!$C$1:$P$65536,14,FALSE),"NA"))</f>
        <v/>
      </c>
      <c r="T268" s="798">
        <f>IF(O268=0,0,IF(S268="N",0,VLOOKUP(B268,Enrollment!B:J,9,FALSE)))</f>
        <v>0</v>
      </c>
      <c r="U268" s="88">
        <f t="shared" si="73"/>
        <v>0</v>
      </c>
      <c r="V268" s="71">
        <f t="shared" si="74"/>
        <v>0</v>
      </c>
      <c r="W268" s="449">
        <v>0</v>
      </c>
      <c r="X268" s="67">
        <f>IFERROR(VLOOKUP($B268,'Allocation 2021-22'!$B:$O,14,FALSE),0)</f>
        <v>0</v>
      </c>
      <c r="Y268" s="163">
        <f t="shared" si="75"/>
        <v>0</v>
      </c>
      <c r="Z268" s="166">
        <f t="shared" si="76"/>
        <v>0</v>
      </c>
      <c r="AA268" s="34">
        <f t="shared" si="62"/>
        <v>0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597</v>
      </c>
      <c r="B269" s="784" t="s">
        <v>342</v>
      </c>
      <c r="C269" s="784" t="s">
        <v>1522</v>
      </c>
      <c r="D269" s="134">
        <f>VLOOKUP(B269,'Enrollment 22-23'!$B:$I,8,FALSE)</f>
        <v>107.67</v>
      </c>
      <c r="E269" s="67">
        <f t="shared" si="63"/>
        <v>14887</v>
      </c>
      <c r="F269" s="146">
        <v>0</v>
      </c>
      <c r="G269" s="146">
        <v>0</v>
      </c>
      <c r="H269" s="91">
        <f t="shared" si="64"/>
        <v>14887</v>
      </c>
      <c r="I269" s="67">
        <f t="shared" si="65"/>
        <v>0</v>
      </c>
      <c r="J269" s="739">
        <f t="shared" si="66"/>
        <v>14887</v>
      </c>
      <c r="K269" s="837" t="str">
        <f>_xlfn.IFNA(VLOOKUP(B269,'[2]22-23 Survey Results'!$A:$F,6,FALSE),0)</f>
        <v>Y</v>
      </c>
      <c r="L269" s="740">
        <f t="shared" si="67"/>
        <v>0</v>
      </c>
      <c r="M269" s="741">
        <f t="shared" si="68"/>
        <v>107.67</v>
      </c>
      <c r="N269" s="67">
        <f t="shared" si="69"/>
        <v>145</v>
      </c>
      <c r="O269" s="67">
        <f t="shared" si="70"/>
        <v>15032</v>
      </c>
      <c r="Q269" s="674">
        <f t="shared" si="71"/>
        <v>0</v>
      </c>
      <c r="R269" s="674" t="str">
        <f t="shared" si="72"/>
        <v>Not Applicable</v>
      </c>
      <c r="S269" s="798" t="str">
        <f>IF($R$7=0,"",IFERROR(VLOOKUP(B269,[3]Sheet1!$C$1:$P$65536,14,FALSE),"NA"))</f>
        <v/>
      </c>
      <c r="T269" s="798">
        <f>IF(O269=0,0,IF(S269="N",0,VLOOKUP(B269,Enrollment!B:J,9,FALSE)))</f>
        <v>0</v>
      </c>
      <c r="U269" s="88">
        <f t="shared" si="73"/>
        <v>15032</v>
      </c>
      <c r="V269" s="71">
        <f t="shared" si="74"/>
        <v>139.61177672517877</v>
      </c>
      <c r="W269" s="449">
        <v>14009</v>
      </c>
      <c r="X269" s="67">
        <f>IFERROR(VLOOKUP($B269,'Allocation 2021-22'!$B:$O,14,FALSE),0)</f>
        <v>13957</v>
      </c>
      <c r="Y269" s="163">
        <f t="shared" si="75"/>
        <v>1075</v>
      </c>
      <c r="Z269" s="166">
        <f t="shared" si="76"/>
        <v>7.7022282725514077E-2</v>
      </c>
      <c r="AA269" s="34" t="str">
        <f t="shared" si="62"/>
        <v>Y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603</v>
      </c>
      <c r="B270" s="784" t="s">
        <v>531</v>
      </c>
      <c r="C270" s="784" t="s">
        <v>1614</v>
      </c>
      <c r="D270" s="134">
        <f>VLOOKUP(B270,'Enrollment 22-23'!$B:$I,8,FALSE)</f>
        <v>0</v>
      </c>
      <c r="E270" s="67">
        <f t="shared" si="63"/>
        <v>0</v>
      </c>
      <c r="F270" s="146">
        <v>0</v>
      </c>
      <c r="G270" s="146">
        <v>0</v>
      </c>
      <c r="H270" s="91">
        <f t="shared" si="64"/>
        <v>0</v>
      </c>
      <c r="I270" s="67">
        <f t="shared" si="65"/>
        <v>0</v>
      </c>
      <c r="J270" s="739">
        <f t="shared" si="66"/>
        <v>0</v>
      </c>
      <c r="K270" s="837">
        <f>_xlfn.IFNA(VLOOKUP(B270,'[2]22-23 Survey Results'!$A:$F,6,FALSE),0)</f>
        <v>0</v>
      </c>
      <c r="L270" s="740">
        <f t="shared" si="67"/>
        <v>0</v>
      </c>
      <c r="M270" s="741">
        <f t="shared" si="68"/>
        <v>0</v>
      </c>
      <c r="N270" s="67">
        <f t="shared" si="69"/>
        <v>0</v>
      </c>
      <c r="O270" s="67">
        <f t="shared" si="70"/>
        <v>0</v>
      </c>
      <c r="Q270" s="674">
        <f t="shared" si="71"/>
        <v>0</v>
      </c>
      <c r="R270" s="674" t="str">
        <f t="shared" si="72"/>
        <v>Not Applicable</v>
      </c>
      <c r="S270" s="798" t="str">
        <f>IF($R$7=0,"",IFERROR(VLOOKUP(B270,[3]Sheet1!$C$1:$P$65536,14,FALSE),"NA"))</f>
        <v/>
      </c>
      <c r="T270" s="798">
        <f>IF(O270=0,0,IF(S270="N",0,VLOOKUP(B270,Enrollment!B:J,9,FALSE)))</f>
        <v>0</v>
      </c>
      <c r="U270" s="88">
        <f t="shared" si="73"/>
        <v>0</v>
      </c>
      <c r="V270" s="71">
        <f t="shared" si="74"/>
        <v>0</v>
      </c>
      <c r="W270" s="449">
        <v>0</v>
      </c>
      <c r="X270" s="67">
        <f>IFERROR(VLOOKUP($B270,'Allocation 2021-22'!$B:$O,14,FALSE),0)</f>
        <v>0</v>
      </c>
      <c r="Y270" s="163">
        <f t="shared" si="75"/>
        <v>0</v>
      </c>
      <c r="Z270" s="166">
        <f t="shared" si="76"/>
        <v>0</v>
      </c>
      <c r="AA270" s="34">
        <f t="shared" si="62"/>
        <v>0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599</v>
      </c>
      <c r="B271" s="784" t="s">
        <v>393</v>
      </c>
      <c r="C271" s="784" t="s">
        <v>1548</v>
      </c>
      <c r="D271" s="134">
        <f>VLOOKUP(B271,'Enrollment 22-23'!$B:$I,8,FALSE)</f>
        <v>21.83</v>
      </c>
      <c r="E271" s="67">
        <f t="shared" si="63"/>
        <v>3018</v>
      </c>
      <c r="F271" s="146">
        <v>0</v>
      </c>
      <c r="G271" s="146">
        <v>0</v>
      </c>
      <c r="H271" s="91">
        <f t="shared" si="64"/>
        <v>3018</v>
      </c>
      <c r="I271" s="67">
        <f t="shared" si="65"/>
        <v>0</v>
      </c>
      <c r="J271" s="739">
        <f t="shared" si="66"/>
        <v>3018</v>
      </c>
      <c r="K271" s="837" t="str">
        <f>_xlfn.IFNA(VLOOKUP(B271,'[2]22-23 Survey Results'!$A:$F,6,FALSE),0)</f>
        <v>N</v>
      </c>
      <c r="L271" s="740">
        <f t="shared" si="67"/>
        <v>3018</v>
      </c>
      <c r="M271" s="741">
        <f t="shared" si="68"/>
        <v>0</v>
      </c>
      <c r="N271" s="67">
        <f t="shared" si="69"/>
        <v>0</v>
      </c>
      <c r="O271" s="67">
        <f t="shared" si="70"/>
        <v>0</v>
      </c>
      <c r="Q271" s="674">
        <f t="shared" si="71"/>
        <v>0</v>
      </c>
      <c r="R271" s="674" t="str">
        <f t="shared" si="72"/>
        <v>Not Applicable</v>
      </c>
      <c r="S271" s="798" t="str">
        <f>IF($R$7=0,"",IFERROR(VLOOKUP(B271,[3]Sheet1!$C$1:$P$65536,14,FALSE),"NA"))</f>
        <v/>
      </c>
      <c r="T271" s="798">
        <f>IF(O271=0,0,IF(S271="N",0,VLOOKUP(B271,Enrollment!B:J,9,FALSE)))</f>
        <v>0</v>
      </c>
      <c r="U271" s="88">
        <f t="shared" si="73"/>
        <v>0</v>
      </c>
      <c r="V271" s="71">
        <f t="shared" si="74"/>
        <v>0</v>
      </c>
      <c r="W271" s="449">
        <v>0</v>
      </c>
      <c r="X271" s="67">
        <f>IFERROR(VLOOKUP($B271,'Allocation 2021-22'!$B:$O,14,FALSE),0)</f>
        <v>0</v>
      </c>
      <c r="Y271" s="163">
        <f t="shared" si="75"/>
        <v>0</v>
      </c>
      <c r="Z271" s="166">
        <f t="shared" si="76"/>
        <v>0</v>
      </c>
      <c r="AA271" s="34" t="str">
        <f t="shared" si="62"/>
        <v>N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595</v>
      </c>
      <c r="B272" s="784" t="s">
        <v>415</v>
      </c>
      <c r="C272" s="784" t="s">
        <v>1558</v>
      </c>
      <c r="D272" s="134">
        <f>VLOOKUP(B272,'Enrollment 22-23'!$B:$I,8,FALSE)</f>
        <v>220</v>
      </c>
      <c r="E272" s="67">
        <f t="shared" si="63"/>
        <v>30418</v>
      </c>
      <c r="F272" s="146">
        <v>0</v>
      </c>
      <c r="G272" s="146">
        <v>0</v>
      </c>
      <c r="H272" s="91">
        <f t="shared" si="64"/>
        <v>30418</v>
      </c>
      <c r="I272" s="67">
        <f t="shared" si="65"/>
        <v>0</v>
      </c>
      <c r="J272" s="739">
        <f t="shared" si="66"/>
        <v>30418</v>
      </c>
      <c r="K272" s="837" t="str">
        <f>_xlfn.IFNA(VLOOKUP(B272,'[2]22-23 Survey Results'!$A:$F,6,FALSE),0)</f>
        <v>Y</v>
      </c>
      <c r="L272" s="740">
        <f t="shared" si="67"/>
        <v>0</v>
      </c>
      <c r="M272" s="741">
        <f t="shared" si="68"/>
        <v>220</v>
      </c>
      <c r="N272" s="67">
        <f t="shared" si="69"/>
        <v>297</v>
      </c>
      <c r="O272" s="67">
        <f t="shared" si="70"/>
        <v>30715</v>
      </c>
      <c r="Q272" s="674">
        <f t="shared" si="71"/>
        <v>0</v>
      </c>
      <c r="R272" s="674" t="str">
        <f t="shared" si="72"/>
        <v>Not Applicable</v>
      </c>
      <c r="S272" s="798" t="str">
        <f>IF($R$7=0,"",IFERROR(VLOOKUP(B272,[3]Sheet1!$C$1:$P$65536,14,FALSE),"NA"))</f>
        <v/>
      </c>
      <c r="T272" s="798">
        <f>IF(O272=0,0,IF(S272="N",0,VLOOKUP(B272,Enrollment!B:J,9,FALSE)))</f>
        <v>0</v>
      </c>
      <c r="U272" s="88">
        <f t="shared" si="73"/>
        <v>30715</v>
      </c>
      <c r="V272" s="71">
        <f t="shared" si="74"/>
        <v>139.61363636363637</v>
      </c>
      <c r="W272" s="449">
        <v>28592</v>
      </c>
      <c r="X272" s="67">
        <f>IFERROR(VLOOKUP($B272,'Allocation 2021-22'!$B:$O,14,FALSE),0)</f>
        <v>28485</v>
      </c>
      <c r="Y272" s="163">
        <f t="shared" si="75"/>
        <v>2230</v>
      </c>
      <c r="Z272" s="166">
        <f t="shared" si="76"/>
        <v>7.8286817623310509E-2</v>
      </c>
      <c r="AA272" s="34" t="str">
        <f t="shared" si="62"/>
        <v>Y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1666</v>
      </c>
      <c r="B273" s="784" t="s">
        <v>1716</v>
      </c>
      <c r="C273" s="784" t="s">
        <v>1761</v>
      </c>
      <c r="D273" s="134">
        <f>VLOOKUP(B273,'Enrollment 22-23'!$B:$I,8,FALSE)</f>
        <v>71.5</v>
      </c>
      <c r="E273" s="67">
        <f t="shared" si="63"/>
        <v>9886</v>
      </c>
      <c r="F273" s="146">
        <v>0</v>
      </c>
      <c r="G273" s="146">
        <v>0</v>
      </c>
      <c r="H273" s="91">
        <f t="shared" si="64"/>
        <v>9886</v>
      </c>
      <c r="I273" s="67">
        <f t="shared" si="65"/>
        <v>0</v>
      </c>
      <c r="J273" s="739">
        <f t="shared" si="66"/>
        <v>9886</v>
      </c>
      <c r="K273" s="837" t="str">
        <f>_xlfn.IFNA(VLOOKUP(B273,'[2]22-23 Survey Results'!$A:$F,6,FALSE),0)</f>
        <v>N</v>
      </c>
      <c r="L273" s="740">
        <f t="shared" si="67"/>
        <v>9886</v>
      </c>
      <c r="M273" s="741">
        <f t="shared" si="68"/>
        <v>0</v>
      </c>
      <c r="N273" s="67">
        <f t="shared" si="69"/>
        <v>0</v>
      </c>
      <c r="O273" s="67">
        <f t="shared" si="70"/>
        <v>0</v>
      </c>
      <c r="Q273" s="674">
        <f t="shared" si="71"/>
        <v>0</v>
      </c>
      <c r="R273" s="674" t="str">
        <f t="shared" si="72"/>
        <v>Not Applicable</v>
      </c>
      <c r="S273" s="798" t="str">
        <f>IF($R$7=0,"",IFERROR(VLOOKUP(B273,[3]Sheet1!$C$1:$P$65536,14,FALSE),"NA"))</f>
        <v/>
      </c>
      <c r="T273" s="798">
        <f>IF(O273=0,0,IF(S273="N",0,VLOOKUP(B273,Enrollment!B:J,9,FALSE)))</f>
        <v>0</v>
      </c>
      <c r="U273" s="88">
        <f t="shared" si="73"/>
        <v>0</v>
      </c>
      <c r="V273" s="71">
        <f t="shared" si="74"/>
        <v>0</v>
      </c>
      <c r="W273" s="449">
        <v>0</v>
      </c>
      <c r="X273" s="67">
        <f>IFERROR(VLOOKUP($B273,'Allocation 2021-22'!$B:$O,14,FALSE),0)</f>
        <v>0</v>
      </c>
      <c r="Y273" s="163">
        <f t="shared" si="75"/>
        <v>0</v>
      </c>
      <c r="Z273" s="166">
        <f t="shared" si="76"/>
        <v>0</v>
      </c>
      <c r="AA273" s="34" t="str">
        <f t="shared" si="62"/>
        <v>N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1666</v>
      </c>
      <c r="B274" s="785" t="s">
        <v>1694</v>
      </c>
      <c r="C274" s="784" t="s">
        <v>1768</v>
      </c>
      <c r="D274" s="134">
        <f>VLOOKUP(B274,'Enrollment 22-23'!$B:$I,8,FALSE)</f>
        <v>15.17</v>
      </c>
      <c r="E274" s="67">
        <f t="shared" si="63"/>
        <v>2097</v>
      </c>
      <c r="F274" s="146">
        <v>0</v>
      </c>
      <c r="G274" s="146">
        <v>0</v>
      </c>
      <c r="H274" s="91">
        <f t="shared" si="64"/>
        <v>2097</v>
      </c>
      <c r="I274" s="67">
        <f t="shared" si="65"/>
        <v>0</v>
      </c>
      <c r="J274" s="739">
        <f t="shared" si="66"/>
        <v>2097</v>
      </c>
      <c r="K274" s="837" t="str">
        <f>_xlfn.IFNA(VLOOKUP(B274,'[2]22-23 Survey Results'!$A:$F,6,FALSE),0)</f>
        <v>N</v>
      </c>
      <c r="L274" s="740">
        <f t="shared" si="67"/>
        <v>2097</v>
      </c>
      <c r="M274" s="741">
        <f t="shared" si="68"/>
        <v>0</v>
      </c>
      <c r="N274" s="67">
        <f t="shared" si="69"/>
        <v>0</v>
      </c>
      <c r="O274" s="67">
        <f t="shared" si="70"/>
        <v>0</v>
      </c>
      <c r="P274" s="674"/>
      <c r="Q274" s="674">
        <f t="shared" si="71"/>
        <v>0</v>
      </c>
      <c r="R274" s="674" t="str">
        <f t="shared" si="72"/>
        <v>Not Applicable</v>
      </c>
      <c r="S274" s="798" t="str">
        <f>IF($R$7=0,"",IFERROR(VLOOKUP(B274,[3]Sheet1!$C$1:$P$65536,14,FALSE),"NA"))</f>
        <v/>
      </c>
      <c r="T274" s="798">
        <f>IF(O274=0,0,IF(S274="N",0,VLOOKUP(B274,Enrollment!B:J,9,FALSE)))</f>
        <v>0</v>
      </c>
      <c r="U274" s="88">
        <f t="shared" si="73"/>
        <v>0</v>
      </c>
      <c r="V274" s="71">
        <f t="shared" si="74"/>
        <v>0</v>
      </c>
      <c r="W274" s="449">
        <v>0</v>
      </c>
      <c r="X274" s="67">
        <f>IFERROR(VLOOKUP($B274,'Allocation 2021-22'!$B:$O,14,FALSE),0)</f>
        <v>0</v>
      </c>
      <c r="Y274" s="163">
        <f t="shared" si="75"/>
        <v>0</v>
      </c>
      <c r="Z274" s="166">
        <f t="shared" si="76"/>
        <v>0</v>
      </c>
      <c r="AA274" s="34" t="str">
        <f t="shared" si="62"/>
        <v>N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1666</v>
      </c>
      <c r="B275" s="784" t="s">
        <v>1693</v>
      </c>
      <c r="C275" s="784" t="s">
        <v>1769</v>
      </c>
      <c r="D275" s="134">
        <f>VLOOKUP(B275,'Enrollment 22-23'!$B:$I,8,FALSE)</f>
        <v>47.17</v>
      </c>
      <c r="E275" s="67">
        <f t="shared" si="63"/>
        <v>6522</v>
      </c>
      <c r="F275" s="146">
        <v>0</v>
      </c>
      <c r="G275" s="146">
        <v>0</v>
      </c>
      <c r="H275" s="91">
        <f t="shared" si="64"/>
        <v>6522</v>
      </c>
      <c r="I275" s="67">
        <f t="shared" si="65"/>
        <v>0</v>
      </c>
      <c r="J275" s="739">
        <f t="shared" si="66"/>
        <v>6522</v>
      </c>
      <c r="K275" s="837" t="str">
        <f>_xlfn.IFNA(VLOOKUP(B275,'[2]22-23 Survey Results'!$A:$F,6,FALSE),0)</f>
        <v>N</v>
      </c>
      <c r="L275" s="740">
        <f t="shared" si="67"/>
        <v>6522</v>
      </c>
      <c r="M275" s="741">
        <f t="shared" si="68"/>
        <v>0</v>
      </c>
      <c r="N275" s="67">
        <f t="shared" si="69"/>
        <v>0</v>
      </c>
      <c r="O275" s="67">
        <f t="shared" si="70"/>
        <v>0</v>
      </c>
      <c r="Q275" s="674">
        <f t="shared" si="71"/>
        <v>0</v>
      </c>
      <c r="R275" s="674" t="str">
        <f t="shared" si="72"/>
        <v>Not Applicable</v>
      </c>
      <c r="S275" s="798" t="str">
        <f>IF($R$7=0,"",IFERROR(VLOOKUP(B275,[3]Sheet1!$C$1:$P$65536,14,FALSE),"NA"))</f>
        <v/>
      </c>
      <c r="T275" s="798">
        <f>IF(O275=0,0,IF(S275="N",0,VLOOKUP(B275,Enrollment!B:J,9,FALSE)))</f>
        <v>0</v>
      </c>
      <c r="U275" s="88">
        <f t="shared" si="73"/>
        <v>0</v>
      </c>
      <c r="V275" s="71">
        <f t="shared" si="74"/>
        <v>0</v>
      </c>
      <c r="W275" s="449">
        <v>0</v>
      </c>
      <c r="X275" s="67">
        <f>IFERROR(VLOOKUP($B275,'Allocation 2021-22'!$B:$O,14,FALSE),0)</f>
        <v>0</v>
      </c>
      <c r="Y275" s="163">
        <f t="shared" si="75"/>
        <v>0</v>
      </c>
      <c r="Z275" s="166">
        <f t="shared" si="76"/>
        <v>0</v>
      </c>
      <c r="AA275" s="34" t="str">
        <f t="shared" si="62"/>
        <v>N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603</v>
      </c>
      <c r="B276" s="784" t="s">
        <v>460</v>
      </c>
      <c r="C276" s="784" t="s">
        <v>1582</v>
      </c>
      <c r="D276" s="134">
        <f>VLOOKUP(B276,'Enrollment 22-23'!$B:$I,8,FALSE)</f>
        <v>0</v>
      </c>
      <c r="E276" s="67">
        <f t="shared" si="63"/>
        <v>0</v>
      </c>
      <c r="F276" s="146">
        <v>0</v>
      </c>
      <c r="G276" s="146">
        <v>0</v>
      </c>
      <c r="H276" s="91">
        <f t="shared" si="64"/>
        <v>0</v>
      </c>
      <c r="I276" s="67">
        <f t="shared" si="65"/>
        <v>0</v>
      </c>
      <c r="J276" s="739">
        <f t="shared" si="66"/>
        <v>0</v>
      </c>
      <c r="K276" s="837">
        <f>_xlfn.IFNA(VLOOKUP(B276,'[2]22-23 Survey Results'!$A:$F,6,FALSE),0)</f>
        <v>0</v>
      </c>
      <c r="L276" s="740">
        <f t="shared" si="67"/>
        <v>0</v>
      </c>
      <c r="M276" s="741">
        <f t="shared" si="68"/>
        <v>0</v>
      </c>
      <c r="N276" s="67">
        <f t="shared" si="69"/>
        <v>0</v>
      </c>
      <c r="O276" s="67">
        <f t="shared" si="70"/>
        <v>0</v>
      </c>
      <c r="Q276" s="674">
        <f t="shared" si="71"/>
        <v>0</v>
      </c>
      <c r="R276" s="674" t="str">
        <f t="shared" si="72"/>
        <v>Not Applicable</v>
      </c>
      <c r="S276" s="798" t="str">
        <f>IF($R$7=0,"",IFERROR(VLOOKUP(B276,[3]Sheet1!$C$1:$P$65536,14,FALSE),"NA"))</f>
        <v/>
      </c>
      <c r="T276" s="798">
        <f>IF(O276=0,0,IF(S276="N",0,VLOOKUP(B276,Enrollment!B:J,9,FALSE)))</f>
        <v>0</v>
      </c>
      <c r="U276" s="88">
        <f t="shared" si="73"/>
        <v>0</v>
      </c>
      <c r="V276" s="71">
        <f t="shared" si="74"/>
        <v>0</v>
      </c>
      <c r="W276" s="449">
        <v>0</v>
      </c>
      <c r="X276" s="67">
        <f>IFERROR(VLOOKUP($B276,'Allocation 2021-22'!$B:$O,14,FALSE),0)</f>
        <v>0</v>
      </c>
      <c r="Y276" s="163">
        <f t="shared" si="75"/>
        <v>0</v>
      </c>
      <c r="Z276" s="166">
        <f t="shared" si="76"/>
        <v>0</v>
      </c>
      <c r="AA276" s="34">
        <f t="shared" si="62"/>
        <v>0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597</v>
      </c>
      <c r="B277" s="785" t="s">
        <v>351</v>
      </c>
      <c r="C277" s="784" t="s">
        <v>1527</v>
      </c>
      <c r="D277" s="134">
        <f>VLOOKUP(B277,'Enrollment 22-23'!$B:$I,8,FALSE)</f>
        <v>430.16</v>
      </c>
      <c r="E277" s="67">
        <f t="shared" si="63"/>
        <v>59476</v>
      </c>
      <c r="F277" s="146">
        <v>0</v>
      </c>
      <c r="G277" s="146">
        <v>0</v>
      </c>
      <c r="H277" s="91">
        <f t="shared" si="64"/>
        <v>59476</v>
      </c>
      <c r="I277" s="67">
        <f t="shared" si="65"/>
        <v>0</v>
      </c>
      <c r="J277" s="739">
        <f t="shared" si="66"/>
        <v>59476</v>
      </c>
      <c r="K277" s="837" t="str">
        <f>_xlfn.IFNA(VLOOKUP(B277,'[2]22-23 Survey Results'!$A:$F,6,FALSE),0)</f>
        <v>Y</v>
      </c>
      <c r="L277" s="740">
        <f t="shared" si="67"/>
        <v>0</v>
      </c>
      <c r="M277" s="741">
        <f t="shared" si="68"/>
        <v>430.16</v>
      </c>
      <c r="N277" s="67">
        <f t="shared" si="69"/>
        <v>581</v>
      </c>
      <c r="O277" s="67">
        <f t="shared" si="70"/>
        <v>60057</v>
      </c>
      <c r="P277" s="674"/>
      <c r="Q277" s="674">
        <f t="shared" si="71"/>
        <v>0</v>
      </c>
      <c r="R277" s="674" t="str">
        <f t="shared" si="72"/>
        <v>Not Applicable</v>
      </c>
      <c r="S277" s="798" t="str">
        <f>IF($R$7=0,"",IFERROR(VLOOKUP(B277,[3]Sheet1!$C$1:$P$65536,14,FALSE),"NA"))</f>
        <v/>
      </c>
      <c r="T277" s="798">
        <f>IF(O277=0,0,IF(S277="N",0,VLOOKUP(B277,Enrollment!B:J,9,FALSE)))</f>
        <v>0</v>
      </c>
      <c r="U277" s="88">
        <f t="shared" si="73"/>
        <v>60057</v>
      </c>
      <c r="V277" s="71">
        <f t="shared" si="74"/>
        <v>139.61549190998699</v>
      </c>
      <c r="W277" s="449">
        <v>52615</v>
      </c>
      <c r="X277" s="67">
        <f>IFERROR(VLOOKUP($B277,'Allocation 2021-22'!$B:$O,14,FALSE),0)</f>
        <v>54201</v>
      </c>
      <c r="Y277" s="163">
        <f t="shared" si="75"/>
        <v>5856</v>
      </c>
      <c r="Z277" s="166">
        <f t="shared" si="76"/>
        <v>0.10804228704267449</v>
      </c>
      <c r="AA277" s="34" t="str">
        <f t="shared" si="62"/>
        <v>Y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605</v>
      </c>
      <c r="B278" s="784" t="s">
        <v>557</v>
      </c>
      <c r="C278" s="784" t="s">
        <v>1626</v>
      </c>
      <c r="D278" s="134">
        <f>VLOOKUP(B278,'Enrollment 22-23'!$B:$I,8,FALSE)</f>
        <v>2016.3400000000001</v>
      </c>
      <c r="E278" s="67">
        <f t="shared" si="63"/>
        <v>278791</v>
      </c>
      <c r="F278" s="146">
        <v>0</v>
      </c>
      <c r="G278" s="146">
        <v>0</v>
      </c>
      <c r="H278" s="91">
        <f t="shared" si="64"/>
        <v>278791</v>
      </c>
      <c r="I278" s="67">
        <f t="shared" si="65"/>
        <v>0</v>
      </c>
      <c r="J278" s="739">
        <f t="shared" si="66"/>
        <v>278791</v>
      </c>
      <c r="K278" s="837" t="str">
        <f>_xlfn.IFNA(VLOOKUP(B278,'[2]22-23 Survey Results'!$A:$F,6,FALSE),0)</f>
        <v>Y</v>
      </c>
      <c r="L278" s="740">
        <f t="shared" si="67"/>
        <v>0</v>
      </c>
      <c r="M278" s="741">
        <f t="shared" si="68"/>
        <v>2016.3400000000001</v>
      </c>
      <c r="N278" s="67">
        <f t="shared" si="69"/>
        <v>2722</v>
      </c>
      <c r="O278" s="67">
        <f t="shared" si="70"/>
        <v>281513</v>
      </c>
      <c r="Q278" s="674">
        <f t="shared" si="71"/>
        <v>0</v>
      </c>
      <c r="R278" s="674" t="str">
        <f t="shared" si="72"/>
        <v>Not Applicable</v>
      </c>
      <c r="S278" s="798" t="str">
        <f>IF($R$7=0,"",IFERROR(VLOOKUP(B278,[3]Sheet1!$C$1:$P$65536,14,FALSE),"NA"))</f>
        <v/>
      </c>
      <c r="T278" s="798">
        <f>IF(O278=0,0,IF(S278="N",0,VLOOKUP(B278,Enrollment!B:J,9,FALSE)))</f>
        <v>0</v>
      </c>
      <c r="U278" s="88">
        <f t="shared" si="73"/>
        <v>281513</v>
      </c>
      <c r="V278" s="71">
        <f t="shared" si="74"/>
        <v>139.61583859864902</v>
      </c>
      <c r="W278" s="449">
        <v>272836</v>
      </c>
      <c r="X278" s="67">
        <f>IFERROR(VLOOKUP($B278,'Allocation 2021-22'!$B:$O,14,FALSE),0)</f>
        <v>271809</v>
      </c>
      <c r="Y278" s="163">
        <f t="shared" si="75"/>
        <v>9704</v>
      </c>
      <c r="Z278" s="166">
        <f t="shared" si="76"/>
        <v>3.5701540419927229E-2</v>
      </c>
      <c r="AA278" s="34" t="str">
        <f t="shared" si="62"/>
        <v>Y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597</v>
      </c>
      <c r="B279" s="784" t="s">
        <v>345</v>
      </c>
      <c r="C279" s="784" t="s">
        <v>1524</v>
      </c>
      <c r="D279" s="134">
        <f>VLOOKUP(B279,'Enrollment 22-23'!$B:$I,8,FALSE)</f>
        <v>3121.3599999999997</v>
      </c>
      <c r="E279" s="67">
        <f t="shared" si="63"/>
        <v>431577</v>
      </c>
      <c r="F279" s="146">
        <v>0</v>
      </c>
      <c r="G279" s="146">
        <v>0</v>
      </c>
      <c r="H279" s="91">
        <f t="shared" si="64"/>
        <v>431577</v>
      </c>
      <c r="I279" s="67">
        <f t="shared" si="65"/>
        <v>0</v>
      </c>
      <c r="J279" s="739">
        <f t="shared" si="66"/>
        <v>431577</v>
      </c>
      <c r="K279" s="837" t="str">
        <f>_xlfn.IFNA(VLOOKUP(B279,'[2]22-23 Survey Results'!$A:$F,6,FALSE),0)</f>
        <v>Y</v>
      </c>
      <c r="L279" s="740">
        <f t="shared" si="67"/>
        <v>0</v>
      </c>
      <c r="M279" s="741">
        <f t="shared" si="68"/>
        <v>3121.3599999999997</v>
      </c>
      <c r="N279" s="67">
        <f t="shared" si="69"/>
        <v>4213</v>
      </c>
      <c r="O279" s="67">
        <f t="shared" si="70"/>
        <v>435790</v>
      </c>
      <c r="Q279" s="674">
        <f t="shared" si="71"/>
        <v>0</v>
      </c>
      <c r="R279" s="674" t="str">
        <f t="shared" si="72"/>
        <v>Not Applicable</v>
      </c>
      <c r="S279" s="798" t="str">
        <f>IF($R$7=0,"",IFERROR(VLOOKUP(B279,[3]Sheet1!$C$1:$P$65536,14,FALSE),"NA"))</f>
        <v/>
      </c>
      <c r="T279" s="798">
        <f>IF(O279=0,0,IF(S279="N",0,VLOOKUP(B279,Enrollment!B:J,9,FALSE)))</f>
        <v>0</v>
      </c>
      <c r="U279" s="88">
        <f t="shared" si="73"/>
        <v>435790</v>
      </c>
      <c r="V279" s="71">
        <f t="shared" si="74"/>
        <v>139.61542404592871</v>
      </c>
      <c r="W279" s="449">
        <v>455668</v>
      </c>
      <c r="X279" s="67">
        <f>IFERROR(VLOOKUP($B279,'Allocation 2021-22'!$B:$O,14,FALSE),0)</f>
        <v>453952</v>
      </c>
      <c r="Y279" s="163">
        <f t="shared" si="75"/>
        <v>-18162</v>
      </c>
      <c r="Z279" s="166">
        <f t="shared" si="76"/>
        <v>-4.0008635274214013E-2</v>
      </c>
      <c r="AA279" s="34" t="str">
        <f t="shared" si="62"/>
        <v>Y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594</v>
      </c>
      <c r="B280" s="784" t="s">
        <v>143</v>
      </c>
      <c r="C280" s="784" t="s">
        <v>1434</v>
      </c>
      <c r="D280" s="134">
        <f>VLOOKUP(B280,'Enrollment 22-23'!$B:$I,8,FALSE)</f>
        <v>0</v>
      </c>
      <c r="E280" s="67">
        <f t="shared" si="63"/>
        <v>0</v>
      </c>
      <c r="F280" s="146">
        <v>0</v>
      </c>
      <c r="G280" s="146">
        <v>0</v>
      </c>
      <c r="H280" s="91">
        <f t="shared" si="64"/>
        <v>0</v>
      </c>
      <c r="I280" s="67">
        <f t="shared" si="65"/>
        <v>0</v>
      </c>
      <c r="J280" s="739">
        <f t="shared" si="66"/>
        <v>0</v>
      </c>
      <c r="K280" s="837">
        <f>_xlfn.IFNA(VLOOKUP(B280,'[2]22-23 Survey Results'!$A:$F,6,FALSE),0)</f>
        <v>0</v>
      </c>
      <c r="L280" s="740">
        <f t="shared" si="67"/>
        <v>0</v>
      </c>
      <c r="M280" s="741">
        <f t="shared" si="68"/>
        <v>0</v>
      </c>
      <c r="N280" s="67">
        <f t="shared" si="69"/>
        <v>0</v>
      </c>
      <c r="O280" s="67">
        <f t="shared" si="70"/>
        <v>0</v>
      </c>
      <c r="Q280" s="674">
        <f t="shared" si="71"/>
        <v>0</v>
      </c>
      <c r="R280" s="674" t="str">
        <f t="shared" si="72"/>
        <v>Not Applicable</v>
      </c>
      <c r="S280" s="798" t="str">
        <f>IF($R$7=0,"",IFERROR(VLOOKUP(B280,[3]Sheet1!$C$1:$P$65536,14,FALSE),"NA"))</f>
        <v/>
      </c>
      <c r="T280" s="798">
        <f>IF(O280=0,0,IF(S280="N",0,VLOOKUP(B280,Enrollment!B:J,9,FALSE)))</f>
        <v>0</v>
      </c>
      <c r="U280" s="88">
        <f t="shared" si="73"/>
        <v>0</v>
      </c>
      <c r="V280" s="71">
        <f t="shared" si="74"/>
        <v>0</v>
      </c>
      <c r="W280" s="449">
        <v>0</v>
      </c>
      <c r="X280" s="67">
        <f>IFERROR(VLOOKUP($B280,'Allocation 2021-22'!$B:$O,14,FALSE),0)</f>
        <v>0</v>
      </c>
      <c r="Y280" s="163">
        <f t="shared" si="75"/>
        <v>0</v>
      </c>
      <c r="Z280" s="166">
        <f t="shared" si="76"/>
        <v>0</v>
      </c>
      <c r="AA280" s="34">
        <f t="shared" si="62"/>
        <v>0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597</v>
      </c>
      <c r="B281" s="784" t="s">
        <v>197</v>
      </c>
      <c r="C281" s="784" t="s">
        <v>627</v>
      </c>
      <c r="D281" s="134">
        <f>VLOOKUP(B281,'Enrollment 22-23'!$B:$I,8,FALSE)</f>
        <v>363.83</v>
      </c>
      <c r="E281" s="67">
        <f t="shared" si="63"/>
        <v>50305</v>
      </c>
      <c r="F281" s="146">
        <v>0</v>
      </c>
      <c r="G281" s="146">
        <v>0</v>
      </c>
      <c r="H281" s="91">
        <f t="shared" si="64"/>
        <v>50305</v>
      </c>
      <c r="I281" s="67">
        <f t="shared" si="65"/>
        <v>0</v>
      </c>
      <c r="J281" s="739">
        <f t="shared" si="66"/>
        <v>50305</v>
      </c>
      <c r="K281" s="837" t="str">
        <f>_xlfn.IFNA(VLOOKUP(B281,'[2]22-23 Survey Results'!$A:$F,6,FALSE),0)</f>
        <v>Y</v>
      </c>
      <c r="L281" s="740">
        <f t="shared" si="67"/>
        <v>0</v>
      </c>
      <c r="M281" s="741">
        <f t="shared" si="68"/>
        <v>363.83</v>
      </c>
      <c r="N281" s="67">
        <f t="shared" si="69"/>
        <v>491</v>
      </c>
      <c r="O281" s="67">
        <f t="shared" si="70"/>
        <v>50796</v>
      </c>
      <c r="Q281" s="674">
        <f t="shared" si="71"/>
        <v>0</v>
      </c>
      <c r="R281" s="674" t="str">
        <f t="shared" si="72"/>
        <v>Not Applicable</v>
      </c>
      <c r="S281" s="798" t="str">
        <f>IF($R$7=0,"",IFERROR(VLOOKUP(B281,[3]Sheet1!$C$1:$P$65536,14,FALSE),"NA"))</f>
        <v/>
      </c>
      <c r="T281" s="798">
        <f>IF(O281=0,0,IF(S281="N",0,VLOOKUP(B281,Enrollment!B:J,9,FALSE)))</f>
        <v>0</v>
      </c>
      <c r="U281" s="88">
        <f t="shared" si="73"/>
        <v>50796</v>
      </c>
      <c r="V281" s="71">
        <f t="shared" si="74"/>
        <v>139.61465519610809</v>
      </c>
      <c r="W281" s="449">
        <v>40029</v>
      </c>
      <c r="X281" s="67">
        <f>IFERROR(VLOOKUP($B281,'Allocation 2021-22'!$B:$O,14,FALSE),0)</f>
        <v>39879</v>
      </c>
      <c r="Y281" s="163">
        <f t="shared" si="75"/>
        <v>10917</v>
      </c>
      <c r="Z281" s="166">
        <f t="shared" si="76"/>
        <v>0.27375310313698942</v>
      </c>
      <c r="AA281" s="34" t="str">
        <f t="shared" si="62"/>
        <v>Y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521</v>
      </c>
      <c r="C282" s="784" t="s">
        <v>1609</v>
      </c>
      <c r="D282" s="134">
        <f>VLOOKUP(B282,'Enrollment 22-23'!$B:$I,8,FALSE)</f>
        <v>0</v>
      </c>
      <c r="E282" s="67">
        <f t="shared" si="63"/>
        <v>0</v>
      </c>
      <c r="F282" s="146">
        <v>0</v>
      </c>
      <c r="G282" s="146">
        <v>0</v>
      </c>
      <c r="H282" s="91">
        <f t="shared" si="64"/>
        <v>0</v>
      </c>
      <c r="I282" s="67">
        <f t="shared" si="65"/>
        <v>0</v>
      </c>
      <c r="J282" s="739">
        <f t="shared" si="66"/>
        <v>0</v>
      </c>
      <c r="K282" s="837">
        <f>_xlfn.IFNA(VLOOKUP(B282,'[2]22-23 Survey Results'!$A:$F,6,FALSE),0)</f>
        <v>0</v>
      </c>
      <c r="L282" s="740">
        <f t="shared" si="67"/>
        <v>0</v>
      </c>
      <c r="M282" s="741">
        <f t="shared" si="68"/>
        <v>0</v>
      </c>
      <c r="N282" s="67">
        <f t="shared" si="69"/>
        <v>0</v>
      </c>
      <c r="O282" s="67">
        <f t="shared" si="70"/>
        <v>0</v>
      </c>
      <c r="Q282" s="674">
        <f t="shared" si="71"/>
        <v>0</v>
      </c>
      <c r="R282" s="674" t="str">
        <f t="shared" si="72"/>
        <v>Not Applicable</v>
      </c>
      <c r="S282" s="798" t="str">
        <f>IF($R$7=0,"",IFERROR(VLOOKUP(B282,[3]Sheet1!$C$1:$P$65536,14,FALSE),"NA"))</f>
        <v/>
      </c>
      <c r="T282" s="798">
        <f>IF(O282=0,0,IF(S282="N",0,VLOOKUP(B282,Enrollment!B:J,9,FALSE)))</f>
        <v>0</v>
      </c>
      <c r="U282" s="88">
        <f t="shared" si="73"/>
        <v>0</v>
      </c>
      <c r="V282" s="71">
        <f t="shared" si="74"/>
        <v>0</v>
      </c>
      <c r="W282" s="449">
        <v>0</v>
      </c>
      <c r="X282" s="67">
        <f>IFERROR(VLOOKUP($B282,'Allocation 2021-22'!$B:$O,14,FALSE),0)</f>
        <v>0</v>
      </c>
      <c r="Y282" s="163">
        <f t="shared" si="75"/>
        <v>0</v>
      </c>
      <c r="Z282" s="166">
        <f t="shared" si="76"/>
        <v>0</v>
      </c>
      <c r="AA282" s="34">
        <f t="shared" si="62"/>
        <v>0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594</v>
      </c>
      <c r="B283" s="784" t="s">
        <v>486</v>
      </c>
      <c r="C283" s="784" t="s">
        <v>1594</v>
      </c>
      <c r="D283" s="134">
        <f>VLOOKUP(B283,'Enrollment 22-23'!$B:$I,8,FALSE)</f>
        <v>9.67</v>
      </c>
      <c r="E283" s="67">
        <f t="shared" si="63"/>
        <v>1337</v>
      </c>
      <c r="F283" s="146">
        <v>0</v>
      </c>
      <c r="G283" s="146">
        <v>0</v>
      </c>
      <c r="H283" s="91">
        <f t="shared" si="64"/>
        <v>1337</v>
      </c>
      <c r="I283" s="67">
        <f t="shared" si="65"/>
        <v>0</v>
      </c>
      <c r="J283" s="739">
        <f t="shared" si="66"/>
        <v>1337</v>
      </c>
      <c r="K283" s="837" t="str">
        <f>_xlfn.IFNA(VLOOKUP(B283,'[2]22-23 Survey Results'!$A:$F,6,FALSE),0)</f>
        <v>N</v>
      </c>
      <c r="L283" s="740">
        <f t="shared" si="67"/>
        <v>1337</v>
      </c>
      <c r="M283" s="741">
        <f t="shared" si="68"/>
        <v>0</v>
      </c>
      <c r="N283" s="67">
        <f t="shared" si="69"/>
        <v>0</v>
      </c>
      <c r="O283" s="67">
        <f t="shared" si="70"/>
        <v>0</v>
      </c>
      <c r="Q283" s="674">
        <f t="shared" si="71"/>
        <v>0</v>
      </c>
      <c r="R283" s="674" t="str">
        <f t="shared" si="72"/>
        <v>Not Applicable</v>
      </c>
      <c r="S283" s="798" t="str">
        <f>IF($R$7=0,"",IFERROR(VLOOKUP(B283,[3]Sheet1!$C$1:$P$65536,14,FALSE),"NA"))</f>
        <v/>
      </c>
      <c r="T283" s="798">
        <f>IF(O283=0,0,IF(S283="N",0,VLOOKUP(B283,Enrollment!B:J,9,FALSE)))</f>
        <v>0</v>
      </c>
      <c r="U283" s="88">
        <f t="shared" si="73"/>
        <v>0</v>
      </c>
      <c r="V283" s="71">
        <f t="shared" si="74"/>
        <v>0</v>
      </c>
      <c r="W283" s="449">
        <v>0</v>
      </c>
      <c r="X283" s="67">
        <f>IFERROR(VLOOKUP($B283,'Allocation 2021-22'!$B:$O,14,FALSE),0)</f>
        <v>0</v>
      </c>
      <c r="Y283" s="163">
        <f t="shared" si="75"/>
        <v>0</v>
      </c>
      <c r="Z283" s="166">
        <f t="shared" si="76"/>
        <v>0</v>
      </c>
      <c r="AA283" s="34" t="str">
        <f t="shared" si="62"/>
        <v>N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605</v>
      </c>
      <c r="B284" s="784" t="s">
        <v>224</v>
      </c>
      <c r="C284" s="784" t="s">
        <v>1468</v>
      </c>
      <c r="D284" s="134">
        <f>VLOOKUP(B284,'Enrollment 22-23'!$B:$I,8,FALSE)</f>
        <v>2.67</v>
      </c>
      <c r="E284" s="67">
        <f t="shared" si="63"/>
        <v>369</v>
      </c>
      <c r="F284" s="146">
        <v>0</v>
      </c>
      <c r="G284" s="146">
        <v>0</v>
      </c>
      <c r="H284" s="91">
        <f t="shared" si="64"/>
        <v>369</v>
      </c>
      <c r="I284" s="67">
        <f t="shared" si="65"/>
        <v>0</v>
      </c>
      <c r="J284" s="739">
        <f t="shared" si="66"/>
        <v>369</v>
      </c>
      <c r="K284" s="837" t="str">
        <f>_xlfn.IFNA(VLOOKUP(B284,'[2]22-23 Survey Results'!$A:$F,6,FALSE),0)</f>
        <v>N</v>
      </c>
      <c r="L284" s="740">
        <f t="shared" si="67"/>
        <v>369</v>
      </c>
      <c r="M284" s="741">
        <f t="shared" si="68"/>
        <v>0</v>
      </c>
      <c r="N284" s="67">
        <f t="shared" si="69"/>
        <v>0</v>
      </c>
      <c r="O284" s="67">
        <f t="shared" si="70"/>
        <v>0</v>
      </c>
      <c r="Q284" s="674">
        <f t="shared" si="71"/>
        <v>0</v>
      </c>
      <c r="R284" s="674" t="str">
        <f t="shared" si="72"/>
        <v>Not Applicable</v>
      </c>
      <c r="S284" s="798" t="str">
        <f>IF($R$7=0,"",IFERROR(VLOOKUP(B284,[3]Sheet1!$C$1:$P$65536,14,FALSE),"NA"))</f>
        <v/>
      </c>
      <c r="T284" s="798">
        <f>IF(O284=0,0,IF(S284="N",0,VLOOKUP(B284,Enrollment!B:J,9,FALSE)))</f>
        <v>0</v>
      </c>
      <c r="U284" s="88">
        <f t="shared" si="73"/>
        <v>0</v>
      </c>
      <c r="V284" s="71">
        <f t="shared" si="74"/>
        <v>0</v>
      </c>
      <c r="W284" s="449">
        <v>0</v>
      </c>
      <c r="X284" s="67">
        <f>IFERROR(VLOOKUP($B284,'Allocation 2021-22'!$B:$O,14,FALSE),0)</f>
        <v>0</v>
      </c>
      <c r="Y284" s="163">
        <f t="shared" si="75"/>
        <v>0</v>
      </c>
      <c r="Z284" s="166">
        <f t="shared" si="76"/>
        <v>0</v>
      </c>
      <c r="AA284" s="34" t="str">
        <f t="shared" si="62"/>
        <v>N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594</v>
      </c>
      <c r="B285" s="784" t="s">
        <v>268</v>
      </c>
      <c r="C285" s="784" t="s">
        <v>1488</v>
      </c>
      <c r="D285" s="134">
        <f>VLOOKUP(B285,'Enrollment 22-23'!$B:$I,8,FALSE)</f>
        <v>8.33</v>
      </c>
      <c r="E285" s="67">
        <f t="shared" si="63"/>
        <v>1152</v>
      </c>
      <c r="F285" s="146">
        <v>0</v>
      </c>
      <c r="G285" s="146">
        <v>0</v>
      </c>
      <c r="H285" s="91">
        <f t="shared" si="64"/>
        <v>1152</v>
      </c>
      <c r="I285" s="67">
        <f t="shared" si="65"/>
        <v>0</v>
      </c>
      <c r="J285" s="739">
        <f t="shared" si="66"/>
        <v>1152</v>
      </c>
      <c r="K285" s="837" t="str">
        <f>_xlfn.IFNA(VLOOKUP(B285,'[2]22-23 Survey Results'!$A:$F,6,FALSE),0)</f>
        <v>N</v>
      </c>
      <c r="L285" s="740">
        <f t="shared" si="67"/>
        <v>1152</v>
      </c>
      <c r="M285" s="741">
        <f t="shared" si="68"/>
        <v>0</v>
      </c>
      <c r="N285" s="67">
        <f t="shared" si="69"/>
        <v>0</v>
      </c>
      <c r="O285" s="67">
        <f t="shared" si="70"/>
        <v>0</v>
      </c>
      <c r="Q285" s="674">
        <f t="shared" si="71"/>
        <v>0</v>
      </c>
      <c r="R285" s="674" t="str">
        <f t="shared" si="72"/>
        <v>Not Applicable</v>
      </c>
      <c r="S285" s="798" t="str">
        <f>IF($R$7=0,"",IFERROR(VLOOKUP(B285,[3]Sheet1!$C$1:$P$65536,14,FALSE),"NA"))</f>
        <v/>
      </c>
      <c r="T285" s="798">
        <f>IF(O285=0,0,IF(S285="N",0,VLOOKUP(B285,Enrollment!B:J,9,FALSE)))</f>
        <v>0</v>
      </c>
      <c r="U285" s="88">
        <f t="shared" si="73"/>
        <v>0</v>
      </c>
      <c r="V285" s="71">
        <f t="shared" si="74"/>
        <v>0</v>
      </c>
      <c r="W285" s="449">
        <v>0</v>
      </c>
      <c r="X285" s="67">
        <f>IFERROR(VLOOKUP($B285,'Allocation 2021-22'!$B:$O,14,FALSE),0)</f>
        <v>0</v>
      </c>
      <c r="Y285" s="163">
        <f t="shared" si="75"/>
        <v>0</v>
      </c>
      <c r="Z285" s="166">
        <f t="shared" si="76"/>
        <v>0</v>
      </c>
      <c r="AA285" s="34" t="str">
        <f t="shared" si="62"/>
        <v>N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601</v>
      </c>
      <c r="B286" s="784" t="s">
        <v>321</v>
      </c>
      <c r="C286" s="784" t="s">
        <v>612</v>
      </c>
      <c r="D286" s="134">
        <f>VLOOKUP(B286,'Enrollment 22-23'!$B:$I,8,FALSE)</f>
        <v>129.67000000000002</v>
      </c>
      <c r="E286" s="67">
        <f t="shared" si="63"/>
        <v>17929</v>
      </c>
      <c r="F286" s="146">
        <v>0</v>
      </c>
      <c r="G286" s="146">
        <v>0</v>
      </c>
      <c r="H286" s="91">
        <f t="shared" si="64"/>
        <v>17929</v>
      </c>
      <c r="I286" s="67">
        <f t="shared" si="65"/>
        <v>0</v>
      </c>
      <c r="J286" s="739">
        <f t="shared" si="66"/>
        <v>17929</v>
      </c>
      <c r="K286" s="837" t="str">
        <f>_xlfn.IFNA(VLOOKUP(B286,'[2]22-23 Survey Results'!$A:$F,6,FALSE),0)</f>
        <v>Y</v>
      </c>
      <c r="L286" s="740">
        <f t="shared" si="67"/>
        <v>0</v>
      </c>
      <c r="M286" s="741">
        <f t="shared" si="68"/>
        <v>129.67000000000002</v>
      </c>
      <c r="N286" s="67">
        <f t="shared" si="69"/>
        <v>175</v>
      </c>
      <c r="O286" s="67">
        <f t="shared" si="70"/>
        <v>18104</v>
      </c>
      <c r="Q286" s="674">
        <f t="shared" si="71"/>
        <v>0</v>
      </c>
      <c r="R286" s="674" t="str">
        <f t="shared" si="72"/>
        <v>Not Applicable</v>
      </c>
      <c r="S286" s="798" t="str">
        <f>IF($R$7=0,"",IFERROR(VLOOKUP(B286,[3]Sheet1!$C$1:$P$65536,14,FALSE),"NA"))</f>
        <v/>
      </c>
      <c r="T286" s="798">
        <f>IF(O286=0,0,IF(S286="N",0,VLOOKUP(B286,Enrollment!B:J,9,FALSE)))</f>
        <v>0</v>
      </c>
      <c r="U286" s="88">
        <f t="shared" si="73"/>
        <v>18104</v>
      </c>
      <c r="V286" s="71">
        <f t="shared" si="74"/>
        <v>139.61594817613943</v>
      </c>
      <c r="W286" s="449">
        <v>18464</v>
      </c>
      <c r="X286" s="67">
        <f>IFERROR(VLOOKUP($B286,'Allocation 2021-22'!$B:$O,14,FALSE),0)</f>
        <v>18395</v>
      </c>
      <c r="Y286" s="163">
        <f t="shared" si="75"/>
        <v>-291</v>
      </c>
      <c r="Z286" s="166">
        <f t="shared" si="76"/>
        <v>-1.5819516172873062E-2</v>
      </c>
      <c r="AA286" s="34" t="str">
        <f t="shared" si="62"/>
        <v>Y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605</v>
      </c>
      <c r="B287" s="784" t="s">
        <v>559</v>
      </c>
      <c r="C287" s="784" t="s">
        <v>633</v>
      </c>
      <c r="D287" s="134">
        <f>VLOOKUP(B287,'Enrollment 22-23'!$B:$I,8,FALSE)</f>
        <v>1479.6599999999999</v>
      </c>
      <c r="E287" s="67">
        <f t="shared" si="63"/>
        <v>204586</v>
      </c>
      <c r="F287" s="146">
        <v>0</v>
      </c>
      <c r="G287" s="146">
        <v>0</v>
      </c>
      <c r="H287" s="91">
        <f t="shared" si="64"/>
        <v>204586</v>
      </c>
      <c r="I287" s="67">
        <f t="shared" si="65"/>
        <v>0</v>
      </c>
      <c r="J287" s="739">
        <f t="shared" si="66"/>
        <v>204586</v>
      </c>
      <c r="K287" s="837" t="str">
        <f>_xlfn.IFNA(VLOOKUP(B287,'[2]22-23 Survey Results'!$A:$F,6,FALSE),0)</f>
        <v>Y</v>
      </c>
      <c r="L287" s="740">
        <f t="shared" si="67"/>
        <v>0</v>
      </c>
      <c r="M287" s="741">
        <f t="shared" si="68"/>
        <v>1479.6599999999999</v>
      </c>
      <c r="N287" s="67">
        <f t="shared" si="69"/>
        <v>1997</v>
      </c>
      <c r="O287" s="67">
        <f t="shared" si="70"/>
        <v>206583</v>
      </c>
      <c r="Q287" s="674">
        <f t="shared" si="71"/>
        <v>0</v>
      </c>
      <c r="R287" s="674" t="str">
        <f t="shared" si="72"/>
        <v>Not Applicable</v>
      </c>
      <c r="S287" s="798" t="str">
        <f>IF($R$7=0,"",IFERROR(VLOOKUP(B287,[3]Sheet1!$C$1:$P$65536,14,FALSE),"NA"))</f>
        <v/>
      </c>
      <c r="T287" s="798">
        <f>IF(O287=0,0,IF(S287="N",0,VLOOKUP(B287,Enrollment!B:J,9,FALSE)))</f>
        <v>0</v>
      </c>
      <c r="U287" s="88">
        <f t="shared" si="73"/>
        <v>206583</v>
      </c>
      <c r="V287" s="71">
        <f t="shared" si="74"/>
        <v>139.61518186610439</v>
      </c>
      <c r="W287" s="449">
        <v>207246</v>
      </c>
      <c r="X287" s="67">
        <f>IFERROR(VLOOKUP($B287,'Allocation 2021-22'!$B:$O,14,FALSE),0)</f>
        <v>206467</v>
      </c>
      <c r="Y287" s="163">
        <f t="shared" si="75"/>
        <v>116</v>
      </c>
      <c r="Z287" s="166">
        <f t="shared" si="76"/>
        <v>5.6183312587483711E-4</v>
      </c>
      <c r="AA287" s="34" t="str">
        <f t="shared" si="62"/>
        <v>Y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596</v>
      </c>
      <c r="B288" s="784" t="s">
        <v>496</v>
      </c>
      <c r="C288" s="784" t="s">
        <v>1598</v>
      </c>
      <c r="D288" s="134">
        <f>VLOOKUP(B288,'Enrollment 22-23'!$B:$I,8,FALSE)</f>
        <v>38</v>
      </c>
      <c r="E288" s="67">
        <f t="shared" si="63"/>
        <v>5254</v>
      </c>
      <c r="F288" s="146">
        <v>0</v>
      </c>
      <c r="G288" s="146">
        <v>0</v>
      </c>
      <c r="H288" s="91">
        <f t="shared" si="64"/>
        <v>5254</v>
      </c>
      <c r="I288" s="67">
        <f t="shared" si="65"/>
        <v>0</v>
      </c>
      <c r="J288" s="739">
        <f t="shared" si="66"/>
        <v>5254</v>
      </c>
      <c r="K288" s="837" t="str">
        <f>_xlfn.IFNA(VLOOKUP(B288,'[2]22-23 Survey Results'!$A:$F,6,FALSE),0)</f>
        <v>C</v>
      </c>
      <c r="L288" s="740">
        <f t="shared" si="67"/>
        <v>0</v>
      </c>
      <c r="M288" s="741">
        <f t="shared" si="68"/>
        <v>38</v>
      </c>
      <c r="N288" s="67">
        <f t="shared" si="69"/>
        <v>51</v>
      </c>
      <c r="O288" s="67">
        <f t="shared" si="70"/>
        <v>5305</v>
      </c>
      <c r="Q288" s="674">
        <f t="shared" si="71"/>
        <v>0</v>
      </c>
      <c r="R288" s="674" t="str">
        <f t="shared" si="72"/>
        <v>Not Applicable</v>
      </c>
      <c r="S288" s="798" t="str">
        <f>IF($R$7=0,"",IFERROR(VLOOKUP(B288,[3]Sheet1!$C$1:$P$65536,14,FALSE),"NA"))</f>
        <v/>
      </c>
      <c r="T288" s="798">
        <f>IF(O288=0,0,IF(S288="N",0,VLOOKUP(B288,Enrollment!B:J,9,FALSE)))</f>
        <v>0</v>
      </c>
      <c r="U288" s="88">
        <f t="shared" si="73"/>
        <v>5305</v>
      </c>
      <c r="V288" s="71">
        <f t="shared" si="74"/>
        <v>139.60526315789474</v>
      </c>
      <c r="W288" s="449">
        <v>0</v>
      </c>
      <c r="X288" s="67">
        <f>IFERROR(VLOOKUP($B288,'Allocation 2021-22'!$B:$O,14,FALSE),0)</f>
        <v>0</v>
      </c>
      <c r="Y288" s="163">
        <f t="shared" si="75"/>
        <v>5305</v>
      </c>
      <c r="Z288" s="166">
        <f t="shared" si="76"/>
        <v>0</v>
      </c>
      <c r="AA288" s="34" t="str">
        <f t="shared" si="62"/>
        <v>C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599</v>
      </c>
      <c r="B289" s="787" t="s">
        <v>72</v>
      </c>
      <c r="C289" s="784" t="s">
        <v>1400</v>
      </c>
      <c r="D289" s="134">
        <f>VLOOKUP(B289,'Enrollment 22-23'!$B:$I,8,FALSE)</f>
        <v>0</v>
      </c>
      <c r="E289" s="67">
        <f t="shared" si="63"/>
        <v>0</v>
      </c>
      <c r="F289" s="146">
        <v>0</v>
      </c>
      <c r="G289" s="146">
        <v>0</v>
      </c>
      <c r="H289" s="91">
        <f t="shared" si="64"/>
        <v>0</v>
      </c>
      <c r="I289" s="67">
        <f t="shared" si="65"/>
        <v>0</v>
      </c>
      <c r="J289" s="739">
        <f t="shared" si="66"/>
        <v>0</v>
      </c>
      <c r="K289" s="837">
        <f>_xlfn.IFNA(VLOOKUP(B289,'[2]22-23 Survey Results'!$A:$F,6,FALSE),0)</f>
        <v>0</v>
      </c>
      <c r="L289" s="740">
        <f t="shared" si="67"/>
        <v>0</v>
      </c>
      <c r="M289" s="741">
        <f t="shared" si="68"/>
        <v>0</v>
      </c>
      <c r="N289" s="67">
        <f t="shared" si="69"/>
        <v>0</v>
      </c>
      <c r="O289" s="67">
        <f t="shared" si="70"/>
        <v>0</v>
      </c>
      <c r="Q289" s="674">
        <f t="shared" si="71"/>
        <v>0</v>
      </c>
      <c r="R289" s="674" t="str">
        <f t="shared" si="72"/>
        <v>Not Applicable</v>
      </c>
      <c r="S289" s="798" t="str">
        <f>IF($R$7=0,"",IFERROR(VLOOKUP(B289,[3]Sheet1!$C$1:$P$65536,14,FALSE),"NA"))</f>
        <v/>
      </c>
      <c r="T289" s="798">
        <f>IF(O289=0,0,IF(S289="N",0,VLOOKUP(B289,Enrollment!B:J,9,FALSE)))</f>
        <v>0</v>
      </c>
      <c r="U289" s="88">
        <f t="shared" si="73"/>
        <v>0</v>
      </c>
      <c r="V289" s="71">
        <f t="shared" si="74"/>
        <v>0</v>
      </c>
      <c r="W289" s="449">
        <v>0</v>
      </c>
      <c r="X289" s="67">
        <f>IFERROR(VLOOKUP($B289,'Allocation 2021-22'!$B:$O,14,FALSE),0)</f>
        <v>0</v>
      </c>
      <c r="Y289" s="163">
        <f t="shared" si="75"/>
        <v>0</v>
      </c>
      <c r="Z289" s="166">
        <f t="shared" si="76"/>
        <v>0</v>
      </c>
      <c r="AA289" s="34">
        <f t="shared" si="62"/>
        <v>0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599</v>
      </c>
      <c r="B290" s="784" t="s">
        <v>238</v>
      </c>
      <c r="C290" s="784" t="s">
        <v>1475</v>
      </c>
      <c r="D290" s="134">
        <f>VLOOKUP(B290,'Enrollment 22-23'!$B:$I,8,FALSE)</f>
        <v>13.83</v>
      </c>
      <c r="E290" s="67">
        <f t="shared" si="63"/>
        <v>1912</v>
      </c>
      <c r="F290" s="146">
        <v>0</v>
      </c>
      <c r="G290" s="146">
        <v>0</v>
      </c>
      <c r="H290" s="91">
        <f t="shared" si="64"/>
        <v>1912</v>
      </c>
      <c r="I290" s="67">
        <f t="shared" si="65"/>
        <v>0</v>
      </c>
      <c r="J290" s="739">
        <f t="shared" si="66"/>
        <v>1912</v>
      </c>
      <c r="K290" s="837" t="str">
        <f>_xlfn.IFNA(VLOOKUP(B290,'[2]22-23 Survey Results'!$A:$F,6,FALSE),0)</f>
        <v>N</v>
      </c>
      <c r="L290" s="740">
        <f t="shared" si="67"/>
        <v>1912</v>
      </c>
      <c r="M290" s="741">
        <f t="shared" si="68"/>
        <v>0</v>
      </c>
      <c r="N290" s="67">
        <f t="shared" si="69"/>
        <v>0</v>
      </c>
      <c r="O290" s="67">
        <f t="shared" si="70"/>
        <v>0</v>
      </c>
      <c r="Q290" s="674">
        <f t="shared" si="71"/>
        <v>0</v>
      </c>
      <c r="R290" s="674" t="str">
        <f t="shared" si="72"/>
        <v>Not Applicable</v>
      </c>
      <c r="S290" s="798" t="str">
        <f>IF($R$7=0,"",IFERROR(VLOOKUP(B290,[3]Sheet1!$C$1:$P$65536,14,FALSE),"NA"))</f>
        <v/>
      </c>
      <c r="T290" s="798">
        <f>IF(O290=0,0,IF(S290="N",0,VLOOKUP(B290,Enrollment!B:J,9,FALSE)))</f>
        <v>0</v>
      </c>
      <c r="U290" s="88">
        <f t="shared" si="73"/>
        <v>0</v>
      </c>
      <c r="V290" s="71">
        <f t="shared" si="74"/>
        <v>0</v>
      </c>
      <c r="W290" s="449">
        <v>0</v>
      </c>
      <c r="X290" s="67">
        <f>IFERROR(VLOOKUP($B290,'Allocation 2021-22'!$B:$O,14,FALSE),0)</f>
        <v>0</v>
      </c>
      <c r="Y290" s="163">
        <f t="shared" si="75"/>
        <v>0</v>
      </c>
      <c r="Z290" s="166">
        <f t="shared" si="76"/>
        <v>0</v>
      </c>
      <c r="AA290" s="34" t="str">
        <f t="shared" si="62"/>
        <v>N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597</v>
      </c>
      <c r="B291" s="784" t="s">
        <v>191</v>
      </c>
      <c r="C291" s="784" t="s">
        <v>1456</v>
      </c>
      <c r="D291" s="134">
        <f>VLOOKUP(B291,'Enrollment 22-23'!$B:$I,8,FALSE)</f>
        <v>1197.83</v>
      </c>
      <c r="E291" s="67">
        <f t="shared" si="63"/>
        <v>165619</v>
      </c>
      <c r="F291" s="146">
        <v>0</v>
      </c>
      <c r="G291" s="146">
        <v>0</v>
      </c>
      <c r="H291" s="91">
        <f t="shared" si="64"/>
        <v>165619</v>
      </c>
      <c r="I291" s="67">
        <f t="shared" si="65"/>
        <v>0</v>
      </c>
      <c r="J291" s="739">
        <f t="shared" si="66"/>
        <v>165619</v>
      </c>
      <c r="K291" s="837" t="str">
        <f>_xlfn.IFNA(VLOOKUP(B291,'[2]22-23 Survey Results'!$A:$F,6,FALSE),0)</f>
        <v>Y</v>
      </c>
      <c r="L291" s="740">
        <f t="shared" si="67"/>
        <v>0</v>
      </c>
      <c r="M291" s="741">
        <f t="shared" si="68"/>
        <v>1197.83</v>
      </c>
      <c r="N291" s="67">
        <f t="shared" si="69"/>
        <v>1617</v>
      </c>
      <c r="O291" s="67">
        <f t="shared" si="70"/>
        <v>167236</v>
      </c>
      <c r="Q291" s="674">
        <f t="shared" si="71"/>
        <v>0</v>
      </c>
      <c r="R291" s="674" t="str">
        <f t="shared" si="72"/>
        <v>Not Applicable</v>
      </c>
      <c r="S291" s="798" t="str">
        <f>IF($R$7=0,"",IFERROR(VLOOKUP(B291,[3]Sheet1!$C$1:$P$65536,14,FALSE),"NA"))</f>
        <v/>
      </c>
      <c r="T291" s="798">
        <f>IF(O291=0,0,IF(S291="N",0,VLOOKUP(B291,Enrollment!B:J,9,FALSE)))</f>
        <v>0</v>
      </c>
      <c r="U291" s="88">
        <f t="shared" si="73"/>
        <v>167236</v>
      </c>
      <c r="V291" s="71">
        <f t="shared" si="74"/>
        <v>139.61580524782315</v>
      </c>
      <c r="W291" s="449">
        <v>152517</v>
      </c>
      <c r="X291" s="67">
        <f>IFERROR(VLOOKUP($B291,'Allocation 2021-22'!$B:$O,14,FALSE),0)</f>
        <v>151942</v>
      </c>
      <c r="Y291" s="163">
        <f t="shared" si="75"/>
        <v>15294</v>
      </c>
      <c r="Z291" s="166">
        <f t="shared" si="76"/>
        <v>0.10065682957970805</v>
      </c>
      <c r="AA291" s="34" t="str">
        <f t="shared" si="62"/>
        <v>Y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594</v>
      </c>
      <c r="B292" s="784" t="s">
        <v>476</v>
      </c>
      <c r="C292" s="784" t="s">
        <v>1589</v>
      </c>
      <c r="D292" s="134">
        <f>VLOOKUP(B292,'Enrollment 22-23'!$B:$I,8,FALSE)</f>
        <v>132.5</v>
      </c>
      <c r="E292" s="67">
        <f t="shared" si="63"/>
        <v>18320</v>
      </c>
      <c r="F292" s="146">
        <v>0</v>
      </c>
      <c r="G292" s="146">
        <v>0</v>
      </c>
      <c r="H292" s="91">
        <f t="shared" si="64"/>
        <v>18320</v>
      </c>
      <c r="I292" s="67">
        <f t="shared" si="65"/>
        <v>0</v>
      </c>
      <c r="J292" s="739">
        <f t="shared" si="66"/>
        <v>18320</v>
      </c>
      <c r="K292" s="837" t="str">
        <f>_xlfn.IFNA(VLOOKUP(B292,'[2]22-23 Survey Results'!$A:$F,6,FALSE),0)</f>
        <v>Y</v>
      </c>
      <c r="L292" s="740">
        <f t="shared" si="67"/>
        <v>0</v>
      </c>
      <c r="M292" s="741">
        <f t="shared" si="68"/>
        <v>132.5</v>
      </c>
      <c r="N292" s="67">
        <f t="shared" si="69"/>
        <v>179</v>
      </c>
      <c r="O292" s="67">
        <f t="shared" si="70"/>
        <v>18499</v>
      </c>
      <c r="Q292" s="674">
        <f t="shared" si="71"/>
        <v>0</v>
      </c>
      <c r="R292" s="674" t="str">
        <f t="shared" si="72"/>
        <v>Not Applicable</v>
      </c>
      <c r="S292" s="798" t="str">
        <f>IF($R$7=0,"",IFERROR(VLOOKUP(B292,[3]Sheet1!$C$1:$P$65536,14,FALSE),"NA"))</f>
        <v/>
      </c>
      <c r="T292" s="798">
        <f>IF(O292=0,0,IF(S292="N",0,VLOOKUP(B292,Enrollment!B:J,9,FALSE)))</f>
        <v>0</v>
      </c>
      <c r="U292" s="88">
        <f t="shared" si="73"/>
        <v>18499</v>
      </c>
      <c r="V292" s="71">
        <f t="shared" si="74"/>
        <v>139.61509433962263</v>
      </c>
      <c r="W292" s="449">
        <v>14216</v>
      </c>
      <c r="X292" s="67">
        <f>IFERROR(VLOOKUP($B292,'Allocation 2021-22'!$B:$O,14,FALSE),0)</f>
        <v>14163</v>
      </c>
      <c r="Y292" s="163">
        <f t="shared" si="75"/>
        <v>4336</v>
      </c>
      <c r="Z292" s="166">
        <f t="shared" si="76"/>
        <v>0.30614982701405069</v>
      </c>
      <c r="AA292" s="34" t="str">
        <f t="shared" si="62"/>
        <v>Y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605</v>
      </c>
      <c r="B293" s="784" t="s">
        <v>543</v>
      </c>
      <c r="C293" s="784" t="s">
        <v>1620</v>
      </c>
      <c r="D293" s="134">
        <f>VLOOKUP(B293,'Enrollment 22-23'!$B:$I,8,FALSE)</f>
        <v>165.33</v>
      </c>
      <c r="E293" s="67">
        <f t="shared" si="63"/>
        <v>22859</v>
      </c>
      <c r="F293" s="146">
        <v>0</v>
      </c>
      <c r="G293" s="146">
        <v>0</v>
      </c>
      <c r="H293" s="91">
        <f t="shared" si="64"/>
        <v>22859</v>
      </c>
      <c r="I293" s="67">
        <f t="shared" si="65"/>
        <v>0</v>
      </c>
      <c r="J293" s="739">
        <f t="shared" si="66"/>
        <v>22859</v>
      </c>
      <c r="K293" s="837" t="str">
        <f>_xlfn.IFNA(VLOOKUP(B293,'[2]22-23 Survey Results'!$A:$F,6,FALSE),0)</f>
        <v>Y</v>
      </c>
      <c r="L293" s="740">
        <f t="shared" si="67"/>
        <v>0</v>
      </c>
      <c r="M293" s="741">
        <f t="shared" si="68"/>
        <v>165.33</v>
      </c>
      <c r="N293" s="67">
        <f t="shared" si="69"/>
        <v>223</v>
      </c>
      <c r="O293" s="67">
        <f t="shared" si="70"/>
        <v>23082</v>
      </c>
      <c r="Q293" s="674">
        <f t="shared" si="71"/>
        <v>0</v>
      </c>
      <c r="R293" s="674" t="str">
        <f t="shared" si="72"/>
        <v>Not Applicable</v>
      </c>
      <c r="S293" s="798" t="str">
        <f>IF($R$7=0,"",IFERROR(VLOOKUP(B293,[3]Sheet1!$C$1:$P$65536,14,FALSE),"NA"))</f>
        <v/>
      </c>
      <c r="T293" s="798">
        <f>IF(O293=0,0,IF(S293="N",0,VLOOKUP(B293,Enrollment!B:J,9,FALSE)))</f>
        <v>0</v>
      </c>
      <c r="U293" s="88">
        <f t="shared" si="73"/>
        <v>23082</v>
      </c>
      <c r="V293" s="71">
        <f t="shared" si="74"/>
        <v>139.61168571947013</v>
      </c>
      <c r="W293" s="449">
        <v>20761</v>
      </c>
      <c r="X293" s="67">
        <f>IFERROR(VLOOKUP($B293,'Allocation 2021-22'!$B:$O,14,FALSE),0)</f>
        <v>20684</v>
      </c>
      <c r="Y293" s="163">
        <f t="shared" si="75"/>
        <v>2398</v>
      </c>
      <c r="Z293" s="166">
        <f t="shared" si="76"/>
        <v>0.1159350222394121</v>
      </c>
      <c r="AA293" s="34" t="str">
        <f t="shared" si="62"/>
        <v>Y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597</v>
      </c>
      <c r="B294" s="784" t="s">
        <v>349</v>
      </c>
      <c r="C294" s="784" t="s">
        <v>1526</v>
      </c>
      <c r="D294" s="134">
        <f>VLOOKUP(B294,'Enrollment 22-23'!$B:$I,8,FALSE)</f>
        <v>296.5</v>
      </c>
      <c r="E294" s="67">
        <f t="shared" si="63"/>
        <v>40996</v>
      </c>
      <c r="F294" s="146">
        <v>0</v>
      </c>
      <c r="G294" s="146">
        <v>0</v>
      </c>
      <c r="H294" s="91">
        <f t="shared" si="64"/>
        <v>40996</v>
      </c>
      <c r="I294" s="67">
        <f t="shared" si="65"/>
        <v>0</v>
      </c>
      <c r="J294" s="739">
        <f t="shared" si="66"/>
        <v>40996</v>
      </c>
      <c r="K294" s="837" t="str">
        <f>_xlfn.IFNA(VLOOKUP(B294,'[2]22-23 Survey Results'!$A:$F,6,FALSE),0)</f>
        <v>Y</v>
      </c>
      <c r="L294" s="740">
        <f t="shared" si="67"/>
        <v>0</v>
      </c>
      <c r="M294" s="741">
        <f t="shared" si="68"/>
        <v>296.5</v>
      </c>
      <c r="N294" s="67">
        <f t="shared" si="69"/>
        <v>400</v>
      </c>
      <c r="O294" s="67">
        <f t="shared" si="70"/>
        <v>41396</v>
      </c>
      <c r="Q294" s="674">
        <f t="shared" si="71"/>
        <v>0</v>
      </c>
      <c r="R294" s="674" t="str">
        <f t="shared" si="72"/>
        <v>Not Applicable</v>
      </c>
      <c r="S294" s="798" t="str">
        <f>IF($R$7=0,"",IFERROR(VLOOKUP(B294,[3]Sheet1!$C$1:$P$65536,14,FALSE),"NA"))</f>
        <v/>
      </c>
      <c r="T294" s="798">
        <f>IF(O294=0,0,IF(S294="N",0,VLOOKUP(B294,Enrollment!B:J,9,FALSE)))</f>
        <v>0</v>
      </c>
      <c r="U294" s="88">
        <f t="shared" si="73"/>
        <v>41396</v>
      </c>
      <c r="V294" s="71">
        <f t="shared" si="74"/>
        <v>139.61551433389545</v>
      </c>
      <c r="W294" s="449">
        <v>38699</v>
      </c>
      <c r="X294" s="67">
        <f>IFERROR(VLOOKUP($B294,'Allocation 2021-22'!$B:$O,14,FALSE),0)</f>
        <v>38553</v>
      </c>
      <c r="Y294" s="163">
        <f t="shared" si="75"/>
        <v>2843</v>
      </c>
      <c r="Z294" s="166">
        <f t="shared" si="76"/>
        <v>7.3742640002075061E-2</v>
      </c>
      <c r="AA294" s="34" t="str">
        <f t="shared" si="62"/>
        <v>Y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603</v>
      </c>
      <c r="B295" s="784" t="s">
        <v>454</v>
      </c>
      <c r="C295" s="784" t="s">
        <v>1579</v>
      </c>
      <c r="D295" s="134">
        <f>VLOOKUP(B295,'Enrollment 22-23'!$B:$I,8,FALSE)</f>
        <v>40.840000000000003</v>
      </c>
      <c r="E295" s="67">
        <f t="shared" si="63"/>
        <v>5647</v>
      </c>
      <c r="F295" s="146">
        <v>0</v>
      </c>
      <c r="G295" s="146">
        <v>0</v>
      </c>
      <c r="H295" s="91">
        <f t="shared" si="64"/>
        <v>5647</v>
      </c>
      <c r="I295" s="67">
        <f t="shared" si="65"/>
        <v>0</v>
      </c>
      <c r="J295" s="739">
        <f t="shared" si="66"/>
        <v>5647</v>
      </c>
      <c r="K295" s="837" t="str">
        <f>_xlfn.IFNA(VLOOKUP(B295,'[2]22-23 Survey Results'!$A:$F,6,FALSE),0)</f>
        <v>N</v>
      </c>
      <c r="L295" s="740">
        <f t="shared" si="67"/>
        <v>5647</v>
      </c>
      <c r="M295" s="741">
        <f t="shared" si="68"/>
        <v>0</v>
      </c>
      <c r="N295" s="67">
        <f t="shared" si="69"/>
        <v>0</v>
      </c>
      <c r="O295" s="67">
        <f t="shared" si="70"/>
        <v>0</v>
      </c>
      <c r="Q295" s="674">
        <f t="shared" si="71"/>
        <v>0</v>
      </c>
      <c r="R295" s="674" t="str">
        <f t="shared" si="72"/>
        <v>Not Applicable</v>
      </c>
      <c r="S295" s="798" t="str">
        <f>IF($R$7=0,"",IFERROR(VLOOKUP(B295,[3]Sheet1!$C$1:$P$65536,14,FALSE),"NA"))</f>
        <v/>
      </c>
      <c r="T295" s="798">
        <f>IF(O295=0,0,IF(S295="N",0,VLOOKUP(B295,Enrollment!B:J,9,FALSE)))</f>
        <v>0</v>
      </c>
      <c r="U295" s="88">
        <f t="shared" si="73"/>
        <v>0</v>
      </c>
      <c r="V295" s="71">
        <f t="shared" si="74"/>
        <v>0</v>
      </c>
      <c r="W295" s="449">
        <v>0</v>
      </c>
      <c r="X295" s="67">
        <f>IFERROR(VLOOKUP($B295,'Allocation 2021-22'!$B:$O,14,FALSE),0)</f>
        <v>0</v>
      </c>
      <c r="Y295" s="163">
        <f t="shared" si="75"/>
        <v>0</v>
      </c>
      <c r="Z295" s="166">
        <f t="shared" si="76"/>
        <v>0</v>
      </c>
      <c r="AA295" s="34" t="str">
        <f t="shared" si="62"/>
        <v>N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599</v>
      </c>
      <c r="B296" s="784" t="s">
        <v>49</v>
      </c>
      <c r="C296" s="784" t="s">
        <v>1390</v>
      </c>
      <c r="D296" s="134">
        <f>VLOOKUP(B296,'Enrollment 22-23'!$B:$I,8,FALSE)</f>
        <v>3019.5</v>
      </c>
      <c r="E296" s="67">
        <f t="shared" si="63"/>
        <v>417494</v>
      </c>
      <c r="F296" s="146">
        <v>0</v>
      </c>
      <c r="G296" s="146">
        <v>0</v>
      </c>
      <c r="H296" s="91">
        <f t="shared" si="64"/>
        <v>417494</v>
      </c>
      <c r="I296" s="67">
        <f t="shared" si="65"/>
        <v>0</v>
      </c>
      <c r="J296" s="739">
        <f t="shared" si="66"/>
        <v>417494</v>
      </c>
      <c r="K296" s="837" t="str">
        <f>_xlfn.IFNA(VLOOKUP(B296,'[2]22-23 Survey Results'!$A:$F,6,FALSE),0)</f>
        <v>Y</v>
      </c>
      <c r="L296" s="740">
        <f t="shared" si="67"/>
        <v>0</v>
      </c>
      <c r="M296" s="741">
        <f t="shared" si="68"/>
        <v>3019.5</v>
      </c>
      <c r="N296" s="67">
        <f t="shared" si="69"/>
        <v>4076</v>
      </c>
      <c r="O296" s="67">
        <f t="shared" si="70"/>
        <v>421570</v>
      </c>
      <c r="Q296" s="674">
        <f t="shared" si="71"/>
        <v>0</v>
      </c>
      <c r="R296" s="674" t="str">
        <f t="shared" si="72"/>
        <v>Not Applicable</v>
      </c>
      <c r="S296" s="798" t="str">
        <f>IF($R$7=0,"",IFERROR(VLOOKUP(B296,[3]Sheet1!$C$1:$P$65536,14,FALSE),"NA"))</f>
        <v/>
      </c>
      <c r="T296" s="798">
        <f>IF(O296=0,0,IF(S296="N",0,VLOOKUP(B296,Enrollment!B:J,9,FALSE)))</f>
        <v>0</v>
      </c>
      <c r="U296" s="88">
        <f t="shared" si="73"/>
        <v>421570</v>
      </c>
      <c r="V296" s="71">
        <f t="shared" si="74"/>
        <v>139.61583043550257</v>
      </c>
      <c r="W296" s="449">
        <v>411092</v>
      </c>
      <c r="X296" s="67">
        <f>IFERROR(VLOOKUP($B296,'Allocation 2021-22'!$B:$O,14,FALSE),0)</f>
        <v>409545</v>
      </c>
      <c r="Y296" s="163">
        <f t="shared" si="75"/>
        <v>12025</v>
      </c>
      <c r="Z296" s="166">
        <f t="shared" si="76"/>
        <v>2.9361852787849932E-2</v>
      </c>
      <c r="AA296" s="34" t="str">
        <f t="shared" si="62"/>
        <v>Y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597</v>
      </c>
      <c r="B297" s="784" t="s">
        <v>183</v>
      </c>
      <c r="C297" s="784" t="s">
        <v>1453</v>
      </c>
      <c r="D297" s="134">
        <f>VLOOKUP(B297,'Enrollment 22-23'!$B:$I,8,FALSE)</f>
        <v>73.67</v>
      </c>
      <c r="E297" s="67">
        <f t="shared" si="63"/>
        <v>10186</v>
      </c>
      <c r="F297" s="146">
        <v>0</v>
      </c>
      <c r="G297" s="146">
        <v>0</v>
      </c>
      <c r="H297" s="91">
        <f t="shared" si="64"/>
        <v>10186</v>
      </c>
      <c r="I297" s="67">
        <f t="shared" si="65"/>
        <v>0</v>
      </c>
      <c r="J297" s="739">
        <f t="shared" si="66"/>
        <v>10186</v>
      </c>
      <c r="K297" s="837" t="str">
        <f>_xlfn.IFNA(VLOOKUP(B297,'[2]22-23 Survey Results'!$A:$F,6,FALSE),0)</f>
        <v>Y</v>
      </c>
      <c r="L297" s="740">
        <f t="shared" si="67"/>
        <v>0</v>
      </c>
      <c r="M297" s="741">
        <f t="shared" si="68"/>
        <v>73.67</v>
      </c>
      <c r="N297" s="67">
        <f t="shared" si="69"/>
        <v>99</v>
      </c>
      <c r="O297" s="67">
        <f t="shared" si="70"/>
        <v>10285</v>
      </c>
      <c r="Q297" s="674">
        <f t="shared" si="71"/>
        <v>0</v>
      </c>
      <c r="R297" s="674" t="str">
        <f t="shared" si="72"/>
        <v>Not Applicable</v>
      </c>
      <c r="S297" s="798" t="str">
        <f>IF($R$7=0,"",IFERROR(VLOOKUP(B297,[3]Sheet1!$C$1:$P$65536,14,FALSE),"NA"))</f>
        <v/>
      </c>
      <c r="T297" s="798">
        <f>IF(O297=0,0,IF(S297="N",0,VLOOKUP(B297,Enrollment!B:J,9,FALSE)))</f>
        <v>0</v>
      </c>
      <c r="U297" s="88">
        <f t="shared" si="73"/>
        <v>10285</v>
      </c>
      <c r="V297" s="71">
        <f t="shared" si="74"/>
        <v>139.60906746301072</v>
      </c>
      <c r="W297" s="449">
        <v>10565</v>
      </c>
      <c r="X297" s="67">
        <f>IFERROR(VLOOKUP($B297,'Allocation 2021-22'!$B:$O,14,FALSE),0)</f>
        <v>10525</v>
      </c>
      <c r="Y297" s="163">
        <f t="shared" si="75"/>
        <v>-240</v>
      </c>
      <c r="Z297" s="166">
        <f t="shared" si="76"/>
        <v>-2.2802850356294539E-2</v>
      </c>
      <c r="AA297" s="34" t="str">
        <f t="shared" si="62"/>
        <v>Y</v>
      </c>
      <c r="AC297" s="67"/>
      <c r="AD297" s="451"/>
      <c r="AE297" s="452"/>
    </row>
    <row r="298" spans="1:37">
      <c r="A298" s="64" t="s">
        <v>599</v>
      </c>
      <c r="B298" s="784" t="s">
        <v>488</v>
      </c>
      <c r="C298" s="784" t="s">
        <v>1595</v>
      </c>
      <c r="D298" s="134">
        <f>VLOOKUP(B298,'Enrollment 22-23'!$B:$I,8,FALSE)</f>
        <v>16.5</v>
      </c>
      <c r="E298" s="67">
        <f t="shared" si="63"/>
        <v>2281</v>
      </c>
      <c r="F298" s="146">
        <v>0</v>
      </c>
      <c r="G298" s="146">
        <v>0</v>
      </c>
      <c r="H298" s="91">
        <f t="shared" si="64"/>
        <v>2281</v>
      </c>
      <c r="I298" s="67">
        <f t="shared" si="65"/>
        <v>0</v>
      </c>
      <c r="J298" s="739">
        <f t="shared" si="66"/>
        <v>2281</v>
      </c>
      <c r="K298" s="837" t="str">
        <f>_xlfn.IFNA(VLOOKUP(B298,'[2]22-23 Survey Results'!$A:$F,6,FALSE),0)</f>
        <v>N</v>
      </c>
      <c r="L298" s="740">
        <f t="shared" si="67"/>
        <v>2281</v>
      </c>
      <c r="M298" s="741">
        <f t="shared" si="68"/>
        <v>0</v>
      </c>
      <c r="N298" s="67">
        <f t="shared" si="69"/>
        <v>0</v>
      </c>
      <c r="O298" s="67">
        <f t="shared" si="70"/>
        <v>0</v>
      </c>
      <c r="Q298" s="674">
        <f t="shared" si="71"/>
        <v>0</v>
      </c>
      <c r="R298" s="674" t="str">
        <f t="shared" si="72"/>
        <v>Not Applicable</v>
      </c>
      <c r="S298" s="798" t="str">
        <f>IF($R$7=0,"",IFERROR(VLOOKUP(B298,[3]Sheet1!$C$1:$P$65536,14,FALSE),"NA"))</f>
        <v/>
      </c>
      <c r="T298" s="798">
        <f>IF(O298=0,0,IF(S298="N",0,VLOOKUP(B298,Enrollment!B:J,9,FALSE)))</f>
        <v>0</v>
      </c>
      <c r="U298" s="88">
        <f t="shared" si="73"/>
        <v>0</v>
      </c>
      <c r="V298" s="71">
        <f t="shared" si="74"/>
        <v>0</v>
      </c>
      <c r="W298" s="449">
        <v>0</v>
      </c>
      <c r="X298" s="67">
        <f>IFERROR(VLOOKUP($B298,'Allocation 2021-22'!$B:$O,14,FALSE),0)</f>
        <v>0</v>
      </c>
      <c r="Y298" s="163">
        <f t="shared" si="75"/>
        <v>0</v>
      </c>
      <c r="Z298" s="166">
        <f t="shared" si="76"/>
        <v>0</v>
      </c>
      <c r="AA298" s="34" t="str">
        <f t="shared" si="62"/>
        <v>N</v>
      </c>
      <c r="AC298" s="67"/>
      <c r="AD298" s="451"/>
      <c r="AE298" s="452"/>
    </row>
    <row r="299" spans="1:37">
      <c r="A299" s="64" t="s">
        <v>605</v>
      </c>
      <c r="B299" s="784" t="s">
        <v>114</v>
      </c>
      <c r="C299" s="784" t="s">
        <v>634</v>
      </c>
      <c r="D299" s="134">
        <f>VLOOKUP(B299,'Enrollment 22-23'!$B:$I,8,FALSE)</f>
        <v>1212</v>
      </c>
      <c r="E299" s="67">
        <f t="shared" si="63"/>
        <v>167578</v>
      </c>
      <c r="F299" s="146">
        <v>0</v>
      </c>
      <c r="G299" s="146">
        <v>0</v>
      </c>
      <c r="H299" s="91">
        <f t="shared" si="64"/>
        <v>167578</v>
      </c>
      <c r="I299" s="67">
        <f t="shared" si="65"/>
        <v>0</v>
      </c>
      <c r="J299" s="739">
        <f t="shared" si="66"/>
        <v>167578</v>
      </c>
      <c r="K299" s="837" t="str">
        <f>_xlfn.IFNA(VLOOKUP(B299,'[2]22-23 Survey Results'!$A:$F,6,FALSE),0)</f>
        <v>Y</v>
      </c>
      <c r="L299" s="740">
        <f t="shared" si="67"/>
        <v>0</v>
      </c>
      <c r="M299" s="741">
        <f t="shared" si="68"/>
        <v>1212</v>
      </c>
      <c r="N299" s="67">
        <f t="shared" si="69"/>
        <v>1636</v>
      </c>
      <c r="O299" s="67">
        <f t="shared" si="70"/>
        <v>169214</v>
      </c>
      <c r="Q299" s="674">
        <f t="shared" si="71"/>
        <v>0</v>
      </c>
      <c r="R299" s="674" t="str">
        <f t="shared" si="72"/>
        <v>Not Applicable</v>
      </c>
      <c r="S299" s="798" t="str">
        <f>IF($R$7=0,"",IFERROR(VLOOKUP(B299,[3]Sheet1!$C$1:$P$65536,14,FALSE),"NA"))</f>
        <v/>
      </c>
      <c r="T299" s="798">
        <f>IF(O299=0,0,IF(S299="N",0,VLOOKUP(B299,Enrollment!B:J,9,FALSE)))</f>
        <v>0</v>
      </c>
      <c r="U299" s="88">
        <f t="shared" si="73"/>
        <v>169214</v>
      </c>
      <c r="V299" s="71">
        <f t="shared" si="74"/>
        <v>139.61551155115512</v>
      </c>
      <c r="W299" s="449">
        <v>172406</v>
      </c>
      <c r="X299" s="67">
        <f>IFERROR(VLOOKUP($B299,'Allocation 2021-22'!$B:$O,14,FALSE),0)</f>
        <v>171758</v>
      </c>
      <c r="Y299" s="163">
        <f t="shared" si="75"/>
        <v>-2544</v>
      </c>
      <c r="Z299" s="166">
        <f t="shared" si="76"/>
        <v>-1.4811537162752244E-2</v>
      </c>
      <c r="AA299" s="34" t="str">
        <f t="shared" si="62"/>
        <v>Y</v>
      </c>
      <c r="AC299" s="67"/>
      <c r="AD299" s="451"/>
      <c r="AE299" s="452"/>
    </row>
    <row r="300" spans="1:37">
      <c r="A300" s="64" t="s">
        <v>596</v>
      </c>
      <c r="B300" s="784" t="s">
        <v>500</v>
      </c>
      <c r="C300" s="784" t="s">
        <v>1600</v>
      </c>
      <c r="D300" s="134">
        <f>VLOOKUP(B300,'Enrollment 22-23'!$B:$I,8,FALSE)</f>
        <v>1</v>
      </c>
      <c r="E300" s="67">
        <f t="shared" si="63"/>
        <v>138</v>
      </c>
      <c r="F300" s="146">
        <v>0</v>
      </c>
      <c r="G300" s="146">
        <v>0</v>
      </c>
      <c r="H300" s="91">
        <f t="shared" si="64"/>
        <v>138</v>
      </c>
      <c r="I300" s="67">
        <f t="shared" si="65"/>
        <v>0</v>
      </c>
      <c r="J300" s="739">
        <f t="shared" si="66"/>
        <v>138</v>
      </c>
      <c r="K300" s="837" t="str">
        <f>_xlfn.IFNA(VLOOKUP(B300,'[2]22-23 Survey Results'!$A:$F,6,FALSE),0)</f>
        <v>N</v>
      </c>
      <c r="L300" s="740">
        <f t="shared" si="67"/>
        <v>138</v>
      </c>
      <c r="M300" s="741">
        <f t="shared" si="68"/>
        <v>0</v>
      </c>
      <c r="N300" s="67">
        <f t="shared" si="69"/>
        <v>0</v>
      </c>
      <c r="O300" s="67">
        <f t="shared" si="70"/>
        <v>0</v>
      </c>
      <c r="Q300" s="674">
        <f t="shared" si="71"/>
        <v>0</v>
      </c>
      <c r="R300" s="674" t="str">
        <f t="shared" si="72"/>
        <v>Not Applicable</v>
      </c>
      <c r="S300" s="798" t="str">
        <f>IF($R$7=0,"",IFERROR(VLOOKUP(B300,[3]Sheet1!$C$1:$P$65536,14,FALSE),"NA"))</f>
        <v/>
      </c>
      <c r="T300" s="798">
        <f>IF(O300=0,0,IF(S300="N",0,VLOOKUP(B300,Enrollment!B:J,9,FALSE)))</f>
        <v>0</v>
      </c>
      <c r="U300" s="88">
        <f t="shared" si="73"/>
        <v>0</v>
      </c>
      <c r="V300" s="71">
        <f t="shared" si="74"/>
        <v>0</v>
      </c>
      <c r="W300" s="449">
        <v>0</v>
      </c>
      <c r="X300" s="67">
        <f>IFERROR(VLOOKUP($B300,'Allocation 2021-22'!$B:$O,14,FALSE),0)</f>
        <v>0</v>
      </c>
      <c r="Y300" s="163">
        <f t="shared" si="75"/>
        <v>0</v>
      </c>
      <c r="Z300" s="166">
        <f t="shared" si="76"/>
        <v>0</v>
      </c>
      <c r="AA300" s="34" t="str">
        <f t="shared" si="62"/>
        <v>N</v>
      </c>
      <c r="AC300" s="67"/>
      <c r="AD300" s="451"/>
      <c r="AE300" s="452"/>
    </row>
    <row r="301" spans="1:37">
      <c r="A301" s="64" t="s">
        <v>596</v>
      </c>
      <c r="B301" s="784" t="s">
        <v>492</v>
      </c>
      <c r="C301" s="784" t="s">
        <v>641</v>
      </c>
      <c r="D301" s="134">
        <f>VLOOKUP(B301,'Enrollment 22-23'!$B:$I,8,FALSE)</f>
        <v>790.17</v>
      </c>
      <c r="E301" s="67">
        <f t="shared" si="63"/>
        <v>109254</v>
      </c>
      <c r="F301" s="146">
        <v>0</v>
      </c>
      <c r="G301" s="146">
        <v>0</v>
      </c>
      <c r="H301" s="91">
        <f t="shared" si="64"/>
        <v>109254</v>
      </c>
      <c r="I301" s="67">
        <f t="shared" si="65"/>
        <v>0</v>
      </c>
      <c r="J301" s="739">
        <f t="shared" si="66"/>
        <v>109254</v>
      </c>
      <c r="K301" s="837" t="str">
        <f>_xlfn.IFNA(VLOOKUP(B301,'[2]22-23 Survey Results'!$A:$F,6,FALSE),0)</f>
        <v>Y</v>
      </c>
      <c r="L301" s="740">
        <f t="shared" si="67"/>
        <v>0</v>
      </c>
      <c r="M301" s="741">
        <f t="shared" si="68"/>
        <v>790.17</v>
      </c>
      <c r="N301" s="67">
        <f t="shared" si="69"/>
        <v>1067</v>
      </c>
      <c r="O301" s="67">
        <f t="shared" si="70"/>
        <v>110321</v>
      </c>
      <c r="Q301" s="674">
        <f t="shared" si="71"/>
        <v>0</v>
      </c>
      <c r="R301" s="674" t="str">
        <f t="shared" si="72"/>
        <v>Not Applicable</v>
      </c>
      <c r="S301" s="798" t="str">
        <f>IF($R$7=0,"",IFERROR(VLOOKUP(B301,[3]Sheet1!$C$1:$P$65536,14,FALSE),"NA"))</f>
        <v/>
      </c>
      <c r="T301" s="798">
        <f>IF(O301=0,0,IF(S301="N",0,VLOOKUP(B301,Enrollment!B:J,9,FALSE)))</f>
        <v>0</v>
      </c>
      <c r="U301" s="88">
        <f t="shared" si="73"/>
        <v>110321</v>
      </c>
      <c r="V301" s="71">
        <f t="shared" si="74"/>
        <v>139.61679132338611</v>
      </c>
      <c r="W301" s="449">
        <v>113337</v>
      </c>
      <c r="X301" s="67">
        <f>IFERROR(VLOOKUP($B301,'Allocation 2021-22'!$B:$O,14,FALSE),0)</f>
        <v>112911</v>
      </c>
      <c r="Y301" s="163">
        <f t="shared" si="75"/>
        <v>-2590</v>
      </c>
      <c r="Z301" s="166">
        <f t="shared" si="76"/>
        <v>-2.2938420525900931E-2</v>
      </c>
      <c r="AA301" s="34" t="str">
        <f t="shared" si="62"/>
        <v>Y</v>
      </c>
      <c r="AC301" s="67"/>
      <c r="AD301" s="451"/>
      <c r="AE301" s="452"/>
    </row>
    <row r="302" spans="1:37">
      <c r="A302" s="64" t="s">
        <v>605</v>
      </c>
      <c r="B302" s="784" t="s">
        <v>567</v>
      </c>
      <c r="C302" s="784" t="s">
        <v>1630</v>
      </c>
      <c r="D302" s="134">
        <f>VLOOKUP(B302,'Enrollment 22-23'!$B:$I,8,FALSE)</f>
        <v>1447.66</v>
      </c>
      <c r="E302" s="67">
        <f t="shared" si="63"/>
        <v>200162</v>
      </c>
      <c r="F302" s="146">
        <v>0</v>
      </c>
      <c r="G302" s="146">
        <v>0</v>
      </c>
      <c r="H302" s="91">
        <f t="shared" si="64"/>
        <v>200162</v>
      </c>
      <c r="I302" s="67">
        <f t="shared" si="65"/>
        <v>0</v>
      </c>
      <c r="J302" s="739">
        <f t="shared" si="66"/>
        <v>200162</v>
      </c>
      <c r="K302" s="837" t="str">
        <f>_xlfn.IFNA(VLOOKUP(B302,'[2]22-23 Survey Results'!$A:$F,6,FALSE),0)</f>
        <v>Y</v>
      </c>
      <c r="L302" s="740">
        <f t="shared" si="67"/>
        <v>0</v>
      </c>
      <c r="M302" s="741">
        <f t="shared" si="68"/>
        <v>1447.66</v>
      </c>
      <c r="N302" s="67">
        <f t="shared" si="69"/>
        <v>1954</v>
      </c>
      <c r="O302" s="67">
        <f t="shared" si="70"/>
        <v>202116</v>
      </c>
      <c r="Q302" s="674">
        <f t="shared" si="71"/>
        <v>0</v>
      </c>
      <c r="R302" s="674" t="str">
        <f t="shared" si="72"/>
        <v>Not Applicable</v>
      </c>
      <c r="S302" s="798" t="str">
        <f>IF($R$7=0,"",IFERROR(VLOOKUP(B302,[3]Sheet1!$C$1:$P$65536,14,FALSE),"NA"))</f>
        <v/>
      </c>
      <c r="T302" s="798">
        <f>IF(O302=0,0,IF(S302="N",0,VLOOKUP(B302,Enrollment!B:J,9,FALSE)))</f>
        <v>0</v>
      </c>
      <c r="U302" s="88">
        <f t="shared" si="73"/>
        <v>202116</v>
      </c>
      <c r="V302" s="71">
        <f t="shared" si="74"/>
        <v>139.61565560974262</v>
      </c>
      <c r="W302" s="449">
        <v>203869</v>
      </c>
      <c r="X302" s="67">
        <f>IFERROR(VLOOKUP($B302,'Allocation 2021-22'!$B:$O,14,FALSE),0)</f>
        <v>203101</v>
      </c>
      <c r="Y302" s="163">
        <f t="shared" si="75"/>
        <v>-985</v>
      </c>
      <c r="Z302" s="166">
        <f t="shared" si="76"/>
        <v>-4.8498037922019097E-3</v>
      </c>
      <c r="AA302" s="34" t="str">
        <f t="shared" si="62"/>
        <v>Y</v>
      </c>
      <c r="AC302" s="67"/>
      <c r="AD302" s="451"/>
      <c r="AE302" s="452"/>
    </row>
    <row r="303" spans="1:37">
      <c r="A303" s="64" t="s">
        <v>601</v>
      </c>
      <c r="B303" s="784" t="s">
        <v>118</v>
      </c>
      <c r="C303" s="784" t="s">
        <v>1422</v>
      </c>
      <c r="D303" s="134">
        <f>VLOOKUP(B303,'Enrollment 22-23'!$B:$I,8,FALSE)</f>
        <v>237.33</v>
      </c>
      <c r="E303" s="67">
        <f t="shared" si="63"/>
        <v>32815</v>
      </c>
      <c r="F303" s="146">
        <v>0</v>
      </c>
      <c r="G303" s="146">
        <v>0</v>
      </c>
      <c r="H303" s="91">
        <f t="shared" si="64"/>
        <v>32815</v>
      </c>
      <c r="I303" s="67">
        <f t="shared" si="65"/>
        <v>0</v>
      </c>
      <c r="J303" s="739">
        <f t="shared" si="66"/>
        <v>32815</v>
      </c>
      <c r="K303" s="837" t="str">
        <f>_xlfn.IFNA(VLOOKUP(B303,'[2]22-23 Survey Results'!$A:$F,6,FALSE),0)</f>
        <v>Y</v>
      </c>
      <c r="L303" s="740">
        <f t="shared" si="67"/>
        <v>0</v>
      </c>
      <c r="M303" s="741">
        <f t="shared" si="68"/>
        <v>237.33</v>
      </c>
      <c r="N303" s="67">
        <f t="shared" si="69"/>
        <v>320</v>
      </c>
      <c r="O303" s="67">
        <f t="shared" si="70"/>
        <v>33135</v>
      </c>
      <c r="Q303" s="674">
        <f t="shared" si="71"/>
        <v>0</v>
      </c>
      <c r="R303" s="674" t="str">
        <f t="shared" si="72"/>
        <v>Not Applicable</v>
      </c>
      <c r="S303" s="798" t="str">
        <f>IF($R$7=0,"",IFERROR(VLOOKUP(B303,[3]Sheet1!$C$1:$P$65536,14,FALSE),"NA"))</f>
        <v/>
      </c>
      <c r="T303" s="798">
        <f>IF(O303=0,0,IF(S303="N",0,VLOOKUP(B303,Enrollment!B:J,9,FALSE)))</f>
        <v>0</v>
      </c>
      <c r="U303" s="88">
        <f t="shared" si="73"/>
        <v>33135</v>
      </c>
      <c r="V303" s="71">
        <f t="shared" si="74"/>
        <v>139.615724939957</v>
      </c>
      <c r="W303" s="449">
        <v>32268</v>
      </c>
      <c r="X303" s="67">
        <f>IFERROR(VLOOKUP($B303,'Allocation 2021-22'!$B:$O,14,FALSE),0)</f>
        <v>32147</v>
      </c>
      <c r="Y303" s="163">
        <f t="shared" si="75"/>
        <v>988</v>
      </c>
      <c r="Z303" s="166">
        <f t="shared" si="76"/>
        <v>3.073381653031387E-2</v>
      </c>
      <c r="AA303" s="34" t="str">
        <f t="shared" si="62"/>
        <v>Y</v>
      </c>
      <c r="AC303" s="67"/>
      <c r="AD303" s="451"/>
      <c r="AE303" s="452"/>
    </row>
    <row r="304" spans="1:37">
      <c r="A304" s="64" t="s">
        <v>599</v>
      </c>
      <c r="B304" s="23" t="s">
        <v>56</v>
      </c>
      <c r="C304" s="788" t="s">
        <v>854</v>
      </c>
      <c r="D304" s="134">
        <f>VLOOKUP(B304,'Enrollment 22-23'!$B:$I,8,FALSE)</f>
        <v>77.5</v>
      </c>
      <c r="E304" s="67">
        <f t="shared" si="63"/>
        <v>10716</v>
      </c>
      <c r="F304" s="146">
        <v>0</v>
      </c>
      <c r="G304" s="146">
        <v>0</v>
      </c>
      <c r="H304" s="91">
        <f t="shared" si="64"/>
        <v>10716</v>
      </c>
      <c r="I304" s="67">
        <f t="shared" si="65"/>
        <v>0</v>
      </c>
      <c r="J304" s="739">
        <f t="shared" si="66"/>
        <v>10716</v>
      </c>
      <c r="K304" s="837" t="str">
        <f>_xlfn.IFNA(VLOOKUP(B304,'[2]22-23 Survey Results'!$A:$F,6,FALSE),0)</f>
        <v>Y</v>
      </c>
      <c r="L304" s="740">
        <f t="shared" si="67"/>
        <v>0</v>
      </c>
      <c r="M304" s="741">
        <f t="shared" si="68"/>
        <v>77.5</v>
      </c>
      <c r="N304" s="67">
        <f t="shared" si="69"/>
        <v>105</v>
      </c>
      <c r="O304" s="67">
        <f t="shared" si="70"/>
        <v>10821</v>
      </c>
      <c r="Q304" s="674">
        <f t="shared" si="71"/>
        <v>0</v>
      </c>
      <c r="R304" s="674" t="str">
        <f t="shared" si="72"/>
        <v>Not Applicable</v>
      </c>
      <c r="S304" s="798" t="str">
        <f>IF($R$7=0,"",IFERROR(VLOOKUP(B304,[3]Sheet1!$C$1:$P$65536,14,FALSE),"NA"))</f>
        <v/>
      </c>
      <c r="T304" s="798">
        <f>IF(O304=0,0,IF(S304="N",0,VLOOKUP(B304,Enrollment!B:J,9,FALSE)))</f>
        <v>0</v>
      </c>
      <c r="U304" s="88">
        <f t="shared" si="73"/>
        <v>10821</v>
      </c>
      <c r="V304" s="71">
        <f t="shared" si="74"/>
        <v>139.6258064516129</v>
      </c>
      <c r="W304" s="449">
        <v>0</v>
      </c>
      <c r="X304" s="67">
        <f>IFERROR(VLOOKUP($B304,'Allocation 2021-22'!$B:$O,14,FALSE),0)</f>
        <v>0</v>
      </c>
      <c r="Y304" s="163">
        <f t="shared" si="75"/>
        <v>10821</v>
      </c>
      <c r="Z304" s="166">
        <f t="shared" si="76"/>
        <v>0</v>
      </c>
      <c r="AA304" s="34" t="str">
        <f t="shared" si="62"/>
        <v>Y</v>
      </c>
      <c r="AB304" s="72"/>
      <c r="AC304" s="67"/>
      <c r="AD304" s="451"/>
      <c r="AE304" s="452"/>
    </row>
    <row r="305" spans="1:37">
      <c r="A305" s="64" t="s">
        <v>603</v>
      </c>
      <c r="B305" s="36" t="s">
        <v>0</v>
      </c>
      <c r="C305" s="23" t="s">
        <v>1369</v>
      </c>
      <c r="D305" s="134">
        <f>VLOOKUP(B305,'Enrollment 22-23'!$B:$I,8,FALSE)</f>
        <v>0.67</v>
      </c>
      <c r="E305" s="67">
        <f t="shared" si="63"/>
        <v>93</v>
      </c>
      <c r="F305" s="146">
        <v>0</v>
      </c>
      <c r="G305" s="146">
        <v>0</v>
      </c>
      <c r="H305" s="91">
        <f t="shared" si="64"/>
        <v>93</v>
      </c>
      <c r="I305" s="67">
        <f t="shared" si="65"/>
        <v>0</v>
      </c>
      <c r="J305" s="739">
        <f t="shared" si="66"/>
        <v>93</v>
      </c>
      <c r="K305" s="837" t="str">
        <f>_xlfn.IFNA(VLOOKUP(B305,'[2]22-23 Survey Results'!$A:$F,6,FALSE),0)</f>
        <v>N</v>
      </c>
      <c r="L305" s="740">
        <f t="shared" si="67"/>
        <v>93</v>
      </c>
      <c r="M305" s="741">
        <f t="shared" si="68"/>
        <v>0</v>
      </c>
      <c r="N305" s="67">
        <f t="shared" si="69"/>
        <v>0</v>
      </c>
      <c r="O305" s="67">
        <f t="shared" si="70"/>
        <v>0</v>
      </c>
      <c r="Q305" s="674">
        <f t="shared" si="71"/>
        <v>0</v>
      </c>
      <c r="R305" s="674" t="str">
        <f t="shared" si="72"/>
        <v>Not Applicable</v>
      </c>
      <c r="S305" s="798" t="str">
        <f>IF($R$7=0,"",IFERROR(VLOOKUP(B305,[3]Sheet1!$C$1:$P$65536,14,FALSE),"NA"))</f>
        <v/>
      </c>
      <c r="T305" s="798">
        <f>IF(O305=0,0,IF(S305="N",0,VLOOKUP(B305,Enrollment!B:J,9,FALSE)))</f>
        <v>0</v>
      </c>
      <c r="U305" s="88">
        <f t="shared" si="73"/>
        <v>0</v>
      </c>
      <c r="V305" s="71">
        <f t="shared" si="74"/>
        <v>0</v>
      </c>
      <c r="W305" s="449">
        <v>0</v>
      </c>
      <c r="X305" s="67">
        <f>IFERROR(VLOOKUP($B305,'Allocation 2021-22'!$B:$O,14,FALSE),0)</f>
        <v>0</v>
      </c>
      <c r="Y305" s="163">
        <f t="shared" si="75"/>
        <v>0</v>
      </c>
      <c r="Z305" s="166">
        <f t="shared" si="76"/>
        <v>0</v>
      </c>
      <c r="AA305" s="34" t="str">
        <f t="shared" si="62"/>
        <v>N</v>
      </c>
      <c r="AC305" s="67"/>
      <c r="AE305" s="452"/>
    </row>
    <row r="306" spans="1:37">
      <c r="A306" s="64" t="s">
        <v>601</v>
      </c>
      <c r="B306" s="36" t="s">
        <v>92</v>
      </c>
      <c r="C306" s="23" t="s">
        <v>1410</v>
      </c>
      <c r="D306" s="134">
        <f>VLOOKUP(B306,'Enrollment 22-23'!$B:$I,8,FALSE)</f>
        <v>12.84</v>
      </c>
      <c r="E306" s="67">
        <f t="shared" si="63"/>
        <v>1775</v>
      </c>
      <c r="F306" s="146">
        <v>0</v>
      </c>
      <c r="G306" s="146">
        <v>0</v>
      </c>
      <c r="H306" s="91">
        <f t="shared" si="64"/>
        <v>1775</v>
      </c>
      <c r="I306" s="67">
        <f t="shared" si="65"/>
        <v>0</v>
      </c>
      <c r="J306" s="739">
        <f t="shared" si="66"/>
        <v>1775</v>
      </c>
      <c r="K306" s="837" t="str">
        <f>_xlfn.IFNA(VLOOKUP(B306,'[2]22-23 Survey Results'!$A:$F,6,FALSE),0)</f>
        <v>N</v>
      </c>
      <c r="L306" s="740">
        <f t="shared" si="67"/>
        <v>1775</v>
      </c>
      <c r="M306" s="741">
        <f t="shared" si="68"/>
        <v>0</v>
      </c>
      <c r="N306" s="67">
        <f t="shared" si="69"/>
        <v>0</v>
      </c>
      <c r="O306" s="67">
        <f t="shared" si="70"/>
        <v>0</v>
      </c>
      <c r="Q306" s="674">
        <f t="shared" si="71"/>
        <v>0</v>
      </c>
      <c r="R306" s="674" t="str">
        <f t="shared" si="72"/>
        <v>Not Applicable</v>
      </c>
      <c r="S306" s="798" t="str">
        <f>IF($R$7=0,"",IFERROR(VLOOKUP(B306,[3]Sheet1!$C$1:$P$65536,14,FALSE),"NA"))</f>
        <v/>
      </c>
      <c r="T306" s="798">
        <f>IF(O306=0,0,IF(S306="N",0,VLOOKUP(B306,Enrollment!B:J,9,FALSE)))</f>
        <v>0</v>
      </c>
      <c r="U306" s="88">
        <f t="shared" si="73"/>
        <v>0</v>
      </c>
      <c r="V306" s="71">
        <f t="shared" si="74"/>
        <v>0</v>
      </c>
      <c r="W306" s="449">
        <v>0</v>
      </c>
      <c r="X306" s="67">
        <f>IFERROR(VLOOKUP($B306,'Allocation 2021-22'!$B:$O,14,FALSE),0)</f>
        <v>0</v>
      </c>
      <c r="Y306" s="163">
        <f t="shared" si="75"/>
        <v>0</v>
      </c>
      <c r="Z306" s="166">
        <f t="shared" si="76"/>
        <v>0</v>
      </c>
      <c r="AA306" s="34" t="str">
        <f t="shared" si="62"/>
        <v>N</v>
      </c>
      <c r="AC306" s="67"/>
      <c r="AE306" s="452"/>
    </row>
    <row r="307" spans="1:37">
      <c r="A307" s="64" t="s">
        <v>603</v>
      </c>
      <c r="B307" s="36" t="s">
        <v>452</v>
      </c>
      <c r="C307" s="23" t="s">
        <v>1578</v>
      </c>
      <c r="D307" s="134">
        <f>VLOOKUP(B307,'Enrollment 22-23'!$B:$I,8,FALSE)</f>
        <v>119.83</v>
      </c>
      <c r="E307" s="67">
        <f t="shared" si="63"/>
        <v>16568</v>
      </c>
      <c r="F307" s="146">
        <v>0</v>
      </c>
      <c r="G307" s="146">
        <v>0</v>
      </c>
      <c r="H307" s="91">
        <f t="shared" si="64"/>
        <v>16568</v>
      </c>
      <c r="I307" s="67">
        <f t="shared" si="65"/>
        <v>0</v>
      </c>
      <c r="J307" s="739">
        <f t="shared" si="66"/>
        <v>16568</v>
      </c>
      <c r="K307" s="837" t="str">
        <f>_xlfn.IFNA(VLOOKUP(B307,'[2]22-23 Survey Results'!$A:$F,6,FALSE),0)</f>
        <v>Y</v>
      </c>
      <c r="L307" s="740">
        <f t="shared" si="67"/>
        <v>0</v>
      </c>
      <c r="M307" s="741">
        <f t="shared" si="68"/>
        <v>119.83</v>
      </c>
      <c r="N307" s="67">
        <f t="shared" si="69"/>
        <v>162</v>
      </c>
      <c r="O307" s="67">
        <f t="shared" si="70"/>
        <v>16730</v>
      </c>
      <c r="Q307" s="674">
        <f t="shared" si="71"/>
        <v>0</v>
      </c>
      <c r="R307" s="674" t="str">
        <f t="shared" si="72"/>
        <v>Not Applicable</v>
      </c>
      <c r="S307" s="798" t="str">
        <f>IF($R$7=0,"",IFERROR(VLOOKUP(B307,[3]Sheet1!$C$1:$P$65536,14,FALSE),"NA"))</f>
        <v/>
      </c>
      <c r="T307" s="798">
        <f>IF(O307=0,0,IF(S307="N",0,VLOOKUP(B307,Enrollment!B:J,9,FALSE)))</f>
        <v>0</v>
      </c>
      <c r="U307" s="88">
        <f t="shared" si="73"/>
        <v>16730</v>
      </c>
      <c r="V307" s="71">
        <f t="shared" si="74"/>
        <v>139.61445380956354</v>
      </c>
      <c r="W307" s="449">
        <v>12539</v>
      </c>
      <c r="X307" s="67">
        <f>IFERROR(VLOOKUP($B307,'Allocation 2021-22'!$B:$O,14,FALSE),0)</f>
        <v>12493</v>
      </c>
      <c r="Y307" s="163">
        <f t="shared" si="75"/>
        <v>4237</v>
      </c>
      <c r="Z307" s="166">
        <f t="shared" si="76"/>
        <v>0.33914992395741617</v>
      </c>
      <c r="AA307" s="34" t="str">
        <f t="shared" si="62"/>
        <v>Y</v>
      </c>
      <c r="AC307" s="72"/>
      <c r="AE307" s="452"/>
    </row>
    <row r="308" spans="1:37">
      <c r="A308" s="64" t="s">
        <v>601</v>
      </c>
      <c r="B308" s="36" t="s">
        <v>37</v>
      </c>
      <c r="C308" s="23" t="s">
        <v>1384</v>
      </c>
      <c r="D308" s="134">
        <f>VLOOKUP(B308,'Enrollment 22-23'!$B:$I,8,FALSE)</f>
        <v>1592.34</v>
      </c>
      <c r="E308" s="67">
        <f t="shared" si="63"/>
        <v>220166</v>
      </c>
      <c r="F308" s="146">
        <v>0</v>
      </c>
      <c r="G308" s="146">
        <v>0</v>
      </c>
      <c r="H308" s="91">
        <f t="shared" si="64"/>
        <v>220166</v>
      </c>
      <c r="I308" s="67">
        <f t="shared" si="65"/>
        <v>0</v>
      </c>
      <c r="J308" s="739">
        <f t="shared" si="66"/>
        <v>220166</v>
      </c>
      <c r="K308" s="837" t="str">
        <f>_xlfn.IFNA(VLOOKUP(B308,'[2]22-23 Survey Results'!$A:$F,6,FALSE),0)</f>
        <v>Y</v>
      </c>
      <c r="L308" s="740">
        <f t="shared" si="67"/>
        <v>0</v>
      </c>
      <c r="M308" s="741">
        <f t="shared" si="68"/>
        <v>1592.34</v>
      </c>
      <c r="N308" s="67">
        <f t="shared" si="69"/>
        <v>2149</v>
      </c>
      <c r="O308" s="67">
        <f t="shared" si="70"/>
        <v>222315</v>
      </c>
      <c r="Q308" s="674">
        <f t="shared" si="71"/>
        <v>0</v>
      </c>
      <c r="R308" s="674" t="str">
        <f t="shared" si="72"/>
        <v>Not Applicable</v>
      </c>
      <c r="S308" s="798" t="str">
        <f>IF($R$7=0,"",IFERROR(VLOOKUP(B308,[3]Sheet1!$C$1:$P$65536,14,FALSE),"NA"))</f>
        <v/>
      </c>
      <c r="T308" s="798">
        <f>IF(O308=0,0,IF(S308="N",0,VLOOKUP(B308,Enrollment!B:J,9,FALSE)))</f>
        <v>0</v>
      </c>
      <c r="U308" s="88">
        <f t="shared" si="73"/>
        <v>222315</v>
      </c>
      <c r="V308" s="71">
        <f t="shared" si="74"/>
        <v>139.61528316816762</v>
      </c>
      <c r="W308" s="449">
        <v>222816</v>
      </c>
      <c r="X308" s="67">
        <f>IFERROR(VLOOKUP($B308,'Allocation 2021-22'!$B:$O,14,FALSE),0)</f>
        <v>221978</v>
      </c>
      <c r="Y308" s="163">
        <f t="shared" si="75"/>
        <v>337</v>
      </c>
      <c r="Z308" s="166">
        <f t="shared" si="76"/>
        <v>1.5181684671453928E-3</v>
      </c>
      <c r="AA308" s="34" t="str">
        <f t="shared" si="62"/>
        <v>Y</v>
      </c>
      <c r="AE308" s="452"/>
    </row>
    <row r="309" spans="1:37" s="29" customFormat="1">
      <c r="A309" s="64" t="s">
        <v>603</v>
      </c>
      <c r="B309" s="36" t="s">
        <v>443</v>
      </c>
      <c r="C309" s="23" t="s">
        <v>1573</v>
      </c>
      <c r="D309" s="134">
        <f>VLOOKUP(B309,'Enrollment 22-23'!$B:$I,8,FALSE)</f>
        <v>105.17</v>
      </c>
      <c r="E309" s="67">
        <f t="shared" si="63"/>
        <v>14541</v>
      </c>
      <c r="F309" s="146">
        <v>0</v>
      </c>
      <c r="G309" s="146">
        <v>0</v>
      </c>
      <c r="H309" s="91">
        <f t="shared" si="64"/>
        <v>14541</v>
      </c>
      <c r="I309" s="67">
        <f t="shared" si="65"/>
        <v>0</v>
      </c>
      <c r="J309" s="739">
        <f t="shared" si="66"/>
        <v>14541</v>
      </c>
      <c r="K309" s="837" t="str">
        <f>_xlfn.IFNA(VLOOKUP(B309,'[2]22-23 Survey Results'!$A:$F,6,FALSE),0)</f>
        <v>Y</v>
      </c>
      <c r="L309" s="740">
        <f t="shared" si="67"/>
        <v>0</v>
      </c>
      <c r="M309" s="741">
        <f t="shared" si="68"/>
        <v>105.17</v>
      </c>
      <c r="N309" s="67">
        <f t="shared" si="69"/>
        <v>142</v>
      </c>
      <c r="O309" s="67">
        <f t="shared" si="70"/>
        <v>14683</v>
      </c>
      <c r="P309" s="674"/>
      <c r="Q309" s="674">
        <f t="shared" si="71"/>
        <v>0</v>
      </c>
      <c r="R309" s="674" t="str">
        <f t="shared" si="72"/>
        <v>Not Applicable</v>
      </c>
      <c r="S309" s="798" t="str">
        <f>IF($R$7=0,"",IFERROR(VLOOKUP(B309,[3]Sheet1!$C$1:$P$65536,14,FALSE),"NA"))</f>
        <v/>
      </c>
      <c r="T309" s="798">
        <f>IF(O309=0,0,IF(S309="N",0,VLOOKUP(B309,Enrollment!B:J,9,FALSE)))</f>
        <v>0</v>
      </c>
      <c r="U309" s="88">
        <f t="shared" si="73"/>
        <v>14683</v>
      </c>
      <c r="V309" s="71">
        <f t="shared" si="74"/>
        <v>139.61205667015309</v>
      </c>
      <c r="W309" s="449">
        <v>15295</v>
      </c>
      <c r="X309" s="67">
        <f>IFERROR(VLOOKUP($B309,'Allocation 2021-22'!$B:$O,14,FALSE),0)</f>
        <v>15238</v>
      </c>
      <c r="Y309" s="163">
        <f t="shared" si="75"/>
        <v>-555</v>
      </c>
      <c r="Z309" s="166">
        <f t="shared" si="76"/>
        <v>-3.6422102638141489E-2</v>
      </c>
      <c r="AA309" s="34" t="str">
        <f t="shared" si="62"/>
        <v>Y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605</v>
      </c>
      <c r="B310" s="802" t="s">
        <v>569</v>
      </c>
      <c r="C310" s="23" t="s">
        <v>1631</v>
      </c>
      <c r="D310" s="134">
        <f>VLOOKUP(B310,'Enrollment 22-23'!$B:$I,8,FALSE)</f>
        <v>448.33</v>
      </c>
      <c r="E310" s="67">
        <f t="shared" si="63"/>
        <v>61989</v>
      </c>
      <c r="F310" s="146">
        <v>0</v>
      </c>
      <c r="G310" s="146">
        <v>0</v>
      </c>
      <c r="H310" s="91">
        <f t="shared" si="64"/>
        <v>61989</v>
      </c>
      <c r="I310" s="67">
        <f t="shared" si="65"/>
        <v>0</v>
      </c>
      <c r="J310" s="739">
        <f t="shared" si="66"/>
        <v>61989</v>
      </c>
      <c r="K310" s="837" t="str">
        <f>_xlfn.IFNA(VLOOKUP(B310,'[2]22-23 Survey Results'!$A:$F,6,FALSE),0)</f>
        <v>Y</v>
      </c>
      <c r="L310" s="740">
        <f t="shared" si="67"/>
        <v>0</v>
      </c>
      <c r="M310" s="741">
        <f t="shared" si="68"/>
        <v>448.33</v>
      </c>
      <c r="N310" s="67">
        <f t="shared" si="69"/>
        <v>605</v>
      </c>
      <c r="O310" s="67">
        <f t="shared" si="70"/>
        <v>62594</v>
      </c>
      <c r="P310" s="674"/>
      <c r="Q310" s="674">
        <f t="shared" si="71"/>
        <v>0</v>
      </c>
      <c r="R310" s="674" t="str">
        <f t="shared" si="72"/>
        <v>Not Applicable</v>
      </c>
      <c r="S310" s="798" t="str">
        <f>IF($R$7=0,"",IFERROR(VLOOKUP(B310,[3]Sheet1!$C$1:$P$65536,14,FALSE),"NA"))</f>
        <v/>
      </c>
      <c r="T310" s="798">
        <f>IF(O310=0,0,IF(S310="N",0,VLOOKUP(B310,Enrollment!B:J,9,FALSE)))</f>
        <v>0</v>
      </c>
      <c r="U310" s="88">
        <f t="shared" si="73"/>
        <v>62594</v>
      </c>
      <c r="V310" s="71">
        <f t="shared" si="74"/>
        <v>139.615907924966</v>
      </c>
      <c r="W310" s="449">
        <v>58631</v>
      </c>
      <c r="X310" s="67">
        <f>IFERROR(VLOOKUP($B310,'Allocation 2021-22'!$B:$O,14,FALSE),0)</f>
        <v>58411</v>
      </c>
      <c r="Y310" s="163">
        <f t="shared" si="75"/>
        <v>4183</v>
      </c>
      <c r="Z310" s="166">
        <f t="shared" si="76"/>
        <v>7.1613223536662621E-2</v>
      </c>
      <c r="AA310" s="34" t="str">
        <f t="shared" si="62"/>
        <v>Y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1759</v>
      </c>
      <c r="C311" s="23" t="s">
        <v>1788</v>
      </c>
      <c r="D311" s="134">
        <f>VLOOKUP(B311,'Enrollment 22-23'!$B:$I,8,FALSE)</f>
        <v>0</v>
      </c>
      <c r="E311" s="67">
        <f t="shared" si="63"/>
        <v>0</v>
      </c>
      <c r="F311" s="146">
        <v>0</v>
      </c>
      <c r="G311" s="146">
        <v>0</v>
      </c>
      <c r="H311" s="91">
        <f t="shared" si="64"/>
        <v>0</v>
      </c>
      <c r="I311" s="67">
        <f t="shared" si="65"/>
        <v>0</v>
      </c>
      <c r="J311" s="739">
        <f t="shared" si="66"/>
        <v>0</v>
      </c>
      <c r="K311" s="837">
        <f>_xlfn.IFNA(VLOOKUP(B311,'[2]22-23 Survey Results'!$A:$F,6,FALSE),0)</f>
        <v>0</v>
      </c>
      <c r="L311" s="740">
        <f t="shared" si="67"/>
        <v>0</v>
      </c>
      <c r="M311" s="741">
        <f t="shared" si="68"/>
        <v>0</v>
      </c>
      <c r="N311" s="67">
        <f t="shared" si="69"/>
        <v>0</v>
      </c>
      <c r="O311" s="67">
        <f t="shared" si="70"/>
        <v>0</v>
      </c>
      <c r="P311" s="674"/>
      <c r="Q311" s="674">
        <f t="shared" si="71"/>
        <v>0</v>
      </c>
      <c r="R311" s="674" t="str">
        <f t="shared" si="72"/>
        <v>Not Applicable</v>
      </c>
      <c r="S311" s="798" t="str">
        <f>IF($R$7=0,"",IFERROR(VLOOKUP(B311,[3]Sheet1!$C$1:$P$65536,14,FALSE),"NA"))</f>
        <v/>
      </c>
      <c r="T311" s="798">
        <f>IF(O311=0,0,IF(S311="N",0,VLOOKUP(B311,Enrollment!B:J,9,FALSE)))</f>
        <v>0</v>
      </c>
      <c r="U311" s="88">
        <f t="shared" si="73"/>
        <v>0</v>
      </c>
      <c r="V311" s="71">
        <f t="shared" si="74"/>
        <v>0</v>
      </c>
      <c r="W311" s="449">
        <v>0</v>
      </c>
      <c r="X311" s="67">
        <f>IFERROR(VLOOKUP($B311,'Allocation 2021-22'!$B:$O,14,FALSE),0)</f>
        <v>0</v>
      </c>
      <c r="Y311" s="163">
        <f t="shared" si="75"/>
        <v>0</v>
      </c>
      <c r="Z311" s="166">
        <f t="shared" si="76"/>
        <v>0</v>
      </c>
      <c r="AA311" s="34">
        <f t="shared" si="62"/>
        <v>0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594</v>
      </c>
      <c r="B312" s="802" t="s">
        <v>276</v>
      </c>
      <c r="C312" s="23" t="s">
        <v>1492</v>
      </c>
      <c r="D312" s="134">
        <f>VLOOKUP(B312,'Enrollment 22-23'!$B:$I,8,FALSE)</f>
        <v>0</v>
      </c>
      <c r="E312" s="67">
        <f t="shared" si="63"/>
        <v>0</v>
      </c>
      <c r="F312" s="146">
        <v>0</v>
      </c>
      <c r="G312" s="146">
        <v>0</v>
      </c>
      <c r="H312" s="91">
        <f t="shared" si="64"/>
        <v>0</v>
      </c>
      <c r="I312" s="67">
        <f t="shared" si="65"/>
        <v>0</v>
      </c>
      <c r="J312" s="739">
        <f t="shared" si="66"/>
        <v>0</v>
      </c>
      <c r="K312" s="837">
        <f>_xlfn.IFNA(VLOOKUP(B312,'[2]22-23 Survey Results'!$A:$F,6,FALSE),0)</f>
        <v>0</v>
      </c>
      <c r="L312" s="740">
        <f t="shared" si="67"/>
        <v>0</v>
      </c>
      <c r="M312" s="741">
        <f t="shared" si="68"/>
        <v>0</v>
      </c>
      <c r="N312" s="67">
        <f t="shared" si="69"/>
        <v>0</v>
      </c>
      <c r="O312" s="67">
        <f t="shared" si="70"/>
        <v>0</v>
      </c>
      <c r="P312" s="674"/>
      <c r="Q312" s="674">
        <f t="shared" si="71"/>
        <v>0</v>
      </c>
      <c r="R312" s="674" t="str">
        <f t="shared" si="72"/>
        <v>Not Applicable</v>
      </c>
      <c r="S312" s="798" t="str">
        <f>IF($R$7=0,"",IFERROR(VLOOKUP(B312,[3]Sheet1!$C$1:$P$65536,14,FALSE),"NA"))</f>
        <v/>
      </c>
      <c r="T312" s="798">
        <f>IF(O312=0,0,IF(S312="N",0,VLOOKUP(B312,Enrollment!B:J,9,FALSE)))</f>
        <v>0</v>
      </c>
      <c r="U312" s="88">
        <f t="shared" si="73"/>
        <v>0</v>
      </c>
      <c r="V312" s="71">
        <f t="shared" si="74"/>
        <v>0</v>
      </c>
      <c r="W312" s="449">
        <v>0</v>
      </c>
      <c r="X312" s="67">
        <f>IFERROR(VLOOKUP($B312,'Allocation 2021-22'!$B:$O,14,FALSE),0)</f>
        <v>0</v>
      </c>
      <c r="Y312" s="163">
        <f t="shared" si="75"/>
        <v>0</v>
      </c>
      <c r="Z312" s="166">
        <f t="shared" si="76"/>
        <v>0</v>
      </c>
      <c r="AA312" s="34">
        <f t="shared" si="62"/>
        <v>0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597</v>
      </c>
      <c r="B313" s="36" t="s">
        <v>367</v>
      </c>
      <c r="C313" s="23" t="s">
        <v>1533</v>
      </c>
      <c r="D313" s="134">
        <f>VLOOKUP(B313,'Enrollment 22-23'!$B:$I,8,FALSE)</f>
        <v>121.17</v>
      </c>
      <c r="E313" s="67">
        <f t="shared" si="63"/>
        <v>16754</v>
      </c>
      <c r="F313" s="146">
        <v>0</v>
      </c>
      <c r="G313" s="146">
        <v>0</v>
      </c>
      <c r="H313" s="91">
        <f t="shared" si="64"/>
        <v>16754</v>
      </c>
      <c r="I313" s="67">
        <f t="shared" si="65"/>
        <v>0</v>
      </c>
      <c r="J313" s="739">
        <f t="shared" si="66"/>
        <v>16754</v>
      </c>
      <c r="K313" s="837" t="str">
        <f>_xlfn.IFNA(VLOOKUP(B313,'[2]22-23 Survey Results'!$A:$F,6,FALSE),0)</f>
        <v>Y</v>
      </c>
      <c r="L313" s="740">
        <f t="shared" si="67"/>
        <v>0</v>
      </c>
      <c r="M313" s="741">
        <f t="shared" si="68"/>
        <v>121.17</v>
      </c>
      <c r="N313" s="67">
        <f t="shared" si="69"/>
        <v>164</v>
      </c>
      <c r="O313" s="67">
        <f t="shared" si="70"/>
        <v>16918</v>
      </c>
      <c r="P313" s="674"/>
      <c r="Q313" s="674">
        <f t="shared" si="71"/>
        <v>0</v>
      </c>
      <c r="R313" s="674" t="str">
        <f t="shared" si="72"/>
        <v>Not Applicable</v>
      </c>
      <c r="S313" s="798" t="str">
        <f>IF($R$7=0,"",IFERROR(VLOOKUP(B313,[3]Sheet1!$C$1:$P$65536,14,FALSE),"NA"))</f>
        <v/>
      </c>
      <c r="T313" s="798">
        <f>IF(O313=0,0,IF(S313="N",0,VLOOKUP(B313,Enrollment!B:J,9,FALSE)))</f>
        <v>0</v>
      </c>
      <c r="U313" s="88">
        <f t="shared" si="73"/>
        <v>16918</v>
      </c>
      <c r="V313" s="71">
        <f t="shared" si="74"/>
        <v>139.6220186514814</v>
      </c>
      <c r="W313" s="449">
        <v>18120</v>
      </c>
      <c r="X313" s="67">
        <f>IFERROR(VLOOKUP($B313,'Allocation 2021-22'!$B:$O,14,FALSE),0)</f>
        <v>18052</v>
      </c>
      <c r="Y313" s="163">
        <f t="shared" si="75"/>
        <v>-1134</v>
      </c>
      <c r="Z313" s="166">
        <f t="shared" si="76"/>
        <v>-6.2818524263239528E-2</v>
      </c>
      <c r="AA313" s="34" t="str">
        <f t="shared" si="62"/>
        <v>Y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599</v>
      </c>
      <c r="B314" s="36" t="s">
        <v>248</v>
      </c>
      <c r="C314" s="23" t="s">
        <v>1480</v>
      </c>
      <c r="D314" s="134">
        <f>VLOOKUP(B314,'Enrollment 22-23'!$B:$I,8,FALSE)</f>
        <v>187.82999999999998</v>
      </c>
      <c r="E314" s="67">
        <f t="shared" si="63"/>
        <v>25970</v>
      </c>
      <c r="F314" s="146">
        <v>0</v>
      </c>
      <c r="G314" s="146">
        <v>0</v>
      </c>
      <c r="H314" s="91">
        <f t="shared" si="64"/>
        <v>25970</v>
      </c>
      <c r="I314" s="67">
        <f t="shared" si="65"/>
        <v>0</v>
      </c>
      <c r="J314" s="739">
        <f t="shared" si="66"/>
        <v>25970</v>
      </c>
      <c r="K314" s="837" t="str">
        <f>_xlfn.IFNA(VLOOKUP(B314,'[2]22-23 Survey Results'!$A:$F,6,FALSE),0)</f>
        <v>Y</v>
      </c>
      <c r="L314" s="740">
        <f t="shared" si="67"/>
        <v>0</v>
      </c>
      <c r="M314" s="741">
        <f t="shared" si="68"/>
        <v>187.82999999999998</v>
      </c>
      <c r="N314" s="67">
        <f t="shared" si="69"/>
        <v>254</v>
      </c>
      <c r="O314" s="67">
        <f t="shared" si="70"/>
        <v>26224</v>
      </c>
      <c r="P314" s="674"/>
      <c r="Q314" s="674">
        <f t="shared" si="71"/>
        <v>0</v>
      </c>
      <c r="R314" s="674" t="str">
        <f t="shared" si="72"/>
        <v>Not Applicable</v>
      </c>
      <c r="S314" s="798" t="str">
        <f>IF($R$7=0,"",IFERROR(VLOOKUP(B314,[3]Sheet1!$C$1:$P$65536,14,FALSE),"NA"))</f>
        <v/>
      </c>
      <c r="T314" s="798">
        <f>IF(O314=0,0,IF(S314="N",0,VLOOKUP(B314,Enrollment!B:J,9,FALSE)))</f>
        <v>0</v>
      </c>
      <c r="U314" s="88">
        <f t="shared" si="73"/>
        <v>26224</v>
      </c>
      <c r="V314" s="71">
        <f t="shared" si="74"/>
        <v>139.61560985997977</v>
      </c>
      <c r="W314" s="449">
        <v>26871</v>
      </c>
      <c r="X314" s="67">
        <f>IFERROR(VLOOKUP($B314,'Allocation 2021-22'!$B:$O,14,FALSE),0)</f>
        <v>26769</v>
      </c>
      <c r="Y314" s="163">
        <f t="shared" si="75"/>
        <v>-545</v>
      </c>
      <c r="Z314" s="166">
        <f t="shared" si="76"/>
        <v>-2.0359370914117075E-2</v>
      </c>
      <c r="AA314" s="34" t="str">
        <f t="shared" si="62"/>
        <v>Y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603</v>
      </c>
      <c r="B315" s="36" t="s">
        <v>289</v>
      </c>
      <c r="C315" s="23" t="s">
        <v>1498</v>
      </c>
      <c r="D315" s="134">
        <f>VLOOKUP(B315,'Enrollment 22-23'!$B:$I,8,FALSE)</f>
        <v>0</v>
      </c>
      <c r="E315" s="67">
        <f t="shared" si="63"/>
        <v>0</v>
      </c>
      <c r="F315" s="146">
        <v>0</v>
      </c>
      <c r="G315" s="146">
        <v>0</v>
      </c>
      <c r="H315" s="91">
        <f t="shared" si="64"/>
        <v>0</v>
      </c>
      <c r="I315" s="67">
        <f t="shared" si="65"/>
        <v>0</v>
      </c>
      <c r="J315" s="739">
        <f t="shared" si="66"/>
        <v>0</v>
      </c>
      <c r="K315" s="837">
        <f>_xlfn.IFNA(VLOOKUP(B315,'[2]22-23 Survey Results'!$A:$F,6,FALSE),0)</f>
        <v>0</v>
      </c>
      <c r="L315" s="740">
        <f t="shared" si="67"/>
        <v>0</v>
      </c>
      <c r="M315" s="741">
        <f t="shared" si="68"/>
        <v>0</v>
      </c>
      <c r="N315" s="67">
        <f t="shared" si="69"/>
        <v>0</v>
      </c>
      <c r="O315" s="67">
        <f t="shared" si="70"/>
        <v>0</v>
      </c>
      <c r="P315" s="674"/>
      <c r="Q315" s="674">
        <f t="shared" si="71"/>
        <v>0</v>
      </c>
      <c r="R315" s="674" t="str">
        <f t="shared" si="72"/>
        <v>Not Applicable</v>
      </c>
      <c r="S315" s="798" t="str">
        <f>IF($R$7=0,"",IFERROR(VLOOKUP(B315,[3]Sheet1!$C$1:$P$65536,14,FALSE),"NA"))</f>
        <v/>
      </c>
      <c r="T315" s="798">
        <f>IF(O315=0,0,IF(S315="N",0,VLOOKUP(B315,Enrollment!B:J,9,FALSE)))</f>
        <v>0</v>
      </c>
      <c r="U315" s="88">
        <f t="shared" si="73"/>
        <v>0</v>
      </c>
      <c r="V315" s="71">
        <f t="shared" si="74"/>
        <v>0</v>
      </c>
      <c r="W315" s="449">
        <v>0</v>
      </c>
      <c r="X315" s="67">
        <f>IFERROR(VLOOKUP($B315,'Allocation 2021-22'!$B:$O,14,FALSE),0)</f>
        <v>0</v>
      </c>
      <c r="Y315" s="163">
        <f t="shared" si="75"/>
        <v>0</v>
      </c>
      <c r="Z315" s="166">
        <f t="shared" si="76"/>
        <v>0</v>
      </c>
      <c r="AA315" s="34">
        <f t="shared" si="62"/>
        <v>0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594</v>
      </c>
      <c r="B316" s="36" t="s">
        <v>332</v>
      </c>
      <c r="C316" s="23" t="s">
        <v>1517</v>
      </c>
      <c r="D316" s="134">
        <f>VLOOKUP(B316,'Enrollment 22-23'!$B:$I,8,FALSE)</f>
        <v>8</v>
      </c>
      <c r="E316" s="67">
        <f t="shared" si="63"/>
        <v>1106</v>
      </c>
      <c r="F316" s="146">
        <v>0</v>
      </c>
      <c r="G316" s="146">
        <v>0</v>
      </c>
      <c r="H316" s="91">
        <f t="shared" si="64"/>
        <v>1106</v>
      </c>
      <c r="I316" s="67">
        <f t="shared" si="65"/>
        <v>0</v>
      </c>
      <c r="J316" s="739">
        <f t="shared" si="66"/>
        <v>1106</v>
      </c>
      <c r="K316" s="837" t="str">
        <f>_xlfn.IFNA(VLOOKUP(B316,'[2]22-23 Survey Results'!$A:$F,6,FALSE),0)</f>
        <v>N</v>
      </c>
      <c r="L316" s="740">
        <f t="shared" si="67"/>
        <v>1106</v>
      </c>
      <c r="M316" s="741">
        <f t="shared" si="68"/>
        <v>0</v>
      </c>
      <c r="N316" s="67">
        <f t="shared" si="69"/>
        <v>0</v>
      </c>
      <c r="O316" s="67">
        <f t="shared" si="70"/>
        <v>0</v>
      </c>
      <c r="P316" s="674"/>
      <c r="Q316" s="674">
        <f t="shared" si="71"/>
        <v>0</v>
      </c>
      <c r="R316" s="674" t="str">
        <f t="shared" si="72"/>
        <v>Not Applicable</v>
      </c>
      <c r="S316" s="798" t="str">
        <f>IF($R$7=0,"",IFERROR(VLOOKUP(B316,[3]Sheet1!$C$1:$P$65536,14,FALSE),"NA"))</f>
        <v/>
      </c>
      <c r="T316" s="798">
        <f>IF(O316=0,0,IF(S316="N",0,VLOOKUP(B316,Enrollment!B:J,9,FALSE)))</f>
        <v>0</v>
      </c>
      <c r="U316" s="88">
        <f t="shared" si="73"/>
        <v>0</v>
      </c>
      <c r="V316" s="71">
        <f t="shared" si="74"/>
        <v>0</v>
      </c>
      <c r="W316" s="449">
        <v>0</v>
      </c>
      <c r="X316" s="67">
        <f>IFERROR(VLOOKUP($B316,'Allocation 2021-22'!$B:$O,14,FALSE),0)</f>
        <v>0</v>
      </c>
      <c r="Y316" s="163">
        <f t="shared" si="75"/>
        <v>0</v>
      </c>
      <c r="Z316" s="166">
        <f t="shared" si="76"/>
        <v>0</v>
      </c>
      <c r="AA316" s="34" t="str">
        <f t="shared" si="62"/>
        <v>N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12" t="s">
        <v>1717</v>
      </c>
      <c r="C317" s="543" t="s">
        <v>1791</v>
      </c>
      <c r="D317" s="134">
        <f>VLOOKUP(B317,'Enrollment 22-23'!$B:$I,8,FALSE)</f>
        <v>0</v>
      </c>
      <c r="E317" s="67">
        <f t="shared" si="63"/>
        <v>0</v>
      </c>
      <c r="F317" s="146">
        <v>0</v>
      </c>
      <c r="G317" s="146">
        <v>0</v>
      </c>
      <c r="H317" s="91">
        <f t="shared" si="64"/>
        <v>0</v>
      </c>
      <c r="I317" s="67">
        <f t="shared" si="65"/>
        <v>0</v>
      </c>
      <c r="J317" s="739">
        <f t="shared" si="66"/>
        <v>0</v>
      </c>
      <c r="K317" s="837">
        <f>_xlfn.IFNA(VLOOKUP(B317,'[2]22-23 Survey Results'!$A:$F,6,FALSE),0)</f>
        <v>0</v>
      </c>
      <c r="L317" s="740">
        <f t="shared" si="67"/>
        <v>0</v>
      </c>
      <c r="M317" s="741">
        <f t="shared" si="68"/>
        <v>0</v>
      </c>
      <c r="N317" s="67">
        <f t="shared" si="69"/>
        <v>0</v>
      </c>
      <c r="O317" s="67">
        <f t="shared" si="70"/>
        <v>0</v>
      </c>
      <c r="P317" s="674"/>
      <c r="Q317" s="674">
        <f t="shared" si="71"/>
        <v>0</v>
      </c>
      <c r="R317" s="674" t="str">
        <f t="shared" si="72"/>
        <v>Not Applicable</v>
      </c>
      <c r="S317" s="798" t="str">
        <f>IF($R$7=0,"",IFERROR(VLOOKUP(B317,[3]Sheet1!$C$1:$P$65536,14,FALSE),"NA"))</f>
        <v/>
      </c>
      <c r="T317" s="798">
        <f>IF(O317=0,0,IF(S317="N",0,VLOOKUP(B317,Enrollment!B:J,9,FALSE)))</f>
        <v>0</v>
      </c>
      <c r="U317" s="88">
        <f t="shared" si="73"/>
        <v>0</v>
      </c>
      <c r="V317" s="71">
        <f t="shared" si="74"/>
        <v>0</v>
      </c>
      <c r="W317" s="449">
        <v>0</v>
      </c>
      <c r="X317" s="67">
        <f>IFERROR(VLOOKUP($B317,'Allocation 2021-22'!$B:$O,14,FALSE),0)</f>
        <v>0</v>
      </c>
      <c r="Y317" s="163">
        <f t="shared" si="75"/>
        <v>0</v>
      </c>
      <c r="Z317" s="166">
        <f t="shared" si="76"/>
        <v>0</v>
      </c>
      <c r="AA317" s="34">
        <f t="shared" si="62"/>
        <v>0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601</v>
      </c>
      <c r="B318" s="812" t="s">
        <v>129</v>
      </c>
      <c r="C318" s="543" t="s">
        <v>1427</v>
      </c>
      <c r="D318" s="134">
        <f>VLOOKUP(B318,'Enrollment 22-23'!$B:$I,8,FALSE)</f>
        <v>2</v>
      </c>
      <c r="E318" s="67">
        <f t="shared" si="63"/>
        <v>277</v>
      </c>
      <c r="F318" s="146">
        <v>0</v>
      </c>
      <c r="G318" s="146">
        <v>0</v>
      </c>
      <c r="H318" s="91">
        <f t="shared" si="64"/>
        <v>277</v>
      </c>
      <c r="I318" s="67">
        <f t="shared" si="65"/>
        <v>0</v>
      </c>
      <c r="J318" s="739">
        <f t="shared" si="66"/>
        <v>277</v>
      </c>
      <c r="K318" s="837" t="str">
        <f>_xlfn.IFNA(VLOOKUP(B318,'[2]22-23 Survey Results'!$A:$F,6,FALSE),0)</f>
        <v>N</v>
      </c>
      <c r="L318" s="740">
        <f t="shared" si="67"/>
        <v>277</v>
      </c>
      <c r="M318" s="741">
        <f t="shared" si="68"/>
        <v>0</v>
      </c>
      <c r="N318" s="67">
        <f t="shared" si="69"/>
        <v>0</v>
      </c>
      <c r="O318" s="67">
        <f t="shared" si="70"/>
        <v>0</v>
      </c>
      <c r="P318" s="674"/>
      <c r="Q318" s="674">
        <f t="shared" si="71"/>
        <v>0</v>
      </c>
      <c r="R318" s="674" t="str">
        <f t="shared" si="72"/>
        <v>Not Applicable</v>
      </c>
      <c r="S318" s="798" t="str">
        <f>IF($R$7=0,"",IFERROR(VLOOKUP(B318,[3]Sheet1!$C$1:$P$65536,14,FALSE),"NA"))</f>
        <v/>
      </c>
      <c r="T318" s="798">
        <f>IF(O318=0,0,IF(S318="N",0,VLOOKUP(B318,Enrollment!B:J,9,FALSE)))</f>
        <v>0</v>
      </c>
      <c r="U318" s="88">
        <f t="shared" si="73"/>
        <v>0</v>
      </c>
      <c r="V318" s="71">
        <f t="shared" si="74"/>
        <v>0</v>
      </c>
      <c r="W318" s="449">
        <v>0</v>
      </c>
      <c r="X318" s="67">
        <f>IFERROR(VLOOKUP($B318,'Allocation 2021-22'!$B:$O,14,FALSE),0)</f>
        <v>0</v>
      </c>
      <c r="Y318" s="163">
        <f t="shared" si="75"/>
        <v>0</v>
      </c>
      <c r="Z318" s="166">
        <f t="shared" si="76"/>
        <v>0</v>
      </c>
      <c r="AA318" s="34" t="str">
        <f t="shared" si="62"/>
        <v>N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594</v>
      </c>
      <c r="B319" s="838" t="s">
        <v>264</v>
      </c>
      <c r="C319" t="s">
        <v>1486</v>
      </c>
      <c r="D319" s="134">
        <f>VLOOKUP(B319,'Enrollment 22-23'!$B:$I,8,FALSE)</f>
        <v>46.5</v>
      </c>
      <c r="E319" s="67">
        <f t="shared" si="63"/>
        <v>6429</v>
      </c>
      <c r="F319" s="146">
        <v>0</v>
      </c>
      <c r="G319" s="146">
        <v>0</v>
      </c>
      <c r="H319" s="91">
        <f t="shared" si="64"/>
        <v>6429</v>
      </c>
      <c r="I319" s="67">
        <f t="shared" si="65"/>
        <v>0</v>
      </c>
      <c r="J319" s="739">
        <f t="shared" si="66"/>
        <v>6429</v>
      </c>
      <c r="K319" s="837" t="str">
        <f>_xlfn.IFNA(VLOOKUP(B319,'[2]22-23 Survey Results'!$A:$F,6,FALSE),0)</f>
        <v>C</v>
      </c>
      <c r="L319" s="740">
        <f t="shared" si="67"/>
        <v>0</v>
      </c>
      <c r="M319" s="741">
        <f t="shared" si="68"/>
        <v>46.5</v>
      </c>
      <c r="N319" s="67">
        <f t="shared" si="69"/>
        <v>63</v>
      </c>
      <c r="O319" s="67">
        <f t="shared" si="70"/>
        <v>6492</v>
      </c>
      <c r="P319" s="674"/>
      <c r="Q319" s="674">
        <f t="shared" si="71"/>
        <v>0</v>
      </c>
      <c r="R319" s="674" t="str">
        <f t="shared" si="72"/>
        <v>Not Applicable</v>
      </c>
      <c r="S319" s="798" t="str">
        <f>IF($R$7=0,"",IFERROR(VLOOKUP(B319,[3]Sheet1!$C$1:$P$65536,14,FALSE),"NA"))</f>
        <v/>
      </c>
      <c r="T319" s="798">
        <f>IF(O319=0,0,IF(S319="N",0,VLOOKUP(B319,Enrollment!B:J,9,FALSE)))</f>
        <v>0</v>
      </c>
      <c r="U319" s="88">
        <f t="shared" si="73"/>
        <v>6492</v>
      </c>
      <c r="V319" s="71">
        <f t="shared" si="74"/>
        <v>139.61290322580646</v>
      </c>
      <c r="W319" s="449">
        <v>0</v>
      </c>
      <c r="X319" s="67">
        <f>IFERROR(VLOOKUP($B319,'Allocation 2021-22'!$B:$O,14,FALSE),0)</f>
        <v>0</v>
      </c>
      <c r="Y319" s="163">
        <f t="shared" si="75"/>
        <v>6492</v>
      </c>
      <c r="Z319" s="166">
        <f t="shared" si="76"/>
        <v>0</v>
      </c>
      <c r="AA319" s="34" t="str">
        <f t="shared" si="62"/>
        <v>C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594</v>
      </c>
      <c r="B320" s="838" t="s">
        <v>151</v>
      </c>
      <c r="C320" t="s">
        <v>1437</v>
      </c>
      <c r="D320" s="134">
        <f>VLOOKUP(B320,'Enrollment 22-23'!$B:$I,8,FALSE)</f>
        <v>0</v>
      </c>
      <c r="E320" s="67">
        <f t="shared" si="63"/>
        <v>0</v>
      </c>
      <c r="F320" s="146">
        <v>0</v>
      </c>
      <c r="G320" s="146">
        <v>0</v>
      </c>
      <c r="H320" s="91">
        <f t="shared" si="64"/>
        <v>0</v>
      </c>
      <c r="I320" s="67">
        <f t="shared" si="65"/>
        <v>0</v>
      </c>
      <c r="J320" s="739">
        <f t="shared" si="66"/>
        <v>0</v>
      </c>
      <c r="K320" s="837">
        <f>_xlfn.IFNA(VLOOKUP(B320,'[2]22-23 Survey Results'!$A:$F,6,FALSE),0)</f>
        <v>0</v>
      </c>
      <c r="L320" s="740">
        <f t="shared" si="67"/>
        <v>0</v>
      </c>
      <c r="M320" s="741">
        <f t="shared" si="68"/>
        <v>0</v>
      </c>
      <c r="N320" s="67">
        <f t="shared" si="69"/>
        <v>0</v>
      </c>
      <c r="O320" s="67">
        <f t="shared" si="70"/>
        <v>0</v>
      </c>
      <c r="P320" s="674"/>
      <c r="Q320" s="674">
        <f t="shared" si="71"/>
        <v>0</v>
      </c>
      <c r="R320" s="674" t="str">
        <f t="shared" si="72"/>
        <v>Not Applicable</v>
      </c>
      <c r="S320" s="798" t="str">
        <f>IF($R$7=0,"",IFERROR(VLOOKUP(B320,[3]Sheet1!$C$1:$P$65536,14,FALSE),"NA"))</f>
        <v/>
      </c>
      <c r="T320" s="798">
        <f>IF(O320=0,0,IF(S320="N",0,VLOOKUP(B320,Enrollment!B:J,9,FALSE)))</f>
        <v>0</v>
      </c>
      <c r="U320" s="88">
        <f t="shared" si="73"/>
        <v>0</v>
      </c>
      <c r="V320" s="71">
        <f t="shared" si="74"/>
        <v>0</v>
      </c>
      <c r="W320" s="449">
        <v>0</v>
      </c>
      <c r="X320" s="67">
        <f>IFERROR(VLOOKUP($B320,'Allocation 2021-22'!$B:$O,14,FALSE),0)</f>
        <v>0</v>
      </c>
      <c r="Y320" s="163">
        <f t="shared" si="75"/>
        <v>0</v>
      </c>
      <c r="Z320" s="166">
        <f t="shared" si="76"/>
        <v>0</v>
      </c>
      <c r="AA320" s="34">
        <f t="shared" si="62"/>
        <v>0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599</v>
      </c>
      <c r="B321" s="838" t="s">
        <v>232</v>
      </c>
      <c r="C321" t="s">
        <v>1472</v>
      </c>
      <c r="D321" s="134">
        <f>VLOOKUP(B321,'Enrollment 22-23'!$B:$I,8,FALSE)</f>
        <v>0</v>
      </c>
      <c r="E321" s="67">
        <f t="shared" si="63"/>
        <v>0</v>
      </c>
      <c r="F321" s="146">
        <v>0</v>
      </c>
      <c r="G321" s="146">
        <v>0</v>
      </c>
      <c r="H321" s="91">
        <f t="shared" si="64"/>
        <v>0</v>
      </c>
      <c r="I321" s="67">
        <f t="shared" si="65"/>
        <v>0</v>
      </c>
      <c r="J321" s="739">
        <f t="shared" si="66"/>
        <v>0</v>
      </c>
      <c r="K321" s="837">
        <f>_xlfn.IFNA(VLOOKUP(B321,'[2]22-23 Survey Results'!$A:$F,6,FALSE),0)</f>
        <v>0</v>
      </c>
      <c r="L321" s="740">
        <f t="shared" si="67"/>
        <v>0</v>
      </c>
      <c r="M321" s="741">
        <f t="shared" si="68"/>
        <v>0</v>
      </c>
      <c r="N321" s="67">
        <f t="shared" si="69"/>
        <v>0</v>
      </c>
      <c r="O321" s="67">
        <f t="shared" si="70"/>
        <v>0</v>
      </c>
      <c r="P321" s="674"/>
      <c r="Q321" s="674">
        <f t="shared" si="71"/>
        <v>0</v>
      </c>
      <c r="R321" s="674" t="str">
        <f t="shared" si="72"/>
        <v>Not Applicable</v>
      </c>
      <c r="S321" s="798" t="str">
        <f>IF($R$7=0,"",IFERROR(VLOOKUP(B321,[3]Sheet1!$C$1:$P$65536,14,FALSE),"NA"))</f>
        <v/>
      </c>
      <c r="T321" s="798">
        <f>IF(O321=0,0,IF(S321="N",0,VLOOKUP(B321,Enrollment!B:J,9,FALSE)))</f>
        <v>0</v>
      </c>
      <c r="U321" s="88">
        <f t="shared" si="73"/>
        <v>0</v>
      </c>
      <c r="V321" s="71">
        <f t="shared" si="74"/>
        <v>0</v>
      </c>
      <c r="W321" s="449">
        <v>0</v>
      </c>
      <c r="X321" s="67">
        <f>IFERROR(VLOOKUP($B321,'Allocation 2021-22'!$B:$O,14,FALSE),0)</f>
        <v>0</v>
      </c>
      <c r="Y321" s="163">
        <f t="shared" si="75"/>
        <v>0</v>
      </c>
      <c r="Z321" s="166">
        <f t="shared" si="76"/>
        <v>0</v>
      </c>
      <c r="AA321" s="34">
        <f t="shared" si="62"/>
        <v>0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599</v>
      </c>
      <c r="B322" s="838" t="s">
        <v>78</v>
      </c>
      <c r="C322" t="s">
        <v>1403</v>
      </c>
      <c r="D322" s="134">
        <f>VLOOKUP(B322,'Enrollment 22-23'!$B:$I,8,FALSE)</f>
        <v>208.5</v>
      </c>
      <c r="E322" s="67">
        <f t="shared" si="63"/>
        <v>28828</v>
      </c>
      <c r="F322" s="146">
        <v>0</v>
      </c>
      <c r="G322" s="146">
        <v>0</v>
      </c>
      <c r="H322" s="91">
        <f t="shared" si="64"/>
        <v>28828</v>
      </c>
      <c r="I322" s="67">
        <f t="shared" si="65"/>
        <v>0</v>
      </c>
      <c r="J322" s="739">
        <f t="shared" si="66"/>
        <v>28828</v>
      </c>
      <c r="K322" s="837" t="str">
        <f>_xlfn.IFNA(VLOOKUP(B322,'[2]22-23 Survey Results'!$A:$F,6,FALSE),0)</f>
        <v>Y</v>
      </c>
      <c r="L322" s="740">
        <f t="shared" si="67"/>
        <v>0</v>
      </c>
      <c r="M322" s="741">
        <f t="shared" si="68"/>
        <v>208.5</v>
      </c>
      <c r="N322" s="67">
        <f t="shared" si="69"/>
        <v>281</v>
      </c>
      <c r="O322" s="67">
        <f t="shared" si="70"/>
        <v>29109</v>
      </c>
      <c r="P322" s="674"/>
      <c r="Q322" s="674">
        <f t="shared" si="71"/>
        <v>0</v>
      </c>
      <c r="R322" s="674" t="str">
        <f t="shared" si="72"/>
        <v>Not Applicable</v>
      </c>
      <c r="S322" s="798" t="str">
        <f>IF($R$7=0,"",IFERROR(VLOOKUP(B322,[3]Sheet1!$C$1:$P$65536,14,FALSE),"NA"))</f>
        <v/>
      </c>
      <c r="T322" s="798">
        <f>IF(O322=0,0,IF(S322="N",0,VLOOKUP(B322,Enrollment!B:J,9,FALSE)))</f>
        <v>0</v>
      </c>
      <c r="U322" s="88">
        <f t="shared" si="73"/>
        <v>29109</v>
      </c>
      <c r="V322" s="71">
        <f t="shared" si="74"/>
        <v>139.6115107913669</v>
      </c>
      <c r="W322" s="449">
        <v>26250</v>
      </c>
      <c r="X322" s="67">
        <f>IFERROR(VLOOKUP($B322,'Allocation 2021-22'!$B:$O,14,FALSE),0)</f>
        <v>26151</v>
      </c>
      <c r="Y322" s="163">
        <f t="shared" si="75"/>
        <v>2958</v>
      </c>
      <c r="Z322" s="166">
        <f t="shared" si="76"/>
        <v>0.11311230928071585</v>
      </c>
      <c r="AA322" s="34" t="str">
        <f t="shared" si="62"/>
        <v>Y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23" t="s">
        <v>605</v>
      </c>
      <c r="B323" s="23" t="s">
        <v>547</v>
      </c>
      <c r="C323" s="23" t="s">
        <v>1622</v>
      </c>
      <c r="D323" s="134">
        <f>VLOOKUP(B323,'Enrollment 22-23'!$B:$I,8,FALSE)</f>
        <v>4660.16</v>
      </c>
      <c r="E323" s="67">
        <f t="shared" si="63"/>
        <v>644341</v>
      </c>
      <c r="F323" s="146">
        <v>0</v>
      </c>
      <c r="G323" s="146">
        <v>0</v>
      </c>
      <c r="H323" s="91">
        <f t="shared" si="64"/>
        <v>644341</v>
      </c>
      <c r="I323" s="67">
        <f t="shared" si="65"/>
        <v>0</v>
      </c>
      <c r="J323" s="739">
        <f t="shared" si="66"/>
        <v>644341</v>
      </c>
      <c r="K323" s="837" t="str">
        <f>_xlfn.IFNA(VLOOKUP(B323,'[2]22-23 Survey Results'!$A:$F,6,FALSE),0)</f>
        <v>Y</v>
      </c>
      <c r="L323" s="740">
        <f t="shared" si="67"/>
        <v>0</v>
      </c>
      <c r="M323" s="741">
        <f t="shared" si="68"/>
        <v>4660.16</v>
      </c>
      <c r="N323" s="67">
        <f t="shared" si="69"/>
        <v>6290</v>
      </c>
      <c r="O323" s="67">
        <f t="shared" si="70"/>
        <v>650631</v>
      </c>
      <c r="P323" s="674"/>
      <c r="Q323" s="674">
        <f t="shared" si="71"/>
        <v>0</v>
      </c>
      <c r="R323" s="674" t="str">
        <f t="shared" si="72"/>
        <v>Not Applicable</v>
      </c>
      <c r="S323" s="798" t="str">
        <f>IF($R$7=0,"",IFERROR(VLOOKUP(B323,[3]Sheet1!$C$1:$P$65536,14,FALSE),"NA"))</f>
        <v/>
      </c>
      <c r="T323" s="798">
        <f>IF(O323=0,0,IF(S323="N",0,VLOOKUP(B323,Enrollment!B:J,9,FALSE)))</f>
        <v>0</v>
      </c>
      <c r="U323" s="88">
        <f t="shared" si="73"/>
        <v>650631</v>
      </c>
      <c r="V323" s="71">
        <f t="shared" si="74"/>
        <v>139.61559259767904</v>
      </c>
      <c r="W323" s="449">
        <v>645138</v>
      </c>
      <c r="X323" s="67">
        <f>IFERROR(VLOOKUP($B323,'Allocation 2021-22'!$B:$O,14,FALSE),0)</f>
        <v>642709</v>
      </c>
      <c r="Y323" s="163">
        <f t="shared" si="75"/>
        <v>7922</v>
      </c>
      <c r="Z323" s="166">
        <f t="shared" si="76"/>
        <v>1.2325951558170184E-2</v>
      </c>
      <c r="AA323" s="34" t="str">
        <f t="shared" si="62"/>
        <v>Y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  <row r="324" spans="1:37">
      <c r="A324" s="23" t="s">
        <v>594</v>
      </c>
      <c r="B324" s="23" t="s">
        <v>472</v>
      </c>
      <c r="C324" s="23" t="s">
        <v>1588</v>
      </c>
      <c r="D324" s="134">
        <f>VLOOKUP(B324,'Enrollment 22-23'!$B:$I,8,FALSE)</f>
        <v>181.67000000000002</v>
      </c>
      <c r="E324" s="67">
        <f t="shared" si="63"/>
        <v>25119</v>
      </c>
      <c r="F324" s="146">
        <v>0</v>
      </c>
      <c r="G324" s="146">
        <v>0</v>
      </c>
      <c r="H324" s="91">
        <f t="shared" si="64"/>
        <v>25119</v>
      </c>
      <c r="I324" s="67">
        <f t="shared" si="65"/>
        <v>0</v>
      </c>
      <c r="J324" s="739">
        <f t="shared" si="66"/>
        <v>25119</v>
      </c>
      <c r="K324" s="837" t="str">
        <f>_xlfn.IFNA(VLOOKUP(B324,'[2]22-23 Survey Results'!$A:$F,6,FALSE),0)</f>
        <v>Y</v>
      </c>
      <c r="L324" s="740">
        <f t="shared" si="67"/>
        <v>0</v>
      </c>
      <c r="M324" s="741">
        <f t="shared" si="68"/>
        <v>181.67000000000002</v>
      </c>
      <c r="N324" s="67">
        <f t="shared" si="69"/>
        <v>245</v>
      </c>
      <c r="O324" s="67">
        <f t="shared" si="70"/>
        <v>25364</v>
      </c>
      <c r="Q324" s="674">
        <f t="shared" si="71"/>
        <v>0</v>
      </c>
      <c r="R324" s="674" t="str">
        <f t="shared" si="72"/>
        <v>Not Applicable</v>
      </c>
      <c r="S324" s="798" t="str">
        <f>IF($R$7=0,"",IFERROR(VLOOKUP(B324,[3]Sheet1!$C$1:$P$65536,14,FALSE),"NA"))</f>
        <v/>
      </c>
      <c r="T324" s="798">
        <f>IF(O324=0,0,IF(S324="N",0,VLOOKUP(B324,Enrollment!B:J,9,FALSE)))</f>
        <v>0</v>
      </c>
      <c r="U324" s="88">
        <f t="shared" si="73"/>
        <v>25364</v>
      </c>
      <c r="V324" s="71">
        <f t="shared" si="74"/>
        <v>139.61578686629602</v>
      </c>
      <c r="W324" s="449">
        <v>20555</v>
      </c>
      <c r="X324" s="67">
        <f>IFERROR(VLOOKUP($B324,'Allocation 2021-22'!$B:$O,14,FALSE),0)</f>
        <v>0</v>
      </c>
      <c r="Y324" s="163">
        <f t="shared" si="75"/>
        <v>25364</v>
      </c>
      <c r="Z324" s="166">
        <f t="shared" si="76"/>
        <v>0</v>
      </c>
      <c r="AA324" s="34" t="str">
        <f t="shared" si="62"/>
        <v>Y</v>
      </c>
    </row>
    <row r="325" spans="1:37">
      <c r="A325" s="23" t="s">
        <v>605</v>
      </c>
      <c r="B325" s="23" t="s">
        <v>565</v>
      </c>
      <c r="C325" s="23" t="s">
        <v>1629</v>
      </c>
      <c r="D325" s="134">
        <f>VLOOKUP(B325,'Enrollment 22-23'!$B:$I,8,FALSE)</f>
        <v>153.34</v>
      </c>
      <c r="E325" s="67">
        <f t="shared" si="63"/>
        <v>21202</v>
      </c>
      <c r="F325" s="146">
        <v>0</v>
      </c>
      <c r="G325" s="146">
        <v>0</v>
      </c>
      <c r="H325" s="91">
        <f t="shared" si="64"/>
        <v>21202</v>
      </c>
      <c r="I325" s="67">
        <f t="shared" si="65"/>
        <v>0</v>
      </c>
      <c r="J325" s="739">
        <f t="shared" si="66"/>
        <v>21202</v>
      </c>
      <c r="K325" s="837" t="str">
        <f>_xlfn.IFNA(VLOOKUP(B325,'[2]22-23 Survey Results'!$A:$F,6,FALSE),0)</f>
        <v>Y</v>
      </c>
      <c r="L325" s="740">
        <f t="shared" si="67"/>
        <v>0</v>
      </c>
      <c r="M325" s="741">
        <f t="shared" si="68"/>
        <v>153.34</v>
      </c>
      <c r="N325" s="67">
        <f t="shared" si="69"/>
        <v>207</v>
      </c>
      <c r="O325" s="67">
        <f t="shared" si="70"/>
        <v>21409</v>
      </c>
      <c r="Q325" s="674">
        <f t="shared" si="71"/>
        <v>0</v>
      </c>
      <c r="R325" s="674" t="str">
        <f t="shared" si="72"/>
        <v>Not Applicable</v>
      </c>
      <c r="S325" s="798" t="str">
        <f>IF($R$7=0,"",IFERROR(VLOOKUP(B325,[3]Sheet1!$C$1:$P$65536,14,FALSE),"NA"))</f>
        <v/>
      </c>
      <c r="T325" s="798">
        <f>IF(O325=0,0,IF(S325="N",0,VLOOKUP(B325,Enrollment!B:J,9,FALSE)))</f>
        <v>0</v>
      </c>
      <c r="U325" s="88">
        <f t="shared" si="73"/>
        <v>21409</v>
      </c>
      <c r="V325" s="71">
        <f t="shared" si="74"/>
        <v>139.6178427024912</v>
      </c>
      <c r="W325" s="449">
        <v>20646</v>
      </c>
      <c r="X325" s="67">
        <f>IFERROR(VLOOKUP($B325,'Allocation 2021-22'!$B:$O,14,FALSE),0)</f>
        <v>20568</v>
      </c>
      <c r="Y325" s="163">
        <f t="shared" si="75"/>
        <v>841</v>
      </c>
      <c r="Z325" s="166">
        <f t="shared" si="76"/>
        <v>4.0888759237650722E-2</v>
      </c>
      <c r="AA325" s="34" t="str">
        <f t="shared" si="62"/>
        <v>Y</v>
      </c>
    </row>
    <row r="326" spans="1:37">
      <c r="C326" s="23" t="s">
        <v>1667</v>
      </c>
      <c r="D326" s="67">
        <f t="shared" ref="D326:J326" si="77">SUM(D9:D325)</f>
        <v>133289.86000000002</v>
      </c>
      <c r="E326" s="67">
        <f t="shared" si="77"/>
        <v>18429434</v>
      </c>
      <c r="F326" s="67">
        <f t="shared" si="77"/>
        <v>0</v>
      </c>
      <c r="G326" s="67">
        <f t="shared" si="77"/>
        <v>0</v>
      </c>
      <c r="H326" s="91">
        <f t="shared" si="77"/>
        <v>18429434</v>
      </c>
      <c r="I326" s="71">
        <f t="shared" si="77"/>
        <v>0</v>
      </c>
      <c r="J326" s="71">
        <f t="shared" si="77"/>
        <v>18429434</v>
      </c>
      <c r="L326" s="88">
        <f>SUM(L9:L325)</f>
        <v>178179</v>
      </c>
      <c r="M326" s="88">
        <f>SUM(M9:M325)</f>
        <v>132001.20000000001</v>
      </c>
      <c r="N326" s="88">
        <f>SUM(N9:N325)</f>
        <v>178179</v>
      </c>
      <c r="O326" s="88">
        <f>SUM(O9:O325)</f>
        <v>18429436</v>
      </c>
      <c r="P326" s="88"/>
      <c r="Q326" s="88">
        <f>SUM(Q9:Q325)</f>
        <v>0</v>
      </c>
      <c r="U326" s="674">
        <f>SUM(U9:U325)</f>
        <v>18429436</v>
      </c>
      <c r="W326" s="674">
        <f>SUM(W9:W325)</f>
        <v>17723572</v>
      </c>
      <c r="X326" s="674">
        <f t="shared" ref="X326:Z326" si="78">SUM(X9:X325)</f>
        <v>17723576</v>
      </c>
      <c r="Y326" s="674">
        <f t="shared" si="78"/>
        <v>705860</v>
      </c>
      <c r="Z326" s="862">
        <f t="shared" si="78"/>
        <v>0.69817453349795555</v>
      </c>
    </row>
  </sheetData>
  <autoFilter ref="A8:AK326" xr:uid="{00000000-0009-0000-0000-000005000000}"/>
  <mergeCells count="4">
    <mergeCell ref="E2:H2"/>
    <mergeCell ref="I2:J2"/>
    <mergeCell ref="K2:O2"/>
    <mergeCell ref="R2:T2"/>
  </mergeCells>
  <conditionalFormatting sqref="L9:L325">
    <cfRule type="expression" dxfId="100" priority="27">
      <formula>AND($L9&gt;0,$K9="Yes")</formula>
    </cfRule>
  </conditionalFormatting>
  <conditionalFormatting sqref="C9:C322">
    <cfRule type="expression" dxfId="99" priority="26">
      <formula>AND($O9&lt;10000,$O9&gt;0,$K9="Y")</formula>
    </cfRule>
  </conditionalFormatting>
  <conditionalFormatting sqref="AJ12">
    <cfRule type="expression" dxfId="98" priority="22">
      <formula>AND($I75&lt;10000,$I75&gt;0,#REF!="Y")</formula>
    </cfRule>
  </conditionalFormatting>
  <conditionalFormatting sqref="AD9:AD31">
    <cfRule type="expression" dxfId="97" priority="1">
      <formula>AND($P9&lt;10000,$P9&gt;0,$L9="Y")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4:R305"/>
  <sheetViews>
    <sheetView workbookViewId="0">
      <selection activeCell="G15" sqref="G15"/>
    </sheetView>
  </sheetViews>
  <sheetFormatPr defaultColWidth="16.42578125" defaultRowHeight="12.75"/>
  <cols>
    <col min="1" max="1" width="6.140625" customWidth="1"/>
    <col min="2" max="2" width="9.42578125" customWidth="1"/>
    <col min="3" max="3" width="24.140625" customWidth="1"/>
    <col min="4" max="4" width="9.42578125" hidden="1" customWidth="1"/>
    <col min="5" max="13" width="10" customWidth="1"/>
    <col min="14" max="14" width="16.85546875" bestFit="1" customWidth="1"/>
    <col min="15" max="15" width="18" bestFit="1" customWidth="1"/>
    <col min="16" max="16" width="6.140625" customWidth="1"/>
    <col min="17" max="17" width="8.5703125" customWidth="1"/>
    <col min="257" max="257" width="6.140625" customWidth="1"/>
    <col min="258" max="258" width="9.42578125" customWidth="1"/>
    <col min="259" max="259" width="24.140625" customWidth="1"/>
    <col min="260" max="260" width="0" hidden="1" customWidth="1"/>
    <col min="261" max="266" width="10" customWidth="1"/>
    <col min="267" max="269" width="0" hidden="1" customWidth="1"/>
    <col min="270" max="270" width="16.85546875" bestFit="1" customWidth="1"/>
    <col min="271" max="271" width="18" bestFit="1" customWidth="1"/>
    <col min="272" max="272" width="6.140625" customWidth="1"/>
    <col min="273" max="273" width="8.5703125" customWidth="1"/>
    <col min="513" max="513" width="6.140625" customWidth="1"/>
    <col min="514" max="514" width="9.42578125" customWidth="1"/>
    <col min="515" max="515" width="24.140625" customWidth="1"/>
    <col min="516" max="516" width="0" hidden="1" customWidth="1"/>
    <col min="517" max="522" width="10" customWidth="1"/>
    <col min="523" max="525" width="0" hidden="1" customWidth="1"/>
    <col min="526" max="526" width="16.85546875" bestFit="1" customWidth="1"/>
    <col min="527" max="527" width="18" bestFit="1" customWidth="1"/>
    <col min="528" max="528" width="6.140625" customWidth="1"/>
    <col min="529" max="529" width="8.5703125" customWidth="1"/>
    <col min="769" max="769" width="6.140625" customWidth="1"/>
    <col min="770" max="770" width="9.42578125" customWidth="1"/>
    <col min="771" max="771" width="24.140625" customWidth="1"/>
    <col min="772" max="772" width="0" hidden="1" customWidth="1"/>
    <col min="773" max="778" width="10" customWidth="1"/>
    <col min="779" max="781" width="0" hidden="1" customWidth="1"/>
    <col min="782" max="782" width="16.85546875" bestFit="1" customWidth="1"/>
    <col min="783" max="783" width="18" bestFit="1" customWidth="1"/>
    <col min="784" max="784" width="6.140625" customWidth="1"/>
    <col min="785" max="785" width="8.5703125" customWidth="1"/>
    <col min="1025" max="1025" width="6.140625" customWidth="1"/>
    <col min="1026" max="1026" width="9.42578125" customWidth="1"/>
    <col min="1027" max="1027" width="24.140625" customWidth="1"/>
    <col min="1028" max="1028" width="0" hidden="1" customWidth="1"/>
    <col min="1029" max="1034" width="10" customWidth="1"/>
    <col min="1035" max="1037" width="0" hidden="1" customWidth="1"/>
    <col min="1038" max="1038" width="16.85546875" bestFit="1" customWidth="1"/>
    <col min="1039" max="1039" width="18" bestFit="1" customWidth="1"/>
    <col min="1040" max="1040" width="6.140625" customWidth="1"/>
    <col min="1041" max="1041" width="8.5703125" customWidth="1"/>
    <col min="1281" max="1281" width="6.140625" customWidth="1"/>
    <col min="1282" max="1282" width="9.42578125" customWidth="1"/>
    <col min="1283" max="1283" width="24.140625" customWidth="1"/>
    <col min="1284" max="1284" width="0" hidden="1" customWidth="1"/>
    <col min="1285" max="1290" width="10" customWidth="1"/>
    <col min="1291" max="1293" width="0" hidden="1" customWidth="1"/>
    <col min="1294" max="1294" width="16.85546875" bestFit="1" customWidth="1"/>
    <col min="1295" max="1295" width="18" bestFit="1" customWidth="1"/>
    <col min="1296" max="1296" width="6.140625" customWidth="1"/>
    <col min="1297" max="1297" width="8.5703125" customWidth="1"/>
    <col min="1537" max="1537" width="6.140625" customWidth="1"/>
    <col min="1538" max="1538" width="9.42578125" customWidth="1"/>
    <col min="1539" max="1539" width="24.140625" customWidth="1"/>
    <col min="1540" max="1540" width="0" hidden="1" customWidth="1"/>
    <col min="1541" max="1546" width="10" customWidth="1"/>
    <col min="1547" max="1549" width="0" hidden="1" customWidth="1"/>
    <col min="1550" max="1550" width="16.85546875" bestFit="1" customWidth="1"/>
    <col min="1551" max="1551" width="18" bestFit="1" customWidth="1"/>
    <col min="1552" max="1552" width="6.140625" customWidth="1"/>
    <col min="1553" max="1553" width="8.5703125" customWidth="1"/>
    <col min="1793" max="1793" width="6.140625" customWidth="1"/>
    <col min="1794" max="1794" width="9.42578125" customWidth="1"/>
    <col min="1795" max="1795" width="24.140625" customWidth="1"/>
    <col min="1796" max="1796" width="0" hidden="1" customWidth="1"/>
    <col min="1797" max="1802" width="10" customWidth="1"/>
    <col min="1803" max="1805" width="0" hidden="1" customWidth="1"/>
    <col min="1806" max="1806" width="16.85546875" bestFit="1" customWidth="1"/>
    <col min="1807" max="1807" width="18" bestFit="1" customWidth="1"/>
    <col min="1808" max="1808" width="6.140625" customWidth="1"/>
    <col min="1809" max="1809" width="8.5703125" customWidth="1"/>
    <col min="2049" max="2049" width="6.140625" customWidth="1"/>
    <col min="2050" max="2050" width="9.42578125" customWidth="1"/>
    <col min="2051" max="2051" width="24.140625" customWidth="1"/>
    <col min="2052" max="2052" width="0" hidden="1" customWidth="1"/>
    <col min="2053" max="2058" width="10" customWidth="1"/>
    <col min="2059" max="2061" width="0" hidden="1" customWidth="1"/>
    <col min="2062" max="2062" width="16.85546875" bestFit="1" customWidth="1"/>
    <col min="2063" max="2063" width="18" bestFit="1" customWidth="1"/>
    <col min="2064" max="2064" width="6.140625" customWidth="1"/>
    <col min="2065" max="2065" width="8.5703125" customWidth="1"/>
    <col min="2305" max="2305" width="6.140625" customWidth="1"/>
    <col min="2306" max="2306" width="9.42578125" customWidth="1"/>
    <col min="2307" max="2307" width="24.140625" customWidth="1"/>
    <col min="2308" max="2308" width="0" hidden="1" customWidth="1"/>
    <col min="2309" max="2314" width="10" customWidth="1"/>
    <col min="2315" max="2317" width="0" hidden="1" customWidth="1"/>
    <col min="2318" max="2318" width="16.85546875" bestFit="1" customWidth="1"/>
    <col min="2319" max="2319" width="18" bestFit="1" customWidth="1"/>
    <col min="2320" max="2320" width="6.140625" customWidth="1"/>
    <col min="2321" max="2321" width="8.5703125" customWidth="1"/>
    <col min="2561" max="2561" width="6.140625" customWidth="1"/>
    <col min="2562" max="2562" width="9.42578125" customWidth="1"/>
    <col min="2563" max="2563" width="24.140625" customWidth="1"/>
    <col min="2564" max="2564" width="0" hidden="1" customWidth="1"/>
    <col min="2565" max="2570" width="10" customWidth="1"/>
    <col min="2571" max="2573" width="0" hidden="1" customWidth="1"/>
    <col min="2574" max="2574" width="16.85546875" bestFit="1" customWidth="1"/>
    <col min="2575" max="2575" width="18" bestFit="1" customWidth="1"/>
    <col min="2576" max="2576" width="6.140625" customWidth="1"/>
    <col min="2577" max="2577" width="8.5703125" customWidth="1"/>
    <col min="2817" max="2817" width="6.140625" customWidth="1"/>
    <col min="2818" max="2818" width="9.42578125" customWidth="1"/>
    <col min="2819" max="2819" width="24.140625" customWidth="1"/>
    <col min="2820" max="2820" width="0" hidden="1" customWidth="1"/>
    <col min="2821" max="2826" width="10" customWidth="1"/>
    <col min="2827" max="2829" width="0" hidden="1" customWidth="1"/>
    <col min="2830" max="2830" width="16.85546875" bestFit="1" customWidth="1"/>
    <col min="2831" max="2831" width="18" bestFit="1" customWidth="1"/>
    <col min="2832" max="2832" width="6.140625" customWidth="1"/>
    <col min="2833" max="2833" width="8.5703125" customWidth="1"/>
    <col min="3073" max="3073" width="6.140625" customWidth="1"/>
    <col min="3074" max="3074" width="9.42578125" customWidth="1"/>
    <col min="3075" max="3075" width="24.140625" customWidth="1"/>
    <col min="3076" max="3076" width="0" hidden="1" customWidth="1"/>
    <col min="3077" max="3082" width="10" customWidth="1"/>
    <col min="3083" max="3085" width="0" hidden="1" customWidth="1"/>
    <col min="3086" max="3086" width="16.85546875" bestFit="1" customWidth="1"/>
    <col min="3087" max="3087" width="18" bestFit="1" customWidth="1"/>
    <col min="3088" max="3088" width="6.140625" customWidth="1"/>
    <col min="3089" max="3089" width="8.5703125" customWidth="1"/>
    <col min="3329" max="3329" width="6.140625" customWidth="1"/>
    <col min="3330" max="3330" width="9.42578125" customWidth="1"/>
    <col min="3331" max="3331" width="24.140625" customWidth="1"/>
    <col min="3332" max="3332" width="0" hidden="1" customWidth="1"/>
    <col min="3333" max="3338" width="10" customWidth="1"/>
    <col min="3339" max="3341" width="0" hidden="1" customWidth="1"/>
    <col min="3342" max="3342" width="16.85546875" bestFit="1" customWidth="1"/>
    <col min="3343" max="3343" width="18" bestFit="1" customWidth="1"/>
    <col min="3344" max="3344" width="6.140625" customWidth="1"/>
    <col min="3345" max="3345" width="8.5703125" customWidth="1"/>
    <col min="3585" max="3585" width="6.140625" customWidth="1"/>
    <col min="3586" max="3586" width="9.42578125" customWidth="1"/>
    <col min="3587" max="3587" width="24.140625" customWidth="1"/>
    <col min="3588" max="3588" width="0" hidden="1" customWidth="1"/>
    <col min="3589" max="3594" width="10" customWidth="1"/>
    <col min="3595" max="3597" width="0" hidden="1" customWidth="1"/>
    <col min="3598" max="3598" width="16.85546875" bestFit="1" customWidth="1"/>
    <col min="3599" max="3599" width="18" bestFit="1" customWidth="1"/>
    <col min="3600" max="3600" width="6.140625" customWidth="1"/>
    <col min="3601" max="3601" width="8.5703125" customWidth="1"/>
    <col min="3841" max="3841" width="6.140625" customWidth="1"/>
    <col min="3842" max="3842" width="9.42578125" customWidth="1"/>
    <col min="3843" max="3843" width="24.140625" customWidth="1"/>
    <col min="3844" max="3844" width="0" hidden="1" customWidth="1"/>
    <col min="3845" max="3850" width="10" customWidth="1"/>
    <col min="3851" max="3853" width="0" hidden="1" customWidth="1"/>
    <col min="3854" max="3854" width="16.85546875" bestFit="1" customWidth="1"/>
    <col min="3855" max="3855" width="18" bestFit="1" customWidth="1"/>
    <col min="3856" max="3856" width="6.140625" customWidth="1"/>
    <col min="3857" max="3857" width="8.5703125" customWidth="1"/>
    <col min="4097" max="4097" width="6.140625" customWidth="1"/>
    <col min="4098" max="4098" width="9.42578125" customWidth="1"/>
    <col min="4099" max="4099" width="24.140625" customWidth="1"/>
    <col min="4100" max="4100" width="0" hidden="1" customWidth="1"/>
    <col min="4101" max="4106" width="10" customWidth="1"/>
    <col min="4107" max="4109" width="0" hidden="1" customWidth="1"/>
    <col min="4110" max="4110" width="16.85546875" bestFit="1" customWidth="1"/>
    <col min="4111" max="4111" width="18" bestFit="1" customWidth="1"/>
    <col min="4112" max="4112" width="6.140625" customWidth="1"/>
    <col min="4113" max="4113" width="8.5703125" customWidth="1"/>
    <col min="4353" max="4353" width="6.140625" customWidth="1"/>
    <col min="4354" max="4354" width="9.42578125" customWidth="1"/>
    <col min="4355" max="4355" width="24.140625" customWidth="1"/>
    <col min="4356" max="4356" width="0" hidden="1" customWidth="1"/>
    <col min="4357" max="4362" width="10" customWidth="1"/>
    <col min="4363" max="4365" width="0" hidden="1" customWidth="1"/>
    <col min="4366" max="4366" width="16.85546875" bestFit="1" customWidth="1"/>
    <col min="4367" max="4367" width="18" bestFit="1" customWidth="1"/>
    <col min="4368" max="4368" width="6.140625" customWidth="1"/>
    <col min="4369" max="4369" width="8.5703125" customWidth="1"/>
    <col min="4609" max="4609" width="6.140625" customWidth="1"/>
    <col min="4610" max="4610" width="9.42578125" customWidth="1"/>
    <col min="4611" max="4611" width="24.140625" customWidth="1"/>
    <col min="4612" max="4612" width="0" hidden="1" customWidth="1"/>
    <col min="4613" max="4618" width="10" customWidth="1"/>
    <col min="4619" max="4621" width="0" hidden="1" customWidth="1"/>
    <col min="4622" max="4622" width="16.85546875" bestFit="1" customWidth="1"/>
    <col min="4623" max="4623" width="18" bestFit="1" customWidth="1"/>
    <col min="4624" max="4624" width="6.140625" customWidth="1"/>
    <col min="4625" max="4625" width="8.5703125" customWidth="1"/>
    <col min="4865" max="4865" width="6.140625" customWidth="1"/>
    <col min="4866" max="4866" width="9.42578125" customWidth="1"/>
    <col min="4867" max="4867" width="24.140625" customWidth="1"/>
    <col min="4868" max="4868" width="0" hidden="1" customWidth="1"/>
    <col min="4869" max="4874" width="10" customWidth="1"/>
    <col min="4875" max="4877" width="0" hidden="1" customWidth="1"/>
    <col min="4878" max="4878" width="16.85546875" bestFit="1" customWidth="1"/>
    <col min="4879" max="4879" width="18" bestFit="1" customWidth="1"/>
    <col min="4880" max="4880" width="6.140625" customWidth="1"/>
    <col min="4881" max="4881" width="8.5703125" customWidth="1"/>
    <col min="5121" max="5121" width="6.140625" customWidth="1"/>
    <col min="5122" max="5122" width="9.42578125" customWidth="1"/>
    <col min="5123" max="5123" width="24.140625" customWidth="1"/>
    <col min="5124" max="5124" width="0" hidden="1" customWidth="1"/>
    <col min="5125" max="5130" width="10" customWidth="1"/>
    <col min="5131" max="5133" width="0" hidden="1" customWidth="1"/>
    <col min="5134" max="5134" width="16.85546875" bestFit="1" customWidth="1"/>
    <col min="5135" max="5135" width="18" bestFit="1" customWidth="1"/>
    <col min="5136" max="5136" width="6.140625" customWidth="1"/>
    <col min="5137" max="5137" width="8.5703125" customWidth="1"/>
    <col min="5377" max="5377" width="6.140625" customWidth="1"/>
    <col min="5378" max="5378" width="9.42578125" customWidth="1"/>
    <col min="5379" max="5379" width="24.140625" customWidth="1"/>
    <col min="5380" max="5380" width="0" hidden="1" customWidth="1"/>
    <col min="5381" max="5386" width="10" customWidth="1"/>
    <col min="5387" max="5389" width="0" hidden="1" customWidth="1"/>
    <col min="5390" max="5390" width="16.85546875" bestFit="1" customWidth="1"/>
    <col min="5391" max="5391" width="18" bestFit="1" customWidth="1"/>
    <col min="5392" max="5392" width="6.140625" customWidth="1"/>
    <col min="5393" max="5393" width="8.5703125" customWidth="1"/>
    <col min="5633" max="5633" width="6.140625" customWidth="1"/>
    <col min="5634" max="5634" width="9.42578125" customWidth="1"/>
    <col min="5635" max="5635" width="24.140625" customWidth="1"/>
    <col min="5636" max="5636" width="0" hidden="1" customWidth="1"/>
    <col min="5637" max="5642" width="10" customWidth="1"/>
    <col min="5643" max="5645" width="0" hidden="1" customWidth="1"/>
    <col min="5646" max="5646" width="16.85546875" bestFit="1" customWidth="1"/>
    <col min="5647" max="5647" width="18" bestFit="1" customWidth="1"/>
    <col min="5648" max="5648" width="6.140625" customWidth="1"/>
    <col min="5649" max="5649" width="8.5703125" customWidth="1"/>
    <col min="5889" max="5889" width="6.140625" customWidth="1"/>
    <col min="5890" max="5890" width="9.42578125" customWidth="1"/>
    <col min="5891" max="5891" width="24.140625" customWidth="1"/>
    <col min="5892" max="5892" width="0" hidden="1" customWidth="1"/>
    <col min="5893" max="5898" width="10" customWidth="1"/>
    <col min="5899" max="5901" width="0" hidden="1" customWidth="1"/>
    <col min="5902" max="5902" width="16.85546875" bestFit="1" customWidth="1"/>
    <col min="5903" max="5903" width="18" bestFit="1" customWidth="1"/>
    <col min="5904" max="5904" width="6.140625" customWidth="1"/>
    <col min="5905" max="5905" width="8.5703125" customWidth="1"/>
    <col min="6145" max="6145" width="6.140625" customWidth="1"/>
    <col min="6146" max="6146" width="9.42578125" customWidth="1"/>
    <col min="6147" max="6147" width="24.140625" customWidth="1"/>
    <col min="6148" max="6148" width="0" hidden="1" customWidth="1"/>
    <col min="6149" max="6154" width="10" customWidth="1"/>
    <col min="6155" max="6157" width="0" hidden="1" customWidth="1"/>
    <col min="6158" max="6158" width="16.85546875" bestFit="1" customWidth="1"/>
    <col min="6159" max="6159" width="18" bestFit="1" customWidth="1"/>
    <col min="6160" max="6160" width="6.140625" customWidth="1"/>
    <col min="6161" max="6161" width="8.5703125" customWidth="1"/>
    <col min="6401" max="6401" width="6.140625" customWidth="1"/>
    <col min="6402" max="6402" width="9.42578125" customWidth="1"/>
    <col min="6403" max="6403" width="24.140625" customWidth="1"/>
    <col min="6404" max="6404" width="0" hidden="1" customWidth="1"/>
    <col min="6405" max="6410" width="10" customWidth="1"/>
    <col min="6411" max="6413" width="0" hidden="1" customWidth="1"/>
    <col min="6414" max="6414" width="16.85546875" bestFit="1" customWidth="1"/>
    <col min="6415" max="6415" width="18" bestFit="1" customWidth="1"/>
    <col min="6416" max="6416" width="6.140625" customWidth="1"/>
    <col min="6417" max="6417" width="8.5703125" customWidth="1"/>
    <col min="6657" max="6657" width="6.140625" customWidth="1"/>
    <col min="6658" max="6658" width="9.42578125" customWidth="1"/>
    <col min="6659" max="6659" width="24.140625" customWidth="1"/>
    <col min="6660" max="6660" width="0" hidden="1" customWidth="1"/>
    <col min="6661" max="6666" width="10" customWidth="1"/>
    <col min="6667" max="6669" width="0" hidden="1" customWidth="1"/>
    <col min="6670" max="6670" width="16.85546875" bestFit="1" customWidth="1"/>
    <col min="6671" max="6671" width="18" bestFit="1" customWidth="1"/>
    <col min="6672" max="6672" width="6.140625" customWidth="1"/>
    <col min="6673" max="6673" width="8.5703125" customWidth="1"/>
    <col min="6913" max="6913" width="6.140625" customWidth="1"/>
    <col min="6914" max="6914" width="9.42578125" customWidth="1"/>
    <col min="6915" max="6915" width="24.140625" customWidth="1"/>
    <col min="6916" max="6916" width="0" hidden="1" customWidth="1"/>
    <col min="6917" max="6922" width="10" customWidth="1"/>
    <col min="6923" max="6925" width="0" hidden="1" customWidth="1"/>
    <col min="6926" max="6926" width="16.85546875" bestFit="1" customWidth="1"/>
    <col min="6927" max="6927" width="18" bestFit="1" customWidth="1"/>
    <col min="6928" max="6928" width="6.140625" customWidth="1"/>
    <col min="6929" max="6929" width="8.5703125" customWidth="1"/>
    <col min="7169" max="7169" width="6.140625" customWidth="1"/>
    <col min="7170" max="7170" width="9.42578125" customWidth="1"/>
    <col min="7171" max="7171" width="24.140625" customWidth="1"/>
    <col min="7172" max="7172" width="0" hidden="1" customWidth="1"/>
    <col min="7173" max="7178" width="10" customWidth="1"/>
    <col min="7179" max="7181" width="0" hidden="1" customWidth="1"/>
    <col min="7182" max="7182" width="16.85546875" bestFit="1" customWidth="1"/>
    <col min="7183" max="7183" width="18" bestFit="1" customWidth="1"/>
    <col min="7184" max="7184" width="6.140625" customWidth="1"/>
    <col min="7185" max="7185" width="8.5703125" customWidth="1"/>
    <col min="7425" max="7425" width="6.140625" customWidth="1"/>
    <col min="7426" max="7426" width="9.42578125" customWidth="1"/>
    <col min="7427" max="7427" width="24.140625" customWidth="1"/>
    <col min="7428" max="7428" width="0" hidden="1" customWidth="1"/>
    <col min="7429" max="7434" width="10" customWidth="1"/>
    <col min="7435" max="7437" width="0" hidden="1" customWidth="1"/>
    <col min="7438" max="7438" width="16.85546875" bestFit="1" customWidth="1"/>
    <col min="7439" max="7439" width="18" bestFit="1" customWidth="1"/>
    <col min="7440" max="7440" width="6.140625" customWidth="1"/>
    <col min="7441" max="7441" width="8.5703125" customWidth="1"/>
    <col min="7681" max="7681" width="6.140625" customWidth="1"/>
    <col min="7682" max="7682" width="9.42578125" customWidth="1"/>
    <col min="7683" max="7683" width="24.140625" customWidth="1"/>
    <col min="7684" max="7684" width="0" hidden="1" customWidth="1"/>
    <col min="7685" max="7690" width="10" customWidth="1"/>
    <col min="7691" max="7693" width="0" hidden="1" customWidth="1"/>
    <col min="7694" max="7694" width="16.85546875" bestFit="1" customWidth="1"/>
    <col min="7695" max="7695" width="18" bestFit="1" customWidth="1"/>
    <col min="7696" max="7696" width="6.140625" customWidth="1"/>
    <col min="7697" max="7697" width="8.5703125" customWidth="1"/>
    <col min="7937" max="7937" width="6.140625" customWidth="1"/>
    <col min="7938" max="7938" width="9.42578125" customWidth="1"/>
    <col min="7939" max="7939" width="24.140625" customWidth="1"/>
    <col min="7940" max="7940" width="0" hidden="1" customWidth="1"/>
    <col min="7941" max="7946" width="10" customWidth="1"/>
    <col min="7947" max="7949" width="0" hidden="1" customWidth="1"/>
    <col min="7950" max="7950" width="16.85546875" bestFit="1" customWidth="1"/>
    <col min="7951" max="7951" width="18" bestFit="1" customWidth="1"/>
    <col min="7952" max="7952" width="6.140625" customWidth="1"/>
    <col min="7953" max="7953" width="8.5703125" customWidth="1"/>
    <col min="8193" max="8193" width="6.140625" customWidth="1"/>
    <col min="8194" max="8194" width="9.42578125" customWidth="1"/>
    <col min="8195" max="8195" width="24.140625" customWidth="1"/>
    <col min="8196" max="8196" width="0" hidden="1" customWidth="1"/>
    <col min="8197" max="8202" width="10" customWidth="1"/>
    <col min="8203" max="8205" width="0" hidden="1" customWidth="1"/>
    <col min="8206" max="8206" width="16.85546875" bestFit="1" customWidth="1"/>
    <col min="8207" max="8207" width="18" bestFit="1" customWidth="1"/>
    <col min="8208" max="8208" width="6.140625" customWidth="1"/>
    <col min="8209" max="8209" width="8.5703125" customWidth="1"/>
    <col min="8449" max="8449" width="6.140625" customWidth="1"/>
    <col min="8450" max="8450" width="9.42578125" customWidth="1"/>
    <col min="8451" max="8451" width="24.140625" customWidth="1"/>
    <col min="8452" max="8452" width="0" hidden="1" customWidth="1"/>
    <col min="8453" max="8458" width="10" customWidth="1"/>
    <col min="8459" max="8461" width="0" hidden="1" customWidth="1"/>
    <col min="8462" max="8462" width="16.85546875" bestFit="1" customWidth="1"/>
    <col min="8463" max="8463" width="18" bestFit="1" customWidth="1"/>
    <col min="8464" max="8464" width="6.140625" customWidth="1"/>
    <col min="8465" max="8465" width="8.5703125" customWidth="1"/>
    <col min="8705" max="8705" width="6.140625" customWidth="1"/>
    <col min="8706" max="8706" width="9.42578125" customWidth="1"/>
    <col min="8707" max="8707" width="24.140625" customWidth="1"/>
    <col min="8708" max="8708" width="0" hidden="1" customWidth="1"/>
    <col min="8709" max="8714" width="10" customWidth="1"/>
    <col min="8715" max="8717" width="0" hidden="1" customWidth="1"/>
    <col min="8718" max="8718" width="16.85546875" bestFit="1" customWidth="1"/>
    <col min="8719" max="8719" width="18" bestFit="1" customWidth="1"/>
    <col min="8720" max="8720" width="6.140625" customWidth="1"/>
    <col min="8721" max="8721" width="8.5703125" customWidth="1"/>
    <col min="8961" max="8961" width="6.140625" customWidth="1"/>
    <col min="8962" max="8962" width="9.42578125" customWidth="1"/>
    <col min="8963" max="8963" width="24.140625" customWidth="1"/>
    <col min="8964" max="8964" width="0" hidden="1" customWidth="1"/>
    <col min="8965" max="8970" width="10" customWidth="1"/>
    <col min="8971" max="8973" width="0" hidden="1" customWidth="1"/>
    <col min="8974" max="8974" width="16.85546875" bestFit="1" customWidth="1"/>
    <col min="8975" max="8975" width="18" bestFit="1" customWidth="1"/>
    <col min="8976" max="8976" width="6.140625" customWidth="1"/>
    <col min="8977" max="8977" width="8.5703125" customWidth="1"/>
    <col min="9217" max="9217" width="6.140625" customWidth="1"/>
    <col min="9218" max="9218" width="9.42578125" customWidth="1"/>
    <col min="9219" max="9219" width="24.140625" customWidth="1"/>
    <col min="9220" max="9220" width="0" hidden="1" customWidth="1"/>
    <col min="9221" max="9226" width="10" customWidth="1"/>
    <col min="9227" max="9229" width="0" hidden="1" customWidth="1"/>
    <col min="9230" max="9230" width="16.85546875" bestFit="1" customWidth="1"/>
    <col min="9231" max="9231" width="18" bestFit="1" customWidth="1"/>
    <col min="9232" max="9232" width="6.140625" customWidth="1"/>
    <col min="9233" max="9233" width="8.5703125" customWidth="1"/>
    <col min="9473" max="9473" width="6.140625" customWidth="1"/>
    <col min="9474" max="9474" width="9.42578125" customWidth="1"/>
    <col min="9475" max="9475" width="24.140625" customWidth="1"/>
    <col min="9476" max="9476" width="0" hidden="1" customWidth="1"/>
    <col min="9477" max="9482" width="10" customWidth="1"/>
    <col min="9483" max="9485" width="0" hidden="1" customWidth="1"/>
    <col min="9486" max="9486" width="16.85546875" bestFit="1" customWidth="1"/>
    <col min="9487" max="9487" width="18" bestFit="1" customWidth="1"/>
    <col min="9488" max="9488" width="6.140625" customWidth="1"/>
    <col min="9489" max="9489" width="8.5703125" customWidth="1"/>
    <col min="9729" max="9729" width="6.140625" customWidth="1"/>
    <col min="9730" max="9730" width="9.42578125" customWidth="1"/>
    <col min="9731" max="9731" width="24.140625" customWidth="1"/>
    <col min="9732" max="9732" width="0" hidden="1" customWidth="1"/>
    <col min="9733" max="9738" width="10" customWidth="1"/>
    <col min="9739" max="9741" width="0" hidden="1" customWidth="1"/>
    <col min="9742" max="9742" width="16.85546875" bestFit="1" customWidth="1"/>
    <col min="9743" max="9743" width="18" bestFit="1" customWidth="1"/>
    <col min="9744" max="9744" width="6.140625" customWidth="1"/>
    <col min="9745" max="9745" width="8.5703125" customWidth="1"/>
    <col min="9985" max="9985" width="6.140625" customWidth="1"/>
    <col min="9986" max="9986" width="9.42578125" customWidth="1"/>
    <col min="9987" max="9987" width="24.140625" customWidth="1"/>
    <col min="9988" max="9988" width="0" hidden="1" customWidth="1"/>
    <col min="9989" max="9994" width="10" customWidth="1"/>
    <col min="9995" max="9997" width="0" hidden="1" customWidth="1"/>
    <col min="9998" max="9998" width="16.85546875" bestFit="1" customWidth="1"/>
    <col min="9999" max="9999" width="18" bestFit="1" customWidth="1"/>
    <col min="10000" max="10000" width="6.140625" customWidth="1"/>
    <col min="10001" max="10001" width="8.5703125" customWidth="1"/>
    <col min="10241" max="10241" width="6.140625" customWidth="1"/>
    <col min="10242" max="10242" width="9.42578125" customWidth="1"/>
    <col min="10243" max="10243" width="24.140625" customWidth="1"/>
    <col min="10244" max="10244" width="0" hidden="1" customWidth="1"/>
    <col min="10245" max="10250" width="10" customWidth="1"/>
    <col min="10251" max="10253" width="0" hidden="1" customWidth="1"/>
    <col min="10254" max="10254" width="16.85546875" bestFit="1" customWidth="1"/>
    <col min="10255" max="10255" width="18" bestFit="1" customWidth="1"/>
    <col min="10256" max="10256" width="6.140625" customWidth="1"/>
    <col min="10257" max="10257" width="8.5703125" customWidth="1"/>
    <col min="10497" max="10497" width="6.140625" customWidth="1"/>
    <col min="10498" max="10498" width="9.42578125" customWidth="1"/>
    <col min="10499" max="10499" width="24.140625" customWidth="1"/>
    <col min="10500" max="10500" width="0" hidden="1" customWidth="1"/>
    <col min="10501" max="10506" width="10" customWidth="1"/>
    <col min="10507" max="10509" width="0" hidden="1" customWidth="1"/>
    <col min="10510" max="10510" width="16.85546875" bestFit="1" customWidth="1"/>
    <col min="10511" max="10511" width="18" bestFit="1" customWidth="1"/>
    <col min="10512" max="10512" width="6.140625" customWidth="1"/>
    <col min="10513" max="10513" width="8.5703125" customWidth="1"/>
    <col min="10753" max="10753" width="6.140625" customWidth="1"/>
    <col min="10754" max="10754" width="9.42578125" customWidth="1"/>
    <col min="10755" max="10755" width="24.140625" customWidth="1"/>
    <col min="10756" max="10756" width="0" hidden="1" customWidth="1"/>
    <col min="10757" max="10762" width="10" customWidth="1"/>
    <col min="10763" max="10765" width="0" hidden="1" customWidth="1"/>
    <col min="10766" max="10766" width="16.85546875" bestFit="1" customWidth="1"/>
    <col min="10767" max="10767" width="18" bestFit="1" customWidth="1"/>
    <col min="10768" max="10768" width="6.140625" customWidth="1"/>
    <col min="10769" max="10769" width="8.5703125" customWidth="1"/>
    <col min="11009" max="11009" width="6.140625" customWidth="1"/>
    <col min="11010" max="11010" width="9.42578125" customWidth="1"/>
    <col min="11011" max="11011" width="24.140625" customWidth="1"/>
    <col min="11012" max="11012" width="0" hidden="1" customWidth="1"/>
    <col min="11013" max="11018" width="10" customWidth="1"/>
    <col min="11019" max="11021" width="0" hidden="1" customWidth="1"/>
    <col min="11022" max="11022" width="16.85546875" bestFit="1" customWidth="1"/>
    <col min="11023" max="11023" width="18" bestFit="1" customWidth="1"/>
    <col min="11024" max="11024" width="6.140625" customWidth="1"/>
    <col min="11025" max="11025" width="8.5703125" customWidth="1"/>
    <col min="11265" max="11265" width="6.140625" customWidth="1"/>
    <col min="11266" max="11266" width="9.42578125" customWidth="1"/>
    <col min="11267" max="11267" width="24.140625" customWidth="1"/>
    <col min="11268" max="11268" width="0" hidden="1" customWidth="1"/>
    <col min="11269" max="11274" width="10" customWidth="1"/>
    <col min="11275" max="11277" width="0" hidden="1" customWidth="1"/>
    <col min="11278" max="11278" width="16.85546875" bestFit="1" customWidth="1"/>
    <col min="11279" max="11279" width="18" bestFit="1" customWidth="1"/>
    <col min="11280" max="11280" width="6.140625" customWidth="1"/>
    <col min="11281" max="11281" width="8.5703125" customWidth="1"/>
    <col min="11521" max="11521" width="6.140625" customWidth="1"/>
    <col min="11522" max="11522" width="9.42578125" customWidth="1"/>
    <col min="11523" max="11523" width="24.140625" customWidth="1"/>
    <col min="11524" max="11524" width="0" hidden="1" customWidth="1"/>
    <col min="11525" max="11530" width="10" customWidth="1"/>
    <col min="11531" max="11533" width="0" hidden="1" customWidth="1"/>
    <col min="11534" max="11534" width="16.85546875" bestFit="1" customWidth="1"/>
    <col min="11535" max="11535" width="18" bestFit="1" customWidth="1"/>
    <col min="11536" max="11536" width="6.140625" customWidth="1"/>
    <col min="11537" max="11537" width="8.5703125" customWidth="1"/>
    <col min="11777" max="11777" width="6.140625" customWidth="1"/>
    <col min="11778" max="11778" width="9.42578125" customWidth="1"/>
    <col min="11779" max="11779" width="24.140625" customWidth="1"/>
    <col min="11780" max="11780" width="0" hidden="1" customWidth="1"/>
    <col min="11781" max="11786" width="10" customWidth="1"/>
    <col min="11787" max="11789" width="0" hidden="1" customWidth="1"/>
    <col min="11790" max="11790" width="16.85546875" bestFit="1" customWidth="1"/>
    <col min="11791" max="11791" width="18" bestFit="1" customWidth="1"/>
    <col min="11792" max="11792" width="6.140625" customWidth="1"/>
    <col min="11793" max="11793" width="8.5703125" customWidth="1"/>
    <col min="12033" max="12033" width="6.140625" customWidth="1"/>
    <col min="12034" max="12034" width="9.42578125" customWidth="1"/>
    <col min="12035" max="12035" width="24.140625" customWidth="1"/>
    <col min="12036" max="12036" width="0" hidden="1" customWidth="1"/>
    <col min="12037" max="12042" width="10" customWidth="1"/>
    <col min="12043" max="12045" width="0" hidden="1" customWidth="1"/>
    <col min="12046" max="12046" width="16.85546875" bestFit="1" customWidth="1"/>
    <col min="12047" max="12047" width="18" bestFit="1" customWidth="1"/>
    <col min="12048" max="12048" width="6.140625" customWidth="1"/>
    <col min="12049" max="12049" width="8.5703125" customWidth="1"/>
    <col min="12289" max="12289" width="6.140625" customWidth="1"/>
    <col min="12290" max="12290" width="9.42578125" customWidth="1"/>
    <col min="12291" max="12291" width="24.140625" customWidth="1"/>
    <col min="12292" max="12292" width="0" hidden="1" customWidth="1"/>
    <col min="12293" max="12298" width="10" customWidth="1"/>
    <col min="12299" max="12301" width="0" hidden="1" customWidth="1"/>
    <col min="12302" max="12302" width="16.85546875" bestFit="1" customWidth="1"/>
    <col min="12303" max="12303" width="18" bestFit="1" customWidth="1"/>
    <col min="12304" max="12304" width="6.140625" customWidth="1"/>
    <col min="12305" max="12305" width="8.5703125" customWidth="1"/>
    <col min="12545" max="12545" width="6.140625" customWidth="1"/>
    <col min="12546" max="12546" width="9.42578125" customWidth="1"/>
    <col min="12547" max="12547" width="24.140625" customWidth="1"/>
    <col min="12548" max="12548" width="0" hidden="1" customWidth="1"/>
    <col min="12549" max="12554" width="10" customWidth="1"/>
    <col min="12555" max="12557" width="0" hidden="1" customWidth="1"/>
    <col min="12558" max="12558" width="16.85546875" bestFit="1" customWidth="1"/>
    <col min="12559" max="12559" width="18" bestFit="1" customWidth="1"/>
    <col min="12560" max="12560" width="6.140625" customWidth="1"/>
    <col min="12561" max="12561" width="8.5703125" customWidth="1"/>
    <col min="12801" max="12801" width="6.140625" customWidth="1"/>
    <col min="12802" max="12802" width="9.42578125" customWidth="1"/>
    <col min="12803" max="12803" width="24.140625" customWidth="1"/>
    <col min="12804" max="12804" width="0" hidden="1" customWidth="1"/>
    <col min="12805" max="12810" width="10" customWidth="1"/>
    <col min="12811" max="12813" width="0" hidden="1" customWidth="1"/>
    <col min="12814" max="12814" width="16.85546875" bestFit="1" customWidth="1"/>
    <col min="12815" max="12815" width="18" bestFit="1" customWidth="1"/>
    <col min="12816" max="12816" width="6.140625" customWidth="1"/>
    <col min="12817" max="12817" width="8.5703125" customWidth="1"/>
    <col min="13057" max="13057" width="6.140625" customWidth="1"/>
    <col min="13058" max="13058" width="9.42578125" customWidth="1"/>
    <col min="13059" max="13059" width="24.140625" customWidth="1"/>
    <col min="13060" max="13060" width="0" hidden="1" customWidth="1"/>
    <col min="13061" max="13066" width="10" customWidth="1"/>
    <col min="13067" max="13069" width="0" hidden="1" customWidth="1"/>
    <col min="13070" max="13070" width="16.85546875" bestFit="1" customWidth="1"/>
    <col min="13071" max="13071" width="18" bestFit="1" customWidth="1"/>
    <col min="13072" max="13072" width="6.140625" customWidth="1"/>
    <col min="13073" max="13073" width="8.5703125" customWidth="1"/>
    <col min="13313" max="13313" width="6.140625" customWidth="1"/>
    <col min="13314" max="13314" width="9.42578125" customWidth="1"/>
    <col min="13315" max="13315" width="24.140625" customWidth="1"/>
    <col min="13316" max="13316" width="0" hidden="1" customWidth="1"/>
    <col min="13317" max="13322" width="10" customWidth="1"/>
    <col min="13323" max="13325" width="0" hidden="1" customWidth="1"/>
    <col min="13326" max="13326" width="16.85546875" bestFit="1" customWidth="1"/>
    <col min="13327" max="13327" width="18" bestFit="1" customWidth="1"/>
    <col min="13328" max="13328" width="6.140625" customWidth="1"/>
    <col min="13329" max="13329" width="8.5703125" customWidth="1"/>
    <col min="13569" max="13569" width="6.140625" customWidth="1"/>
    <col min="13570" max="13570" width="9.42578125" customWidth="1"/>
    <col min="13571" max="13571" width="24.140625" customWidth="1"/>
    <col min="13572" max="13572" width="0" hidden="1" customWidth="1"/>
    <col min="13573" max="13578" width="10" customWidth="1"/>
    <col min="13579" max="13581" width="0" hidden="1" customWidth="1"/>
    <col min="13582" max="13582" width="16.85546875" bestFit="1" customWidth="1"/>
    <col min="13583" max="13583" width="18" bestFit="1" customWidth="1"/>
    <col min="13584" max="13584" width="6.140625" customWidth="1"/>
    <col min="13585" max="13585" width="8.5703125" customWidth="1"/>
    <col min="13825" max="13825" width="6.140625" customWidth="1"/>
    <col min="13826" max="13826" width="9.42578125" customWidth="1"/>
    <col min="13827" max="13827" width="24.140625" customWidth="1"/>
    <col min="13828" max="13828" width="0" hidden="1" customWidth="1"/>
    <col min="13829" max="13834" width="10" customWidth="1"/>
    <col min="13835" max="13837" width="0" hidden="1" customWidth="1"/>
    <col min="13838" max="13838" width="16.85546875" bestFit="1" customWidth="1"/>
    <col min="13839" max="13839" width="18" bestFit="1" customWidth="1"/>
    <col min="13840" max="13840" width="6.140625" customWidth="1"/>
    <col min="13841" max="13841" width="8.5703125" customWidth="1"/>
    <col min="14081" max="14081" width="6.140625" customWidth="1"/>
    <col min="14082" max="14082" width="9.42578125" customWidth="1"/>
    <col min="14083" max="14083" width="24.140625" customWidth="1"/>
    <col min="14084" max="14084" width="0" hidden="1" customWidth="1"/>
    <col min="14085" max="14090" width="10" customWidth="1"/>
    <col min="14091" max="14093" width="0" hidden="1" customWidth="1"/>
    <col min="14094" max="14094" width="16.85546875" bestFit="1" customWidth="1"/>
    <col min="14095" max="14095" width="18" bestFit="1" customWidth="1"/>
    <col min="14096" max="14096" width="6.140625" customWidth="1"/>
    <col min="14097" max="14097" width="8.5703125" customWidth="1"/>
    <col min="14337" max="14337" width="6.140625" customWidth="1"/>
    <col min="14338" max="14338" width="9.42578125" customWidth="1"/>
    <col min="14339" max="14339" width="24.140625" customWidth="1"/>
    <col min="14340" max="14340" width="0" hidden="1" customWidth="1"/>
    <col min="14341" max="14346" width="10" customWidth="1"/>
    <col min="14347" max="14349" width="0" hidden="1" customWidth="1"/>
    <col min="14350" max="14350" width="16.85546875" bestFit="1" customWidth="1"/>
    <col min="14351" max="14351" width="18" bestFit="1" customWidth="1"/>
    <col min="14352" max="14352" width="6.140625" customWidth="1"/>
    <col min="14353" max="14353" width="8.5703125" customWidth="1"/>
    <col min="14593" max="14593" width="6.140625" customWidth="1"/>
    <col min="14594" max="14594" width="9.42578125" customWidth="1"/>
    <col min="14595" max="14595" width="24.140625" customWidth="1"/>
    <col min="14596" max="14596" width="0" hidden="1" customWidth="1"/>
    <col min="14597" max="14602" width="10" customWidth="1"/>
    <col min="14603" max="14605" width="0" hidden="1" customWidth="1"/>
    <col min="14606" max="14606" width="16.85546875" bestFit="1" customWidth="1"/>
    <col min="14607" max="14607" width="18" bestFit="1" customWidth="1"/>
    <col min="14608" max="14608" width="6.140625" customWidth="1"/>
    <col min="14609" max="14609" width="8.5703125" customWidth="1"/>
    <col min="14849" max="14849" width="6.140625" customWidth="1"/>
    <col min="14850" max="14850" width="9.42578125" customWidth="1"/>
    <col min="14851" max="14851" width="24.140625" customWidth="1"/>
    <col min="14852" max="14852" width="0" hidden="1" customWidth="1"/>
    <col min="14853" max="14858" width="10" customWidth="1"/>
    <col min="14859" max="14861" width="0" hidden="1" customWidth="1"/>
    <col min="14862" max="14862" width="16.85546875" bestFit="1" customWidth="1"/>
    <col min="14863" max="14863" width="18" bestFit="1" customWidth="1"/>
    <col min="14864" max="14864" width="6.140625" customWidth="1"/>
    <col min="14865" max="14865" width="8.5703125" customWidth="1"/>
    <col min="15105" max="15105" width="6.140625" customWidth="1"/>
    <col min="15106" max="15106" width="9.42578125" customWidth="1"/>
    <col min="15107" max="15107" width="24.140625" customWidth="1"/>
    <col min="15108" max="15108" width="0" hidden="1" customWidth="1"/>
    <col min="15109" max="15114" width="10" customWidth="1"/>
    <col min="15115" max="15117" width="0" hidden="1" customWidth="1"/>
    <col min="15118" max="15118" width="16.85546875" bestFit="1" customWidth="1"/>
    <col min="15119" max="15119" width="18" bestFit="1" customWidth="1"/>
    <col min="15120" max="15120" width="6.140625" customWidth="1"/>
    <col min="15121" max="15121" width="8.5703125" customWidth="1"/>
    <col min="15361" max="15361" width="6.140625" customWidth="1"/>
    <col min="15362" max="15362" width="9.42578125" customWidth="1"/>
    <col min="15363" max="15363" width="24.140625" customWidth="1"/>
    <col min="15364" max="15364" width="0" hidden="1" customWidth="1"/>
    <col min="15365" max="15370" width="10" customWidth="1"/>
    <col min="15371" max="15373" width="0" hidden="1" customWidth="1"/>
    <col min="15374" max="15374" width="16.85546875" bestFit="1" customWidth="1"/>
    <col min="15375" max="15375" width="18" bestFit="1" customWidth="1"/>
    <col min="15376" max="15376" width="6.140625" customWidth="1"/>
    <col min="15377" max="15377" width="8.5703125" customWidth="1"/>
    <col min="15617" max="15617" width="6.140625" customWidth="1"/>
    <col min="15618" max="15618" width="9.42578125" customWidth="1"/>
    <col min="15619" max="15619" width="24.140625" customWidth="1"/>
    <col min="15620" max="15620" width="0" hidden="1" customWidth="1"/>
    <col min="15621" max="15626" width="10" customWidth="1"/>
    <col min="15627" max="15629" width="0" hidden="1" customWidth="1"/>
    <col min="15630" max="15630" width="16.85546875" bestFit="1" customWidth="1"/>
    <col min="15631" max="15631" width="18" bestFit="1" customWidth="1"/>
    <col min="15632" max="15632" width="6.140625" customWidth="1"/>
    <col min="15633" max="15633" width="8.5703125" customWidth="1"/>
    <col min="15873" max="15873" width="6.140625" customWidth="1"/>
    <col min="15874" max="15874" width="9.42578125" customWidth="1"/>
    <col min="15875" max="15875" width="24.140625" customWidth="1"/>
    <col min="15876" max="15876" width="0" hidden="1" customWidth="1"/>
    <col min="15877" max="15882" width="10" customWidth="1"/>
    <col min="15883" max="15885" width="0" hidden="1" customWidth="1"/>
    <col min="15886" max="15886" width="16.85546875" bestFit="1" customWidth="1"/>
    <col min="15887" max="15887" width="18" bestFit="1" customWidth="1"/>
    <col min="15888" max="15888" width="6.140625" customWidth="1"/>
    <col min="15889" max="15889" width="8.5703125" customWidth="1"/>
    <col min="16129" max="16129" width="6.140625" customWidth="1"/>
    <col min="16130" max="16130" width="9.42578125" customWidth="1"/>
    <col min="16131" max="16131" width="24.140625" customWidth="1"/>
    <col min="16132" max="16132" width="0" hidden="1" customWidth="1"/>
    <col min="16133" max="16138" width="10" customWidth="1"/>
    <col min="16139" max="16141" width="0" hidden="1" customWidth="1"/>
    <col min="16142" max="16142" width="16.85546875" bestFit="1" customWidth="1"/>
    <col min="16143" max="16143" width="18" bestFit="1" customWidth="1"/>
    <col min="16144" max="16144" width="6.140625" customWidth="1"/>
    <col min="16145" max="16145" width="8.5703125" customWidth="1"/>
  </cols>
  <sheetData>
    <row r="4" spans="1:18">
      <c r="A4" t="s">
        <v>1314</v>
      </c>
    </row>
    <row r="5" spans="1:18">
      <c r="A5" t="str">
        <f>"Districts Reporting Bilingual Enrollment = "&amp;R7</f>
        <v>Districts Reporting Bilingual Enrollment = 194</v>
      </c>
    </row>
    <row r="6" spans="1:18">
      <c r="N6" s="660" t="s">
        <v>740</v>
      </c>
      <c r="O6" s="660"/>
      <c r="P6" t="s">
        <v>819</v>
      </c>
    </row>
    <row r="7" spans="1:18">
      <c r="A7" t="s">
        <v>591</v>
      </c>
      <c r="B7" t="s">
        <v>592</v>
      </c>
      <c r="C7" t="s">
        <v>593</v>
      </c>
      <c r="D7" s="661" t="s">
        <v>867</v>
      </c>
      <c r="E7" s="661" t="s">
        <v>820</v>
      </c>
      <c r="F7" s="661" t="s">
        <v>821</v>
      </c>
      <c r="G7" s="661" t="s">
        <v>822</v>
      </c>
      <c r="H7" s="661" t="s">
        <v>823</v>
      </c>
      <c r="I7" s="661" t="s">
        <v>824</v>
      </c>
      <c r="J7" s="661" t="s">
        <v>825</v>
      </c>
      <c r="K7" s="661" t="s">
        <v>826</v>
      </c>
      <c r="L7" s="661" t="s">
        <v>827</v>
      </c>
      <c r="M7" s="661" t="s">
        <v>1315</v>
      </c>
      <c r="N7" s="660" t="s">
        <v>828</v>
      </c>
      <c r="O7" s="660" t="s">
        <v>1280</v>
      </c>
      <c r="P7" t="s">
        <v>829</v>
      </c>
      <c r="R7" t="str">
        <f>FIXED(SUM(R9:R303),0,TRUE)</f>
        <v>194</v>
      </c>
    </row>
    <row r="9" spans="1:18">
      <c r="A9" t="s">
        <v>594</v>
      </c>
      <c r="B9" t="s">
        <v>132</v>
      </c>
      <c r="C9" t="s">
        <v>133</v>
      </c>
      <c r="D9" s="2">
        <v>214</v>
      </c>
      <c r="E9" s="587">
        <v>285</v>
      </c>
      <c r="F9" s="587">
        <v>287</v>
      </c>
      <c r="G9" s="587">
        <v>287</v>
      </c>
      <c r="H9" s="587">
        <v>288</v>
      </c>
      <c r="I9" s="587">
        <v>290</v>
      </c>
      <c r="J9" s="587">
        <v>278</v>
      </c>
      <c r="K9" s="587">
        <v>0</v>
      </c>
      <c r="L9" s="587">
        <v>0</v>
      </c>
      <c r="M9" s="587">
        <v>0</v>
      </c>
      <c r="N9">
        <f t="shared" ref="N9:N72" si="0">ROUND(SUM(E9:M9)/6,2)</f>
        <v>285.83</v>
      </c>
      <c r="O9">
        <v>259568.63</v>
      </c>
      <c r="Q9" t="s">
        <v>621</v>
      </c>
      <c r="R9">
        <f t="shared" ref="R9:R72" si="1">IF(N9&gt;0,1,0)</f>
        <v>1</v>
      </c>
    </row>
    <row r="10" spans="1:18">
      <c r="A10" t="s">
        <v>594</v>
      </c>
      <c r="B10" t="s">
        <v>262</v>
      </c>
      <c r="C10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7">
        <v>0</v>
      </c>
      <c r="N10">
        <f t="shared" si="0"/>
        <v>0</v>
      </c>
      <c r="O10">
        <v>0</v>
      </c>
      <c r="Q10" t="s">
        <v>801</v>
      </c>
      <c r="R10">
        <f t="shared" si="1"/>
        <v>0</v>
      </c>
    </row>
    <row r="11" spans="1:18">
      <c r="A11" t="s">
        <v>603</v>
      </c>
      <c r="B11" t="s">
        <v>283</v>
      </c>
      <c r="C11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7">
        <v>0</v>
      </c>
      <c r="N11">
        <f t="shared" si="0"/>
        <v>0</v>
      </c>
      <c r="O11">
        <v>0</v>
      </c>
      <c r="Q11" t="s">
        <v>801</v>
      </c>
      <c r="R11">
        <f t="shared" si="1"/>
        <v>0</v>
      </c>
    </row>
    <row r="12" spans="1:18">
      <c r="A12" t="s">
        <v>595</v>
      </c>
      <c r="B12" t="s">
        <v>380</v>
      </c>
      <c r="C12" t="s">
        <v>381</v>
      </c>
      <c r="D12" s="2">
        <v>45</v>
      </c>
      <c r="E12" s="587">
        <v>51</v>
      </c>
      <c r="F12" s="587">
        <v>52</v>
      </c>
      <c r="G12" s="587">
        <v>52</v>
      </c>
      <c r="H12" s="587">
        <v>53</v>
      </c>
      <c r="I12" s="587">
        <v>52</v>
      </c>
      <c r="J12" s="587">
        <v>52</v>
      </c>
      <c r="K12" s="587">
        <v>0</v>
      </c>
      <c r="L12" s="587">
        <v>0</v>
      </c>
      <c r="M12" s="587">
        <v>0</v>
      </c>
      <c r="N12">
        <f t="shared" si="0"/>
        <v>52</v>
      </c>
      <c r="O12">
        <v>47269.26</v>
      </c>
      <c r="Q12" t="s">
        <v>621</v>
      </c>
      <c r="R12">
        <f t="shared" si="1"/>
        <v>1</v>
      </c>
    </row>
    <row r="13" spans="1:18">
      <c r="A13" t="s">
        <v>595</v>
      </c>
      <c r="B13" t="s">
        <v>403</v>
      </c>
      <c r="C13" t="s">
        <v>404</v>
      </c>
      <c r="D13" s="2">
        <v>170</v>
      </c>
      <c r="E13" s="587">
        <v>173</v>
      </c>
      <c r="F13" s="587">
        <v>175</v>
      </c>
      <c r="G13" s="587">
        <v>180</v>
      </c>
      <c r="H13" s="587">
        <v>184</v>
      </c>
      <c r="I13" s="587">
        <v>193</v>
      </c>
      <c r="J13" s="587">
        <v>191</v>
      </c>
      <c r="K13" s="587">
        <v>0</v>
      </c>
      <c r="L13" s="587">
        <v>0</v>
      </c>
      <c r="M13" s="587">
        <v>0</v>
      </c>
      <c r="N13">
        <f t="shared" si="0"/>
        <v>182.67</v>
      </c>
      <c r="O13">
        <v>162753.74</v>
      </c>
      <c r="Q13" t="s">
        <v>621</v>
      </c>
      <c r="R13">
        <f t="shared" si="1"/>
        <v>1</v>
      </c>
    </row>
    <row r="14" spans="1:18">
      <c r="A14" t="s">
        <v>596</v>
      </c>
      <c r="B14" t="s">
        <v>12</v>
      </c>
      <c r="C14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0</v>
      </c>
      <c r="L14" s="587">
        <v>0</v>
      </c>
      <c r="M14" s="587">
        <v>0</v>
      </c>
      <c r="N14">
        <f t="shared" si="0"/>
        <v>1</v>
      </c>
      <c r="O14">
        <v>900.62</v>
      </c>
      <c r="Q14" t="s">
        <v>621</v>
      </c>
      <c r="R14">
        <f t="shared" si="1"/>
        <v>1</v>
      </c>
    </row>
    <row r="15" spans="1:18">
      <c r="A15" t="s">
        <v>597</v>
      </c>
      <c r="B15" t="s">
        <v>195</v>
      </c>
      <c r="C15" t="s">
        <v>196</v>
      </c>
      <c r="D15" s="2">
        <v>1593</v>
      </c>
      <c r="E15" s="587">
        <v>1895</v>
      </c>
      <c r="F15" s="587">
        <v>1911</v>
      </c>
      <c r="G15" s="587">
        <v>1931</v>
      </c>
      <c r="H15" s="587">
        <v>1925</v>
      </c>
      <c r="I15" s="587">
        <v>1959</v>
      </c>
      <c r="J15" s="587">
        <v>1959</v>
      </c>
      <c r="K15" s="587">
        <v>0</v>
      </c>
      <c r="L15" s="587">
        <v>0</v>
      </c>
      <c r="M15" s="587">
        <v>0</v>
      </c>
      <c r="N15">
        <f t="shared" si="0"/>
        <v>1930</v>
      </c>
      <c r="O15">
        <v>1699818.79</v>
      </c>
      <c r="Q15" t="s">
        <v>621</v>
      </c>
      <c r="R15">
        <f t="shared" si="1"/>
        <v>1</v>
      </c>
    </row>
    <row r="16" spans="1:18">
      <c r="A16" t="s">
        <v>597</v>
      </c>
      <c r="B16" t="s">
        <v>213</v>
      </c>
      <c r="C16" t="s">
        <v>598</v>
      </c>
      <c r="D16" s="2">
        <v>20</v>
      </c>
      <c r="E16" s="587">
        <v>20</v>
      </c>
      <c r="F16" s="587">
        <v>21</v>
      </c>
      <c r="G16" s="587">
        <v>21</v>
      </c>
      <c r="H16" s="587">
        <v>21</v>
      </c>
      <c r="I16" s="587">
        <v>21</v>
      </c>
      <c r="J16" s="587">
        <v>21</v>
      </c>
      <c r="K16" s="587">
        <v>0</v>
      </c>
      <c r="L16" s="587">
        <v>0</v>
      </c>
      <c r="M16" s="587">
        <v>0</v>
      </c>
      <c r="N16">
        <f t="shared" si="0"/>
        <v>20.83</v>
      </c>
      <c r="O16">
        <v>19036.080000000002</v>
      </c>
      <c r="Q16" t="s">
        <v>621</v>
      </c>
      <c r="R16">
        <f t="shared" si="1"/>
        <v>1</v>
      </c>
    </row>
    <row r="17" spans="1:18">
      <c r="A17" t="s">
        <v>599</v>
      </c>
      <c r="B17" t="s">
        <v>62</v>
      </c>
      <c r="C17" t="s">
        <v>63</v>
      </c>
      <c r="D17" s="2">
        <v>508</v>
      </c>
      <c r="E17" s="587">
        <v>615</v>
      </c>
      <c r="F17" s="587">
        <v>667</v>
      </c>
      <c r="G17" s="587">
        <v>670</v>
      </c>
      <c r="H17" s="587">
        <v>674</v>
      </c>
      <c r="I17" s="587">
        <v>678</v>
      </c>
      <c r="J17" s="587">
        <v>685</v>
      </c>
      <c r="K17" s="587">
        <v>0</v>
      </c>
      <c r="L17" s="587">
        <v>0</v>
      </c>
      <c r="M17" s="587">
        <v>0</v>
      </c>
      <c r="N17">
        <f t="shared" si="0"/>
        <v>664.83</v>
      </c>
      <c r="O17">
        <v>581966.18999999994</v>
      </c>
      <c r="Q17" t="s">
        <v>621</v>
      </c>
      <c r="R17">
        <f t="shared" si="1"/>
        <v>1</v>
      </c>
    </row>
    <row r="18" spans="1:18">
      <c r="A18" t="s">
        <v>597</v>
      </c>
      <c r="B18" t="s">
        <v>189</v>
      </c>
      <c r="C18" t="s">
        <v>190</v>
      </c>
      <c r="D18" s="2">
        <v>1673</v>
      </c>
      <c r="E18" s="587">
        <v>1848</v>
      </c>
      <c r="F18" s="587">
        <v>1864</v>
      </c>
      <c r="G18" s="587">
        <v>1863</v>
      </c>
      <c r="H18" s="587">
        <v>1867</v>
      </c>
      <c r="I18" s="587">
        <v>1906</v>
      </c>
      <c r="J18" s="587">
        <v>1904</v>
      </c>
      <c r="K18" s="587">
        <v>0</v>
      </c>
      <c r="L18" s="587">
        <v>0</v>
      </c>
      <c r="M18" s="587">
        <v>0</v>
      </c>
      <c r="N18">
        <f t="shared" si="0"/>
        <v>1875.33</v>
      </c>
      <c r="O18">
        <v>1567193.8</v>
      </c>
      <c r="Q18" t="s">
        <v>621</v>
      </c>
      <c r="R18">
        <f t="shared" si="1"/>
        <v>1</v>
      </c>
    </row>
    <row r="19" spans="1:18">
      <c r="A19" t="s">
        <v>595</v>
      </c>
      <c r="B19" t="s">
        <v>504</v>
      </c>
      <c r="C19" t="s">
        <v>505</v>
      </c>
      <c r="D19" s="2">
        <v>486</v>
      </c>
      <c r="E19" s="587">
        <v>606</v>
      </c>
      <c r="F19" s="587">
        <v>608</v>
      </c>
      <c r="G19" s="587">
        <v>613</v>
      </c>
      <c r="H19" s="587">
        <v>609</v>
      </c>
      <c r="I19" s="587">
        <v>611</v>
      </c>
      <c r="J19" s="587">
        <v>620</v>
      </c>
      <c r="K19" s="587">
        <v>0</v>
      </c>
      <c r="L19" s="587">
        <v>0</v>
      </c>
      <c r="M19" s="587">
        <v>0</v>
      </c>
      <c r="N19">
        <f t="shared" si="0"/>
        <v>611.16999999999996</v>
      </c>
      <c r="O19">
        <v>543751.35</v>
      </c>
      <c r="Q19" t="s">
        <v>621</v>
      </c>
      <c r="R19">
        <f t="shared" si="1"/>
        <v>1</v>
      </c>
    </row>
    <row r="20" spans="1:18">
      <c r="A20" t="s">
        <v>603</v>
      </c>
      <c r="B20" t="s">
        <v>2</v>
      </c>
      <c r="C20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>
        <f t="shared" si="0"/>
        <v>0</v>
      </c>
      <c r="O20">
        <v>0</v>
      </c>
      <c r="Q20" t="s">
        <v>801</v>
      </c>
      <c r="R20">
        <f t="shared" si="1"/>
        <v>0</v>
      </c>
    </row>
    <row r="21" spans="1:18">
      <c r="A21" t="s">
        <v>597</v>
      </c>
      <c r="B21" t="s">
        <v>363</v>
      </c>
      <c r="C21" t="s">
        <v>364</v>
      </c>
      <c r="D21" s="2">
        <v>272</v>
      </c>
      <c r="E21" s="587">
        <v>276</v>
      </c>
      <c r="F21" s="587">
        <v>282</v>
      </c>
      <c r="G21" s="587">
        <v>284</v>
      </c>
      <c r="H21" s="587">
        <v>283</v>
      </c>
      <c r="I21" s="587">
        <v>282</v>
      </c>
      <c r="J21" s="587">
        <v>283</v>
      </c>
      <c r="K21" s="587">
        <v>0</v>
      </c>
      <c r="L21" s="587">
        <v>0</v>
      </c>
      <c r="M21" s="587">
        <v>0</v>
      </c>
      <c r="N21">
        <f t="shared" si="0"/>
        <v>281.67</v>
      </c>
      <c r="O21">
        <v>247636.86</v>
      </c>
      <c r="Q21" t="s">
        <v>621</v>
      </c>
      <c r="R21">
        <f t="shared" si="1"/>
        <v>1</v>
      </c>
    </row>
    <row r="22" spans="1:18">
      <c r="A22" t="s">
        <v>605</v>
      </c>
      <c r="B22" t="s">
        <v>234</v>
      </c>
      <c r="C2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>
        <f t="shared" si="0"/>
        <v>0</v>
      </c>
      <c r="O22">
        <v>0</v>
      </c>
      <c r="Q22" t="s">
        <v>801</v>
      </c>
      <c r="R22">
        <f t="shared" si="1"/>
        <v>0</v>
      </c>
    </row>
    <row r="23" spans="1:18">
      <c r="A23" t="s">
        <v>595</v>
      </c>
      <c r="B23" t="s">
        <v>508</v>
      </c>
      <c r="C23" t="s">
        <v>509</v>
      </c>
      <c r="D23" s="2">
        <v>63</v>
      </c>
      <c r="E23" s="587">
        <v>82</v>
      </c>
      <c r="F23" s="587">
        <v>78</v>
      </c>
      <c r="G23" s="587">
        <v>81</v>
      </c>
      <c r="H23" s="587">
        <v>82</v>
      </c>
      <c r="I23" s="587">
        <v>84</v>
      </c>
      <c r="J23" s="587">
        <v>84</v>
      </c>
      <c r="K23" s="587">
        <v>0</v>
      </c>
      <c r="L23" s="587">
        <v>0</v>
      </c>
      <c r="M23" s="587">
        <v>0</v>
      </c>
      <c r="N23">
        <f t="shared" si="0"/>
        <v>81.83</v>
      </c>
      <c r="O23">
        <v>73528.58</v>
      </c>
      <c r="Q23" t="s">
        <v>621</v>
      </c>
      <c r="R23">
        <f t="shared" si="1"/>
        <v>1</v>
      </c>
    </row>
    <row r="24" spans="1:18">
      <c r="A24" t="s">
        <v>594</v>
      </c>
      <c r="B24" t="s">
        <v>266</v>
      </c>
      <c r="C24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7">
        <v>0</v>
      </c>
      <c r="N24">
        <f t="shared" si="0"/>
        <v>0</v>
      </c>
      <c r="O24">
        <v>0</v>
      </c>
      <c r="Q24" t="s">
        <v>801</v>
      </c>
      <c r="R24">
        <f t="shared" si="1"/>
        <v>0</v>
      </c>
    </row>
    <row r="25" spans="1:18">
      <c r="A25" t="s">
        <v>600</v>
      </c>
      <c r="B25" t="s">
        <v>211</v>
      </c>
      <c r="C25" t="s">
        <v>212</v>
      </c>
      <c r="D25" s="2">
        <v>123</v>
      </c>
      <c r="E25" s="587">
        <v>142</v>
      </c>
      <c r="F25" s="587">
        <v>145</v>
      </c>
      <c r="G25" s="587">
        <v>150</v>
      </c>
      <c r="H25" s="587">
        <v>145</v>
      </c>
      <c r="I25" s="587">
        <v>152</v>
      </c>
      <c r="J25" s="587">
        <v>148</v>
      </c>
      <c r="K25" s="587">
        <v>0</v>
      </c>
      <c r="L25" s="587">
        <v>0</v>
      </c>
      <c r="M25" s="587">
        <v>0</v>
      </c>
      <c r="N25">
        <f t="shared" si="0"/>
        <v>147</v>
      </c>
      <c r="O25">
        <v>127259.88</v>
      </c>
      <c r="Q25" t="s">
        <v>621</v>
      </c>
      <c r="R25">
        <f t="shared" si="1"/>
        <v>1</v>
      </c>
    </row>
    <row r="26" spans="1:18">
      <c r="A26" t="s">
        <v>601</v>
      </c>
      <c r="B26" t="s">
        <v>315</v>
      </c>
      <c r="C26" t="s">
        <v>316</v>
      </c>
      <c r="D26" s="2">
        <v>330</v>
      </c>
      <c r="E26" s="587">
        <v>406</v>
      </c>
      <c r="F26" s="587">
        <v>409</v>
      </c>
      <c r="G26" s="587">
        <v>398</v>
      </c>
      <c r="H26" s="587">
        <v>393</v>
      </c>
      <c r="I26" s="587">
        <v>398</v>
      </c>
      <c r="J26" s="587">
        <v>392</v>
      </c>
      <c r="K26" s="587">
        <v>0</v>
      </c>
      <c r="L26" s="587">
        <v>0</v>
      </c>
      <c r="M26" s="587">
        <v>0</v>
      </c>
      <c r="N26">
        <f t="shared" si="0"/>
        <v>399.33</v>
      </c>
      <c r="O26">
        <v>346012.76</v>
      </c>
      <c r="Q26" t="s">
        <v>621</v>
      </c>
      <c r="R26">
        <f t="shared" si="1"/>
        <v>1</v>
      </c>
    </row>
    <row r="27" spans="1:18">
      <c r="A27" t="s">
        <v>601</v>
      </c>
      <c r="B27" t="s">
        <v>84</v>
      </c>
      <c r="C27" t="s">
        <v>85</v>
      </c>
      <c r="D27" s="2">
        <v>320</v>
      </c>
      <c r="E27" s="587">
        <v>315</v>
      </c>
      <c r="F27" s="587">
        <v>315</v>
      </c>
      <c r="G27" s="587">
        <v>313</v>
      </c>
      <c r="H27" s="587">
        <v>308</v>
      </c>
      <c r="I27" s="587">
        <v>321</v>
      </c>
      <c r="J27" s="587">
        <v>320</v>
      </c>
      <c r="K27" s="587">
        <v>0</v>
      </c>
      <c r="L27" s="587">
        <v>0</v>
      </c>
      <c r="M27" s="587">
        <v>0</v>
      </c>
      <c r="N27">
        <f t="shared" si="0"/>
        <v>315.33</v>
      </c>
      <c r="O27">
        <v>264171.08</v>
      </c>
      <c r="Q27" t="s">
        <v>621</v>
      </c>
      <c r="R27">
        <f t="shared" si="1"/>
        <v>1</v>
      </c>
    </row>
    <row r="28" spans="1:18">
      <c r="A28" t="s">
        <v>600</v>
      </c>
      <c r="B28" t="s">
        <v>165</v>
      </c>
      <c r="C28" t="s">
        <v>166</v>
      </c>
      <c r="D28" s="2">
        <v>2</v>
      </c>
      <c r="E28" s="587">
        <v>2</v>
      </c>
      <c r="F28" s="587">
        <v>2</v>
      </c>
      <c r="G28" s="587">
        <v>2</v>
      </c>
      <c r="H28" s="587">
        <v>2</v>
      </c>
      <c r="I28" s="587">
        <v>2</v>
      </c>
      <c r="J28" s="587">
        <v>2</v>
      </c>
      <c r="K28" s="587">
        <v>0</v>
      </c>
      <c r="L28" s="587">
        <v>0</v>
      </c>
      <c r="M28" s="587">
        <v>0</v>
      </c>
      <c r="N28">
        <f t="shared" si="0"/>
        <v>2</v>
      </c>
      <c r="O28">
        <v>1573.16</v>
      </c>
      <c r="Q28" t="s">
        <v>621</v>
      </c>
      <c r="R28">
        <f t="shared" si="1"/>
        <v>1</v>
      </c>
    </row>
    <row r="29" spans="1:18">
      <c r="A29" t="s">
        <v>595</v>
      </c>
      <c r="B29" t="s">
        <v>378</v>
      </c>
      <c r="C29" t="s">
        <v>602</v>
      </c>
      <c r="D29" s="2">
        <v>708</v>
      </c>
      <c r="E29" s="587">
        <v>688</v>
      </c>
      <c r="F29" s="587">
        <v>651</v>
      </c>
      <c r="G29" s="587">
        <v>656</v>
      </c>
      <c r="H29" s="587">
        <v>652</v>
      </c>
      <c r="I29" s="587">
        <v>658</v>
      </c>
      <c r="J29" s="587">
        <v>660</v>
      </c>
      <c r="K29" s="587">
        <v>0</v>
      </c>
      <c r="L29" s="587">
        <v>0</v>
      </c>
      <c r="M29" s="587">
        <v>0</v>
      </c>
      <c r="N29">
        <f t="shared" si="0"/>
        <v>660.83</v>
      </c>
      <c r="O29">
        <v>575054.6</v>
      </c>
      <c r="Q29" t="s">
        <v>621</v>
      </c>
      <c r="R29">
        <f t="shared" si="1"/>
        <v>1</v>
      </c>
    </row>
    <row r="30" spans="1:18">
      <c r="A30" t="s">
        <v>599</v>
      </c>
      <c r="B30" t="s">
        <v>60</v>
      </c>
      <c r="C30" t="s">
        <v>61</v>
      </c>
      <c r="D30" s="2">
        <v>76</v>
      </c>
      <c r="E30" s="587">
        <v>106</v>
      </c>
      <c r="F30" s="587">
        <v>111</v>
      </c>
      <c r="G30" s="587">
        <v>111</v>
      </c>
      <c r="H30" s="587">
        <v>109</v>
      </c>
      <c r="I30" s="587">
        <v>106</v>
      </c>
      <c r="J30" s="587">
        <v>107</v>
      </c>
      <c r="K30" s="587">
        <v>0</v>
      </c>
      <c r="L30" s="587">
        <v>0</v>
      </c>
      <c r="M30" s="587">
        <v>0</v>
      </c>
      <c r="N30">
        <f t="shared" si="0"/>
        <v>108.33</v>
      </c>
      <c r="O30">
        <v>95881.93</v>
      </c>
      <c r="Q30" t="s">
        <v>621</v>
      </c>
      <c r="R30">
        <f t="shared" si="1"/>
        <v>1</v>
      </c>
    </row>
    <row r="31" spans="1:18">
      <c r="A31" t="s">
        <v>600</v>
      </c>
      <c r="B31" t="s">
        <v>45</v>
      </c>
      <c r="C31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7">
        <v>0</v>
      </c>
      <c r="N31">
        <f t="shared" si="0"/>
        <v>0</v>
      </c>
      <c r="O31">
        <v>0</v>
      </c>
      <c r="Q31" t="s">
        <v>801</v>
      </c>
      <c r="R31">
        <f t="shared" si="1"/>
        <v>0</v>
      </c>
    </row>
    <row r="32" spans="1:18">
      <c r="A32" t="s">
        <v>597</v>
      </c>
      <c r="B32" t="s">
        <v>347</v>
      </c>
      <c r="C3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7">
        <v>0</v>
      </c>
      <c r="N32">
        <f t="shared" si="0"/>
        <v>0</v>
      </c>
      <c r="O32">
        <v>0</v>
      </c>
      <c r="Q32" t="s">
        <v>801</v>
      </c>
      <c r="R32">
        <f t="shared" si="1"/>
        <v>0</v>
      </c>
    </row>
    <row r="33" spans="1:18">
      <c r="A33" t="s">
        <v>601</v>
      </c>
      <c r="B33" t="s">
        <v>35</v>
      </c>
      <c r="C33" t="s">
        <v>36</v>
      </c>
      <c r="D33" s="2">
        <v>174</v>
      </c>
      <c r="E33" s="587">
        <v>176</v>
      </c>
      <c r="F33" s="587">
        <v>176</v>
      </c>
      <c r="G33" s="587">
        <v>176</v>
      </c>
      <c r="H33" s="587">
        <v>175</v>
      </c>
      <c r="I33" s="587">
        <v>175</v>
      </c>
      <c r="J33" s="587">
        <v>174</v>
      </c>
      <c r="K33" s="587">
        <v>0</v>
      </c>
      <c r="L33" s="587">
        <v>0</v>
      </c>
      <c r="M33" s="587">
        <v>0</v>
      </c>
      <c r="N33">
        <f t="shared" si="0"/>
        <v>175.33</v>
      </c>
      <c r="O33">
        <v>156022.29</v>
      </c>
      <c r="Q33" t="s">
        <v>621</v>
      </c>
      <c r="R33">
        <f t="shared" si="1"/>
        <v>1</v>
      </c>
    </row>
    <row r="34" spans="1:18">
      <c r="A34" t="s">
        <v>601</v>
      </c>
      <c r="B34" t="s">
        <v>33</v>
      </c>
      <c r="C34" t="s">
        <v>34</v>
      </c>
      <c r="D34" s="2">
        <v>213</v>
      </c>
      <c r="E34" s="587">
        <v>215</v>
      </c>
      <c r="F34" s="587">
        <v>217</v>
      </c>
      <c r="G34" s="587">
        <v>218</v>
      </c>
      <c r="H34" s="587">
        <v>217</v>
      </c>
      <c r="I34" s="587">
        <v>218</v>
      </c>
      <c r="J34" s="587">
        <v>217</v>
      </c>
      <c r="K34" s="587">
        <v>0</v>
      </c>
      <c r="L34" s="587">
        <v>0</v>
      </c>
      <c r="M34" s="587">
        <v>0</v>
      </c>
      <c r="N34">
        <f t="shared" si="0"/>
        <v>217</v>
      </c>
      <c r="O34">
        <v>199989.03</v>
      </c>
      <c r="Q34" t="s">
        <v>621</v>
      </c>
      <c r="R34">
        <f t="shared" si="1"/>
        <v>1</v>
      </c>
    </row>
    <row r="35" spans="1:18">
      <c r="A35" t="s">
        <v>599</v>
      </c>
      <c r="B35" t="s">
        <v>74</v>
      </c>
      <c r="C35" t="s">
        <v>75</v>
      </c>
      <c r="D35" s="2">
        <v>28</v>
      </c>
      <c r="E35" s="587">
        <v>26</v>
      </c>
      <c r="F35" s="587">
        <v>27</v>
      </c>
      <c r="G35" s="587">
        <v>28</v>
      </c>
      <c r="H35" s="587">
        <v>28</v>
      </c>
      <c r="I35" s="587">
        <v>29</v>
      </c>
      <c r="J35" s="587">
        <v>30</v>
      </c>
      <c r="K35" s="587">
        <v>0</v>
      </c>
      <c r="L35" s="587">
        <v>0</v>
      </c>
      <c r="M35" s="587">
        <v>0</v>
      </c>
      <c r="N35">
        <f t="shared" si="0"/>
        <v>28</v>
      </c>
      <c r="O35">
        <v>24573.11</v>
      </c>
      <c r="Q35" t="s">
        <v>621</v>
      </c>
      <c r="R35">
        <f t="shared" si="1"/>
        <v>1</v>
      </c>
    </row>
    <row r="36" spans="1:18">
      <c r="A36" t="s">
        <v>599</v>
      </c>
      <c r="B36" t="s">
        <v>236</v>
      </c>
      <c r="C36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7">
        <v>0</v>
      </c>
      <c r="N36">
        <f t="shared" si="0"/>
        <v>0</v>
      </c>
      <c r="O36">
        <v>0</v>
      </c>
      <c r="Q36" t="s">
        <v>801</v>
      </c>
      <c r="R36">
        <f t="shared" si="1"/>
        <v>0</v>
      </c>
    </row>
    <row r="37" spans="1:18">
      <c r="A37" t="s">
        <v>600</v>
      </c>
      <c r="B37" t="s">
        <v>216</v>
      </c>
      <c r="C37" t="s">
        <v>217</v>
      </c>
      <c r="D37" s="2">
        <v>174</v>
      </c>
      <c r="E37" s="587">
        <v>215</v>
      </c>
      <c r="F37" s="587">
        <v>217</v>
      </c>
      <c r="G37" s="587">
        <v>225</v>
      </c>
      <c r="H37" s="587">
        <v>225</v>
      </c>
      <c r="I37" s="587">
        <v>226</v>
      </c>
      <c r="J37" s="587">
        <v>232</v>
      </c>
      <c r="K37" s="587">
        <v>0</v>
      </c>
      <c r="L37" s="587">
        <v>0</v>
      </c>
      <c r="M37" s="587">
        <v>0</v>
      </c>
      <c r="N37">
        <f t="shared" si="0"/>
        <v>223.33</v>
      </c>
      <c r="O37">
        <v>206318.59</v>
      </c>
      <c r="Q37" t="s">
        <v>621</v>
      </c>
      <c r="R37">
        <f t="shared" si="1"/>
        <v>1</v>
      </c>
    </row>
    <row r="38" spans="1:18">
      <c r="A38" t="s">
        <v>603</v>
      </c>
      <c r="B38" t="s">
        <v>434</v>
      </c>
      <c r="C38" t="s">
        <v>435</v>
      </c>
      <c r="D38" s="2">
        <v>297</v>
      </c>
      <c r="E38" s="587">
        <v>298</v>
      </c>
      <c r="F38" s="587">
        <v>302</v>
      </c>
      <c r="G38" s="587">
        <v>305</v>
      </c>
      <c r="H38" s="587">
        <v>305</v>
      </c>
      <c r="I38" s="587">
        <v>304</v>
      </c>
      <c r="J38" s="587">
        <v>306</v>
      </c>
      <c r="K38" s="587">
        <v>0</v>
      </c>
      <c r="L38" s="587">
        <v>0</v>
      </c>
      <c r="M38" s="587">
        <v>0</v>
      </c>
      <c r="N38">
        <f t="shared" si="0"/>
        <v>303.33</v>
      </c>
      <c r="O38">
        <v>269004.93</v>
      </c>
      <c r="Q38" t="s">
        <v>621</v>
      </c>
      <c r="R38">
        <f t="shared" si="1"/>
        <v>1</v>
      </c>
    </row>
    <row r="39" spans="1:18">
      <c r="A39" t="s">
        <v>594</v>
      </c>
      <c r="B39" t="s">
        <v>278</v>
      </c>
      <c r="C39" t="s">
        <v>279</v>
      </c>
      <c r="D39" s="2">
        <v>272</v>
      </c>
      <c r="E39" s="587">
        <v>299</v>
      </c>
      <c r="F39" s="587">
        <v>305</v>
      </c>
      <c r="G39" s="587">
        <v>303</v>
      </c>
      <c r="H39" s="587">
        <v>298</v>
      </c>
      <c r="I39" s="587">
        <v>300</v>
      </c>
      <c r="J39" s="587">
        <v>301</v>
      </c>
      <c r="K39" s="587">
        <v>0</v>
      </c>
      <c r="L39" s="587">
        <v>0</v>
      </c>
      <c r="M39" s="587">
        <v>0</v>
      </c>
      <c r="N39">
        <f t="shared" si="0"/>
        <v>301</v>
      </c>
      <c r="O39">
        <v>265051.13</v>
      </c>
      <c r="Q39" t="s">
        <v>621</v>
      </c>
      <c r="R39">
        <f t="shared" si="1"/>
        <v>1</v>
      </c>
    </row>
    <row r="40" spans="1:18">
      <c r="A40" t="s">
        <v>594</v>
      </c>
      <c r="B40" t="s">
        <v>274</v>
      </c>
      <c r="C40" t="s">
        <v>275</v>
      </c>
      <c r="D40" s="2">
        <v>59</v>
      </c>
      <c r="E40" s="587">
        <v>86</v>
      </c>
      <c r="F40" s="587">
        <v>86</v>
      </c>
      <c r="G40" s="587">
        <v>86</v>
      </c>
      <c r="H40" s="587">
        <v>86</v>
      </c>
      <c r="I40" s="587">
        <v>86</v>
      </c>
      <c r="J40" s="587">
        <v>87</v>
      </c>
      <c r="K40" s="587">
        <v>0</v>
      </c>
      <c r="L40" s="587">
        <v>0</v>
      </c>
      <c r="M40" s="587">
        <v>0</v>
      </c>
      <c r="N40">
        <f t="shared" si="0"/>
        <v>86.17</v>
      </c>
      <c r="O40">
        <v>77801.45</v>
      </c>
      <c r="Q40" t="s">
        <v>621</v>
      </c>
      <c r="R40">
        <f t="shared" si="1"/>
        <v>1</v>
      </c>
    </row>
    <row r="41" spans="1:18">
      <c r="A41" t="s">
        <v>603</v>
      </c>
      <c r="B41" t="s">
        <v>438</v>
      </c>
      <c r="C41" t="s">
        <v>439</v>
      </c>
      <c r="D41" s="2">
        <v>63</v>
      </c>
      <c r="E41" s="587">
        <v>91</v>
      </c>
      <c r="F41" s="587">
        <v>95</v>
      </c>
      <c r="G41" s="587">
        <v>95</v>
      </c>
      <c r="H41" s="587">
        <v>94</v>
      </c>
      <c r="I41" s="587">
        <v>91</v>
      </c>
      <c r="J41" s="587">
        <v>91</v>
      </c>
      <c r="K41" s="587">
        <v>0</v>
      </c>
      <c r="L41" s="587">
        <v>0</v>
      </c>
      <c r="M41" s="587">
        <v>0</v>
      </c>
      <c r="N41">
        <f t="shared" si="0"/>
        <v>92.83</v>
      </c>
      <c r="O41">
        <v>81807.89</v>
      </c>
      <c r="Q41" t="s">
        <v>621</v>
      </c>
      <c r="R41">
        <f t="shared" si="1"/>
        <v>1</v>
      </c>
    </row>
    <row r="42" spans="1:18">
      <c r="A42" t="s">
        <v>603</v>
      </c>
      <c r="B42" t="s">
        <v>450</v>
      </c>
      <c r="C42" t="s">
        <v>451</v>
      </c>
      <c r="D42" s="2">
        <v>5</v>
      </c>
      <c r="E42" s="587">
        <v>5</v>
      </c>
      <c r="F42" s="587">
        <v>5</v>
      </c>
      <c r="G42" s="587">
        <v>5</v>
      </c>
      <c r="H42" s="587">
        <v>5</v>
      </c>
      <c r="I42" s="587">
        <v>5</v>
      </c>
      <c r="J42" s="587">
        <v>5</v>
      </c>
      <c r="K42" s="587">
        <v>0</v>
      </c>
      <c r="L42" s="587">
        <v>0</v>
      </c>
      <c r="M42" s="587">
        <v>0</v>
      </c>
      <c r="N42">
        <f t="shared" si="0"/>
        <v>5</v>
      </c>
      <c r="O42">
        <v>4764.51</v>
      </c>
      <c r="Q42" t="s">
        <v>621</v>
      </c>
      <c r="R42">
        <f t="shared" si="1"/>
        <v>1</v>
      </c>
    </row>
    <row r="43" spans="1:18">
      <c r="A43" t="s">
        <v>600</v>
      </c>
      <c r="B43" t="s">
        <v>169</v>
      </c>
      <c r="C43" t="s">
        <v>170</v>
      </c>
      <c r="D43" s="2">
        <v>10</v>
      </c>
      <c r="E43" s="587">
        <v>10</v>
      </c>
      <c r="F43" s="587">
        <v>10</v>
      </c>
      <c r="G43" s="587">
        <v>10</v>
      </c>
      <c r="H43" s="587">
        <v>10</v>
      </c>
      <c r="I43" s="587">
        <v>10</v>
      </c>
      <c r="J43" s="587">
        <v>10</v>
      </c>
      <c r="K43" s="587">
        <v>0</v>
      </c>
      <c r="L43" s="587">
        <v>0</v>
      </c>
      <c r="M43" s="587">
        <v>0</v>
      </c>
      <c r="N43">
        <f t="shared" si="0"/>
        <v>10</v>
      </c>
      <c r="O43">
        <v>9200.9699999999993</v>
      </c>
      <c r="Q43" t="s">
        <v>621</v>
      </c>
      <c r="R43">
        <f t="shared" si="1"/>
        <v>1</v>
      </c>
    </row>
    <row r="44" spans="1:18">
      <c r="A44" t="s">
        <v>596</v>
      </c>
      <c r="B44" t="s">
        <v>10</v>
      </c>
      <c r="C44" t="s">
        <v>11</v>
      </c>
      <c r="D44" s="2">
        <v>20</v>
      </c>
      <c r="E44" s="587">
        <v>26</v>
      </c>
      <c r="F44" s="587">
        <v>26</v>
      </c>
      <c r="G44" s="587">
        <v>26</v>
      </c>
      <c r="H44" s="587">
        <v>26</v>
      </c>
      <c r="I44" s="587">
        <v>26</v>
      </c>
      <c r="J44" s="587">
        <v>26</v>
      </c>
      <c r="K44" s="587">
        <v>0</v>
      </c>
      <c r="L44" s="587">
        <v>0</v>
      </c>
      <c r="M44" s="587">
        <v>0</v>
      </c>
      <c r="N44">
        <f t="shared" si="0"/>
        <v>26</v>
      </c>
      <c r="O44">
        <v>23316.32</v>
      </c>
      <c r="Q44" t="s">
        <v>621</v>
      </c>
      <c r="R44">
        <f t="shared" si="1"/>
        <v>1</v>
      </c>
    </row>
    <row r="45" spans="1:18">
      <c r="A45" t="s">
        <v>605</v>
      </c>
      <c r="B45" t="s">
        <v>230</v>
      </c>
      <c r="C45" t="s">
        <v>231</v>
      </c>
      <c r="D45" s="2">
        <v>11</v>
      </c>
      <c r="E45" s="587">
        <v>11</v>
      </c>
      <c r="F45" s="587">
        <v>12</v>
      </c>
      <c r="G45" s="587">
        <v>12</v>
      </c>
      <c r="H45" s="587">
        <v>12</v>
      </c>
      <c r="I45" s="587">
        <v>12</v>
      </c>
      <c r="J45" s="587">
        <v>12</v>
      </c>
      <c r="K45" s="587">
        <v>0</v>
      </c>
      <c r="L45" s="587">
        <v>0</v>
      </c>
      <c r="M45" s="587">
        <v>0</v>
      </c>
      <c r="N45">
        <f t="shared" si="0"/>
        <v>11.83</v>
      </c>
      <c r="O45">
        <v>10440.65</v>
      </c>
      <c r="Q45" t="s">
        <v>621</v>
      </c>
      <c r="R45">
        <f t="shared" si="1"/>
        <v>1</v>
      </c>
    </row>
    <row r="46" spans="1:18">
      <c r="A46" t="s">
        <v>597</v>
      </c>
      <c r="B46" t="s">
        <v>357</v>
      </c>
      <c r="C46" t="s">
        <v>358</v>
      </c>
      <c r="D46" s="2">
        <v>1170</v>
      </c>
      <c r="E46" s="587">
        <v>1312</v>
      </c>
      <c r="F46" s="587">
        <v>1295</v>
      </c>
      <c r="G46" s="587">
        <v>1291</v>
      </c>
      <c r="H46" s="587">
        <v>1288</v>
      </c>
      <c r="I46" s="587">
        <v>1306</v>
      </c>
      <c r="J46" s="587">
        <v>1315</v>
      </c>
      <c r="K46" s="587">
        <v>0</v>
      </c>
      <c r="L46" s="587">
        <v>0</v>
      </c>
      <c r="M46" s="587">
        <v>0</v>
      </c>
      <c r="N46">
        <f t="shared" si="0"/>
        <v>1301.17</v>
      </c>
      <c r="O46">
        <v>1116984.3999999999</v>
      </c>
      <c r="Q46" t="s">
        <v>621</v>
      </c>
      <c r="R46">
        <f t="shared" si="1"/>
        <v>1</v>
      </c>
    </row>
    <row r="47" spans="1:18">
      <c r="A47" t="s">
        <v>603</v>
      </c>
      <c r="B47" t="s">
        <v>525</v>
      </c>
      <c r="C47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7">
        <v>0</v>
      </c>
      <c r="N47">
        <f t="shared" si="0"/>
        <v>0</v>
      </c>
      <c r="O47">
        <v>0</v>
      </c>
      <c r="Q47" t="s">
        <v>801</v>
      </c>
      <c r="R47">
        <f t="shared" si="1"/>
        <v>0</v>
      </c>
    </row>
    <row r="48" spans="1:18">
      <c r="A48" t="s">
        <v>596</v>
      </c>
      <c r="B48" t="s">
        <v>494</v>
      </c>
      <c r="C48" t="s">
        <v>495</v>
      </c>
      <c r="D48" s="2">
        <v>186</v>
      </c>
      <c r="E48" s="587">
        <v>187</v>
      </c>
      <c r="F48" s="587">
        <v>187</v>
      </c>
      <c r="G48" s="587">
        <v>186</v>
      </c>
      <c r="H48" s="587">
        <v>186</v>
      </c>
      <c r="I48" s="587">
        <v>185</v>
      </c>
      <c r="J48" s="587">
        <v>183</v>
      </c>
      <c r="K48" s="587">
        <v>0</v>
      </c>
      <c r="L48" s="587">
        <v>0</v>
      </c>
      <c r="M48" s="587">
        <v>0</v>
      </c>
      <c r="N48">
        <f t="shared" si="0"/>
        <v>185.67</v>
      </c>
      <c r="O48">
        <v>166306.76999999999</v>
      </c>
      <c r="Q48" t="s">
        <v>621</v>
      </c>
      <c r="R48">
        <f t="shared" si="1"/>
        <v>1</v>
      </c>
    </row>
    <row r="49" spans="1:18">
      <c r="A49" t="s">
        <v>603</v>
      </c>
      <c r="B49" t="s">
        <v>533</v>
      </c>
      <c r="C49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7">
        <v>0</v>
      </c>
      <c r="N49">
        <f t="shared" si="0"/>
        <v>0</v>
      </c>
      <c r="O49">
        <v>0</v>
      </c>
      <c r="Q49" t="s">
        <v>801</v>
      </c>
      <c r="R49">
        <f t="shared" si="1"/>
        <v>0</v>
      </c>
    </row>
    <row r="50" spans="1:18">
      <c r="A50" t="s">
        <v>603</v>
      </c>
      <c r="B50" t="s">
        <v>464</v>
      </c>
      <c r="C50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7">
        <v>0</v>
      </c>
      <c r="N50">
        <f t="shared" si="0"/>
        <v>0</v>
      </c>
      <c r="O50">
        <v>0</v>
      </c>
      <c r="Q50" t="s">
        <v>801</v>
      </c>
      <c r="R50">
        <f t="shared" si="1"/>
        <v>0</v>
      </c>
    </row>
    <row r="51" spans="1:18">
      <c r="A51" t="s">
        <v>596</v>
      </c>
      <c r="B51" t="s">
        <v>498</v>
      </c>
      <c r="C51" t="s">
        <v>499</v>
      </c>
      <c r="D51" s="2">
        <v>113</v>
      </c>
      <c r="E51" s="587">
        <v>120</v>
      </c>
      <c r="F51" s="587">
        <v>118</v>
      </c>
      <c r="G51" s="587">
        <v>118</v>
      </c>
      <c r="H51" s="587">
        <v>119</v>
      </c>
      <c r="I51" s="587">
        <v>118</v>
      </c>
      <c r="J51" s="587">
        <v>117</v>
      </c>
      <c r="K51" s="587">
        <v>0</v>
      </c>
      <c r="L51" s="587">
        <v>0</v>
      </c>
      <c r="M51" s="587">
        <v>0</v>
      </c>
      <c r="N51">
        <f t="shared" si="0"/>
        <v>118.33</v>
      </c>
      <c r="O51">
        <v>100037.18</v>
      </c>
      <c r="Q51" t="s">
        <v>621</v>
      </c>
      <c r="R51">
        <f t="shared" si="1"/>
        <v>1</v>
      </c>
    </row>
    <row r="52" spans="1:18">
      <c r="A52" t="s">
        <v>603</v>
      </c>
      <c r="B52" t="s">
        <v>456</v>
      </c>
      <c r="C52" t="s">
        <v>457</v>
      </c>
      <c r="D52" s="2">
        <v>43</v>
      </c>
      <c r="E52" s="587">
        <v>43</v>
      </c>
      <c r="F52" s="587">
        <v>43</v>
      </c>
      <c r="G52" s="587">
        <v>43</v>
      </c>
      <c r="H52" s="587">
        <v>43</v>
      </c>
      <c r="I52" s="587">
        <v>43</v>
      </c>
      <c r="J52" s="587">
        <v>43</v>
      </c>
      <c r="K52" s="587">
        <v>0</v>
      </c>
      <c r="L52" s="587">
        <v>0</v>
      </c>
      <c r="M52" s="587">
        <v>0</v>
      </c>
      <c r="N52">
        <f t="shared" si="0"/>
        <v>43</v>
      </c>
      <c r="O52">
        <v>39341.82</v>
      </c>
      <c r="Q52" t="s">
        <v>621</v>
      </c>
      <c r="R52">
        <f t="shared" si="1"/>
        <v>1</v>
      </c>
    </row>
    <row r="53" spans="1:18">
      <c r="A53" t="s">
        <v>595</v>
      </c>
      <c r="B53" t="s">
        <v>376</v>
      </c>
      <c r="C53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7">
        <v>0</v>
      </c>
      <c r="N53">
        <f t="shared" si="0"/>
        <v>0</v>
      </c>
      <c r="O53">
        <v>0</v>
      </c>
      <c r="Q53" t="s">
        <v>801</v>
      </c>
      <c r="R53">
        <f t="shared" si="1"/>
        <v>0</v>
      </c>
    </row>
    <row r="54" spans="1:18">
      <c r="A54" t="s">
        <v>595</v>
      </c>
      <c r="B54" t="s">
        <v>384</v>
      </c>
      <c r="C54" t="s">
        <v>385</v>
      </c>
      <c r="D54" s="2">
        <v>32</v>
      </c>
      <c r="E54" s="587">
        <v>31</v>
      </c>
      <c r="F54" s="587">
        <v>28</v>
      </c>
      <c r="G54" s="587">
        <v>25</v>
      </c>
      <c r="H54" s="587">
        <v>25</v>
      </c>
      <c r="I54" s="587">
        <v>26</v>
      </c>
      <c r="J54" s="587">
        <v>30</v>
      </c>
      <c r="K54" s="587">
        <v>0</v>
      </c>
      <c r="L54" s="587">
        <v>0</v>
      </c>
      <c r="M54" s="587">
        <v>0</v>
      </c>
      <c r="N54">
        <f t="shared" si="0"/>
        <v>27.5</v>
      </c>
      <c r="O54">
        <v>25845.49</v>
      </c>
      <c r="Q54" t="s">
        <v>621</v>
      </c>
      <c r="R54">
        <f t="shared" si="1"/>
        <v>1</v>
      </c>
    </row>
    <row r="55" spans="1:18">
      <c r="A55" t="s">
        <v>594</v>
      </c>
      <c r="B55" t="s">
        <v>147</v>
      </c>
      <c r="C55" t="s">
        <v>148</v>
      </c>
      <c r="D55" s="2">
        <v>3</v>
      </c>
      <c r="E55" s="587">
        <v>3</v>
      </c>
      <c r="F55" s="587">
        <v>3</v>
      </c>
      <c r="G55" s="587">
        <v>3</v>
      </c>
      <c r="H55" s="587">
        <v>3</v>
      </c>
      <c r="I55" s="587">
        <v>3</v>
      </c>
      <c r="J55" s="587">
        <v>2</v>
      </c>
      <c r="K55" s="587">
        <v>0</v>
      </c>
      <c r="L55" s="587">
        <v>0</v>
      </c>
      <c r="M55" s="587">
        <v>0</v>
      </c>
      <c r="N55">
        <f t="shared" si="0"/>
        <v>2.83</v>
      </c>
      <c r="O55">
        <v>2519.39</v>
      </c>
      <c r="Q55" t="s">
        <v>621</v>
      </c>
      <c r="R55">
        <f t="shared" si="1"/>
        <v>1</v>
      </c>
    </row>
    <row r="56" spans="1:18">
      <c r="A56" t="s">
        <v>601</v>
      </c>
      <c r="B56" t="s">
        <v>120</v>
      </c>
      <c r="C56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7">
        <v>0</v>
      </c>
      <c r="N56">
        <f t="shared" si="0"/>
        <v>0</v>
      </c>
      <c r="O56">
        <v>0</v>
      </c>
      <c r="Q56" t="s">
        <v>801</v>
      </c>
      <c r="R56">
        <f t="shared" si="1"/>
        <v>0</v>
      </c>
    </row>
    <row r="57" spans="1:18">
      <c r="A57" t="s">
        <v>595</v>
      </c>
      <c r="B57" t="s">
        <v>159</v>
      </c>
      <c r="C57" t="s">
        <v>160</v>
      </c>
      <c r="D57" s="2">
        <v>21</v>
      </c>
      <c r="E57" s="587">
        <v>23</v>
      </c>
      <c r="F57" s="587">
        <v>24</v>
      </c>
      <c r="G57" s="587">
        <v>24</v>
      </c>
      <c r="H57" s="587">
        <v>23</v>
      </c>
      <c r="I57" s="587">
        <v>23</v>
      </c>
      <c r="J57" s="587">
        <v>23</v>
      </c>
      <c r="K57" s="587">
        <v>0</v>
      </c>
      <c r="L57" s="587">
        <v>0</v>
      </c>
      <c r="M57" s="587">
        <v>0</v>
      </c>
      <c r="N57">
        <f t="shared" si="0"/>
        <v>23.33</v>
      </c>
      <c r="O57">
        <v>20817.349999999999</v>
      </c>
      <c r="Q57" t="s">
        <v>621</v>
      </c>
      <c r="R57">
        <f t="shared" si="1"/>
        <v>1</v>
      </c>
    </row>
    <row r="58" spans="1:18">
      <c r="A58" t="s">
        <v>600</v>
      </c>
      <c r="B58" t="s">
        <v>41</v>
      </c>
      <c r="C58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7">
        <v>0</v>
      </c>
      <c r="N58">
        <f t="shared" si="0"/>
        <v>0</v>
      </c>
      <c r="O58">
        <v>0</v>
      </c>
      <c r="Q58" t="s">
        <v>801</v>
      </c>
      <c r="R58">
        <f t="shared" si="1"/>
        <v>0</v>
      </c>
    </row>
    <row r="59" spans="1:18">
      <c r="A59" t="s">
        <v>603</v>
      </c>
      <c r="B59" t="s">
        <v>285</v>
      </c>
      <c r="C59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>
        <f t="shared" si="0"/>
        <v>0</v>
      </c>
      <c r="O59">
        <v>0</v>
      </c>
      <c r="Q59" t="s">
        <v>801</v>
      </c>
      <c r="R59">
        <f t="shared" si="1"/>
        <v>0</v>
      </c>
    </row>
    <row r="60" spans="1:18">
      <c r="A60" t="s">
        <v>603</v>
      </c>
      <c r="B60" t="s">
        <v>96</v>
      </c>
      <c r="C60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>
        <f t="shared" si="0"/>
        <v>0</v>
      </c>
      <c r="O60">
        <v>0</v>
      </c>
      <c r="Q60" t="s">
        <v>801</v>
      </c>
      <c r="R60">
        <f t="shared" si="1"/>
        <v>0</v>
      </c>
    </row>
    <row r="61" spans="1:18">
      <c r="A61" t="s">
        <v>603</v>
      </c>
      <c r="B61" t="s">
        <v>338</v>
      </c>
      <c r="C61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>
        <f t="shared" si="0"/>
        <v>0</v>
      </c>
      <c r="O61">
        <v>0</v>
      </c>
      <c r="Q61" t="s">
        <v>801</v>
      </c>
      <c r="R61">
        <f t="shared" si="1"/>
        <v>0</v>
      </c>
    </row>
    <row r="62" spans="1:18">
      <c r="A62" t="s">
        <v>605</v>
      </c>
      <c r="B62" t="s">
        <v>220</v>
      </c>
      <c r="C6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>
        <f t="shared" si="0"/>
        <v>0</v>
      </c>
      <c r="O62">
        <v>0</v>
      </c>
      <c r="Q62" t="s">
        <v>801</v>
      </c>
      <c r="R62">
        <f t="shared" si="1"/>
        <v>0</v>
      </c>
    </row>
    <row r="63" spans="1:18">
      <c r="A63" t="s">
        <v>595</v>
      </c>
      <c r="B63" t="s">
        <v>417</v>
      </c>
      <c r="C63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7">
        <v>0</v>
      </c>
      <c r="N63">
        <f t="shared" si="0"/>
        <v>0</v>
      </c>
      <c r="O63">
        <v>0</v>
      </c>
      <c r="Q63" t="s">
        <v>801</v>
      </c>
      <c r="R63">
        <f t="shared" si="1"/>
        <v>0</v>
      </c>
    </row>
    <row r="64" spans="1:18">
      <c r="A64" t="s">
        <v>603</v>
      </c>
      <c r="B64" t="s">
        <v>293</v>
      </c>
      <c r="C64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>
        <f t="shared" si="0"/>
        <v>0</v>
      </c>
      <c r="O64">
        <v>0</v>
      </c>
      <c r="Q64" t="s">
        <v>801</v>
      </c>
      <c r="R64">
        <f t="shared" si="1"/>
        <v>0</v>
      </c>
    </row>
    <row r="65" spans="1:18">
      <c r="A65" t="s">
        <v>596</v>
      </c>
      <c r="B65" t="s">
        <v>66</v>
      </c>
      <c r="C65" t="s">
        <v>67</v>
      </c>
      <c r="D65" s="2">
        <v>0</v>
      </c>
      <c r="E65" s="587">
        <v>0</v>
      </c>
      <c r="F65" s="587">
        <v>0</v>
      </c>
      <c r="G65" s="587">
        <v>0</v>
      </c>
      <c r="H65" s="587">
        <v>0</v>
      </c>
      <c r="I65" s="587">
        <v>0</v>
      </c>
      <c r="J65" s="587">
        <v>1</v>
      </c>
      <c r="K65" s="587">
        <v>0</v>
      </c>
      <c r="L65" s="587">
        <v>0</v>
      </c>
      <c r="M65" s="587">
        <v>0</v>
      </c>
      <c r="N65">
        <f t="shared" si="0"/>
        <v>0.17</v>
      </c>
      <c r="O65">
        <v>145.69999999999999</v>
      </c>
      <c r="Q65" t="s">
        <v>621</v>
      </c>
      <c r="R65">
        <f t="shared" si="1"/>
        <v>1</v>
      </c>
    </row>
    <row r="66" spans="1:18">
      <c r="A66" t="s">
        <v>603</v>
      </c>
      <c r="B66" t="s">
        <v>444</v>
      </c>
      <c r="C66" t="s">
        <v>445</v>
      </c>
      <c r="D66" s="2">
        <v>4</v>
      </c>
      <c r="E66" s="587">
        <v>4</v>
      </c>
      <c r="F66" s="587">
        <v>4</v>
      </c>
      <c r="G66" s="587">
        <v>4</v>
      </c>
      <c r="H66" s="587">
        <v>4</v>
      </c>
      <c r="I66" s="587">
        <v>4</v>
      </c>
      <c r="J66" s="587">
        <v>5</v>
      </c>
      <c r="K66" s="587">
        <v>0</v>
      </c>
      <c r="L66" s="587">
        <v>0</v>
      </c>
      <c r="M66" s="587">
        <v>0</v>
      </c>
      <c r="N66">
        <f t="shared" si="0"/>
        <v>4.17</v>
      </c>
      <c r="O66">
        <v>3675.45</v>
      </c>
      <c r="Q66" t="s">
        <v>621</v>
      </c>
      <c r="R66">
        <f t="shared" si="1"/>
        <v>1</v>
      </c>
    </row>
    <row r="67" spans="1:18">
      <c r="A67" t="s">
        <v>597</v>
      </c>
      <c r="B67" t="s">
        <v>353</v>
      </c>
      <c r="C67" t="s">
        <v>354</v>
      </c>
      <c r="D67" s="2">
        <v>22</v>
      </c>
      <c r="E67" s="587">
        <v>19</v>
      </c>
      <c r="F67" s="587">
        <v>18</v>
      </c>
      <c r="G67" s="587">
        <v>21</v>
      </c>
      <c r="H67" s="587">
        <v>22</v>
      </c>
      <c r="I67" s="587">
        <v>23</v>
      </c>
      <c r="J67" s="587">
        <v>22</v>
      </c>
      <c r="K67" s="587">
        <v>0</v>
      </c>
      <c r="L67" s="587">
        <v>0</v>
      </c>
      <c r="M67" s="587">
        <v>0</v>
      </c>
      <c r="N67">
        <f t="shared" si="0"/>
        <v>20.83</v>
      </c>
      <c r="O67">
        <v>18960.98</v>
      </c>
      <c r="Q67" t="s">
        <v>621</v>
      </c>
      <c r="R67">
        <f t="shared" si="1"/>
        <v>1</v>
      </c>
    </row>
    <row r="68" spans="1:18">
      <c r="A68" t="s">
        <v>596</v>
      </c>
      <c r="B68" t="s">
        <v>490</v>
      </c>
      <c r="C68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>
        <f t="shared" si="0"/>
        <v>0</v>
      </c>
      <c r="O68">
        <v>0</v>
      </c>
      <c r="Q68" t="s">
        <v>801</v>
      </c>
      <c r="R68">
        <f t="shared" si="1"/>
        <v>0</v>
      </c>
    </row>
    <row r="69" spans="1:18">
      <c r="A69" t="s">
        <v>603</v>
      </c>
      <c r="B69" t="s">
        <v>440</v>
      </c>
      <c r="C69" t="s">
        <v>606</v>
      </c>
      <c r="D69" s="2">
        <v>59</v>
      </c>
      <c r="E69" s="587">
        <v>95</v>
      </c>
      <c r="F69" s="587">
        <v>96</v>
      </c>
      <c r="G69" s="587">
        <v>100</v>
      </c>
      <c r="H69" s="587">
        <v>102</v>
      </c>
      <c r="I69" s="587">
        <v>99</v>
      </c>
      <c r="J69" s="587">
        <v>98</v>
      </c>
      <c r="K69" s="587">
        <v>0</v>
      </c>
      <c r="L69" s="587">
        <v>0</v>
      </c>
      <c r="M69" s="587">
        <v>0</v>
      </c>
      <c r="N69">
        <f t="shared" si="0"/>
        <v>98.33</v>
      </c>
      <c r="O69">
        <v>88856.81</v>
      </c>
      <c r="Q69" t="s">
        <v>621</v>
      </c>
      <c r="R69">
        <f t="shared" si="1"/>
        <v>1</v>
      </c>
    </row>
    <row r="70" spans="1:18">
      <c r="A70" t="s">
        <v>605</v>
      </c>
      <c r="B70" t="s">
        <v>549</v>
      </c>
      <c r="C70" t="s">
        <v>550</v>
      </c>
      <c r="D70" s="2">
        <v>268</v>
      </c>
      <c r="E70" s="587">
        <v>331</v>
      </c>
      <c r="F70" s="587">
        <v>328</v>
      </c>
      <c r="G70" s="587">
        <v>324</v>
      </c>
      <c r="H70" s="587">
        <v>321</v>
      </c>
      <c r="I70" s="587">
        <v>321</v>
      </c>
      <c r="J70" s="587">
        <v>310</v>
      </c>
      <c r="K70" s="587">
        <v>0</v>
      </c>
      <c r="L70" s="587">
        <v>0</v>
      </c>
      <c r="M70" s="587">
        <v>0</v>
      </c>
      <c r="N70">
        <f t="shared" si="0"/>
        <v>322.5</v>
      </c>
      <c r="O70">
        <v>286420.34000000003</v>
      </c>
      <c r="Q70" t="s">
        <v>621</v>
      </c>
      <c r="R70">
        <f t="shared" si="1"/>
        <v>1</v>
      </c>
    </row>
    <row r="71" spans="1:18">
      <c r="A71" t="s">
        <v>601</v>
      </c>
      <c r="B71" t="s">
        <v>88</v>
      </c>
      <c r="C71" t="s">
        <v>89</v>
      </c>
      <c r="D71" s="2">
        <v>762</v>
      </c>
      <c r="E71" s="587">
        <v>961</v>
      </c>
      <c r="F71" s="587">
        <v>950</v>
      </c>
      <c r="G71" s="587">
        <v>944</v>
      </c>
      <c r="H71" s="587">
        <v>938</v>
      </c>
      <c r="I71" s="587">
        <v>932</v>
      </c>
      <c r="J71" s="587">
        <v>934</v>
      </c>
      <c r="K71" s="587">
        <v>0</v>
      </c>
      <c r="L71" s="587">
        <v>0</v>
      </c>
      <c r="M71" s="587">
        <v>0</v>
      </c>
      <c r="N71">
        <f t="shared" si="0"/>
        <v>943.17</v>
      </c>
      <c r="O71">
        <v>855616.81</v>
      </c>
      <c r="Q71" t="s">
        <v>621</v>
      </c>
      <c r="R71">
        <f t="shared" si="1"/>
        <v>1</v>
      </c>
    </row>
    <row r="72" spans="1:18">
      <c r="A72" t="s">
        <v>605</v>
      </c>
      <c r="B72" t="s">
        <v>222</v>
      </c>
      <c r="C72" t="s">
        <v>223</v>
      </c>
      <c r="D72" s="2">
        <v>6</v>
      </c>
      <c r="E72" s="587">
        <v>8</v>
      </c>
      <c r="F72" s="587">
        <v>6</v>
      </c>
      <c r="G72" s="587">
        <v>12</v>
      </c>
      <c r="H72" s="587">
        <v>12</v>
      </c>
      <c r="I72" s="587">
        <v>12</v>
      </c>
      <c r="J72" s="587">
        <v>12</v>
      </c>
      <c r="K72" s="587">
        <v>0</v>
      </c>
      <c r="L72" s="587">
        <v>0</v>
      </c>
      <c r="M72" s="587">
        <v>0</v>
      </c>
      <c r="N72">
        <f t="shared" si="0"/>
        <v>10.33</v>
      </c>
      <c r="O72">
        <v>9493.57</v>
      </c>
      <c r="Q72" t="s">
        <v>621</v>
      </c>
      <c r="R72">
        <f t="shared" si="1"/>
        <v>1</v>
      </c>
    </row>
    <row r="73" spans="1:18">
      <c r="A73" t="s">
        <v>597</v>
      </c>
      <c r="B73" t="s">
        <v>365</v>
      </c>
      <c r="C73" t="s">
        <v>366</v>
      </c>
      <c r="D73" s="2">
        <v>11</v>
      </c>
      <c r="E73" s="587">
        <v>13</v>
      </c>
      <c r="F73" s="587">
        <v>13</v>
      </c>
      <c r="G73" s="587">
        <v>14</v>
      </c>
      <c r="H73" s="587">
        <v>14</v>
      </c>
      <c r="I73" s="587">
        <v>14</v>
      </c>
      <c r="J73" s="587">
        <v>14</v>
      </c>
      <c r="K73" s="587">
        <v>0</v>
      </c>
      <c r="L73" s="587">
        <v>0</v>
      </c>
      <c r="M73" s="587">
        <v>0</v>
      </c>
      <c r="N73">
        <f t="shared" ref="N73:N136" si="2">ROUND(SUM(E73:M73)/6,2)</f>
        <v>13.67</v>
      </c>
      <c r="O73">
        <v>12047.35</v>
      </c>
      <c r="Q73" t="s">
        <v>621</v>
      </c>
      <c r="R73">
        <f t="shared" ref="R73:R136" si="3">IF(N73&gt;0,1,0)</f>
        <v>1</v>
      </c>
    </row>
    <row r="74" spans="1:18">
      <c r="A74" t="s">
        <v>595</v>
      </c>
      <c r="B74" t="s">
        <v>401</v>
      </c>
      <c r="C74" t="s">
        <v>402</v>
      </c>
      <c r="D74" s="2">
        <v>1510</v>
      </c>
      <c r="E74" s="587">
        <v>1984</v>
      </c>
      <c r="F74" s="587">
        <v>2013</v>
      </c>
      <c r="G74" s="587">
        <v>2024</v>
      </c>
      <c r="H74" s="587">
        <v>2028</v>
      </c>
      <c r="I74" s="587">
        <v>2040</v>
      </c>
      <c r="J74" s="587">
        <v>2057</v>
      </c>
      <c r="K74" s="587">
        <v>0</v>
      </c>
      <c r="L74" s="587">
        <v>0</v>
      </c>
      <c r="M74" s="587">
        <v>0</v>
      </c>
      <c r="N74">
        <f t="shared" si="2"/>
        <v>2024.33</v>
      </c>
      <c r="O74">
        <v>1804529.58</v>
      </c>
      <c r="Q74" t="s">
        <v>621</v>
      </c>
      <c r="R74">
        <f t="shared" si="3"/>
        <v>1</v>
      </c>
    </row>
    <row r="75" spans="1:18">
      <c r="A75" t="s">
        <v>605</v>
      </c>
      <c r="B75" t="s">
        <v>226</v>
      </c>
      <c r="C75" t="s">
        <v>227</v>
      </c>
      <c r="D75" s="2">
        <v>182</v>
      </c>
      <c r="E75" s="587">
        <v>207</v>
      </c>
      <c r="F75" s="587">
        <v>209</v>
      </c>
      <c r="G75" s="587">
        <v>206</v>
      </c>
      <c r="H75" s="587">
        <v>204</v>
      </c>
      <c r="I75" s="587">
        <v>206</v>
      </c>
      <c r="J75" s="587">
        <v>204</v>
      </c>
      <c r="K75" s="587">
        <v>0</v>
      </c>
      <c r="L75" s="587">
        <v>0</v>
      </c>
      <c r="M75" s="587">
        <v>0</v>
      </c>
      <c r="N75">
        <f t="shared" si="2"/>
        <v>206</v>
      </c>
      <c r="O75">
        <v>186176.47</v>
      </c>
      <c r="Q75" t="s">
        <v>621</v>
      </c>
      <c r="R75">
        <f t="shared" si="3"/>
        <v>1</v>
      </c>
    </row>
    <row r="76" spans="1:18">
      <c r="A76" t="s">
        <v>594</v>
      </c>
      <c r="B76" t="s">
        <v>141</v>
      </c>
      <c r="C76" t="s">
        <v>142</v>
      </c>
      <c r="D76" s="2">
        <v>103</v>
      </c>
      <c r="E76" s="587">
        <v>103</v>
      </c>
      <c r="F76" s="587">
        <v>99</v>
      </c>
      <c r="G76" s="587">
        <v>99</v>
      </c>
      <c r="H76" s="587">
        <v>99</v>
      </c>
      <c r="I76" s="587">
        <v>101</v>
      </c>
      <c r="J76" s="587">
        <v>101</v>
      </c>
      <c r="K76" s="587">
        <v>0</v>
      </c>
      <c r="L76" s="587">
        <v>0</v>
      </c>
      <c r="M76" s="587">
        <v>0</v>
      </c>
      <c r="N76">
        <f t="shared" si="2"/>
        <v>100.33</v>
      </c>
      <c r="O76">
        <v>90934.01</v>
      </c>
      <c r="Q76" t="s">
        <v>621</v>
      </c>
      <c r="R76">
        <f t="shared" si="3"/>
        <v>1</v>
      </c>
    </row>
    <row r="77" spans="1:18">
      <c r="A77" t="s">
        <v>603</v>
      </c>
      <c r="B77" t="s">
        <v>535</v>
      </c>
      <c r="C77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7">
        <v>0</v>
      </c>
      <c r="N77">
        <f t="shared" si="2"/>
        <v>0</v>
      </c>
      <c r="O77">
        <v>0</v>
      </c>
      <c r="Q77" t="s">
        <v>801</v>
      </c>
      <c r="R77">
        <f t="shared" si="3"/>
        <v>0</v>
      </c>
    </row>
    <row r="78" spans="1:18">
      <c r="A78" t="s">
        <v>601</v>
      </c>
      <c r="B78" t="s">
        <v>29</v>
      </c>
      <c r="C78" t="s">
        <v>30</v>
      </c>
      <c r="D78" s="2">
        <v>41</v>
      </c>
      <c r="E78" s="587">
        <v>45</v>
      </c>
      <c r="F78" s="587">
        <v>45</v>
      </c>
      <c r="G78" s="587">
        <v>47</v>
      </c>
      <c r="H78" s="587">
        <v>47</v>
      </c>
      <c r="I78" s="587">
        <v>46</v>
      </c>
      <c r="J78" s="587">
        <v>45</v>
      </c>
      <c r="K78" s="587">
        <v>0</v>
      </c>
      <c r="L78" s="587">
        <v>0</v>
      </c>
      <c r="M78" s="587">
        <v>0</v>
      </c>
      <c r="N78">
        <f t="shared" si="2"/>
        <v>45.83</v>
      </c>
      <c r="O78">
        <v>42152.47</v>
      </c>
      <c r="Q78" t="s">
        <v>621</v>
      </c>
      <c r="R78">
        <f t="shared" si="3"/>
        <v>1</v>
      </c>
    </row>
    <row r="79" spans="1:18">
      <c r="A79" t="s">
        <v>597</v>
      </c>
      <c r="B79" t="s">
        <v>177</v>
      </c>
      <c r="C79" t="s">
        <v>178</v>
      </c>
      <c r="D79" s="2">
        <v>175</v>
      </c>
      <c r="E79" s="587">
        <v>181</v>
      </c>
      <c r="F79" s="587">
        <v>184</v>
      </c>
      <c r="G79" s="587">
        <v>186</v>
      </c>
      <c r="H79" s="587">
        <v>188</v>
      </c>
      <c r="I79" s="587">
        <v>188</v>
      </c>
      <c r="J79" s="587">
        <v>186</v>
      </c>
      <c r="K79" s="587">
        <v>0</v>
      </c>
      <c r="L79" s="587">
        <v>0</v>
      </c>
      <c r="M79" s="587">
        <v>0</v>
      </c>
      <c r="N79">
        <f t="shared" si="2"/>
        <v>185.5</v>
      </c>
      <c r="O79">
        <v>164829.01</v>
      </c>
      <c r="Q79" t="s">
        <v>621</v>
      </c>
      <c r="R79">
        <f t="shared" si="3"/>
        <v>1</v>
      </c>
    </row>
    <row r="80" spans="1:18">
      <c r="A80" t="s">
        <v>601</v>
      </c>
      <c r="B80" t="s">
        <v>127</v>
      </c>
      <c r="C80" t="s">
        <v>128</v>
      </c>
      <c r="D80" s="2">
        <v>169</v>
      </c>
      <c r="E80" s="587">
        <v>202</v>
      </c>
      <c r="F80" s="587">
        <v>206</v>
      </c>
      <c r="G80" s="587">
        <v>211</v>
      </c>
      <c r="H80" s="587">
        <v>214</v>
      </c>
      <c r="I80" s="587">
        <v>209</v>
      </c>
      <c r="J80" s="587">
        <v>209</v>
      </c>
      <c r="K80" s="587">
        <v>0</v>
      </c>
      <c r="L80" s="587">
        <v>0</v>
      </c>
      <c r="M80" s="587">
        <v>0</v>
      </c>
      <c r="N80">
        <f t="shared" si="2"/>
        <v>208.5</v>
      </c>
      <c r="O80">
        <v>183232.91</v>
      </c>
      <c r="Q80" t="s">
        <v>621</v>
      </c>
      <c r="R80">
        <f t="shared" si="3"/>
        <v>1</v>
      </c>
    </row>
    <row r="81" spans="1:18">
      <c r="A81" t="s">
        <v>594</v>
      </c>
      <c r="B81" t="s">
        <v>256</v>
      </c>
      <c r="C81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7">
        <v>0</v>
      </c>
      <c r="N81">
        <f t="shared" si="2"/>
        <v>0</v>
      </c>
      <c r="O81">
        <v>0</v>
      </c>
      <c r="Q81" t="s">
        <v>801</v>
      </c>
      <c r="R81">
        <f t="shared" si="3"/>
        <v>0</v>
      </c>
    </row>
    <row r="82" spans="1:18">
      <c r="A82" t="s">
        <v>595</v>
      </c>
      <c r="B82" t="s">
        <v>395</v>
      </c>
      <c r="C82" t="s">
        <v>396</v>
      </c>
      <c r="D82" s="2">
        <v>1391</v>
      </c>
      <c r="E82" s="587">
        <v>1863</v>
      </c>
      <c r="F82" s="587">
        <v>1889</v>
      </c>
      <c r="G82" s="587">
        <v>1908</v>
      </c>
      <c r="H82" s="587">
        <v>1898</v>
      </c>
      <c r="I82" s="587">
        <v>1898</v>
      </c>
      <c r="J82" s="587">
        <v>1893</v>
      </c>
      <c r="K82" s="587">
        <v>0</v>
      </c>
      <c r="L82" s="587">
        <v>0</v>
      </c>
      <c r="M82" s="587">
        <v>0</v>
      </c>
      <c r="N82">
        <f t="shared" si="2"/>
        <v>1891.5</v>
      </c>
      <c r="O82">
        <v>1782200.07</v>
      </c>
      <c r="Q82" t="s">
        <v>621</v>
      </c>
      <c r="R82">
        <f t="shared" si="3"/>
        <v>1</v>
      </c>
    </row>
    <row r="83" spans="1:18">
      <c r="A83" t="s">
        <v>599</v>
      </c>
      <c r="B83" t="s">
        <v>58</v>
      </c>
      <c r="C83" t="s">
        <v>59</v>
      </c>
      <c r="D83" s="2">
        <v>1842</v>
      </c>
      <c r="E83" s="587">
        <v>2510</v>
      </c>
      <c r="F83" s="587">
        <v>2516</v>
      </c>
      <c r="G83" s="587">
        <v>2563</v>
      </c>
      <c r="H83" s="587">
        <v>2562</v>
      </c>
      <c r="I83" s="587">
        <v>2586</v>
      </c>
      <c r="J83" s="587">
        <v>2604</v>
      </c>
      <c r="K83" s="587">
        <v>0</v>
      </c>
      <c r="L83" s="587">
        <v>0</v>
      </c>
      <c r="M83" s="587">
        <v>0</v>
      </c>
      <c r="N83">
        <f t="shared" si="2"/>
        <v>2556.83</v>
      </c>
      <c r="O83">
        <v>2229014.09</v>
      </c>
      <c r="Q83" t="s">
        <v>621</v>
      </c>
      <c r="R83">
        <f t="shared" si="3"/>
        <v>1</v>
      </c>
    </row>
    <row r="84" spans="1:18">
      <c r="A84" t="s">
        <v>603</v>
      </c>
      <c r="B84" t="s">
        <v>462</v>
      </c>
      <c r="C84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7">
        <v>0</v>
      </c>
      <c r="N84">
        <f t="shared" si="2"/>
        <v>0</v>
      </c>
      <c r="O84">
        <v>0</v>
      </c>
      <c r="Q84" t="s">
        <v>801</v>
      </c>
      <c r="R84">
        <f t="shared" si="3"/>
        <v>0</v>
      </c>
    </row>
    <row r="85" spans="1:18">
      <c r="A85" t="s">
        <v>597</v>
      </c>
      <c r="B85" t="s">
        <v>175</v>
      </c>
      <c r="C85" t="s">
        <v>176</v>
      </c>
      <c r="D85" s="2">
        <v>2419</v>
      </c>
      <c r="E85" s="587">
        <v>3067</v>
      </c>
      <c r="F85" s="587">
        <v>3111</v>
      </c>
      <c r="G85" s="587">
        <v>3113</v>
      </c>
      <c r="H85" s="587">
        <v>3108</v>
      </c>
      <c r="I85" s="587">
        <v>3094</v>
      </c>
      <c r="J85" s="587">
        <v>3094</v>
      </c>
      <c r="K85" s="587">
        <v>0</v>
      </c>
      <c r="L85" s="587">
        <v>0</v>
      </c>
      <c r="M85" s="587">
        <v>0</v>
      </c>
      <c r="N85">
        <f t="shared" si="2"/>
        <v>3097.83</v>
      </c>
      <c r="O85">
        <v>2623887.2599999998</v>
      </c>
      <c r="Q85" t="s">
        <v>621</v>
      </c>
      <c r="R85">
        <f t="shared" si="3"/>
        <v>1</v>
      </c>
    </row>
    <row r="86" spans="1:18">
      <c r="A86" t="s">
        <v>595</v>
      </c>
      <c r="B86" t="s">
        <v>506</v>
      </c>
      <c r="C86" t="s">
        <v>507</v>
      </c>
      <c r="D86" s="2">
        <v>195</v>
      </c>
      <c r="E86" s="587">
        <v>232</v>
      </c>
      <c r="F86" s="587">
        <v>238</v>
      </c>
      <c r="G86" s="587">
        <v>238</v>
      </c>
      <c r="H86" s="587">
        <v>235</v>
      </c>
      <c r="I86" s="587">
        <v>233</v>
      </c>
      <c r="J86" s="587">
        <v>233</v>
      </c>
      <c r="K86" s="587">
        <v>0</v>
      </c>
      <c r="L86" s="587">
        <v>0</v>
      </c>
      <c r="M86" s="587">
        <v>0</v>
      </c>
      <c r="N86">
        <f t="shared" si="2"/>
        <v>234.83</v>
      </c>
      <c r="O86">
        <v>214555.93</v>
      </c>
      <c r="Q86" t="s">
        <v>621</v>
      </c>
      <c r="R86">
        <f t="shared" si="3"/>
        <v>1</v>
      </c>
    </row>
    <row r="87" spans="1:18">
      <c r="A87" t="s">
        <v>597</v>
      </c>
      <c r="B87" t="s">
        <v>369</v>
      </c>
      <c r="C87" t="s">
        <v>370</v>
      </c>
      <c r="D87" s="2">
        <v>286</v>
      </c>
      <c r="E87" s="587">
        <v>352</v>
      </c>
      <c r="F87" s="587">
        <v>353</v>
      </c>
      <c r="G87" s="587">
        <v>354</v>
      </c>
      <c r="H87" s="587">
        <v>353</v>
      </c>
      <c r="I87" s="587">
        <v>347</v>
      </c>
      <c r="J87" s="587">
        <v>346</v>
      </c>
      <c r="K87" s="587">
        <v>0</v>
      </c>
      <c r="L87" s="587">
        <v>0</v>
      </c>
      <c r="M87" s="587">
        <v>0</v>
      </c>
      <c r="N87">
        <f t="shared" si="2"/>
        <v>350.83</v>
      </c>
      <c r="O87">
        <v>304002.28000000003</v>
      </c>
      <c r="Q87" t="s">
        <v>621</v>
      </c>
      <c r="R87">
        <f t="shared" si="3"/>
        <v>1</v>
      </c>
    </row>
    <row r="88" spans="1:18">
      <c r="A88" t="s">
        <v>596</v>
      </c>
      <c r="B88" t="s">
        <v>19</v>
      </c>
      <c r="C88" t="s">
        <v>20</v>
      </c>
      <c r="D88" s="2">
        <v>118</v>
      </c>
      <c r="E88" s="587">
        <v>130</v>
      </c>
      <c r="F88" s="587">
        <v>131</v>
      </c>
      <c r="G88" s="587">
        <v>134</v>
      </c>
      <c r="H88" s="587">
        <v>136</v>
      </c>
      <c r="I88" s="587">
        <v>135</v>
      </c>
      <c r="J88" s="587">
        <v>139</v>
      </c>
      <c r="K88" s="587">
        <v>0</v>
      </c>
      <c r="L88" s="587">
        <v>0</v>
      </c>
      <c r="M88" s="587">
        <v>0</v>
      </c>
      <c r="N88">
        <f t="shared" si="2"/>
        <v>134.16999999999999</v>
      </c>
      <c r="O88">
        <v>120702.41</v>
      </c>
      <c r="Q88" t="s">
        <v>621</v>
      </c>
      <c r="R88">
        <f t="shared" si="3"/>
        <v>1</v>
      </c>
    </row>
    <row r="89" spans="1:18">
      <c r="A89" t="s">
        <v>597</v>
      </c>
      <c r="B89" t="s">
        <v>361</v>
      </c>
      <c r="C89" t="s">
        <v>362</v>
      </c>
      <c r="D89" s="2">
        <v>586</v>
      </c>
      <c r="E89" s="587">
        <v>590</v>
      </c>
      <c r="F89" s="587">
        <v>592</v>
      </c>
      <c r="G89" s="587">
        <v>590</v>
      </c>
      <c r="H89" s="587">
        <v>585</v>
      </c>
      <c r="I89" s="587">
        <v>579</v>
      </c>
      <c r="J89" s="587">
        <v>584</v>
      </c>
      <c r="K89" s="587">
        <v>0</v>
      </c>
      <c r="L89" s="587">
        <v>0</v>
      </c>
      <c r="M89" s="587">
        <v>0</v>
      </c>
      <c r="N89">
        <f t="shared" si="2"/>
        <v>586.66999999999996</v>
      </c>
      <c r="O89">
        <v>488859.27</v>
      </c>
      <c r="Q89" t="s">
        <v>621</v>
      </c>
      <c r="R89">
        <f t="shared" si="3"/>
        <v>1</v>
      </c>
    </row>
    <row r="90" spans="1:18">
      <c r="A90" t="s">
        <v>603</v>
      </c>
      <c r="B90" t="s">
        <v>436</v>
      </c>
      <c r="C90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7">
        <v>0</v>
      </c>
      <c r="N90">
        <f t="shared" si="2"/>
        <v>0</v>
      </c>
      <c r="O90">
        <v>0</v>
      </c>
      <c r="Q90" t="s">
        <v>801</v>
      </c>
      <c r="R90">
        <f t="shared" si="3"/>
        <v>0</v>
      </c>
    </row>
    <row r="91" spans="1:18">
      <c r="A91" t="s">
        <v>603</v>
      </c>
      <c r="B91" t="s">
        <v>529</v>
      </c>
      <c r="C91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7">
        <v>0</v>
      </c>
      <c r="N91">
        <f t="shared" si="2"/>
        <v>0</v>
      </c>
      <c r="O91">
        <v>0</v>
      </c>
      <c r="Q91" t="s">
        <v>801</v>
      </c>
      <c r="R91">
        <f t="shared" si="3"/>
        <v>0</v>
      </c>
    </row>
    <row r="92" spans="1:18">
      <c r="A92" t="s">
        <v>599</v>
      </c>
      <c r="B92" t="s">
        <v>240</v>
      </c>
      <c r="C9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7">
        <v>0</v>
      </c>
      <c r="N92">
        <f t="shared" si="2"/>
        <v>0</v>
      </c>
      <c r="O92">
        <v>0</v>
      </c>
      <c r="Q92" t="s">
        <v>801</v>
      </c>
      <c r="R92">
        <f t="shared" si="3"/>
        <v>0</v>
      </c>
    </row>
    <row r="93" spans="1:18">
      <c r="A93" t="s">
        <v>605</v>
      </c>
      <c r="B93" t="s">
        <v>246</v>
      </c>
      <c r="C93" t="s">
        <v>247</v>
      </c>
      <c r="D93" s="2">
        <v>23</v>
      </c>
      <c r="E93" s="587">
        <v>25</v>
      </c>
      <c r="F93" s="587">
        <v>27</v>
      </c>
      <c r="G93" s="587">
        <v>25</v>
      </c>
      <c r="H93" s="587">
        <v>26</v>
      </c>
      <c r="I93" s="587">
        <v>27</v>
      </c>
      <c r="J93" s="587">
        <v>28</v>
      </c>
      <c r="K93" s="587">
        <v>0</v>
      </c>
      <c r="L93" s="587">
        <v>0</v>
      </c>
      <c r="M93" s="587">
        <v>0</v>
      </c>
      <c r="N93">
        <f t="shared" si="2"/>
        <v>26.33</v>
      </c>
      <c r="O93">
        <v>24038.09</v>
      </c>
      <c r="Q93" t="s">
        <v>621</v>
      </c>
      <c r="R93">
        <f t="shared" si="3"/>
        <v>1</v>
      </c>
    </row>
    <row r="94" spans="1:18">
      <c r="A94" t="s">
        <v>601</v>
      </c>
      <c r="B94" t="s">
        <v>131</v>
      </c>
      <c r="C94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7">
        <v>0</v>
      </c>
      <c r="N94">
        <f t="shared" si="2"/>
        <v>0</v>
      </c>
      <c r="O94">
        <v>0</v>
      </c>
      <c r="Q94" t="s">
        <v>801</v>
      </c>
      <c r="R94">
        <f t="shared" si="3"/>
        <v>0</v>
      </c>
    </row>
    <row r="95" spans="1:18">
      <c r="A95" t="s">
        <v>605</v>
      </c>
      <c r="B95" t="s">
        <v>555</v>
      </c>
      <c r="C95" t="s">
        <v>556</v>
      </c>
      <c r="D95" s="2">
        <v>1092</v>
      </c>
      <c r="E95" s="587">
        <v>1109</v>
      </c>
      <c r="F95" s="587">
        <v>1107</v>
      </c>
      <c r="G95" s="587">
        <v>1097</v>
      </c>
      <c r="H95" s="587">
        <v>1099</v>
      </c>
      <c r="I95" s="587">
        <v>1110</v>
      </c>
      <c r="J95" s="587">
        <v>1005</v>
      </c>
      <c r="K95" s="587">
        <v>0</v>
      </c>
      <c r="L95" s="587">
        <v>0</v>
      </c>
      <c r="M95" s="587">
        <v>0</v>
      </c>
      <c r="N95">
        <f t="shared" si="2"/>
        <v>1087.83</v>
      </c>
      <c r="O95">
        <v>914673.8</v>
      </c>
      <c r="Q95" t="s">
        <v>621</v>
      </c>
      <c r="R95">
        <f t="shared" si="3"/>
        <v>1</v>
      </c>
    </row>
    <row r="96" spans="1:18">
      <c r="A96" t="s">
        <v>605</v>
      </c>
      <c r="B96" t="s">
        <v>563</v>
      </c>
      <c r="C96" t="s">
        <v>564</v>
      </c>
      <c r="D96" s="2">
        <v>550</v>
      </c>
      <c r="E96" s="587">
        <v>571</v>
      </c>
      <c r="F96" s="587">
        <v>556</v>
      </c>
      <c r="G96" s="587">
        <v>550</v>
      </c>
      <c r="H96" s="587">
        <v>547</v>
      </c>
      <c r="I96" s="587">
        <v>552</v>
      </c>
      <c r="J96" s="587">
        <v>544</v>
      </c>
      <c r="K96" s="587">
        <v>0</v>
      </c>
      <c r="L96" s="587">
        <v>0</v>
      </c>
      <c r="M96" s="587">
        <v>0</v>
      </c>
      <c r="N96">
        <f t="shared" si="2"/>
        <v>553.33000000000004</v>
      </c>
      <c r="O96">
        <v>458836.09</v>
      </c>
      <c r="Q96" t="s">
        <v>621</v>
      </c>
      <c r="R96">
        <f t="shared" si="3"/>
        <v>1</v>
      </c>
    </row>
    <row r="97" spans="1:18">
      <c r="A97" t="s">
        <v>595</v>
      </c>
      <c r="B97" t="s">
        <v>419</v>
      </c>
      <c r="C97" t="s">
        <v>420</v>
      </c>
      <c r="D97" s="2">
        <v>24</v>
      </c>
      <c r="E97" s="587">
        <v>30</v>
      </c>
      <c r="F97" s="587">
        <v>37</v>
      </c>
      <c r="G97" s="587">
        <v>37</v>
      </c>
      <c r="H97" s="587">
        <v>36</v>
      </c>
      <c r="I97" s="587">
        <v>36</v>
      </c>
      <c r="J97" s="587">
        <v>36</v>
      </c>
      <c r="K97" s="587">
        <v>0</v>
      </c>
      <c r="L97" s="587">
        <v>0</v>
      </c>
      <c r="M97" s="587">
        <v>0</v>
      </c>
      <c r="N97">
        <f t="shared" si="2"/>
        <v>35.33</v>
      </c>
      <c r="O97">
        <v>30961.5</v>
      </c>
      <c r="Q97" t="s">
        <v>621</v>
      </c>
      <c r="R97">
        <f t="shared" si="3"/>
        <v>1</v>
      </c>
    </row>
    <row r="98" spans="1:18">
      <c r="A98" t="s">
        <v>594</v>
      </c>
      <c r="B98" t="s">
        <v>297</v>
      </c>
      <c r="C98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7">
        <v>0</v>
      </c>
      <c r="N98">
        <f t="shared" si="2"/>
        <v>0</v>
      </c>
      <c r="O98">
        <v>0</v>
      </c>
      <c r="Q98" t="s">
        <v>801</v>
      </c>
      <c r="R98">
        <f t="shared" si="3"/>
        <v>0</v>
      </c>
    </row>
    <row r="99" spans="1:18">
      <c r="A99" t="s">
        <v>603</v>
      </c>
      <c r="B99" t="s">
        <v>426</v>
      </c>
      <c r="C99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>
        <f t="shared" si="2"/>
        <v>0</v>
      </c>
      <c r="O99">
        <v>0</v>
      </c>
      <c r="Q99" t="s">
        <v>801</v>
      </c>
      <c r="R99">
        <f t="shared" si="3"/>
        <v>0</v>
      </c>
    </row>
    <row r="100" spans="1:18">
      <c r="A100" t="s">
        <v>599</v>
      </c>
      <c r="B100" t="s">
        <v>54</v>
      </c>
      <c r="C100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7">
        <v>0</v>
      </c>
      <c r="N100">
        <f t="shared" si="2"/>
        <v>0</v>
      </c>
      <c r="O100">
        <v>0</v>
      </c>
      <c r="Q100" t="s">
        <v>801</v>
      </c>
      <c r="R100">
        <f t="shared" si="3"/>
        <v>0</v>
      </c>
    </row>
    <row r="101" spans="1:18">
      <c r="A101" t="s">
        <v>594</v>
      </c>
      <c r="B101" t="s">
        <v>482</v>
      </c>
      <c r="C101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7">
        <v>0</v>
      </c>
      <c r="N101">
        <f t="shared" si="2"/>
        <v>0</v>
      </c>
      <c r="O101">
        <v>0</v>
      </c>
      <c r="Q101" t="s">
        <v>801</v>
      </c>
      <c r="R101">
        <f t="shared" si="3"/>
        <v>0</v>
      </c>
    </row>
    <row r="102" spans="1:18">
      <c r="A102" t="s">
        <v>603</v>
      </c>
      <c r="B102" t="s">
        <v>291</v>
      </c>
      <c r="C10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7">
        <v>0</v>
      </c>
      <c r="N102">
        <f t="shared" si="2"/>
        <v>0</v>
      </c>
      <c r="O102">
        <v>0</v>
      </c>
      <c r="Q102" t="s">
        <v>801</v>
      </c>
      <c r="R102">
        <f t="shared" si="3"/>
        <v>0</v>
      </c>
    </row>
    <row r="103" spans="1:18">
      <c r="A103" t="s">
        <v>605</v>
      </c>
      <c r="B103" t="s">
        <v>561</v>
      </c>
      <c r="C103" t="s">
        <v>562</v>
      </c>
      <c r="D103" s="2">
        <v>269</v>
      </c>
      <c r="E103" s="587">
        <v>270</v>
      </c>
      <c r="F103" s="587">
        <v>263</v>
      </c>
      <c r="G103" s="587">
        <v>274</v>
      </c>
      <c r="H103" s="587">
        <v>272</v>
      </c>
      <c r="I103" s="587">
        <v>274</v>
      </c>
      <c r="J103" s="587">
        <v>273</v>
      </c>
      <c r="K103" s="587">
        <v>0</v>
      </c>
      <c r="L103" s="587">
        <v>0</v>
      </c>
      <c r="M103" s="587">
        <v>0</v>
      </c>
      <c r="N103">
        <f t="shared" si="2"/>
        <v>271</v>
      </c>
      <c r="O103">
        <v>233331.41</v>
      </c>
      <c r="Q103" t="s">
        <v>621</v>
      </c>
      <c r="R103">
        <f t="shared" si="3"/>
        <v>1</v>
      </c>
    </row>
    <row r="104" spans="1:18">
      <c r="A104" t="s">
        <v>597</v>
      </c>
      <c r="B104" t="s">
        <v>181</v>
      </c>
      <c r="C104" t="s">
        <v>182</v>
      </c>
      <c r="D104" s="2">
        <v>3912</v>
      </c>
      <c r="E104" s="587">
        <v>4067</v>
      </c>
      <c r="F104" s="587">
        <v>4084</v>
      </c>
      <c r="G104" s="587">
        <v>4104</v>
      </c>
      <c r="H104" s="587">
        <v>4094</v>
      </c>
      <c r="I104" s="587">
        <v>4126</v>
      </c>
      <c r="J104" s="587">
        <v>4131</v>
      </c>
      <c r="K104" s="587">
        <v>0</v>
      </c>
      <c r="L104" s="587">
        <v>0</v>
      </c>
      <c r="M104" s="587">
        <v>0</v>
      </c>
      <c r="N104">
        <f t="shared" si="2"/>
        <v>4101</v>
      </c>
      <c r="O104">
        <v>3434910.61</v>
      </c>
      <c r="Q104" t="s">
        <v>621</v>
      </c>
      <c r="R104">
        <f t="shared" si="3"/>
        <v>1</v>
      </c>
    </row>
    <row r="105" spans="1:18">
      <c r="A105" t="s">
        <v>599</v>
      </c>
      <c r="B105" t="s">
        <v>51</v>
      </c>
      <c r="C105" t="s">
        <v>52</v>
      </c>
      <c r="D105" s="2">
        <v>11</v>
      </c>
      <c r="E105" s="587">
        <v>12</v>
      </c>
      <c r="F105" s="587">
        <v>14</v>
      </c>
      <c r="G105" s="587">
        <v>14</v>
      </c>
      <c r="H105" s="587">
        <v>14</v>
      </c>
      <c r="I105" s="587">
        <v>14</v>
      </c>
      <c r="J105" s="587">
        <v>13</v>
      </c>
      <c r="K105" s="587">
        <v>0</v>
      </c>
      <c r="L105" s="587">
        <v>0</v>
      </c>
      <c r="M105" s="587">
        <v>0</v>
      </c>
      <c r="N105">
        <f t="shared" si="2"/>
        <v>13.5</v>
      </c>
      <c r="O105">
        <v>11676.62</v>
      </c>
      <c r="Q105" t="s">
        <v>621</v>
      </c>
      <c r="R105">
        <f t="shared" si="3"/>
        <v>1</v>
      </c>
    </row>
    <row r="106" spans="1:18">
      <c r="A106" t="s">
        <v>594</v>
      </c>
      <c r="B106" t="s">
        <v>307</v>
      </c>
      <c r="C106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7">
        <v>0</v>
      </c>
      <c r="N106">
        <f t="shared" si="2"/>
        <v>0</v>
      </c>
      <c r="O106">
        <v>0</v>
      </c>
      <c r="Q106" t="s">
        <v>801</v>
      </c>
      <c r="R106">
        <f t="shared" si="3"/>
        <v>0</v>
      </c>
    </row>
    <row r="107" spans="1:18">
      <c r="A107" t="s">
        <v>594</v>
      </c>
      <c r="B107" t="s">
        <v>134</v>
      </c>
      <c r="C107" t="s">
        <v>135</v>
      </c>
      <c r="D107" s="2">
        <v>47</v>
      </c>
      <c r="E107" s="587">
        <v>45</v>
      </c>
      <c r="F107" s="587">
        <v>42</v>
      </c>
      <c r="G107" s="587">
        <v>44</v>
      </c>
      <c r="H107" s="587">
        <v>44</v>
      </c>
      <c r="I107" s="587">
        <v>43</v>
      </c>
      <c r="J107" s="587">
        <v>44</v>
      </c>
      <c r="K107" s="587">
        <v>0</v>
      </c>
      <c r="L107" s="587">
        <v>0</v>
      </c>
      <c r="M107" s="587">
        <v>0</v>
      </c>
      <c r="N107">
        <f t="shared" si="2"/>
        <v>43.67</v>
      </c>
      <c r="O107">
        <v>38903.32</v>
      </c>
      <c r="Q107" t="s">
        <v>621</v>
      </c>
      <c r="R107">
        <f t="shared" si="3"/>
        <v>1</v>
      </c>
    </row>
    <row r="108" spans="1:18">
      <c r="A108" t="s">
        <v>603</v>
      </c>
      <c r="B108" t="s">
        <v>100</v>
      </c>
      <c r="C108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7">
        <v>0</v>
      </c>
      <c r="N108">
        <f t="shared" si="2"/>
        <v>0</v>
      </c>
      <c r="O108">
        <v>0</v>
      </c>
      <c r="Q108" t="s">
        <v>801</v>
      </c>
      <c r="R108">
        <f t="shared" si="3"/>
        <v>0</v>
      </c>
    </row>
    <row r="109" spans="1:18">
      <c r="A109" t="s">
        <v>595</v>
      </c>
      <c r="B109" t="s">
        <v>407</v>
      </c>
      <c r="C109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7">
        <v>0</v>
      </c>
      <c r="N109">
        <f t="shared" si="2"/>
        <v>0</v>
      </c>
      <c r="O109">
        <v>0</v>
      </c>
      <c r="Q109" t="s">
        <v>801</v>
      </c>
      <c r="R109">
        <f t="shared" si="3"/>
        <v>0</v>
      </c>
    </row>
    <row r="110" spans="1:18">
      <c r="A110" t="s">
        <v>597</v>
      </c>
      <c r="B110" t="s">
        <v>201</v>
      </c>
      <c r="C110" t="s">
        <v>202</v>
      </c>
      <c r="D110" s="2">
        <v>643</v>
      </c>
      <c r="E110" s="587">
        <v>758</v>
      </c>
      <c r="F110" s="587">
        <v>768</v>
      </c>
      <c r="G110" s="587">
        <v>771</v>
      </c>
      <c r="H110" s="587">
        <v>767</v>
      </c>
      <c r="I110" s="587">
        <v>776</v>
      </c>
      <c r="J110" s="587">
        <v>785</v>
      </c>
      <c r="K110" s="587">
        <v>0</v>
      </c>
      <c r="L110" s="587">
        <v>0</v>
      </c>
      <c r="M110" s="587">
        <v>0</v>
      </c>
      <c r="N110">
        <f t="shared" si="2"/>
        <v>770.83</v>
      </c>
      <c r="O110">
        <v>654341.28</v>
      </c>
      <c r="Q110" t="s">
        <v>621</v>
      </c>
      <c r="R110">
        <f t="shared" si="3"/>
        <v>1</v>
      </c>
    </row>
    <row r="111" spans="1:18">
      <c r="A111" t="s">
        <v>596</v>
      </c>
      <c r="B111" t="s">
        <v>110</v>
      </c>
      <c r="C111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7">
        <v>0</v>
      </c>
      <c r="N111">
        <f t="shared" si="2"/>
        <v>0</v>
      </c>
      <c r="O111">
        <v>0</v>
      </c>
      <c r="Q111" t="s">
        <v>801</v>
      </c>
      <c r="R111">
        <f t="shared" si="3"/>
        <v>0</v>
      </c>
    </row>
    <row r="112" spans="1:18">
      <c r="A112" t="s">
        <v>599</v>
      </c>
      <c r="B112" t="s">
        <v>76</v>
      </c>
      <c r="C11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7">
        <v>0</v>
      </c>
      <c r="N112">
        <f t="shared" si="2"/>
        <v>0</v>
      </c>
      <c r="O112">
        <v>0</v>
      </c>
      <c r="Q112" t="s">
        <v>801</v>
      </c>
      <c r="R112">
        <f t="shared" si="3"/>
        <v>0</v>
      </c>
    </row>
    <row r="113" spans="1:18">
      <c r="A113" t="s">
        <v>603</v>
      </c>
      <c r="B113" t="s">
        <v>94</v>
      </c>
      <c r="C113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>
        <f t="shared" si="2"/>
        <v>0</v>
      </c>
      <c r="O113">
        <v>0</v>
      </c>
      <c r="Q113" t="s">
        <v>801</v>
      </c>
      <c r="R113">
        <f t="shared" si="3"/>
        <v>0</v>
      </c>
    </row>
    <row r="114" spans="1:18">
      <c r="A114" t="s">
        <v>599</v>
      </c>
      <c r="B114" t="s">
        <v>80</v>
      </c>
      <c r="C114" t="s">
        <v>81</v>
      </c>
      <c r="D114" s="2">
        <v>182</v>
      </c>
      <c r="E114" s="587">
        <v>214</v>
      </c>
      <c r="F114" s="587">
        <v>216</v>
      </c>
      <c r="G114" s="587">
        <v>216</v>
      </c>
      <c r="H114" s="587">
        <v>213</v>
      </c>
      <c r="I114" s="587">
        <v>215</v>
      </c>
      <c r="J114" s="587">
        <v>205</v>
      </c>
      <c r="K114" s="587">
        <v>0</v>
      </c>
      <c r="L114" s="587">
        <v>0</v>
      </c>
      <c r="M114" s="587">
        <v>0</v>
      </c>
      <c r="N114">
        <f t="shared" si="2"/>
        <v>213.17</v>
      </c>
      <c r="O114">
        <v>184772.57</v>
      </c>
      <c r="Q114" t="s">
        <v>621</v>
      </c>
      <c r="R114">
        <f t="shared" si="3"/>
        <v>1</v>
      </c>
    </row>
    <row r="115" spans="1:18">
      <c r="A115" t="s">
        <v>596</v>
      </c>
      <c r="B115" t="s">
        <v>14</v>
      </c>
      <c r="C115" t="s">
        <v>15</v>
      </c>
      <c r="D115" s="2">
        <v>2076</v>
      </c>
      <c r="E115" s="587">
        <v>2076</v>
      </c>
      <c r="F115" s="587">
        <v>2021</v>
      </c>
      <c r="G115" s="587">
        <v>2087</v>
      </c>
      <c r="H115" s="587">
        <v>2084</v>
      </c>
      <c r="I115" s="587">
        <v>2106</v>
      </c>
      <c r="J115" s="587">
        <v>2138</v>
      </c>
      <c r="K115" s="587">
        <v>0</v>
      </c>
      <c r="L115" s="587">
        <v>0</v>
      </c>
      <c r="M115" s="587">
        <v>0</v>
      </c>
      <c r="N115">
        <f t="shared" si="2"/>
        <v>2085.33</v>
      </c>
      <c r="O115">
        <v>1844477.59</v>
      </c>
      <c r="Q115" t="s">
        <v>621</v>
      </c>
      <c r="R115">
        <f t="shared" si="3"/>
        <v>1</v>
      </c>
    </row>
    <row r="116" spans="1:18">
      <c r="A116" t="s">
        <v>597</v>
      </c>
      <c r="B116" t="s">
        <v>207</v>
      </c>
      <c r="C116" t="s">
        <v>208</v>
      </c>
      <c r="D116" s="2">
        <v>4330</v>
      </c>
      <c r="E116" s="587">
        <v>4474</v>
      </c>
      <c r="F116" s="587">
        <v>4498</v>
      </c>
      <c r="G116" s="587">
        <v>4517</v>
      </c>
      <c r="H116" s="587">
        <v>4508</v>
      </c>
      <c r="I116" s="587">
        <v>4542</v>
      </c>
      <c r="J116" s="587">
        <v>4535</v>
      </c>
      <c r="K116" s="587">
        <v>0</v>
      </c>
      <c r="L116" s="587">
        <v>0</v>
      </c>
      <c r="M116" s="587">
        <v>0</v>
      </c>
      <c r="N116">
        <f t="shared" si="2"/>
        <v>4512.33</v>
      </c>
      <c r="O116">
        <v>3851238.38</v>
      </c>
      <c r="Q116" t="s">
        <v>621</v>
      </c>
      <c r="R116">
        <f t="shared" si="3"/>
        <v>1</v>
      </c>
    </row>
    <row r="117" spans="1:18">
      <c r="A117" t="s">
        <v>603</v>
      </c>
      <c r="B117" t="s">
        <v>470</v>
      </c>
      <c r="C117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7">
        <v>0</v>
      </c>
      <c r="N117">
        <f t="shared" si="2"/>
        <v>0</v>
      </c>
      <c r="O117">
        <v>0</v>
      </c>
      <c r="Q117" t="s">
        <v>801</v>
      </c>
      <c r="R117">
        <f t="shared" si="3"/>
        <v>0</v>
      </c>
    </row>
    <row r="118" spans="1:18">
      <c r="A118" t="s">
        <v>596</v>
      </c>
      <c r="B118" t="s">
        <v>18</v>
      </c>
      <c r="C118" t="s">
        <v>608</v>
      </c>
      <c r="D118" s="2">
        <v>216</v>
      </c>
      <c r="E118" s="587">
        <v>248</v>
      </c>
      <c r="F118" s="587">
        <v>245</v>
      </c>
      <c r="G118" s="587">
        <v>245</v>
      </c>
      <c r="H118" s="587">
        <v>250</v>
      </c>
      <c r="I118" s="587">
        <v>252</v>
      </c>
      <c r="J118" s="587">
        <v>251</v>
      </c>
      <c r="K118" s="587">
        <v>0</v>
      </c>
      <c r="L118" s="587">
        <v>0</v>
      </c>
      <c r="M118" s="587">
        <v>0</v>
      </c>
      <c r="N118">
        <f t="shared" si="2"/>
        <v>248.5</v>
      </c>
      <c r="O118">
        <v>217044.92</v>
      </c>
      <c r="Q118" t="s">
        <v>621</v>
      </c>
      <c r="R118">
        <f t="shared" si="3"/>
        <v>1</v>
      </c>
    </row>
    <row r="119" spans="1:18">
      <c r="A119" t="s">
        <v>605</v>
      </c>
      <c r="B119" t="s">
        <v>228</v>
      </c>
      <c r="C119" t="s">
        <v>229</v>
      </c>
      <c r="D119" s="2">
        <v>50</v>
      </c>
      <c r="E119" s="587">
        <v>49</v>
      </c>
      <c r="F119" s="587">
        <v>48</v>
      </c>
      <c r="G119" s="587">
        <v>49</v>
      </c>
      <c r="H119" s="587">
        <v>48</v>
      </c>
      <c r="I119" s="587">
        <v>52</v>
      </c>
      <c r="J119" s="587">
        <v>52</v>
      </c>
      <c r="K119" s="587">
        <v>0</v>
      </c>
      <c r="L119" s="587">
        <v>0</v>
      </c>
      <c r="M119" s="587">
        <v>0</v>
      </c>
      <c r="N119">
        <f t="shared" si="2"/>
        <v>49.67</v>
      </c>
      <c r="O119">
        <v>44910.06</v>
      </c>
      <c r="Q119" t="s">
        <v>621</v>
      </c>
      <c r="R119">
        <f t="shared" si="3"/>
        <v>1</v>
      </c>
    </row>
    <row r="120" spans="1:18">
      <c r="A120" t="s">
        <v>599</v>
      </c>
      <c r="B120" t="s">
        <v>242</v>
      </c>
      <c r="C120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>
        <f t="shared" si="2"/>
        <v>0</v>
      </c>
      <c r="O120">
        <v>0</v>
      </c>
      <c r="Q120" t="s">
        <v>801</v>
      </c>
      <c r="R120">
        <f t="shared" si="3"/>
        <v>0</v>
      </c>
    </row>
    <row r="121" spans="1:18">
      <c r="A121" t="s">
        <v>595</v>
      </c>
      <c r="B121" t="s">
        <v>382</v>
      </c>
      <c r="C121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7">
        <v>0</v>
      </c>
      <c r="N121">
        <f t="shared" si="2"/>
        <v>0</v>
      </c>
      <c r="O121">
        <v>0</v>
      </c>
      <c r="Q121" t="s">
        <v>801</v>
      </c>
      <c r="R121">
        <f t="shared" si="3"/>
        <v>0</v>
      </c>
    </row>
    <row r="122" spans="1:18">
      <c r="A122" t="s">
        <v>599</v>
      </c>
      <c r="B122" t="s">
        <v>53</v>
      </c>
      <c r="C122" t="s">
        <v>609</v>
      </c>
      <c r="D122" s="2">
        <v>15</v>
      </c>
      <c r="E122" s="587">
        <v>28</v>
      </c>
      <c r="F122" s="587">
        <v>28</v>
      </c>
      <c r="G122" s="587">
        <v>29</v>
      </c>
      <c r="H122" s="587">
        <v>30</v>
      </c>
      <c r="I122" s="587">
        <v>33</v>
      </c>
      <c r="J122" s="587">
        <v>27</v>
      </c>
      <c r="K122" s="587">
        <v>0</v>
      </c>
      <c r="L122" s="587">
        <v>0</v>
      </c>
      <c r="M122" s="587">
        <v>0</v>
      </c>
      <c r="N122">
        <f t="shared" si="2"/>
        <v>29.17</v>
      </c>
      <c r="O122">
        <v>27154.77</v>
      </c>
      <c r="Q122" t="s">
        <v>621</v>
      </c>
      <c r="R122">
        <f t="shared" si="3"/>
        <v>1</v>
      </c>
    </row>
    <row r="123" spans="1:18">
      <c r="A123" t="s">
        <v>603</v>
      </c>
      <c r="B123" t="s">
        <v>518</v>
      </c>
      <c r="C123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7">
        <v>0</v>
      </c>
      <c r="N123">
        <f t="shared" si="2"/>
        <v>0</v>
      </c>
      <c r="O123">
        <v>0</v>
      </c>
      <c r="Q123" t="s">
        <v>801</v>
      </c>
      <c r="R123">
        <f t="shared" si="3"/>
        <v>0</v>
      </c>
    </row>
    <row r="124" spans="1:18">
      <c r="A124" t="s">
        <v>601</v>
      </c>
      <c r="B124" t="s">
        <v>31</v>
      </c>
      <c r="C124" t="s">
        <v>32</v>
      </c>
      <c r="D124" s="2">
        <v>264</v>
      </c>
      <c r="E124" s="587">
        <v>335</v>
      </c>
      <c r="F124" s="587">
        <v>336</v>
      </c>
      <c r="G124" s="587">
        <v>332</v>
      </c>
      <c r="H124" s="587">
        <v>334</v>
      </c>
      <c r="I124" s="587">
        <v>335</v>
      </c>
      <c r="J124" s="587">
        <v>335</v>
      </c>
      <c r="K124" s="587">
        <v>0</v>
      </c>
      <c r="L124" s="587">
        <v>0</v>
      </c>
      <c r="M124" s="587">
        <v>0</v>
      </c>
      <c r="N124">
        <f t="shared" si="2"/>
        <v>334.5</v>
      </c>
      <c r="O124">
        <v>308076.14</v>
      </c>
      <c r="Q124" t="s">
        <v>621</v>
      </c>
      <c r="R124">
        <f t="shared" si="3"/>
        <v>1</v>
      </c>
    </row>
    <row r="125" spans="1:18">
      <c r="A125" t="s">
        <v>595</v>
      </c>
      <c r="B125" t="s">
        <v>397</v>
      </c>
      <c r="C125" t="s">
        <v>398</v>
      </c>
      <c r="D125" s="2">
        <v>213</v>
      </c>
      <c r="E125" s="587">
        <v>244</v>
      </c>
      <c r="F125" s="587">
        <v>268</v>
      </c>
      <c r="G125" s="587">
        <v>277</v>
      </c>
      <c r="H125" s="587">
        <v>277</v>
      </c>
      <c r="I125" s="587">
        <v>279</v>
      </c>
      <c r="J125" s="587">
        <v>279</v>
      </c>
      <c r="K125" s="587">
        <v>0</v>
      </c>
      <c r="L125" s="587">
        <v>0</v>
      </c>
      <c r="M125" s="587">
        <v>0</v>
      </c>
      <c r="N125">
        <f t="shared" si="2"/>
        <v>270.67</v>
      </c>
      <c r="O125">
        <v>237433.87</v>
      </c>
      <c r="Q125" t="s">
        <v>621</v>
      </c>
      <c r="R125">
        <f t="shared" si="3"/>
        <v>1</v>
      </c>
    </row>
    <row r="126" spans="1:18">
      <c r="A126" t="s">
        <v>597</v>
      </c>
      <c r="B126" t="s">
        <v>205</v>
      </c>
      <c r="C126" t="s">
        <v>206</v>
      </c>
      <c r="D126" s="2">
        <v>1242</v>
      </c>
      <c r="E126" s="587">
        <v>1479</v>
      </c>
      <c r="F126" s="587">
        <v>1507</v>
      </c>
      <c r="G126" s="587">
        <v>1511</v>
      </c>
      <c r="H126" s="587">
        <v>1519</v>
      </c>
      <c r="I126" s="587">
        <v>1540</v>
      </c>
      <c r="J126" s="587">
        <v>1551</v>
      </c>
      <c r="K126" s="587">
        <v>0</v>
      </c>
      <c r="L126" s="587">
        <v>0</v>
      </c>
      <c r="M126" s="587">
        <v>0</v>
      </c>
      <c r="N126">
        <f t="shared" si="2"/>
        <v>1517.83</v>
      </c>
      <c r="O126">
        <v>1277776.5</v>
      </c>
      <c r="Q126" t="s">
        <v>621</v>
      </c>
      <c r="R126">
        <f t="shared" si="3"/>
        <v>1</v>
      </c>
    </row>
    <row r="127" spans="1:18">
      <c r="A127" t="s">
        <v>595</v>
      </c>
      <c r="B127" t="s">
        <v>413</v>
      </c>
      <c r="C127" t="s">
        <v>414</v>
      </c>
      <c r="D127" s="2">
        <v>66</v>
      </c>
      <c r="E127" s="587">
        <v>73</v>
      </c>
      <c r="F127" s="587">
        <v>76</v>
      </c>
      <c r="G127" s="587">
        <v>73</v>
      </c>
      <c r="H127" s="587">
        <v>73</v>
      </c>
      <c r="I127" s="587">
        <v>71</v>
      </c>
      <c r="J127" s="587">
        <v>72</v>
      </c>
      <c r="K127" s="587">
        <v>0</v>
      </c>
      <c r="L127" s="587">
        <v>0</v>
      </c>
      <c r="M127" s="587">
        <v>0</v>
      </c>
      <c r="N127">
        <f t="shared" si="2"/>
        <v>73</v>
      </c>
      <c r="O127">
        <v>64532.59</v>
      </c>
      <c r="Q127" t="s">
        <v>621</v>
      </c>
      <c r="R127">
        <f t="shared" si="3"/>
        <v>1</v>
      </c>
    </row>
    <row r="128" spans="1:18">
      <c r="A128" t="s">
        <v>603</v>
      </c>
      <c r="B128" t="s">
        <v>519</v>
      </c>
      <c r="C128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7">
        <v>0</v>
      </c>
      <c r="N128">
        <f t="shared" si="2"/>
        <v>0</v>
      </c>
      <c r="O128">
        <v>0</v>
      </c>
      <c r="Q128" t="s">
        <v>801</v>
      </c>
      <c r="R128">
        <f t="shared" si="3"/>
        <v>0</v>
      </c>
    </row>
    <row r="129" spans="1:18">
      <c r="A129" t="s">
        <v>603</v>
      </c>
      <c r="B129" t="s">
        <v>441</v>
      </c>
      <c r="C129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7">
        <v>0</v>
      </c>
      <c r="N129">
        <f t="shared" si="2"/>
        <v>0</v>
      </c>
      <c r="O129">
        <v>0</v>
      </c>
      <c r="Q129" t="s">
        <v>801</v>
      </c>
      <c r="R129">
        <f t="shared" si="3"/>
        <v>0</v>
      </c>
    </row>
    <row r="130" spans="1:18">
      <c r="A130" t="s">
        <v>603</v>
      </c>
      <c r="B130" t="s">
        <v>6</v>
      </c>
      <c r="C130" t="s">
        <v>7</v>
      </c>
      <c r="D130" s="2">
        <v>20</v>
      </c>
      <c r="E130" s="587">
        <v>20</v>
      </c>
      <c r="F130" s="587">
        <v>20</v>
      </c>
      <c r="G130" s="587">
        <v>18</v>
      </c>
      <c r="H130" s="587">
        <v>21</v>
      </c>
      <c r="I130" s="587">
        <v>21</v>
      </c>
      <c r="J130" s="587">
        <v>21</v>
      </c>
      <c r="K130" s="587">
        <v>0</v>
      </c>
      <c r="L130" s="587">
        <v>0</v>
      </c>
      <c r="M130" s="587">
        <v>0</v>
      </c>
      <c r="N130">
        <f t="shared" si="2"/>
        <v>20.170000000000002</v>
      </c>
      <c r="O130">
        <v>18291.79</v>
      </c>
      <c r="Q130" t="s">
        <v>621</v>
      </c>
      <c r="R130">
        <f t="shared" si="3"/>
        <v>1</v>
      </c>
    </row>
    <row r="131" spans="1:18">
      <c r="A131" t="s">
        <v>599</v>
      </c>
      <c r="B131" t="s">
        <v>70</v>
      </c>
      <c r="C131" t="s">
        <v>71</v>
      </c>
      <c r="D131" s="2">
        <v>263</v>
      </c>
      <c r="E131" s="587">
        <v>327</v>
      </c>
      <c r="F131" s="587">
        <v>338</v>
      </c>
      <c r="G131" s="587">
        <v>345</v>
      </c>
      <c r="H131" s="587">
        <v>346</v>
      </c>
      <c r="I131" s="587">
        <v>344</v>
      </c>
      <c r="J131" s="587">
        <v>340</v>
      </c>
      <c r="K131" s="587">
        <v>0</v>
      </c>
      <c r="L131" s="587">
        <v>0</v>
      </c>
      <c r="M131" s="587">
        <v>0</v>
      </c>
      <c r="N131">
        <f t="shared" si="2"/>
        <v>340</v>
      </c>
      <c r="O131">
        <v>304070.64</v>
      </c>
      <c r="Q131" t="s">
        <v>621</v>
      </c>
      <c r="R131">
        <f t="shared" si="3"/>
        <v>1</v>
      </c>
    </row>
    <row r="132" spans="1:18">
      <c r="A132" t="s">
        <v>603</v>
      </c>
      <c r="B132" t="s">
        <v>458</v>
      </c>
      <c r="C13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7">
        <v>0</v>
      </c>
      <c r="N132">
        <f t="shared" si="2"/>
        <v>0</v>
      </c>
      <c r="O132">
        <v>0</v>
      </c>
      <c r="Q132" t="s">
        <v>801</v>
      </c>
      <c r="R132">
        <f t="shared" si="3"/>
        <v>0</v>
      </c>
    </row>
    <row r="133" spans="1:18">
      <c r="A133" t="s">
        <v>595</v>
      </c>
      <c r="B133" t="s">
        <v>373</v>
      </c>
      <c r="C133" t="s">
        <v>374</v>
      </c>
      <c r="D133" s="2">
        <v>12</v>
      </c>
      <c r="E133" s="587">
        <v>14</v>
      </c>
      <c r="F133" s="587">
        <v>14</v>
      </c>
      <c r="G133" s="587">
        <v>14</v>
      </c>
      <c r="H133" s="587">
        <v>14</v>
      </c>
      <c r="I133" s="587">
        <v>15</v>
      </c>
      <c r="J133" s="587">
        <v>15</v>
      </c>
      <c r="K133" s="587">
        <v>0</v>
      </c>
      <c r="L133" s="587">
        <v>0</v>
      </c>
      <c r="M133" s="587">
        <v>0</v>
      </c>
      <c r="N133">
        <f t="shared" si="2"/>
        <v>14.33</v>
      </c>
      <c r="O133">
        <v>11746.21</v>
      </c>
      <c r="Q133" t="s">
        <v>621</v>
      </c>
      <c r="R133">
        <f t="shared" si="3"/>
        <v>1</v>
      </c>
    </row>
    <row r="134" spans="1:18">
      <c r="A134" t="s">
        <v>599</v>
      </c>
      <c r="B134" t="s">
        <v>250</v>
      </c>
      <c r="C134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7">
        <v>0</v>
      </c>
      <c r="N134">
        <f t="shared" si="2"/>
        <v>0</v>
      </c>
      <c r="O134">
        <v>0</v>
      </c>
      <c r="Q134" t="s">
        <v>801</v>
      </c>
      <c r="R134">
        <f t="shared" si="3"/>
        <v>0</v>
      </c>
    </row>
    <row r="135" spans="1:18">
      <c r="A135" t="s">
        <v>595</v>
      </c>
      <c r="B135" t="s">
        <v>510</v>
      </c>
      <c r="C135" t="s">
        <v>511</v>
      </c>
      <c r="D135" s="2">
        <v>193</v>
      </c>
      <c r="E135" s="587">
        <v>230</v>
      </c>
      <c r="F135" s="587">
        <v>226</v>
      </c>
      <c r="G135" s="587">
        <v>228</v>
      </c>
      <c r="H135" s="587">
        <v>230</v>
      </c>
      <c r="I135" s="587">
        <v>229</v>
      </c>
      <c r="J135" s="587">
        <v>234</v>
      </c>
      <c r="K135" s="587">
        <v>0</v>
      </c>
      <c r="L135" s="587">
        <v>0</v>
      </c>
      <c r="M135" s="587">
        <v>0</v>
      </c>
      <c r="N135">
        <f t="shared" si="2"/>
        <v>229.5</v>
      </c>
      <c r="O135">
        <v>205778.99</v>
      </c>
      <c r="Q135" t="s">
        <v>621</v>
      </c>
      <c r="R135">
        <f t="shared" si="3"/>
        <v>1</v>
      </c>
    </row>
    <row r="136" spans="1:18">
      <c r="A136" t="s">
        <v>605</v>
      </c>
      <c r="B136" t="s">
        <v>553</v>
      </c>
      <c r="C136" t="s">
        <v>554</v>
      </c>
      <c r="D136" s="2">
        <v>339</v>
      </c>
      <c r="E136" s="587">
        <v>347</v>
      </c>
      <c r="F136" s="587">
        <v>348</v>
      </c>
      <c r="G136" s="587">
        <v>343</v>
      </c>
      <c r="H136" s="587">
        <v>337</v>
      </c>
      <c r="I136" s="587">
        <v>336</v>
      </c>
      <c r="J136" s="587">
        <v>335</v>
      </c>
      <c r="K136" s="587">
        <v>0</v>
      </c>
      <c r="L136" s="587">
        <v>0</v>
      </c>
      <c r="M136" s="587">
        <v>0</v>
      </c>
      <c r="N136">
        <f t="shared" si="2"/>
        <v>341</v>
      </c>
      <c r="O136">
        <v>300228.06</v>
      </c>
      <c r="Q136" t="s">
        <v>621</v>
      </c>
      <c r="R136">
        <f t="shared" si="3"/>
        <v>1</v>
      </c>
    </row>
    <row r="137" spans="1:18">
      <c r="A137" t="s">
        <v>601</v>
      </c>
      <c r="B137" t="s">
        <v>90</v>
      </c>
      <c r="C137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7">
        <v>0</v>
      </c>
      <c r="N137">
        <f t="shared" ref="N137:N200" si="4">ROUND(SUM(E137:M137)/6,2)</f>
        <v>0</v>
      </c>
      <c r="O137">
        <v>0</v>
      </c>
      <c r="Q137" t="s">
        <v>801</v>
      </c>
      <c r="R137">
        <f t="shared" ref="R137:R200" si="5">IF(N137&gt;0,1,0)</f>
        <v>0</v>
      </c>
    </row>
    <row r="138" spans="1:18">
      <c r="A138" t="s">
        <v>601</v>
      </c>
      <c r="B138" t="s">
        <v>25</v>
      </c>
      <c r="C138" t="s">
        <v>26</v>
      </c>
      <c r="D138" s="2">
        <v>207</v>
      </c>
      <c r="E138" s="587">
        <v>220</v>
      </c>
      <c r="F138" s="587">
        <v>220</v>
      </c>
      <c r="G138" s="587">
        <v>211</v>
      </c>
      <c r="H138" s="587">
        <v>209</v>
      </c>
      <c r="I138" s="587">
        <v>213</v>
      </c>
      <c r="J138" s="587">
        <v>223</v>
      </c>
      <c r="K138" s="587">
        <v>0</v>
      </c>
      <c r="L138" s="587">
        <v>0</v>
      </c>
      <c r="M138" s="587">
        <v>0</v>
      </c>
      <c r="N138">
        <f t="shared" si="4"/>
        <v>216</v>
      </c>
      <c r="O138">
        <v>186435.53</v>
      </c>
      <c r="Q138" t="s">
        <v>621</v>
      </c>
      <c r="R138">
        <f t="shared" si="5"/>
        <v>1</v>
      </c>
    </row>
    <row r="139" spans="1:18">
      <c r="A139" t="s">
        <v>594</v>
      </c>
      <c r="B139" t="s">
        <v>301</v>
      </c>
      <c r="C139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7">
        <v>0</v>
      </c>
      <c r="N139">
        <f t="shared" si="4"/>
        <v>0</v>
      </c>
      <c r="O139">
        <v>0</v>
      </c>
      <c r="Q139" t="s">
        <v>801</v>
      </c>
      <c r="R139">
        <f t="shared" si="5"/>
        <v>0</v>
      </c>
    </row>
    <row r="140" spans="1:18">
      <c r="A140" t="s">
        <v>603</v>
      </c>
      <c r="B140" t="s">
        <v>466</v>
      </c>
      <c r="C140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>
        <f t="shared" si="4"/>
        <v>0</v>
      </c>
      <c r="O140">
        <v>0</v>
      </c>
      <c r="Q140" t="s">
        <v>801</v>
      </c>
      <c r="R140">
        <f t="shared" si="5"/>
        <v>0</v>
      </c>
    </row>
    <row r="141" spans="1:18">
      <c r="A141" t="s">
        <v>595</v>
      </c>
      <c r="B141" t="s">
        <v>405</v>
      </c>
      <c r="C141" t="s">
        <v>406</v>
      </c>
      <c r="D141" s="2">
        <v>563</v>
      </c>
      <c r="E141" s="587">
        <v>609</v>
      </c>
      <c r="F141" s="587">
        <v>711</v>
      </c>
      <c r="G141" s="587">
        <v>739</v>
      </c>
      <c r="H141" s="587">
        <v>742</v>
      </c>
      <c r="I141" s="587">
        <v>744</v>
      </c>
      <c r="J141" s="587">
        <v>760</v>
      </c>
      <c r="K141" s="587">
        <v>0</v>
      </c>
      <c r="L141" s="587">
        <v>0</v>
      </c>
      <c r="M141" s="587">
        <v>0</v>
      </c>
      <c r="N141">
        <f t="shared" si="4"/>
        <v>717.5</v>
      </c>
      <c r="O141">
        <v>652942.19999999995</v>
      </c>
      <c r="Q141" t="s">
        <v>621</v>
      </c>
      <c r="R141">
        <f t="shared" si="5"/>
        <v>1</v>
      </c>
    </row>
    <row r="142" spans="1:18">
      <c r="A142" t="s">
        <v>594</v>
      </c>
      <c r="B142" t="s">
        <v>138</v>
      </c>
      <c r="C14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7">
        <v>0</v>
      </c>
      <c r="N142">
        <f t="shared" si="4"/>
        <v>0</v>
      </c>
      <c r="O142">
        <v>0</v>
      </c>
      <c r="Q142" t="s">
        <v>801</v>
      </c>
      <c r="R142">
        <f t="shared" si="5"/>
        <v>0</v>
      </c>
    </row>
    <row r="143" spans="1:18">
      <c r="A143" t="s">
        <v>603</v>
      </c>
      <c r="B143" t="s">
        <v>432</v>
      </c>
      <c r="C143" t="s">
        <v>433</v>
      </c>
      <c r="D143" s="2">
        <v>137</v>
      </c>
      <c r="E143" s="587">
        <v>203</v>
      </c>
      <c r="F143" s="587">
        <v>217</v>
      </c>
      <c r="G143" s="587">
        <v>218</v>
      </c>
      <c r="H143" s="587">
        <v>221</v>
      </c>
      <c r="I143" s="587">
        <v>231</v>
      </c>
      <c r="J143" s="587">
        <v>225</v>
      </c>
      <c r="K143" s="587">
        <v>0</v>
      </c>
      <c r="L143" s="587">
        <v>0</v>
      </c>
      <c r="M143" s="587">
        <v>0</v>
      </c>
      <c r="N143">
        <f t="shared" si="4"/>
        <v>219.17</v>
      </c>
      <c r="O143">
        <v>198408.38</v>
      </c>
      <c r="Q143" t="s">
        <v>621</v>
      </c>
      <c r="R143">
        <f t="shared" si="5"/>
        <v>1</v>
      </c>
    </row>
    <row r="144" spans="1:18">
      <c r="A144" t="s">
        <v>603</v>
      </c>
      <c r="B144" t="s">
        <v>430</v>
      </c>
      <c r="C144" t="s">
        <v>431</v>
      </c>
      <c r="D144" s="2">
        <v>5</v>
      </c>
      <c r="E144" s="587">
        <v>4</v>
      </c>
      <c r="F144" s="587">
        <v>5</v>
      </c>
      <c r="G144" s="587">
        <v>5</v>
      </c>
      <c r="H144" s="587">
        <v>4</v>
      </c>
      <c r="I144" s="587">
        <v>4</v>
      </c>
      <c r="J144" s="587">
        <v>4</v>
      </c>
      <c r="K144" s="587">
        <v>0</v>
      </c>
      <c r="L144" s="587">
        <v>0</v>
      </c>
      <c r="M144" s="587">
        <v>0</v>
      </c>
      <c r="N144">
        <f t="shared" si="4"/>
        <v>4.33</v>
      </c>
      <c r="O144">
        <v>3855.73</v>
      </c>
      <c r="Q144" t="s">
        <v>621</v>
      </c>
      <c r="R144">
        <f t="shared" si="5"/>
        <v>1</v>
      </c>
    </row>
    <row r="145" spans="1:18">
      <c r="A145" t="s">
        <v>597</v>
      </c>
      <c r="B145" t="s">
        <v>179</v>
      </c>
      <c r="C145" t="s">
        <v>180</v>
      </c>
      <c r="D145" s="2">
        <v>96</v>
      </c>
      <c r="E145" s="587">
        <v>94</v>
      </c>
      <c r="F145" s="587">
        <v>96</v>
      </c>
      <c r="G145" s="587">
        <v>96</v>
      </c>
      <c r="H145" s="587">
        <v>98</v>
      </c>
      <c r="I145" s="587">
        <v>93</v>
      </c>
      <c r="J145" s="587">
        <v>98</v>
      </c>
      <c r="K145" s="587">
        <v>0</v>
      </c>
      <c r="L145" s="587">
        <v>0</v>
      </c>
      <c r="M145" s="587">
        <v>0</v>
      </c>
      <c r="N145">
        <f t="shared" si="4"/>
        <v>95.83</v>
      </c>
      <c r="O145">
        <v>82863.990000000005</v>
      </c>
      <c r="Q145" t="s">
        <v>621</v>
      </c>
      <c r="R145">
        <f t="shared" si="5"/>
        <v>1</v>
      </c>
    </row>
    <row r="146" spans="1:18">
      <c r="A146" t="s">
        <v>595</v>
      </c>
      <c r="B146" t="s">
        <v>512</v>
      </c>
      <c r="C146" t="s">
        <v>513</v>
      </c>
      <c r="D146" s="2">
        <v>81</v>
      </c>
      <c r="E146" s="587">
        <v>102</v>
      </c>
      <c r="F146" s="587">
        <v>105</v>
      </c>
      <c r="G146" s="587">
        <v>105</v>
      </c>
      <c r="H146" s="587">
        <v>105</v>
      </c>
      <c r="I146" s="587">
        <v>106</v>
      </c>
      <c r="J146" s="587">
        <v>105</v>
      </c>
      <c r="K146" s="587">
        <v>0</v>
      </c>
      <c r="L146" s="587">
        <v>0</v>
      </c>
      <c r="M146" s="587">
        <v>0</v>
      </c>
      <c r="N146">
        <f t="shared" si="4"/>
        <v>104.67</v>
      </c>
      <c r="O146">
        <v>91720.2</v>
      </c>
      <c r="Q146" t="s">
        <v>621</v>
      </c>
      <c r="R146">
        <f t="shared" si="5"/>
        <v>1</v>
      </c>
    </row>
    <row r="147" spans="1:18">
      <c r="A147" t="s">
        <v>601</v>
      </c>
      <c r="B147" t="s">
        <v>319</v>
      </c>
      <c r="C147" t="s">
        <v>320</v>
      </c>
      <c r="D147" s="2">
        <v>4</v>
      </c>
      <c r="E147" s="587">
        <v>4</v>
      </c>
      <c r="F147" s="587">
        <v>4</v>
      </c>
      <c r="G147" s="587">
        <v>5</v>
      </c>
      <c r="H147" s="587">
        <v>5</v>
      </c>
      <c r="I147" s="587">
        <v>5</v>
      </c>
      <c r="J147" s="587">
        <v>5</v>
      </c>
      <c r="K147" s="587">
        <v>0</v>
      </c>
      <c r="L147" s="587">
        <v>0</v>
      </c>
      <c r="M147" s="587">
        <v>0</v>
      </c>
      <c r="N147">
        <f t="shared" si="4"/>
        <v>4.67</v>
      </c>
      <c r="O147">
        <v>4202.83</v>
      </c>
      <c r="Q147" t="s">
        <v>621</v>
      </c>
      <c r="R147">
        <f t="shared" si="5"/>
        <v>1</v>
      </c>
    </row>
    <row r="148" spans="1:18">
      <c r="A148" t="s">
        <v>599</v>
      </c>
      <c r="B148" t="s">
        <v>391</v>
      </c>
      <c r="C148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7">
        <v>0</v>
      </c>
      <c r="N148">
        <f t="shared" si="4"/>
        <v>0</v>
      </c>
      <c r="O148">
        <v>0</v>
      </c>
      <c r="Q148" t="s">
        <v>801</v>
      </c>
      <c r="R148">
        <f t="shared" si="5"/>
        <v>0</v>
      </c>
    </row>
    <row r="149" spans="1:18">
      <c r="A149" t="s">
        <v>595</v>
      </c>
      <c r="B149" t="s">
        <v>409</v>
      </c>
      <c r="C149" t="s">
        <v>410</v>
      </c>
      <c r="D149" s="2">
        <v>393</v>
      </c>
      <c r="E149" s="587">
        <v>461</v>
      </c>
      <c r="F149" s="587">
        <v>463</v>
      </c>
      <c r="G149" s="587">
        <v>462</v>
      </c>
      <c r="H149" s="587">
        <v>461</v>
      </c>
      <c r="I149" s="587">
        <v>463</v>
      </c>
      <c r="J149" s="587">
        <v>464</v>
      </c>
      <c r="K149" s="587">
        <v>0</v>
      </c>
      <c r="L149" s="587">
        <v>0</v>
      </c>
      <c r="M149" s="587">
        <v>0</v>
      </c>
      <c r="N149">
        <f t="shared" si="4"/>
        <v>462.33</v>
      </c>
      <c r="O149">
        <v>407543.34</v>
      </c>
      <c r="Q149" t="s">
        <v>621</v>
      </c>
      <c r="R149">
        <f t="shared" si="5"/>
        <v>1</v>
      </c>
    </row>
    <row r="150" spans="1:18">
      <c r="A150" t="s">
        <v>594</v>
      </c>
      <c r="B150" t="s">
        <v>139</v>
      </c>
      <c r="C150" t="s">
        <v>140</v>
      </c>
      <c r="D150" s="2">
        <v>11</v>
      </c>
      <c r="E150" s="587">
        <v>11</v>
      </c>
      <c r="F150" s="587">
        <v>12</v>
      </c>
      <c r="G150" s="587">
        <v>12</v>
      </c>
      <c r="H150" s="587">
        <v>15</v>
      </c>
      <c r="I150" s="587">
        <v>11</v>
      </c>
      <c r="J150" s="587">
        <v>11</v>
      </c>
      <c r="K150" s="587">
        <v>0</v>
      </c>
      <c r="L150" s="587">
        <v>0</v>
      </c>
      <c r="M150" s="587">
        <v>0</v>
      </c>
      <c r="N150">
        <f t="shared" si="4"/>
        <v>12</v>
      </c>
      <c r="O150">
        <v>10786.83</v>
      </c>
      <c r="Q150" t="s">
        <v>621</v>
      </c>
      <c r="R150">
        <f t="shared" si="5"/>
        <v>1</v>
      </c>
    </row>
    <row r="151" spans="1:18">
      <c r="A151" t="s">
        <v>594</v>
      </c>
      <c r="B151" t="s">
        <v>260</v>
      </c>
      <c r="C151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7">
        <v>0</v>
      </c>
      <c r="N151">
        <f t="shared" si="4"/>
        <v>0</v>
      </c>
      <c r="O151">
        <v>0</v>
      </c>
      <c r="Q151" t="s">
        <v>801</v>
      </c>
      <c r="R151">
        <f t="shared" si="5"/>
        <v>0</v>
      </c>
    </row>
    <row r="152" spans="1:18">
      <c r="A152" t="s">
        <v>601</v>
      </c>
      <c r="B152" t="s">
        <v>125</v>
      </c>
      <c r="C152" t="s">
        <v>126</v>
      </c>
      <c r="D152" s="2">
        <v>578</v>
      </c>
      <c r="E152" s="587">
        <v>674</v>
      </c>
      <c r="F152" s="587">
        <v>700</v>
      </c>
      <c r="G152" s="587">
        <v>694</v>
      </c>
      <c r="H152" s="587">
        <v>698</v>
      </c>
      <c r="I152" s="587">
        <v>697</v>
      </c>
      <c r="J152" s="587">
        <v>695</v>
      </c>
      <c r="K152" s="587">
        <v>0</v>
      </c>
      <c r="L152" s="587">
        <v>0</v>
      </c>
      <c r="M152" s="587">
        <v>0</v>
      </c>
      <c r="N152">
        <f t="shared" si="4"/>
        <v>693</v>
      </c>
      <c r="O152">
        <v>612255.89</v>
      </c>
      <c r="Q152" t="s">
        <v>621</v>
      </c>
      <c r="R152">
        <f t="shared" si="5"/>
        <v>1</v>
      </c>
    </row>
    <row r="153" spans="1:18">
      <c r="A153" t="s">
        <v>594</v>
      </c>
      <c r="B153" t="s">
        <v>258</v>
      </c>
      <c r="C153" t="s">
        <v>259</v>
      </c>
      <c r="D153" s="2">
        <v>51</v>
      </c>
      <c r="E153" s="587">
        <v>52</v>
      </c>
      <c r="F153" s="587">
        <v>50</v>
      </c>
      <c r="G153" s="587">
        <v>53</v>
      </c>
      <c r="H153" s="587">
        <v>53</v>
      </c>
      <c r="I153" s="587">
        <v>54</v>
      </c>
      <c r="J153" s="587">
        <v>54</v>
      </c>
      <c r="K153" s="587">
        <v>0</v>
      </c>
      <c r="L153" s="587">
        <v>0</v>
      </c>
      <c r="M153" s="587">
        <v>0</v>
      </c>
      <c r="N153">
        <f t="shared" si="4"/>
        <v>52.67</v>
      </c>
      <c r="O153">
        <v>46202.77</v>
      </c>
      <c r="Q153" t="s">
        <v>621</v>
      </c>
      <c r="R153">
        <f t="shared" si="5"/>
        <v>1</v>
      </c>
    </row>
    <row r="154" spans="1:18">
      <c r="A154" t="s">
        <v>605</v>
      </c>
      <c r="B154" t="s">
        <v>571</v>
      </c>
      <c r="C154" t="s">
        <v>572</v>
      </c>
      <c r="D154" s="2">
        <v>118</v>
      </c>
      <c r="E154" s="587">
        <v>130</v>
      </c>
      <c r="F154" s="587">
        <v>125</v>
      </c>
      <c r="G154" s="587">
        <v>125</v>
      </c>
      <c r="H154" s="587">
        <v>125</v>
      </c>
      <c r="I154" s="587">
        <v>130</v>
      </c>
      <c r="J154" s="587">
        <v>133</v>
      </c>
      <c r="K154" s="587">
        <v>0</v>
      </c>
      <c r="L154" s="587">
        <v>0</v>
      </c>
      <c r="M154" s="587">
        <v>0</v>
      </c>
      <c r="N154">
        <f t="shared" si="4"/>
        <v>128</v>
      </c>
      <c r="O154">
        <v>107410.65</v>
      </c>
      <c r="Q154" t="s">
        <v>621</v>
      </c>
      <c r="R154">
        <f t="shared" si="5"/>
        <v>1</v>
      </c>
    </row>
    <row r="155" spans="1:18">
      <c r="A155" t="s">
        <v>595</v>
      </c>
      <c r="B155" t="s">
        <v>516</v>
      </c>
      <c r="C155" t="s">
        <v>517</v>
      </c>
      <c r="D155" s="2">
        <v>101</v>
      </c>
      <c r="E155" s="587">
        <v>116</v>
      </c>
      <c r="F155" s="587">
        <v>99</v>
      </c>
      <c r="G155" s="587">
        <v>100</v>
      </c>
      <c r="H155" s="587">
        <v>97</v>
      </c>
      <c r="I155" s="587">
        <v>98</v>
      </c>
      <c r="J155" s="587">
        <v>98</v>
      </c>
      <c r="K155" s="587">
        <v>0</v>
      </c>
      <c r="L155" s="587">
        <v>0</v>
      </c>
      <c r="M155" s="587">
        <v>0</v>
      </c>
      <c r="N155">
        <f t="shared" si="4"/>
        <v>101.33</v>
      </c>
      <c r="O155">
        <v>94538.33</v>
      </c>
      <c r="Q155" t="s">
        <v>621</v>
      </c>
      <c r="R155">
        <f t="shared" si="5"/>
        <v>1</v>
      </c>
    </row>
    <row r="156" spans="1:18">
      <c r="A156" t="s">
        <v>599</v>
      </c>
      <c r="B156" t="s">
        <v>389</v>
      </c>
      <c r="C156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7">
        <v>0</v>
      </c>
      <c r="N156">
        <f t="shared" si="4"/>
        <v>0</v>
      </c>
      <c r="O156">
        <v>0</v>
      </c>
      <c r="Q156" t="s">
        <v>801</v>
      </c>
      <c r="R156">
        <f t="shared" si="5"/>
        <v>0</v>
      </c>
    </row>
    <row r="157" spans="1:18">
      <c r="A157" t="s">
        <v>595</v>
      </c>
      <c r="B157" t="s">
        <v>386</v>
      </c>
      <c r="C157" t="s">
        <v>610</v>
      </c>
      <c r="D157" s="2">
        <v>1091</v>
      </c>
      <c r="E157" s="587">
        <v>1546</v>
      </c>
      <c r="F157" s="587">
        <v>1533</v>
      </c>
      <c r="G157" s="587">
        <v>1536</v>
      </c>
      <c r="H157" s="587">
        <v>1534</v>
      </c>
      <c r="I157" s="587">
        <v>1528</v>
      </c>
      <c r="J157" s="587">
        <v>1536</v>
      </c>
      <c r="K157" s="587">
        <v>0</v>
      </c>
      <c r="L157" s="587">
        <v>0</v>
      </c>
      <c r="M157" s="587">
        <v>0</v>
      </c>
      <c r="N157">
        <f t="shared" si="4"/>
        <v>1535.5</v>
      </c>
      <c r="O157">
        <v>1328043.99</v>
      </c>
      <c r="Q157" t="s">
        <v>621</v>
      </c>
      <c r="R157">
        <f t="shared" si="5"/>
        <v>1</v>
      </c>
    </row>
    <row r="158" spans="1:18">
      <c r="A158" t="s">
        <v>595</v>
      </c>
      <c r="B158" t="s">
        <v>399</v>
      </c>
      <c r="C158" t="s">
        <v>400</v>
      </c>
      <c r="D158" s="2">
        <v>2081</v>
      </c>
      <c r="E158" s="587">
        <v>2434</v>
      </c>
      <c r="F158" s="587">
        <v>2438</v>
      </c>
      <c r="G158" s="587">
        <v>2429</v>
      </c>
      <c r="H158" s="587">
        <v>2424</v>
      </c>
      <c r="I158" s="587">
        <v>2424</v>
      </c>
      <c r="J158" s="587">
        <v>2401</v>
      </c>
      <c r="K158" s="587">
        <v>0</v>
      </c>
      <c r="L158" s="587">
        <v>0</v>
      </c>
      <c r="M158" s="587">
        <v>0</v>
      </c>
      <c r="N158">
        <f t="shared" si="4"/>
        <v>2425</v>
      </c>
      <c r="O158">
        <v>2162036.46</v>
      </c>
      <c r="Q158" t="s">
        <v>621</v>
      </c>
      <c r="R158">
        <f t="shared" si="5"/>
        <v>1</v>
      </c>
    </row>
    <row r="159" spans="1:18">
      <c r="A159" t="s">
        <v>605</v>
      </c>
      <c r="B159" t="s">
        <v>545</v>
      </c>
      <c r="C159" t="s">
        <v>546</v>
      </c>
      <c r="D159" s="2">
        <v>56</v>
      </c>
      <c r="E159" s="587">
        <v>60</v>
      </c>
      <c r="F159" s="587">
        <v>64</v>
      </c>
      <c r="G159" s="587">
        <v>68</v>
      </c>
      <c r="H159" s="587">
        <v>68</v>
      </c>
      <c r="I159" s="587">
        <v>64</v>
      </c>
      <c r="J159" s="587">
        <v>64</v>
      </c>
      <c r="K159" s="587">
        <v>0</v>
      </c>
      <c r="L159" s="587">
        <v>0</v>
      </c>
      <c r="M159" s="587">
        <v>0</v>
      </c>
      <c r="N159">
        <f t="shared" si="4"/>
        <v>64.67</v>
      </c>
      <c r="O159">
        <v>58200.01</v>
      </c>
      <c r="Q159" t="s">
        <v>621</v>
      </c>
      <c r="R159">
        <f t="shared" si="5"/>
        <v>1</v>
      </c>
    </row>
    <row r="160" spans="1:18">
      <c r="A160" t="s">
        <v>594</v>
      </c>
      <c r="B160" t="s">
        <v>252</v>
      </c>
      <c r="C160" t="s">
        <v>253</v>
      </c>
      <c r="D160" s="2">
        <v>1</v>
      </c>
      <c r="E160" s="587">
        <v>5</v>
      </c>
      <c r="F160" s="587">
        <v>5</v>
      </c>
      <c r="G160" s="587">
        <v>12</v>
      </c>
      <c r="H160" s="587">
        <v>12</v>
      </c>
      <c r="I160" s="587">
        <v>13</v>
      </c>
      <c r="J160" s="587">
        <v>14</v>
      </c>
      <c r="K160" s="587">
        <v>0</v>
      </c>
      <c r="L160" s="587">
        <v>0</v>
      </c>
      <c r="M160" s="587">
        <v>0</v>
      </c>
      <c r="N160">
        <f t="shared" si="4"/>
        <v>10.17</v>
      </c>
      <c r="O160">
        <v>9054.66</v>
      </c>
      <c r="Q160" t="s">
        <v>621</v>
      </c>
      <c r="R160">
        <f t="shared" si="5"/>
        <v>1</v>
      </c>
    </row>
    <row r="161" spans="1:18">
      <c r="A161" t="s">
        <v>599</v>
      </c>
      <c r="B161" t="s">
        <v>331</v>
      </c>
      <c r="C161" t="s">
        <v>611</v>
      </c>
      <c r="D161" s="2">
        <v>6</v>
      </c>
      <c r="E161" s="587">
        <v>6</v>
      </c>
      <c r="F161" s="587">
        <v>6</v>
      </c>
      <c r="G161" s="587">
        <v>6</v>
      </c>
      <c r="H161" s="587">
        <v>6</v>
      </c>
      <c r="I161" s="587">
        <v>6</v>
      </c>
      <c r="J161" s="587">
        <v>7</v>
      </c>
      <c r="K161" s="587">
        <v>0</v>
      </c>
      <c r="L161" s="587">
        <v>0</v>
      </c>
      <c r="M161" s="587">
        <v>0</v>
      </c>
      <c r="N161">
        <f t="shared" si="4"/>
        <v>6.17</v>
      </c>
      <c r="O161">
        <v>5609.42</v>
      </c>
      <c r="Q161" t="s">
        <v>621</v>
      </c>
      <c r="R161">
        <f t="shared" si="5"/>
        <v>1</v>
      </c>
    </row>
    <row r="162" spans="1:18">
      <c r="A162" t="s">
        <v>601</v>
      </c>
      <c r="B162" t="s">
        <v>309</v>
      </c>
      <c r="C16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7">
        <v>0</v>
      </c>
      <c r="N162">
        <f t="shared" si="4"/>
        <v>0</v>
      </c>
      <c r="O162">
        <v>0</v>
      </c>
      <c r="Q162" t="s">
        <v>801</v>
      </c>
      <c r="R162">
        <f t="shared" si="5"/>
        <v>0</v>
      </c>
    </row>
    <row r="163" spans="1:18">
      <c r="A163" t="s">
        <v>603</v>
      </c>
      <c r="B163" t="s">
        <v>336</v>
      </c>
      <c r="C163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7">
        <v>0</v>
      </c>
      <c r="N163">
        <f t="shared" si="4"/>
        <v>0</v>
      </c>
      <c r="O163">
        <v>0</v>
      </c>
      <c r="Q163" t="s">
        <v>801</v>
      </c>
      <c r="R163">
        <f t="shared" si="5"/>
        <v>0</v>
      </c>
    </row>
    <row r="164" spans="1:18">
      <c r="A164" t="s">
        <v>603</v>
      </c>
      <c r="B164" t="s">
        <v>428</v>
      </c>
      <c r="C164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7">
        <v>0</v>
      </c>
      <c r="N164">
        <f t="shared" si="4"/>
        <v>0</v>
      </c>
      <c r="O164">
        <v>0</v>
      </c>
      <c r="Q164" t="s">
        <v>801</v>
      </c>
      <c r="R164">
        <f t="shared" si="5"/>
        <v>0</v>
      </c>
    </row>
    <row r="165" spans="1:18">
      <c r="A165" t="s">
        <v>595</v>
      </c>
      <c r="B165" t="s">
        <v>514</v>
      </c>
      <c r="C165" t="s">
        <v>515</v>
      </c>
      <c r="D165" s="2">
        <v>155</v>
      </c>
      <c r="E165" s="587">
        <v>193</v>
      </c>
      <c r="F165" s="587">
        <v>196</v>
      </c>
      <c r="G165" s="587">
        <v>196</v>
      </c>
      <c r="H165" s="587">
        <v>196</v>
      </c>
      <c r="I165" s="587">
        <v>194</v>
      </c>
      <c r="J165" s="587">
        <v>192</v>
      </c>
      <c r="K165" s="587">
        <v>0</v>
      </c>
      <c r="L165" s="587">
        <v>0</v>
      </c>
      <c r="M165" s="587">
        <v>0</v>
      </c>
      <c r="N165">
        <f t="shared" si="4"/>
        <v>194.5</v>
      </c>
      <c r="O165">
        <v>174946.55</v>
      </c>
      <c r="Q165" t="s">
        <v>621</v>
      </c>
      <c r="R165">
        <f t="shared" si="5"/>
        <v>1</v>
      </c>
    </row>
    <row r="166" spans="1:18">
      <c r="A166" t="s">
        <v>594</v>
      </c>
      <c r="B166" t="s">
        <v>136</v>
      </c>
      <c r="C166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7">
        <v>0</v>
      </c>
      <c r="N166">
        <f t="shared" si="4"/>
        <v>0</v>
      </c>
      <c r="O166">
        <v>0</v>
      </c>
      <c r="Q166" t="s">
        <v>801</v>
      </c>
      <c r="R166">
        <f t="shared" si="5"/>
        <v>0</v>
      </c>
    </row>
    <row r="167" spans="1:18">
      <c r="A167" t="s">
        <v>596</v>
      </c>
      <c r="B167" t="s">
        <v>106</v>
      </c>
      <c r="C167" t="s">
        <v>107</v>
      </c>
      <c r="D167" s="2">
        <v>698</v>
      </c>
      <c r="E167" s="587">
        <v>733</v>
      </c>
      <c r="F167" s="587">
        <v>727</v>
      </c>
      <c r="G167" s="587">
        <v>720</v>
      </c>
      <c r="H167" s="587">
        <v>710</v>
      </c>
      <c r="I167" s="587">
        <v>714</v>
      </c>
      <c r="J167" s="587">
        <v>720</v>
      </c>
      <c r="K167" s="587">
        <v>0</v>
      </c>
      <c r="L167" s="587">
        <v>0</v>
      </c>
      <c r="M167" s="587">
        <v>0</v>
      </c>
      <c r="N167">
        <f t="shared" si="4"/>
        <v>720.67</v>
      </c>
      <c r="O167">
        <v>594813.11</v>
      </c>
      <c r="Q167" t="s">
        <v>621</v>
      </c>
      <c r="R167">
        <f t="shared" si="5"/>
        <v>1</v>
      </c>
    </row>
    <row r="168" spans="1:18">
      <c r="A168" t="s">
        <v>600</v>
      </c>
      <c r="B168" t="s">
        <v>214</v>
      </c>
      <c r="C168" t="s">
        <v>215</v>
      </c>
      <c r="D168" s="2">
        <v>132</v>
      </c>
      <c r="E168" s="587">
        <v>163</v>
      </c>
      <c r="F168" s="587">
        <v>166</v>
      </c>
      <c r="G168" s="587">
        <v>166</v>
      </c>
      <c r="H168" s="587">
        <v>169</v>
      </c>
      <c r="I168" s="587">
        <v>169</v>
      </c>
      <c r="J168" s="587">
        <v>165</v>
      </c>
      <c r="K168" s="587">
        <v>0</v>
      </c>
      <c r="L168" s="587">
        <v>0</v>
      </c>
      <c r="M168" s="587">
        <v>0</v>
      </c>
      <c r="N168">
        <f t="shared" si="4"/>
        <v>166.33</v>
      </c>
      <c r="O168">
        <v>153329.94</v>
      </c>
      <c r="Q168" t="s">
        <v>621</v>
      </c>
      <c r="R168">
        <f t="shared" si="5"/>
        <v>1</v>
      </c>
    </row>
    <row r="169" spans="1:18">
      <c r="A169" t="s">
        <v>600</v>
      </c>
      <c r="B169" t="s">
        <v>305</v>
      </c>
      <c r="C169" t="s">
        <v>306</v>
      </c>
      <c r="D169" s="2">
        <v>92</v>
      </c>
      <c r="E169" s="587">
        <v>122</v>
      </c>
      <c r="F169" s="587">
        <v>122</v>
      </c>
      <c r="G169" s="587">
        <v>125</v>
      </c>
      <c r="H169" s="587">
        <v>125</v>
      </c>
      <c r="I169" s="587">
        <v>127</v>
      </c>
      <c r="J169" s="587">
        <v>130</v>
      </c>
      <c r="K169" s="587">
        <v>0</v>
      </c>
      <c r="L169" s="587">
        <v>0</v>
      </c>
      <c r="M169" s="587">
        <v>0</v>
      </c>
      <c r="N169">
        <f t="shared" si="4"/>
        <v>125.17</v>
      </c>
      <c r="O169">
        <v>109536.84</v>
      </c>
      <c r="Q169" t="s">
        <v>621</v>
      </c>
      <c r="R169">
        <f t="shared" si="5"/>
        <v>1</v>
      </c>
    </row>
    <row r="170" spans="1:18">
      <c r="A170" t="s">
        <v>594</v>
      </c>
      <c r="B170" t="s">
        <v>334</v>
      </c>
      <c r="C170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7">
        <v>0</v>
      </c>
      <c r="N170">
        <f t="shared" si="4"/>
        <v>0</v>
      </c>
      <c r="O170">
        <v>0</v>
      </c>
      <c r="Q170" t="s">
        <v>801</v>
      </c>
      <c r="R170">
        <f t="shared" si="5"/>
        <v>0</v>
      </c>
    </row>
    <row r="171" spans="1:18">
      <c r="A171" t="s">
        <v>594</v>
      </c>
      <c r="B171" t="s">
        <v>474</v>
      </c>
      <c r="C171" t="s">
        <v>475</v>
      </c>
      <c r="D171" s="2">
        <v>529</v>
      </c>
      <c r="E171" s="587">
        <v>562</v>
      </c>
      <c r="F171" s="587">
        <v>573</v>
      </c>
      <c r="G171" s="587">
        <v>580</v>
      </c>
      <c r="H171" s="587">
        <v>585</v>
      </c>
      <c r="I171" s="587">
        <v>596</v>
      </c>
      <c r="J171" s="587">
        <v>608</v>
      </c>
      <c r="K171" s="587">
        <v>0</v>
      </c>
      <c r="L171" s="587">
        <v>0</v>
      </c>
      <c r="M171" s="587">
        <v>0</v>
      </c>
      <c r="N171">
        <f t="shared" si="4"/>
        <v>584</v>
      </c>
      <c r="O171">
        <v>516678.29</v>
      </c>
      <c r="Q171" t="s">
        <v>621</v>
      </c>
      <c r="R171">
        <f t="shared" si="5"/>
        <v>1</v>
      </c>
    </row>
    <row r="172" spans="1:18">
      <c r="A172" t="s">
        <v>603</v>
      </c>
      <c r="B172" t="s">
        <v>468</v>
      </c>
      <c r="C17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7">
        <v>0</v>
      </c>
      <c r="N172">
        <f t="shared" si="4"/>
        <v>0</v>
      </c>
      <c r="O172">
        <v>0</v>
      </c>
      <c r="Q172" t="s">
        <v>801</v>
      </c>
      <c r="R172">
        <f t="shared" si="5"/>
        <v>0</v>
      </c>
    </row>
    <row r="173" spans="1:18">
      <c r="A173" t="s">
        <v>597</v>
      </c>
      <c r="B173" t="s">
        <v>209</v>
      </c>
      <c r="C173" t="s">
        <v>210</v>
      </c>
      <c r="D173" s="2">
        <v>921</v>
      </c>
      <c r="E173" s="587">
        <v>1067</v>
      </c>
      <c r="F173" s="587">
        <v>1099</v>
      </c>
      <c r="G173" s="587">
        <v>1114</v>
      </c>
      <c r="H173" s="587">
        <v>1119</v>
      </c>
      <c r="I173" s="587">
        <v>1135</v>
      </c>
      <c r="J173" s="587">
        <v>1134</v>
      </c>
      <c r="K173" s="587">
        <v>0</v>
      </c>
      <c r="L173" s="587">
        <v>0</v>
      </c>
      <c r="M173" s="587">
        <v>0</v>
      </c>
      <c r="N173">
        <f t="shared" si="4"/>
        <v>1111.33</v>
      </c>
      <c r="O173">
        <v>1019308.63</v>
      </c>
      <c r="Q173" t="s">
        <v>621</v>
      </c>
      <c r="R173">
        <f t="shared" si="5"/>
        <v>1</v>
      </c>
    </row>
    <row r="174" spans="1:18">
      <c r="A174" t="s">
        <v>595</v>
      </c>
      <c r="B174" t="s">
        <v>157</v>
      </c>
      <c r="C174" t="s">
        <v>158</v>
      </c>
      <c r="D174" s="2">
        <v>85</v>
      </c>
      <c r="E174" s="587">
        <v>117</v>
      </c>
      <c r="F174" s="587">
        <v>120</v>
      </c>
      <c r="G174" s="587">
        <v>123</v>
      </c>
      <c r="H174" s="587">
        <v>124</v>
      </c>
      <c r="I174" s="587">
        <v>131</v>
      </c>
      <c r="J174" s="587">
        <v>131</v>
      </c>
      <c r="K174" s="587">
        <v>0</v>
      </c>
      <c r="L174" s="587">
        <v>0</v>
      </c>
      <c r="M174" s="587">
        <v>0</v>
      </c>
      <c r="N174">
        <f t="shared" si="4"/>
        <v>124.33</v>
      </c>
      <c r="O174">
        <v>109330.41</v>
      </c>
      <c r="Q174" t="s">
        <v>621</v>
      </c>
      <c r="R174">
        <f t="shared" si="5"/>
        <v>1</v>
      </c>
    </row>
    <row r="175" spans="1:18">
      <c r="A175" t="s">
        <v>603</v>
      </c>
      <c r="B175" t="s">
        <v>541</v>
      </c>
      <c r="C175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7">
        <v>0</v>
      </c>
      <c r="N175">
        <f t="shared" si="4"/>
        <v>0</v>
      </c>
      <c r="O175">
        <v>0</v>
      </c>
      <c r="Q175" t="s">
        <v>801</v>
      </c>
      <c r="R175">
        <f t="shared" si="5"/>
        <v>0</v>
      </c>
    </row>
    <row r="176" spans="1:18">
      <c r="A176" t="s">
        <v>594</v>
      </c>
      <c r="B176" t="s">
        <v>155</v>
      </c>
      <c r="C176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7">
        <v>0</v>
      </c>
      <c r="N176">
        <f t="shared" si="4"/>
        <v>0</v>
      </c>
      <c r="O176">
        <v>0</v>
      </c>
      <c r="Q176" t="s">
        <v>801</v>
      </c>
      <c r="R176">
        <f t="shared" si="5"/>
        <v>0</v>
      </c>
    </row>
    <row r="177" spans="1:18">
      <c r="A177" t="s">
        <v>599</v>
      </c>
      <c r="B177" t="s">
        <v>325</v>
      </c>
      <c r="C177" t="s">
        <v>326</v>
      </c>
      <c r="D177" s="2">
        <v>39</v>
      </c>
      <c r="E177" s="587">
        <v>41</v>
      </c>
      <c r="F177" s="587">
        <v>42</v>
      </c>
      <c r="G177" s="587">
        <v>43</v>
      </c>
      <c r="H177" s="587">
        <v>43</v>
      </c>
      <c r="I177" s="587">
        <v>44</v>
      </c>
      <c r="J177" s="587">
        <v>45</v>
      </c>
      <c r="K177" s="587">
        <v>0</v>
      </c>
      <c r="L177" s="587">
        <v>0</v>
      </c>
      <c r="M177" s="587">
        <v>0</v>
      </c>
      <c r="N177">
        <f t="shared" si="4"/>
        <v>43</v>
      </c>
      <c r="O177">
        <v>37602.080000000002</v>
      </c>
      <c r="Q177" t="s">
        <v>621</v>
      </c>
      <c r="R177">
        <f t="shared" si="5"/>
        <v>1</v>
      </c>
    </row>
    <row r="178" spans="1:18">
      <c r="A178" t="s">
        <v>594</v>
      </c>
      <c r="B178" t="s">
        <v>153</v>
      </c>
      <c r="C178" t="s">
        <v>154</v>
      </c>
      <c r="D178" s="2">
        <v>45</v>
      </c>
      <c r="E178" s="587">
        <v>55</v>
      </c>
      <c r="F178" s="587">
        <v>54</v>
      </c>
      <c r="G178" s="587">
        <v>55</v>
      </c>
      <c r="H178" s="587">
        <v>53</v>
      </c>
      <c r="I178" s="587">
        <v>51</v>
      </c>
      <c r="J178" s="587">
        <v>49</v>
      </c>
      <c r="K178" s="587">
        <v>0</v>
      </c>
      <c r="L178" s="587">
        <v>0</v>
      </c>
      <c r="M178" s="587">
        <v>0</v>
      </c>
      <c r="N178">
        <f t="shared" si="4"/>
        <v>52.83</v>
      </c>
      <c r="O178">
        <v>45899.13</v>
      </c>
      <c r="Q178" t="s">
        <v>621</v>
      </c>
      <c r="R178">
        <f t="shared" si="5"/>
        <v>1</v>
      </c>
    </row>
    <row r="179" spans="1:18">
      <c r="A179" t="s">
        <v>603</v>
      </c>
      <c r="B179" t="s">
        <v>287</v>
      </c>
      <c r="C179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7">
        <v>0</v>
      </c>
      <c r="N179">
        <f t="shared" si="4"/>
        <v>0</v>
      </c>
      <c r="O179">
        <v>0</v>
      </c>
      <c r="Q179" t="s">
        <v>801</v>
      </c>
      <c r="R179">
        <f t="shared" si="5"/>
        <v>0</v>
      </c>
    </row>
    <row r="180" spans="1:18">
      <c r="A180" t="s">
        <v>601</v>
      </c>
      <c r="B180" t="s">
        <v>313</v>
      </c>
      <c r="C180" t="s">
        <v>314</v>
      </c>
      <c r="D180" s="2">
        <v>92</v>
      </c>
      <c r="E180" s="587">
        <v>90</v>
      </c>
      <c r="F180" s="587">
        <v>90</v>
      </c>
      <c r="G180" s="587">
        <v>90</v>
      </c>
      <c r="H180" s="587">
        <v>94</v>
      </c>
      <c r="I180" s="587">
        <v>93</v>
      </c>
      <c r="J180" s="587">
        <v>91</v>
      </c>
      <c r="K180" s="587">
        <v>0</v>
      </c>
      <c r="L180" s="587">
        <v>0</v>
      </c>
      <c r="M180" s="587">
        <v>0</v>
      </c>
      <c r="N180">
        <f t="shared" si="4"/>
        <v>91.33</v>
      </c>
      <c r="O180">
        <v>82806.570000000007</v>
      </c>
      <c r="Q180" t="s">
        <v>621</v>
      </c>
      <c r="R180">
        <f t="shared" si="5"/>
        <v>1</v>
      </c>
    </row>
    <row r="181" spans="1:18">
      <c r="A181" t="s">
        <v>594</v>
      </c>
      <c r="B181" t="s">
        <v>478</v>
      </c>
      <c r="C181" t="s">
        <v>479</v>
      </c>
      <c r="D181" s="2">
        <v>166</v>
      </c>
      <c r="E181" s="587">
        <v>179</v>
      </c>
      <c r="F181" s="587">
        <v>190</v>
      </c>
      <c r="G181" s="587">
        <v>190</v>
      </c>
      <c r="H181" s="587">
        <v>191</v>
      </c>
      <c r="I181" s="587">
        <v>193</v>
      </c>
      <c r="J181" s="587">
        <v>190</v>
      </c>
      <c r="K181" s="587">
        <v>0</v>
      </c>
      <c r="L181" s="587">
        <v>0</v>
      </c>
      <c r="M181" s="587">
        <v>0</v>
      </c>
      <c r="N181">
        <f t="shared" si="4"/>
        <v>188.83</v>
      </c>
      <c r="O181">
        <v>170978.09</v>
      </c>
      <c r="Q181" t="s">
        <v>621</v>
      </c>
      <c r="R181">
        <f t="shared" si="5"/>
        <v>1</v>
      </c>
    </row>
    <row r="182" spans="1:18">
      <c r="A182" t="s">
        <v>601</v>
      </c>
      <c r="B182" t="s">
        <v>311</v>
      </c>
      <c r="C182" t="s">
        <v>312</v>
      </c>
      <c r="D182" s="2">
        <v>81</v>
      </c>
      <c r="E182" s="587">
        <v>94</v>
      </c>
      <c r="F182" s="587">
        <v>92</v>
      </c>
      <c r="G182" s="587">
        <v>91</v>
      </c>
      <c r="H182" s="587">
        <v>87</v>
      </c>
      <c r="I182" s="587">
        <v>89</v>
      </c>
      <c r="J182" s="587">
        <v>92</v>
      </c>
      <c r="K182" s="587">
        <v>0</v>
      </c>
      <c r="L182" s="587">
        <v>0</v>
      </c>
      <c r="M182" s="587">
        <v>0</v>
      </c>
      <c r="N182">
        <f t="shared" si="4"/>
        <v>90.83</v>
      </c>
      <c r="O182">
        <v>78456.320000000007</v>
      </c>
      <c r="Q182" t="s">
        <v>621</v>
      </c>
      <c r="R182">
        <f t="shared" si="5"/>
        <v>1</v>
      </c>
    </row>
    <row r="183" spans="1:18">
      <c r="A183" t="s">
        <v>594</v>
      </c>
      <c r="B183" t="s">
        <v>270</v>
      </c>
      <c r="C183" t="s">
        <v>271</v>
      </c>
      <c r="D183" s="2">
        <v>18</v>
      </c>
      <c r="E183" s="587">
        <v>20</v>
      </c>
      <c r="F183" s="587">
        <v>24</v>
      </c>
      <c r="G183" s="587">
        <v>26</v>
      </c>
      <c r="H183" s="587">
        <v>26</v>
      </c>
      <c r="I183" s="587">
        <v>26</v>
      </c>
      <c r="J183" s="587">
        <v>25</v>
      </c>
      <c r="K183" s="587">
        <v>0</v>
      </c>
      <c r="L183" s="587">
        <v>0</v>
      </c>
      <c r="M183" s="587">
        <v>0</v>
      </c>
      <c r="N183">
        <f t="shared" si="4"/>
        <v>24.5</v>
      </c>
      <c r="O183">
        <v>20836.8</v>
      </c>
      <c r="Q183" t="s">
        <v>621</v>
      </c>
      <c r="R183">
        <f t="shared" si="5"/>
        <v>1</v>
      </c>
    </row>
    <row r="184" spans="1:18">
      <c r="A184" t="s">
        <v>603</v>
      </c>
      <c r="B184" t="s">
        <v>448</v>
      </c>
      <c r="C184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7">
        <v>0</v>
      </c>
      <c r="N184">
        <f t="shared" si="4"/>
        <v>0</v>
      </c>
      <c r="O184">
        <v>0</v>
      </c>
      <c r="Q184" t="s">
        <v>801</v>
      </c>
      <c r="R184">
        <f t="shared" si="5"/>
        <v>0</v>
      </c>
    </row>
    <row r="185" spans="1:18">
      <c r="A185" t="s">
        <v>595</v>
      </c>
      <c r="B185" t="s">
        <v>372</v>
      </c>
      <c r="C185" t="s">
        <v>613</v>
      </c>
      <c r="D185" s="2">
        <v>17</v>
      </c>
      <c r="E185" s="587">
        <v>23</v>
      </c>
      <c r="F185" s="587">
        <v>23</v>
      </c>
      <c r="G185" s="587">
        <v>23</v>
      </c>
      <c r="H185" s="587">
        <v>24</v>
      </c>
      <c r="I185" s="587">
        <v>23</v>
      </c>
      <c r="J185" s="587">
        <v>22</v>
      </c>
      <c r="K185" s="587">
        <v>0</v>
      </c>
      <c r="L185" s="587">
        <v>0</v>
      </c>
      <c r="M185" s="587">
        <v>0</v>
      </c>
      <c r="N185">
        <f t="shared" si="4"/>
        <v>23</v>
      </c>
      <c r="O185">
        <v>19960.77</v>
      </c>
      <c r="Q185" t="s">
        <v>621</v>
      </c>
      <c r="R185">
        <f t="shared" si="5"/>
        <v>1</v>
      </c>
    </row>
    <row r="186" spans="1:18">
      <c r="A186" t="s">
        <v>603</v>
      </c>
      <c r="B186" t="s">
        <v>424</v>
      </c>
      <c r="C186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7">
        <v>0</v>
      </c>
      <c r="N186">
        <f t="shared" si="4"/>
        <v>0</v>
      </c>
      <c r="O186">
        <v>0</v>
      </c>
      <c r="Q186" t="s">
        <v>801</v>
      </c>
      <c r="R186">
        <f t="shared" si="5"/>
        <v>0</v>
      </c>
    </row>
    <row r="187" spans="1:18">
      <c r="A187" t="s">
        <v>603</v>
      </c>
      <c r="B187" t="s">
        <v>98</v>
      </c>
      <c r="C187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7">
        <v>0</v>
      </c>
      <c r="N187">
        <f t="shared" si="4"/>
        <v>0</v>
      </c>
      <c r="O187">
        <v>0</v>
      </c>
      <c r="Q187" t="s">
        <v>801</v>
      </c>
      <c r="R187">
        <f t="shared" si="5"/>
        <v>0</v>
      </c>
    </row>
    <row r="188" spans="1:18">
      <c r="A188" t="s">
        <v>601</v>
      </c>
      <c r="B188" t="s">
        <v>82</v>
      </c>
      <c r="C188" t="s">
        <v>83</v>
      </c>
      <c r="D188" s="2">
        <v>94</v>
      </c>
      <c r="E188" s="587">
        <v>107</v>
      </c>
      <c r="F188" s="587">
        <v>107</v>
      </c>
      <c r="G188" s="587">
        <v>105</v>
      </c>
      <c r="H188" s="587">
        <v>101</v>
      </c>
      <c r="I188" s="587">
        <v>102</v>
      </c>
      <c r="J188" s="587">
        <v>104</v>
      </c>
      <c r="K188" s="587">
        <v>0</v>
      </c>
      <c r="L188" s="587">
        <v>0</v>
      </c>
      <c r="M188" s="587">
        <v>0</v>
      </c>
      <c r="N188">
        <f t="shared" si="4"/>
        <v>104.33</v>
      </c>
      <c r="O188">
        <v>102095.47</v>
      </c>
      <c r="Q188" t="s">
        <v>621</v>
      </c>
      <c r="R188">
        <f t="shared" si="5"/>
        <v>1</v>
      </c>
    </row>
    <row r="189" spans="1:18">
      <c r="A189" t="s">
        <v>601</v>
      </c>
      <c r="B189" t="s">
        <v>323</v>
      </c>
      <c r="C189" t="s">
        <v>324</v>
      </c>
      <c r="D189" s="2">
        <v>87</v>
      </c>
      <c r="E189" s="587">
        <v>103</v>
      </c>
      <c r="F189" s="587">
        <v>104</v>
      </c>
      <c r="G189" s="587">
        <v>100</v>
      </c>
      <c r="H189" s="587">
        <v>100</v>
      </c>
      <c r="I189" s="587">
        <v>100</v>
      </c>
      <c r="J189" s="587">
        <v>100</v>
      </c>
      <c r="K189" s="587">
        <v>0</v>
      </c>
      <c r="L189" s="587">
        <v>0</v>
      </c>
      <c r="M189" s="587">
        <v>0</v>
      </c>
      <c r="N189">
        <f t="shared" si="4"/>
        <v>101.17</v>
      </c>
      <c r="O189">
        <v>86483.98</v>
      </c>
      <c r="Q189" t="s">
        <v>621</v>
      </c>
      <c r="R189">
        <f t="shared" si="5"/>
        <v>1</v>
      </c>
    </row>
    <row r="190" spans="1:18">
      <c r="A190" t="s">
        <v>597</v>
      </c>
      <c r="B190" t="s">
        <v>355</v>
      </c>
      <c r="C190" t="s">
        <v>356</v>
      </c>
      <c r="D190" s="2">
        <v>30</v>
      </c>
      <c r="E190" s="587">
        <v>30</v>
      </c>
      <c r="F190" s="587">
        <v>30</v>
      </c>
      <c r="G190" s="587">
        <v>30</v>
      </c>
      <c r="H190" s="587">
        <v>30</v>
      </c>
      <c r="I190" s="587">
        <v>30</v>
      </c>
      <c r="J190" s="587">
        <v>30</v>
      </c>
      <c r="K190" s="587">
        <v>0</v>
      </c>
      <c r="L190" s="587">
        <v>0</v>
      </c>
      <c r="M190" s="587">
        <v>0</v>
      </c>
      <c r="N190">
        <f t="shared" si="4"/>
        <v>30</v>
      </c>
      <c r="O190">
        <v>25811.200000000001</v>
      </c>
      <c r="Q190" t="s">
        <v>621</v>
      </c>
      <c r="R190">
        <f t="shared" si="5"/>
        <v>1</v>
      </c>
    </row>
    <row r="191" spans="1:18">
      <c r="A191" t="s">
        <v>596</v>
      </c>
      <c r="B191" t="s">
        <v>4</v>
      </c>
      <c r="C191" t="s">
        <v>5</v>
      </c>
      <c r="D191" s="2">
        <v>1502</v>
      </c>
      <c r="E191" s="587">
        <v>1433</v>
      </c>
      <c r="F191" s="587">
        <v>1471</v>
      </c>
      <c r="G191" s="587">
        <v>1458</v>
      </c>
      <c r="H191" s="587">
        <v>1410</v>
      </c>
      <c r="I191" s="587">
        <v>1436</v>
      </c>
      <c r="J191" s="587">
        <v>1433</v>
      </c>
      <c r="K191" s="587">
        <v>0</v>
      </c>
      <c r="L191" s="587">
        <v>0</v>
      </c>
      <c r="M191" s="587">
        <v>0</v>
      </c>
      <c r="N191">
        <f t="shared" si="4"/>
        <v>1440.17</v>
      </c>
      <c r="O191">
        <v>1152171.3799999999</v>
      </c>
      <c r="Q191" t="s">
        <v>621</v>
      </c>
      <c r="R191">
        <f t="shared" si="5"/>
        <v>1</v>
      </c>
    </row>
    <row r="192" spans="1:18">
      <c r="A192" t="s">
        <v>601</v>
      </c>
      <c r="B192" t="s">
        <v>86</v>
      </c>
      <c r="C192" t="s">
        <v>87</v>
      </c>
      <c r="D192" s="2">
        <v>12</v>
      </c>
      <c r="E192" s="587">
        <v>12</v>
      </c>
      <c r="F192" s="587">
        <v>10</v>
      </c>
      <c r="G192" s="587">
        <v>9</v>
      </c>
      <c r="H192" s="587">
        <v>9</v>
      </c>
      <c r="I192" s="587">
        <v>10</v>
      </c>
      <c r="J192" s="587">
        <v>11</v>
      </c>
      <c r="K192" s="587">
        <v>0</v>
      </c>
      <c r="L192" s="587">
        <v>0</v>
      </c>
      <c r="M192" s="587">
        <v>0</v>
      </c>
      <c r="N192">
        <f t="shared" si="4"/>
        <v>10.17</v>
      </c>
      <c r="O192">
        <v>7975.25</v>
      </c>
      <c r="Q192" t="s">
        <v>621</v>
      </c>
      <c r="R192">
        <f t="shared" si="5"/>
        <v>1</v>
      </c>
    </row>
    <row r="193" spans="1:18">
      <c r="A193" t="s">
        <v>603</v>
      </c>
      <c r="B193" t="s">
        <v>527</v>
      </c>
      <c r="C193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7">
        <v>0</v>
      </c>
      <c r="N193">
        <f t="shared" si="4"/>
        <v>0</v>
      </c>
      <c r="O193">
        <v>0</v>
      </c>
      <c r="Q193" t="s">
        <v>801</v>
      </c>
      <c r="R193">
        <f t="shared" si="5"/>
        <v>0</v>
      </c>
    </row>
    <row r="194" spans="1:18">
      <c r="A194" t="s">
        <v>596</v>
      </c>
      <c r="B194" t="s">
        <v>104</v>
      </c>
      <c r="C194" t="s">
        <v>105</v>
      </c>
      <c r="D194" s="2">
        <v>5267</v>
      </c>
      <c r="E194" s="587">
        <v>5657</v>
      </c>
      <c r="F194" s="587">
        <v>5624</v>
      </c>
      <c r="G194" s="587">
        <v>5605</v>
      </c>
      <c r="H194" s="587">
        <v>5492</v>
      </c>
      <c r="I194" s="587">
        <v>5506</v>
      </c>
      <c r="J194" s="587">
        <v>5500</v>
      </c>
      <c r="K194" s="587">
        <v>0</v>
      </c>
      <c r="L194" s="587">
        <v>0</v>
      </c>
      <c r="M194" s="587">
        <v>0</v>
      </c>
      <c r="N194">
        <f t="shared" si="4"/>
        <v>5564</v>
      </c>
      <c r="O194">
        <v>4645031.2699999996</v>
      </c>
      <c r="Q194" t="s">
        <v>621</v>
      </c>
      <c r="R194">
        <f t="shared" si="5"/>
        <v>1</v>
      </c>
    </row>
    <row r="195" spans="1:18">
      <c r="A195" t="s">
        <v>601</v>
      </c>
      <c r="B195" t="s">
        <v>317</v>
      </c>
      <c r="C195" t="s">
        <v>318</v>
      </c>
      <c r="D195" s="2">
        <v>39</v>
      </c>
      <c r="E195" s="587">
        <v>38</v>
      </c>
      <c r="F195" s="587">
        <v>38</v>
      </c>
      <c r="G195" s="587">
        <v>38</v>
      </c>
      <c r="H195" s="587">
        <v>37</v>
      </c>
      <c r="I195" s="587">
        <v>36</v>
      </c>
      <c r="J195" s="587">
        <v>33</v>
      </c>
      <c r="K195" s="587">
        <v>0</v>
      </c>
      <c r="L195" s="587">
        <v>0</v>
      </c>
      <c r="M195" s="587">
        <v>0</v>
      </c>
      <c r="N195">
        <f t="shared" si="4"/>
        <v>36.67</v>
      </c>
      <c r="O195">
        <v>32428.17</v>
      </c>
      <c r="Q195" t="s">
        <v>621</v>
      </c>
      <c r="R195">
        <f t="shared" si="5"/>
        <v>1</v>
      </c>
    </row>
    <row r="196" spans="1:18">
      <c r="A196" t="s">
        <v>596</v>
      </c>
      <c r="B196" t="s">
        <v>16</v>
      </c>
      <c r="C196" t="s">
        <v>17</v>
      </c>
      <c r="D196" s="2">
        <v>37</v>
      </c>
      <c r="E196" s="587">
        <v>37</v>
      </c>
      <c r="F196" s="587">
        <v>37</v>
      </c>
      <c r="G196" s="587">
        <v>37</v>
      </c>
      <c r="H196" s="587">
        <v>35</v>
      </c>
      <c r="I196" s="587">
        <v>35</v>
      </c>
      <c r="J196" s="587">
        <v>36</v>
      </c>
      <c r="K196" s="587">
        <v>0</v>
      </c>
      <c r="L196" s="587">
        <v>0</v>
      </c>
      <c r="M196" s="587">
        <v>0</v>
      </c>
      <c r="N196">
        <f t="shared" si="4"/>
        <v>36.17</v>
      </c>
      <c r="O196">
        <v>31686.07</v>
      </c>
      <c r="Q196" t="s">
        <v>621</v>
      </c>
      <c r="R196">
        <f t="shared" si="5"/>
        <v>1</v>
      </c>
    </row>
    <row r="197" spans="1:18">
      <c r="A197" t="s">
        <v>594</v>
      </c>
      <c r="B197" t="s">
        <v>272</v>
      </c>
      <c r="C197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7">
        <v>0</v>
      </c>
      <c r="N197">
        <f t="shared" si="4"/>
        <v>0</v>
      </c>
      <c r="O197">
        <v>0</v>
      </c>
      <c r="Q197" t="s">
        <v>801</v>
      </c>
      <c r="R197">
        <f t="shared" si="5"/>
        <v>0</v>
      </c>
    </row>
    <row r="198" spans="1:18">
      <c r="A198" t="s">
        <v>597</v>
      </c>
      <c r="B198" t="s">
        <v>359</v>
      </c>
      <c r="C198" t="s">
        <v>360</v>
      </c>
      <c r="D198" s="2">
        <v>64</v>
      </c>
      <c r="E198" s="587">
        <v>77</v>
      </c>
      <c r="F198" s="587">
        <v>74</v>
      </c>
      <c r="G198" s="587">
        <v>75</v>
      </c>
      <c r="H198" s="587">
        <v>71</v>
      </c>
      <c r="I198" s="587">
        <v>72</v>
      </c>
      <c r="J198" s="587">
        <v>72</v>
      </c>
      <c r="K198" s="587">
        <v>0</v>
      </c>
      <c r="L198" s="587">
        <v>0</v>
      </c>
      <c r="M198" s="587">
        <v>0</v>
      </c>
      <c r="N198">
        <f t="shared" si="4"/>
        <v>73.5</v>
      </c>
      <c r="O198">
        <v>66406.58</v>
      </c>
      <c r="Q198" t="s">
        <v>621</v>
      </c>
      <c r="R198">
        <f t="shared" si="5"/>
        <v>1</v>
      </c>
    </row>
    <row r="199" spans="1:18">
      <c r="A199" t="s">
        <v>594</v>
      </c>
      <c r="B199" t="s">
        <v>303</v>
      </c>
      <c r="C199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7">
        <v>0</v>
      </c>
      <c r="N199">
        <f t="shared" si="4"/>
        <v>0</v>
      </c>
      <c r="O199">
        <v>0</v>
      </c>
      <c r="Q199" t="s">
        <v>801</v>
      </c>
      <c r="R199">
        <f t="shared" si="5"/>
        <v>0</v>
      </c>
    </row>
    <row r="200" spans="1:18">
      <c r="A200" t="s">
        <v>596</v>
      </c>
      <c r="B200" t="s">
        <v>112</v>
      </c>
      <c r="C200" t="s">
        <v>113</v>
      </c>
      <c r="D200" s="2">
        <v>1</v>
      </c>
      <c r="E200" s="587">
        <v>1</v>
      </c>
      <c r="F200" s="587">
        <v>2</v>
      </c>
      <c r="G200" s="587">
        <v>3</v>
      </c>
      <c r="H200" s="587">
        <v>3</v>
      </c>
      <c r="I200" s="587">
        <v>3</v>
      </c>
      <c r="J200" s="587">
        <v>3</v>
      </c>
      <c r="K200" s="587">
        <v>0</v>
      </c>
      <c r="L200" s="587">
        <v>0</v>
      </c>
      <c r="M200" s="587">
        <v>0</v>
      </c>
      <c r="N200">
        <f t="shared" si="4"/>
        <v>2.5</v>
      </c>
      <c r="O200">
        <v>2368.3000000000002</v>
      </c>
      <c r="Q200" t="s">
        <v>621</v>
      </c>
      <c r="R200">
        <f t="shared" si="5"/>
        <v>1</v>
      </c>
    </row>
    <row r="201" spans="1:18">
      <c r="A201" t="s">
        <v>600</v>
      </c>
      <c r="B201" t="s">
        <v>39</v>
      </c>
      <c r="C201" t="s">
        <v>40</v>
      </c>
      <c r="D201" s="2">
        <v>21</v>
      </c>
      <c r="E201" s="587">
        <v>26</v>
      </c>
      <c r="F201" s="587">
        <v>30</v>
      </c>
      <c r="G201" s="587">
        <v>31</v>
      </c>
      <c r="H201" s="587">
        <v>31</v>
      </c>
      <c r="I201" s="587">
        <v>30</v>
      </c>
      <c r="J201" s="587">
        <v>30</v>
      </c>
      <c r="K201" s="587">
        <v>0</v>
      </c>
      <c r="L201" s="587">
        <v>0</v>
      </c>
      <c r="M201" s="587">
        <v>0</v>
      </c>
      <c r="N201">
        <f t="shared" ref="N201:N264" si="6">ROUND(SUM(E201:M201)/6,2)</f>
        <v>29.67</v>
      </c>
      <c r="O201">
        <v>0</v>
      </c>
      <c r="Q201" t="s">
        <v>801</v>
      </c>
      <c r="R201">
        <f t="shared" ref="R201:R264" si="7">IF(N201&gt;0,1,0)</f>
        <v>1</v>
      </c>
    </row>
    <row r="202" spans="1:18">
      <c r="A202" t="s">
        <v>600</v>
      </c>
      <c r="B202" t="s">
        <v>171</v>
      </c>
      <c r="C202" t="s">
        <v>172</v>
      </c>
      <c r="D202" s="2">
        <v>11</v>
      </c>
      <c r="E202" s="587">
        <v>11</v>
      </c>
      <c r="F202" s="587">
        <v>11</v>
      </c>
      <c r="G202" s="587">
        <v>11</v>
      </c>
      <c r="H202" s="587">
        <v>10</v>
      </c>
      <c r="I202" s="587">
        <v>10</v>
      </c>
      <c r="J202" s="587">
        <v>10</v>
      </c>
      <c r="K202" s="587">
        <v>0</v>
      </c>
      <c r="L202" s="587">
        <v>0</v>
      </c>
      <c r="M202" s="587">
        <v>0</v>
      </c>
      <c r="N202">
        <f t="shared" si="6"/>
        <v>10.5</v>
      </c>
      <c r="O202">
        <v>9628.24</v>
      </c>
      <c r="Q202" t="s">
        <v>621</v>
      </c>
      <c r="R202">
        <f t="shared" si="7"/>
        <v>1</v>
      </c>
    </row>
    <row r="203" spans="1:18">
      <c r="A203" t="s">
        <v>596</v>
      </c>
      <c r="B203" t="s">
        <v>502</v>
      </c>
      <c r="C203" t="s">
        <v>503</v>
      </c>
      <c r="D203" s="2">
        <v>113</v>
      </c>
      <c r="E203" s="587">
        <v>114</v>
      </c>
      <c r="F203" s="587">
        <v>111</v>
      </c>
      <c r="G203" s="587">
        <v>109</v>
      </c>
      <c r="H203" s="587">
        <v>107</v>
      </c>
      <c r="I203" s="587">
        <v>107</v>
      </c>
      <c r="J203" s="587">
        <v>105</v>
      </c>
      <c r="K203" s="587">
        <v>0</v>
      </c>
      <c r="L203" s="587">
        <v>0</v>
      </c>
      <c r="M203" s="587">
        <v>0</v>
      </c>
      <c r="N203">
        <f t="shared" si="6"/>
        <v>108.83</v>
      </c>
      <c r="O203">
        <v>92696.2</v>
      </c>
      <c r="Q203" t="s">
        <v>621</v>
      </c>
      <c r="R203">
        <f t="shared" si="7"/>
        <v>1</v>
      </c>
    </row>
    <row r="204" spans="1:18">
      <c r="A204" t="s">
        <v>596</v>
      </c>
      <c r="B204" t="s">
        <v>21</v>
      </c>
      <c r="C204" t="s">
        <v>22</v>
      </c>
      <c r="D204" s="2">
        <v>602</v>
      </c>
      <c r="E204" s="587">
        <v>607</v>
      </c>
      <c r="F204" s="587">
        <v>606</v>
      </c>
      <c r="G204" s="587">
        <v>586</v>
      </c>
      <c r="H204" s="587">
        <v>585</v>
      </c>
      <c r="I204" s="587">
        <v>594</v>
      </c>
      <c r="J204" s="587">
        <v>595</v>
      </c>
      <c r="K204" s="587">
        <v>0</v>
      </c>
      <c r="L204" s="587">
        <v>0</v>
      </c>
      <c r="M204" s="587">
        <v>0</v>
      </c>
      <c r="N204">
        <f t="shared" si="6"/>
        <v>595.5</v>
      </c>
      <c r="O204">
        <v>534940.14</v>
      </c>
      <c r="Q204" t="s">
        <v>621</v>
      </c>
      <c r="R204">
        <f t="shared" si="7"/>
        <v>1</v>
      </c>
    </row>
    <row r="205" spans="1:18">
      <c r="A205" t="s">
        <v>603</v>
      </c>
      <c r="B205" t="s">
        <v>523</v>
      </c>
      <c r="C205" t="s">
        <v>524</v>
      </c>
      <c r="D205" s="2">
        <v>108</v>
      </c>
      <c r="E205" s="587">
        <v>107</v>
      </c>
      <c r="F205" s="587">
        <v>113</v>
      </c>
      <c r="G205" s="587">
        <v>114</v>
      </c>
      <c r="H205" s="587">
        <v>113</v>
      </c>
      <c r="I205" s="587">
        <v>112</v>
      </c>
      <c r="J205" s="587">
        <v>116</v>
      </c>
      <c r="K205" s="587">
        <v>0</v>
      </c>
      <c r="L205" s="587">
        <v>0</v>
      </c>
      <c r="M205" s="587">
        <v>0</v>
      </c>
      <c r="N205">
        <f t="shared" si="6"/>
        <v>112.5</v>
      </c>
      <c r="O205">
        <v>98366.77</v>
      </c>
      <c r="Q205" t="s">
        <v>621</v>
      </c>
      <c r="R205">
        <f t="shared" si="7"/>
        <v>1</v>
      </c>
    </row>
    <row r="206" spans="1:18">
      <c r="A206" t="s">
        <v>597</v>
      </c>
      <c r="B206" t="s">
        <v>343</v>
      </c>
      <c r="C206" t="s">
        <v>344</v>
      </c>
      <c r="D206" s="2">
        <v>524</v>
      </c>
      <c r="E206" s="587">
        <v>682</v>
      </c>
      <c r="F206" s="587">
        <v>687</v>
      </c>
      <c r="G206" s="587">
        <v>687</v>
      </c>
      <c r="H206" s="587">
        <v>687</v>
      </c>
      <c r="I206" s="587">
        <v>691</v>
      </c>
      <c r="J206" s="587">
        <v>690</v>
      </c>
      <c r="K206" s="587">
        <v>0</v>
      </c>
      <c r="L206" s="587">
        <v>0</v>
      </c>
      <c r="M206" s="587">
        <v>0</v>
      </c>
      <c r="N206">
        <f t="shared" si="6"/>
        <v>687.33</v>
      </c>
      <c r="O206">
        <v>624953.56000000006</v>
      </c>
      <c r="Q206" t="s">
        <v>621</v>
      </c>
      <c r="R206">
        <f t="shared" si="7"/>
        <v>1</v>
      </c>
    </row>
    <row r="207" spans="1:18">
      <c r="A207" t="s">
        <v>600</v>
      </c>
      <c r="B207" t="s">
        <v>163</v>
      </c>
      <c r="C207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7">
        <v>0</v>
      </c>
      <c r="N207">
        <f t="shared" si="6"/>
        <v>0</v>
      </c>
      <c r="O207">
        <v>0</v>
      </c>
      <c r="Q207" t="s">
        <v>801</v>
      </c>
      <c r="R207">
        <f t="shared" si="7"/>
        <v>0</v>
      </c>
    </row>
    <row r="208" spans="1:18">
      <c r="A208" t="s">
        <v>600</v>
      </c>
      <c r="B208" t="s">
        <v>167</v>
      </c>
      <c r="C208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7">
        <v>0</v>
      </c>
      <c r="N208">
        <f t="shared" si="6"/>
        <v>0</v>
      </c>
      <c r="O208">
        <v>0</v>
      </c>
      <c r="Q208" t="s">
        <v>801</v>
      </c>
      <c r="R208">
        <f t="shared" si="7"/>
        <v>0</v>
      </c>
    </row>
    <row r="209" spans="1:18">
      <c r="A209" t="s">
        <v>600</v>
      </c>
      <c r="B209" t="s">
        <v>47</v>
      </c>
      <c r="C209" t="s">
        <v>48</v>
      </c>
      <c r="D209" s="2">
        <v>86</v>
      </c>
      <c r="E209" s="587">
        <v>89</v>
      </c>
      <c r="F209" s="587">
        <v>93</v>
      </c>
      <c r="G209" s="587">
        <v>92</v>
      </c>
      <c r="H209" s="587">
        <v>92</v>
      </c>
      <c r="I209" s="587">
        <v>94</v>
      </c>
      <c r="J209" s="587">
        <v>92</v>
      </c>
      <c r="K209" s="587">
        <v>0</v>
      </c>
      <c r="L209" s="587">
        <v>0</v>
      </c>
      <c r="M209" s="587">
        <v>0</v>
      </c>
      <c r="N209">
        <f t="shared" si="6"/>
        <v>92</v>
      </c>
      <c r="O209">
        <v>77028.179999999993</v>
      </c>
      <c r="Q209" t="s">
        <v>621</v>
      </c>
      <c r="R209">
        <f t="shared" si="7"/>
        <v>1</v>
      </c>
    </row>
    <row r="210" spans="1:18">
      <c r="A210" t="s">
        <v>594</v>
      </c>
      <c r="B210" t="s">
        <v>145</v>
      </c>
      <c r="C210" t="s">
        <v>146</v>
      </c>
      <c r="D210" s="2">
        <v>26</v>
      </c>
      <c r="E210" s="587">
        <v>27</v>
      </c>
      <c r="F210" s="587">
        <v>27</v>
      </c>
      <c r="G210" s="587">
        <v>27</v>
      </c>
      <c r="H210" s="587">
        <v>27</v>
      </c>
      <c r="I210" s="587">
        <v>27</v>
      </c>
      <c r="J210" s="587">
        <v>27</v>
      </c>
      <c r="K210" s="587">
        <v>0</v>
      </c>
      <c r="L210" s="587">
        <v>0</v>
      </c>
      <c r="M210" s="587">
        <v>0</v>
      </c>
      <c r="N210">
        <f t="shared" si="6"/>
        <v>27</v>
      </c>
      <c r="O210">
        <v>21887.69</v>
      </c>
      <c r="Q210" t="s">
        <v>621</v>
      </c>
      <c r="R210">
        <f t="shared" si="7"/>
        <v>1</v>
      </c>
    </row>
    <row r="211" spans="1:18">
      <c r="A211" t="s">
        <v>601</v>
      </c>
      <c r="B211" t="s">
        <v>116</v>
      </c>
      <c r="C211" t="s">
        <v>117</v>
      </c>
      <c r="D211" s="2">
        <v>860</v>
      </c>
      <c r="E211" s="587">
        <v>1012</v>
      </c>
      <c r="F211" s="587">
        <v>1007</v>
      </c>
      <c r="G211" s="587">
        <v>985</v>
      </c>
      <c r="H211" s="587">
        <v>982</v>
      </c>
      <c r="I211" s="587">
        <v>982</v>
      </c>
      <c r="J211" s="587">
        <v>986</v>
      </c>
      <c r="K211" s="587">
        <v>0</v>
      </c>
      <c r="L211" s="587">
        <v>0</v>
      </c>
      <c r="M211" s="587">
        <v>0</v>
      </c>
      <c r="N211">
        <f t="shared" si="6"/>
        <v>992.33</v>
      </c>
      <c r="O211">
        <v>839706.34</v>
      </c>
      <c r="Q211" t="s">
        <v>621</v>
      </c>
      <c r="R211">
        <f t="shared" si="7"/>
        <v>1</v>
      </c>
    </row>
    <row r="212" spans="1:18">
      <c r="A212" t="s">
        <v>594</v>
      </c>
      <c r="B212" t="s">
        <v>480</v>
      </c>
      <c r="C21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7">
        <v>0</v>
      </c>
      <c r="N212">
        <f t="shared" si="6"/>
        <v>0</v>
      </c>
      <c r="O212">
        <v>0</v>
      </c>
      <c r="Q212" t="s">
        <v>801</v>
      </c>
      <c r="R212">
        <f t="shared" si="7"/>
        <v>0</v>
      </c>
    </row>
    <row r="213" spans="1:18">
      <c r="A213" t="s">
        <v>594</v>
      </c>
      <c r="B213" t="s">
        <v>327</v>
      </c>
      <c r="C213" t="s">
        <v>328</v>
      </c>
      <c r="D213" s="2">
        <v>50</v>
      </c>
      <c r="E213" s="587">
        <v>58</v>
      </c>
      <c r="F213" s="587">
        <v>59</v>
      </c>
      <c r="G213" s="587">
        <v>59</v>
      </c>
      <c r="H213" s="587">
        <v>63</v>
      </c>
      <c r="I213" s="587">
        <v>58</v>
      </c>
      <c r="J213" s="587">
        <v>59</v>
      </c>
      <c r="K213" s="587">
        <v>0</v>
      </c>
      <c r="L213" s="587">
        <v>0</v>
      </c>
      <c r="M213" s="587">
        <v>0</v>
      </c>
      <c r="N213">
        <f t="shared" si="6"/>
        <v>59.33</v>
      </c>
      <c r="O213">
        <v>48754.239999999998</v>
      </c>
      <c r="Q213" t="s">
        <v>621</v>
      </c>
      <c r="R213">
        <f t="shared" si="7"/>
        <v>1</v>
      </c>
    </row>
    <row r="214" spans="1:18">
      <c r="A214" t="s">
        <v>603</v>
      </c>
      <c r="B214" t="s">
        <v>282</v>
      </c>
      <c r="C214" t="s">
        <v>665</v>
      </c>
      <c r="D214" s="2">
        <v>19</v>
      </c>
      <c r="E214" s="587">
        <v>19</v>
      </c>
      <c r="F214" s="587">
        <v>19</v>
      </c>
      <c r="G214" s="587">
        <v>19</v>
      </c>
      <c r="H214" s="587">
        <v>19</v>
      </c>
      <c r="I214" s="587">
        <v>19</v>
      </c>
      <c r="J214" s="587">
        <v>19</v>
      </c>
      <c r="K214" s="587">
        <v>0</v>
      </c>
      <c r="L214" s="587">
        <v>0</v>
      </c>
      <c r="M214" s="587">
        <v>0</v>
      </c>
      <c r="N214">
        <f t="shared" si="6"/>
        <v>19</v>
      </c>
      <c r="O214">
        <v>17216.259999999998</v>
      </c>
      <c r="Q214" t="s">
        <v>621</v>
      </c>
      <c r="R214">
        <f t="shared" si="7"/>
        <v>1</v>
      </c>
    </row>
    <row r="215" spans="1:18">
      <c r="A215" t="s">
        <v>597</v>
      </c>
      <c r="B215" t="s">
        <v>185</v>
      </c>
      <c r="C215" t="s">
        <v>186</v>
      </c>
      <c r="D215" s="2">
        <v>1668</v>
      </c>
      <c r="E215" s="587">
        <v>2080</v>
      </c>
      <c r="F215" s="587">
        <v>2217</v>
      </c>
      <c r="G215" s="587">
        <v>2231</v>
      </c>
      <c r="H215" s="587">
        <v>2203</v>
      </c>
      <c r="I215" s="587">
        <v>2205</v>
      </c>
      <c r="J215" s="587">
        <v>2219</v>
      </c>
      <c r="K215" s="587">
        <v>0</v>
      </c>
      <c r="L215" s="587">
        <v>0</v>
      </c>
      <c r="M215" s="587">
        <v>0</v>
      </c>
      <c r="N215">
        <f t="shared" si="6"/>
        <v>2192.5</v>
      </c>
      <c r="O215">
        <v>1847914.25</v>
      </c>
      <c r="Q215" t="s">
        <v>621</v>
      </c>
      <c r="R215">
        <f t="shared" si="7"/>
        <v>1</v>
      </c>
    </row>
    <row r="216" spans="1:18">
      <c r="A216" t="s">
        <v>603</v>
      </c>
      <c r="B216" t="s">
        <v>102</v>
      </c>
      <c r="C216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7">
        <v>0</v>
      </c>
      <c r="N216">
        <f t="shared" si="6"/>
        <v>0</v>
      </c>
      <c r="O216">
        <v>0</v>
      </c>
      <c r="Q216" t="s">
        <v>801</v>
      </c>
      <c r="R216">
        <f t="shared" si="7"/>
        <v>0</v>
      </c>
    </row>
    <row r="217" spans="1:18">
      <c r="A217" t="s">
        <v>596</v>
      </c>
      <c r="B217" t="s">
        <v>23</v>
      </c>
      <c r="C217" t="s">
        <v>24</v>
      </c>
      <c r="D217" s="2">
        <v>243</v>
      </c>
      <c r="E217" s="587">
        <v>330</v>
      </c>
      <c r="F217" s="587">
        <v>334</v>
      </c>
      <c r="G217" s="587">
        <v>339</v>
      </c>
      <c r="H217" s="587">
        <v>340</v>
      </c>
      <c r="I217" s="587">
        <v>339</v>
      </c>
      <c r="J217" s="587">
        <v>350</v>
      </c>
      <c r="K217" s="587">
        <v>0</v>
      </c>
      <c r="L217" s="587">
        <v>0</v>
      </c>
      <c r="M217" s="587">
        <v>0</v>
      </c>
      <c r="N217">
        <f t="shared" si="6"/>
        <v>338.67</v>
      </c>
      <c r="O217">
        <v>298314.36</v>
      </c>
      <c r="Q217" t="s">
        <v>621</v>
      </c>
      <c r="R217">
        <f t="shared" si="7"/>
        <v>1</v>
      </c>
    </row>
    <row r="218" spans="1:18">
      <c r="A218" t="s">
        <v>599</v>
      </c>
      <c r="B218" t="s">
        <v>64</v>
      </c>
      <c r="C218" t="s">
        <v>65</v>
      </c>
      <c r="D218" s="2">
        <v>61</v>
      </c>
      <c r="E218" s="587">
        <v>61</v>
      </c>
      <c r="F218" s="587">
        <v>61</v>
      </c>
      <c r="G218" s="587">
        <v>61</v>
      </c>
      <c r="H218" s="587">
        <v>58</v>
      </c>
      <c r="I218" s="587">
        <v>59</v>
      </c>
      <c r="J218" s="587">
        <v>61</v>
      </c>
      <c r="K218" s="587">
        <v>0</v>
      </c>
      <c r="L218" s="587">
        <v>0</v>
      </c>
      <c r="M218" s="587">
        <v>0</v>
      </c>
      <c r="N218">
        <f t="shared" si="6"/>
        <v>60.17</v>
      </c>
      <c r="O218">
        <v>52909.56</v>
      </c>
      <c r="Q218" t="s">
        <v>621</v>
      </c>
      <c r="R218">
        <f t="shared" si="7"/>
        <v>1</v>
      </c>
    </row>
    <row r="219" spans="1:18">
      <c r="A219" t="s">
        <v>603</v>
      </c>
      <c r="B219" t="s">
        <v>8</v>
      </c>
      <c r="C219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7">
        <v>0</v>
      </c>
      <c r="N219">
        <f t="shared" si="6"/>
        <v>0</v>
      </c>
      <c r="O219">
        <v>0</v>
      </c>
      <c r="Q219" t="s">
        <v>801</v>
      </c>
      <c r="R219">
        <f t="shared" si="7"/>
        <v>0</v>
      </c>
    </row>
    <row r="220" spans="1:18">
      <c r="A220" t="s">
        <v>603</v>
      </c>
      <c r="B220" t="s">
        <v>446</v>
      </c>
      <c r="C220" t="s">
        <v>447</v>
      </c>
      <c r="D220" s="2">
        <v>11</v>
      </c>
      <c r="E220" s="587">
        <v>11</v>
      </c>
      <c r="F220" s="587">
        <v>11</v>
      </c>
      <c r="G220" s="587">
        <v>11</v>
      </c>
      <c r="H220" s="587">
        <v>11</v>
      </c>
      <c r="I220" s="587">
        <v>14</v>
      </c>
      <c r="J220" s="587">
        <v>14</v>
      </c>
      <c r="K220" s="587">
        <v>0</v>
      </c>
      <c r="L220" s="587">
        <v>0</v>
      </c>
      <c r="M220" s="587">
        <v>0</v>
      </c>
      <c r="N220">
        <f t="shared" si="6"/>
        <v>12</v>
      </c>
      <c r="O220">
        <v>10845.38</v>
      </c>
      <c r="Q220" t="s">
        <v>621</v>
      </c>
      <c r="R220">
        <f t="shared" si="7"/>
        <v>1</v>
      </c>
    </row>
    <row r="221" spans="1:18">
      <c r="A221" t="s">
        <v>597</v>
      </c>
      <c r="B221" t="s">
        <v>193</v>
      </c>
      <c r="C221" t="s">
        <v>194</v>
      </c>
      <c r="D221" s="2">
        <v>56</v>
      </c>
      <c r="E221" s="587">
        <v>69</v>
      </c>
      <c r="F221" s="587">
        <v>65</v>
      </c>
      <c r="G221" s="587">
        <v>71</v>
      </c>
      <c r="H221" s="587">
        <v>73</v>
      </c>
      <c r="I221" s="587">
        <v>75</v>
      </c>
      <c r="J221" s="587">
        <v>75</v>
      </c>
      <c r="K221" s="587">
        <v>0</v>
      </c>
      <c r="L221" s="587">
        <v>0</v>
      </c>
      <c r="M221" s="587">
        <v>0</v>
      </c>
      <c r="N221">
        <f t="shared" si="6"/>
        <v>71.33</v>
      </c>
      <c r="O221">
        <v>61314.04</v>
      </c>
      <c r="Q221" t="s">
        <v>621</v>
      </c>
      <c r="R221">
        <f t="shared" si="7"/>
        <v>1</v>
      </c>
    </row>
    <row r="222" spans="1:18">
      <c r="A222" t="s">
        <v>594</v>
      </c>
      <c r="B222" t="s">
        <v>484</v>
      </c>
      <c r="C222" t="s">
        <v>485</v>
      </c>
      <c r="D222" s="2">
        <v>115</v>
      </c>
      <c r="E222" s="587">
        <v>116</v>
      </c>
      <c r="F222" s="587">
        <v>121</v>
      </c>
      <c r="G222" s="587">
        <v>120</v>
      </c>
      <c r="H222" s="587">
        <v>119</v>
      </c>
      <c r="I222" s="587">
        <v>118</v>
      </c>
      <c r="J222" s="587">
        <v>116</v>
      </c>
      <c r="K222" s="587">
        <v>0</v>
      </c>
      <c r="L222" s="587">
        <v>0</v>
      </c>
      <c r="M222" s="587">
        <v>0</v>
      </c>
      <c r="N222">
        <f t="shared" si="6"/>
        <v>118.33</v>
      </c>
      <c r="O222">
        <v>103156.55</v>
      </c>
      <c r="Q222" t="s">
        <v>621</v>
      </c>
      <c r="R222">
        <f t="shared" si="7"/>
        <v>1</v>
      </c>
    </row>
    <row r="223" spans="1:18">
      <c r="A223" t="s">
        <v>599</v>
      </c>
      <c r="B223" t="s">
        <v>244</v>
      </c>
      <c r="C223" t="s">
        <v>245</v>
      </c>
      <c r="D223" s="2">
        <v>8</v>
      </c>
      <c r="E223" s="587">
        <v>8</v>
      </c>
      <c r="F223" s="587">
        <v>8</v>
      </c>
      <c r="G223" s="587">
        <v>8</v>
      </c>
      <c r="H223" s="587">
        <v>8</v>
      </c>
      <c r="I223" s="587">
        <v>8</v>
      </c>
      <c r="J223" s="587">
        <v>6</v>
      </c>
      <c r="K223" s="587">
        <v>0</v>
      </c>
      <c r="L223" s="587">
        <v>0</v>
      </c>
      <c r="M223" s="587">
        <v>0</v>
      </c>
      <c r="N223">
        <f t="shared" si="6"/>
        <v>7.67</v>
      </c>
      <c r="O223">
        <v>6631.86</v>
      </c>
      <c r="Q223" t="s">
        <v>621</v>
      </c>
      <c r="R223">
        <f t="shared" si="7"/>
        <v>1</v>
      </c>
    </row>
    <row r="224" spans="1:18">
      <c r="A224" t="s">
        <v>603</v>
      </c>
      <c r="B224" t="s">
        <v>537</v>
      </c>
      <c r="C224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7">
        <v>0</v>
      </c>
      <c r="N224">
        <f t="shared" si="6"/>
        <v>0</v>
      </c>
      <c r="O224">
        <v>0</v>
      </c>
      <c r="Q224" t="s">
        <v>801</v>
      </c>
      <c r="R224">
        <f t="shared" si="7"/>
        <v>0</v>
      </c>
    </row>
    <row r="225" spans="1:18">
      <c r="A225" t="s">
        <v>605</v>
      </c>
      <c r="B225" t="s">
        <v>123</v>
      </c>
      <c r="C225" t="s">
        <v>124</v>
      </c>
      <c r="D225" s="2">
        <v>601</v>
      </c>
      <c r="E225" s="587">
        <v>689</v>
      </c>
      <c r="F225" s="587">
        <v>691</v>
      </c>
      <c r="G225" s="587">
        <v>688</v>
      </c>
      <c r="H225" s="587">
        <v>689</v>
      </c>
      <c r="I225" s="587">
        <v>678</v>
      </c>
      <c r="J225" s="587">
        <v>672</v>
      </c>
      <c r="K225" s="587">
        <v>0</v>
      </c>
      <c r="L225" s="587">
        <v>0</v>
      </c>
      <c r="M225" s="587">
        <v>0</v>
      </c>
      <c r="N225">
        <f t="shared" si="6"/>
        <v>684.5</v>
      </c>
      <c r="O225">
        <v>580438.16</v>
      </c>
      <c r="Q225" t="s">
        <v>621</v>
      </c>
      <c r="R225">
        <f t="shared" si="7"/>
        <v>1</v>
      </c>
    </row>
    <row r="226" spans="1:18">
      <c r="A226" t="s">
        <v>595</v>
      </c>
      <c r="B226" t="s">
        <v>375</v>
      </c>
      <c r="C226" t="s">
        <v>614</v>
      </c>
      <c r="D226" s="2">
        <v>44</v>
      </c>
      <c r="E226" s="587">
        <v>39</v>
      </c>
      <c r="F226" s="587">
        <v>38</v>
      </c>
      <c r="G226" s="587">
        <v>39</v>
      </c>
      <c r="H226" s="587">
        <v>39</v>
      </c>
      <c r="I226" s="587">
        <v>39</v>
      </c>
      <c r="J226" s="587">
        <v>41</v>
      </c>
      <c r="K226" s="587">
        <v>0</v>
      </c>
      <c r="L226" s="587">
        <v>0</v>
      </c>
      <c r="M226" s="587">
        <v>0</v>
      </c>
      <c r="N226">
        <f t="shared" si="6"/>
        <v>39.17</v>
      </c>
      <c r="O226">
        <v>33825.29</v>
      </c>
      <c r="Q226" t="s">
        <v>621</v>
      </c>
      <c r="R226">
        <f t="shared" si="7"/>
        <v>1</v>
      </c>
    </row>
    <row r="227" spans="1:18">
      <c r="A227" t="s">
        <v>594</v>
      </c>
      <c r="B227" t="s">
        <v>149</v>
      </c>
      <c r="C227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7">
        <v>0</v>
      </c>
      <c r="N227">
        <f t="shared" si="6"/>
        <v>0</v>
      </c>
      <c r="O227">
        <v>0</v>
      </c>
      <c r="Q227" t="s">
        <v>801</v>
      </c>
      <c r="R227">
        <f t="shared" si="7"/>
        <v>0</v>
      </c>
    </row>
    <row r="228" spans="1:18">
      <c r="A228" t="s">
        <v>597</v>
      </c>
      <c r="B228" t="s">
        <v>173</v>
      </c>
      <c r="C228" t="s">
        <v>174</v>
      </c>
      <c r="D228" s="2">
        <v>5300</v>
      </c>
      <c r="E228" s="587">
        <v>5612</v>
      </c>
      <c r="F228" s="587">
        <v>5709</v>
      </c>
      <c r="G228" s="587">
        <v>5737</v>
      </c>
      <c r="H228" s="587">
        <v>5722</v>
      </c>
      <c r="I228" s="587">
        <v>5761</v>
      </c>
      <c r="J228" s="587">
        <v>5770</v>
      </c>
      <c r="K228" s="587">
        <v>0</v>
      </c>
      <c r="L228" s="587">
        <v>0</v>
      </c>
      <c r="M228" s="587">
        <v>0</v>
      </c>
      <c r="N228">
        <f t="shared" si="6"/>
        <v>5718.5</v>
      </c>
      <c r="O228">
        <v>4879332.96</v>
      </c>
      <c r="Q228" t="s">
        <v>621</v>
      </c>
      <c r="R228">
        <f t="shared" si="7"/>
        <v>1</v>
      </c>
    </row>
    <row r="229" spans="1:18">
      <c r="A229" t="s">
        <v>595</v>
      </c>
      <c r="B229" t="s">
        <v>379</v>
      </c>
      <c r="C229" t="s">
        <v>615</v>
      </c>
      <c r="D229" s="2">
        <v>169</v>
      </c>
      <c r="E229" s="587">
        <v>229</v>
      </c>
      <c r="F229" s="587">
        <v>228</v>
      </c>
      <c r="G229" s="587">
        <v>228</v>
      </c>
      <c r="H229" s="587">
        <v>224</v>
      </c>
      <c r="I229" s="587">
        <v>233</v>
      </c>
      <c r="J229" s="587">
        <v>236</v>
      </c>
      <c r="K229" s="587">
        <v>0</v>
      </c>
      <c r="L229" s="587">
        <v>0</v>
      </c>
      <c r="M229" s="587">
        <v>0</v>
      </c>
      <c r="N229">
        <f t="shared" si="6"/>
        <v>229.67</v>
      </c>
      <c r="O229">
        <v>205903.06</v>
      </c>
      <c r="Q229" t="s">
        <v>621</v>
      </c>
      <c r="R229">
        <f t="shared" si="7"/>
        <v>1</v>
      </c>
    </row>
    <row r="230" spans="1:18">
      <c r="A230" t="s">
        <v>605</v>
      </c>
      <c r="B230" t="s">
        <v>551</v>
      </c>
      <c r="C230" t="s">
        <v>552</v>
      </c>
      <c r="D230" s="2">
        <v>202</v>
      </c>
      <c r="E230" s="587">
        <v>203</v>
      </c>
      <c r="F230" s="587">
        <v>206</v>
      </c>
      <c r="G230" s="587">
        <v>206</v>
      </c>
      <c r="H230" s="587">
        <v>204</v>
      </c>
      <c r="I230" s="587">
        <v>205</v>
      </c>
      <c r="J230" s="587">
        <v>211</v>
      </c>
      <c r="K230" s="587">
        <v>0</v>
      </c>
      <c r="L230" s="587">
        <v>0</v>
      </c>
      <c r="M230" s="587">
        <v>0</v>
      </c>
      <c r="N230">
        <f t="shared" si="6"/>
        <v>205.83</v>
      </c>
      <c r="O230">
        <v>183877.47</v>
      </c>
      <c r="Q230" t="s">
        <v>621</v>
      </c>
      <c r="R230">
        <f t="shared" si="7"/>
        <v>1</v>
      </c>
    </row>
    <row r="231" spans="1:18">
      <c r="A231" t="s">
        <v>603</v>
      </c>
      <c r="B231" t="s">
        <v>340</v>
      </c>
      <c r="C231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7">
        <v>0</v>
      </c>
      <c r="N231">
        <f t="shared" si="6"/>
        <v>0</v>
      </c>
      <c r="O231">
        <v>0</v>
      </c>
      <c r="Q231" t="s">
        <v>801</v>
      </c>
      <c r="R231">
        <f t="shared" si="7"/>
        <v>0</v>
      </c>
    </row>
    <row r="232" spans="1:18">
      <c r="A232" t="s">
        <v>600</v>
      </c>
      <c r="B232" t="s">
        <v>43</v>
      </c>
      <c r="C232" t="s">
        <v>44</v>
      </c>
      <c r="D232" s="2">
        <v>33</v>
      </c>
      <c r="E232" s="587">
        <v>43</v>
      </c>
      <c r="F232" s="587">
        <v>42</v>
      </c>
      <c r="G232" s="587">
        <v>40</v>
      </c>
      <c r="H232" s="587">
        <v>37</v>
      </c>
      <c r="I232" s="587">
        <v>40</v>
      </c>
      <c r="J232" s="587">
        <v>40</v>
      </c>
      <c r="K232" s="587">
        <v>0</v>
      </c>
      <c r="L232" s="587">
        <v>0</v>
      </c>
      <c r="M232" s="587">
        <v>0</v>
      </c>
      <c r="N232">
        <f t="shared" si="6"/>
        <v>40.33</v>
      </c>
      <c r="O232">
        <v>35290.800000000003</v>
      </c>
      <c r="Q232" t="s">
        <v>621</v>
      </c>
      <c r="R232">
        <f t="shared" si="7"/>
        <v>1</v>
      </c>
    </row>
    <row r="233" spans="1:18">
      <c r="A233" t="s">
        <v>595</v>
      </c>
      <c r="B233" t="s">
        <v>371</v>
      </c>
      <c r="C233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7">
        <v>0</v>
      </c>
      <c r="N233">
        <f t="shared" si="6"/>
        <v>0</v>
      </c>
      <c r="O233">
        <v>0</v>
      </c>
      <c r="Q233" t="s">
        <v>801</v>
      </c>
      <c r="R233">
        <f t="shared" si="7"/>
        <v>0</v>
      </c>
    </row>
    <row r="234" spans="1:18">
      <c r="A234" t="s">
        <v>594</v>
      </c>
      <c r="B234" t="s">
        <v>299</v>
      </c>
      <c r="C234" t="s">
        <v>300</v>
      </c>
      <c r="D234" s="2">
        <v>338</v>
      </c>
      <c r="E234" s="587">
        <v>354</v>
      </c>
      <c r="F234" s="587">
        <v>367</v>
      </c>
      <c r="G234" s="587">
        <v>369</v>
      </c>
      <c r="H234" s="587">
        <v>368</v>
      </c>
      <c r="I234" s="587">
        <v>365</v>
      </c>
      <c r="J234" s="587">
        <v>365</v>
      </c>
      <c r="K234" s="587">
        <v>0</v>
      </c>
      <c r="L234" s="587">
        <v>0</v>
      </c>
      <c r="M234" s="587">
        <v>0</v>
      </c>
      <c r="N234">
        <f t="shared" si="6"/>
        <v>364.67</v>
      </c>
      <c r="O234">
        <v>326156.78999999998</v>
      </c>
      <c r="Q234" t="s">
        <v>621</v>
      </c>
      <c r="R234">
        <f t="shared" si="7"/>
        <v>1</v>
      </c>
    </row>
    <row r="235" spans="1:18">
      <c r="A235" t="s">
        <v>597</v>
      </c>
      <c r="B235" t="s">
        <v>203</v>
      </c>
      <c r="C235" t="s">
        <v>204</v>
      </c>
      <c r="D235" s="2">
        <v>543</v>
      </c>
      <c r="E235" s="587">
        <v>570</v>
      </c>
      <c r="F235" s="587">
        <v>574</v>
      </c>
      <c r="G235" s="587">
        <v>573</v>
      </c>
      <c r="H235" s="587">
        <v>567</v>
      </c>
      <c r="I235" s="587">
        <v>584</v>
      </c>
      <c r="J235" s="587">
        <v>589</v>
      </c>
      <c r="K235" s="587">
        <v>0</v>
      </c>
      <c r="L235" s="587">
        <v>0</v>
      </c>
      <c r="M235" s="587">
        <v>0</v>
      </c>
      <c r="N235">
        <f t="shared" si="6"/>
        <v>576.16999999999996</v>
      </c>
      <c r="O235">
        <v>510653.33</v>
      </c>
      <c r="Q235" t="s">
        <v>621</v>
      </c>
      <c r="R235">
        <f t="shared" si="7"/>
        <v>1</v>
      </c>
    </row>
    <row r="236" spans="1:18">
      <c r="A236" t="s">
        <v>599</v>
      </c>
      <c r="B236" t="s">
        <v>387</v>
      </c>
      <c r="C236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7">
        <v>0</v>
      </c>
      <c r="N236">
        <f t="shared" si="6"/>
        <v>0</v>
      </c>
      <c r="O236">
        <v>0</v>
      </c>
      <c r="Q236" t="s">
        <v>801</v>
      </c>
      <c r="R236">
        <f t="shared" si="7"/>
        <v>0</v>
      </c>
    </row>
    <row r="237" spans="1:18">
      <c r="A237" t="s">
        <v>597</v>
      </c>
      <c r="B237" t="s">
        <v>187</v>
      </c>
      <c r="C237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7">
        <v>0</v>
      </c>
      <c r="N237">
        <f t="shared" si="6"/>
        <v>0</v>
      </c>
      <c r="O237">
        <v>0</v>
      </c>
      <c r="Q237" t="s">
        <v>801</v>
      </c>
      <c r="R237">
        <f t="shared" si="7"/>
        <v>0</v>
      </c>
    </row>
    <row r="238" spans="1:18">
      <c r="A238" t="s">
        <v>595</v>
      </c>
      <c r="B238" t="s">
        <v>411</v>
      </c>
      <c r="C238" t="s">
        <v>412</v>
      </c>
      <c r="D238" s="2">
        <v>193</v>
      </c>
      <c r="E238" s="587">
        <v>266</v>
      </c>
      <c r="F238" s="587">
        <v>268</v>
      </c>
      <c r="G238" s="587">
        <v>272</v>
      </c>
      <c r="H238" s="587">
        <v>275</v>
      </c>
      <c r="I238" s="587">
        <v>271</v>
      </c>
      <c r="J238" s="587">
        <v>272</v>
      </c>
      <c r="K238" s="587">
        <v>0</v>
      </c>
      <c r="L238" s="587">
        <v>0</v>
      </c>
      <c r="M238" s="587">
        <v>0</v>
      </c>
      <c r="N238">
        <f t="shared" si="6"/>
        <v>270.67</v>
      </c>
      <c r="O238">
        <v>238455.89</v>
      </c>
      <c r="Q238" t="s">
        <v>621</v>
      </c>
      <c r="R238">
        <f t="shared" si="7"/>
        <v>1</v>
      </c>
    </row>
    <row r="239" spans="1:18">
      <c r="A239" t="s">
        <v>597</v>
      </c>
      <c r="B239" t="s">
        <v>199</v>
      </c>
      <c r="C239" t="s">
        <v>200</v>
      </c>
      <c r="D239" s="2">
        <v>112</v>
      </c>
      <c r="E239" s="587">
        <v>117</v>
      </c>
      <c r="F239" s="587">
        <v>119</v>
      </c>
      <c r="G239" s="587">
        <v>127</v>
      </c>
      <c r="H239" s="587">
        <v>127</v>
      </c>
      <c r="I239" s="587">
        <v>126</v>
      </c>
      <c r="J239" s="587">
        <v>122</v>
      </c>
      <c r="K239" s="587">
        <v>0</v>
      </c>
      <c r="L239" s="587">
        <v>0</v>
      </c>
      <c r="M239" s="587">
        <v>0</v>
      </c>
      <c r="N239">
        <f t="shared" si="6"/>
        <v>123</v>
      </c>
      <c r="O239">
        <v>104683.66</v>
      </c>
      <c r="Q239" t="s">
        <v>621</v>
      </c>
      <c r="R239">
        <f t="shared" si="7"/>
        <v>1</v>
      </c>
    </row>
    <row r="240" spans="1:18">
      <c r="A240" t="s">
        <v>601</v>
      </c>
      <c r="B240" t="s">
        <v>121</v>
      </c>
      <c r="C240" t="s">
        <v>122</v>
      </c>
      <c r="D240" s="2">
        <v>76</v>
      </c>
      <c r="E240" s="587">
        <v>82</v>
      </c>
      <c r="F240" s="587">
        <v>84</v>
      </c>
      <c r="G240" s="587">
        <v>81</v>
      </c>
      <c r="H240" s="587">
        <v>79</v>
      </c>
      <c r="I240" s="587">
        <v>76</v>
      </c>
      <c r="J240" s="587">
        <v>71</v>
      </c>
      <c r="K240" s="587">
        <v>0</v>
      </c>
      <c r="L240" s="587">
        <v>0</v>
      </c>
      <c r="M240" s="587">
        <v>0</v>
      </c>
      <c r="N240">
        <f t="shared" si="6"/>
        <v>78.83</v>
      </c>
      <c r="O240">
        <v>65644.41</v>
      </c>
      <c r="Q240" t="s">
        <v>621</v>
      </c>
      <c r="R240">
        <f t="shared" si="7"/>
        <v>1</v>
      </c>
    </row>
    <row r="241" spans="1:18">
      <c r="A241" t="s">
        <v>594</v>
      </c>
      <c r="B241" t="s">
        <v>329</v>
      </c>
      <c r="C241" t="s">
        <v>330</v>
      </c>
      <c r="D241" s="2">
        <v>68</v>
      </c>
      <c r="E241" s="587">
        <v>94</v>
      </c>
      <c r="F241" s="587">
        <v>94</v>
      </c>
      <c r="G241" s="587">
        <v>95</v>
      </c>
      <c r="H241" s="587">
        <v>96</v>
      </c>
      <c r="I241" s="587">
        <v>96</v>
      </c>
      <c r="J241" s="587">
        <v>96</v>
      </c>
      <c r="K241" s="587">
        <v>0</v>
      </c>
      <c r="L241" s="587">
        <v>0</v>
      </c>
      <c r="M241" s="587">
        <v>0</v>
      </c>
      <c r="N241">
        <f t="shared" si="6"/>
        <v>95.17</v>
      </c>
      <c r="O241">
        <v>82363.509999999995</v>
      </c>
      <c r="Q241" t="s">
        <v>621</v>
      </c>
      <c r="R241">
        <f t="shared" si="7"/>
        <v>1</v>
      </c>
    </row>
    <row r="242" spans="1:18">
      <c r="A242" t="s">
        <v>600</v>
      </c>
      <c r="B242" t="s">
        <v>218</v>
      </c>
      <c r="C242" t="s">
        <v>219</v>
      </c>
      <c r="D242" s="2">
        <v>72</v>
      </c>
      <c r="E242" s="587">
        <v>65</v>
      </c>
      <c r="F242" s="587">
        <v>68</v>
      </c>
      <c r="G242" s="587">
        <v>68</v>
      </c>
      <c r="H242" s="587">
        <v>70</v>
      </c>
      <c r="I242" s="587">
        <v>72</v>
      </c>
      <c r="J242" s="587">
        <v>74</v>
      </c>
      <c r="K242" s="587">
        <v>0</v>
      </c>
      <c r="L242" s="587">
        <v>0</v>
      </c>
      <c r="M242" s="587">
        <v>0</v>
      </c>
      <c r="N242">
        <f t="shared" si="6"/>
        <v>69.5</v>
      </c>
      <c r="O242">
        <v>61897.02</v>
      </c>
      <c r="Q242" t="s">
        <v>621</v>
      </c>
      <c r="R242">
        <f t="shared" si="7"/>
        <v>1</v>
      </c>
    </row>
    <row r="243" spans="1:18">
      <c r="A243" t="s">
        <v>595</v>
      </c>
      <c r="B243" t="s">
        <v>161</v>
      </c>
      <c r="C243" t="s">
        <v>162</v>
      </c>
      <c r="D243" s="2">
        <v>7</v>
      </c>
      <c r="E243" s="587">
        <v>10</v>
      </c>
      <c r="F243" s="587">
        <v>10</v>
      </c>
      <c r="G243" s="587">
        <v>12</v>
      </c>
      <c r="H243" s="587">
        <v>12</v>
      </c>
      <c r="I243" s="587">
        <v>12</v>
      </c>
      <c r="J243" s="587">
        <v>12</v>
      </c>
      <c r="K243" s="587">
        <v>0</v>
      </c>
      <c r="L243" s="587">
        <v>0</v>
      </c>
      <c r="M243" s="587">
        <v>0</v>
      </c>
      <c r="N243">
        <f t="shared" si="6"/>
        <v>11.33</v>
      </c>
      <c r="O243">
        <v>10817.13</v>
      </c>
      <c r="Q243" t="s">
        <v>621</v>
      </c>
      <c r="R243">
        <f t="shared" si="7"/>
        <v>1</v>
      </c>
    </row>
    <row r="244" spans="1:18">
      <c r="A244" t="s">
        <v>594</v>
      </c>
      <c r="B244" t="s">
        <v>295</v>
      </c>
      <c r="C244" t="s">
        <v>296</v>
      </c>
      <c r="D244" s="2">
        <v>3</v>
      </c>
      <c r="E244" s="587">
        <v>3</v>
      </c>
      <c r="F244" s="587">
        <v>4</v>
      </c>
      <c r="G244" s="587">
        <v>4</v>
      </c>
      <c r="H244" s="587">
        <v>4</v>
      </c>
      <c r="I244" s="587">
        <v>4</v>
      </c>
      <c r="J244" s="587">
        <v>4</v>
      </c>
      <c r="K244" s="587">
        <v>0</v>
      </c>
      <c r="L244" s="587">
        <v>0</v>
      </c>
      <c r="M244" s="587">
        <v>0</v>
      </c>
      <c r="N244">
        <f t="shared" si="6"/>
        <v>3.83</v>
      </c>
      <c r="O244">
        <v>0</v>
      </c>
      <c r="Q244" t="s">
        <v>801</v>
      </c>
      <c r="R244">
        <f t="shared" si="7"/>
        <v>1</v>
      </c>
    </row>
    <row r="245" spans="1:18">
      <c r="A245" t="s">
        <v>603</v>
      </c>
      <c r="B245" t="s">
        <v>422</v>
      </c>
      <c r="C245" t="s">
        <v>423</v>
      </c>
      <c r="D245" s="2">
        <v>1320</v>
      </c>
      <c r="E245" s="587">
        <v>1339</v>
      </c>
      <c r="F245" s="587">
        <v>1361</v>
      </c>
      <c r="G245" s="587">
        <v>1386</v>
      </c>
      <c r="H245" s="587">
        <v>1375</v>
      </c>
      <c r="I245" s="587">
        <v>1367</v>
      </c>
      <c r="J245" s="587">
        <v>1395</v>
      </c>
      <c r="K245" s="587">
        <v>0</v>
      </c>
      <c r="L245" s="587">
        <v>0</v>
      </c>
      <c r="M245" s="587">
        <v>0</v>
      </c>
      <c r="N245">
        <f t="shared" si="6"/>
        <v>1370.5</v>
      </c>
      <c r="O245">
        <v>1232403.6299999999</v>
      </c>
      <c r="Q245" t="s">
        <v>621</v>
      </c>
      <c r="R245">
        <f t="shared" si="7"/>
        <v>1</v>
      </c>
    </row>
    <row r="246" spans="1:18">
      <c r="A246" t="s">
        <v>603</v>
      </c>
      <c r="B246" t="s">
        <v>280</v>
      </c>
      <c r="C246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7">
        <v>0</v>
      </c>
      <c r="N246">
        <f t="shared" si="6"/>
        <v>0</v>
      </c>
      <c r="O246">
        <v>0</v>
      </c>
      <c r="Q246" t="s">
        <v>801</v>
      </c>
      <c r="R246">
        <f t="shared" si="7"/>
        <v>0</v>
      </c>
    </row>
    <row r="247" spans="1:18">
      <c r="A247" t="s">
        <v>603</v>
      </c>
      <c r="B247" t="s">
        <v>539</v>
      </c>
      <c r="C247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7">
        <v>0</v>
      </c>
      <c r="N247">
        <f t="shared" si="6"/>
        <v>0</v>
      </c>
      <c r="O247">
        <v>0</v>
      </c>
      <c r="Q247" t="s">
        <v>801</v>
      </c>
      <c r="R247">
        <f t="shared" si="7"/>
        <v>0</v>
      </c>
    </row>
    <row r="248" spans="1:18">
      <c r="A248" t="s">
        <v>595</v>
      </c>
      <c r="B248" t="s">
        <v>421</v>
      </c>
      <c r="C248" t="s">
        <v>616</v>
      </c>
      <c r="D248" s="2">
        <v>62</v>
      </c>
      <c r="E248" s="587">
        <v>79</v>
      </c>
      <c r="F248" s="587">
        <v>79</v>
      </c>
      <c r="G248" s="587">
        <v>85</v>
      </c>
      <c r="H248" s="587">
        <v>86</v>
      </c>
      <c r="I248" s="587">
        <v>83</v>
      </c>
      <c r="J248" s="587">
        <v>84</v>
      </c>
      <c r="K248" s="587">
        <v>0</v>
      </c>
      <c r="L248" s="587">
        <v>0</v>
      </c>
      <c r="M248" s="587">
        <v>0</v>
      </c>
      <c r="N248">
        <f t="shared" si="6"/>
        <v>82.67</v>
      </c>
      <c r="O248">
        <v>75726.789999999994</v>
      </c>
      <c r="Q248" t="s">
        <v>621</v>
      </c>
      <c r="R248">
        <f t="shared" si="7"/>
        <v>1</v>
      </c>
    </row>
    <row r="249" spans="1:18">
      <c r="A249" t="s">
        <v>596</v>
      </c>
      <c r="B249" t="s">
        <v>108</v>
      </c>
      <c r="C249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7">
        <v>0</v>
      </c>
      <c r="N249">
        <f t="shared" si="6"/>
        <v>0</v>
      </c>
      <c r="O249">
        <v>0</v>
      </c>
      <c r="Q249" t="s">
        <v>801</v>
      </c>
      <c r="R249">
        <f t="shared" si="7"/>
        <v>0</v>
      </c>
    </row>
    <row r="250" spans="1:18">
      <c r="A250" t="s">
        <v>596</v>
      </c>
      <c r="B250" t="s">
        <v>68</v>
      </c>
      <c r="C250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7">
        <v>0</v>
      </c>
      <c r="N250">
        <f t="shared" si="6"/>
        <v>0</v>
      </c>
      <c r="O250">
        <v>0</v>
      </c>
      <c r="Q250" t="s">
        <v>801</v>
      </c>
      <c r="R250">
        <f t="shared" si="7"/>
        <v>0</v>
      </c>
    </row>
    <row r="251" spans="1:18">
      <c r="A251" t="s">
        <v>601</v>
      </c>
      <c r="B251" t="s">
        <v>27</v>
      </c>
      <c r="C251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7">
        <v>0</v>
      </c>
      <c r="N251">
        <f t="shared" si="6"/>
        <v>0</v>
      </c>
      <c r="O251">
        <v>0</v>
      </c>
      <c r="Q251" t="s">
        <v>801</v>
      </c>
      <c r="R251">
        <f t="shared" si="7"/>
        <v>0</v>
      </c>
    </row>
    <row r="252" spans="1:18">
      <c r="A252" t="s">
        <v>597</v>
      </c>
      <c r="B252" t="s">
        <v>342</v>
      </c>
      <c r="C252" t="s">
        <v>617</v>
      </c>
      <c r="D252" s="2">
        <v>27</v>
      </c>
      <c r="E252" s="587">
        <v>48</v>
      </c>
      <c r="F252" s="587">
        <v>59</v>
      </c>
      <c r="G252" s="587">
        <v>62</v>
      </c>
      <c r="H252" s="587">
        <v>62</v>
      </c>
      <c r="I252" s="587">
        <v>66</v>
      </c>
      <c r="J252" s="587">
        <v>66</v>
      </c>
      <c r="K252" s="587">
        <v>0</v>
      </c>
      <c r="L252" s="587">
        <v>0</v>
      </c>
      <c r="M252" s="587">
        <v>0</v>
      </c>
      <c r="N252">
        <f t="shared" si="6"/>
        <v>60.5</v>
      </c>
      <c r="O252">
        <v>51783.62</v>
      </c>
      <c r="Q252" t="s">
        <v>621</v>
      </c>
      <c r="R252">
        <f t="shared" si="7"/>
        <v>1</v>
      </c>
    </row>
    <row r="253" spans="1:18">
      <c r="A253" t="s">
        <v>603</v>
      </c>
      <c r="B253" t="s">
        <v>531</v>
      </c>
      <c r="C253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7">
        <v>0</v>
      </c>
      <c r="N253">
        <f t="shared" si="6"/>
        <v>0</v>
      </c>
      <c r="O253">
        <v>0</v>
      </c>
      <c r="Q253" t="s">
        <v>801</v>
      </c>
      <c r="R253">
        <f t="shared" si="7"/>
        <v>0</v>
      </c>
    </row>
    <row r="254" spans="1:18">
      <c r="A254" t="s">
        <v>599</v>
      </c>
      <c r="B254" t="s">
        <v>393</v>
      </c>
      <c r="C254" t="s">
        <v>394</v>
      </c>
      <c r="D254" s="2">
        <v>20</v>
      </c>
      <c r="E254" s="587">
        <v>25</v>
      </c>
      <c r="F254" s="587">
        <v>26</v>
      </c>
      <c r="G254" s="587">
        <v>28</v>
      </c>
      <c r="H254" s="587">
        <v>27</v>
      </c>
      <c r="I254" s="587">
        <v>27</v>
      </c>
      <c r="J254" s="587">
        <v>27</v>
      </c>
      <c r="K254" s="587">
        <v>0</v>
      </c>
      <c r="L254" s="587">
        <v>0</v>
      </c>
      <c r="M254" s="587">
        <v>0</v>
      </c>
      <c r="N254">
        <f t="shared" si="6"/>
        <v>26.67</v>
      </c>
      <c r="O254">
        <v>24544.05</v>
      </c>
      <c r="Q254" t="s">
        <v>621</v>
      </c>
      <c r="R254">
        <f t="shared" si="7"/>
        <v>1</v>
      </c>
    </row>
    <row r="255" spans="1:18">
      <c r="A255" t="s">
        <v>595</v>
      </c>
      <c r="B255" t="s">
        <v>415</v>
      </c>
      <c r="C255" t="s">
        <v>416</v>
      </c>
      <c r="D255" s="2">
        <v>122</v>
      </c>
      <c r="E255" s="587">
        <v>120</v>
      </c>
      <c r="F255" s="587">
        <v>121</v>
      </c>
      <c r="G255" s="587">
        <v>122</v>
      </c>
      <c r="H255" s="587">
        <v>123</v>
      </c>
      <c r="I255" s="587">
        <v>122</v>
      </c>
      <c r="J255" s="587">
        <v>122</v>
      </c>
      <c r="K255" s="587">
        <v>0</v>
      </c>
      <c r="L255" s="587">
        <v>0</v>
      </c>
      <c r="M255" s="587">
        <v>0</v>
      </c>
      <c r="N255">
        <f t="shared" si="6"/>
        <v>121.67</v>
      </c>
      <c r="O255">
        <v>107481.21</v>
      </c>
      <c r="Q255" t="s">
        <v>621</v>
      </c>
      <c r="R255">
        <f t="shared" si="7"/>
        <v>1</v>
      </c>
    </row>
    <row r="256" spans="1:18">
      <c r="A256" t="s">
        <v>603</v>
      </c>
      <c r="B256" t="s">
        <v>460</v>
      </c>
      <c r="C256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7">
        <v>0</v>
      </c>
      <c r="N256">
        <f t="shared" si="6"/>
        <v>0</v>
      </c>
      <c r="O256">
        <v>0</v>
      </c>
      <c r="Q256" t="s">
        <v>801</v>
      </c>
      <c r="R256">
        <f t="shared" si="7"/>
        <v>0</v>
      </c>
    </row>
    <row r="257" spans="1:18">
      <c r="A257" t="s">
        <v>597</v>
      </c>
      <c r="B257" t="s">
        <v>351</v>
      </c>
      <c r="C257" t="s">
        <v>352</v>
      </c>
      <c r="D257" s="2">
        <v>227</v>
      </c>
      <c r="E257" s="587">
        <v>252</v>
      </c>
      <c r="F257" s="587">
        <v>276</v>
      </c>
      <c r="G257" s="587">
        <v>274</v>
      </c>
      <c r="H257" s="587">
        <v>273</v>
      </c>
      <c r="I257" s="587">
        <v>279</v>
      </c>
      <c r="J257" s="587">
        <v>280</v>
      </c>
      <c r="K257" s="587">
        <v>0</v>
      </c>
      <c r="L257" s="587">
        <v>0</v>
      </c>
      <c r="M257" s="587">
        <v>0</v>
      </c>
      <c r="N257">
        <f t="shared" si="6"/>
        <v>272.33</v>
      </c>
      <c r="O257">
        <v>240972.97</v>
      </c>
      <c r="Q257" t="s">
        <v>621</v>
      </c>
      <c r="R257">
        <f t="shared" si="7"/>
        <v>1</v>
      </c>
    </row>
    <row r="258" spans="1:18">
      <c r="A258" t="s">
        <v>605</v>
      </c>
      <c r="B258" t="s">
        <v>557</v>
      </c>
      <c r="C258" t="s">
        <v>558</v>
      </c>
      <c r="D258" s="2">
        <v>2053</v>
      </c>
      <c r="E258" s="587">
        <v>2083</v>
      </c>
      <c r="F258" s="587">
        <v>2093</v>
      </c>
      <c r="G258" s="587">
        <v>2086</v>
      </c>
      <c r="H258" s="587">
        <v>2091</v>
      </c>
      <c r="I258" s="587">
        <v>2091</v>
      </c>
      <c r="J258" s="587">
        <v>2101</v>
      </c>
      <c r="K258" s="587">
        <v>0</v>
      </c>
      <c r="L258" s="587">
        <v>0</v>
      </c>
      <c r="M258" s="587">
        <v>0</v>
      </c>
      <c r="N258">
        <f t="shared" si="6"/>
        <v>2090.83</v>
      </c>
      <c r="O258">
        <v>1732365.55</v>
      </c>
      <c r="Q258" t="s">
        <v>621</v>
      </c>
      <c r="R258">
        <f t="shared" si="7"/>
        <v>1</v>
      </c>
    </row>
    <row r="259" spans="1:18">
      <c r="A259" t="s">
        <v>597</v>
      </c>
      <c r="B259" t="s">
        <v>345</v>
      </c>
      <c r="C259" t="s">
        <v>346</v>
      </c>
      <c r="D259" s="2">
        <v>2263</v>
      </c>
      <c r="E259" s="587">
        <v>2368</v>
      </c>
      <c r="F259" s="587">
        <v>2356</v>
      </c>
      <c r="G259" s="587">
        <v>2369</v>
      </c>
      <c r="H259" s="587">
        <v>2388</v>
      </c>
      <c r="I259" s="587">
        <v>2373</v>
      </c>
      <c r="J259" s="587">
        <v>2384</v>
      </c>
      <c r="K259" s="587">
        <v>0</v>
      </c>
      <c r="L259" s="587">
        <v>0</v>
      </c>
      <c r="M259" s="587">
        <v>0</v>
      </c>
      <c r="N259">
        <f t="shared" si="6"/>
        <v>2373</v>
      </c>
      <c r="O259">
        <v>2076059.23</v>
      </c>
      <c r="Q259" t="s">
        <v>621</v>
      </c>
      <c r="R259">
        <f t="shared" si="7"/>
        <v>1</v>
      </c>
    </row>
    <row r="260" spans="1:18">
      <c r="A260" t="s">
        <v>594</v>
      </c>
      <c r="B260" t="s">
        <v>143</v>
      </c>
      <c r="C260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7">
        <v>0</v>
      </c>
      <c r="N260">
        <f t="shared" si="6"/>
        <v>0</v>
      </c>
      <c r="O260">
        <v>0</v>
      </c>
      <c r="Q260" t="s">
        <v>801</v>
      </c>
      <c r="R260">
        <f t="shared" si="7"/>
        <v>0</v>
      </c>
    </row>
    <row r="261" spans="1:18">
      <c r="A261" t="s">
        <v>597</v>
      </c>
      <c r="B261" t="s">
        <v>197</v>
      </c>
      <c r="C261" t="s">
        <v>198</v>
      </c>
      <c r="D261" s="2">
        <v>95</v>
      </c>
      <c r="E261" s="587">
        <v>133</v>
      </c>
      <c r="F261" s="587">
        <v>131</v>
      </c>
      <c r="G261" s="587">
        <v>135</v>
      </c>
      <c r="H261" s="587">
        <v>135</v>
      </c>
      <c r="I261" s="587">
        <v>135</v>
      </c>
      <c r="J261" s="587">
        <v>135</v>
      </c>
      <c r="K261" s="587">
        <v>0</v>
      </c>
      <c r="L261" s="587">
        <v>0</v>
      </c>
      <c r="M261" s="587">
        <v>0</v>
      </c>
      <c r="N261">
        <f t="shared" si="6"/>
        <v>134</v>
      </c>
      <c r="O261">
        <v>120361.44</v>
      </c>
      <c r="Q261" t="s">
        <v>621</v>
      </c>
      <c r="R261">
        <f t="shared" si="7"/>
        <v>1</v>
      </c>
    </row>
    <row r="262" spans="1:18">
      <c r="A262" t="s">
        <v>603</v>
      </c>
      <c r="B262" t="s">
        <v>521</v>
      </c>
      <c r="C26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7">
        <v>0</v>
      </c>
      <c r="N262">
        <f t="shared" si="6"/>
        <v>0</v>
      </c>
      <c r="O262">
        <v>0</v>
      </c>
      <c r="Q262" t="s">
        <v>801</v>
      </c>
      <c r="R262">
        <f t="shared" si="7"/>
        <v>0</v>
      </c>
    </row>
    <row r="263" spans="1:18">
      <c r="A263" t="s">
        <v>594</v>
      </c>
      <c r="B263" t="s">
        <v>486</v>
      </c>
      <c r="C263" t="s">
        <v>487</v>
      </c>
      <c r="D263" s="2">
        <v>11</v>
      </c>
      <c r="E263" s="587">
        <v>11</v>
      </c>
      <c r="F263" s="587">
        <v>12</v>
      </c>
      <c r="G263" s="587">
        <v>11</v>
      </c>
      <c r="H263" s="587">
        <v>10</v>
      </c>
      <c r="I263" s="587">
        <v>9</v>
      </c>
      <c r="J263" s="587">
        <v>10</v>
      </c>
      <c r="K263" s="587">
        <v>0</v>
      </c>
      <c r="L263" s="587">
        <v>0</v>
      </c>
      <c r="M263" s="587">
        <v>0</v>
      </c>
      <c r="N263">
        <f t="shared" si="6"/>
        <v>10.5</v>
      </c>
      <c r="O263">
        <v>9190.3799999999992</v>
      </c>
      <c r="Q263" t="s">
        <v>621</v>
      </c>
      <c r="R263">
        <f t="shared" si="7"/>
        <v>1</v>
      </c>
    </row>
    <row r="264" spans="1:18">
      <c r="A264" t="s">
        <v>605</v>
      </c>
      <c r="B264" t="s">
        <v>224</v>
      </c>
      <c r="C264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7">
        <v>0</v>
      </c>
      <c r="N264">
        <f t="shared" si="6"/>
        <v>0</v>
      </c>
      <c r="O264">
        <v>0</v>
      </c>
      <c r="Q264" t="s">
        <v>801</v>
      </c>
      <c r="R264">
        <f t="shared" si="7"/>
        <v>0</v>
      </c>
    </row>
    <row r="265" spans="1:18">
      <c r="A265" t="s">
        <v>594</v>
      </c>
      <c r="B265" t="s">
        <v>268</v>
      </c>
      <c r="C265" t="s">
        <v>269</v>
      </c>
      <c r="D265" s="2">
        <v>23</v>
      </c>
      <c r="E265" s="587">
        <v>22</v>
      </c>
      <c r="F265" s="587">
        <v>22</v>
      </c>
      <c r="G265" s="587">
        <v>23</v>
      </c>
      <c r="H265" s="587">
        <v>23</v>
      </c>
      <c r="I265" s="587">
        <v>23</v>
      </c>
      <c r="J265" s="587">
        <v>23</v>
      </c>
      <c r="K265" s="587">
        <v>0</v>
      </c>
      <c r="L265" s="587">
        <v>0</v>
      </c>
      <c r="M265" s="587">
        <v>0</v>
      </c>
      <c r="N265">
        <f t="shared" ref="N265:N303" si="8">ROUND(SUM(E265:M265)/6,2)</f>
        <v>22.67</v>
      </c>
      <c r="O265">
        <v>21209.73</v>
      </c>
      <c r="Q265" t="s">
        <v>621</v>
      </c>
      <c r="R265">
        <f t="shared" ref="R265:R303" si="9">IF(N265&gt;0,1,0)</f>
        <v>1</v>
      </c>
    </row>
    <row r="266" spans="1:18">
      <c r="A266" t="s">
        <v>601</v>
      </c>
      <c r="B266" t="s">
        <v>321</v>
      </c>
      <c r="C266" t="s">
        <v>322</v>
      </c>
      <c r="D266" s="2">
        <v>169</v>
      </c>
      <c r="E266" s="587">
        <v>173</v>
      </c>
      <c r="F266" s="587">
        <v>170</v>
      </c>
      <c r="G266" s="587">
        <v>164</v>
      </c>
      <c r="H266" s="587">
        <v>165</v>
      </c>
      <c r="I266" s="587">
        <v>162</v>
      </c>
      <c r="J266" s="587">
        <v>161</v>
      </c>
      <c r="K266" s="587">
        <v>0</v>
      </c>
      <c r="L266" s="587">
        <v>0</v>
      </c>
      <c r="M266" s="587">
        <v>0</v>
      </c>
      <c r="N266">
        <f t="shared" si="8"/>
        <v>165.83</v>
      </c>
      <c r="O266">
        <v>144772.99</v>
      </c>
      <c r="Q266" t="s">
        <v>621</v>
      </c>
      <c r="R266">
        <f t="shared" si="9"/>
        <v>1</v>
      </c>
    </row>
    <row r="267" spans="1:18">
      <c r="A267" t="s">
        <v>605</v>
      </c>
      <c r="B267" t="s">
        <v>559</v>
      </c>
      <c r="C267" t="s">
        <v>560</v>
      </c>
      <c r="D267" s="2">
        <v>1065</v>
      </c>
      <c r="E267" s="587">
        <v>1082</v>
      </c>
      <c r="F267" s="587">
        <v>1078</v>
      </c>
      <c r="G267" s="587">
        <v>1064</v>
      </c>
      <c r="H267" s="587">
        <v>1059</v>
      </c>
      <c r="I267" s="587">
        <v>1065</v>
      </c>
      <c r="J267" s="587">
        <v>1071</v>
      </c>
      <c r="K267" s="587">
        <v>0</v>
      </c>
      <c r="L267" s="587">
        <v>0</v>
      </c>
      <c r="M267" s="587">
        <v>0</v>
      </c>
      <c r="N267">
        <f t="shared" si="8"/>
        <v>1069.83</v>
      </c>
      <c r="O267">
        <v>892825.83</v>
      </c>
      <c r="Q267" t="s">
        <v>621</v>
      </c>
      <c r="R267">
        <f t="shared" si="9"/>
        <v>1</v>
      </c>
    </row>
    <row r="268" spans="1:18">
      <c r="A268" t="s">
        <v>596</v>
      </c>
      <c r="B268" t="s">
        <v>496</v>
      </c>
      <c r="C268" t="s">
        <v>497</v>
      </c>
      <c r="D268" s="2">
        <v>22</v>
      </c>
      <c r="E268" s="587">
        <v>22</v>
      </c>
      <c r="F268" s="587">
        <v>22</v>
      </c>
      <c r="G268" s="587">
        <v>22</v>
      </c>
      <c r="H268" s="587">
        <v>21</v>
      </c>
      <c r="I268" s="587">
        <v>20</v>
      </c>
      <c r="J268" s="587">
        <v>21</v>
      </c>
      <c r="K268" s="587">
        <v>0</v>
      </c>
      <c r="L268" s="587">
        <v>0</v>
      </c>
      <c r="M268" s="587">
        <v>0</v>
      </c>
      <c r="N268">
        <f t="shared" si="8"/>
        <v>21.33</v>
      </c>
      <c r="O268">
        <v>20003.38</v>
      </c>
      <c r="Q268" t="s">
        <v>621</v>
      </c>
      <c r="R268">
        <f t="shared" si="9"/>
        <v>1</v>
      </c>
    </row>
    <row r="269" spans="1:18">
      <c r="A269" t="s">
        <v>599</v>
      </c>
      <c r="B269" t="s">
        <v>72</v>
      </c>
      <c r="C269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7">
        <v>0</v>
      </c>
      <c r="N269">
        <f t="shared" si="8"/>
        <v>0</v>
      </c>
      <c r="O269">
        <v>0</v>
      </c>
      <c r="Q269" t="s">
        <v>801</v>
      </c>
      <c r="R269">
        <f t="shared" si="9"/>
        <v>0</v>
      </c>
    </row>
    <row r="270" spans="1:18">
      <c r="A270" t="s">
        <v>599</v>
      </c>
      <c r="B270" t="s">
        <v>238</v>
      </c>
      <c r="C270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7">
        <v>0</v>
      </c>
      <c r="N270">
        <f t="shared" si="8"/>
        <v>0</v>
      </c>
      <c r="O270">
        <v>0</v>
      </c>
      <c r="Q270" t="s">
        <v>801</v>
      </c>
      <c r="R270">
        <f t="shared" si="9"/>
        <v>0</v>
      </c>
    </row>
    <row r="271" spans="1:18">
      <c r="A271" t="s">
        <v>597</v>
      </c>
      <c r="B271" t="s">
        <v>191</v>
      </c>
      <c r="C271" t="s">
        <v>192</v>
      </c>
      <c r="D271" s="2">
        <v>847</v>
      </c>
      <c r="E271" s="587">
        <v>1067</v>
      </c>
      <c r="F271" s="587">
        <v>1102</v>
      </c>
      <c r="G271" s="587">
        <v>1103</v>
      </c>
      <c r="H271" s="587">
        <v>1112</v>
      </c>
      <c r="I271" s="587">
        <v>1119</v>
      </c>
      <c r="J271" s="587">
        <v>1119</v>
      </c>
      <c r="K271" s="587">
        <v>0</v>
      </c>
      <c r="L271" s="587">
        <v>0</v>
      </c>
      <c r="M271" s="587">
        <v>0</v>
      </c>
      <c r="N271">
        <f t="shared" si="8"/>
        <v>1103.67</v>
      </c>
      <c r="O271">
        <v>909726.95</v>
      </c>
      <c r="Q271" t="s">
        <v>621</v>
      </c>
      <c r="R271">
        <f t="shared" si="9"/>
        <v>1</v>
      </c>
    </row>
    <row r="272" spans="1:18">
      <c r="A272" t="s">
        <v>594</v>
      </c>
      <c r="B272" t="s">
        <v>476</v>
      </c>
      <c r="C272" t="s">
        <v>477</v>
      </c>
      <c r="D272" s="2">
        <v>78</v>
      </c>
      <c r="E272" s="587">
        <v>90</v>
      </c>
      <c r="F272" s="587">
        <v>91</v>
      </c>
      <c r="G272" s="587">
        <v>91</v>
      </c>
      <c r="H272" s="587">
        <v>91</v>
      </c>
      <c r="I272" s="587">
        <v>88</v>
      </c>
      <c r="J272" s="587">
        <v>89</v>
      </c>
      <c r="K272" s="587">
        <v>0</v>
      </c>
      <c r="L272" s="587">
        <v>0</v>
      </c>
      <c r="M272" s="587">
        <v>0</v>
      </c>
      <c r="N272">
        <f t="shared" si="8"/>
        <v>90</v>
      </c>
      <c r="O272">
        <v>80786.55</v>
      </c>
      <c r="Q272" t="s">
        <v>621</v>
      </c>
      <c r="R272">
        <f t="shared" si="9"/>
        <v>1</v>
      </c>
    </row>
    <row r="273" spans="1:18">
      <c r="A273" t="s">
        <v>605</v>
      </c>
      <c r="B273" t="s">
        <v>543</v>
      </c>
      <c r="C273" t="s">
        <v>544</v>
      </c>
      <c r="D273" s="2">
        <v>155</v>
      </c>
      <c r="E273" s="587">
        <v>162</v>
      </c>
      <c r="F273" s="587">
        <v>162</v>
      </c>
      <c r="G273" s="587">
        <v>164</v>
      </c>
      <c r="H273" s="587">
        <v>161</v>
      </c>
      <c r="I273" s="587">
        <v>162</v>
      </c>
      <c r="J273" s="587">
        <v>163</v>
      </c>
      <c r="K273" s="587">
        <v>0</v>
      </c>
      <c r="L273" s="587">
        <v>0</v>
      </c>
      <c r="M273" s="587">
        <v>0</v>
      </c>
      <c r="N273">
        <f t="shared" si="8"/>
        <v>162.33000000000001</v>
      </c>
      <c r="O273">
        <v>136714.28</v>
      </c>
      <c r="Q273" t="s">
        <v>621</v>
      </c>
      <c r="R273">
        <f t="shared" si="9"/>
        <v>1</v>
      </c>
    </row>
    <row r="274" spans="1:18">
      <c r="A274" t="s">
        <v>597</v>
      </c>
      <c r="B274" t="s">
        <v>349</v>
      </c>
      <c r="C274" t="s">
        <v>350</v>
      </c>
      <c r="D274" s="2">
        <v>117</v>
      </c>
      <c r="E274" s="587">
        <v>141</v>
      </c>
      <c r="F274" s="587">
        <v>148</v>
      </c>
      <c r="G274" s="587">
        <v>147</v>
      </c>
      <c r="H274" s="587">
        <v>150</v>
      </c>
      <c r="I274" s="587">
        <v>148</v>
      </c>
      <c r="J274" s="587">
        <v>150</v>
      </c>
      <c r="K274" s="587">
        <v>0</v>
      </c>
      <c r="L274" s="587">
        <v>0</v>
      </c>
      <c r="M274" s="587">
        <v>0</v>
      </c>
      <c r="N274">
        <f t="shared" si="8"/>
        <v>147.33000000000001</v>
      </c>
      <c r="O274">
        <v>130874.55</v>
      </c>
      <c r="Q274" t="s">
        <v>621</v>
      </c>
      <c r="R274">
        <f t="shared" si="9"/>
        <v>1</v>
      </c>
    </row>
    <row r="275" spans="1:18">
      <c r="A275" t="s">
        <v>603</v>
      </c>
      <c r="B275" t="s">
        <v>454</v>
      </c>
      <c r="C275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7">
        <v>0</v>
      </c>
      <c r="N275">
        <f t="shared" si="8"/>
        <v>0</v>
      </c>
      <c r="O275">
        <v>0</v>
      </c>
      <c r="Q275" t="s">
        <v>801</v>
      </c>
      <c r="R275">
        <f t="shared" si="9"/>
        <v>0</v>
      </c>
    </row>
    <row r="276" spans="1:18">
      <c r="A276" t="s">
        <v>599</v>
      </c>
      <c r="B276" t="s">
        <v>49</v>
      </c>
      <c r="C276" t="s">
        <v>50</v>
      </c>
      <c r="D276" s="2">
        <v>2222</v>
      </c>
      <c r="E276" s="587">
        <v>2321</v>
      </c>
      <c r="F276" s="587">
        <v>2369</v>
      </c>
      <c r="G276" s="587">
        <v>2377</v>
      </c>
      <c r="H276" s="587">
        <v>2384</v>
      </c>
      <c r="I276" s="587">
        <v>2410</v>
      </c>
      <c r="J276" s="587">
        <v>2414</v>
      </c>
      <c r="K276" s="587">
        <v>0</v>
      </c>
      <c r="L276" s="587">
        <v>0</v>
      </c>
      <c r="M276" s="587">
        <v>0</v>
      </c>
      <c r="N276">
        <f t="shared" si="8"/>
        <v>2379.17</v>
      </c>
      <c r="O276">
        <v>2068603.46</v>
      </c>
      <c r="Q276" t="s">
        <v>621</v>
      </c>
      <c r="R276">
        <f t="shared" si="9"/>
        <v>1</v>
      </c>
    </row>
    <row r="277" spans="1:18">
      <c r="A277" t="s">
        <v>597</v>
      </c>
      <c r="B277" t="s">
        <v>183</v>
      </c>
      <c r="C277" t="s">
        <v>184</v>
      </c>
      <c r="D277" s="2">
        <v>27</v>
      </c>
      <c r="E277" s="587">
        <v>37</v>
      </c>
      <c r="F277" s="587">
        <v>36</v>
      </c>
      <c r="G277" s="587">
        <v>36</v>
      </c>
      <c r="H277" s="587">
        <v>35</v>
      </c>
      <c r="I277" s="587">
        <v>35</v>
      </c>
      <c r="J277" s="587">
        <v>36</v>
      </c>
      <c r="K277" s="587">
        <v>0</v>
      </c>
      <c r="L277" s="587">
        <v>0</v>
      </c>
      <c r="M277" s="587">
        <v>0</v>
      </c>
      <c r="N277">
        <f t="shared" si="8"/>
        <v>35.83</v>
      </c>
      <c r="O277">
        <v>31276.400000000001</v>
      </c>
      <c r="Q277" t="s">
        <v>621</v>
      </c>
      <c r="R277">
        <f t="shared" si="9"/>
        <v>1</v>
      </c>
    </row>
    <row r="278" spans="1:18">
      <c r="A278" t="s">
        <v>599</v>
      </c>
      <c r="B278" t="s">
        <v>488</v>
      </c>
      <c r="C278" t="s">
        <v>489</v>
      </c>
      <c r="D278" s="2">
        <v>15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0</v>
      </c>
      <c r="L278" s="587">
        <v>0</v>
      </c>
      <c r="M278" s="587">
        <v>0</v>
      </c>
      <c r="N278">
        <f t="shared" si="8"/>
        <v>15</v>
      </c>
      <c r="O278">
        <v>13490.91</v>
      </c>
      <c r="Q278" t="s">
        <v>621</v>
      </c>
      <c r="R278">
        <f t="shared" si="9"/>
        <v>1</v>
      </c>
    </row>
    <row r="279" spans="1:18">
      <c r="A279" t="s">
        <v>605</v>
      </c>
      <c r="B279" t="s">
        <v>114</v>
      </c>
      <c r="C279" t="s">
        <v>115</v>
      </c>
      <c r="D279" s="2">
        <v>1304</v>
      </c>
      <c r="E279" s="587">
        <v>1266</v>
      </c>
      <c r="F279" s="587">
        <v>1234</v>
      </c>
      <c r="G279" s="587">
        <v>1209</v>
      </c>
      <c r="H279" s="587">
        <v>1204</v>
      </c>
      <c r="I279" s="587">
        <v>1201</v>
      </c>
      <c r="J279" s="587">
        <v>1196</v>
      </c>
      <c r="K279" s="587">
        <v>0</v>
      </c>
      <c r="L279" s="587">
        <v>0</v>
      </c>
      <c r="M279" s="587">
        <v>0</v>
      </c>
      <c r="N279">
        <f t="shared" si="8"/>
        <v>1218.33</v>
      </c>
      <c r="O279">
        <v>962515.93</v>
      </c>
      <c r="Q279" t="s">
        <v>621</v>
      </c>
      <c r="R279">
        <f t="shared" si="9"/>
        <v>1</v>
      </c>
    </row>
    <row r="280" spans="1:18">
      <c r="A280" t="s">
        <v>596</v>
      </c>
      <c r="B280" t="s">
        <v>500</v>
      </c>
      <c r="C280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7">
        <v>0</v>
      </c>
      <c r="N280">
        <f t="shared" si="8"/>
        <v>0</v>
      </c>
      <c r="O280">
        <v>0</v>
      </c>
      <c r="Q280" t="s">
        <v>801</v>
      </c>
      <c r="R280">
        <f t="shared" si="9"/>
        <v>0</v>
      </c>
    </row>
    <row r="281" spans="1:18">
      <c r="A281" t="s">
        <v>596</v>
      </c>
      <c r="B281" t="s">
        <v>492</v>
      </c>
      <c r="C281" t="s">
        <v>493</v>
      </c>
      <c r="D281" s="2">
        <v>645</v>
      </c>
      <c r="E281" s="587">
        <v>788</v>
      </c>
      <c r="F281" s="587">
        <v>792</v>
      </c>
      <c r="G281" s="587">
        <v>785</v>
      </c>
      <c r="H281" s="587">
        <v>780</v>
      </c>
      <c r="I281" s="587">
        <v>779</v>
      </c>
      <c r="J281" s="587">
        <v>783</v>
      </c>
      <c r="K281" s="587">
        <v>0</v>
      </c>
      <c r="L281" s="587">
        <v>0</v>
      </c>
      <c r="M281" s="587">
        <v>0</v>
      </c>
      <c r="N281">
        <f t="shared" si="8"/>
        <v>784.5</v>
      </c>
      <c r="O281">
        <v>705963.76</v>
      </c>
      <c r="Q281" t="s">
        <v>621</v>
      </c>
      <c r="R281">
        <f t="shared" si="9"/>
        <v>1</v>
      </c>
    </row>
    <row r="282" spans="1:18">
      <c r="A282" t="s">
        <v>605</v>
      </c>
      <c r="B282" t="s">
        <v>567</v>
      </c>
      <c r="C282" t="s">
        <v>568</v>
      </c>
      <c r="D282" s="2">
        <v>728</v>
      </c>
      <c r="E282" s="587">
        <v>837</v>
      </c>
      <c r="F282" s="587">
        <v>871</v>
      </c>
      <c r="G282" s="587">
        <v>863</v>
      </c>
      <c r="H282" s="587">
        <v>852</v>
      </c>
      <c r="I282" s="587">
        <v>853</v>
      </c>
      <c r="J282" s="587">
        <v>853</v>
      </c>
      <c r="K282" s="587">
        <v>0</v>
      </c>
      <c r="L282" s="587">
        <v>0</v>
      </c>
      <c r="M282" s="587">
        <v>0</v>
      </c>
      <c r="N282">
        <f t="shared" si="8"/>
        <v>854.83</v>
      </c>
      <c r="O282">
        <v>705728.37</v>
      </c>
      <c r="Q282" t="s">
        <v>621</v>
      </c>
      <c r="R282">
        <f t="shared" si="9"/>
        <v>1</v>
      </c>
    </row>
    <row r="283" spans="1:18">
      <c r="A283" t="s">
        <v>601</v>
      </c>
      <c r="B283" t="s">
        <v>118</v>
      </c>
      <c r="C283" t="s">
        <v>119</v>
      </c>
      <c r="D283" s="2">
        <v>346</v>
      </c>
      <c r="E283" s="587">
        <v>356</v>
      </c>
      <c r="F283" s="587">
        <v>362</v>
      </c>
      <c r="G283" s="587">
        <v>343</v>
      </c>
      <c r="H283" s="587">
        <v>336</v>
      </c>
      <c r="I283" s="587">
        <v>346</v>
      </c>
      <c r="J283" s="587">
        <v>346</v>
      </c>
      <c r="K283" s="587">
        <v>0</v>
      </c>
      <c r="L283" s="587">
        <v>0</v>
      </c>
      <c r="M283" s="587">
        <v>0</v>
      </c>
      <c r="N283">
        <f t="shared" si="8"/>
        <v>348.17</v>
      </c>
      <c r="O283">
        <v>289409.05</v>
      </c>
      <c r="Q283" t="s">
        <v>621</v>
      </c>
      <c r="R283">
        <f t="shared" si="9"/>
        <v>1</v>
      </c>
    </row>
    <row r="284" spans="1:18">
      <c r="A284" t="s">
        <v>599</v>
      </c>
      <c r="B284" t="s">
        <v>56</v>
      </c>
      <c r="C284" t="s">
        <v>57</v>
      </c>
      <c r="D284" s="2">
        <v>48</v>
      </c>
      <c r="E284" s="587">
        <v>64</v>
      </c>
      <c r="F284" s="587">
        <v>67</v>
      </c>
      <c r="G284" s="587">
        <v>63</v>
      </c>
      <c r="H284" s="587">
        <v>61</v>
      </c>
      <c r="I284" s="587">
        <v>63</v>
      </c>
      <c r="J284" s="587">
        <v>63</v>
      </c>
      <c r="K284" s="587">
        <v>0</v>
      </c>
      <c r="L284" s="587">
        <v>0</v>
      </c>
      <c r="M284" s="587">
        <v>0</v>
      </c>
      <c r="N284">
        <f t="shared" si="8"/>
        <v>63.5</v>
      </c>
      <c r="O284">
        <v>55501.87</v>
      </c>
      <c r="Q284" t="s">
        <v>621</v>
      </c>
      <c r="R284">
        <f t="shared" si="9"/>
        <v>1</v>
      </c>
    </row>
    <row r="285" spans="1:18">
      <c r="A285" t="s">
        <v>603</v>
      </c>
      <c r="B285" t="s">
        <v>0</v>
      </c>
      <c r="C285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7">
        <v>0</v>
      </c>
      <c r="N285">
        <f t="shared" si="8"/>
        <v>0</v>
      </c>
      <c r="O285">
        <v>0</v>
      </c>
      <c r="Q285" t="s">
        <v>801</v>
      </c>
      <c r="R285">
        <f t="shared" si="9"/>
        <v>0</v>
      </c>
    </row>
    <row r="286" spans="1:18">
      <c r="A286" t="s">
        <v>601</v>
      </c>
      <c r="B286" t="s">
        <v>92</v>
      </c>
      <c r="C286" t="s">
        <v>93</v>
      </c>
      <c r="D286" s="2">
        <v>7</v>
      </c>
      <c r="E286" s="587">
        <v>6</v>
      </c>
      <c r="F286" s="587">
        <v>5</v>
      </c>
      <c r="G286" s="587">
        <v>5</v>
      </c>
      <c r="H286" s="587">
        <v>5</v>
      </c>
      <c r="I286" s="587">
        <v>5</v>
      </c>
      <c r="J286" s="587">
        <v>5</v>
      </c>
      <c r="K286" s="587">
        <v>0</v>
      </c>
      <c r="L286" s="587">
        <v>0</v>
      </c>
      <c r="M286" s="587">
        <v>0</v>
      </c>
      <c r="N286">
        <f t="shared" si="8"/>
        <v>5.17</v>
      </c>
      <c r="O286">
        <v>4632.93</v>
      </c>
      <c r="Q286" t="s">
        <v>621</v>
      </c>
      <c r="R286">
        <f t="shared" si="9"/>
        <v>1</v>
      </c>
    </row>
    <row r="287" spans="1:18">
      <c r="A287" t="s">
        <v>603</v>
      </c>
      <c r="B287" t="s">
        <v>452</v>
      </c>
      <c r="C287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7">
        <v>0</v>
      </c>
      <c r="N287">
        <f t="shared" si="8"/>
        <v>0</v>
      </c>
      <c r="O287">
        <v>0</v>
      </c>
      <c r="Q287" t="s">
        <v>801</v>
      </c>
      <c r="R287">
        <f t="shared" si="9"/>
        <v>0</v>
      </c>
    </row>
    <row r="288" spans="1:18">
      <c r="A288" t="s">
        <v>601</v>
      </c>
      <c r="B288" t="s">
        <v>37</v>
      </c>
      <c r="C288" t="s">
        <v>38</v>
      </c>
      <c r="D288" s="2">
        <v>1325</v>
      </c>
      <c r="E288" s="587">
        <v>1447</v>
      </c>
      <c r="F288" s="587">
        <v>1528</v>
      </c>
      <c r="G288" s="587">
        <v>1517</v>
      </c>
      <c r="H288" s="587">
        <v>1529</v>
      </c>
      <c r="I288" s="587">
        <v>1534</v>
      </c>
      <c r="J288" s="587">
        <v>1546</v>
      </c>
      <c r="K288" s="587">
        <v>0</v>
      </c>
      <c r="L288" s="587">
        <v>0</v>
      </c>
      <c r="M288" s="587">
        <v>0</v>
      </c>
      <c r="N288">
        <f t="shared" si="8"/>
        <v>1516.83</v>
      </c>
      <c r="O288">
        <v>1337191.52</v>
      </c>
      <c r="Q288" t="s">
        <v>621</v>
      </c>
      <c r="R288">
        <f t="shared" si="9"/>
        <v>1</v>
      </c>
    </row>
    <row r="289" spans="1:18">
      <c r="A289" t="s">
        <v>603</v>
      </c>
      <c r="B289" t="s">
        <v>443</v>
      </c>
      <c r="C289" t="s">
        <v>618</v>
      </c>
      <c r="D289" s="2">
        <v>100</v>
      </c>
      <c r="E289" s="587">
        <v>105</v>
      </c>
      <c r="F289" s="587">
        <v>103</v>
      </c>
      <c r="G289" s="587">
        <v>103</v>
      </c>
      <c r="H289" s="587">
        <v>102</v>
      </c>
      <c r="I289" s="587">
        <v>101</v>
      </c>
      <c r="J289" s="587">
        <v>102</v>
      </c>
      <c r="K289" s="587">
        <v>0</v>
      </c>
      <c r="L289" s="587">
        <v>0</v>
      </c>
      <c r="M289" s="587">
        <v>0</v>
      </c>
      <c r="N289">
        <f t="shared" si="8"/>
        <v>102.67</v>
      </c>
      <c r="O289">
        <v>91015.22</v>
      </c>
      <c r="Q289" t="s">
        <v>621</v>
      </c>
      <c r="R289">
        <f t="shared" si="9"/>
        <v>1</v>
      </c>
    </row>
    <row r="290" spans="1:18">
      <c r="A290" t="s">
        <v>605</v>
      </c>
      <c r="B290" t="s">
        <v>569</v>
      </c>
      <c r="C290" t="s">
        <v>570</v>
      </c>
      <c r="D290" s="2">
        <v>238</v>
      </c>
      <c r="E290" s="587">
        <v>273</v>
      </c>
      <c r="F290" s="587">
        <v>316</v>
      </c>
      <c r="G290" s="587">
        <v>315</v>
      </c>
      <c r="H290" s="587">
        <v>320</v>
      </c>
      <c r="I290" s="587">
        <v>326</v>
      </c>
      <c r="J290" s="587">
        <v>328</v>
      </c>
      <c r="K290" s="587">
        <v>0</v>
      </c>
      <c r="L290" s="587">
        <v>0</v>
      </c>
      <c r="M290" s="587">
        <v>0</v>
      </c>
      <c r="N290">
        <f t="shared" si="8"/>
        <v>313</v>
      </c>
      <c r="O290">
        <v>277749.31</v>
      </c>
      <c r="Q290" t="s">
        <v>621</v>
      </c>
      <c r="R290">
        <f t="shared" si="9"/>
        <v>1</v>
      </c>
    </row>
    <row r="291" spans="1:18">
      <c r="A291" t="s">
        <v>594</v>
      </c>
      <c r="B291" t="s">
        <v>276</v>
      </c>
      <c r="C291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7">
        <v>0</v>
      </c>
      <c r="N291">
        <f t="shared" si="8"/>
        <v>0</v>
      </c>
      <c r="O291">
        <v>0</v>
      </c>
      <c r="Q291" t="s">
        <v>801</v>
      </c>
      <c r="R291">
        <f t="shared" si="9"/>
        <v>0</v>
      </c>
    </row>
    <row r="292" spans="1:18">
      <c r="A292" t="s">
        <v>597</v>
      </c>
      <c r="B292" t="s">
        <v>367</v>
      </c>
      <c r="C292" t="s">
        <v>368</v>
      </c>
      <c r="D292" s="2">
        <v>47</v>
      </c>
      <c r="E292" s="587">
        <v>57</v>
      </c>
      <c r="F292" s="587">
        <v>58</v>
      </c>
      <c r="G292" s="587">
        <v>58</v>
      </c>
      <c r="H292" s="587">
        <v>58</v>
      </c>
      <c r="I292" s="587">
        <v>58</v>
      </c>
      <c r="J292" s="587">
        <v>58</v>
      </c>
      <c r="K292" s="587">
        <v>0</v>
      </c>
      <c r="L292" s="587">
        <v>0</v>
      </c>
      <c r="M292" s="587">
        <v>0</v>
      </c>
      <c r="N292">
        <f t="shared" si="8"/>
        <v>57.83</v>
      </c>
      <c r="O292">
        <v>52862.51</v>
      </c>
      <c r="Q292" t="s">
        <v>621</v>
      </c>
      <c r="R292">
        <f t="shared" si="9"/>
        <v>1</v>
      </c>
    </row>
    <row r="293" spans="1:18">
      <c r="A293" t="s">
        <v>599</v>
      </c>
      <c r="B293" t="s">
        <v>248</v>
      </c>
      <c r="C293" t="s">
        <v>249</v>
      </c>
      <c r="D293" s="2">
        <v>179</v>
      </c>
      <c r="E293" s="587">
        <v>187</v>
      </c>
      <c r="F293" s="587">
        <v>194</v>
      </c>
      <c r="G293" s="587">
        <v>191</v>
      </c>
      <c r="H293" s="587">
        <v>191</v>
      </c>
      <c r="I293" s="587">
        <v>191</v>
      </c>
      <c r="J293" s="587">
        <v>197</v>
      </c>
      <c r="K293" s="587">
        <v>0</v>
      </c>
      <c r="L293" s="587">
        <v>0</v>
      </c>
      <c r="M293" s="587">
        <v>0</v>
      </c>
      <c r="N293">
        <f t="shared" si="8"/>
        <v>191.83</v>
      </c>
      <c r="O293">
        <v>171279.94</v>
      </c>
      <c r="Q293" t="s">
        <v>621</v>
      </c>
      <c r="R293">
        <f t="shared" si="9"/>
        <v>1</v>
      </c>
    </row>
    <row r="294" spans="1:18">
      <c r="A294" t="s">
        <v>603</v>
      </c>
      <c r="B294" t="s">
        <v>289</v>
      </c>
      <c r="C294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7">
        <v>0</v>
      </c>
      <c r="N294">
        <f t="shared" si="8"/>
        <v>0</v>
      </c>
      <c r="O294">
        <v>0</v>
      </c>
      <c r="Q294" t="s">
        <v>801</v>
      </c>
      <c r="R294">
        <f t="shared" si="9"/>
        <v>0</v>
      </c>
    </row>
    <row r="295" spans="1:18">
      <c r="A295" t="s">
        <v>594</v>
      </c>
      <c r="B295" t="s">
        <v>332</v>
      </c>
      <c r="C295" t="s">
        <v>333</v>
      </c>
      <c r="D295" s="2">
        <v>6</v>
      </c>
      <c r="E295" s="587">
        <v>9</v>
      </c>
      <c r="F295" s="587">
        <v>9</v>
      </c>
      <c r="G295" s="587">
        <v>9</v>
      </c>
      <c r="H295" s="587">
        <v>9</v>
      </c>
      <c r="I295" s="587">
        <v>14</v>
      </c>
      <c r="J295" s="587">
        <v>15</v>
      </c>
      <c r="K295" s="587">
        <v>0</v>
      </c>
      <c r="L295" s="587">
        <v>0</v>
      </c>
      <c r="M295" s="587">
        <v>0</v>
      </c>
      <c r="N295">
        <f t="shared" si="8"/>
        <v>10.83</v>
      </c>
      <c r="O295">
        <v>0</v>
      </c>
      <c r="Q295" t="s">
        <v>801</v>
      </c>
      <c r="R295">
        <f t="shared" si="9"/>
        <v>1</v>
      </c>
    </row>
    <row r="296" spans="1:18">
      <c r="A296" t="s">
        <v>601</v>
      </c>
      <c r="B296" t="s">
        <v>129</v>
      </c>
      <c r="C296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7">
        <v>0</v>
      </c>
      <c r="N296">
        <f t="shared" si="8"/>
        <v>0</v>
      </c>
      <c r="O296">
        <v>0</v>
      </c>
      <c r="Q296" t="s">
        <v>801</v>
      </c>
      <c r="R296">
        <f t="shared" si="9"/>
        <v>0</v>
      </c>
    </row>
    <row r="297" spans="1:18">
      <c r="A297" t="s">
        <v>594</v>
      </c>
      <c r="B297" t="s">
        <v>264</v>
      </c>
      <c r="C297" t="s">
        <v>265</v>
      </c>
      <c r="D297" s="2">
        <v>77</v>
      </c>
      <c r="E297" s="587">
        <v>66</v>
      </c>
      <c r="F297" s="587">
        <v>67</v>
      </c>
      <c r="G297" s="587">
        <v>72</v>
      </c>
      <c r="H297" s="587">
        <v>72</v>
      </c>
      <c r="I297" s="587">
        <v>72</v>
      </c>
      <c r="J297" s="587">
        <v>76</v>
      </c>
      <c r="K297" s="587">
        <v>0</v>
      </c>
      <c r="L297" s="587">
        <v>0</v>
      </c>
      <c r="M297" s="587">
        <v>0</v>
      </c>
      <c r="N297">
        <f t="shared" si="8"/>
        <v>70.83</v>
      </c>
      <c r="O297">
        <v>64657.94</v>
      </c>
      <c r="Q297" t="s">
        <v>621</v>
      </c>
      <c r="R297">
        <f t="shared" si="9"/>
        <v>1</v>
      </c>
    </row>
    <row r="298" spans="1:18">
      <c r="A298" t="s">
        <v>594</v>
      </c>
      <c r="B298" t="s">
        <v>151</v>
      </c>
      <c r="C298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7">
        <v>0</v>
      </c>
      <c r="N298">
        <f t="shared" si="8"/>
        <v>0</v>
      </c>
      <c r="O298">
        <v>0</v>
      </c>
      <c r="Q298" t="s">
        <v>801</v>
      </c>
      <c r="R298">
        <f t="shared" si="9"/>
        <v>0</v>
      </c>
    </row>
    <row r="299" spans="1:18">
      <c r="A299" t="s">
        <v>599</v>
      </c>
      <c r="B299" t="s">
        <v>232</v>
      </c>
      <c r="C299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7">
        <v>0</v>
      </c>
      <c r="N299">
        <f t="shared" si="8"/>
        <v>0</v>
      </c>
      <c r="O299">
        <v>0</v>
      </c>
      <c r="Q299" t="s">
        <v>801</v>
      </c>
      <c r="R299">
        <f t="shared" si="9"/>
        <v>0</v>
      </c>
    </row>
    <row r="300" spans="1:18">
      <c r="A300" t="s">
        <v>599</v>
      </c>
      <c r="B300" t="s">
        <v>78</v>
      </c>
      <c r="C300" t="s">
        <v>79</v>
      </c>
      <c r="D300" s="2">
        <v>141</v>
      </c>
      <c r="E300" s="587">
        <v>143</v>
      </c>
      <c r="F300" s="587">
        <v>142</v>
      </c>
      <c r="G300" s="587">
        <v>141</v>
      </c>
      <c r="H300" s="587">
        <v>139</v>
      </c>
      <c r="I300" s="587">
        <v>141</v>
      </c>
      <c r="J300" s="587">
        <v>138</v>
      </c>
      <c r="K300" s="587">
        <v>0</v>
      </c>
      <c r="L300" s="587">
        <v>0</v>
      </c>
      <c r="M300" s="587">
        <v>0</v>
      </c>
      <c r="N300">
        <f t="shared" si="8"/>
        <v>140.66999999999999</v>
      </c>
      <c r="O300">
        <v>122816.36</v>
      </c>
      <c r="Q300" t="s">
        <v>621</v>
      </c>
      <c r="R300">
        <f t="shared" si="9"/>
        <v>1</v>
      </c>
    </row>
    <row r="301" spans="1:18">
      <c r="A301" t="s">
        <v>605</v>
      </c>
      <c r="B301" t="s">
        <v>547</v>
      </c>
      <c r="C301" t="s">
        <v>548</v>
      </c>
      <c r="D301" s="2">
        <v>3423</v>
      </c>
      <c r="E301" s="587">
        <v>4296</v>
      </c>
      <c r="F301" s="587">
        <v>4332</v>
      </c>
      <c r="G301" s="587">
        <v>4407</v>
      </c>
      <c r="H301" s="587">
        <v>4466</v>
      </c>
      <c r="I301" s="587">
        <v>4474</v>
      </c>
      <c r="J301" s="587">
        <v>4570</v>
      </c>
      <c r="K301" s="587">
        <v>0</v>
      </c>
      <c r="L301" s="587">
        <v>0</v>
      </c>
      <c r="M301" s="587">
        <v>0</v>
      </c>
      <c r="N301">
        <f t="shared" si="8"/>
        <v>4424.17</v>
      </c>
      <c r="O301">
        <v>3875334.4</v>
      </c>
      <c r="Q301" t="s">
        <v>621</v>
      </c>
      <c r="R301">
        <f t="shared" si="9"/>
        <v>1</v>
      </c>
    </row>
    <row r="302" spans="1:18">
      <c r="A302" t="s">
        <v>594</v>
      </c>
      <c r="B302" t="s">
        <v>472</v>
      </c>
      <c r="C302" t="s">
        <v>619</v>
      </c>
      <c r="D302" s="2">
        <v>51</v>
      </c>
      <c r="E302" s="587">
        <v>86</v>
      </c>
      <c r="F302" s="587">
        <v>85</v>
      </c>
      <c r="G302" s="587">
        <v>86</v>
      </c>
      <c r="H302" s="587">
        <v>86</v>
      </c>
      <c r="I302" s="587">
        <v>83</v>
      </c>
      <c r="J302" s="587">
        <v>87</v>
      </c>
      <c r="K302" s="587">
        <v>0</v>
      </c>
      <c r="L302" s="587">
        <v>0</v>
      </c>
      <c r="M302" s="587">
        <v>0</v>
      </c>
      <c r="N302">
        <f t="shared" si="8"/>
        <v>85.5</v>
      </c>
      <c r="O302">
        <v>73957.08</v>
      </c>
      <c r="Q302" t="s">
        <v>621</v>
      </c>
      <c r="R302">
        <f t="shared" si="9"/>
        <v>1</v>
      </c>
    </row>
    <row r="303" spans="1:18">
      <c r="A303" t="s">
        <v>605</v>
      </c>
      <c r="B303" t="s">
        <v>565</v>
      </c>
      <c r="C303" t="s">
        <v>566</v>
      </c>
      <c r="D303" s="2">
        <v>129</v>
      </c>
      <c r="E303" s="587">
        <v>129</v>
      </c>
      <c r="F303" s="587">
        <v>133</v>
      </c>
      <c r="G303" s="587">
        <v>128</v>
      </c>
      <c r="H303" s="587">
        <v>125</v>
      </c>
      <c r="I303" s="587">
        <v>128</v>
      </c>
      <c r="J303" s="587">
        <v>127</v>
      </c>
      <c r="K303" s="587">
        <v>0</v>
      </c>
      <c r="L303" s="587">
        <v>0</v>
      </c>
      <c r="M303" s="587">
        <v>0</v>
      </c>
      <c r="N303">
        <f t="shared" si="8"/>
        <v>128.33000000000001</v>
      </c>
      <c r="O303">
        <v>113176.94</v>
      </c>
      <c r="Q303" t="s">
        <v>621</v>
      </c>
      <c r="R303">
        <f t="shared" si="9"/>
        <v>1</v>
      </c>
    </row>
    <row r="304" spans="1:18">
      <c r="A304" t="s">
        <v>830</v>
      </c>
      <c r="D304" s="456">
        <f>SUM(D9:D303)</f>
        <v>83559</v>
      </c>
      <c r="E304" s="456">
        <f t="shared" ref="E304:J304" si="10">SUM(E9:E303)</f>
        <v>93823</v>
      </c>
      <c r="F304" s="456">
        <f t="shared" si="10"/>
        <v>94820</v>
      </c>
      <c r="G304" s="456">
        <f t="shared" si="10"/>
        <v>95121</v>
      </c>
      <c r="H304" s="456">
        <f t="shared" si="10"/>
        <v>94890</v>
      </c>
      <c r="I304" s="456">
        <f t="shared" si="10"/>
        <v>95366</v>
      </c>
      <c r="J304" s="456">
        <f t="shared" si="10"/>
        <v>95565</v>
      </c>
      <c r="K304" s="456">
        <f>SUM(K9:K303)</f>
        <v>0</v>
      </c>
      <c r="L304" s="456">
        <f>SUM(L9:L303)</f>
        <v>0</v>
      </c>
      <c r="M304" s="456">
        <f>SUM(M9:M303)</f>
        <v>0</v>
      </c>
      <c r="N304">
        <f>ROUND(SUM(E304:M304)/9,2)</f>
        <v>63287.22</v>
      </c>
      <c r="O304" s="589">
        <f>SUM(O9:O303)</f>
        <v>82062641.690000027</v>
      </c>
      <c r="Q304" s="456"/>
    </row>
    <row r="305" spans="5:13">
      <c r="E305" s="456"/>
      <c r="F305" s="456"/>
      <c r="G305" s="456"/>
      <c r="H305" s="456"/>
      <c r="I305" s="456"/>
      <c r="J305" s="456"/>
      <c r="K305" s="456"/>
      <c r="L305" s="456"/>
      <c r="M305" s="456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>
    <pageSetUpPr fitToPage="1"/>
  </sheetPr>
  <dimension ref="A1:V305"/>
  <sheetViews>
    <sheetView showZeros="0" defaultGridColor="0" colorId="22" zoomScale="75" workbookViewId="0">
      <selection activeCell="V1" sqref="V1:V30"/>
    </sheetView>
  </sheetViews>
  <sheetFormatPr defaultColWidth="16.42578125" defaultRowHeight="15"/>
  <cols>
    <col min="1" max="1" width="6.140625" style="582" customWidth="1"/>
    <col min="2" max="2" width="9.42578125" style="582" customWidth="1"/>
    <col min="3" max="3" width="24.140625" style="582" customWidth="1"/>
    <col min="4" max="4" width="9.42578125" style="582" hidden="1" customWidth="1"/>
    <col min="5" max="11" width="10" style="582" customWidth="1"/>
    <col min="12" max="12" width="10" style="582" hidden="1" customWidth="1"/>
    <col min="13" max="13" width="16.85546875" style="583" bestFit="1" customWidth="1"/>
    <col min="14" max="14" width="18" style="582" bestFit="1" customWidth="1"/>
    <col min="15" max="15" width="6.140625" style="582" customWidth="1"/>
    <col min="16" max="16" width="8.5703125" style="582" customWidth="1"/>
    <col min="17" max="256" width="16.42578125" style="582"/>
    <col min="257" max="257" width="6.140625" style="582" customWidth="1"/>
    <col min="258" max="258" width="9.42578125" style="582" customWidth="1"/>
    <col min="259" max="259" width="24.140625" style="582" customWidth="1"/>
    <col min="260" max="260" width="0" style="582" hidden="1" customWidth="1"/>
    <col min="261" max="267" width="10" style="582" customWidth="1"/>
    <col min="268" max="268" width="0" style="582" hidden="1" customWidth="1"/>
    <col min="269" max="269" width="16.85546875" style="582" bestFit="1" customWidth="1"/>
    <col min="270" max="270" width="18" style="582" bestFit="1" customWidth="1"/>
    <col min="271" max="271" width="6.140625" style="582" customWidth="1"/>
    <col min="272" max="272" width="8.5703125" style="582" customWidth="1"/>
    <col min="273" max="512" width="16.42578125" style="582"/>
    <col min="513" max="513" width="6.140625" style="582" customWidth="1"/>
    <col min="514" max="514" width="9.42578125" style="582" customWidth="1"/>
    <col min="515" max="515" width="24.140625" style="582" customWidth="1"/>
    <col min="516" max="516" width="0" style="582" hidden="1" customWidth="1"/>
    <col min="517" max="523" width="10" style="582" customWidth="1"/>
    <col min="524" max="524" width="0" style="582" hidden="1" customWidth="1"/>
    <col min="525" max="525" width="16.85546875" style="582" bestFit="1" customWidth="1"/>
    <col min="526" max="526" width="18" style="582" bestFit="1" customWidth="1"/>
    <col min="527" max="527" width="6.140625" style="582" customWidth="1"/>
    <col min="528" max="528" width="8.5703125" style="582" customWidth="1"/>
    <col min="529" max="768" width="16.42578125" style="582"/>
    <col min="769" max="769" width="6.140625" style="582" customWidth="1"/>
    <col min="770" max="770" width="9.42578125" style="582" customWidth="1"/>
    <col min="771" max="771" width="24.140625" style="582" customWidth="1"/>
    <col min="772" max="772" width="0" style="582" hidden="1" customWidth="1"/>
    <col min="773" max="779" width="10" style="582" customWidth="1"/>
    <col min="780" max="780" width="0" style="582" hidden="1" customWidth="1"/>
    <col min="781" max="781" width="16.85546875" style="582" bestFit="1" customWidth="1"/>
    <col min="782" max="782" width="18" style="582" bestFit="1" customWidth="1"/>
    <col min="783" max="783" width="6.140625" style="582" customWidth="1"/>
    <col min="784" max="784" width="8.5703125" style="582" customWidth="1"/>
    <col min="785" max="1024" width="16.42578125" style="582"/>
    <col min="1025" max="1025" width="6.140625" style="582" customWidth="1"/>
    <col min="1026" max="1026" width="9.42578125" style="582" customWidth="1"/>
    <col min="1027" max="1027" width="24.140625" style="582" customWidth="1"/>
    <col min="1028" max="1028" width="0" style="582" hidden="1" customWidth="1"/>
    <col min="1029" max="1035" width="10" style="582" customWidth="1"/>
    <col min="1036" max="1036" width="0" style="582" hidden="1" customWidth="1"/>
    <col min="1037" max="1037" width="16.85546875" style="582" bestFit="1" customWidth="1"/>
    <col min="1038" max="1038" width="18" style="582" bestFit="1" customWidth="1"/>
    <col min="1039" max="1039" width="6.140625" style="582" customWidth="1"/>
    <col min="1040" max="1040" width="8.5703125" style="582" customWidth="1"/>
    <col min="1041" max="1280" width="16.42578125" style="582"/>
    <col min="1281" max="1281" width="6.140625" style="582" customWidth="1"/>
    <col min="1282" max="1282" width="9.42578125" style="582" customWidth="1"/>
    <col min="1283" max="1283" width="24.140625" style="582" customWidth="1"/>
    <col min="1284" max="1284" width="0" style="582" hidden="1" customWidth="1"/>
    <col min="1285" max="1291" width="10" style="582" customWidth="1"/>
    <col min="1292" max="1292" width="0" style="582" hidden="1" customWidth="1"/>
    <col min="1293" max="1293" width="16.85546875" style="582" bestFit="1" customWidth="1"/>
    <col min="1294" max="1294" width="18" style="582" bestFit="1" customWidth="1"/>
    <col min="1295" max="1295" width="6.140625" style="582" customWidth="1"/>
    <col min="1296" max="1296" width="8.5703125" style="582" customWidth="1"/>
    <col min="1297" max="1536" width="16.42578125" style="582"/>
    <col min="1537" max="1537" width="6.140625" style="582" customWidth="1"/>
    <col min="1538" max="1538" width="9.42578125" style="582" customWidth="1"/>
    <col min="1539" max="1539" width="24.140625" style="582" customWidth="1"/>
    <col min="1540" max="1540" width="0" style="582" hidden="1" customWidth="1"/>
    <col min="1541" max="1547" width="10" style="582" customWidth="1"/>
    <col min="1548" max="1548" width="0" style="582" hidden="1" customWidth="1"/>
    <col min="1549" max="1549" width="16.85546875" style="582" bestFit="1" customWidth="1"/>
    <col min="1550" max="1550" width="18" style="582" bestFit="1" customWidth="1"/>
    <col min="1551" max="1551" width="6.140625" style="582" customWidth="1"/>
    <col min="1552" max="1552" width="8.5703125" style="582" customWidth="1"/>
    <col min="1553" max="1792" width="16.42578125" style="582"/>
    <col min="1793" max="1793" width="6.140625" style="582" customWidth="1"/>
    <col min="1794" max="1794" width="9.42578125" style="582" customWidth="1"/>
    <col min="1795" max="1795" width="24.140625" style="582" customWidth="1"/>
    <col min="1796" max="1796" width="0" style="582" hidden="1" customWidth="1"/>
    <col min="1797" max="1803" width="10" style="582" customWidth="1"/>
    <col min="1804" max="1804" width="0" style="582" hidden="1" customWidth="1"/>
    <col min="1805" max="1805" width="16.85546875" style="582" bestFit="1" customWidth="1"/>
    <col min="1806" max="1806" width="18" style="582" bestFit="1" customWidth="1"/>
    <col min="1807" max="1807" width="6.140625" style="582" customWidth="1"/>
    <col min="1808" max="1808" width="8.5703125" style="582" customWidth="1"/>
    <col min="1809" max="2048" width="16.42578125" style="582"/>
    <col min="2049" max="2049" width="6.140625" style="582" customWidth="1"/>
    <col min="2050" max="2050" width="9.42578125" style="582" customWidth="1"/>
    <col min="2051" max="2051" width="24.140625" style="582" customWidth="1"/>
    <col min="2052" max="2052" width="0" style="582" hidden="1" customWidth="1"/>
    <col min="2053" max="2059" width="10" style="582" customWidth="1"/>
    <col min="2060" max="2060" width="0" style="582" hidden="1" customWidth="1"/>
    <col min="2061" max="2061" width="16.85546875" style="582" bestFit="1" customWidth="1"/>
    <col min="2062" max="2062" width="18" style="582" bestFit="1" customWidth="1"/>
    <col min="2063" max="2063" width="6.140625" style="582" customWidth="1"/>
    <col min="2064" max="2064" width="8.5703125" style="582" customWidth="1"/>
    <col min="2065" max="2304" width="16.42578125" style="582"/>
    <col min="2305" max="2305" width="6.140625" style="582" customWidth="1"/>
    <col min="2306" max="2306" width="9.42578125" style="582" customWidth="1"/>
    <col min="2307" max="2307" width="24.140625" style="582" customWidth="1"/>
    <col min="2308" max="2308" width="0" style="582" hidden="1" customWidth="1"/>
    <col min="2309" max="2315" width="10" style="582" customWidth="1"/>
    <col min="2316" max="2316" width="0" style="582" hidden="1" customWidth="1"/>
    <col min="2317" max="2317" width="16.85546875" style="582" bestFit="1" customWidth="1"/>
    <col min="2318" max="2318" width="18" style="582" bestFit="1" customWidth="1"/>
    <col min="2319" max="2319" width="6.140625" style="582" customWidth="1"/>
    <col min="2320" max="2320" width="8.5703125" style="582" customWidth="1"/>
    <col min="2321" max="2560" width="16.42578125" style="582"/>
    <col min="2561" max="2561" width="6.140625" style="582" customWidth="1"/>
    <col min="2562" max="2562" width="9.42578125" style="582" customWidth="1"/>
    <col min="2563" max="2563" width="24.140625" style="582" customWidth="1"/>
    <col min="2564" max="2564" width="0" style="582" hidden="1" customWidth="1"/>
    <col min="2565" max="2571" width="10" style="582" customWidth="1"/>
    <col min="2572" max="2572" width="0" style="582" hidden="1" customWidth="1"/>
    <col min="2573" max="2573" width="16.85546875" style="582" bestFit="1" customWidth="1"/>
    <col min="2574" max="2574" width="18" style="582" bestFit="1" customWidth="1"/>
    <col min="2575" max="2575" width="6.140625" style="582" customWidth="1"/>
    <col min="2576" max="2576" width="8.5703125" style="582" customWidth="1"/>
    <col min="2577" max="2816" width="16.42578125" style="582"/>
    <col min="2817" max="2817" width="6.140625" style="582" customWidth="1"/>
    <col min="2818" max="2818" width="9.42578125" style="582" customWidth="1"/>
    <col min="2819" max="2819" width="24.140625" style="582" customWidth="1"/>
    <col min="2820" max="2820" width="0" style="582" hidden="1" customWidth="1"/>
    <col min="2821" max="2827" width="10" style="582" customWidth="1"/>
    <col min="2828" max="2828" width="0" style="582" hidden="1" customWidth="1"/>
    <col min="2829" max="2829" width="16.85546875" style="582" bestFit="1" customWidth="1"/>
    <col min="2830" max="2830" width="18" style="582" bestFit="1" customWidth="1"/>
    <col min="2831" max="2831" width="6.140625" style="582" customWidth="1"/>
    <col min="2832" max="2832" width="8.5703125" style="582" customWidth="1"/>
    <col min="2833" max="3072" width="16.42578125" style="582"/>
    <col min="3073" max="3073" width="6.140625" style="582" customWidth="1"/>
    <col min="3074" max="3074" width="9.42578125" style="582" customWidth="1"/>
    <col min="3075" max="3075" width="24.140625" style="582" customWidth="1"/>
    <col min="3076" max="3076" width="0" style="582" hidden="1" customWidth="1"/>
    <col min="3077" max="3083" width="10" style="582" customWidth="1"/>
    <col min="3084" max="3084" width="0" style="582" hidden="1" customWidth="1"/>
    <col min="3085" max="3085" width="16.85546875" style="582" bestFit="1" customWidth="1"/>
    <col min="3086" max="3086" width="18" style="582" bestFit="1" customWidth="1"/>
    <col min="3087" max="3087" width="6.140625" style="582" customWidth="1"/>
    <col min="3088" max="3088" width="8.5703125" style="582" customWidth="1"/>
    <col min="3089" max="3328" width="16.42578125" style="582"/>
    <col min="3329" max="3329" width="6.140625" style="582" customWidth="1"/>
    <col min="3330" max="3330" width="9.42578125" style="582" customWidth="1"/>
    <col min="3331" max="3331" width="24.140625" style="582" customWidth="1"/>
    <col min="3332" max="3332" width="0" style="582" hidden="1" customWidth="1"/>
    <col min="3333" max="3339" width="10" style="582" customWidth="1"/>
    <col min="3340" max="3340" width="0" style="582" hidden="1" customWidth="1"/>
    <col min="3341" max="3341" width="16.85546875" style="582" bestFit="1" customWidth="1"/>
    <col min="3342" max="3342" width="18" style="582" bestFit="1" customWidth="1"/>
    <col min="3343" max="3343" width="6.140625" style="582" customWidth="1"/>
    <col min="3344" max="3344" width="8.5703125" style="582" customWidth="1"/>
    <col min="3345" max="3584" width="16.42578125" style="582"/>
    <col min="3585" max="3585" width="6.140625" style="582" customWidth="1"/>
    <col min="3586" max="3586" width="9.42578125" style="582" customWidth="1"/>
    <col min="3587" max="3587" width="24.140625" style="582" customWidth="1"/>
    <col min="3588" max="3588" width="0" style="582" hidden="1" customWidth="1"/>
    <col min="3589" max="3595" width="10" style="582" customWidth="1"/>
    <col min="3596" max="3596" width="0" style="582" hidden="1" customWidth="1"/>
    <col min="3597" max="3597" width="16.85546875" style="582" bestFit="1" customWidth="1"/>
    <col min="3598" max="3598" width="18" style="582" bestFit="1" customWidth="1"/>
    <col min="3599" max="3599" width="6.140625" style="582" customWidth="1"/>
    <col min="3600" max="3600" width="8.5703125" style="582" customWidth="1"/>
    <col min="3601" max="3840" width="16.42578125" style="582"/>
    <col min="3841" max="3841" width="6.140625" style="582" customWidth="1"/>
    <col min="3842" max="3842" width="9.42578125" style="582" customWidth="1"/>
    <col min="3843" max="3843" width="24.140625" style="582" customWidth="1"/>
    <col min="3844" max="3844" width="0" style="582" hidden="1" customWidth="1"/>
    <col min="3845" max="3851" width="10" style="582" customWidth="1"/>
    <col min="3852" max="3852" width="0" style="582" hidden="1" customWidth="1"/>
    <col min="3853" max="3853" width="16.85546875" style="582" bestFit="1" customWidth="1"/>
    <col min="3854" max="3854" width="18" style="582" bestFit="1" customWidth="1"/>
    <col min="3855" max="3855" width="6.140625" style="582" customWidth="1"/>
    <col min="3856" max="3856" width="8.5703125" style="582" customWidth="1"/>
    <col min="3857" max="4096" width="16.42578125" style="582"/>
    <col min="4097" max="4097" width="6.140625" style="582" customWidth="1"/>
    <col min="4098" max="4098" width="9.42578125" style="582" customWidth="1"/>
    <col min="4099" max="4099" width="24.140625" style="582" customWidth="1"/>
    <col min="4100" max="4100" width="0" style="582" hidden="1" customWidth="1"/>
    <col min="4101" max="4107" width="10" style="582" customWidth="1"/>
    <col min="4108" max="4108" width="0" style="582" hidden="1" customWidth="1"/>
    <col min="4109" max="4109" width="16.85546875" style="582" bestFit="1" customWidth="1"/>
    <col min="4110" max="4110" width="18" style="582" bestFit="1" customWidth="1"/>
    <col min="4111" max="4111" width="6.140625" style="582" customWidth="1"/>
    <col min="4112" max="4112" width="8.5703125" style="582" customWidth="1"/>
    <col min="4113" max="4352" width="16.42578125" style="582"/>
    <col min="4353" max="4353" width="6.140625" style="582" customWidth="1"/>
    <col min="4354" max="4354" width="9.42578125" style="582" customWidth="1"/>
    <col min="4355" max="4355" width="24.140625" style="582" customWidth="1"/>
    <col min="4356" max="4356" width="0" style="582" hidden="1" customWidth="1"/>
    <col min="4357" max="4363" width="10" style="582" customWidth="1"/>
    <col min="4364" max="4364" width="0" style="582" hidden="1" customWidth="1"/>
    <col min="4365" max="4365" width="16.85546875" style="582" bestFit="1" customWidth="1"/>
    <col min="4366" max="4366" width="18" style="582" bestFit="1" customWidth="1"/>
    <col min="4367" max="4367" width="6.140625" style="582" customWidth="1"/>
    <col min="4368" max="4368" width="8.5703125" style="582" customWidth="1"/>
    <col min="4369" max="4608" width="16.42578125" style="582"/>
    <col min="4609" max="4609" width="6.140625" style="582" customWidth="1"/>
    <col min="4610" max="4610" width="9.42578125" style="582" customWidth="1"/>
    <col min="4611" max="4611" width="24.140625" style="582" customWidth="1"/>
    <col min="4612" max="4612" width="0" style="582" hidden="1" customWidth="1"/>
    <col min="4613" max="4619" width="10" style="582" customWidth="1"/>
    <col min="4620" max="4620" width="0" style="582" hidden="1" customWidth="1"/>
    <col min="4621" max="4621" width="16.85546875" style="582" bestFit="1" customWidth="1"/>
    <col min="4622" max="4622" width="18" style="582" bestFit="1" customWidth="1"/>
    <col min="4623" max="4623" width="6.140625" style="582" customWidth="1"/>
    <col min="4624" max="4624" width="8.5703125" style="582" customWidth="1"/>
    <col min="4625" max="4864" width="16.42578125" style="582"/>
    <col min="4865" max="4865" width="6.140625" style="582" customWidth="1"/>
    <col min="4866" max="4866" width="9.42578125" style="582" customWidth="1"/>
    <col min="4867" max="4867" width="24.140625" style="582" customWidth="1"/>
    <col min="4868" max="4868" width="0" style="582" hidden="1" customWidth="1"/>
    <col min="4869" max="4875" width="10" style="582" customWidth="1"/>
    <col min="4876" max="4876" width="0" style="582" hidden="1" customWidth="1"/>
    <col min="4877" max="4877" width="16.85546875" style="582" bestFit="1" customWidth="1"/>
    <col min="4878" max="4878" width="18" style="582" bestFit="1" customWidth="1"/>
    <col min="4879" max="4879" width="6.140625" style="582" customWidth="1"/>
    <col min="4880" max="4880" width="8.5703125" style="582" customWidth="1"/>
    <col min="4881" max="5120" width="16.42578125" style="582"/>
    <col min="5121" max="5121" width="6.140625" style="582" customWidth="1"/>
    <col min="5122" max="5122" width="9.42578125" style="582" customWidth="1"/>
    <col min="5123" max="5123" width="24.140625" style="582" customWidth="1"/>
    <col min="5124" max="5124" width="0" style="582" hidden="1" customWidth="1"/>
    <col min="5125" max="5131" width="10" style="582" customWidth="1"/>
    <col min="5132" max="5132" width="0" style="582" hidden="1" customWidth="1"/>
    <col min="5133" max="5133" width="16.85546875" style="582" bestFit="1" customWidth="1"/>
    <col min="5134" max="5134" width="18" style="582" bestFit="1" customWidth="1"/>
    <col min="5135" max="5135" width="6.140625" style="582" customWidth="1"/>
    <col min="5136" max="5136" width="8.5703125" style="582" customWidth="1"/>
    <col min="5137" max="5376" width="16.42578125" style="582"/>
    <col min="5377" max="5377" width="6.140625" style="582" customWidth="1"/>
    <col min="5378" max="5378" width="9.42578125" style="582" customWidth="1"/>
    <col min="5379" max="5379" width="24.140625" style="582" customWidth="1"/>
    <col min="5380" max="5380" width="0" style="582" hidden="1" customWidth="1"/>
    <col min="5381" max="5387" width="10" style="582" customWidth="1"/>
    <col min="5388" max="5388" width="0" style="582" hidden="1" customWidth="1"/>
    <col min="5389" max="5389" width="16.85546875" style="582" bestFit="1" customWidth="1"/>
    <col min="5390" max="5390" width="18" style="582" bestFit="1" customWidth="1"/>
    <col min="5391" max="5391" width="6.140625" style="582" customWidth="1"/>
    <col min="5392" max="5392" width="8.5703125" style="582" customWidth="1"/>
    <col min="5393" max="5632" width="16.42578125" style="582"/>
    <col min="5633" max="5633" width="6.140625" style="582" customWidth="1"/>
    <col min="5634" max="5634" width="9.42578125" style="582" customWidth="1"/>
    <col min="5635" max="5635" width="24.140625" style="582" customWidth="1"/>
    <col min="5636" max="5636" width="0" style="582" hidden="1" customWidth="1"/>
    <col min="5637" max="5643" width="10" style="582" customWidth="1"/>
    <col min="5644" max="5644" width="0" style="582" hidden="1" customWidth="1"/>
    <col min="5645" max="5645" width="16.85546875" style="582" bestFit="1" customWidth="1"/>
    <col min="5646" max="5646" width="18" style="582" bestFit="1" customWidth="1"/>
    <col min="5647" max="5647" width="6.140625" style="582" customWidth="1"/>
    <col min="5648" max="5648" width="8.5703125" style="582" customWidth="1"/>
    <col min="5649" max="5888" width="16.42578125" style="582"/>
    <col min="5889" max="5889" width="6.140625" style="582" customWidth="1"/>
    <col min="5890" max="5890" width="9.42578125" style="582" customWidth="1"/>
    <col min="5891" max="5891" width="24.140625" style="582" customWidth="1"/>
    <col min="5892" max="5892" width="0" style="582" hidden="1" customWidth="1"/>
    <col min="5893" max="5899" width="10" style="582" customWidth="1"/>
    <col min="5900" max="5900" width="0" style="582" hidden="1" customWidth="1"/>
    <col min="5901" max="5901" width="16.85546875" style="582" bestFit="1" customWidth="1"/>
    <col min="5902" max="5902" width="18" style="582" bestFit="1" customWidth="1"/>
    <col min="5903" max="5903" width="6.140625" style="582" customWidth="1"/>
    <col min="5904" max="5904" width="8.5703125" style="582" customWidth="1"/>
    <col min="5905" max="6144" width="16.42578125" style="582"/>
    <col min="6145" max="6145" width="6.140625" style="582" customWidth="1"/>
    <col min="6146" max="6146" width="9.42578125" style="582" customWidth="1"/>
    <col min="6147" max="6147" width="24.140625" style="582" customWidth="1"/>
    <col min="6148" max="6148" width="0" style="582" hidden="1" customWidth="1"/>
    <col min="6149" max="6155" width="10" style="582" customWidth="1"/>
    <col min="6156" max="6156" width="0" style="582" hidden="1" customWidth="1"/>
    <col min="6157" max="6157" width="16.85546875" style="582" bestFit="1" customWidth="1"/>
    <col min="6158" max="6158" width="18" style="582" bestFit="1" customWidth="1"/>
    <col min="6159" max="6159" width="6.140625" style="582" customWidth="1"/>
    <col min="6160" max="6160" width="8.5703125" style="582" customWidth="1"/>
    <col min="6161" max="6400" width="16.42578125" style="582"/>
    <col min="6401" max="6401" width="6.140625" style="582" customWidth="1"/>
    <col min="6402" max="6402" width="9.42578125" style="582" customWidth="1"/>
    <col min="6403" max="6403" width="24.140625" style="582" customWidth="1"/>
    <col min="6404" max="6404" width="0" style="582" hidden="1" customWidth="1"/>
    <col min="6405" max="6411" width="10" style="582" customWidth="1"/>
    <col min="6412" max="6412" width="0" style="582" hidden="1" customWidth="1"/>
    <col min="6413" max="6413" width="16.85546875" style="582" bestFit="1" customWidth="1"/>
    <col min="6414" max="6414" width="18" style="582" bestFit="1" customWidth="1"/>
    <col min="6415" max="6415" width="6.140625" style="582" customWidth="1"/>
    <col min="6416" max="6416" width="8.5703125" style="582" customWidth="1"/>
    <col min="6417" max="6656" width="16.42578125" style="582"/>
    <col min="6657" max="6657" width="6.140625" style="582" customWidth="1"/>
    <col min="6658" max="6658" width="9.42578125" style="582" customWidth="1"/>
    <col min="6659" max="6659" width="24.140625" style="582" customWidth="1"/>
    <col min="6660" max="6660" width="0" style="582" hidden="1" customWidth="1"/>
    <col min="6661" max="6667" width="10" style="582" customWidth="1"/>
    <col min="6668" max="6668" width="0" style="582" hidden="1" customWidth="1"/>
    <col min="6669" max="6669" width="16.85546875" style="582" bestFit="1" customWidth="1"/>
    <col min="6670" max="6670" width="18" style="582" bestFit="1" customWidth="1"/>
    <col min="6671" max="6671" width="6.140625" style="582" customWidth="1"/>
    <col min="6672" max="6672" width="8.5703125" style="582" customWidth="1"/>
    <col min="6673" max="6912" width="16.42578125" style="582"/>
    <col min="6913" max="6913" width="6.140625" style="582" customWidth="1"/>
    <col min="6914" max="6914" width="9.42578125" style="582" customWidth="1"/>
    <col min="6915" max="6915" width="24.140625" style="582" customWidth="1"/>
    <col min="6916" max="6916" width="0" style="582" hidden="1" customWidth="1"/>
    <col min="6917" max="6923" width="10" style="582" customWidth="1"/>
    <col min="6924" max="6924" width="0" style="582" hidden="1" customWidth="1"/>
    <col min="6925" max="6925" width="16.85546875" style="582" bestFit="1" customWidth="1"/>
    <col min="6926" max="6926" width="18" style="582" bestFit="1" customWidth="1"/>
    <col min="6927" max="6927" width="6.140625" style="582" customWidth="1"/>
    <col min="6928" max="6928" width="8.5703125" style="582" customWidth="1"/>
    <col min="6929" max="7168" width="16.42578125" style="582"/>
    <col min="7169" max="7169" width="6.140625" style="582" customWidth="1"/>
    <col min="7170" max="7170" width="9.42578125" style="582" customWidth="1"/>
    <col min="7171" max="7171" width="24.140625" style="582" customWidth="1"/>
    <col min="7172" max="7172" width="0" style="582" hidden="1" customWidth="1"/>
    <col min="7173" max="7179" width="10" style="582" customWidth="1"/>
    <col min="7180" max="7180" width="0" style="582" hidden="1" customWidth="1"/>
    <col min="7181" max="7181" width="16.85546875" style="582" bestFit="1" customWidth="1"/>
    <col min="7182" max="7182" width="18" style="582" bestFit="1" customWidth="1"/>
    <col min="7183" max="7183" width="6.140625" style="582" customWidth="1"/>
    <col min="7184" max="7184" width="8.5703125" style="582" customWidth="1"/>
    <col min="7185" max="7424" width="16.42578125" style="582"/>
    <col min="7425" max="7425" width="6.140625" style="582" customWidth="1"/>
    <col min="7426" max="7426" width="9.42578125" style="582" customWidth="1"/>
    <col min="7427" max="7427" width="24.140625" style="582" customWidth="1"/>
    <col min="7428" max="7428" width="0" style="582" hidden="1" customWidth="1"/>
    <col min="7429" max="7435" width="10" style="582" customWidth="1"/>
    <col min="7436" max="7436" width="0" style="582" hidden="1" customWidth="1"/>
    <col min="7437" max="7437" width="16.85546875" style="582" bestFit="1" customWidth="1"/>
    <col min="7438" max="7438" width="18" style="582" bestFit="1" customWidth="1"/>
    <col min="7439" max="7439" width="6.140625" style="582" customWidth="1"/>
    <col min="7440" max="7440" width="8.5703125" style="582" customWidth="1"/>
    <col min="7441" max="7680" width="16.42578125" style="582"/>
    <col min="7681" max="7681" width="6.140625" style="582" customWidth="1"/>
    <col min="7682" max="7682" width="9.42578125" style="582" customWidth="1"/>
    <col min="7683" max="7683" width="24.140625" style="582" customWidth="1"/>
    <col min="7684" max="7684" width="0" style="582" hidden="1" customWidth="1"/>
    <col min="7685" max="7691" width="10" style="582" customWidth="1"/>
    <col min="7692" max="7692" width="0" style="582" hidden="1" customWidth="1"/>
    <col min="7693" max="7693" width="16.85546875" style="582" bestFit="1" customWidth="1"/>
    <col min="7694" max="7694" width="18" style="582" bestFit="1" customWidth="1"/>
    <col min="7695" max="7695" width="6.140625" style="582" customWidth="1"/>
    <col min="7696" max="7696" width="8.5703125" style="582" customWidth="1"/>
    <col min="7697" max="7936" width="16.42578125" style="582"/>
    <col min="7937" max="7937" width="6.140625" style="582" customWidth="1"/>
    <col min="7938" max="7938" width="9.42578125" style="582" customWidth="1"/>
    <col min="7939" max="7939" width="24.140625" style="582" customWidth="1"/>
    <col min="7940" max="7940" width="0" style="582" hidden="1" customWidth="1"/>
    <col min="7941" max="7947" width="10" style="582" customWidth="1"/>
    <col min="7948" max="7948" width="0" style="582" hidden="1" customWidth="1"/>
    <col min="7949" max="7949" width="16.85546875" style="582" bestFit="1" customWidth="1"/>
    <col min="7950" max="7950" width="18" style="582" bestFit="1" customWidth="1"/>
    <col min="7951" max="7951" width="6.140625" style="582" customWidth="1"/>
    <col min="7952" max="7952" width="8.5703125" style="582" customWidth="1"/>
    <col min="7953" max="8192" width="16.42578125" style="582"/>
    <col min="8193" max="8193" width="6.140625" style="582" customWidth="1"/>
    <col min="8194" max="8194" width="9.42578125" style="582" customWidth="1"/>
    <col min="8195" max="8195" width="24.140625" style="582" customWidth="1"/>
    <col min="8196" max="8196" width="0" style="582" hidden="1" customWidth="1"/>
    <col min="8197" max="8203" width="10" style="582" customWidth="1"/>
    <col min="8204" max="8204" width="0" style="582" hidden="1" customWidth="1"/>
    <col min="8205" max="8205" width="16.85546875" style="582" bestFit="1" customWidth="1"/>
    <col min="8206" max="8206" width="18" style="582" bestFit="1" customWidth="1"/>
    <col min="8207" max="8207" width="6.140625" style="582" customWidth="1"/>
    <col min="8208" max="8208" width="8.5703125" style="582" customWidth="1"/>
    <col min="8209" max="8448" width="16.42578125" style="582"/>
    <col min="8449" max="8449" width="6.140625" style="582" customWidth="1"/>
    <col min="8450" max="8450" width="9.42578125" style="582" customWidth="1"/>
    <col min="8451" max="8451" width="24.140625" style="582" customWidth="1"/>
    <col min="8452" max="8452" width="0" style="582" hidden="1" customWidth="1"/>
    <col min="8453" max="8459" width="10" style="582" customWidth="1"/>
    <col min="8460" max="8460" width="0" style="582" hidden="1" customWidth="1"/>
    <col min="8461" max="8461" width="16.85546875" style="582" bestFit="1" customWidth="1"/>
    <col min="8462" max="8462" width="18" style="582" bestFit="1" customWidth="1"/>
    <col min="8463" max="8463" width="6.140625" style="582" customWidth="1"/>
    <col min="8464" max="8464" width="8.5703125" style="582" customWidth="1"/>
    <col min="8465" max="8704" width="16.42578125" style="582"/>
    <col min="8705" max="8705" width="6.140625" style="582" customWidth="1"/>
    <col min="8706" max="8706" width="9.42578125" style="582" customWidth="1"/>
    <col min="8707" max="8707" width="24.140625" style="582" customWidth="1"/>
    <col min="8708" max="8708" width="0" style="582" hidden="1" customWidth="1"/>
    <col min="8709" max="8715" width="10" style="582" customWidth="1"/>
    <col min="8716" max="8716" width="0" style="582" hidden="1" customWidth="1"/>
    <col min="8717" max="8717" width="16.85546875" style="582" bestFit="1" customWidth="1"/>
    <col min="8718" max="8718" width="18" style="582" bestFit="1" customWidth="1"/>
    <col min="8719" max="8719" width="6.140625" style="582" customWidth="1"/>
    <col min="8720" max="8720" width="8.5703125" style="582" customWidth="1"/>
    <col min="8721" max="8960" width="16.42578125" style="582"/>
    <col min="8961" max="8961" width="6.140625" style="582" customWidth="1"/>
    <col min="8962" max="8962" width="9.42578125" style="582" customWidth="1"/>
    <col min="8963" max="8963" width="24.140625" style="582" customWidth="1"/>
    <col min="8964" max="8964" width="0" style="582" hidden="1" customWidth="1"/>
    <col min="8965" max="8971" width="10" style="582" customWidth="1"/>
    <col min="8972" max="8972" width="0" style="582" hidden="1" customWidth="1"/>
    <col min="8973" max="8973" width="16.85546875" style="582" bestFit="1" customWidth="1"/>
    <col min="8974" max="8974" width="18" style="582" bestFit="1" customWidth="1"/>
    <col min="8975" max="8975" width="6.140625" style="582" customWidth="1"/>
    <col min="8976" max="8976" width="8.5703125" style="582" customWidth="1"/>
    <col min="8977" max="9216" width="16.42578125" style="582"/>
    <col min="9217" max="9217" width="6.140625" style="582" customWidth="1"/>
    <col min="9218" max="9218" width="9.42578125" style="582" customWidth="1"/>
    <col min="9219" max="9219" width="24.140625" style="582" customWidth="1"/>
    <col min="9220" max="9220" width="0" style="582" hidden="1" customWidth="1"/>
    <col min="9221" max="9227" width="10" style="582" customWidth="1"/>
    <col min="9228" max="9228" width="0" style="582" hidden="1" customWidth="1"/>
    <col min="9229" max="9229" width="16.85546875" style="582" bestFit="1" customWidth="1"/>
    <col min="9230" max="9230" width="18" style="582" bestFit="1" customWidth="1"/>
    <col min="9231" max="9231" width="6.140625" style="582" customWidth="1"/>
    <col min="9232" max="9232" width="8.5703125" style="582" customWidth="1"/>
    <col min="9233" max="9472" width="16.42578125" style="582"/>
    <col min="9473" max="9473" width="6.140625" style="582" customWidth="1"/>
    <col min="9474" max="9474" width="9.42578125" style="582" customWidth="1"/>
    <col min="9475" max="9475" width="24.140625" style="582" customWidth="1"/>
    <col min="9476" max="9476" width="0" style="582" hidden="1" customWidth="1"/>
    <col min="9477" max="9483" width="10" style="582" customWidth="1"/>
    <col min="9484" max="9484" width="0" style="582" hidden="1" customWidth="1"/>
    <col min="9485" max="9485" width="16.85546875" style="582" bestFit="1" customWidth="1"/>
    <col min="9486" max="9486" width="18" style="582" bestFit="1" customWidth="1"/>
    <col min="9487" max="9487" width="6.140625" style="582" customWidth="1"/>
    <col min="9488" max="9488" width="8.5703125" style="582" customWidth="1"/>
    <col min="9489" max="9728" width="16.42578125" style="582"/>
    <col min="9729" max="9729" width="6.140625" style="582" customWidth="1"/>
    <col min="9730" max="9730" width="9.42578125" style="582" customWidth="1"/>
    <col min="9731" max="9731" width="24.140625" style="582" customWidth="1"/>
    <col min="9732" max="9732" width="0" style="582" hidden="1" customWidth="1"/>
    <col min="9733" max="9739" width="10" style="582" customWidth="1"/>
    <col min="9740" max="9740" width="0" style="582" hidden="1" customWidth="1"/>
    <col min="9741" max="9741" width="16.85546875" style="582" bestFit="1" customWidth="1"/>
    <col min="9742" max="9742" width="18" style="582" bestFit="1" customWidth="1"/>
    <col min="9743" max="9743" width="6.140625" style="582" customWidth="1"/>
    <col min="9744" max="9744" width="8.5703125" style="582" customWidth="1"/>
    <col min="9745" max="9984" width="16.42578125" style="582"/>
    <col min="9985" max="9985" width="6.140625" style="582" customWidth="1"/>
    <col min="9986" max="9986" width="9.42578125" style="582" customWidth="1"/>
    <col min="9987" max="9987" width="24.140625" style="582" customWidth="1"/>
    <col min="9988" max="9988" width="0" style="582" hidden="1" customWidth="1"/>
    <col min="9989" max="9995" width="10" style="582" customWidth="1"/>
    <col min="9996" max="9996" width="0" style="582" hidden="1" customWidth="1"/>
    <col min="9997" max="9997" width="16.85546875" style="582" bestFit="1" customWidth="1"/>
    <col min="9998" max="9998" width="18" style="582" bestFit="1" customWidth="1"/>
    <col min="9999" max="9999" width="6.140625" style="582" customWidth="1"/>
    <col min="10000" max="10000" width="8.5703125" style="582" customWidth="1"/>
    <col min="10001" max="10240" width="16.42578125" style="582"/>
    <col min="10241" max="10241" width="6.140625" style="582" customWidth="1"/>
    <col min="10242" max="10242" width="9.42578125" style="582" customWidth="1"/>
    <col min="10243" max="10243" width="24.140625" style="582" customWidth="1"/>
    <col min="10244" max="10244" width="0" style="582" hidden="1" customWidth="1"/>
    <col min="10245" max="10251" width="10" style="582" customWidth="1"/>
    <col min="10252" max="10252" width="0" style="582" hidden="1" customWidth="1"/>
    <col min="10253" max="10253" width="16.85546875" style="582" bestFit="1" customWidth="1"/>
    <col min="10254" max="10254" width="18" style="582" bestFit="1" customWidth="1"/>
    <col min="10255" max="10255" width="6.140625" style="582" customWidth="1"/>
    <col min="10256" max="10256" width="8.5703125" style="582" customWidth="1"/>
    <col min="10257" max="10496" width="16.42578125" style="582"/>
    <col min="10497" max="10497" width="6.140625" style="582" customWidth="1"/>
    <col min="10498" max="10498" width="9.42578125" style="582" customWidth="1"/>
    <col min="10499" max="10499" width="24.140625" style="582" customWidth="1"/>
    <col min="10500" max="10500" width="0" style="582" hidden="1" customWidth="1"/>
    <col min="10501" max="10507" width="10" style="582" customWidth="1"/>
    <col min="10508" max="10508" width="0" style="582" hidden="1" customWidth="1"/>
    <col min="10509" max="10509" width="16.85546875" style="582" bestFit="1" customWidth="1"/>
    <col min="10510" max="10510" width="18" style="582" bestFit="1" customWidth="1"/>
    <col min="10511" max="10511" width="6.140625" style="582" customWidth="1"/>
    <col min="10512" max="10512" width="8.5703125" style="582" customWidth="1"/>
    <col min="10513" max="10752" width="16.42578125" style="582"/>
    <col min="10753" max="10753" width="6.140625" style="582" customWidth="1"/>
    <col min="10754" max="10754" width="9.42578125" style="582" customWidth="1"/>
    <col min="10755" max="10755" width="24.140625" style="582" customWidth="1"/>
    <col min="10756" max="10756" width="0" style="582" hidden="1" customWidth="1"/>
    <col min="10757" max="10763" width="10" style="582" customWidth="1"/>
    <col min="10764" max="10764" width="0" style="582" hidden="1" customWidth="1"/>
    <col min="10765" max="10765" width="16.85546875" style="582" bestFit="1" customWidth="1"/>
    <col min="10766" max="10766" width="18" style="582" bestFit="1" customWidth="1"/>
    <col min="10767" max="10767" width="6.140625" style="582" customWidth="1"/>
    <col min="10768" max="10768" width="8.5703125" style="582" customWidth="1"/>
    <col min="10769" max="11008" width="16.42578125" style="582"/>
    <col min="11009" max="11009" width="6.140625" style="582" customWidth="1"/>
    <col min="11010" max="11010" width="9.42578125" style="582" customWidth="1"/>
    <col min="11011" max="11011" width="24.140625" style="582" customWidth="1"/>
    <col min="11012" max="11012" width="0" style="582" hidden="1" customWidth="1"/>
    <col min="11013" max="11019" width="10" style="582" customWidth="1"/>
    <col min="11020" max="11020" width="0" style="582" hidden="1" customWidth="1"/>
    <col min="11021" max="11021" width="16.85546875" style="582" bestFit="1" customWidth="1"/>
    <col min="11022" max="11022" width="18" style="582" bestFit="1" customWidth="1"/>
    <col min="11023" max="11023" width="6.140625" style="582" customWidth="1"/>
    <col min="11024" max="11024" width="8.5703125" style="582" customWidth="1"/>
    <col min="11025" max="11264" width="16.42578125" style="582"/>
    <col min="11265" max="11265" width="6.140625" style="582" customWidth="1"/>
    <col min="11266" max="11266" width="9.42578125" style="582" customWidth="1"/>
    <col min="11267" max="11267" width="24.140625" style="582" customWidth="1"/>
    <col min="11268" max="11268" width="0" style="582" hidden="1" customWidth="1"/>
    <col min="11269" max="11275" width="10" style="582" customWidth="1"/>
    <col min="11276" max="11276" width="0" style="582" hidden="1" customWidth="1"/>
    <col min="11277" max="11277" width="16.85546875" style="582" bestFit="1" customWidth="1"/>
    <col min="11278" max="11278" width="18" style="582" bestFit="1" customWidth="1"/>
    <col min="11279" max="11279" width="6.140625" style="582" customWidth="1"/>
    <col min="11280" max="11280" width="8.5703125" style="582" customWidth="1"/>
    <col min="11281" max="11520" width="16.42578125" style="582"/>
    <col min="11521" max="11521" width="6.140625" style="582" customWidth="1"/>
    <col min="11522" max="11522" width="9.42578125" style="582" customWidth="1"/>
    <col min="11523" max="11523" width="24.140625" style="582" customWidth="1"/>
    <col min="11524" max="11524" width="0" style="582" hidden="1" customWidth="1"/>
    <col min="11525" max="11531" width="10" style="582" customWidth="1"/>
    <col min="11532" max="11532" width="0" style="582" hidden="1" customWidth="1"/>
    <col min="11533" max="11533" width="16.85546875" style="582" bestFit="1" customWidth="1"/>
    <col min="11534" max="11534" width="18" style="582" bestFit="1" customWidth="1"/>
    <col min="11535" max="11535" width="6.140625" style="582" customWidth="1"/>
    <col min="11536" max="11536" width="8.5703125" style="582" customWidth="1"/>
    <col min="11537" max="11776" width="16.42578125" style="582"/>
    <col min="11777" max="11777" width="6.140625" style="582" customWidth="1"/>
    <col min="11778" max="11778" width="9.42578125" style="582" customWidth="1"/>
    <col min="11779" max="11779" width="24.140625" style="582" customWidth="1"/>
    <col min="11780" max="11780" width="0" style="582" hidden="1" customWidth="1"/>
    <col min="11781" max="11787" width="10" style="582" customWidth="1"/>
    <col min="11788" max="11788" width="0" style="582" hidden="1" customWidth="1"/>
    <col min="11789" max="11789" width="16.85546875" style="582" bestFit="1" customWidth="1"/>
    <col min="11790" max="11790" width="18" style="582" bestFit="1" customWidth="1"/>
    <col min="11791" max="11791" width="6.140625" style="582" customWidth="1"/>
    <col min="11792" max="11792" width="8.5703125" style="582" customWidth="1"/>
    <col min="11793" max="12032" width="16.42578125" style="582"/>
    <col min="12033" max="12033" width="6.140625" style="582" customWidth="1"/>
    <col min="12034" max="12034" width="9.42578125" style="582" customWidth="1"/>
    <col min="12035" max="12035" width="24.140625" style="582" customWidth="1"/>
    <col min="12036" max="12036" width="0" style="582" hidden="1" customWidth="1"/>
    <col min="12037" max="12043" width="10" style="582" customWidth="1"/>
    <col min="12044" max="12044" width="0" style="582" hidden="1" customWidth="1"/>
    <col min="12045" max="12045" width="16.85546875" style="582" bestFit="1" customWidth="1"/>
    <col min="12046" max="12046" width="18" style="582" bestFit="1" customWidth="1"/>
    <col min="12047" max="12047" width="6.140625" style="582" customWidth="1"/>
    <col min="12048" max="12048" width="8.5703125" style="582" customWidth="1"/>
    <col min="12049" max="12288" width="16.42578125" style="582"/>
    <col min="12289" max="12289" width="6.140625" style="582" customWidth="1"/>
    <col min="12290" max="12290" width="9.42578125" style="582" customWidth="1"/>
    <col min="12291" max="12291" width="24.140625" style="582" customWidth="1"/>
    <col min="12292" max="12292" width="0" style="582" hidden="1" customWidth="1"/>
    <col min="12293" max="12299" width="10" style="582" customWidth="1"/>
    <col min="12300" max="12300" width="0" style="582" hidden="1" customWidth="1"/>
    <col min="12301" max="12301" width="16.85546875" style="582" bestFit="1" customWidth="1"/>
    <col min="12302" max="12302" width="18" style="582" bestFit="1" customWidth="1"/>
    <col min="12303" max="12303" width="6.140625" style="582" customWidth="1"/>
    <col min="12304" max="12304" width="8.5703125" style="582" customWidth="1"/>
    <col min="12305" max="12544" width="16.42578125" style="582"/>
    <col min="12545" max="12545" width="6.140625" style="582" customWidth="1"/>
    <col min="12546" max="12546" width="9.42578125" style="582" customWidth="1"/>
    <col min="12547" max="12547" width="24.140625" style="582" customWidth="1"/>
    <col min="12548" max="12548" width="0" style="582" hidden="1" customWidth="1"/>
    <col min="12549" max="12555" width="10" style="582" customWidth="1"/>
    <col min="12556" max="12556" width="0" style="582" hidden="1" customWidth="1"/>
    <col min="12557" max="12557" width="16.85546875" style="582" bestFit="1" customWidth="1"/>
    <col min="12558" max="12558" width="18" style="582" bestFit="1" customWidth="1"/>
    <col min="12559" max="12559" width="6.140625" style="582" customWidth="1"/>
    <col min="12560" max="12560" width="8.5703125" style="582" customWidth="1"/>
    <col min="12561" max="12800" width="16.42578125" style="582"/>
    <col min="12801" max="12801" width="6.140625" style="582" customWidth="1"/>
    <col min="12802" max="12802" width="9.42578125" style="582" customWidth="1"/>
    <col min="12803" max="12803" width="24.140625" style="582" customWidth="1"/>
    <col min="12804" max="12804" width="0" style="582" hidden="1" customWidth="1"/>
    <col min="12805" max="12811" width="10" style="582" customWidth="1"/>
    <col min="12812" max="12812" width="0" style="582" hidden="1" customWidth="1"/>
    <col min="12813" max="12813" width="16.85546875" style="582" bestFit="1" customWidth="1"/>
    <col min="12814" max="12814" width="18" style="582" bestFit="1" customWidth="1"/>
    <col min="12815" max="12815" width="6.140625" style="582" customWidth="1"/>
    <col min="12816" max="12816" width="8.5703125" style="582" customWidth="1"/>
    <col min="12817" max="13056" width="16.42578125" style="582"/>
    <col min="13057" max="13057" width="6.140625" style="582" customWidth="1"/>
    <col min="13058" max="13058" width="9.42578125" style="582" customWidth="1"/>
    <col min="13059" max="13059" width="24.140625" style="582" customWidth="1"/>
    <col min="13060" max="13060" width="0" style="582" hidden="1" customWidth="1"/>
    <col min="13061" max="13067" width="10" style="582" customWidth="1"/>
    <col min="13068" max="13068" width="0" style="582" hidden="1" customWidth="1"/>
    <col min="13069" max="13069" width="16.85546875" style="582" bestFit="1" customWidth="1"/>
    <col min="13070" max="13070" width="18" style="582" bestFit="1" customWidth="1"/>
    <col min="13071" max="13071" width="6.140625" style="582" customWidth="1"/>
    <col min="13072" max="13072" width="8.5703125" style="582" customWidth="1"/>
    <col min="13073" max="13312" width="16.42578125" style="582"/>
    <col min="13313" max="13313" width="6.140625" style="582" customWidth="1"/>
    <col min="13314" max="13314" width="9.42578125" style="582" customWidth="1"/>
    <col min="13315" max="13315" width="24.140625" style="582" customWidth="1"/>
    <col min="13316" max="13316" width="0" style="582" hidden="1" customWidth="1"/>
    <col min="13317" max="13323" width="10" style="582" customWidth="1"/>
    <col min="13324" max="13324" width="0" style="582" hidden="1" customWidth="1"/>
    <col min="13325" max="13325" width="16.85546875" style="582" bestFit="1" customWidth="1"/>
    <col min="13326" max="13326" width="18" style="582" bestFit="1" customWidth="1"/>
    <col min="13327" max="13327" width="6.140625" style="582" customWidth="1"/>
    <col min="13328" max="13328" width="8.5703125" style="582" customWidth="1"/>
    <col min="13329" max="13568" width="16.42578125" style="582"/>
    <col min="13569" max="13569" width="6.140625" style="582" customWidth="1"/>
    <col min="13570" max="13570" width="9.42578125" style="582" customWidth="1"/>
    <col min="13571" max="13571" width="24.140625" style="582" customWidth="1"/>
    <col min="13572" max="13572" width="0" style="582" hidden="1" customWidth="1"/>
    <col min="13573" max="13579" width="10" style="582" customWidth="1"/>
    <col min="13580" max="13580" width="0" style="582" hidden="1" customWidth="1"/>
    <col min="13581" max="13581" width="16.85546875" style="582" bestFit="1" customWidth="1"/>
    <col min="13582" max="13582" width="18" style="582" bestFit="1" customWidth="1"/>
    <col min="13583" max="13583" width="6.140625" style="582" customWidth="1"/>
    <col min="13584" max="13584" width="8.5703125" style="582" customWidth="1"/>
    <col min="13585" max="13824" width="16.42578125" style="582"/>
    <col min="13825" max="13825" width="6.140625" style="582" customWidth="1"/>
    <col min="13826" max="13826" width="9.42578125" style="582" customWidth="1"/>
    <col min="13827" max="13827" width="24.140625" style="582" customWidth="1"/>
    <col min="13828" max="13828" width="0" style="582" hidden="1" customWidth="1"/>
    <col min="13829" max="13835" width="10" style="582" customWidth="1"/>
    <col min="13836" max="13836" width="0" style="582" hidden="1" customWidth="1"/>
    <col min="13837" max="13837" width="16.85546875" style="582" bestFit="1" customWidth="1"/>
    <col min="13838" max="13838" width="18" style="582" bestFit="1" customWidth="1"/>
    <col min="13839" max="13839" width="6.140625" style="582" customWidth="1"/>
    <col min="13840" max="13840" width="8.5703125" style="582" customWidth="1"/>
    <col min="13841" max="14080" width="16.42578125" style="582"/>
    <col min="14081" max="14081" width="6.140625" style="582" customWidth="1"/>
    <col min="14082" max="14082" width="9.42578125" style="582" customWidth="1"/>
    <col min="14083" max="14083" width="24.140625" style="582" customWidth="1"/>
    <col min="14084" max="14084" width="0" style="582" hidden="1" customWidth="1"/>
    <col min="14085" max="14091" width="10" style="582" customWidth="1"/>
    <col min="14092" max="14092" width="0" style="582" hidden="1" customWidth="1"/>
    <col min="14093" max="14093" width="16.85546875" style="582" bestFit="1" customWidth="1"/>
    <col min="14094" max="14094" width="18" style="582" bestFit="1" customWidth="1"/>
    <col min="14095" max="14095" width="6.140625" style="582" customWidth="1"/>
    <col min="14096" max="14096" width="8.5703125" style="582" customWidth="1"/>
    <col min="14097" max="14336" width="16.42578125" style="582"/>
    <col min="14337" max="14337" width="6.140625" style="582" customWidth="1"/>
    <col min="14338" max="14338" width="9.42578125" style="582" customWidth="1"/>
    <col min="14339" max="14339" width="24.140625" style="582" customWidth="1"/>
    <col min="14340" max="14340" width="0" style="582" hidden="1" customWidth="1"/>
    <col min="14341" max="14347" width="10" style="582" customWidth="1"/>
    <col min="14348" max="14348" width="0" style="582" hidden="1" customWidth="1"/>
    <col min="14349" max="14349" width="16.85546875" style="582" bestFit="1" customWidth="1"/>
    <col min="14350" max="14350" width="18" style="582" bestFit="1" customWidth="1"/>
    <col min="14351" max="14351" width="6.140625" style="582" customWidth="1"/>
    <col min="14352" max="14352" width="8.5703125" style="582" customWidth="1"/>
    <col min="14353" max="14592" width="16.42578125" style="582"/>
    <col min="14593" max="14593" width="6.140625" style="582" customWidth="1"/>
    <col min="14594" max="14594" width="9.42578125" style="582" customWidth="1"/>
    <col min="14595" max="14595" width="24.140625" style="582" customWidth="1"/>
    <col min="14596" max="14596" width="0" style="582" hidden="1" customWidth="1"/>
    <col min="14597" max="14603" width="10" style="582" customWidth="1"/>
    <col min="14604" max="14604" width="0" style="582" hidden="1" customWidth="1"/>
    <col min="14605" max="14605" width="16.85546875" style="582" bestFit="1" customWidth="1"/>
    <col min="14606" max="14606" width="18" style="582" bestFit="1" customWidth="1"/>
    <col min="14607" max="14607" width="6.140625" style="582" customWidth="1"/>
    <col min="14608" max="14608" width="8.5703125" style="582" customWidth="1"/>
    <col min="14609" max="14848" width="16.42578125" style="582"/>
    <col min="14849" max="14849" width="6.140625" style="582" customWidth="1"/>
    <col min="14850" max="14850" width="9.42578125" style="582" customWidth="1"/>
    <col min="14851" max="14851" width="24.140625" style="582" customWidth="1"/>
    <col min="14852" max="14852" width="0" style="582" hidden="1" customWidth="1"/>
    <col min="14853" max="14859" width="10" style="582" customWidth="1"/>
    <col min="14860" max="14860" width="0" style="582" hidden="1" customWidth="1"/>
    <col min="14861" max="14861" width="16.85546875" style="582" bestFit="1" customWidth="1"/>
    <col min="14862" max="14862" width="18" style="582" bestFit="1" customWidth="1"/>
    <col min="14863" max="14863" width="6.140625" style="582" customWidth="1"/>
    <col min="14864" max="14864" width="8.5703125" style="582" customWidth="1"/>
    <col min="14865" max="15104" width="16.42578125" style="582"/>
    <col min="15105" max="15105" width="6.140625" style="582" customWidth="1"/>
    <col min="15106" max="15106" width="9.42578125" style="582" customWidth="1"/>
    <col min="15107" max="15107" width="24.140625" style="582" customWidth="1"/>
    <col min="15108" max="15108" width="0" style="582" hidden="1" customWidth="1"/>
    <col min="15109" max="15115" width="10" style="582" customWidth="1"/>
    <col min="15116" max="15116" width="0" style="582" hidden="1" customWidth="1"/>
    <col min="15117" max="15117" width="16.85546875" style="582" bestFit="1" customWidth="1"/>
    <col min="15118" max="15118" width="18" style="582" bestFit="1" customWidth="1"/>
    <col min="15119" max="15119" width="6.140625" style="582" customWidth="1"/>
    <col min="15120" max="15120" width="8.5703125" style="582" customWidth="1"/>
    <col min="15121" max="15360" width="16.42578125" style="582"/>
    <col min="15361" max="15361" width="6.140625" style="582" customWidth="1"/>
    <col min="15362" max="15362" width="9.42578125" style="582" customWidth="1"/>
    <col min="15363" max="15363" width="24.140625" style="582" customWidth="1"/>
    <col min="15364" max="15364" width="0" style="582" hidden="1" customWidth="1"/>
    <col min="15365" max="15371" width="10" style="582" customWidth="1"/>
    <col min="15372" max="15372" width="0" style="582" hidden="1" customWidth="1"/>
    <col min="15373" max="15373" width="16.85546875" style="582" bestFit="1" customWidth="1"/>
    <col min="15374" max="15374" width="18" style="582" bestFit="1" customWidth="1"/>
    <col min="15375" max="15375" width="6.140625" style="582" customWidth="1"/>
    <col min="15376" max="15376" width="8.5703125" style="582" customWidth="1"/>
    <col min="15377" max="15616" width="16.42578125" style="582"/>
    <col min="15617" max="15617" width="6.140625" style="582" customWidth="1"/>
    <col min="15618" max="15618" width="9.42578125" style="582" customWidth="1"/>
    <col min="15619" max="15619" width="24.140625" style="582" customWidth="1"/>
    <col min="15620" max="15620" width="0" style="582" hidden="1" customWidth="1"/>
    <col min="15621" max="15627" width="10" style="582" customWidth="1"/>
    <col min="15628" max="15628" width="0" style="582" hidden="1" customWidth="1"/>
    <col min="15629" max="15629" width="16.85546875" style="582" bestFit="1" customWidth="1"/>
    <col min="15630" max="15630" width="18" style="582" bestFit="1" customWidth="1"/>
    <col min="15631" max="15631" width="6.140625" style="582" customWidth="1"/>
    <col min="15632" max="15632" width="8.5703125" style="582" customWidth="1"/>
    <col min="15633" max="15872" width="16.42578125" style="582"/>
    <col min="15873" max="15873" width="6.140625" style="582" customWidth="1"/>
    <col min="15874" max="15874" width="9.42578125" style="582" customWidth="1"/>
    <col min="15875" max="15875" width="24.140625" style="582" customWidth="1"/>
    <col min="15876" max="15876" width="0" style="582" hidden="1" customWidth="1"/>
    <col min="15877" max="15883" width="10" style="582" customWidth="1"/>
    <col min="15884" max="15884" width="0" style="582" hidden="1" customWidth="1"/>
    <col min="15885" max="15885" width="16.85546875" style="582" bestFit="1" customWidth="1"/>
    <col min="15886" max="15886" width="18" style="582" bestFit="1" customWidth="1"/>
    <col min="15887" max="15887" width="6.140625" style="582" customWidth="1"/>
    <col min="15888" max="15888" width="8.5703125" style="582" customWidth="1"/>
    <col min="15889" max="16128" width="16.42578125" style="582"/>
    <col min="16129" max="16129" width="6.140625" style="582" customWidth="1"/>
    <col min="16130" max="16130" width="9.42578125" style="582" customWidth="1"/>
    <col min="16131" max="16131" width="24.140625" style="582" customWidth="1"/>
    <col min="16132" max="16132" width="0" style="582" hidden="1" customWidth="1"/>
    <col min="16133" max="16139" width="10" style="582" customWidth="1"/>
    <col min="16140" max="16140" width="0" style="582" hidden="1" customWidth="1"/>
    <col min="16141" max="16141" width="16.85546875" style="582" bestFit="1" customWidth="1"/>
    <col min="16142" max="16142" width="18" style="582" bestFit="1" customWidth="1"/>
    <col min="16143" max="16143" width="6.140625" style="582" customWidth="1"/>
    <col min="16144" max="16144" width="8.5703125" style="582" customWidth="1"/>
    <col min="16145" max="16384" width="16.42578125" style="582"/>
  </cols>
  <sheetData>
    <row r="1" spans="1:22">
      <c r="T1" t="s">
        <v>578</v>
      </c>
      <c r="U1" t="s">
        <v>1283</v>
      </c>
      <c r="V1" s="908" t="s">
        <v>1286</v>
      </c>
    </row>
    <row r="2" spans="1:22">
      <c r="S2" s="592" t="s">
        <v>195</v>
      </c>
      <c r="T2" t="s">
        <v>196</v>
      </c>
      <c r="U2">
        <v>11</v>
      </c>
      <c r="V2" s="908"/>
    </row>
    <row r="3" spans="1:22">
      <c r="S3" s="592" t="s">
        <v>189</v>
      </c>
      <c r="T3" t="s">
        <v>190</v>
      </c>
      <c r="U3">
        <v>15</v>
      </c>
      <c r="V3" s="908"/>
    </row>
    <row r="4" spans="1:22">
      <c r="A4" s="582" t="s">
        <v>1279</v>
      </c>
      <c r="S4" s="592" t="s">
        <v>33</v>
      </c>
      <c r="T4" t="s">
        <v>34</v>
      </c>
      <c r="U4">
        <v>10</v>
      </c>
      <c r="V4" s="908"/>
    </row>
    <row r="5" spans="1:22">
      <c r="A5" s="582" t="str">
        <f>"Districts Reporting Bilingual Enrollment = "&amp;Q7</f>
        <v>Districts Reporting Bilingual Enrollment = 192</v>
      </c>
      <c r="S5" s="592" t="s">
        <v>1287</v>
      </c>
      <c r="T5" t="s">
        <v>231</v>
      </c>
      <c r="U5">
        <v>2</v>
      </c>
      <c r="V5" s="908"/>
    </row>
    <row r="6" spans="1:22">
      <c r="M6" s="584" t="s">
        <v>740</v>
      </c>
      <c r="N6" s="585"/>
      <c r="O6" s="582" t="s">
        <v>819</v>
      </c>
      <c r="S6" s="592" t="s">
        <v>395</v>
      </c>
      <c r="T6" t="s">
        <v>396</v>
      </c>
      <c r="U6">
        <v>35</v>
      </c>
      <c r="V6" s="908"/>
    </row>
    <row r="7" spans="1:22">
      <c r="A7" s="582" t="s">
        <v>591</v>
      </c>
      <c r="B7" s="582" t="s">
        <v>592</v>
      </c>
      <c r="C7" s="582" t="s">
        <v>593</v>
      </c>
      <c r="D7" s="586" t="s">
        <v>867</v>
      </c>
      <c r="E7" s="586" t="s">
        <v>820</v>
      </c>
      <c r="F7" s="586" t="s">
        <v>821</v>
      </c>
      <c r="G7" s="586" t="s">
        <v>822</v>
      </c>
      <c r="H7" s="586" t="s">
        <v>823</v>
      </c>
      <c r="I7" s="586" t="s">
        <v>824</v>
      </c>
      <c r="J7" s="586" t="s">
        <v>825</v>
      </c>
      <c r="K7" s="586" t="s">
        <v>826</v>
      </c>
      <c r="L7" s="586" t="s">
        <v>827</v>
      </c>
      <c r="M7" s="584" t="s">
        <v>828</v>
      </c>
      <c r="N7" s="585" t="s">
        <v>1280</v>
      </c>
      <c r="O7" s="582" t="s">
        <v>829</v>
      </c>
      <c r="Q7" s="582" t="str">
        <f>FIXED(SUM(Q9:Q303),0,TRUE)</f>
        <v>192</v>
      </c>
      <c r="S7" s="592" t="s">
        <v>563</v>
      </c>
      <c r="T7" t="s">
        <v>564</v>
      </c>
      <c r="U7">
        <v>23</v>
      </c>
      <c r="V7" s="908"/>
    </row>
    <row r="8" spans="1:22">
      <c r="S8" s="592" t="s">
        <v>181</v>
      </c>
      <c r="T8" t="s">
        <v>182</v>
      </c>
      <c r="U8">
        <v>54</v>
      </c>
      <c r="V8" s="908"/>
    </row>
    <row r="9" spans="1:22">
      <c r="A9" s="582" t="s">
        <v>594</v>
      </c>
      <c r="B9" s="582" t="s">
        <v>132</v>
      </c>
      <c r="C9" s="582" t="s">
        <v>133</v>
      </c>
      <c r="D9" s="2">
        <v>214</v>
      </c>
      <c r="E9" s="587">
        <v>262</v>
      </c>
      <c r="F9" s="587">
        <v>260</v>
      </c>
      <c r="G9" s="587">
        <v>259</v>
      </c>
      <c r="H9" s="587">
        <v>258</v>
      </c>
      <c r="I9" s="587">
        <v>253</v>
      </c>
      <c r="J9" s="587">
        <v>235</v>
      </c>
      <c r="K9" s="587">
        <v>235</v>
      </c>
      <c r="L9" s="587">
        <v>0</v>
      </c>
      <c r="M9" s="583">
        <f t="shared" ref="M9:M72" si="0">ROUND(SUM(E9:L9)/7,2)</f>
        <v>251.71</v>
      </c>
      <c r="N9" s="582">
        <v>225131.9</v>
      </c>
      <c r="P9" s="582" t="s">
        <v>621</v>
      </c>
      <c r="Q9" s="582">
        <f t="shared" ref="Q9:Q72" si="1">IF(M9&gt;0,1,0)</f>
        <v>1</v>
      </c>
      <c r="S9" s="592" t="s">
        <v>201</v>
      </c>
      <c r="T9" t="s">
        <v>202</v>
      </c>
      <c r="U9">
        <v>4</v>
      </c>
      <c r="V9" s="908"/>
    </row>
    <row r="10" spans="1:22">
      <c r="A10" s="582" t="s">
        <v>594</v>
      </c>
      <c r="B10" s="582" t="s">
        <v>262</v>
      </c>
      <c r="C10" s="582" t="s">
        <v>263</v>
      </c>
      <c r="D10" s="2">
        <v>0</v>
      </c>
      <c r="E10" s="587">
        <v>0</v>
      </c>
      <c r="F10" s="587">
        <v>0</v>
      </c>
      <c r="G10" s="587">
        <v>0</v>
      </c>
      <c r="H10" s="587">
        <v>0</v>
      </c>
      <c r="I10" s="587">
        <v>0</v>
      </c>
      <c r="J10" s="587">
        <v>0</v>
      </c>
      <c r="K10" s="587">
        <v>0</v>
      </c>
      <c r="L10" s="587">
        <v>0</v>
      </c>
      <c r="M10" s="583">
        <f t="shared" si="0"/>
        <v>0</v>
      </c>
      <c r="N10" s="582">
        <v>0</v>
      </c>
      <c r="P10" s="582" t="s">
        <v>801</v>
      </c>
      <c r="Q10" s="582">
        <f t="shared" si="1"/>
        <v>0</v>
      </c>
      <c r="S10" s="592" t="s">
        <v>207</v>
      </c>
      <c r="T10" t="s">
        <v>208</v>
      </c>
      <c r="U10">
        <v>14</v>
      </c>
      <c r="V10" s="908"/>
    </row>
    <row r="11" spans="1:22">
      <c r="A11" s="582" t="s">
        <v>603</v>
      </c>
      <c r="B11" s="582" t="s">
        <v>283</v>
      </c>
      <c r="C11" s="582" t="s">
        <v>284</v>
      </c>
      <c r="D11" s="2">
        <v>0</v>
      </c>
      <c r="E11" s="587">
        <v>0</v>
      </c>
      <c r="F11" s="587">
        <v>0</v>
      </c>
      <c r="G11" s="587">
        <v>0</v>
      </c>
      <c r="H11" s="587">
        <v>0</v>
      </c>
      <c r="I11" s="587">
        <v>0</v>
      </c>
      <c r="J11" s="587">
        <v>0</v>
      </c>
      <c r="K11" s="587">
        <v>0</v>
      </c>
      <c r="L11" s="587">
        <v>0</v>
      </c>
      <c r="M11" s="583">
        <f t="shared" si="0"/>
        <v>0</v>
      </c>
      <c r="N11" s="582">
        <v>0</v>
      </c>
      <c r="P11" s="582" t="s">
        <v>801</v>
      </c>
      <c r="Q11" s="582">
        <f t="shared" si="1"/>
        <v>0</v>
      </c>
      <c r="S11" s="592" t="s">
        <v>145</v>
      </c>
      <c r="T11" t="s">
        <v>1284</v>
      </c>
      <c r="U11">
        <v>20</v>
      </c>
      <c r="V11" s="908"/>
    </row>
    <row r="12" spans="1:22">
      <c r="A12" s="582" t="s">
        <v>595</v>
      </c>
      <c r="B12" s="582" t="s">
        <v>380</v>
      </c>
      <c r="C12" s="582" t="s">
        <v>381</v>
      </c>
      <c r="D12" s="2">
        <v>47</v>
      </c>
      <c r="E12" s="587">
        <v>49</v>
      </c>
      <c r="F12" s="587">
        <v>50</v>
      </c>
      <c r="G12" s="587">
        <v>49</v>
      </c>
      <c r="H12" s="587">
        <v>49</v>
      </c>
      <c r="I12" s="587">
        <v>55</v>
      </c>
      <c r="J12" s="587">
        <v>52</v>
      </c>
      <c r="K12" s="587">
        <v>52</v>
      </c>
      <c r="L12" s="587">
        <v>0</v>
      </c>
      <c r="M12" s="583">
        <f t="shared" si="0"/>
        <v>50.86</v>
      </c>
      <c r="N12" s="582">
        <v>45910.69</v>
      </c>
      <c r="P12" s="582" t="s">
        <v>621</v>
      </c>
      <c r="Q12" s="582">
        <f t="shared" si="1"/>
        <v>1</v>
      </c>
      <c r="S12" s="592" t="s">
        <v>70</v>
      </c>
      <c r="T12" t="s">
        <v>71</v>
      </c>
      <c r="U12">
        <v>8</v>
      </c>
      <c r="V12" s="908"/>
    </row>
    <row r="13" spans="1:22">
      <c r="A13" s="582" t="s">
        <v>595</v>
      </c>
      <c r="B13" s="582" t="s">
        <v>403</v>
      </c>
      <c r="C13" s="582" t="s">
        <v>404</v>
      </c>
      <c r="D13" s="2">
        <v>151</v>
      </c>
      <c r="E13" s="587">
        <v>160</v>
      </c>
      <c r="F13" s="587">
        <v>161</v>
      </c>
      <c r="G13" s="587">
        <v>164</v>
      </c>
      <c r="H13" s="587">
        <v>165</v>
      </c>
      <c r="I13" s="587">
        <v>166</v>
      </c>
      <c r="J13" s="587">
        <v>164</v>
      </c>
      <c r="K13" s="587">
        <v>167</v>
      </c>
      <c r="L13" s="587">
        <v>0</v>
      </c>
      <c r="M13" s="583">
        <f t="shared" si="0"/>
        <v>163.86</v>
      </c>
      <c r="N13" s="582">
        <v>144357.04</v>
      </c>
      <c r="P13" s="582" t="s">
        <v>621</v>
      </c>
      <c r="Q13" s="582">
        <f t="shared" si="1"/>
        <v>1</v>
      </c>
      <c r="S13" s="592" t="s">
        <v>25</v>
      </c>
      <c r="T13" t="s">
        <v>26</v>
      </c>
      <c r="U13">
        <v>1</v>
      </c>
      <c r="V13" s="908"/>
    </row>
    <row r="14" spans="1:22">
      <c r="A14" s="582" t="s">
        <v>596</v>
      </c>
      <c r="B14" s="582" t="s">
        <v>12</v>
      </c>
      <c r="C14" s="582" t="s">
        <v>13</v>
      </c>
      <c r="D14" s="2">
        <v>1</v>
      </c>
      <c r="E14" s="587">
        <v>1</v>
      </c>
      <c r="F14" s="587">
        <v>1</v>
      </c>
      <c r="G14" s="587">
        <v>1</v>
      </c>
      <c r="H14" s="587">
        <v>1</v>
      </c>
      <c r="I14" s="587">
        <v>1</v>
      </c>
      <c r="J14" s="587">
        <v>1</v>
      </c>
      <c r="K14" s="587">
        <v>1</v>
      </c>
      <c r="L14" s="587">
        <v>0</v>
      </c>
      <c r="M14" s="583">
        <f t="shared" si="0"/>
        <v>1</v>
      </c>
      <c r="N14" s="582">
        <v>902.53</v>
      </c>
      <c r="P14" s="582" t="s">
        <v>621</v>
      </c>
      <c r="Q14" s="582">
        <f t="shared" si="1"/>
        <v>1</v>
      </c>
      <c r="S14" s="592" t="s">
        <v>409</v>
      </c>
      <c r="T14" t="s">
        <v>410</v>
      </c>
      <c r="U14">
        <v>6</v>
      </c>
      <c r="V14" s="908"/>
    </row>
    <row r="15" spans="1:22">
      <c r="A15" s="582" t="s">
        <v>597</v>
      </c>
      <c r="B15" s="582" t="s">
        <v>195</v>
      </c>
      <c r="C15" s="582" t="s">
        <v>196</v>
      </c>
      <c r="D15" s="2">
        <v>1548</v>
      </c>
      <c r="E15" s="587">
        <v>1778</v>
      </c>
      <c r="F15" s="587">
        <v>1781</v>
      </c>
      <c r="G15" s="587">
        <v>1796</v>
      </c>
      <c r="H15" s="587">
        <v>1795</v>
      </c>
      <c r="I15" s="587">
        <v>1813</v>
      </c>
      <c r="J15" s="587">
        <v>1823</v>
      </c>
      <c r="K15" s="587">
        <v>1822</v>
      </c>
      <c r="L15" s="587">
        <v>0</v>
      </c>
      <c r="M15" s="583">
        <f t="shared" si="0"/>
        <v>1801.14</v>
      </c>
      <c r="N15" s="582">
        <v>1580598.19</v>
      </c>
      <c r="P15" s="582" t="s">
        <v>621</v>
      </c>
      <c r="Q15" s="582">
        <f t="shared" si="1"/>
        <v>1</v>
      </c>
      <c r="S15" s="592" t="s">
        <v>571</v>
      </c>
      <c r="T15" t="s">
        <v>572</v>
      </c>
      <c r="U15">
        <v>118</v>
      </c>
      <c r="V15" s="908"/>
    </row>
    <row r="16" spans="1:22">
      <c r="A16" s="582" t="s">
        <v>597</v>
      </c>
      <c r="B16" s="582" t="s">
        <v>213</v>
      </c>
      <c r="C16" s="582" t="s">
        <v>598</v>
      </c>
      <c r="D16" s="2">
        <v>23</v>
      </c>
      <c r="E16" s="587">
        <v>27</v>
      </c>
      <c r="F16" s="587">
        <v>27</v>
      </c>
      <c r="G16" s="587">
        <v>27</v>
      </c>
      <c r="H16" s="587">
        <v>26</v>
      </c>
      <c r="I16" s="587">
        <v>26</v>
      </c>
      <c r="J16" s="587">
        <v>26</v>
      </c>
      <c r="K16" s="587">
        <v>26</v>
      </c>
      <c r="L16" s="587">
        <v>0</v>
      </c>
      <c r="M16" s="583">
        <f t="shared" si="0"/>
        <v>26.43</v>
      </c>
      <c r="N16" s="582">
        <v>24025.06</v>
      </c>
      <c r="P16" s="582" t="s">
        <v>621</v>
      </c>
      <c r="Q16" s="582">
        <f t="shared" si="1"/>
        <v>1</v>
      </c>
      <c r="S16" s="592" t="s">
        <v>209</v>
      </c>
      <c r="T16" t="s">
        <v>210</v>
      </c>
      <c r="U16">
        <v>28</v>
      </c>
      <c r="V16" s="908"/>
    </row>
    <row r="17" spans="1:22">
      <c r="A17" s="582" t="s">
        <v>599</v>
      </c>
      <c r="B17" s="582" t="s">
        <v>62</v>
      </c>
      <c r="C17" s="582" t="s">
        <v>63</v>
      </c>
      <c r="D17" s="2">
        <v>463</v>
      </c>
      <c r="E17" s="587">
        <v>600</v>
      </c>
      <c r="F17" s="587">
        <v>624</v>
      </c>
      <c r="G17" s="587">
        <v>639</v>
      </c>
      <c r="H17" s="587">
        <v>637</v>
      </c>
      <c r="I17" s="587">
        <v>651</v>
      </c>
      <c r="J17" s="587">
        <v>660</v>
      </c>
      <c r="K17" s="587">
        <v>661</v>
      </c>
      <c r="L17" s="587">
        <v>0</v>
      </c>
      <c r="M17" s="583">
        <f t="shared" si="0"/>
        <v>638.86</v>
      </c>
      <c r="N17" s="582">
        <v>552757.31000000006</v>
      </c>
      <c r="P17" s="582" t="s">
        <v>621</v>
      </c>
      <c r="Q17" s="582">
        <f t="shared" si="1"/>
        <v>1</v>
      </c>
      <c r="S17" s="592" t="s">
        <v>478</v>
      </c>
      <c r="T17" t="s">
        <v>479</v>
      </c>
      <c r="U17">
        <v>1</v>
      </c>
      <c r="V17" s="908"/>
    </row>
    <row r="18" spans="1:22">
      <c r="A18" s="582" t="s">
        <v>597</v>
      </c>
      <c r="B18" s="582" t="s">
        <v>189</v>
      </c>
      <c r="C18" s="582" t="s">
        <v>190</v>
      </c>
      <c r="D18" s="2">
        <v>1999</v>
      </c>
      <c r="E18" s="587">
        <v>1614</v>
      </c>
      <c r="F18" s="587">
        <v>1611</v>
      </c>
      <c r="G18" s="587">
        <v>1621</v>
      </c>
      <c r="H18" s="587">
        <v>1622</v>
      </c>
      <c r="I18" s="587">
        <v>1654</v>
      </c>
      <c r="J18" s="587">
        <v>1676</v>
      </c>
      <c r="K18" s="587">
        <v>1686</v>
      </c>
      <c r="L18" s="587">
        <v>0</v>
      </c>
      <c r="M18" s="583">
        <f t="shared" si="0"/>
        <v>1640.57</v>
      </c>
      <c r="N18" s="582">
        <v>1359117.19</v>
      </c>
      <c r="P18" s="582" t="s">
        <v>621</v>
      </c>
      <c r="Q18" s="582">
        <f t="shared" si="1"/>
        <v>1</v>
      </c>
      <c r="S18" s="592" t="s">
        <v>484</v>
      </c>
      <c r="T18" t="s">
        <v>485</v>
      </c>
      <c r="U18">
        <v>10</v>
      </c>
      <c r="V18" s="908"/>
    </row>
    <row r="19" spans="1:22">
      <c r="A19" s="582" t="s">
        <v>595</v>
      </c>
      <c r="B19" s="582" t="s">
        <v>504</v>
      </c>
      <c r="C19" s="582" t="s">
        <v>505</v>
      </c>
      <c r="D19" s="2">
        <v>468</v>
      </c>
      <c r="E19" s="587">
        <v>593</v>
      </c>
      <c r="F19" s="587">
        <v>597</v>
      </c>
      <c r="G19" s="587">
        <v>607</v>
      </c>
      <c r="H19" s="587">
        <v>605</v>
      </c>
      <c r="I19" s="587">
        <v>607</v>
      </c>
      <c r="J19" s="587">
        <v>607</v>
      </c>
      <c r="K19" s="587">
        <v>600</v>
      </c>
      <c r="L19" s="587">
        <v>0</v>
      </c>
      <c r="M19" s="583">
        <f t="shared" si="0"/>
        <v>602.29</v>
      </c>
      <c r="N19" s="582">
        <v>532028.99</v>
      </c>
      <c r="P19" s="582" t="s">
        <v>621</v>
      </c>
      <c r="Q19" s="582">
        <f t="shared" si="1"/>
        <v>1</v>
      </c>
      <c r="S19" s="592" t="s">
        <v>123</v>
      </c>
      <c r="T19" t="s">
        <v>124</v>
      </c>
      <c r="U19">
        <v>3</v>
      </c>
      <c r="V19" s="908"/>
    </row>
    <row r="20" spans="1:22">
      <c r="A20" s="582" t="s">
        <v>603</v>
      </c>
      <c r="B20" s="582" t="s">
        <v>2</v>
      </c>
      <c r="C20" s="582" t="s">
        <v>3</v>
      </c>
      <c r="D20" s="2">
        <v>0</v>
      </c>
      <c r="E20" s="587"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3">
        <f t="shared" si="0"/>
        <v>0</v>
      </c>
      <c r="N20" s="582">
        <v>0</v>
      </c>
      <c r="P20" s="582" t="s">
        <v>801</v>
      </c>
      <c r="Q20" s="582">
        <f t="shared" si="1"/>
        <v>0</v>
      </c>
      <c r="S20" s="592" t="s">
        <v>199</v>
      </c>
      <c r="T20" t="s">
        <v>200</v>
      </c>
      <c r="U20">
        <v>8</v>
      </c>
      <c r="V20" s="908"/>
    </row>
    <row r="21" spans="1:22">
      <c r="A21" s="582" t="s">
        <v>597</v>
      </c>
      <c r="B21" s="582" t="s">
        <v>363</v>
      </c>
      <c r="C21" s="582" t="s">
        <v>364</v>
      </c>
      <c r="D21" s="2">
        <v>224</v>
      </c>
      <c r="E21" s="587">
        <v>252</v>
      </c>
      <c r="F21" s="587">
        <v>266</v>
      </c>
      <c r="G21" s="587">
        <v>271</v>
      </c>
      <c r="H21" s="587">
        <v>272</v>
      </c>
      <c r="I21" s="587">
        <v>269</v>
      </c>
      <c r="J21" s="587">
        <v>272</v>
      </c>
      <c r="K21" s="587">
        <v>285</v>
      </c>
      <c r="L21" s="587">
        <v>0</v>
      </c>
      <c r="M21" s="583">
        <f t="shared" si="0"/>
        <v>269.57</v>
      </c>
      <c r="N21" s="582">
        <v>234628.25</v>
      </c>
      <c r="P21" s="582" t="s">
        <v>621</v>
      </c>
      <c r="Q21" s="582">
        <f t="shared" si="1"/>
        <v>1</v>
      </c>
      <c r="S21" s="592" t="s">
        <v>351</v>
      </c>
      <c r="T21" t="s">
        <v>352</v>
      </c>
      <c r="U21">
        <v>12</v>
      </c>
      <c r="V21" s="908"/>
    </row>
    <row r="22" spans="1:22">
      <c r="A22" s="582" t="s">
        <v>605</v>
      </c>
      <c r="B22" s="582" t="s">
        <v>234</v>
      </c>
      <c r="C22" s="582" t="s">
        <v>235</v>
      </c>
      <c r="D22" s="2">
        <v>0</v>
      </c>
      <c r="E22" s="587"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3">
        <f t="shared" si="0"/>
        <v>0</v>
      </c>
      <c r="N22" s="582">
        <v>0</v>
      </c>
      <c r="P22" s="582" t="s">
        <v>801</v>
      </c>
      <c r="Q22" s="582">
        <f t="shared" si="1"/>
        <v>0</v>
      </c>
      <c r="S22" s="592" t="s">
        <v>559</v>
      </c>
      <c r="T22" t="s">
        <v>560</v>
      </c>
      <c r="U22">
        <v>228</v>
      </c>
      <c r="V22" s="908"/>
    </row>
    <row r="23" spans="1:22">
      <c r="A23" s="582" t="s">
        <v>595</v>
      </c>
      <c r="B23" s="582" t="s">
        <v>508</v>
      </c>
      <c r="C23" s="582" t="s">
        <v>509</v>
      </c>
      <c r="D23" s="2">
        <v>67</v>
      </c>
      <c r="E23" s="587">
        <v>72</v>
      </c>
      <c r="F23" s="587">
        <v>72</v>
      </c>
      <c r="G23" s="587">
        <v>72</v>
      </c>
      <c r="H23" s="587">
        <v>71</v>
      </c>
      <c r="I23" s="587">
        <v>73</v>
      </c>
      <c r="J23" s="587">
        <v>71</v>
      </c>
      <c r="K23" s="587">
        <v>74</v>
      </c>
      <c r="L23" s="587">
        <v>0</v>
      </c>
      <c r="M23" s="583">
        <f t="shared" si="0"/>
        <v>72.14</v>
      </c>
      <c r="N23" s="582">
        <v>64288.66</v>
      </c>
      <c r="P23" s="582" t="s">
        <v>621</v>
      </c>
      <c r="Q23" s="582">
        <f t="shared" si="1"/>
        <v>1</v>
      </c>
      <c r="S23" s="592" t="s">
        <v>496</v>
      </c>
      <c r="T23" t="s">
        <v>497</v>
      </c>
      <c r="U23">
        <v>3</v>
      </c>
      <c r="V23" s="908"/>
    </row>
    <row r="24" spans="1:22">
      <c r="A24" s="582" t="s">
        <v>594</v>
      </c>
      <c r="B24" s="582" t="s">
        <v>266</v>
      </c>
      <c r="C24" s="582" t="s">
        <v>267</v>
      </c>
      <c r="D24" s="2">
        <v>0</v>
      </c>
      <c r="E24" s="587">
        <v>0</v>
      </c>
      <c r="F24" s="587">
        <v>0</v>
      </c>
      <c r="G24" s="587">
        <v>0</v>
      </c>
      <c r="H24" s="587">
        <v>0</v>
      </c>
      <c r="I24" s="587">
        <v>0</v>
      </c>
      <c r="J24" s="587">
        <v>0</v>
      </c>
      <c r="K24" s="587">
        <v>0</v>
      </c>
      <c r="L24" s="587">
        <v>0</v>
      </c>
      <c r="M24" s="583">
        <f t="shared" si="0"/>
        <v>0</v>
      </c>
      <c r="N24" s="582">
        <v>0</v>
      </c>
      <c r="P24" s="582" t="s">
        <v>801</v>
      </c>
      <c r="Q24" s="582">
        <f t="shared" si="1"/>
        <v>0</v>
      </c>
      <c r="S24" s="592" t="s">
        <v>49</v>
      </c>
      <c r="T24" t="s">
        <v>50</v>
      </c>
      <c r="U24">
        <v>82</v>
      </c>
      <c r="V24" s="908"/>
    </row>
    <row r="25" spans="1:22">
      <c r="A25" s="582" t="s">
        <v>600</v>
      </c>
      <c r="B25" s="582" t="s">
        <v>211</v>
      </c>
      <c r="C25" s="582" t="s">
        <v>212</v>
      </c>
      <c r="D25" s="2">
        <v>84</v>
      </c>
      <c r="E25" s="587">
        <v>117</v>
      </c>
      <c r="F25" s="587">
        <v>121</v>
      </c>
      <c r="G25" s="587">
        <v>125</v>
      </c>
      <c r="H25" s="587">
        <v>129</v>
      </c>
      <c r="I25" s="587">
        <v>131</v>
      </c>
      <c r="J25" s="587">
        <v>131</v>
      </c>
      <c r="K25" s="587">
        <v>129</v>
      </c>
      <c r="L25" s="587">
        <v>0</v>
      </c>
      <c r="M25" s="583">
        <f t="shared" si="0"/>
        <v>126.14</v>
      </c>
      <c r="N25" s="582">
        <v>109275.96</v>
      </c>
      <c r="P25" s="582" t="s">
        <v>621</v>
      </c>
      <c r="Q25" s="582">
        <f t="shared" si="1"/>
        <v>1</v>
      </c>
      <c r="S25" s="592" t="s">
        <v>567</v>
      </c>
      <c r="T25" t="s">
        <v>568</v>
      </c>
      <c r="U25">
        <v>358</v>
      </c>
      <c r="V25" s="908"/>
    </row>
    <row r="26" spans="1:22">
      <c r="A26" s="582" t="s">
        <v>601</v>
      </c>
      <c r="B26" s="582" t="s">
        <v>315</v>
      </c>
      <c r="C26" s="582" t="s">
        <v>316</v>
      </c>
      <c r="D26" s="2">
        <v>307</v>
      </c>
      <c r="E26" s="587">
        <v>319</v>
      </c>
      <c r="F26" s="587">
        <v>379</v>
      </c>
      <c r="G26" s="587">
        <v>382</v>
      </c>
      <c r="H26" s="587">
        <v>383</v>
      </c>
      <c r="I26" s="587">
        <v>386</v>
      </c>
      <c r="J26" s="587">
        <v>380</v>
      </c>
      <c r="K26" s="587">
        <v>382</v>
      </c>
      <c r="L26" s="587">
        <v>0</v>
      </c>
      <c r="M26" s="583">
        <f t="shared" si="0"/>
        <v>373</v>
      </c>
      <c r="N26" s="582">
        <v>331155.15000000002</v>
      </c>
      <c r="P26" s="582" t="s">
        <v>621</v>
      </c>
      <c r="Q26" s="582">
        <f t="shared" si="1"/>
        <v>1</v>
      </c>
      <c r="S26" s="592" t="s">
        <v>118</v>
      </c>
      <c r="T26" t="s">
        <v>119</v>
      </c>
      <c r="U26">
        <v>1</v>
      </c>
      <c r="V26" s="908"/>
    </row>
    <row r="27" spans="1:22">
      <c r="A27" s="582" t="s">
        <v>601</v>
      </c>
      <c r="B27" s="582" t="s">
        <v>84</v>
      </c>
      <c r="C27" s="582" t="s">
        <v>85</v>
      </c>
      <c r="D27" s="2">
        <v>308</v>
      </c>
      <c r="E27" s="587">
        <v>323</v>
      </c>
      <c r="F27" s="587">
        <v>325</v>
      </c>
      <c r="G27" s="587">
        <v>313</v>
      </c>
      <c r="H27" s="587">
        <v>306</v>
      </c>
      <c r="I27" s="587">
        <v>314</v>
      </c>
      <c r="J27" s="587">
        <v>312</v>
      </c>
      <c r="K27" s="587">
        <v>314</v>
      </c>
      <c r="L27" s="587">
        <v>0</v>
      </c>
      <c r="M27" s="583">
        <f t="shared" si="0"/>
        <v>315.29000000000002</v>
      </c>
      <c r="N27" s="582">
        <v>259720.45</v>
      </c>
      <c r="P27" s="582" t="s">
        <v>621</v>
      </c>
      <c r="Q27" s="582">
        <f t="shared" si="1"/>
        <v>1</v>
      </c>
      <c r="S27" s="592" t="s">
        <v>248</v>
      </c>
      <c r="T27" t="s">
        <v>249</v>
      </c>
      <c r="U27">
        <v>3</v>
      </c>
      <c r="V27" s="908"/>
    </row>
    <row r="28" spans="1:22">
      <c r="A28" s="582" t="s">
        <v>600</v>
      </c>
      <c r="B28" s="582" t="s">
        <v>165</v>
      </c>
      <c r="C28" s="582" t="s">
        <v>166</v>
      </c>
      <c r="D28" s="2">
        <v>0</v>
      </c>
      <c r="E28" s="587">
        <v>0</v>
      </c>
      <c r="F28" s="587">
        <v>0</v>
      </c>
      <c r="G28" s="587">
        <v>0</v>
      </c>
      <c r="H28" s="587">
        <v>0</v>
      </c>
      <c r="I28" s="587">
        <v>0</v>
      </c>
      <c r="J28" s="587">
        <v>0</v>
      </c>
      <c r="K28" s="587">
        <v>0</v>
      </c>
      <c r="L28" s="587">
        <v>0</v>
      </c>
      <c r="M28" s="583">
        <f t="shared" si="0"/>
        <v>0</v>
      </c>
      <c r="N28" s="582">
        <v>0</v>
      </c>
      <c r="P28" s="582" t="s">
        <v>801</v>
      </c>
      <c r="Q28" s="582">
        <f t="shared" si="1"/>
        <v>0</v>
      </c>
      <c r="S28" s="592" t="s">
        <v>264</v>
      </c>
      <c r="T28" t="s">
        <v>265</v>
      </c>
      <c r="U28">
        <v>7</v>
      </c>
      <c r="V28" s="908"/>
    </row>
    <row r="29" spans="1:22">
      <c r="A29" s="582" t="s">
        <v>595</v>
      </c>
      <c r="B29" s="582" t="s">
        <v>378</v>
      </c>
      <c r="C29" s="582" t="s">
        <v>602</v>
      </c>
      <c r="D29" s="2">
        <v>537</v>
      </c>
      <c r="E29" s="587">
        <v>631</v>
      </c>
      <c r="F29" s="587">
        <v>602</v>
      </c>
      <c r="G29" s="587">
        <v>572</v>
      </c>
      <c r="H29" s="587">
        <v>577</v>
      </c>
      <c r="I29" s="587">
        <v>578</v>
      </c>
      <c r="J29" s="587">
        <v>579</v>
      </c>
      <c r="K29" s="587">
        <v>588</v>
      </c>
      <c r="L29" s="587">
        <v>0</v>
      </c>
      <c r="M29" s="583">
        <f t="shared" si="0"/>
        <v>589.57000000000005</v>
      </c>
      <c r="N29" s="582">
        <v>509408.48</v>
      </c>
      <c r="P29" s="582" t="s">
        <v>621</v>
      </c>
      <c r="Q29" s="582">
        <f t="shared" si="1"/>
        <v>1</v>
      </c>
      <c r="S29" s="592" t="s">
        <v>547</v>
      </c>
      <c r="T29" t="s">
        <v>548</v>
      </c>
      <c r="U29">
        <v>8</v>
      </c>
      <c r="V29" s="908"/>
    </row>
    <row r="30" spans="1:22">
      <c r="A30" s="582" t="s">
        <v>599</v>
      </c>
      <c r="B30" s="582" t="s">
        <v>60</v>
      </c>
      <c r="C30" s="582" t="s">
        <v>61</v>
      </c>
      <c r="D30" s="2">
        <v>78</v>
      </c>
      <c r="E30" s="587">
        <v>108</v>
      </c>
      <c r="F30" s="587">
        <v>113</v>
      </c>
      <c r="G30" s="587">
        <v>113</v>
      </c>
      <c r="H30" s="587">
        <v>111</v>
      </c>
      <c r="I30" s="587">
        <v>113</v>
      </c>
      <c r="J30" s="587">
        <v>113</v>
      </c>
      <c r="K30" s="587">
        <v>113</v>
      </c>
      <c r="L30" s="587">
        <v>0</v>
      </c>
      <c r="M30" s="583">
        <f t="shared" si="0"/>
        <v>112</v>
      </c>
      <c r="N30" s="582">
        <v>97460.69</v>
      </c>
      <c r="P30" s="582" t="s">
        <v>621</v>
      </c>
      <c r="Q30" s="582">
        <f t="shared" si="1"/>
        <v>1</v>
      </c>
      <c r="T30" t="s">
        <v>1285</v>
      </c>
      <c r="U30">
        <v>1073</v>
      </c>
      <c r="V30" s="908"/>
    </row>
    <row r="31" spans="1:22">
      <c r="A31" s="582" t="s">
        <v>600</v>
      </c>
      <c r="B31" s="582" t="s">
        <v>45</v>
      </c>
      <c r="C31" s="582" t="s">
        <v>46</v>
      </c>
      <c r="D31" s="2">
        <v>0</v>
      </c>
      <c r="E31" s="587">
        <v>0</v>
      </c>
      <c r="F31" s="587">
        <v>0</v>
      </c>
      <c r="G31" s="587">
        <v>0</v>
      </c>
      <c r="H31" s="587">
        <v>0</v>
      </c>
      <c r="I31" s="587">
        <v>0</v>
      </c>
      <c r="J31" s="587">
        <v>0</v>
      </c>
      <c r="K31" s="587">
        <v>0</v>
      </c>
      <c r="L31" s="587">
        <v>0</v>
      </c>
      <c r="M31" s="583">
        <f t="shared" si="0"/>
        <v>0</v>
      </c>
      <c r="N31" s="582">
        <v>0</v>
      </c>
      <c r="P31" s="582" t="s">
        <v>801</v>
      </c>
      <c r="Q31" s="582">
        <f t="shared" si="1"/>
        <v>0</v>
      </c>
    </row>
    <row r="32" spans="1:22">
      <c r="A32" s="582" t="s">
        <v>597</v>
      </c>
      <c r="B32" s="582" t="s">
        <v>347</v>
      </c>
      <c r="C32" s="582" t="s">
        <v>348</v>
      </c>
      <c r="D32" s="2">
        <v>0</v>
      </c>
      <c r="E32" s="587">
        <v>0</v>
      </c>
      <c r="F32" s="587">
        <v>0</v>
      </c>
      <c r="G32" s="587">
        <v>0</v>
      </c>
      <c r="H32" s="587">
        <v>0</v>
      </c>
      <c r="I32" s="587">
        <v>0</v>
      </c>
      <c r="J32" s="587">
        <v>0</v>
      </c>
      <c r="K32" s="587">
        <v>0</v>
      </c>
      <c r="L32" s="587">
        <v>0</v>
      </c>
      <c r="M32" s="583">
        <f t="shared" si="0"/>
        <v>0</v>
      </c>
      <c r="N32" s="582">
        <v>0</v>
      </c>
      <c r="P32" s="582" t="s">
        <v>801</v>
      </c>
      <c r="Q32" s="582">
        <f t="shared" si="1"/>
        <v>0</v>
      </c>
    </row>
    <row r="33" spans="1:17">
      <c r="A33" s="582" t="s">
        <v>601</v>
      </c>
      <c r="B33" s="582" t="s">
        <v>35</v>
      </c>
      <c r="C33" s="582" t="s">
        <v>36</v>
      </c>
      <c r="D33" s="2">
        <v>163</v>
      </c>
      <c r="E33" s="587">
        <v>163</v>
      </c>
      <c r="F33" s="587">
        <v>164</v>
      </c>
      <c r="G33" s="587">
        <v>164</v>
      </c>
      <c r="H33" s="587">
        <v>161</v>
      </c>
      <c r="I33" s="587">
        <v>156</v>
      </c>
      <c r="J33" s="587">
        <v>156</v>
      </c>
      <c r="K33" s="587">
        <v>154</v>
      </c>
      <c r="L33" s="587">
        <v>0</v>
      </c>
      <c r="M33" s="583">
        <f t="shared" si="0"/>
        <v>159.71</v>
      </c>
      <c r="N33" s="582">
        <v>139348.44</v>
      </c>
      <c r="P33" s="582" t="s">
        <v>621</v>
      </c>
      <c r="Q33" s="582">
        <f t="shared" si="1"/>
        <v>1</v>
      </c>
    </row>
    <row r="34" spans="1:17">
      <c r="A34" s="582" t="s">
        <v>601</v>
      </c>
      <c r="B34" s="582" t="s">
        <v>33</v>
      </c>
      <c r="C34" s="582" t="s">
        <v>34</v>
      </c>
      <c r="D34" s="2">
        <v>209</v>
      </c>
      <c r="E34" s="587">
        <v>210</v>
      </c>
      <c r="F34" s="587">
        <v>207</v>
      </c>
      <c r="G34" s="587">
        <v>207</v>
      </c>
      <c r="H34" s="587">
        <v>209</v>
      </c>
      <c r="I34" s="587">
        <v>205</v>
      </c>
      <c r="J34" s="587">
        <v>213</v>
      </c>
      <c r="K34" s="587">
        <v>213</v>
      </c>
      <c r="L34" s="587">
        <v>0</v>
      </c>
      <c r="M34" s="583">
        <f t="shared" si="0"/>
        <v>209.14</v>
      </c>
      <c r="N34" s="582">
        <v>191061.52</v>
      </c>
      <c r="P34" s="582" t="s">
        <v>621</v>
      </c>
      <c r="Q34" s="582">
        <f t="shared" si="1"/>
        <v>1</v>
      </c>
    </row>
    <row r="35" spans="1:17">
      <c r="A35" s="582" t="s">
        <v>599</v>
      </c>
      <c r="B35" s="582" t="s">
        <v>74</v>
      </c>
      <c r="C35" s="582" t="s">
        <v>75</v>
      </c>
      <c r="D35" s="2">
        <v>30</v>
      </c>
      <c r="E35" s="587">
        <v>29</v>
      </c>
      <c r="F35" s="587">
        <v>28</v>
      </c>
      <c r="G35" s="587">
        <v>27</v>
      </c>
      <c r="H35" s="587">
        <v>28</v>
      </c>
      <c r="I35" s="587">
        <v>28</v>
      </c>
      <c r="J35" s="587">
        <v>28</v>
      </c>
      <c r="K35" s="587">
        <v>30</v>
      </c>
      <c r="L35" s="587">
        <v>0</v>
      </c>
      <c r="M35" s="583">
        <f t="shared" si="0"/>
        <v>28.29</v>
      </c>
      <c r="N35" s="582">
        <v>24277.52</v>
      </c>
      <c r="P35" s="582" t="s">
        <v>621</v>
      </c>
      <c r="Q35" s="582">
        <f t="shared" si="1"/>
        <v>1</v>
      </c>
    </row>
    <row r="36" spans="1:17">
      <c r="A36" s="582" t="s">
        <v>599</v>
      </c>
      <c r="B36" s="582" t="s">
        <v>236</v>
      </c>
      <c r="C36" s="582" t="s">
        <v>237</v>
      </c>
      <c r="D36" s="2">
        <v>0</v>
      </c>
      <c r="E36" s="587">
        <v>0</v>
      </c>
      <c r="F36" s="587">
        <v>0</v>
      </c>
      <c r="G36" s="587">
        <v>0</v>
      </c>
      <c r="H36" s="587">
        <v>0</v>
      </c>
      <c r="I36" s="587">
        <v>0</v>
      </c>
      <c r="J36" s="587">
        <v>0</v>
      </c>
      <c r="K36" s="587">
        <v>0</v>
      </c>
      <c r="L36" s="587">
        <v>0</v>
      </c>
      <c r="M36" s="583">
        <f t="shared" si="0"/>
        <v>0</v>
      </c>
      <c r="N36" s="582">
        <v>0</v>
      </c>
      <c r="P36" s="582" t="s">
        <v>801</v>
      </c>
      <c r="Q36" s="582">
        <f t="shared" si="1"/>
        <v>0</v>
      </c>
    </row>
    <row r="37" spans="1:17">
      <c r="A37" s="582" t="s">
        <v>600</v>
      </c>
      <c r="B37" s="582" t="s">
        <v>216</v>
      </c>
      <c r="C37" s="582" t="s">
        <v>217</v>
      </c>
      <c r="D37" s="2">
        <v>219</v>
      </c>
      <c r="E37" s="587">
        <v>218</v>
      </c>
      <c r="F37" s="587">
        <v>224</v>
      </c>
      <c r="G37" s="587">
        <v>220</v>
      </c>
      <c r="H37" s="587">
        <v>224</v>
      </c>
      <c r="I37" s="587">
        <v>225</v>
      </c>
      <c r="J37" s="587">
        <v>215</v>
      </c>
      <c r="K37" s="587">
        <v>215</v>
      </c>
      <c r="L37" s="587">
        <v>0</v>
      </c>
      <c r="M37" s="583">
        <f t="shared" si="0"/>
        <v>220.14</v>
      </c>
      <c r="N37" s="582">
        <v>200806.11</v>
      </c>
      <c r="P37" s="582" t="s">
        <v>621</v>
      </c>
      <c r="Q37" s="582">
        <f t="shared" si="1"/>
        <v>1</v>
      </c>
    </row>
    <row r="38" spans="1:17">
      <c r="A38" s="582" t="s">
        <v>603</v>
      </c>
      <c r="B38" s="582" t="s">
        <v>434</v>
      </c>
      <c r="C38" s="582" t="s">
        <v>435</v>
      </c>
      <c r="D38" s="2">
        <v>253</v>
      </c>
      <c r="E38" s="587">
        <v>271</v>
      </c>
      <c r="F38" s="587">
        <v>272</v>
      </c>
      <c r="G38" s="587">
        <v>265</v>
      </c>
      <c r="H38" s="587">
        <v>270</v>
      </c>
      <c r="I38" s="587">
        <v>277</v>
      </c>
      <c r="J38" s="587">
        <v>283</v>
      </c>
      <c r="K38" s="587">
        <v>280</v>
      </c>
      <c r="L38" s="587">
        <v>0</v>
      </c>
      <c r="M38" s="583">
        <f t="shared" si="0"/>
        <v>274</v>
      </c>
      <c r="N38" s="582">
        <v>239630.85</v>
      </c>
      <c r="P38" s="582" t="s">
        <v>621</v>
      </c>
      <c r="Q38" s="582">
        <f t="shared" si="1"/>
        <v>1</v>
      </c>
    </row>
    <row r="39" spans="1:17">
      <c r="A39" s="582" t="s">
        <v>594</v>
      </c>
      <c r="B39" s="582" t="s">
        <v>278</v>
      </c>
      <c r="C39" s="582" t="s">
        <v>279</v>
      </c>
      <c r="D39" s="2">
        <v>268</v>
      </c>
      <c r="E39" s="587">
        <v>279</v>
      </c>
      <c r="F39" s="587">
        <v>287</v>
      </c>
      <c r="G39" s="587">
        <v>287</v>
      </c>
      <c r="H39" s="587">
        <v>283</v>
      </c>
      <c r="I39" s="587">
        <v>280</v>
      </c>
      <c r="J39" s="587">
        <v>287</v>
      </c>
      <c r="K39" s="587">
        <v>290</v>
      </c>
      <c r="L39" s="587">
        <v>0</v>
      </c>
      <c r="M39" s="583">
        <f t="shared" si="0"/>
        <v>284.70999999999998</v>
      </c>
      <c r="N39" s="582">
        <v>248607.32</v>
      </c>
      <c r="P39" s="582" t="s">
        <v>621</v>
      </c>
      <c r="Q39" s="582">
        <f t="shared" si="1"/>
        <v>1</v>
      </c>
    </row>
    <row r="40" spans="1:17">
      <c r="A40" s="582" t="s">
        <v>594</v>
      </c>
      <c r="B40" s="582" t="s">
        <v>274</v>
      </c>
      <c r="C40" s="582" t="s">
        <v>275</v>
      </c>
      <c r="D40" s="2">
        <v>65</v>
      </c>
      <c r="E40" s="587">
        <v>71</v>
      </c>
      <c r="F40" s="587">
        <v>74</v>
      </c>
      <c r="G40" s="587">
        <v>75</v>
      </c>
      <c r="H40" s="587">
        <v>76</v>
      </c>
      <c r="I40" s="587">
        <v>75</v>
      </c>
      <c r="J40" s="587">
        <v>74</v>
      </c>
      <c r="K40" s="587">
        <v>76</v>
      </c>
      <c r="L40" s="587">
        <v>0</v>
      </c>
      <c r="M40" s="583">
        <f t="shared" si="0"/>
        <v>74.430000000000007</v>
      </c>
      <c r="N40" s="582">
        <v>67525.850000000006</v>
      </c>
      <c r="P40" s="582" t="s">
        <v>621</v>
      </c>
      <c r="Q40" s="582">
        <f t="shared" si="1"/>
        <v>1</v>
      </c>
    </row>
    <row r="41" spans="1:17">
      <c r="A41" s="582" t="s">
        <v>603</v>
      </c>
      <c r="B41" s="582" t="s">
        <v>438</v>
      </c>
      <c r="C41" s="582" t="s">
        <v>439</v>
      </c>
      <c r="D41" s="2">
        <v>54</v>
      </c>
      <c r="E41" s="587">
        <v>97</v>
      </c>
      <c r="F41" s="587">
        <v>98</v>
      </c>
      <c r="G41" s="587">
        <v>99</v>
      </c>
      <c r="H41" s="587">
        <v>99</v>
      </c>
      <c r="I41" s="587">
        <v>104</v>
      </c>
      <c r="J41" s="587">
        <v>102</v>
      </c>
      <c r="K41" s="587">
        <v>105</v>
      </c>
      <c r="L41" s="587">
        <v>0</v>
      </c>
      <c r="M41" s="583">
        <f t="shared" si="0"/>
        <v>100.57</v>
      </c>
      <c r="N41" s="582">
        <v>89143.05</v>
      </c>
      <c r="P41" s="582" t="s">
        <v>621</v>
      </c>
      <c r="Q41" s="582">
        <f t="shared" si="1"/>
        <v>1</v>
      </c>
    </row>
    <row r="42" spans="1:17">
      <c r="A42" s="582" t="s">
        <v>603</v>
      </c>
      <c r="B42" s="582" t="s">
        <v>450</v>
      </c>
      <c r="C42" s="582" t="s">
        <v>451</v>
      </c>
      <c r="D42" s="2">
        <v>3</v>
      </c>
      <c r="E42" s="587">
        <v>5</v>
      </c>
      <c r="F42" s="587">
        <v>6</v>
      </c>
      <c r="G42" s="587">
        <v>6</v>
      </c>
      <c r="H42" s="587">
        <v>6</v>
      </c>
      <c r="I42" s="587">
        <v>6</v>
      </c>
      <c r="J42" s="587">
        <v>6</v>
      </c>
      <c r="K42" s="587">
        <v>6</v>
      </c>
      <c r="L42" s="587">
        <v>0</v>
      </c>
      <c r="M42" s="583">
        <f t="shared" si="0"/>
        <v>5.86</v>
      </c>
      <c r="N42" s="582">
        <v>5495.18</v>
      </c>
      <c r="P42" s="582" t="s">
        <v>621</v>
      </c>
      <c r="Q42" s="582">
        <f t="shared" si="1"/>
        <v>1</v>
      </c>
    </row>
    <row r="43" spans="1:17">
      <c r="A43" s="582" t="s">
        <v>600</v>
      </c>
      <c r="B43" s="582" t="s">
        <v>169</v>
      </c>
      <c r="C43" s="582" t="s">
        <v>170</v>
      </c>
      <c r="D43" s="2">
        <v>9</v>
      </c>
      <c r="E43" s="587">
        <v>12</v>
      </c>
      <c r="F43" s="587">
        <v>12</v>
      </c>
      <c r="G43" s="587">
        <v>13</v>
      </c>
      <c r="H43" s="587">
        <v>12</v>
      </c>
      <c r="I43" s="587">
        <v>13</v>
      </c>
      <c r="J43" s="587">
        <v>13</v>
      </c>
      <c r="K43" s="587">
        <v>12</v>
      </c>
      <c r="L43" s="587">
        <v>0</v>
      </c>
      <c r="M43" s="583">
        <f t="shared" si="0"/>
        <v>12.43</v>
      </c>
      <c r="N43" s="582">
        <v>11199.47</v>
      </c>
      <c r="P43" s="582" t="s">
        <v>621</v>
      </c>
      <c r="Q43" s="582">
        <f t="shared" si="1"/>
        <v>1</v>
      </c>
    </row>
    <row r="44" spans="1:17">
      <c r="A44" s="582" t="s">
        <v>596</v>
      </c>
      <c r="B44" s="582" t="s">
        <v>10</v>
      </c>
      <c r="C44" s="582" t="s">
        <v>11</v>
      </c>
      <c r="D44" s="2">
        <v>21</v>
      </c>
      <c r="E44" s="587">
        <v>21</v>
      </c>
      <c r="F44" s="587">
        <v>21</v>
      </c>
      <c r="G44" s="587">
        <v>22</v>
      </c>
      <c r="H44" s="587">
        <v>22</v>
      </c>
      <c r="I44" s="587">
        <v>22</v>
      </c>
      <c r="J44" s="587">
        <v>23</v>
      </c>
      <c r="K44" s="587">
        <v>23</v>
      </c>
      <c r="L44" s="587">
        <v>0</v>
      </c>
      <c r="M44" s="583">
        <f t="shared" si="0"/>
        <v>22</v>
      </c>
      <c r="N44" s="582">
        <v>19635.11</v>
      </c>
      <c r="P44" s="582" t="s">
        <v>621</v>
      </c>
      <c r="Q44" s="582">
        <f t="shared" si="1"/>
        <v>1</v>
      </c>
    </row>
    <row r="45" spans="1:17">
      <c r="A45" s="582" t="s">
        <v>605</v>
      </c>
      <c r="B45" s="582" t="s">
        <v>230</v>
      </c>
      <c r="C45" s="582" t="s">
        <v>231</v>
      </c>
      <c r="D45" s="2">
        <v>19</v>
      </c>
      <c r="E45" s="587">
        <v>18</v>
      </c>
      <c r="F45" s="587">
        <v>17</v>
      </c>
      <c r="G45" s="587">
        <v>14</v>
      </c>
      <c r="H45" s="587">
        <v>14</v>
      </c>
      <c r="I45" s="587">
        <v>14</v>
      </c>
      <c r="J45" s="587">
        <v>12</v>
      </c>
      <c r="K45" s="587">
        <v>15</v>
      </c>
      <c r="L45" s="587">
        <v>0</v>
      </c>
      <c r="M45" s="583">
        <f t="shared" si="0"/>
        <v>14.86</v>
      </c>
      <c r="N45" s="582">
        <v>12992.7</v>
      </c>
      <c r="P45" s="582" t="s">
        <v>621</v>
      </c>
      <c r="Q45" s="582">
        <f t="shared" si="1"/>
        <v>1</v>
      </c>
    </row>
    <row r="46" spans="1:17">
      <c r="A46" s="582" t="s">
        <v>597</v>
      </c>
      <c r="B46" s="582" t="s">
        <v>357</v>
      </c>
      <c r="C46" s="582" t="s">
        <v>358</v>
      </c>
      <c r="D46" s="2">
        <v>1100</v>
      </c>
      <c r="E46" s="587">
        <v>1207</v>
      </c>
      <c r="F46" s="587">
        <v>1232</v>
      </c>
      <c r="G46" s="587">
        <v>1229</v>
      </c>
      <c r="H46" s="587">
        <v>1223</v>
      </c>
      <c r="I46" s="587">
        <v>1262</v>
      </c>
      <c r="J46" s="587">
        <v>1246</v>
      </c>
      <c r="K46" s="587">
        <v>1219</v>
      </c>
      <c r="L46" s="587">
        <v>0</v>
      </c>
      <c r="M46" s="583">
        <f t="shared" si="0"/>
        <v>1231.1400000000001</v>
      </c>
      <c r="N46" s="582">
        <v>1054839.48</v>
      </c>
      <c r="P46" s="582" t="s">
        <v>621</v>
      </c>
      <c r="Q46" s="582">
        <f t="shared" si="1"/>
        <v>1</v>
      </c>
    </row>
    <row r="47" spans="1:17">
      <c r="A47" s="582" t="s">
        <v>603</v>
      </c>
      <c r="B47" s="582" t="s">
        <v>525</v>
      </c>
      <c r="C47" s="582" t="s">
        <v>526</v>
      </c>
      <c r="D47" s="2">
        <v>0</v>
      </c>
      <c r="E47" s="587">
        <v>0</v>
      </c>
      <c r="F47" s="587">
        <v>0</v>
      </c>
      <c r="G47" s="587">
        <v>0</v>
      </c>
      <c r="H47" s="587">
        <v>0</v>
      </c>
      <c r="I47" s="587">
        <v>0</v>
      </c>
      <c r="J47" s="587">
        <v>0</v>
      </c>
      <c r="K47" s="587">
        <v>0</v>
      </c>
      <c r="L47" s="587">
        <v>0</v>
      </c>
      <c r="M47" s="583">
        <f t="shared" si="0"/>
        <v>0</v>
      </c>
      <c r="N47" s="582">
        <v>0</v>
      </c>
      <c r="P47" s="582" t="s">
        <v>801</v>
      </c>
      <c r="Q47" s="582">
        <f t="shared" si="1"/>
        <v>0</v>
      </c>
    </row>
    <row r="48" spans="1:17">
      <c r="A48" s="582" t="s">
        <v>596</v>
      </c>
      <c r="B48" s="582" t="s">
        <v>494</v>
      </c>
      <c r="C48" s="582" t="s">
        <v>495</v>
      </c>
      <c r="D48" s="2">
        <v>178</v>
      </c>
      <c r="E48" s="587">
        <v>179</v>
      </c>
      <c r="F48" s="587">
        <v>179</v>
      </c>
      <c r="G48" s="587">
        <v>178</v>
      </c>
      <c r="H48" s="587">
        <v>176</v>
      </c>
      <c r="I48" s="587">
        <v>170</v>
      </c>
      <c r="J48" s="587">
        <v>181</v>
      </c>
      <c r="K48" s="587">
        <v>177</v>
      </c>
      <c r="L48" s="587">
        <v>0</v>
      </c>
      <c r="M48" s="583">
        <f t="shared" si="0"/>
        <v>177.14</v>
      </c>
      <c r="N48" s="582">
        <v>155594.4</v>
      </c>
      <c r="P48" s="582" t="s">
        <v>621</v>
      </c>
      <c r="Q48" s="582">
        <f t="shared" si="1"/>
        <v>1</v>
      </c>
    </row>
    <row r="49" spans="1:17">
      <c r="A49" s="582" t="s">
        <v>603</v>
      </c>
      <c r="B49" s="582" t="s">
        <v>533</v>
      </c>
      <c r="C49" s="582" t="s">
        <v>534</v>
      </c>
      <c r="D49" s="2">
        <v>0</v>
      </c>
      <c r="E49" s="587">
        <v>0</v>
      </c>
      <c r="F49" s="587">
        <v>0</v>
      </c>
      <c r="G49" s="587">
        <v>0</v>
      </c>
      <c r="H49" s="587">
        <v>0</v>
      </c>
      <c r="I49" s="587">
        <v>0</v>
      </c>
      <c r="J49" s="587">
        <v>0</v>
      </c>
      <c r="K49" s="587">
        <v>0</v>
      </c>
      <c r="L49" s="587">
        <v>0</v>
      </c>
      <c r="M49" s="583">
        <f t="shared" si="0"/>
        <v>0</v>
      </c>
      <c r="N49" s="582">
        <v>0</v>
      </c>
      <c r="P49" s="582" t="s">
        <v>801</v>
      </c>
      <c r="Q49" s="582">
        <f t="shared" si="1"/>
        <v>0</v>
      </c>
    </row>
    <row r="50" spans="1:17">
      <c r="A50" s="582" t="s">
        <v>603</v>
      </c>
      <c r="B50" s="582" t="s">
        <v>464</v>
      </c>
      <c r="C50" s="582" t="s">
        <v>465</v>
      </c>
      <c r="D50" s="2">
        <v>0</v>
      </c>
      <c r="E50" s="587">
        <v>0</v>
      </c>
      <c r="F50" s="587">
        <v>0</v>
      </c>
      <c r="G50" s="587">
        <v>0</v>
      </c>
      <c r="H50" s="587">
        <v>0</v>
      </c>
      <c r="I50" s="587">
        <v>0</v>
      </c>
      <c r="J50" s="587">
        <v>0</v>
      </c>
      <c r="K50" s="587">
        <v>0</v>
      </c>
      <c r="L50" s="587">
        <v>0</v>
      </c>
      <c r="M50" s="583">
        <f t="shared" si="0"/>
        <v>0</v>
      </c>
      <c r="N50" s="582">
        <v>0</v>
      </c>
      <c r="P50" s="582" t="s">
        <v>801</v>
      </c>
      <c r="Q50" s="582">
        <f t="shared" si="1"/>
        <v>0</v>
      </c>
    </row>
    <row r="51" spans="1:17">
      <c r="A51" s="582" t="s">
        <v>596</v>
      </c>
      <c r="B51" s="582" t="s">
        <v>498</v>
      </c>
      <c r="C51" s="582" t="s">
        <v>499</v>
      </c>
      <c r="D51" s="2">
        <v>82</v>
      </c>
      <c r="E51" s="587">
        <v>108</v>
      </c>
      <c r="F51" s="587">
        <v>110</v>
      </c>
      <c r="G51" s="587">
        <v>109</v>
      </c>
      <c r="H51" s="587">
        <v>110</v>
      </c>
      <c r="I51" s="587">
        <v>109</v>
      </c>
      <c r="J51" s="587">
        <v>107</v>
      </c>
      <c r="K51" s="587">
        <v>106</v>
      </c>
      <c r="L51" s="587">
        <v>0</v>
      </c>
      <c r="M51" s="583">
        <f t="shared" si="0"/>
        <v>108.43</v>
      </c>
      <c r="N51" s="582">
        <v>92014.82</v>
      </c>
      <c r="P51" s="582" t="s">
        <v>621</v>
      </c>
      <c r="Q51" s="582">
        <f t="shared" si="1"/>
        <v>1</v>
      </c>
    </row>
    <row r="52" spans="1:17">
      <c r="A52" s="582" t="s">
        <v>603</v>
      </c>
      <c r="B52" s="582" t="s">
        <v>456</v>
      </c>
      <c r="C52" s="582" t="s">
        <v>457</v>
      </c>
      <c r="D52" s="2">
        <v>51</v>
      </c>
      <c r="E52" s="587">
        <v>54</v>
      </c>
      <c r="F52" s="587">
        <v>54</v>
      </c>
      <c r="G52" s="587">
        <v>55</v>
      </c>
      <c r="H52" s="587">
        <v>55</v>
      </c>
      <c r="I52" s="587">
        <v>55</v>
      </c>
      <c r="J52" s="587">
        <v>57</v>
      </c>
      <c r="K52" s="587">
        <v>57</v>
      </c>
      <c r="L52" s="587">
        <v>0</v>
      </c>
      <c r="M52" s="583">
        <f t="shared" si="0"/>
        <v>55.29</v>
      </c>
      <c r="N52" s="582">
        <v>49473.03</v>
      </c>
      <c r="P52" s="582" t="s">
        <v>621</v>
      </c>
      <c r="Q52" s="582">
        <f t="shared" si="1"/>
        <v>1</v>
      </c>
    </row>
    <row r="53" spans="1:17">
      <c r="A53" s="582" t="s">
        <v>595</v>
      </c>
      <c r="B53" s="582" t="s">
        <v>376</v>
      </c>
      <c r="C53" s="582" t="s">
        <v>377</v>
      </c>
      <c r="D53" s="2">
        <v>0</v>
      </c>
      <c r="E53" s="587">
        <v>0</v>
      </c>
      <c r="F53" s="587">
        <v>0</v>
      </c>
      <c r="G53" s="587">
        <v>0</v>
      </c>
      <c r="H53" s="587">
        <v>0</v>
      </c>
      <c r="I53" s="587">
        <v>0</v>
      </c>
      <c r="J53" s="587">
        <v>0</v>
      </c>
      <c r="K53" s="587">
        <v>0</v>
      </c>
      <c r="L53" s="587">
        <v>0</v>
      </c>
      <c r="M53" s="583">
        <f t="shared" si="0"/>
        <v>0</v>
      </c>
      <c r="N53" s="582">
        <v>0</v>
      </c>
      <c r="P53" s="582" t="s">
        <v>801</v>
      </c>
      <c r="Q53" s="582">
        <f t="shared" si="1"/>
        <v>0</v>
      </c>
    </row>
    <row r="54" spans="1:17">
      <c r="A54" s="582" t="s">
        <v>595</v>
      </c>
      <c r="B54" s="582" t="s">
        <v>384</v>
      </c>
      <c r="C54" s="582" t="s">
        <v>385</v>
      </c>
      <c r="D54" s="2">
        <v>28</v>
      </c>
      <c r="E54" s="587">
        <v>31</v>
      </c>
      <c r="F54" s="587">
        <v>28</v>
      </c>
      <c r="G54" s="587">
        <v>26</v>
      </c>
      <c r="H54" s="587">
        <v>27</v>
      </c>
      <c r="I54" s="587">
        <v>29</v>
      </c>
      <c r="J54" s="587">
        <v>29</v>
      </c>
      <c r="K54" s="587">
        <v>29</v>
      </c>
      <c r="L54" s="587">
        <v>0</v>
      </c>
      <c r="M54" s="583">
        <f t="shared" si="0"/>
        <v>28.43</v>
      </c>
      <c r="N54" s="582">
        <v>26054.55</v>
      </c>
      <c r="P54" s="582" t="s">
        <v>621</v>
      </c>
      <c r="Q54" s="582">
        <f t="shared" si="1"/>
        <v>1</v>
      </c>
    </row>
    <row r="55" spans="1:17">
      <c r="A55" s="582" t="s">
        <v>594</v>
      </c>
      <c r="B55" s="582" t="s">
        <v>147</v>
      </c>
      <c r="C55" s="582" t="s">
        <v>148</v>
      </c>
      <c r="D55" s="2">
        <v>0</v>
      </c>
      <c r="E55" s="587">
        <v>0</v>
      </c>
      <c r="F55" s="587">
        <v>0</v>
      </c>
      <c r="G55" s="587">
        <v>0</v>
      </c>
      <c r="H55" s="587">
        <v>5</v>
      </c>
      <c r="I55" s="587">
        <v>5</v>
      </c>
      <c r="J55" s="587">
        <v>5</v>
      </c>
      <c r="K55" s="587">
        <v>5</v>
      </c>
      <c r="L55" s="587">
        <v>0</v>
      </c>
      <c r="M55" s="583">
        <f t="shared" si="0"/>
        <v>2.86</v>
      </c>
      <c r="N55" s="582">
        <v>2459.6799999999998</v>
      </c>
      <c r="P55" s="582" t="s">
        <v>621</v>
      </c>
      <c r="Q55" s="582">
        <f t="shared" si="1"/>
        <v>1</v>
      </c>
    </row>
    <row r="56" spans="1:17">
      <c r="A56" s="582" t="s">
        <v>601</v>
      </c>
      <c r="B56" s="582" t="s">
        <v>120</v>
      </c>
      <c r="C56" s="582" t="s">
        <v>654</v>
      </c>
      <c r="D56" s="2">
        <v>0</v>
      </c>
      <c r="E56" s="587">
        <v>0</v>
      </c>
      <c r="F56" s="587">
        <v>0</v>
      </c>
      <c r="G56" s="587">
        <v>0</v>
      </c>
      <c r="H56" s="587">
        <v>0</v>
      </c>
      <c r="I56" s="587">
        <v>0</v>
      </c>
      <c r="J56" s="587">
        <v>0</v>
      </c>
      <c r="K56" s="587">
        <v>0</v>
      </c>
      <c r="L56" s="587">
        <v>0</v>
      </c>
      <c r="M56" s="583">
        <f t="shared" si="0"/>
        <v>0</v>
      </c>
      <c r="N56" s="582">
        <v>0</v>
      </c>
      <c r="P56" s="582" t="s">
        <v>801</v>
      </c>
      <c r="Q56" s="582">
        <f t="shared" si="1"/>
        <v>0</v>
      </c>
    </row>
    <row r="57" spans="1:17">
      <c r="A57" s="582" t="s">
        <v>595</v>
      </c>
      <c r="B57" s="582" t="s">
        <v>159</v>
      </c>
      <c r="C57" s="582" t="s">
        <v>160</v>
      </c>
      <c r="D57" s="2">
        <v>26</v>
      </c>
      <c r="E57" s="587">
        <v>30</v>
      </c>
      <c r="F57" s="587">
        <v>28</v>
      </c>
      <c r="G57" s="587">
        <v>23</v>
      </c>
      <c r="H57" s="587">
        <v>24</v>
      </c>
      <c r="I57" s="587">
        <v>24</v>
      </c>
      <c r="J57" s="587">
        <v>22</v>
      </c>
      <c r="K57" s="587">
        <v>21</v>
      </c>
      <c r="L57" s="587">
        <v>0</v>
      </c>
      <c r="M57" s="583">
        <f t="shared" si="0"/>
        <v>24.57</v>
      </c>
      <c r="N57" s="582">
        <v>22097.73</v>
      </c>
      <c r="P57" s="582" t="s">
        <v>621</v>
      </c>
      <c r="Q57" s="582">
        <f t="shared" si="1"/>
        <v>1</v>
      </c>
    </row>
    <row r="58" spans="1:17">
      <c r="A58" s="582" t="s">
        <v>600</v>
      </c>
      <c r="B58" s="582" t="s">
        <v>41</v>
      </c>
      <c r="C58" s="582" t="s">
        <v>42</v>
      </c>
      <c r="D58" s="2">
        <v>0</v>
      </c>
      <c r="E58" s="587">
        <v>0</v>
      </c>
      <c r="F58" s="587">
        <v>0</v>
      </c>
      <c r="G58" s="587">
        <v>0</v>
      </c>
      <c r="H58" s="587">
        <v>0</v>
      </c>
      <c r="I58" s="587">
        <v>0</v>
      </c>
      <c r="J58" s="587">
        <v>0</v>
      </c>
      <c r="K58" s="587">
        <v>0</v>
      </c>
      <c r="L58" s="587">
        <v>0</v>
      </c>
      <c r="M58" s="583">
        <f t="shared" si="0"/>
        <v>0</v>
      </c>
      <c r="N58" s="582">
        <v>0</v>
      </c>
      <c r="P58" s="582" t="s">
        <v>801</v>
      </c>
      <c r="Q58" s="582">
        <f t="shared" si="1"/>
        <v>0</v>
      </c>
    </row>
    <row r="59" spans="1:17">
      <c r="A59" s="582" t="s">
        <v>603</v>
      </c>
      <c r="B59" s="582" t="s">
        <v>285</v>
      </c>
      <c r="C59" s="582" t="s">
        <v>286</v>
      </c>
      <c r="D59" s="2">
        <v>0</v>
      </c>
      <c r="E59" s="587"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3">
        <f t="shared" si="0"/>
        <v>0</v>
      </c>
      <c r="N59" s="582">
        <v>0</v>
      </c>
      <c r="P59" s="582" t="s">
        <v>801</v>
      </c>
      <c r="Q59" s="582">
        <f t="shared" si="1"/>
        <v>0</v>
      </c>
    </row>
    <row r="60" spans="1:17">
      <c r="A60" s="582" t="s">
        <v>603</v>
      </c>
      <c r="B60" s="582" t="s">
        <v>96</v>
      </c>
      <c r="C60" s="582" t="s">
        <v>97</v>
      </c>
      <c r="D60" s="2">
        <v>0</v>
      </c>
      <c r="E60" s="587"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3">
        <f t="shared" si="0"/>
        <v>0</v>
      </c>
      <c r="N60" s="582">
        <v>0</v>
      </c>
      <c r="P60" s="582" t="s">
        <v>801</v>
      </c>
      <c r="Q60" s="582">
        <f t="shared" si="1"/>
        <v>0</v>
      </c>
    </row>
    <row r="61" spans="1:17">
      <c r="A61" s="582" t="s">
        <v>603</v>
      </c>
      <c r="B61" s="582" t="s">
        <v>338</v>
      </c>
      <c r="C61" s="582" t="s">
        <v>339</v>
      </c>
      <c r="D61" s="2">
        <v>0</v>
      </c>
      <c r="E61" s="587"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3">
        <f t="shared" si="0"/>
        <v>0</v>
      </c>
      <c r="N61" s="582">
        <v>0</v>
      </c>
      <c r="P61" s="582" t="s">
        <v>801</v>
      </c>
      <c r="Q61" s="582">
        <f t="shared" si="1"/>
        <v>0</v>
      </c>
    </row>
    <row r="62" spans="1:17">
      <c r="A62" s="582" t="s">
        <v>605</v>
      </c>
      <c r="B62" s="582" t="s">
        <v>220</v>
      </c>
      <c r="C62" s="582" t="s">
        <v>221</v>
      </c>
      <c r="D62" s="2">
        <v>0</v>
      </c>
      <c r="E62" s="587"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3">
        <f t="shared" si="0"/>
        <v>0</v>
      </c>
      <c r="N62" s="582">
        <v>0</v>
      </c>
      <c r="P62" s="582" t="s">
        <v>801</v>
      </c>
      <c r="Q62" s="582">
        <f t="shared" si="1"/>
        <v>0</v>
      </c>
    </row>
    <row r="63" spans="1:17">
      <c r="A63" s="582" t="s">
        <v>595</v>
      </c>
      <c r="B63" s="582" t="s">
        <v>417</v>
      </c>
      <c r="C63" s="582" t="s">
        <v>418</v>
      </c>
      <c r="D63" s="2">
        <v>0</v>
      </c>
      <c r="E63" s="587">
        <v>0</v>
      </c>
      <c r="F63" s="587">
        <v>0</v>
      </c>
      <c r="G63" s="587">
        <v>0</v>
      </c>
      <c r="H63" s="587">
        <v>0</v>
      </c>
      <c r="I63" s="587">
        <v>0</v>
      </c>
      <c r="J63" s="587">
        <v>0</v>
      </c>
      <c r="K63" s="587">
        <v>0</v>
      </c>
      <c r="L63" s="587">
        <v>0</v>
      </c>
      <c r="M63" s="583">
        <f t="shared" si="0"/>
        <v>0</v>
      </c>
      <c r="N63" s="582">
        <v>0</v>
      </c>
      <c r="P63" s="582" t="s">
        <v>801</v>
      </c>
      <c r="Q63" s="582">
        <f t="shared" si="1"/>
        <v>0</v>
      </c>
    </row>
    <row r="64" spans="1:17">
      <c r="A64" s="582" t="s">
        <v>603</v>
      </c>
      <c r="B64" s="582" t="s">
        <v>293</v>
      </c>
      <c r="C64" s="582" t="s">
        <v>294</v>
      </c>
      <c r="D64" s="2">
        <v>0</v>
      </c>
      <c r="E64" s="587"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3">
        <f t="shared" si="0"/>
        <v>0</v>
      </c>
      <c r="N64" s="582">
        <v>0</v>
      </c>
      <c r="P64" s="582" t="s">
        <v>801</v>
      </c>
      <c r="Q64" s="582">
        <f t="shared" si="1"/>
        <v>0</v>
      </c>
    </row>
    <row r="65" spans="1:17">
      <c r="A65" s="582" t="s">
        <v>596</v>
      </c>
      <c r="B65" s="582" t="s">
        <v>66</v>
      </c>
      <c r="C65" s="582" t="s">
        <v>67</v>
      </c>
      <c r="D65" s="2">
        <v>0</v>
      </c>
      <c r="E65" s="587">
        <v>0</v>
      </c>
      <c r="F65" s="587">
        <v>0</v>
      </c>
      <c r="G65" s="587">
        <v>0</v>
      </c>
      <c r="H65" s="587">
        <v>0</v>
      </c>
      <c r="I65" s="587">
        <v>0</v>
      </c>
      <c r="J65" s="587">
        <v>0</v>
      </c>
      <c r="K65" s="587">
        <v>0</v>
      </c>
      <c r="L65" s="587">
        <v>0</v>
      </c>
      <c r="M65" s="583">
        <f t="shared" si="0"/>
        <v>0</v>
      </c>
      <c r="N65" s="582">
        <v>0</v>
      </c>
      <c r="P65" s="582" t="s">
        <v>801</v>
      </c>
      <c r="Q65" s="582">
        <f t="shared" si="1"/>
        <v>0</v>
      </c>
    </row>
    <row r="66" spans="1:17">
      <c r="A66" s="582" t="s">
        <v>603</v>
      </c>
      <c r="B66" s="582" t="s">
        <v>444</v>
      </c>
      <c r="C66" s="582" t="s">
        <v>445</v>
      </c>
      <c r="D66" s="2">
        <v>6</v>
      </c>
      <c r="E66" s="587">
        <v>8</v>
      </c>
      <c r="F66" s="587">
        <v>8</v>
      </c>
      <c r="G66" s="587">
        <v>3</v>
      </c>
      <c r="H66" s="587">
        <v>7</v>
      </c>
      <c r="I66" s="587">
        <v>8</v>
      </c>
      <c r="J66" s="587">
        <v>8</v>
      </c>
      <c r="K66" s="587">
        <v>8</v>
      </c>
      <c r="L66" s="587">
        <v>0</v>
      </c>
      <c r="M66" s="583">
        <f t="shared" si="0"/>
        <v>7.14</v>
      </c>
      <c r="N66" s="582">
        <v>6299.88</v>
      </c>
      <c r="P66" s="582" t="s">
        <v>621</v>
      </c>
      <c r="Q66" s="582">
        <f t="shared" si="1"/>
        <v>1</v>
      </c>
    </row>
    <row r="67" spans="1:17">
      <c r="A67" s="582" t="s">
        <v>597</v>
      </c>
      <c r="B67" s="582" t="s">
        <v>353</v>
      </c>
      <c r="C67" s="582" t="s">
        <v>354</v>
      </c>
      <c r="D67" s="2">
        <v>10</v>
      </c>
      <c r="E67" s="587">
        <v>15</v>
      </c>
      <c r="F67" s="587">
        <v>13</v>
      </c>
      <c r="G67" s="587">
        <v>13</v>
      </c>
      <c r="H67" s="587">
        <v>15</v>
      </c>
      <c r="I67" s="587">
        <v>15</v>
      </c>
      <c r="J67" s="587">
        <v>15</v>
      </c>
      <c r="K67" s="587">
        <v>15</v>
      </c>
      <c r="L67" s="587">
        <v>0</v>
      </c>
      <c r="M67" s="583">
        <f t="shared" si="0"/>
        <v>14.43</v>
      </c>
      <c r="N67" s="582">
        <v>13120.25</v>
      </c>
      <c r="P67" s="582" t="s">
        <v>621</v>
      </c>
      <c r="Q67" s="582">
        <f t="shared" si="1"/>
        <v>1</v>
      </c>
    </row>
    <row r="68" spans="1:17">
      <c r="A68" s="582" t="s">
        <v>596</v>
      </c>
      <c r="B68" s="582" t="s">
        <v>490</v>
      </c>
      <c r="C68" s="582" t="s">
        <v>491</v>
      </c>
      <c r="D68" s="2">
        <v>0</v>
      </c>
      <c r="E68" s="587"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3">
        <f t="shared" si="0"/>
        <v>0</v>
      </c>
      <c r="N68" s="582">
        <v>0</v>
      </c>
      <c r="P68" s="582" t="s">
        <v>801</v>
      </c>
      <c r="Q68" s="582">
        <f t="shared" si="1"/>
        <v>0</v>
      </c>
    </row>
    <row r="69" spans="1:17">
      <c r="A69" s="582" t="s">
        <v>603</v>
      </c>
      <c r="B69" s="582" t="s">
        <v>440</v>
      </c>
      <c r="C69" s="582" t="s">
        <v>606</v>
      </c>
      <c r="D69" s="2">
        <v>88</v>
      </c>
      <c r="E69" s="587">
        <v>105</v>
      </c>
      <c r="F69" s="587">
        <v>103</v>
      </c>
      <c r="G69" s="587">
        <v>105</v>
      </c>
      <c r="H69" s="587">
        <v>105</v>
      </c>
      <c r="I69" s="587">
        <v>104</v>
      </c>
      <c r="J69" s="587">
        <v>102</v>
      </c>
      <c r="K69" s="587">
        <v>107</v>
      </c>
      <c r="L69" s="587">
        <v>0</v>
      </c>
      <c r="M69" s="583">
        <f t="shared" si="0"/>
        <v>104.43</v>
      </c>
      <c r="N69" s="582">
        <v>93537.46</v>
      </c>
      <c r="P69" s="582" t="s">
        <v>621</v>
      </c>
      <c r="Q69" s="582">
        <f t="shared" si="1"/>
        <v>1</v>
      </c>
    </row>
    <row r="70" spans="1:17">
      <c r="A70" s="582" t="s">
        <v>605</v>
      </c>
      <c r="B70" s="582" t="s">
        <v>549</v>
      </c>
      <c r="C70" s="582" t="s">
        <v>550</v>
      </c>
      <c r="D70" s="2">
        <v>211</v>
      </c>
      <c r="E70" s="587">
        <v>269</v>
      </c>
      <c r="F70" s="587">
        <v>275</v>
      </c>
      <c r="G70" s="587">
        <v>273</v>
      </c>
      <c r="H70" s="587">
        <v>266</v>
      </c>
      <c r="I70" s="587">
        <v>264</v>
      </c>
      <c r="J70" s="587">
        <v>264</v>
      </c>
      <c r="K70" s="587">
        <v>269</v>
      </c>
      <c r="L70" s="587">
        <v>0</v>
      </c>
      <c r="M70" s="583">
        <f t="shared" si="0"/>
        <v>268.57</v>
      </c>
      <c r="N70" s="582">
        <v>236554.14</v>
      </c>
      <c r="P70" s="582" t="s">
        <v>621</v>
      </c>
      <c r="Q70" s="582">
        <f t="shared" si="1"/>
        <v>1</v>
      </c>
    </row>
    <row r="71" spans="1:17">
      <c r="A71" s="582" t="s">
        <v>601</v>
      </c>
      <c r="B71" s="582" t="s">
        <v>88</v>
      </c>
      <c r="C71" s="582" t="s">
        <v>89</v>
      </c>
      <c r="D71" s="2">
        <v>750</v>
      </c>
      <c r="E71" s="587">
        <v>901</v>
      </c>
      <c r="F71" s="587">
        <v>908</v>
      </c>
      <c r="G71" s="587">
        <v>886</v>
      </c>
      <c r="H71" s="587">
        <v>885</v>
      </c>
      <c r="I71" s="587">
        <v>889</v>
      </c>
      <c r="J71" s="587">
        <v>892</v>
      </c>
      <c r="K71" s="587">
        <v>889</v>
      </c>
      <c r="L71" s="587">
        <v>0</v>
      </c>
      <c r="M71" s="583">
        <f t="shared" si="0"/>
        <v>892.86</v>
      </c>
      <c r="N71" s="582">
        <v>801746.57</v>
      </c>
      <c r="P71" s="582" t="s">
        <v>621</v>
      </c>
      <c r="Q71" s="582">
        <f t="shared" si="1"/>
        <v>1</v>
      </c>
    </row>
    <row r="72" spans="1:17">
      <c r="A72" s="582" t="s">
        <v>605</v>
      </c>
      <c r="B72" s="582" t="s">
        <v>222</v>
      </c>
      <c r="C72" s="582" t="s">
        <v>223</v>
      </c>
      <c r="D72" s="2">
        <v>9</v>
      </c>
      <c r="E72" s="587">
        <v>9</v>
      </c>
      <c r="F72" s="587">
        <v>9</v>
      </c>
      <c r="G72" s="587">
        <v>9</v>
      </c>
      <c r="H72" s="587">
        <v>9</v>
      </c>
      <c r="I72" s="587">
        <v>9</v>
      </c>
      <c r="J72" s="587">
        <v>9</v>
      </c>
      <c r="K72" s="587">
        <v>9</v>
      </c>
      <c r="L72" s="587">
        <v>0</v>
      </c>
      <c r="M72" s="583">
        <f t="shared" si="0"/>
        <v>9</v>
      </c>
      <c r="N72" s="582">
        <v>8273.44</v>
      </c>
      <c r="P72" s="582" t="s">
        <v>621</v>
      </c>
      <c r="Q72" s="582">
        <f t="shared" si="1"/>
        <v>1</v>
      </c>
    </row>
    <row r="73" spans="1:17">
      <c r="A73" s="582" t="s">
        <v>597</v>
      </c>
      <c r="B73" s="582" t="s">
        <v>365</v>
      </c>
      <c r="C73" s="582" t="s">
        <v>366</v>
      </c>
      <c r="D73" s="2">
        <v>11</v>
      </c>
      <c r="E73" s="587">
        <v>13</v>
      </c>
      <c r="F73" s="587">
        <v>13</v>
      </c>
      <c r="G73" s="587">
        <v>13</v>
      </c>
      <c r="H73" s="587">
        <v>13</v>
      </c>
      <c r="I73" s="587">
        <v>13</v>
      </c>
      <c r="J73" s="587">
        <v>12</v>
      </c>
      <c r="K73" s="587">
        <v>12</v>
      </c>
      <c r="L73" s="587">
        <v>0</v>
      </c>
      <c r="M73" s="583">
        <f t="shared" ref="M73:M136" si="2">ROUND(SUM(E73:L73)/7,2)</f>
        <v>12.71</v>
      </c>
      <c r="N73" s="582">
        <v>11078.72</v>
      </c>
      <c r="P73" s="582" t="s">
        <v>621</v>
      </c>
      <c r="Q73" s="582">
        <f t="shared" ref="Q73:Q136" si="3">IF(M73&gt;0,1,0)</f>
        <v>1</v>
      </c>
    </row>
    <row r="74" spans="1:17">
      <c r="A74" s="582" t="s">
        <v>595</v>
      </c>
      <c r="B74" s="582" t="s">
        <v>401</v>
      </c>
      <c r="C74" s="582" t="s">
        <v>402</v>
      </c>
      <c r="D74" s="2">
        <v>1389</v>
      </c>
      <c r="E74" s="587">
        <v>1843</v>
      </c>
      <c r="F74" s="587">
        <v>1865</v>
      </c>
      <c r="G74" s="587">
        <v>1866</v>
      </c>
      <c r="H74" s="587">
        <v>1873</v>
      </c>
      <c r="I74" s="587">
        <v>1878</v>
      </c>
      <c r="J74" s="587">
        <v>1873</v>
      </c>
      <c r="K74" s="587">
        <v>1885</v>
      </c>
      <c r="L74" s="587">
        <v>0</v>
      </c>
      <c r="M74" s="583">
        <f t="shared" si="2"/>
        <v>1869</v>
      </c>
      <c r="N74" s="582">
        <v>1650365.72</v>
      </c>
      <c r="P74" s="582" t="s">
        <v>621</v>
      </c>
      <c r="Q74" s="582">
        <f t="shared" si="3"/>
        <v>1</v>
      </c>
    </row>
    <row r="75" spans="1:17">
      <c r="A75" s="582" t="s">
        <v>605</v>
      </c>
      <c r="B75" s="582" t="s">
        <v>226</v>
      </c>
      <c r="C75" s="582" t="s">
        <v>227</v>
      </c>
      <c r="D75" s="2">
        <v>195</v>
      </c>
      <c r="E75" s="587">
        <v>213</v>
      </c>
      <c r="F75" s="587">
        <v>213</v>
      </c>
      <c r="G75" s="587">
        <v>214</v>
      </c>
      <c r="H75" s="587">
        <v>212</v>
      </c>
      <c r="I75" s="587">
        <v>210</v>
      </c>
      <c r="J75" s="587">
        <v>209</v>
      </c>
      <c r="K75" s="587">
        <v>207</v>
      </c>
      <c r="L75" s="587">
        <v>0</v>
      </c>
      <c r="M75" s="583">
        <f t="shared" si="2"/>
        <v>211.14</v>
      </c>
      <c r="N75" s="582">
        <v>189092.43</v>
      </c>
      <c r="P75" s="582" t="s">
        <v>621</v>
      </c>
      <c r="Q75" s="582">
        <f t="shared" si="3"/>
        <v>1</v>
      </c>
    </row>
    <row r="76" spans="1:17">
      <c r="A76" s="582" t="s">
        <v>594</v>
      </c>
      <c r="B76" s="582" t="s">
        <v>141</v>
      </c>
      <c r="C76" s="582" t="s">
        <v>142</v>
      </c>
      <c r="D76" s="2">
        <v>78</v>
      </c>
      <c r="E76" s="587">
        <v>94</v>
      </c>
      <c r="F76" s="587">
        <v>95</v>
      </c>
      <c r="G76" s="587">
        <v>97</v>
      </c>
      <c r="H76" s="587">
        <v>95</v>
      </c>
      <c r="I76" s="587">
        <v>98</v>
      </c>
      <c r="J76" s="587">
        <v>98</v>
      </c>
      <c r="K76" s="587">
        <v>102</v>
      </c>
      <c r="L76" s="587">
        <v>0</v>
      </c>
      <c r="M76" s="583">
        <f t="shared" si="2"/>
        <v>97</v>
      </c>
      <c r="N76" s="582">
        <v>87626.87</v>
      </c>
      <c r="P76" s="582" t="s">
        <v>621</v>
      </c>
      <c r="Q76" s="582">
        <f t="shared" si="3"/>
        <v>1</v>
      </c>
    </row>
    <row r="77" spans="1:17">
      <c r="A77" s="582" t="s">
        <v>603</v>
      </c>
      <c r="B77" s="582" t="s">
        <v>535</v>
      </c>
      <c r="C77" s="582" t="s">
        <v>536</v>
      </c>
      <c r="D77" s="2">
        <v>0</v>
      </c>
      <c r="E77" s="587">
        <v>0</v>
      </c>
      <c r="F77" s="587">
        <v>0</v>
      </c>
      <c r="G77" s="587">
        <v>0</v>
      </c>
      <c r="H77" s="587">
        <v>0</v>
      </c>
      <c r="I77" s="587">
        <v>0</v>
      </c>
      <c r="J77" s="587">
        <v>0</v>
      </c>
      <c r="K77" s="587">
        <v>0</v>
      </c>
      <c r="L77" s="587">
        <v>0</v>
      </c>
      <c r="M77" s="583">
        <f t="shared" si="2"/>
        <v>0</v>
      </c>
      <c r="N77" s="582">
        <v>0</v>
      </c>
      <c r="P77" s="582" t="s">
        <v>801</v>
      </c>
      <c r="Q77" s="582">
        <f t="shared" si="3"/>
        <v>0</v>
      </c>
    </row>
    <row r="78" spans="1:17">
      <c r="A78" s="582" t="s">
        <v>601</v>
      </c>
      <c r="B78" s="582" t="s">
        <v>29</v>
      </c>
      <c r="C78" s="582" t="s">
        <v>30</v>
      </c>
      <c r="D78" s="2">
        <v>41</v>
      </c>
      <c r="E78" s="587">
        <v>42</v>
      </c>
      <c r="F78" s="587">
        <v>41</v>
      </c>
      <c r="G78" s="587">
        <v>45</v>
      </c>
      <c r="H78" s="587">
        <v>45</v>
      </c>
      <c r="I78" s="587">
        <v>45</v>
      </c>
      <c r="J78" s="587">
        <v>44</v>
      </c>
      <c r="K78" s="587">
        <v>44</v>
      </c>
      <c r="L78" s="587">
        <v>0</v>
      </c>
      <c r="M78" s="583">
        <f t="shared" si="2"/>
        <v>43.71</v>
      </c>
      <c r="N78" s="582">
        <v>39664.06</v>
      </c>
      <c r="P78" s="582" t="s">
        <v>621</v>
      </c>
      <c r="Q78" s="582">
        <f t="shared" si="3"/>
        <v>1</v>
      </c>
    </row>
    <row r="79" spans="1:17">
      <c r="A79" s="582" t="s">
        <v>597</v>
      </c>
      <c r="B79" s="582" t="s">
        <v>177</v>
      </c>
      <c r="C79" s="582" t="s">
        <v>178</v>
      </c>
      <c r="D79" s="2">
        <v>152</v>
      </c>
      <c r="E79" s="587">
        <v>162</v>
      </c>
      <c r="F79" s="587">
        <v>161</v>
      </c>
      <c r="G79" s="587">
        <v>158</v>
      </c>
      <c r="H79" s="587">
        <v>163</v>
      </c>
      <c r="I79" s="587">
        <v>162</v>
      </c>
      <c r="J79" s="587">
        <v>158</v>
      </c>
      <c r="K79" s="587">
        <v>161</v>
      </c>
      <c r="L79" s="587">
        <v>0</v>
      </c>
      <c r="M79" s="583">
        <f t="shared" si="2"/>
        <v>160.71</v>
      </c>
      <c r="N79" s="582">
        <v>141960.57</v>
      </c>
      <c r="P79" s="582" t="s">
        <v>621</v>
      </c>
      <c r="Q79" s="582">
        <f t="shared" si="3"/>
        <v>1</v>
      </c>
    </row>
    <row r="80" spans="1:17">
      <c r="A80" s="582" t="s">
        <v>601</v>
      </c>
      <c r="B80" s="582" t="s">
        <v>127</v>
      </c>
      <c r="C80" s="582" t="s">
        <v>128</v>
      </c>
      <c r="D80" s="2">
        <v>136</v>
      </c>
      <c r="E80" s="587">
        <v>178</v>
      </c>
      <c r="F80" s="587">
        <v>186</v>
      </c>
      <c r="G80" s="587">
        <v>190</v>
      </c>
      <c r="H80" s="587">
        <v>189</v>
      </c>
      <c r="I80" s="587">
        <v>186</v>
      </c>
      <c r="J80" s="587">
        <v>186</v>
      </c>
      <c r="K80" s="587">
        <v>184</v>
      </c>
      <c r="L80" s="587">
        <v>0</v>
      </c>
      <c r="M80" s="583">
        <f t="shared" si="2"/>
        <v>185.57</v>
      </c>
      <c r="N80" s="582">
        <v>160708.18</v>
      </c>
      <c r="P80" s="582" t="s">
        <v>621</v>
      </c>
      <c r="Q80" s="582">
        <f t="shared" si="3"/>
        <v>1</v>
      </c>
    </row>
    <row r="81" spans="1:17">
      <c r="A81" s="582" t="s">
        <v>594</v>
      </c>
      <c r="B81" s="582" t="s">
        <v>256</v>
      </c>
      <c r="C81" s="582" t="s">
        <v>257</v>
      </c>
      <c r="D81" s="2">
        <v>0</v>
      </c>
      <c r="E81" s="587">
        <v>0</v>
      </c>
      <c r="F81" s="587">
        <v>0</v>
      </c>
      <c r="G81" s="587">
        <v>0</v>
      </c>
      <c r="H81" s="587">
        <v>0</v>
      </c>
      <c r="I81" s="587">
        <v>0</v>
      </c>
      <c r="J81" s="587">
        <v>0</v>
      </c>
      <c r="K81" s="587">
        <v>0</v>
      </c>
      <c r="L81" s="587">
        <v>0</v>
      </c>
      <c r="M81" s="583">
        <f t="shared" si="2"/>
        <v>0</v>
      </c>
      <c r="N81" s="582">
        <v>0</v>
      </c>
      <c r="P81" s="582" t="s">
        <v>801</v>
      </c>
      <c r="Q81" s="582">
        <f t="shared" si="3"/>
        <v>0</v>
      </c>
    </row>
    <row r="82" spans="1:17">
      <c r="A82" s="582" t="s">
        <v>595</v>
      </c>
      <c r="B82" s="582" t="s">
        <v>395</v>
      </c>
      <c r="C82" s="582" t="s">
        <v>396</v>
      </c>
      <c r="D82" s="2">
        <v>1234</v>
      </c>
      <c r="E82" s="587">
        <v>1626</v>
      </c>
      <c r="F82" s="587">
        <v>1656</v>
      </c>
      <c r="G82" s="587">
        <v>1681</v>
      </c>
      <c r="H82" s="587">
        <v>1680</v>
      </c>
      <c r="I82" s="587">
        <v>1695</v>
      </c>
      <c r="J82" s="587">
        <v>1700</v>
      </c>
      <c r="K82" s="587">
        <v>1704</v>
      </c>
      <c r="L82" s="587">
        <v>0</v>
      </c>
      <c r="M82" s="583">
        <f t="shared" si="2"/>
        <v>1677.43</v>
      </c>
      <c r="N82" s="582">
        <v>1571329.63</v>
      </c>
      <c r="P82" s="582" t="s">
        <v>621</v>
      </c>
      <c r="Q82" s="582">
        <f t="shared" si="3"/>
        <v>1</v>
      </c>
    </row>
    <row r="83" spans="1:17">
      <c r="A83" s="582" t="s">
        <v>599</v>
      </c>
      <c r="B83" s="582" t="s">
        <v>58</v>
      </c>
      <c r="C83" s="582" t="s">
        <v>59</v>
      </c>
      <c r="D83" s="2">
        <v>1572</v>
      </c>
      <c r="E83" s="587">
        <v>2128</v>
      </c>
      <c r="F83" s="587">
        <v>2151</v>
      </c>
      <c r="G83" s="587">
        <v>2146</v>
      </c>
      <c r="H83" s="587">
        <v>2152</v>
      </c>
      <c r="I83" s="587">
        <v>2166</v>
      </c>
      <c r="J83" s="587">
        <v>2183</v>
      </c>
      <c r="K83" s="587">
        <v>2200</v>
      </c>
      <c r="L83" s="587">
        <v>0</v>
      </c>
      <c r="M83" s="583">
        <f t="shared" si="2"/>
        <v>2160.86</v>
      </c>
      <c r="N83" s="582">
        <v>1863585.6</v>
      </c>
      <c r="P83" s="582" t="s">
        <v>621</v>
      </c>
      <c r="Q83" s="582">
        <f t="shared" si="3"/>
        <v>1</v>
      </c>
    </row>
    <row r="84" spans="1:17">
      <c r="A84" s="582" t="s">
        <v>603</v>
      </c>
      <c r="B84" s="582" t="s">
        <v>462</v>
      </c>
      <c r="C84" s="582" t="s">
        <v>463</v>
      </c>
      <c r="D84" s="2">
        <v>0</v>
      </c>
      <c r="E84" s="587">
        <v>0</v>
      </c>
      <c r="F84" s="587">
        <v>0</v>
      </c>
      <c r="G84" s="587">
        <v>0</v>
      </c>
      <c r="H84" s="587">
        <v>0</v>
      </c>
      <c r="I84" s="587">
        <v>0</v>
      </c>
      <c r="J84" s="587">
        <v>0</v>
      </c>
      <c r="K84" s="587">
        <v>0</v>
      </c>
      <c r="L84" s="587">
        <v>0</v>
      </c>
      <c r="M84" s="583">
        <f t="shared" si="2"/>
        <v>0</v>
      </c>
      <c r="N84" s="582">
        <v>0</v>
      </c>
      <c r="P84" s="582" t="s">
        <v>801</v>
      </c>
      <c r="Q84" s="582">
        <f t="shared" si="3"/>
        <v>0</v>
      </c>
    </row>
    <row r="85" spans="1:17">
      <c r="A85" s="582" t="s">
        <v>597</v>
      </c>
      <c r="B85" s="582" t="s">
        <v>175</v>
      </c>
      <c r="C85" s="582" t="s">
        <v>176</v>
      </c>
      <c r="D85" s="2">
        <v>2194</v>
      </c>
      <c r="E85" s="587">
        <v>2821</v>
      </c>
      <c r="F85" s="587">
        <v>2828</v>
      </c>
      <c r="G85" s="587">
        <v>2863</v>
      </c>
      <c r="H85" s="587">
        <v>2877</v>
      </c>
      <c r="I85" s="587">
        <v>2898</v>
      </c>
      <c r="J85" s="587">
        <v>2892</v>
      </c>
      <c r="K85" s="587">
        <v>2892</v>
      </c>
      <c r="L85" s="587">
        <v>0</v>
      </c>
      <c r="M85" s="583">
        <f t="shared" si="2"/>
        <v>2867.29</v>
      </c>
      <c r="N85" s="582">
        <v>2406430.6</v>
      </c>
      <c r="P85" s="582" t="s">
        <v>621</v>
      </c>
      <c r="Q85" s="582">
        <f t="shared" si="3"/>
        <v>1</v>
      </c>
    </row>
    <row r="86" spans="1:17">
      <c r="A86" s="582" t="s">
        <v>595</v>
      </c>
      <c r="B86" s="582" t="s">
        <v>506</v>
      </c>
      <c r="C86" s="582" t="s">
        <v>507</v>
      </c>
      <c r="D86" s="2">
        <v>165</v>
      </c>
      <c r="E86" s="587">
        <v>229</v>
      </c>
      <c r="F86" s="587">
        <v>232</v>
      </c>
      <c r="G86" s="587">
        <v>233</v>
      </c>
      <c r="H86" s="587">
        <v>229</v>
      </c>
      <c r="I86" s="587">
        <v>230</v>
      </c>
      <c r="J86" s="587">
        <v>229</v>
      </c>
      <c r="K86" s="587">
        <v>227</v>
      </c>
      <c r="L86" s="587">
        <v>0</v>
      </c>
      <c r="M86" s="583">
        <f t="shared" si="2"/>
        <v>229.86</v>
      </c>
      <c r="N86" s="582">
        <v>207189.44</v>
      </c>
      <c r="P86" s="582" t="s">
        <v>621</v>
      </c>
      <c r="Q86" s="582">
        <f t="shared" si="3"/>
        <v>1</v>
      </c>
    </row>
    <row r="87" spans="1:17">
      <c r="A87" s="582" t="s">
        <v>597</v>
      </c>
      <c r="B87" s="582" t="s">
        <v>369</v>
      </c>
      <c r="C87" s="582" t="s">
        <v>370</v>
      </c>
      <c r="D87" s="2">
        <v>287</v>
      </c>
      <c r="E87" s="587">
        <v>355</v>
      </c>
      <c r="F87" s="587">
        <v>351</v>
      </c>
      <c r="G87" s="587">
        <v>350</v>
      </c>
      <c r="H87" s="587">
        <v>350</v>
      </c>
      <c r="I87" s="587">
        <v>346</v>
      </c>
      <c r="J87" s="587">
        <v>347</v>
      </c>
      <c r="K87" s="587">
        <v>347</v>
      </c>
      <c r="L87" s="587">
        <v>0</v>
      </c>
      <c r="M87" s="583">
        <f t="shared" si="2"/>
        <v>349.43</v>
      </c>
      <c r="N87" s="582">
        <v>303489.24</v>
      </c>
      <c r="P87" s="582" t="s">
        <v>621</v>
      </c>
      <c r="Q87" s="582">
        <f t="shared" si="3"/>
        <v>1</v>
      </c>
    </row>
    <row r="88" spans="1:17">
      <c r="A88" s="582" t="s">
        <v>596</v>
      </c>
      <c r="B88" s="582" t="s">
        <v>19</v>
      </c>
      <c r="C88" s="582" t="s">
        <v>20</v>
      </c>
      <c r="D88" s="2">
        <v>129</v>
      </c>
      <c r="E88" s="587">
        <v>135</v>
      </c>
      <c r="F88" s="587">
        <v>136</v>
      </c>
      <c r="G88" s="587">
        <v>135</v>
      </c>
      <c r="H88" s="587">
        <v>130</v>
      </c>
      <c r="I88" s="587">
        <v>127</v>
      </c>
      <c r="J88" s="587">
        <v>125</v>
      </c>
      <c r="K88" s="587">
        <v>121</v>
      </c>
      <c r="L88" s="587">
        <v>0</v>
      </c>
      <c r="M88" s="583">
        <f t="shared" si="2"/>
        <v>129.86000000000001</v>
      </c>
      <c r="N88" s="582">
        <v>115555.51</v>
      </c>
      <c r="P88" s="582" t="s">
        <v>621</v>
      </c>
      <c r="Q88" s="582">
        <f t="shared" si="3"/>
        <v>1</v>
      </c>
    </row>
    <row r="89" spans="1:17">
      <c r="A89" s="582" t="s">
        <v>597</v>
      </c>
      <c r="B89" s="582" t="s">
        <v>361</v>
      </c>
      <c r="C89" s="582" t="s">
        <v>362</v>
      </c>
      <c r="D89" s="2">
        <v>553</v>
      </c>
      <c r="E89" s="587">
        <v>573</v>
      </c>
      <c r="F89" s="587">
        <v>569</v>
      </c>
      <c r="G89" s="587">
        <v>569</v>
      </c>
      <c r="H89" s="587">
        <v>578</v>
      </c>
      <c r="I89" s="587">
        <v>578</v>
      </c>
      <c r="J89" s="587">
        <v>581</v>
      </c>
      <c r="K89" s="587">
        <v>578</v>
      </c>
      <c r="L89" s="587">
        <v>0</v>
      </c>
      <c r="M89" s="583">
        <f t="shared" si="2"/>
        <v>575.14</v>
      </c>
      <c r="N89" s="582">
        <v>479889.1</v>
      </c>
      <c r="P89" s="582" t="s">
        <v>621</v>
      </c>
      <c r="Q89" s="582">
        <f t="shared" si="3"/>
        <v>1</v>
      </c>
    </row>
    <row r="90" spans="1:17">
      <c r="A90" s="582" t="s">
        <v>603</v>
      </c>
      <c r="B90" s="582" t="s">
        <v>436</v>
      </c>
      <c r="C90" s="582" t="s">
        <v>437</v>
      </c>
      <c r="D90" s="2">
        <v>0</v>
      </c>
      <c r="E90" s="587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87">
        <v>0</v>
      </c>
      <c r="L90" s="587">
        <v>0</v>
      </c>
      <c r="M90" s="583">
        <f t="shared" si="2"/>
        <v>0</v>
      </c>
      <c r="N90" s="582">
        <v>0</v>
      </c>
      <c r="P90" s="582" t="s">
        <v>801</v>
      </c>
      <c r="Q90" s="582">
        <f t="shared" si="3"/>
        <v>0</v>
      </c>
    </row>
    <row r="91" spans="1:17">
      <c r="A91" s="582" t="s">
        <v>603</v>
      </c>
      <c r="B91" s="582" t="s">
        <v>529</v>
      </c>
      <c r="C91" s="582" t="s">
        <v>530</v>
      </c>
      <c r="D91" s="2">
        <v>0</v>
      </c>
      <c r="E91" s="587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87">
        <v>0</v>
      </c>
      <c r="L91" s="587">
        <v>0</v>
      </c>
      <c r="M91" s="583">
        <f t="shared" si="2"/>
        <v>0</v>
      </c>
      <c r="N91" s="582">
        <v>0</v>
      </c>
      <c r="P91" s="582" t="s">
        <v>801</v>
      </c>
      <c r="Q91" s="582">
        <f t="shared" si="3"/>
        <v>0</v>
      </c>
    </row>
    <row r="92" spans="1:17">
      <c r="A92" s="582" t="s">
        <v>599</v>
      </c>
      <c r="B92" s="582" t="s">
        <v>240</v>
      </c>
      <c r="C92" s="582" t="s">
        <v>241</v>
      </c>
      <c r="D92" s="2">
        <v>0</v>
      </c>
      <c r="E92" s="587">
        <v>0</v>
      </c>
      <c r="F92" s="587">
        <v>0</v>
      </c>
      <c r="G92" s="587">
        <v>0</v>
      </c>
      <c r="H92" s="587">
        <v>0</v>
      </c>
      <c r="I92" s="587">
        <v>0</v>
      </c>
      <c r="J92" s="587">
        <v>0</v>
      </c>
      <c r="K92" s="587">
        <v>0</v>
      </c>
      <c r="L92" s="587">
        <v>0</v>
      </c>
      <c r="M92" s="583">
        <f t="shared" si="2"/>
        <v>0</v>
      </c>
      <c r="N92" s="582">
        <v>0</v>
      </c>
      <c r="P92" s="582" t="s">
        <v>801</v>
      </c>
      <c r="Q92" s="582">
        <f t="shared" si="3"/>
        <v>0</v>
      </c>
    </row>
    <row r="93" spans="1:17">
      <c r="A93" s="582" t="s">
        <v>605</v>
      </c>
      <c r="B93" s="582" t="s">
        <v>246</v>
      </c>
      <c r="C93" s="582" t="s">
        <v>247</v>
      </c>
      <c r="D93" s="2">
        <v>25</v>
      </c>
      <c r="E93" s="587">
        <v>23</v>
      </c>
      <c r="F93" s="587">
        <v>23</v>
      </c>
      <c r="G93" s="587">
        <v>22</v>
      </c>
      <c r="H93" s="587">
        <v>20</v>
      </c>
      <c r="I93" s="587">
        <v>21</v>
      </c>
      <c r="J93" s="587">
        <v>23</v>
      </c>
      <c r="K93" s="587">
        <v>23</v>
      </c>
      <c r="L93" s="587">
        <v>0</v>
      </c>
      <c r="M93" s="583">
        <f t="shared" si="2"/>
        <v>22.14</v>
      </c>
      <c r="N93" s="582">
        <v>19860.14</v>
      </c>
      <c r="P93" s="582" t="s">
        <v>621</v>
      </c>
      <c r="Q93" s="582">
        <f t="shared" si="3"/>
        <v>1</v>
      </c>
    </row>
    <row r="94" spans="1:17">
      <c r="A94" s="582" t="s">
        <v>601</v>
      </c>
      <c r="B94" s="582" t="s">
        <v>131</v>
      </c>
      <c r="C94" s="582" t="s">
        <v>655</v>
      </c>
      <c r="D94" s="2">
        <v>0</v>
      </c>
      <c r="E94" s="587">
        <v>0</v>
      </c>
      <c r="F94" s="587">
        <v>0</v>
      </c>
      <c r="G94" s="587">
        <v>0</v>
      </c>
      <c r="H94" s="587">
        <v>0</v>
      </c>
      <c r="I94" s="587">
        <v>0</v>
      </c>
      <c r="J94" s="587">
        <v>0</v>
      </c>
      <c r="K94" s="587">
        <v>0</v>
      </c>
      <c r="L94" s="587">
        <v>0</v>
      </c>
      <c r="M94" s="583">
        <f t="shared" si="2"/>
        <v>0</v>
      </c>
      <c r="N94" s="582">
        <v>0</v>
      </c>
      <c r="P94" s="582" t="s">
        <v>801</v>
      </c>
      <c r="Q94" s="582">
        <f t="shared" si="3"/>
        <v>0</v>
      </c>
    </row>
    <row r="95" spans="1:17">
      <c r="A95" s="582" t="s">
        <v>605</v>
      </c>
      <c r="B95" s="582" t="s">
        <v>555</v>
      </c>
      <c r="C95" s="582" t="s">
        <v>556</v>
      </c>
      <c r="D95" s="2">
        <v>1057</v>
      </c>
      <c r="E95" s="587">
        <v>1057</v>
      </c>
      <c r="F95" s="587">
        <v>1049</v>
      </c>
      <c r="G95" s="587">
        <v>1050</v>
      </c>
      <c r="H95" s="587">
        <v>1046</v>
      </c>
      <c r="I95" s="587">
        <v>1035</v>
      </c>
      <c r="J95" s="587">
        <v>1033</v>
      </c>
      <c r="K95" s="587">
        <v>1030</v>
      </c>
      <c r="L95" s="587">
        <v>0</v>
      </c>
      <c r="M95" s="583">
        <f t="shared" si="2"/>
        <v>1042.8599999999999</v>
      </c>
      <c r="N95" s="582">
        <v>859170.67</v>
      </c>
      <c r="P95" s="582" t="s">
        <v>621</v>
      </c>
      <c r="Q95" s="582">
        <f t="shared" si="3"/>
        <v>1</v>
      </c>
    </row>
    <row r="96" spans="1:17">
      <c r="A96" s="582" t="s">
        <v>605</v>
      </c>
      <c r="B96" s="582" t="s">
        <v>563</v>
      </c>
      <c r="C96" s="582" t="s">
        <v>564</v>
      </c>
      <c r="D96" s="2">
        <v>516</v>
      </c>
      <c r="E96" s="587">
        <v>526</v>
      </c>
      <c r="F96" s="587">
        <v>517</v>
      </c>
      <c r="G96" s="587">
        <v>506</v>
      </c>
      <c r="H96" s="587">
        <v>507</v>
      </c>
      <c r="I96" s="587">
        <v>514</v>
      </c>
      <c r="J96" s="587">
        <v>515</v>
      </c>
      <c r="K96" s="587">
        <v>515</v>
      </c>
      <c r="L96" s="587">
        <v>0</v>
      </c>
      <c r="M96" s="583">
        <f t="shared" si="2"/>
        <v>514.29</v>
      </c>
      <c r="N96" s="582">
        <v>418325.16</v>
      </c>
      <c r="P96" s="582" t="s">
        <v>621</v>
      </c>
      <c r="Q96" s="582">
        <f t="shared" si="3"/>
        <v>1</v>
      </c>
    </row>
    <row r="97" spans="1:17">
      <c r="A97" s="582" t="s">
        <v>595</v>
      </c>
      <c r="B97" s="582" t="s">
        <v>419</v>
      </c>
      <c r="C97" s="582" t="s">
        <v>420</v>
      </c>
      <c r="D97" s="2">
        <v>24</v>
      </c>
      <c r="E97" s="587">
        <v>27</v>
      </c>
      <c r="F97" s="587">
        <v>29</v>
      </c>
      <c r="G97" s="587">
        <v>28</v>
      </c>
      <c r="H97" s="587">
        <v>28</v>
      </c>
      <c r="I97" s="587">
        <v>28</v>
      </c>
      <c r="J97" s="587">
        <v>29</v>
      </c>
      <c r="K97" s="587">
        <v>28</v>
      </c>
      <c r="L97" s="587">
        <v>0</v>
      </c>
      <c r="M97" s="583">
        <f t="shared" si="2"/>
        <v>28.14</v>
      </c>
      <c r="N97" s="582">
        <v>24300.53</v>
      </c>
      <c r="P97" s="582" t="s">
        <v>621</v>
      </c>
      <c r="Q97" s="582">
        <f t="shared" si="3"/>
        <v>1</v>
      </c>
    </row>
    <row r="98" spans="1:17">
      <c r="A98" s="582" t="s">
        <v>594</v>
      </c>
      <c r="B98" s="582" t="s">
        <v>297</v>
      </c>
      <c r="C98" s="582" t="s">
        <v>298</v>
      </c>
      <c r="D98" s="2">
        <v>0</v>
      </c>
      <c r="E98" s="587">
        <v>0</v>
      </c>
      <c r="F98" s="587">
        <v>0</v>
      </c>
      <c r="G98" s="587">
        <v>0</v>
      </c>
      <c r="H98" s="587">
        <v>0</v>
      </c>
      <c r="I98" s="587">
        <v>0</v>
      </c>
      <c r="J98" s="587">
        <v>0</v>
      </c>
      <c r="K98" s="587">
        <v>0</v>
      </c>
      <c r="L98" s="587">
        <v>0</v>
      </c>
      <c r="M98" s="583">
        <f t="shared" si="2"/>
        <v>0</v>
      </c>
      <c r="N98" s="582">
        <v>0</v>
      </c>
      <c r="P98" s="582" t="s">
        <v>801</v>
      </c>
      <c r="Q98" s="582">
        <f t="shared" si="3"/>
        <v>0</v>
      </c>
    </row>
    <row r="99" spans="1:17">
      <c r="A99" s="582" t="s">
        <v>603</v>
      </c>
      <c r="B99" s="582" t="s">
        <v>426</v>
      </c>
      <c r="C99" s="582" t="s">
        <v>427</v>
      </c>
      <c r="D99" s="2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3">
        <f t="shared" si="2"/>
        <v>0</v>
      </c>
      <c r="N99" s="582">
        <v>0</v>
      </c>
      <c r="P99" s="582" t="s">
        <v>801</v>
      </c>
      <c r="Q99" s="582">
        <f t="shared" si="3"/>
        <v>0</v>
      </c>
    </row>
    <row r="100" spans="1:17">
      <c r="A100" s="582" t="s">
        <v>599</v>
      </c>
      <c r="B100" s="582" t="s">
        <v>54</v>
      </c>
      <c r="C100" s="582" t="s">
        <v>55</v>
      </c>
      <c r="D100" s="2">
        <v>0</v>
      </c>
      <c r="E100" s="587">
        <v>0</v>
      </c>
      <c r="F100" s="587">
        <v>0</v>
      </c>
      <c r="G100" s="587">
        <v>0</v>
      </c>
      <c r="H100" s="587">
        <v>0</v>
      </c>
      <c r="I100" s="587">
        <v>0</v>
      </c>
      <c r="J100" s="587">
        <v>0</v>
      </c>
      <c r="K100" s="587">
        <v>0</v>
      </c>
      <c r="L100" s="587">
        <v>0</v>
      </c>
      <c r="M100" s="583">
        <f t="shared" si="2"/>
        <v>0</v>
      </c>
      <c r="N100" s="582">
        <v>0</v>
      </c>
      <c r="P100" s="582" t="s">
        <v>801</v>
      </c>
      <c r="Q100" s="582">
        <f t="shared" si="3"/>
        <v>0</v>
      </c>
    </row>
    <row r="101" spans="1:17">
      <c r="A101" s="582" t="s">
        <v>594</v>
      </c>
      <c r="B101" s="582" t="s">
        <v>482</v>
      </c>
      <c r="C101" s="582" t="s">
        <v>483</v>
      </c>
      <c r="D101" s="2">
        <v>0</v>
      </c>
      <c r="E101" s="587">
        <v>0</v>
      </c>
      <c r="F101" s="587">
        <v>0</v>
      </c>
      <c r="G101" s="587">
        <v>0</v>
      </c>
      <c r="H101" s="587">
        <v>0</v>
      </c>
      <c r="I101" s="587">
        <v>0</v>
      </c>
      <c r="J101" s="587">
        <v>0</v>
      </c>
      <c r="K101" s="587">
        <v>0</v>
      </c>
      <c r="L101" s="587">
        <v>0</v>
      </c>
      <c r="M101" s="583">
        <f t="shared" si="2"/>
        <v>0</v>
      </c>
      <c r="N101" s="582">
        <v>0</v>
      </c>
      <c r="P101" s="582" t="s">
        <v>801</v>
      </c>
      <c r="Q101" s="582">
        <f t="shared" si="3"/>
        <v>0</v>
      </c>
    </row>
    <row r="102" spans="1:17">
      <c r="A102" s="582" t="s">
        <v>603</v>
      </c>
      <c r="B102" s="582" t="s">
        <v>291</v>
      </c>
      <c r="C102" s="582" t="s">
        <v>292</v>
      </c>
      <c r="D102" s="2">
        <v>0</v>
      </c>
      <c r="E102" s="587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87">
        <v>0</v>
      </c>
      <c r="L102" s="587">
        <v>0</v>
      </c>
      <c r="M102" s="583">
        <f t="shared" si="2"/>
        <v>0</v>
      </c>
      <c r="N102" s="582">
        <v>0</v>
      </c>
      <c r="P102" s="582" t="s">
        <v>801</v>
      </c>
      <c r="Q102" s="582">
        <f t="shared" si="3"/>
        <v>0</v>
      </c>
    </row>
    <row r="103" spans="1:17">
      <c r="A103" s="582" t="s">
        <v>605</v>
      </c>
      <c r="B103" s="582" t="s">
        <v>561</v>
      </c>
      <c r="C103" s="582" t="s">
        <v>562</v>
      </c>
      <c r="D103" s="2">
        <v>265</v>
      </c>
      <c r="E103" s="587">
        <v>271</v>
      </c>
      <c r="F103" s="587">
        <v>271</v>
      </c>
      <c r="G103" s="587">
        <v>268</v>
      </c>
      <c r="H103" s="587">
        <v>263</v>
      </c>
      <c r="I103" s="587">
        <v>266</v>
      </c>
      <c r="J103" s="587">
        <v>259</v>
      </c>
      <c r="K103" s="587">
        <v>260</v>
      </c>
      <c r="L103" s="587">
        <v>0</v>
      </c>
      <c r="M103" s="583">
        <f t="shared" si="2"/>
        <v>265.43</v>
      </c>
      <c r="N103" s="582">
        <v>229060.01</v>
      </c>
      <c r="P103" s="582" t="s">
        <v>621</v>
      </c>
      <c r="Q103" s="582">
        <f t="shared" si="3"/>
        <v>1</v>
      </c>
    </row>
    <row r="104" spans="1:17">
      <c r="A104" s="582" t="s">
        <v>597</v>
      </c>
      <c r="B104" s="582" t="s">
        <v>181</v>
      </c>
      <c r="C104" s="582" t="s">
        <v>182</v>
      </c>
      <c r="D104" s="2">
        <v>3515</v>
      </c>
      <c r="E104" s="587">
        <v>3788</v>
      </c>
      <c r="F104" s="587">
        <v>3802</v>
      </c>
      <c r="G104" s="587">
        <v>3850</v>
      </c>
      <c r="H104" s="587">
        <v>3846</v>
      </c>
      <c r="I104" s="587">
        <v>3857</v>
      </c>
      <c r="J104" s="587">
        <v>3834</v>
      </c>
      <c r="K104" s="587">
        <v>3842</v>
      </c>
      <c r="L104" s="587">
        <v>0</v>
      </c>
      <c r="M104" s="583">
        <f t="shared" si="2"/>
        <v>3831.29</v>
      </c>
      <c r="N104" s="582">
        <v>3184480.54</v>
      </c>
      <c r="P104" s="582" t="s">
        <v>621</v>
      </c>
      <c r="Q104" s="582">
        <f t="shared" si="3"/>
        <v>1</v>
      </c>
    </row>
    <row r="105" spans="1:17">
      <c r="A105" s="582" t="s">
        <v>599</v>
      </c>
      <c r="B105" s="582" t="s">
        <v>51</v>
      </c>
      <c r="C105" s="582" t="s">
        <v>52</v>
      </c>
      <c r="D105" s="2">
        <v>24</v>
      </c>
      <c r="E105" s="587">
        <v>23</v>
      </c>
      <c r="F105" s="587">
        <v>22</v>
      </c>
      <c r="G105" s="587">
        <v>22</v>
      </c>
      <c r="H105" s="587">
        <v>21</v>
      </c>
      <c r="I105" s="587">
        <v>20</v>
      </c>
      <c r="J105" s="587">
        <v>20</v>
      </c>
      <c r="K105" s="587">
        <v>20</v>
      </c>
      <c r="L105" s="587">
        <v>0</v>
      </c>
      <c r="M105" s="583">
        <f t="shared" si="2"/>
        <v>21.14</v>
      </c>
      <c r="N105" s="582">
        <v>17922.66</v>
      </c>
      <c r="P105" s="582" t="s">
        <v>621</v>
      </c>
      <c r="Q105" s="582">
        <f t="shared" si="3"/>
        <v>1</v>
      </c>
    </row>
    <row r="106" spans="1:17">
      <c r="A106" s="582" t="s">
        <v>594</v>
      </c>
      <c r="B106" s="582" t="s">
        <v>307</v>
      </c>
      <c r="C106" s="582" t="s">
        <v>308</v>
      </c>
      <c r="D106" s="2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3">
        <f t="shared" si="2"/>
        <v>0</v>
      </c>
      <c r="N106" s="582">
        <v>0</v>
      </c>
      <c r="P106" s="582" t="s">
        <v>801</v>
      </c>
      <c r="Q106" s="582">
        <f t="shared" si="3"/>
        <v>0</v>
      </c>
    </row>
    <row r="107" spans="1:17">
      <c r="A107" s="582" t="s">
        <v>594</v>
      </c>
      <c r="B107" s="582" t="s">
        <v>134</v>
      </c>
      <c r="C107" s="582" t="s">
        <v>135</v>
      </c>
      <c r="D107" s="2">
        <v>41</v>
      </c>
      <c r="E107" s="587">
        <v>39</v>
      </c>
      <c r="F107" s="587">
        <v>40</v>
      </c>
      <c r="G107" s="587">
        <v>39</v>
      </c>
      <c r="H107" s="587">
        <v>43</v>
      </c>
      <c r="I107" s="587">
        <v>42</v>
      </c>
      <c r="J107" s="587">
        <v>44</v>
      </c>
      <c r="K107" s="587">
        <v>46</v>
      </c>
      <c r="L107" s="587">
        <v>0</v>
      </c>
      <c r="M107" s="583">
        <f t="shared" si="2"/>
        <v>41.86</v>
      </c>
      <c r="N107" s="582">
        <v>37033.360000000001</v>
      </c>
      <c r="P107" s="582" t="s">
        <v>621</v>
      </c>
      <c r="Q107" s="582">
        <f t="shared" si="3"/>
        <v>1</v>
      </c>
    </row>
    <row r="108" spans="1:17">
      <c r="A108" s="582" t="s">
        <v>603</v>
      </c>
      <c r="B108" s="582" t="s">
        <v>100</v>
      </c>
      <c r="C108" s="582" t="s">
        <v>101</v>
      </c>
      <c r="D108" s="2">
        <v>0</v>
      </c>
      <c r="E108" s="587">
        <v>0</v>
      </c>
      <c r="F108" s="587">
        <v>0</v>
      </c>
      <c r="G108" s="587">
        <v>0</v>
      </c>
      <c r="H108" s="587">
        <v>0</v>
      </c>
      <c r="I108" s="587">
        <v>0</v>
      </c>
      <c r="J108" s="587">
        <v>0</v>
      </c>
      <c r="K108" s="587">
        <v>0</v>
      </c>
      <c r="L108" s="587">
        <v>0</v>
      </c>
      <c r="M108" s="583">
        <f t="shared" si="2"/>
        <v>0</v>
      </c>
      <c r="N108" s="582">
        <v>0</v>
      </c>
      <c r="P108" s="582" t="s">
        <v>801</v>
      </c>
      <c r="Q108" s="582">
        <f t="shared" si="3"/>
        <v>0</v>
      </c>
    </row>
    <row r="109" spans="1:17">
      <c r="A109" s="582" t="s">
        <v>595</v>
      </c>
      <c r="B109" s="582" t="s">
        <v>407</v>
      </c>
      <c r="C109" s="582" t="s">
        <v>408</v>
      </c>
      <c r="D109" s="2">
        <v>0</v>
      </c>
      <c r="E109" s="587">
        <v>0</v>
      </c>
      <c r="F109" s="587">
        <v>0</v>
      </c>
      <c r="G109" s="587">
        <v>0</v>
      </c>
      <c r="H109" s="587">
        <v>0</v>
      </c>
      <c r="I109" s="587">
        <v>0</v>
      </c>
      <c r="J109" s="587">
        <v>0</v>
      </c>
      <c r="K109" s="587">
        <v>0</v>
      </c>
      <c r="L109" s="587">
        <v>0</v>
      </c>
      <c r="M109" s="583">
        <f t="shared" si="2"/>
        <v>0</v>
      </c>
      <c r="N109" s="582">
        <v>0</v>
      </c>
      <c r="P109" s="582" t="s">
        <v>801</v>
      </c>
      <c r="Q109" s="582">
        <f t="shared" si="3"/>
        <v>0</v>
      </c>
    </row>
    <row r="110" spans="1:17">
      <c r="A110" s="582" t="s">
        <v>597</v>
      </c>
      <c r="B110" s="582" t="s">
        <v>201</v>
      </c>
      <c r="C110" s="582" t="s">
        <v>202</v>
      </c>
      <c r="D110" s="2">
        <v>600</v>
      </c>
      <c r="E110" s="587">
        <v>648</v>
      </c>
      <c r="F110" s="587">
        <v>656</v>
      </c>
      <c r="G110" s="587">
        <v>660</v>
      </c>
      <c r="H110" s="587">
        <v>657</v>
      </c>
      <c r="I110" s="587">
        <v>670</v>
      </c>
      <c r="J110" s="587">
        <v>678</v>
      </c>
      <c r="K110" s="587">
        <v>678</v>
      </c>
      <c r="L110" s="587">
        <v>0</v>
      </c>
      <c r="M110" s="583">
        <f t="shared" si="2"/>
        <v>663.86</v>
      </c>
      <c r="N110" s="582">
        <v>558921.12</v>
      </c>
      <c r="P110" s="582" t="s">
        <v>621</v>
      </c>
      <c r="Q110" s="582">
        <f t="shared" si="3"/>
        <v>1</v>
      </c>
    </row>
    <row r="111" spans="1:17">
      <c r="A111" s="582" t="s">
        <v>596</v>
      </c>
      <c r="B111" s="582" t="s">
        <v>110</v>
      </c>
      <c r="C111" s="582" t="s">
        <v>111</v>
      </c>
      <c r="D111" s="2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3">
        <f t="shared" si="2"/>
        <v>0</v>
      </c>
      <c r="N111" s="582">
        <v>0</v>
      </c>
      <c r="P111" s="582" t="s">
        <v>801</v>
      </c>
      <c r="Q111" s="582">
        <f t="shared" si="3"/>
        <v>0</v>
      </c>
    </row>
    <row r="112" spans="1:17">
      <c r="A112" s="582" t="s">
        <v>599</v>
      </c>
      <c r="B112" s="582" t="s">
        <v>76</v>
      </c>
      <c r="C112" s="582" t="s">
        <v>77</v>
      </c>
      <c r="D112" s="2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3">
        <f t="shared" si="2"/>
        <v>0</v>
      </c>
      <c r="N112" s="582">
        <v>0</v>
      </c>
      <c r="P112" s="582" t="s">
        <v>801</v>
      </c>
      <c r="Q112" s="582">
        <f t="shared" si="3"/>
        <v>0</v>
      </c>
    </row>
    <row r="113" spans="1:17">
      <c r="A113" s="582" t="s">
        <v>603</v>
      </c>
      <c r="B113" s="582" t="s">
        <v>94</v>
      </c>
      <c r="C113" s="582" t="s">
        <v>95</v>
      </c>
      <c r="D113" s="2">
        <v>0</v>
      </c>
      <c r="E113" s="587"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3">
        <f t="shared" si="2"/>
        <v>0</v>
      </c>
      <c r="N113" s="582">
        <v>0</v>
      </c>
      <c r="P113" s="582" t="s">
        <v>801</v>
      </c>
      <c r="Q113" s="582">
        <f t="shared" si="3"/>
        <v>0</v>
      </c>
    </row>
    <row r="114" spans="1:17">
      <c r="A114" s="582" t="s">
        <v>599</v>
      </c>
      <c r="B114" s="582" t="s">
        <v>80</v>
      </c>
      <c r="C114" s="582" t="s">
        <v>81</v>
      </c>
      <c r="D114" s="2">
        <v>175</v>
      </c>
      <c r="E114" s="587">
        <v>199</v>
      </c>
      <c r="F114" s="587">
        <v>200</v>
      </c>
      <c r="G114" s="587">
        <v>200</v>
      </c>
      <c r="H114" s="587">
        <v>194</v>
      </c>
      <c r="I114" s="587">
        <v>198</v>
      </c>
      <c r="J114" s="587">
        <v>198</v>
      </c>
      <c r="K114" s="587">
        <v>194</v>
      </c>
      <c r="L114" s="587">
        <v>0</v>
      </c>
      <c r="M114" s="583">
        <f t="shared" si="2"/>
        <v>197.57</v>
      </c>
      <c r="N114" s="582">
        <v>170568.41</v>
      </c>
      <c r="P114" s="582" t="s">
        <v>621</v>
      </c>
      <c r="Q114" s="582">
        <f t="shared" si="3"/>
        <v>1</v>
      </c>
    </row>
    <row r="115" spans="1:17">
      <c r="A115" s="582" t="s">
        <v>596</v>
      </c>
      <c r="B115" s="582" t="s">
        <v>14</v>
      </c>
      <c r="C115" s="582" t="s">
        <v>15</v>
      </c>
      <c r="D115" s="2">
        <v>1915</v>
      </c>
      <c r="E115" s="587">
        <v>1915</v>
      </c>
      <c r="F115" s="587">
        <v>1916</v>
      </c>
      <c r="G115" s="587">
        <v>1930</v>
      </c>
      <c r="H115" s="587">
        <v>1924</v>
      </c>
      <c r="I115" s="587">
        <v>1929</v>
      </c>
      <c r="J115" s="587">
        <v>1931</v>
      </c>
      <c r="K115" s="587">
        <v>1918</v>
      </c>
      <c r="L115" s="587">
        <v>0</v>
      </c>
      <c r="M115" s="583">
        <f t="shared" si="2"/>
        <v>1923.29</v>
      </c>
      <c r="N115" s="582">
        <v>1688479.44</v>
      </c>
      <c r="P115" s="582" t="s">
        <v>621</v>
      </c>
      <c r="Q115" s="582">
        <f t="shared" si="3"/>
        <v>1</v>
      </c>
    </row>
    <row r="116" spans="1:17">
      <c r="A116" s="582" t="s">
        <v>597</v>
      </c>
      <c r="B116" s="582" t="s">
        <v>207</v>
      </c>
      <c r="C116" s="582" t="s">
        <v>208</v>
      </c>
      <c r="D116" s="2">
        <v>3743</v>
      </c>
      <c r="E116" s="587">
        <v>4281</v>
      </c>
      <c r="F116" s="587">
        <v>4319</v>
      </c>
      <c r="G116" s="587">
        <v>4326</v>
      </c>
      <c r="H116" s="587">
        <v>4306</v>
      </c>
      <c r="I116" s="587">
        <v>4332</v>
      </c>
      <c r="J116" s="587">
        <v>4319</v>
      </c>
      <c r="K116" s="587">
        <v>4303</v>
      </c>
      <c r="L116" s="587">
        <v>0</v>
      </c>
      <c r="M116" s="583">
        <f t="shared" si="2"/>
        <v>4312.29</v>
      </c>
      <c r="N116" s="582">
        <v>3659777.89</v>
      </c>
      <c r="P116" s="582" t="s">
        <v>621</v>
      </c>
      <c r="Q116" s="582">
        <f t="shared" si="3"/>
        <v>1</v>
      </c>
    </row>
    <row r="117" spans="1:17">
      <c r="A117" s="582" t="s">
        <v>603</v>
      </c>
      <c r="B117" s="582" t="s">
        <v>470</v>
      </c>
      <c r="C117" s="582" t="s">
        <v>471</v>
      </c>
      <c r="D117" s="2">
        <v>0</v>
      </c>
      <c r="E117" s="587">
        <v>0</v>
      </c>
      <c r="F117" s="587">
        <v>0</v>
      </c>
      <c r="G117" s="587">
        <v>0</v>
      </c>
      <c r="H117" s="587">
        <v>0</v>
      </c>
      <c r="I117" s="587">
        <v>0</v>
      </c>
      <c r="J117" s="587">
        <v>0</v>
      </c>
      <c r="K117" s="587">
        <v>0</v>
      </c>
      <c r="L117" s="587">
        <v>0</v>
      </c>
      <c r="M117" s="583">
        <f t="shared" si="2"/>
        <v>0</v>
      </c>
      <c r="N117" s="582">
        <v>0</v>
      </c>
      <c r="P117" s="582" t="s">
        <v>801</v>
      </c>
      <c r="Q117" s="582">
        <f t="shared" si="3"/>
        <v>0</v>
      </c>
    </row>
    <row r="118" spans="1:17">
      <c r="A118" s="582" t="s">
        <v>596</v>
      </c>
      <c r="B118" s="582" t="s">
        <v>18</v>
      </c>
      <c r="C118" s="582" t="s">
        <v>608</v>
      </c>
      <c r="D118" s="2">
        <v>172</v>
      </c>
      <c r="E118" s="587">
        <v>190</v>
      </c>
      <c r="F118" s="587">
        <v>203</v>
      </c>
      <c r="G118" s="587">
        <v>208</v>
      </c>
      <c r="H118" s="587">
        <v>215</v>
      </c>
      <c r="I118" s="587">
        <v>208</v>
      </c>
      <c r="J118" s="587">
        <v>204</v>
      </c>
      <c r="K118" s="587">
        <v>208</v>
      </c>
      <c r="L118" s="587">
        <v>0</v>
      </c>
      <c r="M118" s="583">
        <f t="shared" si="2"/>
        <v>205.14</v>
      </c>
      <c r="N118" s="582">
        <v>176864.31</v>
      </c>
      <c r="P118" s="582" t="s">
        <v>621</v>
      </c>
      <c r="Q118" s="582">
        <f t="shared" si="3"/>
        <v>1</v>
      </c>
    </row>
    <row r="119" spans="1:17">
      <c r="A119" s="582" t="s">
        <v>605</v>
      </c>
      <c r="B119" s="582" t="s">
        <v>228</v>
      </c>
      <c r="C119" s="582" t="s">
        <v>229</v>
      </c>
      <c r="D119" s="2">
        <v>54</v>
      </c>
      <c r="E119" s="587">
        <v>58</v>
      </c>
      <c r="F119" s="587">
        <v>55</v>
      </c>
      <c r="G119" s="587">
        <v>56</v>
      </c>
      <c r="H119" s="587">
        <v>54</v>
      </c>
      <c r="I119" s="587">
        <v>52</v>
      </c>
      <c r="J119" s="587">
        <v>53</v>
      </c>
      <c r="K119" s="587">
        <v>44</v>
      </c>
      <c r="L119" s="587">
        <v>0</v>
      </c>
      <c r="M119" s="583">
        <f t="shared" si="2"/>
        <v>53.14</v>
      </c>
      <c r="N119" s="582">
        <v>47264.43</v>
      </c>
      <c r="P119" s="582" t="s">
        <v>621</v>
      </c>
      <c r="Q119" s="582">
        <f t="shared" si="3"/>
        <v>1</v>
      </c>
    </row>
    <row r="120" spans="1:17">
      <c r="A120" s="582" t="s">
        <v>599</v>
      </c>
      <c r="B120" s="582" t="s">
        <v>242</v>
      </c>
      <c r="C120" s="582" t="s">
        <v>243</v>
      </c>
      <c r="D120" s="2">
        <v>0</v>
      </c>
      <c r="E120" s="587"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3">
        <f t="shared" si="2"/>
        <v>0</v>
      </c>
      <c r="N120" s="582">
        <v>0</v>
      </c>
      <c r="P120" s="582" t="s">
        <v>801</v>
      </c>
      <c r="Q120" s="582">
        <f t="shared" si="3"/>
        <v>0</v>
      </c>
    </row>
    <row r="121" spans="1:17">
      <c r="A121" s="582" t="s">
        <v>595</v>
      </c>
      <c r="B121" s="582" t="s">
        <v>382</v>
      </c>
      <c r="C121" s="582" t="s">
        <v>383</v>
      </c>
      <c r="D121" s="2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3">
        <f t="shared" si="2"/>
        <v>0</v>
      </c>
      <c r="N121" s="582">
        <v>0</v>
      </c>
      <c r="P121" s="582" t="s">
        <v>801</v>
      </c>
      <c r="Q121" s="582">
        <f t="shared" si="3"/>
        <v>0</v>
      </c>
    </row>
    <row r="122" spans="1:17">
      <c r="A122" s="582" t="s">
        <v>599</v>
      </c>
      <c r="B122" s="582" t="s">
        <v>53</v>
      </c>
      <c r="C122" s="582" t="s">
        <v>609</v>
      </c>
      <c r="D122" s="2">
        <v>12</v>
      </c>
      <c r="E122" s="587">
        <v>16</v>
      </c>
      <c r="F122" s="587">
        <v>16</v>
      </c>
      <c r="G122" s="587">
        <v>16</v>
      </c>
      <c r="H122" s="587">
        <v>16</v>
      </c>
      <c r="I122" s="587">
        <v>16</v>
      </c>
      <c r="J122" s="587">
        <v>15</v>
      </c>
      <c r="K122" s="587">
        <v>15</v>
      </c>
      <c r="L122" s="587">
        <v>0</v>
      </c>
      <c r="M122" s="583">
        <f t="shared" si="2"/>
        <v>15.71</v>
      </c>
      <c r="N122" s="582">
        <v>14445.54</v>
      </c>
      <c r="P122" s="582" t="s">
        <v>621</v>
      </c>
      <c r="Q122" s="582">
        <f t="shared" si="3"/>
        <v>1</v>
      </c>
    </row>
    <row r="123" spans="1:17">
      <c r="A123" s="582" t="s">
        <v>603</v>
      </c>
      <c r="B123" s="582" t="s">
        <v>518</v>
      </c>
      <c r="C123" s="582" t="s">
        <v>645</v>
      </c>
      <c r="D123" s="2">
        <v>0</v>
      </c>
      <c r="E123" s="587">
        <v>0</v>
      </c>
      <c r="F123" s="587">
        <v>0</v>
      </c>
      <c r="G123" s="587">
        <v>0</v>
      </c>
      <c r="H123" s="587">
        <v>0</v>
      </c>
      <c r="I123" s="587">
        <v>0</v>
      </c>
      <c r="J123" s="587">
        <v>0</v>
      </c>
      <c r="K123" s="587">
        <v>0</v>
      </c>
      <c r="L123" s="587">
        <v>0</v>
      </c>
      <c r="M123" s="583">
        <f t="shared" si="2"/>
        <v>0</v>
      </c>
      <c r="N123" s="582">
        <v>0</v>
      </c>
      <c r="P123" s="582" t="s">
        <v>801</v>
      </c>
      <c r="Q123" s="582">
        <f t="shared" si="3"/>
        <v>0</v>
      </c>
    </row>
    <row r="124" spans="1:17">
      <c r="A124" s="582" t="s">
        <v>601</v>
      </c>
      <c r="B124" s="582" t="s">
        <v>31</v>
      </c>
      <c r="C124" s="582" t="s">
        <v>32</v>
      </c>
      <c r="D124" s="2">
        <v>211</v>
      </c>
      <c r="E124" s="587">
        <v>280</v>
      </c>
      <c r="F124" s="587">
        <v>285</v>
      </c>
      <c r="G124" s="587">
        <v>285</v>
      </c>
      <c r="H124" s="587">
        <v>275</v>
      </c>
      <c r="I124" s="587">
        <v>272</v>
      </c>
      <c r="J124" s="587">
        <v>279</v>
      </c>
      <c r="K124" s="587">
        <v>282</v>
      </c>
      <c r="L124" s="587">
        <v>0</v>
      </c>
      <c r="M124" s="583">
        <f t="shared" si="2"/>
        <v>279.70999999999998</v>
      </c>
      <c r="N124" s="582">
        <v>258365.76</v>
      </c>
      <c r="P124" s="582" t="s">
        <v>621</v>
      </c>
      <c r="Q124" s="582">
        <f t="shared" si="3"/>
        <v>1</v>
      </c>
    </row>
    <row r="125" spans="1:17">
      <c r="A125" s="582" t="s">
        <v>595</v>
      </c>
      <c r="B125" s="582" t="s">
        <v>397</v>
      </c>
      <c r="C125" s="582" t="s">
        <v>398</v>
      </c>
      <c r="D125" s="2">
        <v>196</v>
      </c>
      <c r="E125" s="587">
        <v>249</v>
      </c>
      <c r="F125" s="587">
        <v>253</v>
      </c>
      <c r="G125" s="587">
        <v>257</v>
      </c>
      <c r="H125" s="587">
        <v>248</v>
      </c>
      <c r="I125" s="587">
        <v>252</v>
      </c>
      <c r="J125" s="587">
        <v>251</v>
      </c>
      <c r="K125" s="587">
        <v>249</v>
      </c>
      <c r="L125" s="587">
        <v>0</v>
      </c>
      <c r="M125" s="583">
        <f t="shared" si="2"/>
        <v>251.29</v>
      </c>
      <c r="N125" s="582">
        <v>217691.18</v>
      </c>
      <c r="P125" s="582" t="s">
        <v>621</v>
      </c>
      <c r="Q125" s="582">
        <f t="shared" si="3"/>
        <v>1</v>
      </c>
    </row>
    <row r="126" spans="1:17">
      <c r="A126" s="582" t="s">
        <v>597</v>
      </c>
      <c r="B126" s="582" t="s">
        <v>205</v>
      </c>
      <c r="C126" s="582" t="s">
        <v>206</v>
      </c>
      <c r="D126" s="2">
        <v>1052</v>
      </c>
      <c r="E126" s="587">
        <v>1310</v>
      </c>
      <c r="F126" s="587">
        <v>1358</v>
      </c>
      <c r="G126" s="587">
        <v>1354</v>
      </c>
      <c r="H126" s="587">
        <v>1360</v>
      </c>
      <c r="I126" s="587">
        <v>1373</v>
      </c>
      <c r="J126" s="587">
        <v>1364</v>
      </c>
      <c r="K126" s="587">
        <v>1367</v>
      </c>
      <c r="L126" s="587">
        <v>0</v>
      </c>
      <c r="M126" s="583">
        <f t="shared" si="2"/>
        <v>1355.14</v>
      </c>
      <c r="N126" s="582">
        <v>1138884.02</v>
      </c>
      <c r="P126" s="582" t="s">
        <v>621</v>
      </c>
      <c r="Q126" s="582">
        <f t="shared" si="3"/>
        <v>1</v>
      </c>
    </row>
    <row r="127" spans="1:17">
      <c r="A127" s="582" t="s">
        <v>595</v>
      </c>
      <c r="B127" s="582" t="s">
        <v>413</v>
      </c>
      <c r="C127" s="582" t="s">
        <v>414</v>
      </c>
      <c r="D127" s="2">
        <v>68</v>
      </c>
      <c r="E127" s="587">
        <v>71</v>
      </c>
      <c r="F127" s="587">
        <v>72</v>
      </c>
      <c r="G127" s="587">
        <v>72</v>
      </c>
      <c r="H127" s="587">
        <v>76</v>
      </c>
      <c r="I127" s="587">
        <v>74</v>
      </c>
      <c r="J127" s="587">
        <v>75</v>
      </c>
      <c r="K127" s="587">
        <v>74</v>
      </c>
      <c r="L127" s="587">
        <v>0</v>
      </c>
      <c r="M127" s="583">
        <f t="shared" si="2"/>
        <v>73.430000000000007</v>
      </c>
      <c r="N127" s="582">
        <v>64760.21</v>
      </c>
      <c r="P127" s="582" t="s">
        <v>621</v>
      </c>
      <c r="Q127" s="582">
        <f t="shared" si="3"/>
        <v>1</v>
      </c>
    </row>
    <row r="128" spans="1:17">
      <c r="A128" s="582" t="s">
        <v>603</v>
      </c>
      <c r="B128" s="582" t="s">
        <v>519</v>
      </c>
      <c r="C128" s="582" t="s">
        <v>520</v>
      </c>
      <c r="D128" s="2">
        <v>0</v>
      </c>
      <c r="E128" s="587">
        <v>0</v>
      </c>
      <c r="F128" s="587">
        <v>0</v>
      </c>
      <c r="G128" s="587">
        <v>0</v>
      </c>
      <c r="H128" s="587">
        <v>0</v>
      </c>
      <c r="I128" s="587">
        <v>0</v>
      </c>
      <c r="J128" s="587">
        <v>0</v>
      </c>
      <c r="K128" s="587">
        <v>0</v>
      </c>
      <c r="L128" s="587">
        <v>0</v>
      </c>
      <c r="M128" s="583">
        <f t="shared" si="2"/>
        <v>0</v>
      </c>
      <c r="N128" s="582">
        <v>0</v>
      </c>
      <c r="P128" s="582" t="s">
        <v>801</v>
      </c>
      <c r="Q128" s="582">
        <f t="shared" si="3"/>
        <v>0</v>
      </c>
    </row>
    <row r="129" spans="1:17">
      <c r="A129" s="582" t="s">
        <v>603</v>
      </c>
      <c r="B129" s="582" t="s">
        <v>441</v>
      </c>
      <c r="C129" s="582" t="s">
        <v>442</v>
      </c>
      <c r="D129" s="2">
        <v>0</v>
      </c>
      <c r="E129" s="587">
        <v>0</v>
      </c>
      <c r="F129" s="587">
        <v>0</v>
      </c>
      <c r="G129" s="587">
        <v>0</v>
      </c>
      <c r="H129" s="587">
        <v>0</v>
      </c>
      <c r="I129" s="587">
        <v>0</v>
      </c>
      <c r="J129" s="587">
        <v>0</v>
      </c>
      <c r="K129" s="587">
        <v>0</v>
      </c>
      <c r="L129" s="587">
        <v>0</v>
      </c>
      <c r="M129" s="583">
        <f t="shared" si="2"/>
        <v>0</v>
      </c>
      <c r="N129" s="582">
        <v>0</v>
      </c>
      <c r="P129" s="582" t="s">
        <v>801</v>
      </c>
      <c r="Q129" s="582">
        <f t="shared" si="3"/>
        <v>0</v>
      </c>
    </row>
    <row r="130" spans="1:17">
      <c r="A130" s="582" t="s">
        <v>603</v>
      </c>
      <c r="B130" s="582" t="s">
        <v>6</v>
      </c>
      <c r="C130" s="582" t="s">
        <v>7</v>
      </c>
      <c r="D130" s="2">
        <v>14</v>
      </c>
      <c r="E130" s="587">
        <v>12</v>
      </c>
      <c r="F130" s="587">
        <v>12</v>
      </c>
      <c r="G130" s="587">
        <v>12</v>
      </c>
      <c r="H130" s="587">
        <v>12</v>
      </c>
      <c r="I130" s="587">
        <v>11</v>
      </c>
      <c r="J130" s="587">
        <v>10</v>
      </c>
      <c r="K130" s="587">
        <v>13</v>
      </c>
      <c r="L130" s="587">
        <v>0</v>
      </c>
      <c r="M130" s="583">
        <f t="shared" si="2"/>
        <v>11.71</v>
      </c>
      <c r="N130" s="582">
        <v>10206.620000000001</v>
      </c>
      <c r="P130" s="582" t="s">
        <v>621</v>
      </c>
      <c r="Q130" s="582">
        <f t="shared" si="3"/>
        <v>1</v>
      </c>
    </row>
    <row r="131" spans="1:17">
      <c r="A131" s="582" t="s">
        <v>599</v>
      </c>
      <c r="B131" s="582" t="s">
        <v>70</v>
      </c>
      <c r="C131" s="582" t="s">
        <v>71</v>
      </c>
      <c r="D131" s="2">
        <v>257</v>
      </c>
      <c r="E131" s="587">
        <v>333</v>
      </c>
      <c r="F131" s="587">
        <v>341</v>
      </c>
      <c r="G131" s="587">
        <v>343</v>
      </c>
      <c r="H131" s="587">
        <v>334</v>
      </c>
      <c r="I131" s="587">
        <v>342</v>
      </c>
      <c r="J131" s="587">
        <v>341</v>
      </c>
      <c r="K131" s="587">
        <v>327</v>
      </c>
      <c r="L131" s="587">
        <v>0</v>
      </c>
      <c r="M131" s="583">
        <f t="shared" si="2"/>
        <v>337.29</v>
      </c>
      <c r="N131" s="582">
        <v>299507.56</v>
      </c>
      <c r="P131" s="582" t="s">
        <v>621</v>
      </c>
      <c r="Q131" s="582">
        <f t="shared" si="3"/>
        <v>1</v>
      </c>
    </row>
    <row r="132" spans="1:17">
      <c r="A132" s="582" t="s">
        <v>603</v>
      </c>
      <c r="B132" s="582" t="s">
        <v>458</v>
      </c>
      <c r="C132" s="582" t="s">
        <v>459</v>
      </c>
      <c r="D132" s="2">
        <v>0</v>
      </c>
      <c r="E132" s="587">
        <v>0</v>
      </c>
      <c r="F132" s="587">
        <v>0</v>
      </c>
      <c r="G132" s="587">
        <v>0</v>
      </c>
      <c r="H132" s="587">
        <v>0</v>
      </c>
      <c r="I132" s="587">
        <v>0</v>
      </c>
      <c r="J132" s="587">
        <v>0</v>
      </c>
      <c r="K132" s="587">
        <v>0</v>
      </c>
      <c r="L132" s="587">
        <v>0</v>
      </c>
      <c r="M132" s="583">
        <f t="shared" si="2"/>
        <v>0</v>
      </c>
      <c r="N132" s="582">
        <v>0</v>
      </c>
      <c r="P132" s="582" t="s">
        <v>801</v>
      </c>
      <c r="Q132" s="582">
        <f t="shared" si="3"/>
        <v>0</v>
      </c>
    </row>
    <row r="133" spans="1:17">
      <c r="A133" s="582" t="s">
        <v>595</v>
      </c>
      <c r="B133" s="582" t="s">
        <v>373</v>
      </c>
      <c r="C133" s="582" t="s">
        <v>374</v>
      </c>
      <c r="D133" s="2">
        <v>7</v>
      </c>
      <c r="E133" s="587">
        <v>7</v>
      </c>
      <c r="F133" s="587">
        <v>7</v>
      </c>
      <c r="G133" s="587">
        <v>7</v>
      </c>
      <c r="H133" s="587">
        <v>6</v>
      </c>
      <c r="I133" s="587">
        <v>6</v>
      </c>
      <c r="J133" s="587">
        <v>6</v>
      </c>
      <c r="K133" s="587">
        <v>6</v>
      </c>
      <c r="L133" s="587">
        <v>0</v>
      </c>
      <c r="M133" s="583">
        <f t="shared" si="2"/>
        <v>6.43</v>
      </c>
      <c r="N133" s="582">
        <v>5501.89</v>
      </c>
      <c r="P133" s="582" t="s">
        <v>621</v>
      </c>
      <c r="Q133" s="582">
        <f t="shared" si="3"/>
        <v>1</v>
      </c>
    </row>
    <row r="134" spans="1:17">
      <c r="A134" s="582" t="s">
        <v>599</v>
      </c>
      <c r="B134" s="582" t="s">
        <v>250</v>
      </c>
      <c r="C134" s="582" t="s">
        <v>251</v>
      </c>
      <c r="D134" s="2">
        <v>0</v>
      </c>
      <c r="E134" s="587">
        <v>0</v>
      </c>
      <c r="F134" s="587">
        <v>0</v>
      </c>
      <c r="G134" s="587">
        <v>0</v>
      </c>
      <c r="H134" s="587">
        <v>0</v>
      </c>
      <c r="I134" s="587">
        <v>0</v>
      </c>
      <c r="J134" s="587">
        <v>0</v>
      </c>
      <c r="K134" s="587">
        <v>0</v>
      </c>
      <c r="L134" s="587">
        <v>0</v>
      </c>
      <c r="M134" s="583">
        <f t="shared" si="2"/>
        <v>0</v>
      </c>
      <c r="N134" s="582">
        <v>0</v>
      </c>
      <c r="P134" s="582" t="s">
        <v>801</v>
      </c>
      <c r="Q134" s="582">
        <f t="shared" si="3"/>
        <v>0</v>
      </c>
    </row>
    <row r="135" spans="1:17">
      <c r="A135" s="582" t="s">
        <v>595</v>
      </c>
      <c r="B135" s="582" t="s">
        <v>510</v>
      </c>
      <c r="C135" s="582" t="s">
        <v>511</v>
      </c>
      <c r="D135" s="2">
        <v>233</v>
      </c>
      <c r="E135" s="587">
        <v>236</v>
      </c>
      <c r="F135" s="587">
        <v>231</v>
      </c>
      <c r="G135" s="587">
        <v>229</v>
      </c>
      <c r="H135" s="587">
        <v>232</v>
      </c>
      <c r="I135" s="587">
        <v>228</v>
      </c>
      <c r="J135" s="587">
        <v>225</v>
      </c>
      <c r="K135" s="587">
        <v>223</v>
      </c>
      <c r="L135" s="587">
        <v>0</v>
      </c>
      <c r="M135" s="583">
        <f t="shared" si="2"/>
        <v>229.14</v>
      </c>
      <c r="N135" s="582">
        <v>205224.9</v>
      </c>
      <c r="P135" s="582" t="s">
        <v>621</v>
      </c>
      <c r="Q135" s="582">
        <f t="shared" si="3"/>
        <v>1</v>
      </c>
    </row>
    <row r="136" spans="1:17">
      <c r="A136" s="582" t="s">
        <v>605</v>
      </c>
      <c r="B136" s="582" t="s">
        <v>553</v>
      </c>
      <c r="C136" s="582" t="s">
        <v>554</v>
      </c>
      <c r="D136" s="2">
        <v>350</v>
      </c>
      <c r="E136" s="587">
        <v>378</v>
      </c>
      <c r="F136" s="587">
        <v>386</v>
      </c>
      <c r="G136" s="587">
        <v>377</v>
      </c>
      <c r="H136" s="587">
        <v>373</v>
      </c>
      <c r="I136" s="587">
        <v>368</v>
      </c>
      <c r="J136" s="587">
        <v>364</v>
      </c>
      <c r="K136" s="587">
        <v>367</v>
      </c>
      <c r="L136" s="587">
        <v>0</v>
      </c>
      <c r="M136" s="583">
        <f t="shared" si="2"/>
        <v>373.29</v>
      </c>
      <c r="N136" s="582">
        <v>323720.46999999997</v>
      </c>
      <c r="P136" s="582" t="s">
        <v>621</v>
      </c>
      <c r="Q136" s="582">
        <f t="shared" si="3"/>
        <v>1</v>
      </c>
    </row>
    <row r="137" spans="1:17">
      <c r="A137" s="582" t="s">
        <v>601</v>
      </c>
      <c r="B137" s="582" t="s">
        <v>90</v>
      </c>
      <c r="C137" s="582" t="s">
        <v>91</v>
      </c>
      <c r="D137" s="2">
        <v>0</v>
      </c>
      <c r="E137" s="587">
        <v>0</v>
      </c>
      <c r="F137" s="587">
        <v>0</v>
      </c>
      <c r="G137" s="587">
        <v>0</v>
      </c>
      <c r="H137" s="587">
        <v>0</v>
      </c>
      <c r="I137" s="587">
        <v>0</v>
      </c>
      <c r="J137" s="587">
        <v>0</v>
      </c>
      <c r="K137" s="587">
        <v>0</v>
      </c>
      <c r="L137" s="587">
        <v>0</v>
      </c>
      <c r="M137" s="583">
        <f t="shared" ref="M137:M200" si="4">ROUND(SUM(E137:L137)/7,2)</f>
        <v>0</v>
      </c>
      <c r="N137" s="582">
        <v>0</v>
      </c>
      <c r="P137" s="582" t="s">
        <v>801</v>
      </c>
      <c r="Q137" s="582">
        <f t="shared" ref="Q137:Q200" si="5">IF(M137&gt;0,1,0)</f>
        <v>0</v>
      </c>
    </row>
    <row r="138" spans="1:17">
      <c r="A138" s="582" t="s">
        <v>601</v>
      </c>
      <c r="B138" s="582" t="s">
        <v>25</v>
      </c>
      <c r="C138" s="582" t="s">
        <v>26</v>
      </c>
      <c r="D138" s="2">
        <v>161</v>
      </c>
      <c r="E138" s="587">
        <v>195</v>
      </c>
      <c r="F138" s="587">
        <v>194</v>
      </c>
      <c r="G138" s="587">
        <v>191</v>
      </c>
      <c r="H138" s="587">
        <v>191</v>
      </c>
      <c r="I138" s="587">
        <v>188</v>
      </c>
      <c r="J138" s="587">
        <v>186</v>
      </c>
      <c r="K138" s="587">
        <v>188</v>
      </c>
      <c r="L138" s="587">
        <v>0</v>
      </c>
      <c r="M138" s="583">
        <f t="shared" si="4"/>
        <v>190.43</v>
      </c>
      <c r="N138" s="582">
        <v>162166.71</v>
      </c>
      <c r="P138" s="582" t="s">
        <v>621</v>
      </c>
      <c r="Q138" s="582">
        <f t="shared" si="5"/>
        <v>1</v>
      </c>
    </row>
    <row r="139" spans="1:17">
      <c r="A139" s="582" t="s">
        <v>594</v>
      </c>
      <c r="B139" s="582" t="s">
        <v>301</v>
      </c>
      <c r="C139" s="582" t="s">
        <v>302</v>
      </c>
      <c r="D139" s="2">
        <v>0</v>
      </c>
      <c r="E139" s="587">
        <v>0</v>
      </c>
      <c r="F139" s="587">
        <v>0</v>
      </c>
      <c r="G139" s="587">
        <v>0</v>
      </c>
      <c r="H139" s="587">
        <v>0</v>
      </c>
      <c r="I139" s="587">
        <v>0</v>
      </c>
      <c r="J139" s="587">
        <v>0</v>
      </c>
      <c r="K139" s="587">
        <v>0</v>
      </c>
      <c r="L139" s="587">
        <v>0</v>
      </c>
      <c r="M139" s="583">
        <f t="shared" si="4"/>
        <v>0</v>
      </c>
      <c r="N139" s="582">
        <v>0</v>
      </c>
      <c r="P139" s="582" t="s">
        <v>801</v>
      </c>
      <c r="Q139" s="582">
        <f t="shared" si="5"/>
        <v>0</v>
      </c>
    </row>
    <row r="140" spans="1:17">
      <c r="A140" s="582" t="s">
        <v>603</v>
      </c>
      <c r="B140" s="582" t="s">
        <v>466</v>
      </c>
      <c r="C140" s="582" t="s">
        <v>467</v>
      </c>
      <c r="D140" s="2">
        <v>0</v>
      </c>
      <c r="E140" s="587"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3">
        <f t="shared" si="4"/>
        <v>0</v>
      </c>
      <c r="N140" s="582">
        <v>0</v>
      </c>
      <c r="P140" s="582" t="s">
        <v>801</v>
      </c>
      <c r="Q140" s="582">
        <f t="shared" si="5"/>
        <v>0</v>
      </c>
    </row>
    <row r="141" spans="1:17">
      <c r="A141" s="582" t="s">
        <v>595</v>
      </c>
      <c r="B141" s="582" t="s">
        <v>405</v>
      </c>
      <c r="C141" s="582" t="s">
        <v>406</v>
      </c>
      <c r="D141" s="2">
        <v>615</v>
      </c>
      <c r="E141" s="587">
        <v>716</v>
      </c>
      <c r="F141" s="587">
        <v>713</v>
      </c>
      <c r="G141" s="587">
        <v>720</v>
      </c>
      <c r="H141" s="587">
        <v>720</v>
      </c>
      <c r="I141" s="587">
        <v>711</v>
      </c>
      <c r="J141" s="587">
        <v>711</v>
      </c>
      <c r="K141" s="587">
        <v>704</v>
      </c>
      <c r="L141" s="587">
        <v>0</v>
      </c>
      <c r="M141" s="583">
        <f t="shared" si="4"/>
        <v>713.57</v>
      </c>
      <c r="N141" s="582">
        <v>644940.14</v>
      </c>
      <c r="P141" s="582" t="s">
        <v>621</v>
      </c>
      <c r="Q141" s="582">
        <f t="shared" si="5"/>
        <v>1</v>
      </c>
    </row>
    <row r="142" spans="1:17">
      <c r="A142" s="582" t="s">
        <v>594</v>
      </c>
      <c r="B142" s="582" t="s">
        <v>138</v>
      </c>
      <c r="C142" s="582" t="s">
        <v>656</v>
      </c>
      <c r="D142" s="2">
        <v>0</v>
      </c>
      <c r="E142" s="587">
        <v>0</v>
      </c>
      <c r="F142" s="587">
        <v>0</v>
      </c>
      <c r="G142" s="587">
        <v>0</v>
      </c>
      <c r="H142" s="587">
        <v>0</v>
      </c>
      <c r="I142" s="587">
        <v>0</v>
      </c>
      <c r="J142" s="587">
        <v>0</v>
      </c>
      <c r="K142" s="587">
        <v>0</v>
      </c>
      <c r="L142" s="587">
        <v>0</v>
      </c>
      <c r="M142" s="583">
        <f t="shared" si="4"/>
        <v>0</v>
      </c>
      <c r="N142" s="582">
        <v>0</v>
      </c>
      <c r="P142" s="582" t="s">
        <v>801</v>
      </c>
      <c r="Q142" s="582">
        <f t="shared" si="5"/>
        <v>0</v>
      </c>
    </row>
    <row r="143" spans="1:17">
      <c r="A143" s="582" t="s">
        <v>603</v>
      </c>
      <c r="B143" s="582" t="s">
        <v>432</v>
      </c>
      <c r="C143" s="582" t="s">
        <v>433</v>
      </c>
      <c r="D143" s="2">
        <v>127</v>
      </c>
      <c r="E143" s="587">
        <v>155</v>
      </c>
      <c r="F143" s="587">
        <v>157</v>
      </c>
      <c r="G143" s="587">
        <v>164</v>
      </c>
      <c r="H143" s="587">
        <v>163</v>
      </c>
      <c r="I143" s="587">
        <v>160</v>
      </c>
      <c r="J143" s="587">
        <v>156</v>
      </c>
      <c r="K143" s="587">
        <v>156</v>
      </c>
      <c r="L143" s="587">
        <v>0</v>
      </c>
      <c r="M143" s="583">
        <f t="shared" si="4"/>
        <v>158.71</v>
      </c>
      <c r="N143" s="582">
        <v>142127.24</v>
      </c>
      <c r="P143" s="582" t="s">
        <v>621</v>
      </c>
      <c r="Q143" s="582">
        <f t="shared" si="5"/>
        <v>1</v>
      </c>
    </row>
    <row r="144" spans="1:17">
      <c r="A144" s="582" t="s">
        <v>603</v>
      </c>
      <c r="B144" s="582" t="s">
        <v>430</v>
      </c>
      <c r="C144" s="582" t="s">
        <v>431</v>
      </c>
      <c r="D144" s="2">
        <v>4</v>
      </c>
      <c r="E144" s="587">
        <v>4</v>
      </c>
      <c r="F144" s="587">
        <v>6</v>
      </c>
      <c r="G144" s="587">
        <v>6</v>
      </c>
      <c r="H144" s="587">
        <v>6</v>
      </c>
      <c r="I144" s="587">
        <v>6</v>
      </c>
      <c r="J144" s="587">
        <v>6</v>
      </c>
      <c r="K144" s="587">
        <v>6</v>
      </c>
      <c r="L144" s="587">
        <v>0</v>
      </c>
      <c r="M144" s="583">
        <f t="shared" si="4"/>
        <v>5.71</v>
      </c>
      <c r="N144" s="582">
        <v>5005.1099999999997</v>
      </c>
      <c r="P144" s="582" t="s">
        <v>621</v>
      </c>
      <c r="Q144" s="582">
        <f t="shared" si="5"/>
        <v>1</v>
      </c>
    </row>
    <row r="145" spans="1:17">
      <c r="A145" s="582" t="s">
        <v>597</v>
      </c>
      <c r="B145" s="582" t="s">
        <v>179</v>
      </c>
      <c r="C145" s="582" t="s">
        <v>180</v>
      </c>
      <c r="D145" s="2">
        <v>76</v>
      </c>
      <c r="E145" s="587">
        <v>81</v>
      </c>
      <c r="F145" s="587">
        <v>73</v>
      </c>
      <c r="G145" s="587">
        <v>73</v>
      </c>
      <c r="H145" s="587">
        <v>72</v>
      </c>
      <c r="I145" s="587">
        <v>74</v>
      </c>
      <c r="J145" s="587">
        <v>74</v>
      </c>
      <c r="K145" s="587">
        <v>76</v>
      </c>
      <c r="L145" s="587">
        <v>0</v>
      </c>
      <c r="M145" s="583">
        <f t="shared" si="4"/>
        <v>74.709999999999994</v>
      </c>
      <c r="N145" s="582">
        <v>64497.22</v>
      </c>
      <c r="P145" s="582" t="s">
        <v>621</v>
      </c>
      <c r="Q145" s="582">
        <f t="shared" si="5"/>
        <v>1</v>
      </c>
    </row>
    <row r="146" spans="1:17">
      <c r="A146" s="582" t="s">
        <v>595</v>
      </c>
      <c r="B146" s="582" t="s">
        <v>512</v>
      </c>
      <c r="C146" s="582" t="s">
        <v>513</v>
      </c>
      <c r="D146" s="2">
        <v>89</v>
      </c>
      <c r="E146" s="587">
        <v>107</v>
      </c>
      <c r="F146" s="587">
        <v>104</v>
      </c>
      <c r="G146" s="587">
        <v>106</v>
      </c>
      <c r="H146" s="587">
        <v>102</v>
      </c>
      <c r="I146" s="587">
        <v>111</v>
      </c>
      <c r="J146" s="587">
        <v>114</v>
      </c>
      <c r="K146" s="587">
        <v>115</v>
      </c>
      <c r="L146" s="587">
        <v>0</v>
      </c>
      <c r="M146" s="583">
        <f t="shared" si="4"/>
        <v>108.43</v>
      </c>
      <c r="N146" s="582">
        <v>94448.37</v>
      </c>
      <c r="P146" s="582" t="s">
        <v>621</v>
      </c>
      <c r="Q146" s="582">
        <f t="shared" si="5"/>
        <v>1</v>
      </c>
    </row>
    <row r="147" spans="1:17">
      <c r="A147" s="582" t="s">
        <v>601</v>
      </c>
      <c r="B147" s="582" t="s">
        <v>319</v>
      </c>
      <c r="C147" s="582" t="s">
        <v>320</v>
      </c>
      <c r="D147" s="2">
        <v>4</v>
      </c>
      <c r="E147" s="587">
        <v>4</v>
      </c>
      <c r="F147" s="587">
        <v>4</v>
      </c>
      <c r="G147" s="587">
        <v>4</v>
      </c>
      <c r="H147" s="587">
        <v>4</v>
      </c>
      <c r="I147" s="587">
        <v>4</v>
      </c>
      <c r="J147" s="587">
        <v>4</v>
      </c>
      <c r="K147" s="587">
        <v>3</v>
      </c>
      <c r="L147" s="587">
        <v>0</v>
      </c>
      <c r="M147" s="583">
        <f t="shared" si="4"/>
        <v>3.86</v>
      </c>
      <c r="N147" s="582">
        <v>3461.33</v>
      </c>
      <c r="P147" s="582" t="s">
        <v>621</v>
      </c>
      <c r="Q147" s="582">
        <f t="shared" si="5"/>
        <v>1</v>
      </c>
    </row>
    <row r="148" spans="1:17">
      <c r="A148" s="582" t="s">
        <v>599</v>
      </c>
      <c r="B148" s="582" t="s">
        <v>391</v>
      </c>
      <c r="C148" s="582" t="s">
        <v>392</v>
      </c>
      <c r="D148" s="2">
        <v>0</v>
      </c>
      <c r="E148" s="587">
        <v>0</v>
      </c>
      <c r="F148" s="587">
        <v>0</v>
      </c>
      <c r="G148" s="587">
        <v>0</v>
      </c>
      <c r="H148" s="587">
        <v>0</v>
      </c>
      <c r="I148" s="587">
        <v>0</v>
      </c>
      <c r="J148" s="587">
        <v>0</v>
      </c>
      <c r="K148" s="587">
        <v>0</v>
      </c>
      <c r="L148" s="587">
        <v>0</v>
      </c>
      <c r="M148" s="583">
        <f t="shared" si="4"/>
        <v>0</v>
      </c>
      <c r="N148" s="582">
        <v>0</v>
      </c>
      <c r="P148" s="582" t="s">
        <v>801</v>
      </c>
      <c r="Q148" s="582">
        <f t="shared" si="5"/>
        <v>0</v>
      </c>
    </row>
    <row r="149" spans="1:17">
      <c r="A149" s="582" t="s">
        <v>595</v>
      </c>
      <c r="B149" s="582" t="s">
        <v>409</v>
      </c>
      <c r="C149" s="582" t="s">
        <v>410</v>
      </c>
      <c r="D149" s="2">
        <v>321</v>
      </c>
      <c r="E149" s="587">
        <v>426</v>
      </c>
      <c r="F149" s="587">
        <v>421</v>
      </c>
      <c r="G149" s="587">
        <v>419</v>
      </c>
      <c r="H149" s="587">
        <v>420</v>
      </c>
      <c r="I149" s="587">
        <v>418</v>
      </c>
      <c r="J149" s="587">
        <v>412</v>
      </c>
      <c r="K149" s="587">
        <v>417</v>
      </c>
      <c r="L149" s="587">
        <v>0</v>
      </c>
      <c r="M149" s="583">
        <f t="shared" si="4"/>
        <v>419</v>
      </c>
      <c r="N149" s="582">
        <v>364582.48</v>
      </c>
      <c r="P149" s="582" t="s">
        <v>621</v>
      </c>
      <c r="Q149" s="582">
        <f t="shared" si="5"/>
        <v>1</v>
      </c>
    </row>
    <row r="150" spans="1:17">
      <c r="A150" s="582" t="s">
        <v>594</v>
      </c>
      <c r="B150" s="582" t="s">
        <v>139</v>
      </c>
      <c r="C150" s="582" t="s">
        <v>140</v>
      </c>
      <c r="D150" s="2">
        <v>7</v>
      </c>
      <c r="E150" s="587">
        <v>7</v>
      </c>
      <c r="F150" s="587">
        <v>10</v>
      </c>
      <c r="G150" s="587">
        <v>14</v>
      </c>
      <c r="H150" s="587">
        <v>14</v>
      </c>
      <c r="I150" s="587">
        <v>13</v>
      </c>
      <c r="J150" s="587">
        <v>12</v>
      </c>
      <c r="K150" s="587">
        <v>12</v>
      </c>
      <c r="L150" s="587">
        <v>0</v>
      </c>
      <c r="M150" s="583">
        <f t="shared" si="4"/>
        <v>11.71</v>
      </c>
      <c r="N150" s="582">
        <v>10498.25</v>
      </c>
      <c r="P150" s="582" t="s">
        <v>621</v>
      </c>
      <c r="Q150" s="582">
        <f t="shared" si="5"/>
        <v>1</v>
      </c>
    </row>
    <row r="151" spans="1:17">
      <c r="A151" s="582" t="s">
        <v>594</v>
      </c>
      <c r="B151" s="582" t="s">
        <v>260</v>
      </c>
      <c r="C151" s="582" t="s">
        <v>261</v>
      </c>
      <c r="D151" s="2">
        <v>0</v>
      </c>
      <c r="E151" s="587">
        <v>0</v>
      </c>
      <c r="F151" s="587">
        <v>0</v>
      </c>
      <c r="G151" s="587">
        <v>0</v>
      </c>
      <c r="H151" s="587">
        <v>0</v>
      </c>
      <c r="I151" s="587">
        <v>0</v>
      </c>
      <c r="J151" s="587">
        <v>0</v>
      </c>
      <c r="K151" s="587">
        <v>0</v>
      </c>
      <c r="L151" s="587">
        <v>0</v>
      </c>
      <c r="M151" s="583">
        <f t="shared" si="4"/>
        <v>0</v>
      </c>
      <c r="N151" s="582">
        <v>0</v>
      </c>
      <c r="P151" s="582" t="s">
        <v>801</v>
      </c>
      <c r="Q151" s="582">
        <f t="shared" si="5"/>
        <v>0</v>
      </c>
    </row>
    <row r="152" spans="1:17">
      <c r="A152" s="582" t="s">
        <v>601</v>
      </c>
      <c r="B152" s="582" t="s">
        <v>125</v>
      </c>
      <c r="C152" s="582" t="s">
        <v>126</v>
      </c>
      <c r="D152" s="2">
        <v>495</v>
      </c>
      <c r="E152" s="587">
        <v>662</v>
      </c>
      <c r="F152" s="587">
        <v>650</v>
      </c>
      <c r="G152" s="587">
        <v>633</v>
      </c>
      <c r="H152" s="587">
        <v>630</v>
      </c>
      <c r="I152" s="587">
        <v>633</v>
      </c>
      <c r="J152" s="587">
        <v>623</v>
      </c>
      <c r="K152" s="587">
        <v>622</v>
      </c>
      <c r="L152" s="587">
        <v>0</v>
      </c>
      <c r="M152" s="583">
        <f t="shared" si="4"/>
        <v>636.14</v>
      </c>
      <c r="N152" s="582">
        <v>555493.06000000006</v>
      </c>
      <c r="P152" s="582" t="s">
        <v>621</v>
      </c>
      <c r="Q152" s="582">
        <f t="shared" si="5"/>
        <v>1</v>
      </c>
    </row>
    <row r="153" spans="1:17">
      <c r="A153" s="582" t="s">
        <v>594</v>
      </c>
      <c r="B153" s="582" t="s">
        <v>258</v>
      </c>
      <c r="C153" s="582" t="s">
        <v>259</v>
      </c>
      <c r="D153" s="2">
        <v>41</v>
      </c>
      <c r="E153" s="587">
        <v>40</v>
      </c>
      <c r="F153" s="587">
        <v>39</v>
      </c>
      <c r="G153" s="587">
        <v>40</v>
      </c>
      <c r="H153" s="587">
        <v>41</v>
      </c>
      <c r="I153" s="587">
        <v>40</v>
      </c>
      <c r="J153" s="587">
        <v>40</v>
      </c>
      <c r="K153" s="587">
        <v>41</v>
      </c>
      <c r="L153" s="587">
        <v>0</v>
      </c>
      <c r="M153" s="583">
        <f t="shared" si="4"/>
        <v>40.14</v>
      </c>
      <c r="N153" s="582">
        <v>35290.35</v>
      </c>
      <c r="P153" s="582" t="s">
        <v>621</v>
      </c>
      <c r="Q153" s="582">
        <f t="shared" si="5"/>
        <v>1</v>
      </c>
    </row>
    <row r="154" spans="1:17">
      <c r="A154" s="582" t="s">
        <v>605</v>
      </c>
      <c r="B154" s="582" t="s">
        <v>571</v>
      </c>
      <c r="C154" s="582" t="s">
        <v>572</v>
      </c>
      <c r="D154" s="2">
        <v>119</v>
      </c>
      <c r="E154" s="587">
        <v>135</v>
      </c>
      <c r="F154" s="587">
        <v>135</v>
      </c>
      <c r="G154" s="587">
        <v>135</v>
      </c>
      <c r="H154" s="587">
        <v>136</v>
      </c>
      <c r="I154" s="587">
        <v>131</v>
      </c>
      <c r="J154" s="587">
        <v>133</v>
      </c>
      <c r="K154" s="587">
        <v>131</v>
      </c>
      <c r="L154" s="587">
        <v>0</v>
      </c>
      <c r="M154" s="583">
        <f t="shared" si="4"/>
        <v>133.71</v>
      </c>
      <c r="N154" s="582">
        <v>108062.87</v>
      </c>
      <c r="P154" s="582" t="s">
        <v>621</v>
      </c>
      <c r="Q154" s="582">
        <f t="shared" si="5"/>
        <v>1</v>
      </c>
    </row>
    <row r="155" spans="1:17">
      <c r="A155" s="582" t="s">
        <v>595</v>
      </c>
      <c r="B155" s="582" t="s">
        <v>516</v>
      </c>
      <c r="C155" s="582" t="s">
        <v>517</v>
      </c>
      <c r="D155" s="2">
        <v>82</v>
      </c>
      <c r="E155" s="587">
        <v>115</v>
      </c>
      <c r="F155" s="587">
        <v>115</v>
      </c>
      <c r="G155" s="587">
        <v>115</v>
      </c>
      <c r="H155" s="587">
        <v>114</v>
      </c>
      <c r="I155" s="587">
        <v>115</v>
      </c>
      <c r="J155" s="587">
        <v>113</v>
      </c>
      <c r="K155" s="587">
        <v>113</v>
      </c>
      <c r="L155" s="587">
        <v>0</v>
      </c>
      <c r="M155" s="583">
        <f t="shared" si="4"/>
        <v>114.29</v>
      </c>
      <c r="N155" s="582">
        <v>104114.81</v>
      </c>
      <c r="P155" s="582" t="s">
        <v>621</v>
      </c>
      <c r="Q155" s="582">
        <f t="shared" si="5"/>
        <v>1</v>
      </c>
    </row>
    <row r="156" spans="1:17">
      <c r="A156" s="582" t="s">
        <v>599</v>
      </c>
      <c r="B156" s="582" t="s">
        <v>389</v>
      </c>
      <c r="C156" s="582" t="s">
        <v>390</v>
      </c>
      <c r="D156" s="2">
        <v>0</v>
      </c>
      <c r="E156" s="587">
        <v>0</v>
      </c>
      <c r="F156" s="587">
        <v>0</v>
      </c>
      <c r="G156" s="587">
        <v>0</v>
      </c>
      <c r="H156" s="587">
        <v>0</v>
      </c>
      <c r="I156" s="587">
        <v>0</v>
      </c>
      <c r="J156" s="587">
        <v>0</v>
      </c>
      <c r="K156" s="587">
        <v>0</v>
      </c>
      <c r="L156" s="587">
        <v>0</v>
      </c>
      <c r="M156" s="583">
        <f t="shared" si="4"/>
        <v>0</v>
      </c>
      <c r="N156" s="582">
        <v>0</v>
      </c>
      <c r="P156" s="582" t="s">
        <v>801</v>
      </c>
      <c r="Q156" s="582">
        <f t="shared" si="5"/>
        <v>0</v>
      </c>
    </row>
    <row r="157" spans="1:17">
      <c r="A157" s="582" t="s">
        <v>595</v>
      </c>
      <c r="B157" s="582" t="s">
        <v>386</v>
      </c>
      <c r="C157" s="582" t="s">
        <v>610</v>
      </c>
      <c r="D157" s="2">
        <v>1080</v>
      </c>
      <c r="E157" s="587">
        <v>1475</v>
      </c>
      <c r="F157" s="587">
        <v>1485</v>
      </c>
      <c r="G157" s="587">
        <v>1482</v>
      </c>
      <c r="H157" s="587">
        <v>1480</v>
      </c>
      <c r="I157" s="587">
        <v>1475</v>
      </c>
      <c r="J157" s="587">
        <v>1465</v>
      </c>
      <c r="K157" s="587">
        <v>1474</v>
      </c>
      <c r="L157" s="587">
        <v>0</v>
      </c>
      <c r="M157" s="583">
        <f t="shared" si="4"/>
        <v>1476.57</v>
      </c>
      <c r="N157" s="582">
        <v>1269583.98</v>
      </c>
      <c r="P157" s="582" t="s">
        <v>621</v>
      </c>
      <c r="Q157" s="582">
        <f t="shared" si="5"/>
        <v>1</v>
      </c>
    </row>
    <row r="158" spans="1:17">
      <c r="A158" s="582" t="s">
        <v>595</v>
      </c>
      <c r="B158" s="582" t="s">
        <v>399</v>
      </c>
      <c r="C158" s="582" t="s">
        <v>400</v>
      </c>
      <c r="D158" s="2">
        <v>1770</v>
      </c>
      <c r="E158" s="587">
        <v>2230</v>
      </c>
      <c r="F158" s="587">
        <v>2221</v>
      </c>
      <c r="G158" s="587">
        <v>2247</v>
      </c>
      <c r="H158" s="587">
        <v>2246</v>
      </c>
      <c r="I158" s="587">
        <v>2259</v>
      </c>
      <c r="J158" s="587">
        <v>2252</v>
      </c>
      <c r="K158" s="587">
        <v>2254</v>
      </c>
      <c r="L158" s="587">
        <v>0</v>
      </c>
      <c r="M158" s="583">
        <f t="shared" si="4"/>
        <v>2244.14</v>
      </c>
      <c r="N158" s="582">
        <v>1975236.64</v>
      </c>
      <c r="P158" s="582" t="s">
        <v>621</v>
      </c>
      <c r="Q158" s="582">
        <f t="shared" si="5"/>
        <v>1</v>
      </c>
    </row>
    <row r="159" spans="1:17">
      <c r="A159" s="582" t="s">
        <v>605</v>
      </c>
      <c r="B159" s="582" t="s">
        <v>545</v>
      </c>
      <c r="C159" s="582" t="s">
        <v>546</v>
      </c>
      <c r="D159" s="2">
        <v>56</v>
      </c>
      <c r="E159" s="587">
        <v>59</v>
      </c>
      <c r="F159" s="587">
        <v>63</v>
      </c>
      <c r="G159" s="587">
        <v>61</v>
      </c>
      <c r="H159" s="587">
        <v>67</v>
      </c>
      <c r="I159" s="587">
        <v>60</v>
      </c>
      <c r="J159" s="587">
        <v>59</v>
      </c>
      <c r="K159" s="587">
        <v>60</v>
      </c>
      <c r="L159" s="587">
        <v>0</v>
      </c>
      <c r="M159" s="583">
        <f t="shared" si="4"/>
        <v>61.29</v>
      </c>
      <c r="N159" s="582">
        <v>54053.440000000002</v>
      </c>
      <c r="P159" s="582" t="s">
        <v>621</v>
      </c>
      <c r="Q159" s="582">
        <f t="shared" si="5"/>
        <v>1</v>
      </c>
    </row>
    <row r="160" spans="1:17">
      <c r="A160" s="582" t="s">
        <v>594</v>
      </c>
      <c r="B160" s="582" t="s">
        <v>252</v>
      </c>
      <c r="C160" s="582" t="s">
        <v>253</v>
      </c>
      <c r="D160" s="2">
        <v>0</v>
      </c>
      <c r="E160" s="587">
        <v>0</v>
      </c>
      <c r="F160" s="587">
        <v>0</v>
      </c>
      <c r="G160" s="587">
        <v>0</v>
      </c>
      <c r="H160" s="587">
        <v>1</v>
      </c>
      <c r="I160" s="587">
        <v>1</v>
      </c>
      <c r="J160" s="587">
        <v>1</v>
      </c>
      <c r="K160" s="587">
        <v>1</v>
      </c>
      <c r="L160" s="587">
        <v>0</v>
      </c>
      <c r="M160" s="583">
        <f t="shared" si="4"/>
        <v>0.56999999999999995</v>
      </c>
      <c r="N160" s="582">
        <v>0</v>
      </c>
      <c r="P160" s="582" t="s">
        <v>801</v>
      </c>
      <c r="Q160" s="582">
        <f t="shared" si="5"/>
        <v>1</v>
      </c>
    </row>
    <row r="161" spans="1:17">
      <c r="A161" s="582" t="s">
        <v>599</v>
      </c>
      <c r="B161" s="582" t="s">
        <v>331</v>
      </c>
      <c r="C161" s="582" t="s">
        <v>611</v>
      </c>
      <c r="D161" s="2">
        <v>4</v>
      </c>
      <c r="E161" s="587">
        <v>4</v>
      </c>
      <c r="F161" s="587">
        <v>4</v>
      </c>
      <c r="G161" s="587">
        <v>4</v>
      </c>
      <c r="H161" s="587">
        <v>4</v>
      </c>
      <c r="I161" s="587">
        <v>4</v>
      </c>
      <c r="J161" s="587">
        <v>4</v>
      </c>
      <c r="K161" s="587">
        <v>4</v>
      </c>
      <c r="L161" s="587">
        <v>0</v>
      </c>
      <c r="M161" s="583">
        <f t="shared" si="4"/>
        <v>4</v>
      </c>
      <c r="N161" s="582">
        <v>3538.5</v>
      </c>
      <c r="P161" s="582" t="s">
        <v>621</v>
      </c>
      <c r="Q161" s="582">
        <f t="shared" si="5"/>
        <v>1</v>
      </c>
    </row>
    <row r="162" spans="1:17">
      <c r="A162" s="582" t="s">
        <v>601</v>
      </c>
      <c r="B162" s="582" t="s">
        <v>309</v>
      </c>
      <c r="C162" s="582" t="s">
        <v>310</v>
      </c>
      <c r="D162" s="2">
        <v>0</v>
      </c>
      <c r="E162" s="587">
        <v>0</v>
      </c>
      <c r="F162" s="587">
        <v>0</v>
      </c>
      <c r="G162" s="587">
        <v>0</v>
      </c>
      <c r="H162" s="587">
        <v>0</v>
      </c>
      <c r="I162" s="587">
        <v>0</v>
      </c>
      <c r="J162" s="587">
        <v>0</v>
      </c>
      <c r="K162" s="587">
        <v>0</v>
      </c>
      <c r="L162" s="587">
        <v>0</v>
      </c>
      <c r="M162" s="583">
        <f t="shared" si="4"/>
        <v>0</v>
      </c>
      <c r="N162" s="582">
        <v>0</v>
      </c>
      <c r="P162" s="582" t="s">
        <v>801</v>
      </c>
      <c r="Q162" s="582">
        <f t="shared" si="5"/>
        <v>0</v>
      </c>
    </row>
    <row r="163" spans="1:17">
      <c r="A163" s="582" t="s">
        <v>603</v>
      </c>
      <c r="B163" s="582" t="s">
        <v>336</v>
      </c>
      <c r="C163" s="582" t="s">
        <v>337</v>
      </c>
      <c r="D163" s="2">
        <v>0</v>
      </c>
      <c r="E163" s="587">
        <v>0</v>
      </c>
      <c r="F163" s="587">
        <v>0</v>
      </c>
      <c r="G163" s="587">
        <v>0</v>
      </c>
      <c r="H163" s="587">
        <v>0</v>
      </c>
      <c r="I163" s="587">
        <v>0</v>
      </c>
      <c r="J163" s="587">
        <v>0</v>
      </c>
      <c r="K163" s="587">
        <v>0</v>
      </c>
      <c r="L163" s="587">
        <v>0</v>
      </c>
      <c r="M163" s="583">
        <f t="shared" si="4"/>
        <v>0</v>
      </c>
      <c r="N163" s="582">
        <v>0</v>
      </c>
      <c r="P163" s="582" t="s">
        <v>801</v>
      </c>
      <c r="Q163" s="582">
        <f t="shared" si="5"/>
        <v>0</v>
      </c>
    </row>
    <row r="164" spans="1:17">
      <c r="A164" s="582" t="s">
        <v>603</v>
      </c>
      <c r="B164" s="582" t="s">
        <v>428</v>
      </c>
      <c r="C164" s="582" t="s">
        <v>429</v>
      </c>
      <c r="D164" s="2">
        <v>0</v>
      </c>
      <c r="E164" s="587">
        <v>0</v>
      </c>
      <c r="F164" s="587">
        <v>0</v>
      </c>
      <c r="G164" s="587">
        <v>0</v>
      </c>
      <c r="H164" s="587">
        <v>0</v>
      </c>
      <c r="I164" s="587">
        <v>0</v>
      </c>
      <c r="J164" s="587">
        <v>0</v>
      </c>
      <c r="K164" s="587">
        <v>0</v>
      </c>
      <c r="L164" s="587">
        <v>0</v>
      </c>
      <c r="M164" s="583">
        <f t="shared" si="4"/>
        <v>0</v>
      </c>
      <c r="N164" s="582">
        <v>0</v>
      </c>
      <c r="P164" s="582" t="s">
        <v>801</v>
      </c>
      <c r="Q164" s="582">
        <f t="shared" si="5"/>
        <v>0</v>
      </c>
    </row>
    <row r="165" spans="1:17">
      <c r="A165" s="582" t="s">
        <v>595</v>
      </c>
      <c r="B165" s="582" t="s">
        <v>514</v>
      </c>
      <c r="C165" s="582" t="s">
        <v>515</v>
      </c>
      <c r="D165" s="2">
        <v>135</v>
      </c>
      <c r="E165" s="587">
        <v>170</v>
      </c>
      <c r="F165" s="587">
        <v>176</v>
      </c>
      <c r="G165" s="587">
        <v>171</v>
      </c>
      <c r="H165" s="587">
        <v>173</v>
      </c>
      <c r="I165" s="587">
        <v>175</v>
      </c>
      <c r="J165" s="587">
        <v>179</v>
      </c>
      <c r="K165" s="587">
        <v>178</v>
      </c>
      <c r="L165" s="587">
        <v>0</v>
      </c>
      <c r="M165" s="583">
        <f t="shared" si="4"/>
        <v>174.57</v>
      </c>
      <c r="N165" s="582">
        <v>154272.03</v>
      </c>
      <c r="P165" s="582" t="s">
        <v>621</v>
      </c>
      <c r="Q165" s="582">
        <f t="shared" si="5"/>
        <v>1</v>
      </c>
    </row>
    <row r="166" spans="1:17">
      <c r="A166" s="582" t="s">
        <v>594</v>
      </c>
      <c r="B166" s="582" t="s">
        <v>136</v>
      </c>
      <c r="C166" s="582" t="s">
        <v>137</v>
      </c>
      <c r="D166" s="2">
        <v>0</v>
      </c>
      <c r="E166" s="587">
        <v>0</v>
      </c>
      <c r="F166" s="587">
        <v>0</v>
      </c>
      <c r="G166" s="587">
        <v>0</v>
      </c>
      <c r="H166" s="587">
        <v>0</v>
      </c>
      <c r="I166" s="587">
        <v>0</v>
      </c>
      <c r="J166" s="587">
        <v>0</v>
      </c>
      <c r="K166" s="587">
        <v>0</v>
      </c>
      <c r="L166" s="587">
        <v>0</v>
      </c>
      <c r="M166" s="583">
        <f t="shared" si="4"/>
        <v>0</v>
      </c>
      <c r="N166" s="582">
        <v>0</v>
      </c>
      <c r="P166" s="582" t="s">
        <v>801</v>
      </c>
      <c r="Q166" s="582">
        <f t="shared" si="5"/>
        <v>0</v>
      </c>
    </row>
    <row r="167" spans="1:17">
      <c r="A167" s="582" t="s">
        <v>596</v>
      </c>
      <c r="B167" s="582" t="s">
        <v>106</v>
      </c>
      <c r="C167" s="582" t="s">
        <v>107</v>
      </c>
      <c r="D167" s="2">
        <v>649</v>
      </c>
      <c r="E167" s="587">
        <v>689</v>
      </c>
      <c r="F167" s="587">
        <v>699</v>
      </c>
      <c r="G167" s="587">
        <v>685</v>
      </c>
      <c r="H167" s="587">
        <v>662</v>
      </c>
      <c r="I167" s="587">
        <v>668</v>
      </c>
      <c r="J167" s="587">
        <v>674</v>
      </c>
      <c r="K167" s="587">
        <v>675</v>
      </c>
      <c r="L167" s="587">
        <v>0</v>
      </c>
      <c r="M167" s="583">
        <f t="shared" si="4"/>
        <v>678.86</v>
      </c>
      <c r="N167" s="582">
        <v>560516.64</v>
      </c>
      <c r="P167" s="582" t="s">
        <v>621</v>
      </c>
      <c r="Q167" s="582">
        <f t="shared" si="5"/>
        <v>1</v>
      </c>
    </row>
    <row r="168" spans="1:17">
      <c r="A168" s="582" t="s">
        <v>600</v>
      </c>
      <c r="B168" s="582" t="s">
        <v>214</v>
      </c>
      <c r="C168" s="582" t="s">
        <v>215</v>
      </c>
      <c r="D168" s="2">
        <v>104</v>
      </c>
      <c r="E168" s="587">
        <v>172</v>
      </c>
      <c r="F168" s="587">
        <v>179</v>
      </c>
      <c r="G168" s="587">
        <v>178</v>
      </c>
      <c r="H168" s="587">
        <v>176</v>
      </c>
      <c r="I168" s="587">
        <v>175</v>
      </c>
      <c r="J168" s="587">
        <v>176</v>
      </c>
      <c r="K168" s="587">
        <v>173</v>
      </c>
      <c r="L168" s="587">
        <v>0</v>
      </c>
      <c r="M168" s="583">
        <f t="shared" si="4"/>
        <v>175.57</v>
      </c>
      <c r="N168" s="582">
        <v>160089.69</v>
      </c>
      <c r="P168" s="582" t="s">
        <v>621</v>
      </c>
      <c r="Q168" s="582">
        <f t="shared" si="5"/>
        <v>1</v>
      </c>
    </row>
    <row r="169" spans="1:17">
      <c r="A169" s="582" t="s">
        <v>600</v>
      </c>
      <c r="B169" s="582" t="s">
        <v>305</v>
      </c>
      <c r="C169" s="582" t="s">
        <v>306</v>
      </c>
      <c r="D169" s="2">
        <v>81</v>
      </c>
      <c r="E169" s="587">
        <v>92</v>
      </c>
      <c r="F169" s="587">
        <v>95</v>
      </c>
      <c r="G169" s="587">
        <v>97</v>
      </c>
      <c r="H169" s="587">
        <v>98</v>
      </c>
      <c r="I169" s="587">
        <v>98</v>
      </c>
      <c r="J169" s="587">
        <v>97</v>
      </c>
      <c r="K169" s="587">
        <v>97</v>
      </c>
      <c r="L169" s="587">
        <v>0</v>
      </c>
      <c r="M169" s="583">
        <f t="shared" si="4"/>
        <v>96.29</v>
      </c>
      <c r="N169" s="582">
        <v>84693.78</v>
      </c>
      <c r="P169" s="582" t="s">
        <v>621</v>
      </c>
      <c r="Q169" s="582">
        <f t="shared" si="5"/>
        <v>1</v>
      </c>
    </row>
    <row r="170" spans="1:17">
      <c r="A170" s="582" t="s">
        <v>594</v>
      </c>
      <c r="B170" s="582" t="s">
        <v>334</v>
      </c>
      <c r="C170" s="582" t="s">
        <v>335</v>
      </c>
      <c r="D170" s="2">
        <v>0</v>
      </c>
      <c r="E170" s="587">
        <v>0</v>
      </c>
      <c r="F170" s="587">
        <v>0</v>
      </c>
      <c r="G170" s="587">
        <v>0</v>
      </c>
      <c r="H170" s="587">
        <v>0</v>
      </c>
      <c r="I170" s="587">
        <v>0</v>
      </c>
      <c r="J170" s="587">
        <v>0</v>
      </c>
      <c r="K170" s="587">
        <v>0</v>
      </c>
      <c r="L170" s="587">
        <v>0</v>
      </c>
      <c r="M170" s="583">
        <f t="shared" si="4"/>
        <v>0</v>
      </c>
      <c r="N170" s="582">
        <v>0</v>
      </c>
      <c r="P170" s="582" t="s">
        <v>801</v>
      </c>
      <c r="Q170" s="582">
        <f t="shared" si="5"/>
        <v>0</v>
      </c>
    </row>
    <row r="171" spans="1:17">
      <c r="A171" s="582" t="s">
        <v>594</v>
      </c>
      <c r="B171" s="582" t="s">
        <v>474</v>
      </c>
      <c r="C171" s="582" t="s">
        <v>475</v>
      </c>
      <c r="D171" s="2">
        <v>500</v>
      </c>
      <c r="E171" s="587">
        <v>502</v>
      </c>
      <c r="F171" s="587">
        <v>505</v>
      </c>
      <c r="G171" s="587">
        <v>504</v>
      </c>
      <c r="H171" s="587">
        <v>510</v>
      </c>
      <c r="I171" s="587">
        <v>503</v>
      </c>
      <c r="J171" s="587">
        <v>494</v>
      </c>
      <c r="K171" s="587">
        <v>498</v>
      </c>
      <c r="L171" s="587">
        <v>0</v>
      </c>
      <c r="M171" s="583">
        <f t="shared" si="4"/>
        <v>502.29</v>
      </c>
      <c r="N171" s="582">
        <v>443198.91</v>
      </c>
      <c r="P171" s="582" t="s">
        <v>621</v>
      </c>
      <c r="Q171" s="582">
        <f t="shared" si="5"/>
        <v>1</v>
      </c>
    </row>
    <row r="172" spans="1:17">
      <c r="A172" s="582" t="s">
        <v>603</v>
      </c>
      <c r="B172" s="582" t="s">
        <v>468</v>
      </c>
      <c r="C172" s="582" t="s">
        <v>469</v>
      </c>
      <c r="D172" s="2">
        <v>0</v>
      </c>
      <c r="E172" s="587">
        <v>0</v>
      </c>
      <c r="F172" s="587">
        <v>0</v>
      </c>
      <c r="G172" s="587">
        <v>0</v>
      </c>
      <c r="H172" s="587">
        <v>0</v>
      </c>
      <c r="I172" s="587">
        <v>0</v>
      </c>
      <c r="J172" s="587">
        <v>0</v>
      </c>
      <c r="K172" s="587">
        <v>0</v>
      </c>
      <c r="L172" s="587">
        <v>0</v>
      </c>
      <c r="M172" s="583">
        <f t="shared" si="4"/>
        <v>0</v>
      </c>
      <c r="N172" s="582">
        <v>0</v>
      </c>
      <c r="P172" s="582" t="s">
        <v>801</v>
      </c>
      <c r="Q172" s="582">
        <f t="shared" si="5"/>
        <v>0</v>
      </c>
    </row>
    <row r="173" spans="1:17">
      <c r="A173" s="582" t="s">
        <v>597</v>
      </c>
      <c r="B173" s="582" t="s">
        <v>209</v>
      </c>
      <c r="C173" s="582" t="s">
        <v>210</v>
      </c>
      <c r="D173" s="2">
        <v>798</v>
      </c>
      <c r="E173" s="587">
        <v>938</v>
      </c>
      <c r="F173" s="587">
        <v>955</v>
      </c>
      <c r="G173" s="587">
        <v>960</v>
      </c>
      <c r="H173" s="587">
        <v>962</v>
      </c>
      <c r="I173" s="587">
        <v>976</v>
      </c>
      <c r="J173" s="587">
        <v>986</v>
      </c>
      <c r="K173" s="587">
        <v>1002</v>
      </c>
      <c r="L173" s="587">
        <v>0</v>
      </c>
      <c r="M173" s="583">
        <f t="shared" si="4"/>
        <v>968.43</v>
      </c>
      <c r="N173" s="582">
        <v>887991.94</v>
      </c>
      <c r="P173" s="582" t="s">
        <v>621</v>
      </c>
      <c r="Q173" s="582">
        <f t="shared" si="5"/>
        <v>1</v>
      </c>
    </row>
    <row r="174" spans="1:17">
      <c r="A174" s="582" t="s">
        <v>595</v>
      </c>
      <c r="B174" s="582" t="s">
        <v>157</v>
      </c>
      <c r="C174" s="582" t="s">
        <v>158</v>
      </c>
      <c r="D174" s="2">
        <v>77</v>
      </c>
      <c r="E174" s="587">
        <v>103</v>
      </c>
      <c r="F174" s="587">
        <v>104</v>
      </c>
      <c r="G174" s="587">
        <v>108</v>
      </c>
      <c r="H174" s="587">
        <v>105</v>
      </c>
      <c r="I174" s="587">
        <v>111</v>
      </c>
      <c r="J174" s="587">
        <v>114</v>
      </c>
      <c r="K174" s="587">
        <v>108</v>
      </c>
      <c r="L174" s="587">
        <v>0</v>
      </c>
      <c r="M174" s="583">
        <f t="shared" si="4"/>
        <v>107.57</v>
      </c>
      <c r="N174" s="582">
        <v>94295.91</v>
      </c>
      <c r="P174" s="582" t="s">
        <v>621</v>
      </c>
      <c r="Q174" s="582">
        <f t="shared" si="5"/>
        <v>1</v>
      </c>
    </row>
    <row r="175" spans="1:17">
      <c r="A175" s="582" t="s">
        <v>603</v>
      </c>
      <c r="B175" s="582" t="s">
        <v>541</v>
      </c>
      <c r="C175" s="582" t="s">
        <v>542</v>
      </c>
      <c r="D175" s="2">
        <v>0</v>
      </c>
      <c r="E175" s="587">
        <v>0</v>
      </c>
      <c r="F175" s="587">
        <v>0</v>
      </c>
      <c r="G175" s="587">
        <v>0</v>
      </c>
      <c r="H175" s="587">
        <v>0</v>
      </c>
      <c r="I175" s="587">
        <v>0</v>
      </c>
      <c r="J175" s="587">
        <v>0</v>
      </c>
      <c r="K175" s="587">
        <v>0</v>
      </c>
      <c r="L175" s="587">
        <v>0</v>
      </c>
      <c r="M175" s="583">
        <f t="shared" si="4"/>
        <v>0</v>
      </c>
      <c r="N175" s="582">
        <v>0</v>
      </c>
      <c r="P175" s="582" t="s">
        <v>801</v>
      </c>
      <c r="Q175" s="582">
        <f t="shared" si="5"/>
        <v>0</v>
      </c>
    </row>
    <row r="176" spans="1:17">
      <c r="A176" s="582" t="s">
        <v>594</v>
      </c>
      <c r="B176" s="582" t="s">
        <v>155</v>
      </c>
      <c r="C176" s="582" t="s">
        <v>156</v>
      </c>
      <c r="D176" s="2">
        <v>0</v>
      </c>
      <c r="E176" s="587">
        <v>0</v>
      </c>
      <c r="F176" s="587">
        <v>0</v>
      </c>
      <c r="G176" s="587">
        <v>0</v>
      </c>
      <c r="H176" s="587">
        <v>0</v>
      </c>
      <c r="I176" s="587">
        <v>0</v>
      </c>
      <c r="J176" s="587">
        <v>0</v>
      </c>
      <c r="K176" s="587">
        <v>0</v>
      </c>
      <c r="L176" s="587">
        <v>0</v>
      </c>
      <c r="M176" s="583">
        <f t="shared" si="4"/>
        <v>0</v>
      </c>
      <c r="N176" s="582">
        <v>0</v>
      </c>
      <c r="P176" s="582" t="s">
        <v>801</v>
      </c>
      <c r="Q176" s="582">
        <f t="shared" si="5"/>
        <v>0</v>
      </c>
    </row>
    <row r="177" spans="1:17">
      <c r="A177" s="582" t="s">
        <v>599</v>
      </c>
      <c r="B177" s="582" t="s">
        <v>325</v>
      </c>
      <c r="C177" s="582" t="s">
        <v>326</v>
      </c>
      <c r="D177" s="2">
        <v>35</v>
      </c>
      <c r="E177" s="587">
        <v>39</v>
      </c>
      <c r="F177" s="587">
        <v>40</v>
      </c>
      <c r="G177" s="587">
        <v>30</v>
      </c>
      <c r="H177" s="587">
        <v>39</v>
      </c>
      <c r="I177" s="587">
        <v>39</v>
      </c>
      <c r="J177" s="587">
        <v>40</v>
      </c>
      <c r="K177" s="587">
        <v>33</v>
      </c>
      <c r="L177" s="587">
        <v>0</v>
      </c>
      <c r="M177" s="583">
        <f t="shared" si="4"/>
        <v>37.14</v>
      </c>
      <c r="N177" s="582">
        <v>32664.78</v>
      </c>
      <c r="P177" s="582" t="s">
        <v>621</v>
      </c>
      <c r="Q177" s="582">
        <f t="shared" si="5"/>
        <v>1</v>
      </c>
    </row>
    <row r="178" spans="1:17">
      <c r="A178" s="582" t="s">
        <v>594</v>
      </c>
      <c r="B178" s="582" t="s">
        <v>153</v>
      </c>
      <c r="C178" s="582" t="s">
        <v>154</v>
      </c>
      <c r="D178" s="2">
        <v>37</v>
      </c>
      <c r="E178" s="587">
        <v>51</v>
      </c>
      <c r="F178" s="587">
        <v>52</v>
      </c>
      <c r="G178" s="587">
        <v>53</v>
      </c>
      <c r="H178" s="587">
        <v>55</v>
      </c>
      <c r="I178" s="587">
        <v>56</v>
      </c>
      <c r="J178" s="587">
        <v>55</v>
      </c>
      <c r="K178" s="587">
        <v>53</v>
      </c>
      <c r="L178" s="587">
        <v>0</v>
      </c>
      <c r="M178" s="583">
        <f t="shared" si="4"/>
        <v>53.57</v>
      </c>
      <c r="N178" s="582">
        <v>46679.519999999997</v>
      </c>
      <c r="P178" s="582" t="s">
        <v>621</v>
      </c>
      <c r="Q178" s="582">
        <f t="shared" si="5"/>
        <v>1</v>
      </c>
    </row>
    <row r="179" spans="1:17">
      <c r="A179" s="582" t="s">
        <v>603</v>
      </c>
      <c r="B179" s="582" t="s">
        <v>287</v>
      </c>
      <c r="C179" s="582" t="s">
        <v>288</v>
      </c>
      <c r="D179" s="2">
        <v>0</v>
      </c>
      <c r="E179" s="587">
        <v>0</v>
      </c>
      <c r="F179" s="587">
        <v>0</v>
      </c>
      <c r="G179" s="587">
        <v>0</v>
      </c>
      <c r="H179" s="587">
        <v>0</v>
      </c>
      <c r="I179" s="587">
        <v>0</v>
      </c>
      <c r="J179" s="587">
        <v>0</v>
      </c>
      <c r="K179" s="587">
        <v>0</v>
      </c>
      <c r="L179" s="587">
        <v>0</v>
      </c>
      <c r="M179" s="583">
        <f t="shared" si="4"/>
        <v>0</v>
      </c>
      <c r="N179" s="582">
        <v>0</v>
      </c>
      <c r="P179" s="582" t="s">
        <v>801</v>
      </c>
      <c r="Q179" s="582">
        <f t="shared" si="5"/>
        <v>0</v>
      </c>
    </row>
    <row r="180" spans="1:17">
      <c r="A180" s="582" t="s">
        <v>601</v>
      </c>
      <c r="B180" s="582" t="s">
        <v>313</v>
      </c>
      <c r="C180" s="582" t="s">
        <v>314</v>
      </c>
      <c r="D180" s="2">
        <v>81</v>
      </c>
      <c r="E180" s="587">
        <v>85</v>
      </c>
      <c r="F180" s="587">
        <v>85</v>
      </c>
      <c r="G180" s="587">
        <v>82</v>
      </c>
      <c r="H180" s="587">
        <v>80</v>
      </c>
      <c r="I180" s="587">
        <v>82</v>
      </c>
      <c r="J180" s="587">
        <v>83</v>
      </c>
      <c r="K180" s="587">
        <v>85</v>
      </c>
      <c r="L180" s="587">
        <v>0</v>
      </c>
      <c r="M180" s="583">
        <f t="shared" si="4"/>
        <v>83.14</v>
      </c>
      <c r="N180" s="582">
        <v>74467.960000000006</v>
      </c>
      <c r="P180" s="582" t="s">
        <v>621</v>
      </c>
      <c r="Q180" s="582">
        <f t="shared" si="5"/>
        <v>1</v>
      </c>
    </row>
    <row r="181" spans="1:17">
      <c r="A181" s="582" t="s">
        <v>594</v>
      </c>
      <c r="B181" s="582" t="s">
        <v>478</v>
      </c>
      <c r="C181" s="582" t="s">
        <v>479</v>
      </c>
      <c r="D181" s="2">
        <v>173</v>
      </c>
      <c r="E181" s="587">
        <v>187</v>
      </c>
      <c r="F181" s="587">
        <v>189</v>
      </c>
      <c r="G181" s="587">
        <v>190</v>
      </c>
      <c r="H181" s="587">
        <v>191</v>
      </c>
      <c r="I181" s="587">
        <v>194</v>
      </c>
      <c r="J181" s="587">
        <v>196</v>
      </c>
      <c r="K181" s="587">
        <v>194</v>
      </c>
      <c r="L181" s="587">
        <v>0</v>
      </c>
      <c r="M181" s="583">
        <f t="shared" si="4"/>
        <v>191.57</v>
      </c>
      <c r="N181" s="582">
        <v>171864.76</v>
      </c>
      <c r="P181" s="582" t="s">
        <v>621</v>
      </c>
      <c r="Q181" s="582">
        <f t="shared" si="5"/>
        <v>1</v>
      </c>
    </row>
    <row r="182" spans="1:17">
      <c r="A182" s="582" t="s">
        <v>601</v>
      </c>
      <c r="B182" s="582" t="s">
        <v>311</v>
      </c>
      <c r="C182" s="582" t="s">
        <v>312</v>
      </c>
      <c r="D182" s="2">
        <v>70</v>
      </c>
      <c r="E182" s="587">
        <v>79</v>
      </c>
      <c r="F182" s="587">
        <v>82</v>
      </c>
      <c r="G182" s="587">
        <v>79</v>
      </c>
      <c r="H182" s="587">
        <v>80</v>
      </c>
      <c r="I182" s="587">
        <v>77</v>
      </c>
      <c r="J182" s="587">
        <v>78</v>
      </c>
      <c r="K182" s="587">
        <v>81</v>
      </c>
      <c r="L182" s="587">
        <v>0</v>
      </c>
      <c r="M182" s="583">
        <f t="shared" si="4"/>
        <v>79.430000000000007</v>
      </c>
      <c r="N182" s="582">
        <v>67611.899999999994</v>
      </c>
      <c r="P182" s="582" t="s">
        <v>621</v>
      </c>
      <c r="Q182" s="582">
        <f t="shared" si="5"/>
        <v>1</v>
      </c>
    </row>
    <row r="183" spans="1:17">
      <c r="A183" s="582" t="s">
        <v>594</v>
      </c>
      <c r="B183" s="582" t="s">
        <v>270</v>
      </c>
      <c r="C183" s="582" t="s">
        <v>271</v>
      </c>
      <c r="D183" s="2">
        <v>17</v>
      </c>
      <c r="E183" s="587">
        <v>18</v>
      </c>
      <c r="F183" s="587">
        <v>18</v>
      </c>
      <c r="G183" s="587">
        <v>18</v>
      </c>
      <c r="H183" s="587">
        <v>18</v>
      </c>
      <c r="I183" s="587">
        <v>18</v>
      </c>
      <c r="J183" s="587">
        <v>18</v>
      </c>
      <c r="K183" s="587">
        <v>19</v>
      </c>
      <c r="L183" s="587">
        <v>0</v>
      </c>
      <c r="M183" s="583">
        <f t="shared" si="4"/>
        <v>18.14</v>
      </c>
      <c r="N183" s="582">
        <v>15191.46</v>
      </c>
      <c r="P183" s="582" t="s">
        <v>621</v>
      </c>
      <c r="Q183" s="582">
        <f t="shared" si="5"/>
        <v>1</v>
      </c>
    </row>
    <row r="184" spans="1:17">
      <c r="A184" s="582" t="s">
        <v>603</v>
      </c>
      <c r="B184" s="582" t="s">
        <v>448</v>
      </c>
      <c r="C184" s="582" t="s">
        <v>449</v>
      </c>
      <c r="D184" s="2">
        <v>0</v>
      </c>
      <c r="E184" s="587">
        <v>0</v>
      </c>
      <c r="F184" s="587">
        <v>0</v>
      </c>
      <c r="G184" s="587">
        <v>0</v>
      </c>
      <c r="H184" s="587">
        <v>0</v>
      </c>
      <c r="I184" s="587">
        <v>0</v>
      </c>
      <c r="J184" s="587">
        <v>0</v>
      </c>
      <c r="K184" s="587">
        <v>0</v>
      </c>
      <c r="L184" s="587">
        <v>0</v>
      </c>
      <c r="M184" s="583">
        <f t="shared" si="4"/>
        <v>0</v>
      </c>
      <c r="N184" s="582">
        <v>0</v>
      </c>
      <c r="P184" s="582" t="s">
        <v>801</v>
      </c>
      <c r="Q184" s="582">
        <f t="shared" si="5"/>
        <v>0</v>
      </c>
    </row>
    <row r="185" spans="1:17">
      <c r="A185" s="582" t="s">
        <v>595</v>
      </c>
      <c r="B185" s="582" t="s">
        <v>372</v>
      </c>
      <c r="C185" s="582" t="s">
        <v>613</v>
      </c>
      <c r="D185" s="2">
        <v>12</v>
      </c>
      <c r="E185" s="587">
        <v>21</v>
      </c>
      <c r="F185" s="587">
        <v>19</v>
      </c>
      <c r="G185" s="587">
        <v>19</v>
      </c>
      <c r="H185" s="587">
        <v>19</v>
      </c>
      <c r="I185" s="587">
        <v>19</v>
      </c>
      <c r="J185" s="587">
        <v>19</v>
      </c>
      <c r="K185" s="587">
        <v>19</v>
      </c>
      <c r="L185" s="587">
        <v>0</v>
      </c>
      <c r="M185" s="583">
        <f t="shared" si="4"/>
        <v>19.29</v>
      </c>
      <c r="N185" s="582">
        <v>16516.34</v>
      </c>
      <c r="P185" s="582" t="s">
        <v>621</v>
      </c>
      <c r="Q185" s="582">
        <f t="shared" si="5"/>
        <v>1</v>
      </c>
    </row>
    <row r="186" spans="1:17">
      <c r="A186" s="582" t="s">
        <v>603</v>
      </c>
      <c r="B186" s="582" t="s">
        <v>424</v>
      </c>
      <c r="C186" s="582" t="s">
        <v>425</v>
      </c>
      <c r="D186" s="2">
        <v>0</v>
      </c>
      <c r="E186" s="587">
        <v>0</v>
      </c>
      <c r="F186" s="587">
        <v>0</v>
      </c>
      <c r="G186" s="587">
        <v>0</v>
      </c>
      <c r="H186" s="587">
        <v>0</v>
      </c>
      <c r="I186" s="587">
        <v>0</v>
      </c>
      <c r="J186" s="587">
        <v>0</v>
      </c>
      <c r="K186" s="587">
        <v>0</v>
      </c>
      <c r="L186" s="587">
        <v>0</v>
      </c>
      <c r="M186" s="583">
        <f t="shared" si="4"/>
        <v>0</v>
      </c>
      <c r="N186" s="582">
        <v>0</v>
      </c>
      <c r="P186" s="582" t="s">
        <v>801</v>
      </c>
      <c r="Q186" s="582">
        <f t="shared" si="5"/>
        <v>0</v>
      </c>
    </row>
    <row r="187" spans="1:17">
      <c r="A187" s="582" t="s">
        <v>603</v>
      </c>
      <c r="B187" s="582" t="s">
        <v>98</v>
      </c>
      <c r="C187" s="582" t="s">
        <v>99</v>
      </c>
      <c r="D187" s="2">
        <v>0</v>
      </c>
      <c r="E187" s="587">
        <v>0</v>
      </c>
      <c r="F187" s="587">
        <v>0</v>
      </c>
      <c r="G187" s="587">
        <v>0</v>
      </c>
      <c r="H187" s="587">
        <v>0</v>
      </c>
      <c r="I187" s="587">
        <v>0</v>
      </c>
      <c r="J187" s="587">
        <v>0</v>
      </c>
      <c r="K187" s="587">
        <v>0</v>
      </c>
      <c r="L187" s="587">
        <v>0</v>
      </c>
      <c r="M187" s="583">
        <f t="shared" si="4"/>
        <v>0</v>
      </c>
      <c r="N187" s="582">
        <v>0</v>
      </c>
      <c r="P187" s="582" t="s">
        <v>801</v>
      </c>
      <c r="Q187" s="582">
        <f t="shared" si="5"/>
        <v>0</v>
      </c>
    </row>
    <row r="188" spans="1:17">
      <c r="A188" s="582" t="s">
        <v>601</v>
      </c>
      <c r="B188" s="582" t="s">
        <v>82</v>
      </c>
      <c r="C188" s="582" t="s">
        <v>83</v>
      </c>
      <c r="D188" s="2">
        <v>103</v>
      </c>
      <c r="E188" s="587">
        <v>105</v>
      </c>
      <c r="F188" s="587">
        <v>105</v>
      </c>
      <c r="G188" s="587">
        <v>102</v>
      </c>
      <c r="H188" s="587">
        <v>104</v>
      </c>
      <c r="I188" s="587">
        <v>102</v>
      </c>
      <c r="J188" s="587">
        <v>101</v>
      </c>
      <c r="K188" s="587">
        <v>102</v>
      </c>
      <c r="L188" s="587">
        <v>0</v>
      </c>
      <c r="M188" s="583">
        <f t="shared" si="4"/>
        <v>103</v>
      </c>
      <c r="N188" s="582">
        <v>98179.66</v>
      </c>
      <c r="P188" s="582" t="s">
        <v>621</v>
      </c>
      <c r="Q188" s="582">
        <f t="shared" si="5"/>
        <v>1</v>
      </c>
    </row>
    <row r="189" spans="1:17">
      <c r="A189" s="582" t="s">
        <v>601</v>
      </c>
      <c r="B189" s="582" t="s">
        <v>323</v>
      </c>
      <c r="C189" s="582" t="s">
        <v>324</v>
      </c>
      <c r="D189" s="2">
        <v>64</v>
      </c>
      <c r="E189" s="587">
        <v>91</v>
      </c>
      <c r="F189" s="587">
        <v>92</v>
      </c>
      <c r="G189" s="587">
        <v>85</v>
      </c>
      <c r="H189" s="587">
        <v>85</v>
      </c>
      <c r="I189" s="587">
        <v>89</v>
      </c>
      <c r="J189" s="587">
        <v>97</v>
      </c>
      <c r="K189" s="587">
        <v>97</v>
      </c>
      <c r="L189" s="587">
        <v>0</v>
      </c>
      <c r="M189" s="583">
        <f t="shared" si="4"/>
        <v>90.86</v>
      </c>
      <c r="N189" s="582">
        <v>77402.94</v>
      </c>
      <c r="P189" s="582" t="s">
        <v>621</v>
      </c>
      <c r="Q189" s="582">
        <f t="shared" si="5"/>
        <v>1</v>
      </c>
    </row>
    <row r="190" spans="1:17">
      <c r="A190" s="582" t="s">
        <v>597</v>
      </c>
      <c r="B190" s="582" t="s">
        <v>355</v>
      </c>
      <c r="C190" s="582" t="s">
        <v>356</v>
      </c>
      <c r="D190" s="2">
        <v>25</v>
      </c>
      <c r="E190" s="587">
        <v>37</v>
      </c>
      <c r="F190" s="587">
        <v>33</v>
      </c>
      <c r="G190" s="587">
        <v>34</v>
      </c>
      <c r="H190" s="587">
        <v>34</v>
      </c>
      <c r="I190" s="587">
        <v>33</v>
      </c>
      <c r="J190" s="587">
        <v>34</v>
      </c>
      <c r="K190" s="587">
        <v>33</v>
      </c>
      <c r="L190" s="587">
        <v>0</v>
      </c>
      <c r="M190" s="583">
        <f t="shared" si="4"/>
        <v>34</v>
      </c>
      <c r="N190" s="582">
        <v>28610.38</v>
      </c>
      <c r="P190" s="582" t="s">
        <v>621</v>
      </c>
      <c r="Q190" s="582">
        <f t="shared" si="5"/>
        <v>1</v>
      </c>
    </row>
    <row r="191" spans="1:17">
      <c r="A191" s="582" t="s">
        <v>596</v>
      </c>
      <c r="B191" s="582" t="s">
        <v>4</v>
      </c>
      <c r="C191" s="582" t="s">
        <v>5</v>
      </c>
      <c r="D191" s="2">
        <v>1012</v>
      </c>
      <c r="E191" s="587">
        <v>1361</v>
      </c>
      <c r="F191" s="587">
        <v>1361</v>
      </c>
      <c r="G191" s="587">
        <v>1370</v>
      </c>
      <c r="H191" s="587">
        <v>1351</v>
      </c>
      <c r="I191" s="587">
        <v>1378</v>
      </c>
      <c r="J191" s="587">
        <v>1361</v>
      </c>
      <c r="K191" s="587">
        <v>1359</v>
      </c>
      <c r="L191" s="587">
        <v>0</v>
      </c>
      <c r="M191" s="583">
        <f t="shared" si="4"/>
        <v>1363</v>
      </c>
      <c r="N191" s="582">
        <v>1088728.48</v>
      </c>
      <c r="P191" s="582" t="s">
        <v>621</v>
      </c>
      <c r="Q191" s="582">
        <f t="shared" si="5"/>
        <v>1</v>
      </c>
    </row>
    <row r="192" spans="1:17">
      <c r="A192" s="582" t="s">
        <v>601</v>
      </c>
      <c r="B192" s="582" t="s">
        <v>86</v>
      </c>
      <c r="C192" s="582" t="s">
        <v>87</v>
      </c>
      <c r="D192" s="2">
        <v>11</v>
      </c>
      <c r="E192" s="587">
        <v>11</v>
      </c>
      <c r="F192" s="587">
        <v>11</v>
      </c>
      <c r="G192" s="587">
        <v>11</v>
      </c>
      <c r="H192" s="587">
        <v>11</v>
      </c>
      <c r="I192" s="587">
        <v>11</v>
      </c>
      <c r="J192" s="587">
        <v>12</v>
      </c>
      <c r="K192" s="587">
        <v>12</v>
      </c>
      <c r="L192" s="587">
        <v>0</v>
      </c>
      <c r="M192" s="583">
        <f t="shared" si="4"/>
        <v>11.29</v>
      </c>
      <c r="N192" s="582">
        <v>8174.85</v>
      </c>
      <c r="P192" s="582" t="s">
        <v>621</v>
      </c>
      <c r="Q192" s="582">
        <f t="shared" si="5"/>
        <v>1</v>
      </c>
    </row>
    <row r="193" spans="1:17">
      <c r="A193" s="582" t="s">
        <v>603</v>
      </c>
      <c r="B193" s="582" t="s">
        <v>527</v>
      </c>
      <c r="C193" s="582" t="s">
        <v>528</v>
      </c>
      <c r="D193" s="2">
        <v>0</v>
      </c>
      <c r="E193" s="587">
        <v>0</v>
      </c>
      <c r="F193" s="587">
        <v>0</v>
      </c>
      <c r="G193" s="587">
        <v>0</v>
      </c>
      <c r="H193" s="587">
        <v>0</v>
      </c>
      <c r="I193" s="587">
        <v>0</v>
      </c>
      <c r="J193" s="587">
        <v>0</v>
      </c>
      <c r="K193" s="587">
        <v>0</v>
      </c>
      <c r="L193" s="587">
        <v>0</v>
      </c>
      <c r="M193" s="583">
        <f t="shared" si="4"/>
        <v>0</v>
      </c>
      <c r="N193" s="582">
        <v>0</v>
      </c>
      <c r="P193" s="582" t="s">
        <v>801</v>
      </c>
      <c r="Q193" s="582">
        <f t="shared" si="5"/>
        <v>0</v>
      </c>
    </row>
    <row r="194" spans="1:17">
      <c r="A194" s="582" t="s">
        <v>596</v>
      </c>
      <c r="B194" s="582" t="s">
        <v>104</v>
      </c>
      <c r="C194" s="582" t="s">
        <v>105</v>
      </c>
      <c r="D194" s="2">
        <v>5277</v>
      </c>
      <c r="E194" s="587">
        <v>5296</v>
      </c>
      <c r="F194" s="587">
        <v>5296</v>
      </c>
      <c r="G194" s="587">
        <v>5285</v>
      </c>
      <c r="H194" s="587">
        <v>5253</v>
      </c>
      <c r="I194" s="587">
        <v>5240</v>
      </c>
      <c r="J194" s="587">
        <v>5245</v>
      </c>
      <c r="K194" s="587">
        <v>5256</v>
      </c>
      <c r="L194" s="587">
        <v>0</v>
      </c>
      <c r="M194" s="583">
        <f t="shared" si="4"/>
        <v>5267.29</v>
      </c>
      <c r="N194" s="582">
        <v>4373192.0599999996</v>
      </c>
      <c r="P194" s="582" t="s">
        <v>621</v>
      </c>
      <c r="Q194" s="582">
        <f t="shared" si="5"/>
        <v>1</v>
      </c>
    </row>
    <row r="195" spans="1:17">
      <c r="A195" s="582" t="s">
        <v>601</v>
      </c>
      <c r="B195" s="582" t="s">
        <v>317</v>
      </c>
      <c r="C195" s="582" t="s">
        <v>318</v>
      </c>
      <c r="D195" s="2">
        <v>37</v>
      </c>
      <c r="E195" s="587">
        <v>37</v>
      </c>
      <c r="F195" s="587">
        <v>37</v>
      </c>
      <c r="G195" s="587">
        <v>36</v>
      </c>
      <c r="H195" s="587">
        <v>37</v>
      </c>
      <c r="I195" s="587">
        <v>36</v>
      </c>
      <c r="J195" s="587">
        <v>36</v>
      </c>
      <c r="K195" s="587">
        <v>36</v>
      </c>
      <c r="L195" s="587">
        <v>0</v>
      </c>
      <c r="M195" s="583">
        <f t="shared" si="4"/>
        <v>36.43</v>
      </c>
      <c r="N195" s="582">
        <v>33256.379999999997</v>
      </c>
      <c r="P195" s="582" t="s">
        <v>621</v>
      </c>
      <c r="Q195" s="582">
        <f t="shared" si="5"/>
        <v>1</v>
      </c>
    </row>
    <row r="196" spans="1:17">
      <c r="A196" s="582" t="s">
        <v>596</v>
      </c>
      <c r="B196" s="582" t="s">
        <v>16</v>
      </c>
      <c r="C196" s="582" t="s">
        <v>17</v>
      </c>
      <c r="D196" s="2">
        <v>40</v>
      </c>
      <c r="E196" s="587">
        <v>38</v>
      </c>
      <c r="F196" s="587">
        <v>39</v>
      </c>
      <c r="G196" s="587">
        <v>37</v>
      </c>
      <c r="H196" s="587">
        <v>37</v>
      </c>
      <c r="I196" s="587">
        <v>38</v>
      </c>
      <c r="J196" s="587">
        <v>38</v>
      </c>
      <c r="K196" s="587">
        <v>39</v>
      </c>
      <c r="L196" s="587">
        <v>0</v>
      </c>
      <c r="M196" s="583">
        <f t="shared" si="4"/>
        <v>38</v>
      </c>
      <c r="N196" s="582">
        <v>32995.15</v>
      </c>
      <c r="P196" s="582" t="s">
        <v>621</v>
      </c>
      <c r="Q196" s="582">
        <f t="shared" si="5"/>
        <v>1</v>
      </c>
    </row>
    <row r="197" spans="1:17">
      <c r="A197" s="582" t="s">
        <v>594</v>
      </c>
      <c r="B197" s="582" t="s">
        <v>272</v>
      </c>
      <c r="C197" s="582" t="s">
        <v>273</v>
      </c>
      <c r="D197" s="2">
        <v>0</v>
      </c>
      <c r="E197" s="587">
        <v>0</v>
      </c>
      <c r="F197" s="587">
        <v>0</v>
      </c>
      <c r="G197" s="587">
        <v>0</v>
      </c>
      <c r="H197" s="587">
        <v>0</v>
      </c>
      <c r="I197" s="587">
        <v>0</v>
      </c>
      <c r="J197" s="587">
        <v>0</v>
      </c>
      <c r="K197" s="587">
        <v>0</v>
      </c>
      <c r="L197" s="587">
        <v>0</v>
      </c>
      <c r="M197" s="583">
        <f t="shared" si="4"/>
        <v>0</v>
      </c>
      <c r="N197" s="582">
        <v>0</v>
      </c>
      <c r="P197" s="582" t="s">
        <v>801</v>
      </c>
      <c r="Q197" s="582">
        <f t="shared" si="5"/>
        <v>0</v>
      </c>
    </row>
    <row r="198" spans="1:17">
      <c r="A198" s="582" t="s">
        <v>597</v>
      </c>
      <c r="B198" s="582" t="s">
        <v>359</v>
      </c>
      <c r="C198" s="582" t="s">
        <v>360</v>
      </c>
      <c r="D198" s="2">
        <v>45</v>
      </c>
      <c r="E198" s="587">
        <v>78</v>
      </c>
      <c r="F198" s="587">
        <v>78</v>
      </c>
      <c r="G198" s="587">
        <v>76</v>
      </c>
      <c r="H198" s="587">
        <v>76</v>
      </c>
      <c r="I198" s="587">
        <v>77</v>
      </c>
      <c r="J198" s="587">
        <v>79</v>
      </c>
      <c r="K198" s="587">
        <v>77</v>
      </c>
      <c r="L198" s="587">
        <v>0</v>
      </c>
      <c r="M198" s="583">
        <f t="shared" si="4"/>
        <v>77.290000000000006</v>
      </c>
      <c r="N198" s="582">
        <v>69835.44</v>
      </c>
      <c r="P198" s="582" t="s">
        <v>621</v>
      </c>
      <c r="Q198" s="582">
        <f t="shared" si="5"/>
        <v>1</v>
      </c>
    </row>
    <row r="199" spans="1:17">
      <c r="A199" s="582" t="s">
        <v>594</v>
      </c>
      <c r="B199" s="582" t="s">
        <v>303</v>
      </c>
      <c r="C199" s="582" t="s">
        <v>304</v>
      </c>
      <c r="D199" s="2">
        <v>0</v>
      </c>
      <c r="E199" s="587">
        <v>0</v>
      </c>
      <c r="F199" s="587">
        <v>0</v>
      </c>
      <c r="G199" s="587">
        <v>0</v>
      </c>
      <c r="H199" s="587">
        <v>0</v>
      </c>
      <c r="I199" s="587">
        <v>0</v>
      </c>
      <c r="J199" s="587">
        <v>0</v>
      </c>
      <c r="K199" s="587">
        <v>0</v>
      </c>
      <c r="L199" s="587">
        <v>0</v>
      </c>
      <c r="M199" s="583">
        <f t="shared" si="4"/>
        <v>0</v>
      </c>
      <c r="N199" s="582">
        <v>0</v>
      </c>
      <c r="P199" s="582" t="s">
        <v>801</v>
      </c>
      <c r="Q199" s="582">
        <f t="shared" si="5"/>
        <v>0</v>
      </c>
    </row>
    <row r="200" spans="1:17">
      <c r="A200" s="582" t="s">
        <v>596</v>
      </c>
      <c r="B200" s="582" t="s">
        <v>112</v>
      </c>
      <c r="C200" s="582" t="s">
        <v>113</v>
      </c>
      <c r="D200" s="2">
        <v>2</v>
      </c>
      <c r="E200" s="587">
        <v>2</v>
      </c>
      <c r="F200" s="587">
        <v>2</v>
      </c>
      <c r="G200" s="587">
        <v>2</v>
      </c>
      <c r="H200" s="587">
        <v>2</v>
      </c>
      <c r="I200" s="587">
        <v>2</v>
      </c>
      <c r="J200" s="587">
        <v>2</v>
      </c>
      <c r="K200" s="587">
        <v>2</v>
      </c>
      <c r="L200" s="587">
        <v>0</v>
      </c>
      <c r="M200" s="583">
        <f t="shared" si="4"/>
        <v>2</v>
      </c>
      <c r="N200" s="582">
        <v>1829.93</v>
      </c>
      <c r="P200" s="582" t="s">
        <v>621</v>
      </c>
      <c r="Q200" s="582">
        <f t="shared" si="5"/>
        <v>1</v>
      </c>
    </row>
    <row r="201" spans="1:17">
      <c r="A201" s="582" t="s">
        <v>600</v>
      </c>
      <c r="B201" s="582" t="s">
        <v>39</v>
      </c>
      <c r="C201" s="582" t="s">
        <v>40</v>
      </c>
      <c r="D201" s="2">
        <v>24</v>
      </c>
      <c r="E201" s="587">
        <v>26</v>
      </c>
      <c r="F201" s="587">
        <v>26</v>
      </c>
      <c r="G201" s="587">
        <v>27</v>
      </c>
      <c r="H201" s="587">
        <v>27</v>
      </c>
      <c r="I201" s="587">
        <v>27</v>
      </c>
      <c r="J201" s="587">
        <v>27</v>
      </c>
      <c r="K201" s="587">
        <v>26</v>
      </c>
      <c r="L201" s="587">
        <v>0</v>
      </c>
      <c r="M201" s="583">
        <f t="shared" ref="M201:M264" si="6">ROUND(SUM(E201:L201)/7,2)</f>
        <v>26.57</v>
      </c>
      <c r="N201" s="582">
        <v>24421.16</v>
      </c>
      <c r="P201" s="582" t="s">
        <v>621</v>
      </c>
      <c r="Q201" s="582">
        <f t="shared" ref="Q201:Q264" si="7">IF(M201&gt;0,1,0)</f>
        <v>1</v>
      </c>
    </row>
    <row r="202" spans="1:17">
      <c r="A202" s="582" t="s">
        <v>600</v>
      </c>
      <c r="B202" s="582" t="s">
        <v>171</v>
      </c>
      <c r="C202" s="582" t="s">
        <v>172</v>
      </c>
      <c r="D202" s="2">
        <v>10</v>
      </c>
      <c r="E202" s="587">
        <v>13</v>
      </c>
      <c r="F202" s="587">
        <v>12</v>
      </c>
      <c r="G202" s="587">
        <v>12</v>
      </c>
      <c r="H202" s="587">
        <v>12</v>
      </c>
      <c r="I202" s="587">
        <v>13</v>
      </c>
      <c r="J202" s="587">
        <v>13</v>
      </c>
      <c r="K202" s="587">
        <v>13</v>
      </c>
      <c r="L202" s="587">
        <v>0</v>
      </c>
      <c r="M202" s="583">
        <f t="shared" si="6"/>
        <v>12.57</v>
      </c>
      <c r="N202" s="582">
        <v>11495.88</v>
      </c>
      <c r="P202" s="582" t="s">
        <v>621</v>
      </c>
      <c r="Q202" s="582">
        <f t="shared" si="7"/>
        <v>1</v>
      </c>
    </row>
    <row r="203" spans="1:17">
      <c r="A203" s="582" t="s">
        <v>596</v>
      </c>
      <c r="B203" s="582" t="s">
        <v>502</v>
      </c>
      <c r="C203" s="582" t="s">
        <v>503</v>
      </c>
      <c r="D203" s="2">
        <v>39</v>
      </c>
      <c r="E203" s="587">
        <v>40</v>
      </c>
      <c r="F203" s="587">
        <v>108</v>
      </c>
      <c r="G203" s="587">
        <v>106</v>
      </c>
      <c r="H203" s="587">
        <v>103</v>
      </c>
      <c r="I203" s="587">
        <v>102</v>
      </c>
      <c r="J203" s="587">
        <v>105</v>
      </c>
      <c r="K203" s="587">
        <v>105</v>
      </c>
      <c r="L203" s="587">
        <v>0</v>
      </c>
      <c r="M203" s="583">
        <f t="shared" si="6"/>
        <v>95.57</v>
      </c>
      <c r="N203" s="582">
        <v>78942.03</v>
      </c>
      <c r="P203" s="582" t="s">
        <v>621</v>
      </c>
      <c r="Q203" s="582">
        <f t="shared" si="7"/>
        <v>1</v>
      </c>
    </row>
    <row r="204" spans="1:17">
      <c r="A204" s="582" t="s">
        <v>596</v>
      </c>
      <c r="B204" s="582" t="s">
        <v>21</v>
      </c>
      <c r="C204" s="582" t="s">
        <v>22</v>
      </c>
      <c r="D204" s="2">
        <v>548</v>
      </c>
      <c r="E204" s="587">
        <v>545</v>
      </c>
      <c r="F204" s="587">
        <v>539</v>
      </c>
      <c r="G204" s="587">
        <v>532</v>
      </c>
      <c r="H204" s="587">
        <v>531</v>
      </c>
      <c r="I204" s="587">
        <v>525</v>
      </c>
      <c r="J204" s="587">
        <v>522</v>
      </c>
      <c r="K204" s="587">
        <v>524</v>
      </c>
      <c r="L204" s="587">
        <v>0</v>
      </c>
      <c r="M204" s="583">
        <f t="shared" si="6"/>
        <v>531.14</v>
      </c>
      <c r="N204" s="582">
        <v>473145.35</v>
      </c>
      <c r="P204" s="582" t="s">
        <v>621</v>
      </c>
      <c r="Q204" s="582">
        <f t="shared" si="7"/>
        <v>1</v>
      </c>
    </row>
    <row r="205" spans="1:17">
      <c r="A205" s="582" t="s">
        <v>603</v>
      </c>
      <c r="B205" s="582" t="s">
        <v>523</v>
      </c>
      <c r="C205" s="582" t="s">
        <v>524</v>
      </c>
      <c r="D205" s="2">
        <v>89</v>
      </c>
      <c r="E205" s="587">
        <v>93</v>
      </c>
      <c r="F205" s="587">
        <v>96</v>
      </c>
      <c r="G205" s="587">
        <v>97</v>
      </c>
      <c r="H205" s="587">
        <v>95</v>
      </c>
      <c r="I205" s="587">
        <v>96</v>
      </c>
      <c r="J205" s="587">
        <v>101</v>
      </c>
      <c r="K205" s="587">
        <v>102</v>
      </c>
      <c r="L205" s="587">
        <v>0</v>
      </c>
      <c r="M205" s="583">
        <f t="shared" si="6"/>
        <v>97.14</v>
      </c>
      <c r="N205" s="582">
        <v>83998.8</v>
      </c>
      <c r="P205" s="582" t="s">
        <v>621</v>
      </c>
      <c r="Q205" s="582">
        <f t="shared" si="7"/>
        <v>1</v>
      </c>
    </row>
    <row r="206" spans="1:17">
      <c r="A206" s="582" t="s">
        <v>597</v>
      </c>
      <c r="B206" s="582" t="s">
        <v>343</v>
      </c>
      <c r="C206" s="582" t="s">
        <v>344</v>
      </c>
      <c r="D206" s="2">
        <v>529</v>
      </c>
      <c r="E206" s="587">
        <v>628</v>
      </c>
      <c r="F206" s="587">
        <v>629</v>
      </c>
      <c r="G206" s="587">
        <v>639</v>
      </c>
      <c r="H206" s="587">
        <v>639</v>
      </c>
      <c r="I206" s="587">
        <v>651</v>
      </c>
      <c r="J206" s="587">
        <v>652</v>
      </c>
      <c r="K206" s="587">
        <v>650</v>
      </c>
      <c r="L206" s="587">
        <v>0</v>
      </c>
      <c r="M206" s="583">
        <f t="shared" si="6"/>
        <v>641.14</v>
      </c>
      <c r="N206" s="582">
        <v>577194.13</v>
      </c>
      <c r="P206" s="582" t="s">
        <v>621</v>
      </c>
      <c r="Q206" s="582">
        <f t="shared" si="7"/>
        <v>1</v>
      </c>
    </row>
    <row r="207" spans="1:17">
      <c r="A207" s="582" t="s">
        <v>600</v>
      </c>
      <c r="B207" s="582" t="s">
        <v>163</v>
      </c>
      <c r="C207" s="582" t="s">
        <v>164</v>
      </c>
      <c r="D207" s="2">
        <v>0</v>
      </c>
      <c r="E207" s="587">
        <v>0</v>
      </c>
      <c r="F207" s="587">
        <v>0</v>
      </c>
      <c r="G207" s="587">
        <v>0</v>
      </c>
      <c r="H207" s="587">
        <v>0</v>
      </c>
      <c r="I207" s="587">
        <v>0</v>
      </c>
      <c r="J207" s="587">
        <v>0</v>
      </c>
      <c r="K207" s="587">
        <v>0</v>
      </c>
      <c r="L207" s="587">
        <v>0</v>
      </c>
      <c r="M207" s="583">
        <f t="shared" si="6"/>
        <v>0</v>
      </c>
      <c r="N207" s="582">
        <v>0</v>
      </c>
      <c r="P207" s="582" t="s">
        <v>801</v>
      </c>
      <c r="Q207" s="582">
        <f t="shared" si="7"/>
        <v>0</v>
      </c>
    </row>
    <row r="208" spans="1:17">
      <c r="A208" s="582" t="s">
        <v>600</v>
      </c>
      <c r="B208" s="582" t="s">
        <v>167</v>
      </c>
      <c r="C208" s="582" t="s">
        <v>168</v>
      </c>
      <c r="D208" s="2">
        <v>0</v>
      </c>
      <c r="E208" s="587">
        <v>0</v>
      </c>
      <c r="F208" s="587">
        <v>0</v>
      </c>
      <c r="G208" s="587">
        <v>0</v>
      </c>
      <c r="H208" s="587">
        <v>0</v>
      </c>
      <c r="I208" s="587">
        <v>0</v>
      </c>
      <c r="J208" s="587">
        <v>0</v>
      </c>
      <c r="K208" s="587">
        <v>0</v>
      </c>
      <c r="L208" s="587">
        <v>0</v>
      </c>
      <c r="M208" s="583">
        <f t="shared" si="6"/>
        <v>0</v>
      </c>
      <c r="N208" s="582">
        <v>0</v>
      </c>
      <c r="P208" s="582" t="s">
        <v>801</v>
      </c>
      <c r="Q208" s="582">
        <f t="shared" si="7"/>
        <v>0</v>
      </c>
    </row>
    <row r="209" spans="1:17">
      <c r="A209" s="582" t="s">
        <v>600</v>
      </c>
      <c r="B209" s="582" t="s">
        <v>47</v>
      </c>
      <c r="C209" s="582" t="s">
        <v>48</v>
      </c>
      <c r="D209" s="2">
        <v>92</v>
      </c>
      <c r="E209" s="587">
        <v>92</v>
      </c>
      <c r="F209" s="587">
        <v>90</v>
      </c>
      <c r="G209" s="587">
        <v>90</v>
      </c>
      <c r="H209" s="587">
        <v>86</v>
      </c>
      <c r="I209" s="587">
        <v>84</v>
      </c>
      <c r="J209" s="587">
        <v>84</v>
      </c>
      <c r="K209" s="587">
        <v>84</v>
      </c>
      <c r="L209" s="587">
        <v>0</v>
      </c>
      <c r="M209" s="583">
        <f t="shared" si="6"/>
        <v>87.14</v>
      </c>
      <c r="N209" s="582">
        <v>72544.72</v>
      </c>
      <c r="P209" s="582" t="s">
        <v>621</v>
      </c>
      <c r="Q209" s="582">
        <f t="shared" si="7"/>
        <v>1</v>
      </c>
    </row>
    <row r="210" spans="1:17">
      <c r="A210" s="582" t="s">
        <v>594</v>
      </c>
      <c r="B210" s="582" t="s">
        <v>145</v>
      </c>
      <c r="C210" s="582" t="s">
        <v>146</v>
      </c>
      <c r="D210" s="2">
        <v>19</v>
      </c>
      <c r="E210" s="587">
        <v>48</v>
      </c>
      <c r="F210" s="587">
        <v>51</v>
      </c>
      <c r="G210" s="587">
        <v>51</v>
      </c>
      <c r="H210" s="587">
        <v>51</v>
      </c>
      <c r="I210" s="587">
        <v>50</v>
      </c>
      <c r="J210" s="587">
        <v>48</v>
      </c>
      <c r="K210" s="587">
        <v>48</v>
      </c>
      <c r="L210" s="587">
        <v>0</v>
      </c>
      <c r="M210" s="583">
        <f t="shared" si="6"/>
        <v>49.57</v>
      </c>
      <c r="N210" s="582">
        <v>41175.83</v>
      </c>
      <c r="P210" s="582" t="s">
        <v>621</v>
      </c>
      <c r="Q210" s="582">
        <f t="shared" si="7"/>
        <v>1</v>
      </c>
    </row>
    <row r="211" spans="1:17">
      <c r="A211" s="582" t="s">
        <v>601</v>
      </c>
      <c r="B211" s="582" t="s">
        <v>116</v>
      </c>
      <c r="C211" s="582" t="s">
        <v>117</v>
      </c>
      <c r="D211" s="2">
        <v>860</v>
      </c>
      <c r="E211" s="587">
        <v>896</v>
      </c>
      <c r="F211" s="587">
        <v>884</v>
      </c>
      <c r="G211" s="587">
        <v>887</v>
      </c>
      <c r="H211" s="587">
        <v>879</v>
      </c>
      <c r="I211" s="587">
        <v>886</v>
      </c>
      <c r="J211" s="587">
        <v>887</v>
      </c>
      <c r="K211" s="587">
        <v>892</v>
      </c>
      <c r="L211" s="587">
        <v>0</v>
      </c>
      <c r="M211" s="583">
        <f t="shared" si="6"/>
        <v>887.29</v>
      </c>
      <c r="N211" s="582">
        <v>738648.71</v>
      </c>
      <c r="P211" s="582" t="s">
        <v>621</v>
      </c>
      <c r="Q211" s="582">
        <f t="shared" si="7"/>
        <v>1</v>
      </c>
    </row>
    <row r="212" spans="1:17">
      <c r="A212" s="582" t="s">
        <v>594</v>
      </c>
      <c r="B212" s="582" t="s">
        <v>480</v>
      </c>
      <c r="C212" s="582" t="s">
        <v>481</v>
      </c>
      <c r="D212" s="2">
        <v>0</v>
      </c>
      <c r="E212" s="587">
        <v>0</v>
      </c>
      <c r="F212" s="587">
        <v>0</v>
      </c>
      <c r="G212" s="587">
        <v>0</v>
      </c>
      <c r="H212" s="587">
        <v>0</v>
      </c>
      <c r="I212" s="587">
        <v>0</v>
      </c>
      <c r="J212" s="587">
        <v>0</v>
      </c>
      <c r="K212" s="587">
        <v>0</v>
      </c>
      <c r="L212" s="587">
        <v>0</v>
      </c>
      <c r="M212" s="583">
        <f t="shared" si="6"/>
        <v>0</v>
      </c>
      <c r="N212" s="582">
        <v>0</v>
      </c>
      <c r="P212" s="582" t="s">
        <v>801</v>
      </c>
      <c r="Q212" s="582">
        <f t="shared" si="7"/>
        <v>0</v>
      </c>
    </row>
    <row r="213" spans="1:17">
      <c r="A213" s="582" t="s">
        <v>594</v>
      </c>
      <c r="B213" s="582" t="s">
        <v>327</v>
      </c>
      <c r="C213" s="582" t="s">
        <v>328</v>
      </c>
      <c r="D213" s="2">
        <v>47</v>
      </c>
      <c r="E213" s="587">
        <v>54</v>
      </c>
      <c r="F213" s="587">
        <v>54</v>
      </c>
      <c r="G213" s="587">
        <v>54</v>
      </c>
      <c r="H213" s="587">
        <v>54</v>
      </c>
      <c r="I213" s="587">
        <v>55</v>
      </c>
      <c r="J213" s="587">
        <v>56</v>
      </c>
      <c r="K213" s="587">
        <v>56</v>
      </c>
      <c r="L213" s="587">
        <v>0</v>
      </c>
      <c r="M213" s="583">
        <f t="shared" si="6"/>
        <v>54.71</v>
      </c>
      <c r="N213" s="582">
        <v>45756.89</v>
      </c>
      <c r="P213" s="582" t="s">
        <v>621</v>
      </c>
      <c r="Q213" s="582">
        <f t="shared" si="7"/>
        <v>1</v>
      </c>
    </row>
    <row r="214" spans="1:17">
      <c r="A214" s="582" t="s">
        <v>603</v>
      </c>
      <c r="B214" s="582" t="s">
        <v>282</v>
      </c>
      <c r="C214" s="582" t="s">
        <v>665</v>
      </c>
      <c r="D214" s="2">
        <v>18</v>
      </c>
      <c r="E214" s="587">
        <v>20</v>
      </c>
      <c r="F214" s="587">
        <v>20</v>
      </c>
      <c r="G214" s="587">
        <v>22</v>
      </c>
      <c r="H214" s="587">
        <v>28</v>
      </c>
      <c r="I214" s="587">
        <v>27</v>
      </c>
      <c r="J214" s="587">
        <v>22</v>
      </c>
      <c r="K214" s="587">
        <v>23</v>
      </c>
      <c r="L214" s="587">
        <v>0</v>
      </c>
      <c r="M214" s="583">
        <f t="shared" si="6"/>
        <v>23.14</v>
      </c>
      <c r="N214" s="582">
        <v>20716.740000000002</v>
      </c>
      <c r="P214" s="582" t="s">
        <v>621</v>
      </c>
      <c r="Q214" s="582">
        <f t="shared" si="7"/>
        <v>1</v>
      </c>
    </row>
    <row r="215" spans="1:17">
      <c r="A215" s="582" t="s">
        <v>597</v>
      </c>
      <c r="B215" s="582" t="s">
        <v>185</v>
      </c>
      <c r="C215" s="582" t="s">
        <v>186</v>
      </c>
      <c r="D215" s="2">
        <v>1945</v>
      </c>
      <c r="E215" s="587">
        <v>2128</v>
      </c>
      <c r="F215" s="587">
        <v>2137</v>
      </c>
      <c r="G215" s="587">
        <v>2152</v>
      </c>
      <c r="H215" s="587">
        <v>2178</v>
      </c>
      <c r="I215" s="587">
        <v>2183</v>
      </c>
      <c r="J215" s="587">
        <v>2156</v>
      </c>
      <c r="K215" s="587">
        <v>2159</v>
      </c>
      <c r="L215" s="587">
        <v>0</v>
      </c>
      <c r="M215" s="583">
        <f t="shared" si="6"/>
        <v>2156.14</v>
      </c>
      <c r="N215" s="582">
        <v>1824129.97</v>
      </c>
      <c r="P215" s="582" t="s">
        <v>621</v>
      </c>
      <c r="Q215" s="582">
        <f t="shared" si="7"/>
        <v>1</v>
      </c>
    </row>
    <row r="216" spans="1:17">
      <c r="A216" s="582" t="s">
        <v>603</v>
      </c>
      <c r="B216" s="582" t="s">
        <v>102</v>
      </c>
      <c r="C216" s="582" t="s">
        <v>103</v>
      </c>
      <c r="D216" s="2">
        <v>0</v>
      </c>
      <c r="E216" s="587">
        <v>0</v>
      </c>
      <c r="F216" s="587">
        <v>0</v>
      </c>
      <c r="G216" s="587">
        <v>0</v>
      </c>
      <c r="H216" s="587">
        <v>0</v>
      </c>
      <c r="I216" s="587">
        <v>0</v>
      </c>
      <c r="J216" s="587">
        <v>0</v>
      </c>
      <c r="K216" s="587">
        <v>0</v>
      </c>
      <c r="L216" s="587">
        <v>0</v>
      </c>
      <c r="M216" s="583">
        <f t="shared" si="6"/>
        <v>0</v>
      </c>
      <c r="N216" s="582">
        <v>0</v>
      </c>
      <c r="P216" s="582" t="s">
        <v>801</v>
      </c>
      <c r="Q216" s="582">
        <f t="shared" si="7"/>
        <v>0</v>
      </c>
    </row>
    <row r="217" spans="1:17">
      <c r="A217" s="582" t="s">
        <v>596</v>
      </c>
      <c r="B217" s="582" t="s">
        <v>23</v>
      </c>
      <c r="C217" s="582" t="s">
        <v>24</v>
      </c>
      <c r="D217" s="2">
        <v>206</v>
      </c>
      <c r="E217" s="587">
        <v>282</v>
      </c>
      <c r="F217" s="587">
        <v>300</v>
      </c>
      <c r="G217" s="587">
        <v>300</v>
      </c>
      <c r="H217" s="587">
        <v>297</v>
      </c>
      <c r="I217" s="587">
        <v>300</v>
      </c>
      <c r="J217" s="587">
        <v>301</v>
      </c>
      <c r="K217" s="587">
        <v>304</v>
      </c>
      <c r="L217" s="587">
        <v>0</v>
      </c>
      <c r="M217" s="583">
        <f t="shared" si="6"/>
        <v>297.70999999999998</v>
      </c>
      <c r="N217" s="582">
        <v>260432.51</v>
      </c>
      <c r="P217" s="582" t="s">
        <v>621</v>
      </c>
      <c r="Q217" s="582">
        <f t="shared" si="7"/>
        <v>1</v>
      </c>
    </row>
    <row r="218" spans="1:17">
      <c r="A218" s="582" t="s">
        <v>599</v>
      </c>
      <c r="B218" s="582" t="s">
        <v>64</v>
      </c>
      <c r="C218" s="582" t="s">
        <v>65</v>
      </c>
      <c r="D218" s="2">
        <v>51</v>
      </c>
      <c r="E218" s="587">
        <v>61</v>
      </c>
      <c r="F218" s="587">
        <v>60</v>
      </c>
      <c r="G218" s="587">
        <v>59</v>
      </c>
      <c r="H218" s="587">
        <v>60</v>
      </c>
      <c r="I218" s="587">
        <v>59</v>
      </c>
      <c r="J218" s="587">
        <v>59</v>
      </c>
      <c r="K218" s="587">
        <v>55</v>
      </c>
      <c r="L218" s="587">
        <v>0</v>
      </c>
      <c r="M218" s="583">
        <f t="shared" si="6"/>
        <v>59</v>
      </c>
      <c r="N218" s="582">
        <v>51523.69</v>
      </c>
      <c r="P218" s="582" t="s">
        <v>621</v>
      </c>
      <c r="Q218" s="582">
        <f t="shared" si="7"/>
        <v>1</v>
      </c>
    </row>
    <row r="219" spans="1:17">
      <c r="A219" s="582" t="s">
        <v>603</v>
      </c>
      <c r="B219" s="582" t="s">
        <v>8</v>
      </c>
      <c r="C219" s="582" t="s">
        <v>9</v>
      </c>
      <c r="D219" s="2">
        <v>0</v>
      </c>
      <c r="E219" s="587">
        <v>0</v>
      </c>
      <c r="F219" s="587">
        <v>0</v>
      </c>
      <c r="G219" s="587">
        <v>0</v>
      </c>
      <c r="H219" s="587">
        <v>0</v>
      </c>
      <c r="I219" s="587">
        <v>0</v>
      </c>
      <c r="J219" s="587">
        <v>0</v>
      </c>
      <c r="K219" s="587">
        <v>0</v>
      </c>
      <c r="L219" s="587">
        <v>0</v>
      </c>
      <c r="M219" s="583">
        <f t="shared" si="6"/>
        <v>0</v>
      </c>
      <c r="N219" s="582">
        <v>0</v>
      </c>
      <c r="P219" s="582" t="s">
        <v>801</v>
      </c>
      <c r="Q219" s="582">
        <f t="shared" si="7"/>
        <v>0</v>
      </c>
    </row>
    <row r="220" spans="1:17">
      <c r="A220" s="582" t="s">
        <v>603</v>
      </c>
      <c r="B220" s="582" t="s">
        <v>446</v>
      </c>
      <c r="C220" s="582" t="s">
        <v>447</v>
      </c>
      <c r="D220" s="2">
        <v>9</v>
      </c>
      <c r="E220" s="587">
        <v>9</v>
      </c>
      <c r="F220" s="587">
        <v>9</v>
      </c>
      <c r="G220" s="587">
        <v>9</v>
      </c>
      <c r="H220" s="587">
        <v>9</v>
      </c>
      <c r="I220" s="587">
        <v>9</v>
      </c>
      <c r="J220" s="587">
        <v>9</v>
      </c>
      <c r="K220" s="587">
        <v>10</v>
      </c>
      <c r="L220" s="587">
        <v>0</v>
      </c>
      <c r="M220" s="583">
        <f t="shared" si="6"/>
        <v>9.14</v>
      </c>
      <c r="N220" s="582">
        <v>8129.21</v>
      </c>
      <c r="P220" s="582" t="s">
        <v>621</v>
      </c>
      <c r="Q220" s="582">
        <f t="shared" si="7"/>
        <v>1</v>
      </c>
    </row>
    <row r="221" spans="1:17">
      <c r="A221" s="582" t="s">
        <v>597</v>
      </c>
      <c r="B221" s="582" t="s">
        <v>193</v>
      </c>
      <c r="C221" s="582" t="s">
        <v>194</v>
      </c>
      <c r="D221" s="2">
        <v>45</v>
      </c>
      <c r="E221" s="587">
        <v>52</v>
      </c>
      <c r="F221" s="587">
        <v>54</v>
      </c>
      <c r="G221" s="587">
        <v>48</v>
      </c>
      <c r="H221" s="587">
        <v>47</v>
      </c>
      <c r="I221" s="587">
        <v>46</v>
      </c>
      <c r="J221" s="587">
        <v>49</v>
      </c>
      <c r="K221" s="587">
        <v>51</v>
      </c>
      <c r="L221" s="587">
        <v>0</v>
      </c>
      <c r="M221" s="583">
        <f t="shared" si="6"/>
        <v>49.57</v>
      </c>
      <c r="N221" s="582">
        <v>42725.81</v>
      </c>
      <c r="P221" s="582" t="s">
        <v>621</v>
      </c>
      <c r="Q221" s="582">
        <f t="shared" si="7"/>
        <v>1</v>
      </c>
    </row>
    <row r="222" spans="1:17">
      <c r="A222" s="582" t="s">
        <v>594</v>
      </c>
      <c r="B222" s="582" t="s">
        <v>484</v>
      </c>
      <c r="C222" s="582" t="s">
        <v>485</v>
      </c>
      <c r="D222" s="2">
        <v>112</v>
      </c>
      <c r="E222" s="587">
        <v>112</v>
      </c>
      <c r="F222" s="587">
        <v>112</v>
      </c>
      <c r="G222" s="587">
        <v>112</v>
      </c>
      <c r="H222" s="587">
        <v>107</v>
      </c>
      <c r="I222" s="587">
        <v>107</v>
      </c>
      <c r="J222" s="587">
        <v>106</v>
      </c>
      <c r="K222" s="587">
        <v>105</v>
      </c>
      <c r="L222" s="587">
        <v>0</v>
      </c>
      <c r="M222" s="583">
        <f t="shared" si="6"/>
        <v>108.71</v>
      </c>
      <c r="N222" s="582">
        <v>94411.19</v>
      </c>
      <c r="P222" s="582" t="s">
        <v>621</v>
      </c>
      <c r="Q222" s="582">
        <f t="shared" si="7"/>
        <v>1</v>
      </c>
    </row>
    <row r="223" spans="1:17">
      <c r="A223" s="582" t="s">
        <v>599</v>
      </c>
      <c r="B223" s="582" t="s">
        <v>244</v>
      </c>
      <c r="C223" s="582" t="s">
        <v>245</v>
      </c>
      <c r="D223" s="2">
        <v>11</v>
      </c>
      <c r="E223" s="587">
        <v>11</v>
      </c>
      <c r="F223" s="587">
        <v>11</v>
      </c>
      <c r="G223" s="587">
        <v>11</v>
      </c>
      <c r="H223" s="587">
        <v>11</v>
      </c>
      <c r="I223" s="587">
        <v>9</v>
      </c>
      <c r="J223" s="587">
        <v>8</v>
      </c>
      <c r="K223" s="587">
        <v>8</v>
      </c>
      <c r="L223" s="587">
        <v>0</v>
      </c>
      <c r="M223" s="583">
        <f t="shared" si="6"/>
        <v>9.86</v>
      </c>
      <c r="N223" s="582">
        <v>9591.85</v>
      </c>
      <c r="P223" s="582" t="s">
        <v>621</v>
      </c>
      <c r="Q223" s="582">
        <f t="shared" si="7"/>
        <v>1</v>
      </c>
    </row>
    <row r="224" spans="1:17">
      <c r="A224" s="582" t="s">
        <v>603</v>
      </c>
      <c r="B224" s="582" t="s">
        <v>537</v>
      </c>
      <c r="C224" s="582" t="s">
        <v>538</v>
      </c>
      <c r="D224" s="2">
        <v>0</v>
      </c>
      <c r="E224" s="587">
        <v>0</v>
      </c>
      <c r="F224" s="587">
        <v>0</v>
      </c>
      <c r="G224" s="587">
        <v>0</v>
      </c>
      <c r="H224" s="587">
        <v>0</v>
      </c>
      <c r="I224" s="587">
        <v>0</v>
      </c>
      <c r="J224" s="587">
        <v>0</v>
      </c>
      <c r="K224" s="587">
        <v>0</v>
      </c>
      <c r="L224" s="587">
        <v>0</v>
      </c>
      <c r="M224" s="583">
        <f t="shared" si="6"/>
        <v>0</v>
      </c>
      <c r="N224" s="582">
        <v>0</v>
      </c>
      <c r="P224" s="582" t="s">
        <v>801</v>
      </c>
      <c r="Q224" s="582">
        <f t="shared" si="7"/>
        <v>0</v>
      </c>
    </row>
    <row r="225" spans="1:17">
      <c r="A225" s="582" t="s">
        <v>605</v>
      </c>
      <c r="B225" s="582" t="s">
        <v>123</v>
      </c>
      <c r="C225" s="582" t="s">
        <v>124</v>
      </c>
      <c r="D225" s="2">
        <v>651</v>
      </c>
      <c r="E225" s="587">
        <v>653</v>
      </c>
      <c r="F225" s="587">
        <v>647</v>
      </c>
      <c r="G225" s="587">
        <v>639</v>
      </c>
      <c r="H225" s="587">
        <v>635</v>
      </c>
      <c r="I225" s="587">
        <v>626</v>
      </c>
      <c r="J225" s="587">
        <v>621</v>
      </c>
      <c r="K225" s="587">
        <v>617</v>
      </c>
      <c r="L225" s="587">
        <v>0</v>
      </c>
      <c r="M225" s="583">
        <f t="shared" si="6"/>
        <v>634</v>
      </c>
      <c r="N225" s="582">
        <v>537242.55000000005</v>
      </c>
      <c r="P225" s="582" t="s">
        <v>621</v>
      </c>
      <c r="Q225" s="582">
        <f t="shared" si="7"/>
        <v>1</v>
      </c>
    </row>
    <row r="226" spans="1:17">
      <c r="A226" s="582" t="s">
        <v>595</v>
      </c>
      <c r="B226" s="582" t="s">
        <v>375</v>
      </c>
      <c r="C226" s="582" t="s">
        <v>614</v>
      </c>
      <c r="D226" s="2">
        <v>0</v>
      </c>
      <c r="E226" s="587">
        <v>38</v>
      </c>
      <c r="F226" s="587">
        <v>47</v>
      </c>
      <c r="G226" s="587">
        <v>46</v>
      </c>
      <c r="H226" s="587">
        <v>45</v>
      </c>
      <c r="I226" s="587">
        <v>45</v>
      </c>
      <c r="J226" s="587">
        <v>43</v>
      </c>
      <c r="K226" s="587">
        <v>44</v>
      </c>
      <c r="L226" s="587">
        <v>0</v>
      </c>
      <c r="M226" s="583">
        <f t="shared" si="6"/>
        <v>44</v>
      </c>
      <c r="N226" s="582">
        <v>37465.69</v>
      </c>
      <c r="P226" s="582" t="s">
        <v>621</v>
      </c>
      <c r="Q226" s="582">
        <f t="shared" si="7"/>
        <v>1</v>
      </c>
    </row>
    <row r="227" spans="1:17">
      <c r="A227" s="582" t="s">
        <v>594</v>
      </c>
      <c r="B227" s="582" t="s">
        <v>149</v>
      </c>
      <c r="C227" s="582" t="s">
        <v>150</v>
      </c>
      <c r="D227" s="2">
        <v>0</v>
      </c>
      <c r="E227" s="587">
        <v>0</v>
      </c>
      <c r="F227" s="587">
        <v>0</v>
      </c>
      <c r="G227" s="587">
        <v>0</v>
      </c>
      <c r="H227" s="587">
        <v>0</v>
      </c>
      <c r="I227" s="587">
        <v>0</v>
      </c>
      <c r="J227" s="587">
        <v>0</v>
      </c>
      <c r="K227" s="587">
        <v>0</v>
      </c>
      <c r="L227" s="587">
        <v>0</v>
      </c>
      <c r="M227" s="583">
        <f t="shared" si="6"/>
        <v>0</v>
      </c>
      <c r="N227" s="582">
        <v>0</v>
      </c>
      <c r="P227" s="582" t="s">
        <v>801</v>
      </c>
      <c r="Q227" s="582">
        <f t="shared" si="7"/>
        <v>0</v>
      </c>
    </row>
    <row r="228" spans="1:17">
      <c r="A228" s="582" t="s">
        <v>597</v>
      </c>
      <c r="B228" s="582" t="s">
        <v>173</v>
      </c>
      <c r="C228" s="582" t="s">
        <v>174</v>
      </c>
      <c r="D228" s="2">
        <v>5160</v>
      </c>
      <c r="E228" s="587">
        <v>5502</v>
      </c>
      <c r="F228" s="587">
        <v>5597</v>
      </c>
      <c r="G228" s="587">
        <v>5594</v>
      </c>
      <c r="H228" s="587">
        <v>5591</v>
      </c>
      <c r="I228" s="587">
        <v>5638</v>
      </c>
      <c r="J228" s="587">
        <v>5669</v>
      </c>
      <c r="K228" s="587">
        <v>5693</v>
      </c>
      <c r="L228" s="587">
        <v>0</v>
      </c>
      <c r="M228" s="583">
        <f t="shared" si="6"/>
        <v>5612</v>
      </c>
      <c r="N228" s="582">
        <v>4785538.2</v>
      </c>
      <c r="P228" s="582" t="s">
        <v>621</v>
      </c>
      <c r="Q228" s="582">
        <f t="shared" si="7"/>
        <v>1</v>
      </c>
    </row>
    <row r="229" spans="1:17">
      <c r="A229" s="582" t="s">
        <v>595</v>
      </c>
      <c r="B229" s="582" t="s">
        <v>379</v>
      </c>
      <c r="C229" s="582" t="s">
        <v>615</v>
      </c>
      <c r="D229" s="2">
        <v>142</v>
      </c>
      <c r="E229" s="587">
        <v>199</v>
      </c>
      <c r="F229" s="587">
        <v>205</v>
      </c>
      <c r="G229" s="587">
        <v>207</v>
      </c>
      <c r="H229" s="587">
        <v>209</v>
      </c>
      <c r="I229" s="587">
        <v>209</v>
      </c>
      <c r="J229" s="587">
        <v>206</v>
      </c>
      <c r="K229" s="587">
        <v>211</v>
      </c>
      <c r="L229" s="587">
        <v>0</v>
      </c>
      <c r="M229" s="583">
        <f t="shared" si="6"/>
        <v>206.57</v>
      </c>
      <c r="N229" s="582">
        <v>183642.43</v>
      </c>
      <c r="P229" s="582" t="s">
        <v>621</v>
      </c>
      <c r="Q229" s="582">
        <f t="shared" si="7"/>
        <v>1</v>
      </c>
    </row>
    <row r="230" spans="1:17">
      <c r="A230" s="582" t="s">
        <v>605</v>
      </c>
      <c r="B230" s="582" t="s">
        <v>551</v>
      </c>
      <c r="C230" s="582" t="s">
        <v>552</v>
      </c>
      <c r="D230" s="2">
        <v>159</v>
      </c>
      <c r="E230" s="587">
        <v>201</v>
      </c>
      <c r="F230" s="587">
        <v>206</v>
      </c>
      <c r="G230" s="587">
        <v>205</v>
      </c>
      <c r="H230" s="587">
        <v>203</v>
      </c>
      <c r="I230" s="587">
        <v>202</v>
      </c>
      <c r="J230" s="587">
        <v>203</v>
      </c>
      <c r="K230" s="587">
        <v>204</v>
      </c>
      <c r="L230" s="587">
        <v>0</v>
      </c>
      <c r="M230" s="583">
        <f t="shared" si="6"/>
        <v>203.43</v>
      </c>
      <c r="N230" s="582">
        <v>180136.83</v>
      </c>
      <c r="P230" s="582" t="s">
        <v>621</v>
      </c>
      <c r="Q230" s="582">
        <f t="shared" si="7"/>
        <v>1</v>
      </c>
    </row>
    <row r="231" spans="1:17">
      <c r="A231" s="582" t="s">
        <v>603</v>
      </c>
      <c r="B231" s="582" t="s">
        <v>340</v>
      </c>
      <c r="C231" s="582" t="s">
        <v>341</v>
      </c>
      <c r="D231" s="2">
        <v>0</v>
      </c>
      <c r="E231" s="587">
        <v>0</v>
      </c>
      <c r="F231" s="587">
        <v>0</v>
      </c>
      <c r="G231" s="587">
        <v>0</v>
      </c>
      <c r="H231" s="587">
        <v>0</v>
      </c>
      <c r="I231" s="587">
        <v>0</v>
      </c>
      <c r="J231" s="587">
        <v>0</v>
      </c>
      <c r="K231" s="587">
        <v>0</v>
      </c>
      <c r="L231" s="587">
        <v>0</v>
      </c>
      <c r="M231" s="583">
        <f t="shared" si="6"/>
        <v>0</v>
      </c>
      <c r="N231" s="582">
        <v>0</v>
      </c>
      <c r="P231" s="582" t="s">
        <v>801</v>
      </c>
      <c r="Q231" s="582">
        <f t="shared" si="7"/>
        <v>0</v>
      </c>
    </row>
    <row r="232" spans="1:17">
      <c r="A232" s="582" t="s">
        <v>600</v>
      </c>
      <c r="B232" s="582" t="s">
        <v>43</v>
      </c>
      <c r="C232" s="582" t="s">
        <v>44</v>
      </c>
      <c r="D232" s="2">
        <v>18</v>
      </c>
      <c r="E232" s="587">
        <v>37</v>
      </c>
      <c r="F232" s="587">
        <v>37</v>
      </c>
      <c r="G232" s="587">
        <v>39</v>
      </c>
      <c r="H232" s="587">
        <v>38</v>
      </c>
      <c r="I232" s="587">
        <v>38</v>
      </c>
      <c r="J232" s="587">
        <v>38</v>
      </c>
      <c r="K232" s="587">
        <v>38</v>
      </c>
      <c r="L232" s="587">
        <v>0</v>
      </c>
      <c r="M232" s="583">
        <f t="shared" si="6"/>
        <v>37.86</v>
      </c>
      <c r="N232" s="582">
        <v>33169.230000000003</v>
      </c>
      <c r="P232" s="582" t="s">
        <v>621</v>
      </c>
      <c r="Q232" s="582">
        <f t="shared" si="7"/>
        <v>1</v>
      </c>
    </row>
    <row r="233" spans="1:17">
      <c r="A233" s="582" t="s">
        <v>595</v>
      </c>
      <c r="B233" s="582" t="s">
        <v>371</v>
      </c>
      <c r="C233" s="582" t="s">
        <v>670</v>
      </c>
      <c r="D233" s="2">
        <v>0</v>
      </c>
      <c r="E233" s="587">
        <v>0</v>
      </c>
      <c r="F233" s="587">
        <v>0</v>
      </c>
      <c r="G233" s="587">
        <v>0</v>
      </c>
      <c r="H233" s="587">
        <v>0</v>
      </c>
      <c r="I233" s="587">
        <v>0</v>
      </c>
      <c r="J233" s="587">
        <v>0</v>
      </c>
      <c r="K233" s="587">
        <v>0</v>
      </c>
      <c r="L233" s="587">
        <v>0</v>
      </c>
      <c r="M233" s="583">
        <f t="shared" si="6"/>
        <v>0</v>
      </c>
      <c r="N233" s="582">
        <v>0</v>
      </c>
      <c r="P233" s="582" t="s">
        <v>801</v>
      </c>
      <c r="Q233" s="582">
        <f t="shared" si="7"/>
        <v>0</v>
      </c>
    </row>
    <row r="234" spans="1:17">
      <c r="A234" s="582" t="s">
        <v>594</v>
      </c>
      <c r="B234" s="582" t="s">
        <v>299</v>
      </c>
      <c r="C234" s="582" t="s">
        <v>300</v>
      </c>
      <c r="D234" s="2">
        <v>304</v>
      </c>
      <c r="E234" s="587">
        <v>341</v>
      </c>
      <c r="F234" s="587">
        <v>343</v>
      </c>
      <c r="G234" s="587">
        <v>342</v>
      </c>
      <c r="H234" s="587">
        <v>340</v>
      </c>
      <c r="I234" s="587">
        <v>341</v>
      </c>
      <c r="J234" s="587">
        <v>337</v>
      </c>
      <c r="K234" s="587">
        <v>338</v>
      </c>
      <c r="L234" s="587">
        <v>0</v>
      </c>
      <c r="M234" s="583">
        <f t="shared" si="6"/>
        <v>340.29</v>
      </c>
      <c r="N234" s="582">
        <v>299707.15000000002</v>
      </c>
      <c r="P234" s="582" t="s">
        <v>621</v>
      </c>
      <c r="Q234" s="582">
        <f t="shared" si="7"/>
        <v>1</v>
      </c>
    </row>
    <row r="235" spans="1:17">
      <c r="A235" s="582" t="s">
        <v>597</v>
      </c>
      <c r="B235" s="582" t="s">
        <v>203</v>
      </c>
      <c r="C235" s="582" t="s">
        <v>204</v>
      </c>
      <c r="D235" s="2">
        <v>554</v>
      </c>
      <c r="E235" s="587">
        <v>559</v>
      </c>
      <c r="F235" s="587">
        <v>571</v>
      </c>
      <c r="G235" s="587">
        <v>571</v>
      </c>
      <c r="H235" s="587">
        <v>569</v>
      </c>
      <c r="I235" s="587">
        <v>575</v>
      </c>
      <c r="J235" s="587">
        <v>585</v>
      </c>
      <c r="K235" s="587">
        <v>593</v>
      </c>
      <c r="L235" s="587">
        <v>0</v>
      </c>
      <c r="M235" s="583">
        <f t="shared" si="6"/>
        <v>574.71</v>
      </c>
      <c r="N235" s="582">
        <v>503501.35</v>
      </c>
      <c r="P235" s="582" t="s">
        <v>621</v>
      </c>
      <c r="Q235" s="582">
        <f t="shared" si="7"/>
        <v>1</v>
      </c>
    </row>
    <row r="236" spans="1:17">
      <c r="A236" s="582" t="s">
        <v>599</v>
      </c>
      <c r="B236" s="582" t="s">
        <v>387</v>
      </c>
      <c r="C236" s="582" t="s">
        <v>388</v>
      </c>
      <c r="D236" s="2">
        <v>0</v>
      </c>
      <c r="E236" s="587">
        <v>0</v>
      </c>
      <c r="F236" s="587">
        <v>0</v>
      </c>
      <c r="G236" s="587">
        <v>0</v>
      </c>
      <c r="H236" s="587">
        <v>0</v>
      </c>
      <c r="I236" s="587">
        <v>0</v>
      </c>
      <c r="J236" s="587">
        <v>0</v>
      </c>
      <c r="K236" s="587">
        <v>0</v>
      </c>
      <c r="L236" s="587">
        <v>0</v>
      </c>
      <c r="M236" s="583">
        <f t="shared" si="6"/>
        <v>0</v>
      </c>
      <c r="N236" s="582">
        <v>0</v>
      </c>
      <c r="P236" s="582" t="s">
        <v>801</v>
      </c>
      <c r="Q236" s="582">
        <f t="shared" si="7"/>
        <v>0</v>
      </c>
    </row>
    <row r="237" spans="1:17">
      <c r="A237" s="582" t="s">
        <v>597</v>
      </c>
      <c r="B237" s="582" t="s">
        <v>187</v>
      </c>
      <c r="C237" s="582" t="s">
        <v>188</v>
      </c>
      <c r="D237" s="2">
        <v>0</v>
      </c>
      <c r="E237" s="587">
        <v>0</v>
      </c>
      <c r="F237" s="587">
        <v>0</v>
      </c>
      <c r="G237" s="587">
        <v>0</v>
      </c>
      <c r="H237" s="587">
        <v>0</v>
      </c>
      <c r="I237" s="587">
        <v>0</v>
      </c>
      <c r="J237" s="587">
        <v>0</v>
      </c>
      <c r="K237" s="587">
        <v>0</v>
      </c>
      <c r="L237" s="587">
        <v>0</v>
      </c>
      <c r="M237" s="583">
        <f t="shared" si="6"/>
        <v>0</v>
      </c>
      <c r="N237" s="582">
        <v>0</v>
      </c>
      <c r="P237" s="582" t="s">
        <v>801</v>
      </c>
      <c r="Q237" s="582">
        <f t="shared" si="7"/>
        <v>0</v>
      </c>
    </row>
    <row r="238" spans="1:17">
      <c r="A238" s="582" t="s">
        <v>595</v>
      </c>
      <c r="B238" s="582" t="s">
        <v>411</v>
      </c>
      <c r="C238" s="582" t="s">
        <v>412</v>
      </c>
      <c r="D238" s="2">
        <v>195</v>
      </c>
      <c r="E238" s="587">
        <v>256</v>
      </c>
      <c r="F238" s="587">
        <v>250</v>
      </c>
      <c r="G238" s="587">
        <v>254</v>
      </c>
      <c r="H238" s="587">
        <v>251</v>
      </c>
      <c r="I238" s="587">
        <v>260</v>
      </c>
      <c r="J238" s="587">
        <v>258</v>
      </c>
      <c r="K238" s="587">
        <v>256</v>
      </c>
      <c r="L238" s="587">
        <v>0</v>
      </c>
      <c r="M238" s="583">
        <f t="shared" si="6"/>
        <v>255</v>
      </c>
      <c r="N238" s="582">
        <v>223545.84</v>
      </c>
      <c r="P238" s="582" t="s">
        <v>621</v>
      </c>
      <c r="Q238" s="582">
        <f t="shared" si="7"/>
        <v>1</v>
      </c>
    </row>
    <row r="239" spans="1:17">
      <c r="A239" s="582" t="s">
        <v>597</v>
      </c>
      <c r="B239" s="582" t="s">
        <v>199</v>
      </c>
      <c r="C239" s="582" t="s">
        <v>200</v>
      </c>
      <c r="D239" s="2">
        <v>101</v>
      </c>
      <c r="E239" s="587">
        <v>101</v>
      </c>
      <c r="F239" s="587">
        <v>100</v>
      </c>
      <c r="G239" s="587">
        <v>103</v>
      </c>
      <c r="H239" s="587">
        <v>105</v>
      </c>
      <c r="I239" s="587">
        <v>98</v>
      </c>
      <c r="J239" s="587">
        <v>99</v>
      </c>
      <c r="K239" s="587">
        <v>100</v>
      </c>
      <c r="L239" s="587">
        <v>0</v>
      </c>
      <c r="M239" s="583">
        <f t="shared" si="6"/>
        <v>100.86</v>
      </c>
      <c r="N239" s="582">
        <v>84960.93</v>
      </c>
      <c r="P239" s="582" t="s">
        <v>621</v>
      </c>
      <c r="Q239" s="582">
        <f t="shared" si="7"/>
        <v>1</v>
      </c>
    </row>
    <row r="240" spans="1:17">
      <c r="A240" s="582" t="s">
        <v>601</v>
      </c>
      <c r="B240" s="582" t="s">
        <v>121</v>
      </c>
      <c r="C240" s="582" t="s">
        <v>122</v>
      </c>
      <c r="D240" s="2">
        <v>72</v>
      </c>
      <c r="E240" s="587">
        <v>70</v>
      </c>
      <c r="F240" s="587">
        <v>74</v>
      </c>
      <c r="G240" s="587">
        <v>71</v>
      </c>
      <c r="H240" s="587">
        <v>85</v>
      </c>
      <c r="I240" s="587">
        <v>84</v>
      </c>
      <c r="J240" s="587">
        <v>82</v>
      </c>
      <c r="K240" s="587">
        <v>79</v>
      </c>
      <c r="L240" s="587">
        <v>0</v>
      </c>
      <c r="M240" s="583">
        <f t="shared" si="6"/>
        <v>77.86</v>
      </c>
      <c r="N240" s="582">
        <v>64984.88</v>
      </c>
      <c r="P240" s="582" t="s">
        <v>621</v>
      </c>
      <c r="Q240" s="582">
        <f t="shared" si="7"/>
        <v>1</v>
      </c>
    </row>
    <row r="241" spans="1:17">
      <c r="A241" s="582" t="s">
        <v>594</v>
      </c>
      <c r="B241" s="582" t="s">
        <v>329</v>
      </c>
      <c r="C241" s="582" t="s">
        <v>330</v>
      </c>
      <c r="D241" s="2">
        <v>74</v>
      </c>
      <c r="E241" s="587">
        <v>75</v>
      </c>
      <c r="F241" s="587">
        <v>70</v>
      </c>
      <c r="G241" s="587">
        <v>69</v>
      </c>
      <c r="H241" s="587">
        <v>71</v>
      </c>
      <c r="I241" s="587">
        <v>73</v>
      </c>
      <c r="J241" s="587">
        <v>73</v>
      </c>
      <c r="K241" s="587">
        <v>73</v>
      </c>
      <c r="L241" s="587">
        <v>0</v>
      </c>
      <c r="M241" s="583">
        <f t="shared" si="6"/>
        <v>72</v>
      </c>
      <c r="N241" s="582">
        <v>62388.53</v>
      </c>
      <c r="P241" s="582" t="s">
        <v>621</v>
      </c>
      <c r="Q241" s="582">
        <f t="shared" si="7"/>
        <v>1</v>
      </c>
    </row>
    <row r="242" spans="1:17">
      <c r="A242" s="582" t="s">
        <v>600</v>
      </c>
      <c r="B242" s="582" t="s">
        <v>218</v>
      </c>
      <c r="C242" s="582" t="s">
        <v>219</v>
      </c>
      <c r="D242" s="2">
        <v>65</v>
      </c>
      <c r="E242" s="587">
        <v>65</v>
      </c>
      <c r="F242" s="587">
        <v>65</v>
      </c>
      <c r="G242" s="587">
        <v>71</v>
      </c>
      <c r="H242" s="587">
        <v>72</v>
      </c>
      <c r="I242" s="587">
        <v>71</v>
      </c>
      <c r="J242" s="587">
        <v>76</v>
      </c>
      <c r="K242" s="587">
        <v>77</v>
      </c>
      <c r="L242" s="587">
        <v>0</v>
      </c>
      <c r="M242" s="583">
        <f t="shared" si="6"/>
        <v>71</v>
      </c>
      <c r="N242" s="582">
        <v>62644.44</v>
      </c>
      <c r="P242" s="582" t="s">
        <v>621</v>
      </c>
      <c r="Q242" s="582">
        <f t="shared" si="7"/>
        <v>1</v>
      </c>
    </row>
    <row r="243" spans="1:17">
      <c r="A243" s="582" t="s">
        <v>595</v>
      </c>
      <c r="B243" s="582" t="s">
        <v>161</v>
      </c>
      <c r="C243" s="582" t="s">
        <v>162</v>
      </c>
      <c r="D243" s="2">
        <v>7</v>
      </c>
      <c r="E243" s="587">
        <v>9</v>
      </c>
      <c r="F243" s="587">
        <v>10</v>
      </c>
      <c r="G243" s="587">
        <v>10</v>
      </c>
      <c r="H243" s="587">
        <v>10</v>
      </c>
      <c r="I243" s="587">
        <v>10</v>
      </c>
      <c r="J243" s="587">
        <v>10</v>
      </c>
      <c r="K243" s="587">
        <v>10</v>
      </c>
      <c r="L243" s="587">
        <v>0</v>
      </c>
      <c r="M243" s="583">
        <f t="shared" si="6"/>
        <v>9.86</v>
      </c>
      <c r="N243" s="582">
        <v>9388.15</v>
      </c>
      <c r="P243" s="582" t="s">
        <v>621</v>
      </c>
      <c r="Q243" s="582">
        <f t="shared" si="7"/>
        <v>1</v>
      </c>
    </row>
    <row r="244" spans="1:17">
      <c r="A244" s="582" t="s">
        <v>594</v>
      </c>
      <c r="B244" s="582" t="s">
        <v>295</v>
      </c>
      <c r="C244" s="582" t="s">
        <v>296</v>
      </c>
      <c r="D244" s="2">
        <v>2</v>
      </c>
      <c r="E244" s="587">
        <v>2</v>
      </c>
      <c r="F244" s="587">
        <v>3</v>
      </c>
      <c r="G244" s="587">
        <v>3</v>
      </c>
      <c r="H244" s="587">
        <v>3</v>
      </c>
      <c r="I244" s="587">
        <v>3</v>
      </c>
      <c r="J244" s="587">
        <v>3</v>
      </c>
      <c r="K244" s="587">
        <v>3</v>
      </c>
      <c r="L244" s="587">
        <v>0</v>
      </c>
      <c r="M244" s="583">
        <f t="shared" si="6"/>
        <v>2.86</v>
      </c>
      <c r="N244" s="582">
        <v>0</v>
      </c>
      <c r="P244" s="582" t="s">
        <v>801</v>
      </c>
      <c r="Q244" s="582">
        <f t="shared" si="7"/>
        <v>1</v>
      </c>
    </row>
    <row r="245" spans="1:17">
      <c r="A245" s="582" t="s">
        <v>603</v>
      </c>
      <c r="B245" s="582" t="s">
        <v>422</v>
      </c>
      <c r="C245" s="582" t="s">
        <v>423</v>
      </c>
      <c r="D245" s="2">
        <v>1225</v>
      </c>
      <c r="E245" s="587">
        <v>1313</v>
      </c>
      <c r="F245" s="587">
        <v>1292</v>
      </c>
      <c r="G245" s="587">
        <v>1298</v>
      </c>
      <c r="H245" s="587">
        <v>1300</v>
      </c>
      <c r="I245" s="587">
        <v>1284</v>
      </c>
      <c r="J245" s="587">
        <v>1293</v>
      </c>
      <c r="K245" s="587">
        <v>1293</v>
      </c>
      <c r="L245" s="587">
        <v>0</v>
      </c>
      <c r="M245" s="583">
        <f t="shared" si="6"/>
        <v>1296.1400000000001</v>
      </c>
      <c r="N245" s="582">
        <v>1156373.8400000001</v>
      </c>
      <c r="P245" s="582" t="s">
        <v>621</v>
      </c>
      <c r="Q245" s="582">
        <f t="shared" si="7"/>
        <v>1</v>
      </c>
    </row>
    <row r="246" spans="1:17">
      <c r="A246" s="582" t="s">
        <v>603</v>
      </c>
      <c r="B246" s="582" t="s">
        <v>280</v>
      </c>
      <c r="C246" s="582" t="s">
        <v>281</v>
      </c>
      <c r="D246" s="2">
        <v>0</v>
      </c>
      <c r="E246" s="587">
        <v>0</v>
      </c>
      <c r="F246" s="587">
        <v>0</v>
      </c>
      <c r="G246" s="587">
        <v>0</v>
      </c>
      <c r="H246" s="587">
        <v>0</v>
      </c>
      <c r="I246" s="587">
        <v>0</v>
      </c>
      <c r="J246" s="587">
        <v>0</v>
      </c>
      <c r="K246" s="587">
        <v>0</v>
      </c>
      <c r="L246" s="587">
        <v>0</v>
      </c>
      <c r="M246" s="583">
        <f t="shared" si="6"/>
        <v>0</v>
      </c>
      <c r="N246" s="582">
        <v>0</v>
      </c>
      <c r="P246" s="582" t="s">
        <v>801</v>
      </c>
      <c r="Q246" s="582">
        <f t="shared" si="7"/>
        <v>0</v>
      </c>
    </row>
    <row r="247" spans="1:17">
      <c r="A247" s="582" t="s">
        <v>603</v>
      </c>
      <c r="B247" s="582" t="s">
        <v>539</v>
      </c>
      <c r="C247" s="582" t="s">
        <v>540</v>
      </c>
      <c r="D247" s="2">
        <v>0</v>
      </c>
      <c r="E247" s="587">
        <v>0</v>
      </c>
      <c r="F247" s="587">
        <v>0</v>
      </c>
      <c r="G247" s="587">
        <v>0</v>
      </c>
      <c r="H247" s="587">
        <v>0</v>
      </c>
      <c r="I247" s="587">
        <v>0</v>
      </c>
      <c r="J247" s="587">
        <v>0</v>
      </c>
      <c r="K247" s="587">
        <v>0</v>
      </c>
      <c r="L247" s="587">
        <v>0</v>
      </c>
      <c r="M247" s="583">
        <f t="shared" si="6"/>
        <v>0</v>
      </c>
      <c r="N247" s="582">
        <v>0</v>
      </c>
      <c r="P247" s="582" t="s">
        <v>801</v>
      </c>
      <c r="Q247" s="582">
        <f t="shared" si="7"/>
        <v>0</v>
      </c>
    </row>
    <row r="248" spans="1:17">
      <c r="A248" s="582" t="s">
        <v>595</v>
      </c>
      <c r="B248" s="582" t="s">
        <v>421</v>
      </c>
      <c r="C248" s="582" t="s">
        <v>616</v>
      </c>
      <c r="D248" s="2">
        <v>88</v>
      </c>
      <c r="E248" s="587">
        <v>95</v>
      </c>
      <c r="F248" s="587">
        <v>91</v>
      </c>
      <c r="G248" s="587">
        <v>89</v>
      </c>
      <c r="H248" s="587">
        <v>88</v>
      </c>
      <c r="I248" s="587">
        <v>83</v>
      </c>
      <c r="J248" s="587">
        <v>87</v>
      </c>
      <c r="K248" s="587">
        <v>84</v>
      </c>
      <c r="L248" s="587">
        <v>0</v>
      </c>
      <c r="M248" s="583">
        <f t="shared" si="6"/>
        <v>88.14</v>
      </c>
      <c r="N248" s="582">
        <v>79560.11</v>
      </c>
      <c r="P248" s="582" t="s">
        <v>621</v>
      </c>
      <c r="Q248" s="582">
        <f t="shared" si="7"/>
        <v>1</v>
      </c>
    </row>
    <row r="249" spans="1:17">
      <c r="A249" s="582" t="s">
        <v>596</v>
      </c>
      <c r="B249" s="582" t="s">
        <v>108</v>
      </c>
      <c r="C249" s="582" t="s">
        <v>109</v>
      </c>
      <c r="D249" s="2">
        <v>0</v>
      </c>
      <c r="E249" s="587">
        <v>0</v>
      </c>
      <c r="F249" s="587">
        <v>0</v>
      </c>
      <c r="G249" s="587">
        <v>0</v>
      </c>
      <c r="H249" s="587">
        <v>0</v>
      </c>
      <c r="I249" s="587">
        <v>0</v>
      </c>
      <c r="J249" s="587">
        <v>0</v>
      </c>
      <c r="K249" s="587">
        <v>0</v>
      </c>
      <c r="L249" s="587">
        <v>0</v>
      </c>
      <c r="M249" s="583">
        <f t="shared" si="6"/>
        <v>0</v>
      </c>
      <c r="N249" s="582">
        <v>0</v>
      </c>
      <c r="P249" s="582" t="s">
        <v>801</v>
      </c>
      <c r="Q249" s="582">
        <f t="shared" si="7"/>
        <v>0</v>
      </c>
    </row>
    <row r="250" spans="1:17">
      <c r="A250" s="582" t="s">
        <v>596</v>
      </c>
      <c r="B250" s="582" t="s">
        <v>68</v>
      </c>
      <c r="C250" s="582" t="s">
        <v>69</v>
      </c>
      <c r="D250" s="2">
        <v>0</v>
      </c>
      <c r="E250" s="587">
        <v>0</v>
      </c>
      <c r="F250" s="587">
        <v>0</v>
      </c>
      <c r="G250" s="587">
        <v>0</v>
      </c>
      <c r="H250" s="587">
        <v>0</v>
      </c>
      <c r="I250" s="587">
        <v>0</v>
      </c>
      <c r="J250" s="587">
        <v>0</v>
      </c>
      <c r="K250" s="587">
        <v>0</v>
      </c>
      <c r="L250" s="587">
        <v>0</v>
      </c>
      <c r="M250" s="583">
        <f t="shared" si="6"/>
        <v>0</v>
      </c>
      <c r="N250" s="582">
        <v>0</v>
      </c>
      <c r="P250" s="582" t="s">
        <v>801</v>
      </c>
      <c r="Q250" s="582">
        <f t="shared" si="7"/>
        <v>0</v>
      </c>
    </row>
    <row r="251" spans="1:17">
      <c r="A251" s="582" t="s">
        <v>601</v>
      </c>
      <c r="B251" s="582" t="s">
        <v>27</v>
      </c>
      <c r="C251" s="582" t="s">
        <v>28</v>
      </c>
      <c r="D251" s="2">
        <v>0</v>
      </c>
      <c r="E251" s="587">
        <v>0</v>
      </c>
      <c r="F251" s="587">
        <v>0</v>
      </c>
      <c r="G251" s="587">
        <v>0</v>
      </c>
      <c r="H251" s="587">
        <v>0</v>
      </c>
      <c r="I251" s="587">
        <v>0</v>
      </c>
      <c r="J251" s="587">
        <v>0</v>
      </c>
      <c r="K251" s="587">
        <v>0</v>
      </c>
      <c r="L251" s="587">
        <v>0</v>
      </c>
      <c r="M251" s="583">
        <f t="shared" si="6"/>
        <v>0</v>
      </c>
      <c r="N251" s="582">
        <v>0</v>
      </c>
      <c r="P251" s="582" t="s">
        <v>801</v>
      </c>
      <c r="Q251" s="582">
        <f t="shared" si="7"/>
        <v>0</v>
      </c>
    </row>
    <row r="252" spans="1:17">
      <c r="A252" s="582" t="s">
        <v>597</v>
      </c>
      <c r="B252" s="582" t="s">
        <v>342</v>
      </c>
      <c r="C252" s="582" t="s">
        <v>617</v>
      </c>
      <c r="D252" s="2">
        <v>44</v>
      </c>
      <c r="E252" s="587">
        <v>44</v>
      </c>
      <c r="F252" s="587">
        <v>56</v>
      </c>
      <c r="G252" s="587">
        <v>56</v>
      </c>
      <c r="H252" s="587">
        <v>56</v>
      </c>
      <c r="I252" s="587">
        <v>57</v>
      </c>
      <c r="J252" s="587">
        <v>51</v>
      </c>
      <c r="K252" s="587">
        <v>54</v>
      </c>
      <c r="L252" s="587">
        <v>0</v>
      </c>
      <c r="M252" s="583">
        <f t="shared" si="6"/>
        <v>53.43</v>
      </c>
      <c r="N252" s="582">
        <v>46670.93</v>
      </c>
      <c r="P252" s="582" t="s">
        <v>621</v>
      </c>
      <c r="Q252" s="582">
        <f t="shared" si="7"/>
        <v>1</v>
      </c>
    </row>
    <row r="253" spans="1:17">
      <c r="A253" s="582" t="s">
        <v>603</v>
      </c>
      <c r="B253" s="582" t="s">
        <v>531</v>
      </c>
      <c r="C253" s="582" t="s">
        <v>532</v>
      </c>
      <c r="D253" s="2">
        <v>0</v>
      </c>
      <c r="E253" s="587">
        <v>0</v>
      </c>
      <c r="F253" s="587">
        <v>0</v>
      </c>
      <c r="G253" s="587">
        <v>0</v>
      </c>
      <c r="H253" s="587">
        <v>0</v>
      </c>
      <c r="I253" s="587">
        <v>0</v>
      </c>
      <c r="J253" s="587">
        <v>0</v>
      </c>
      <c r="K253" s="587">
        <v>0</v>
      </c>
      <c r="L253" s="587">
        <v>0</v>
      </c>
      <c r="M253" s="583">
        <f t="shared" si="6"/>
        <v>0</v>
      </c>
      <c r="N253" s="582">
        <v>0</v>
      </c>
      <c r="P253" s="582" t="s">
        <v>801</v>
      </c>
      <c r="Q253" s="582">
        <f t="shared" si="7"/>
        <v>0</v>
      </c>
    </row>
    <row r="254" spans="1:17">
      <c r="A254" s="582" t="s">
        <v>599</v>
      </c>
      <c r="B254" s="582" t="s">
        <v>393</v>
      </c>
      <c r="C254" s="582" t="s">
        <v>394</v>
      </c>
      <c r="D254" s="2">
        <v>26</v>
      </c>
      <c r="E254" s="587">
        <v>27</v>
      </c>
      <c r="F254" s="587">
        <v>27</v>
      </c>
      <c r="G254" s="587">
        <v>26</v>
      </c>
      <c r="H254" s="587">
        <v>27</v>
      </c>
      <c r="I254" s="587">
        <v>25</v>
      </c>
      <c r="J254" s="587">
        <v>24</v>
      </c>
      <c r="K254" s="587">
        <v>24</v>
      </c>
      <c r="L254" s="587">
        <v>0</v>
      </c>
      <c r="M254" s="583">
        <f t="shared" si="6"/>
        <v>25.71</v>
      </c>
      <c r="N254" s="582">
        <v>23696.52</v>
      </c>
      <c r="P254" s="582" t="s">
        <v>621</v>
      </c>
      <c r="Q254" s="582">
        <f t="shared" si="7"/>
        <v>1</v>
      </c>
    </row>
    <row r="255" spans="1:17">
      <c r="A255" s="582" t="s">
        <v>595</v>
      </c>
      <c r="B255" s="582" t="s">
        <v>415</v>
      </c>
      <c r="C255" s="582" t="s">
        <v>416</v>
      </c>
      <c r="D255" s="2">
        <v>119</v>
      </c>
      <c r="E255" s="587">
        <v>119</v>
      </c>
      <c r="F255" s="587">
        <v>118</v>
      </c>
      <c r="G255" s="587">
        <v>119</v>
      </c>
      <c r="H255" s="587">
        <v>118</v>
      </c>
      <c r="I255" s="587">
        <v>117</v>
      </c>
      <c r="J255" s="587">
        <v>117</v>
      </c>
      <c r="K255" s="587">
        <v>119</v>
      </c>
      <c r="L255" s="587">
        <v>0</v>
      </c>
      <c r="M255" s="583">
        <f t="shared" si="6"/>
        <v>118.14</v>
      </c>
      <c r="N255" s="582">
        <v>103757.13</v>
      </c>
      <c r="P255" s="582" t="s">
        <v>621</v>
      </c>
      <c r="Q255" s="582">
        <f t="shared" si="7"/>
        <v>1</v>
      </c>
    </row>
    <row r="256" spans="1:17">
      <c r="A256" s="582" t="s">
        <v>603</v>
      </c>
      <c r="B256" s="582" t="s">
        <v>460</v>
      </c>
      <c r="C256" s="582" t="s">
        <v>461</v>
      </c>
      <c r="D256" s="2">
        <v>0</v>
      </c>
      <c r="E256" s="587">
        <v>0</v>
      </c>
      <c r="F256" s="587">
        <v>0</v>
      </c>
      <c r="G256" s="587">
        <v>0</v>
      </c>
      <c r="H256" s="587">
        <v>0</v>
      </c>
      <c r="I256" s="587">
        <v>0</v>
      </c>
      <c r="J256" s="587">
        <v>0</v>
      </c>
      <c r="K256" s="587">
        <v>0</v>
      </c>
      <c r="L256" s="587">
        <v>0</v>
      </c>
      <c r="M256" s="583">
        <f t="shared" si="6"/>
        <v>0</v>
      </c>
      <c r="N256" s="582">
        <v>0</v>
      </c>
      <c r="P256" s="582" t="s">
        <v>801</v>
      </c>
      <c r="Q256" s="582">
        <f t="shared" si="7"/>
        <v>0</v>
      </c>
    </row>
    <row r="257" spans="1:17">
      <c r="A257" s="582" t="s">
        <v>597</v>
      </c>
      <c r="B257" s="582" t="s">
        <v>351</v>
      </c>
      <c r="C257" s="582" t="s">
        <v>352</v>
      </c>
      <c r="D257" s="2">
        <v>175</v>
      </c>
      <c r="E257" s="587">
        <v>233</v>
      </c>
      <c r="F257" s="587">
        <v>231</v>
      </c>
      <c r="G257" s="587">
        <v>249</v>
      </c>
      <c r="H257" s="587">
        <v>244</v>
      </c>
      <c r="I257" s="587">
        <v>248</v>
      </c>
      <c r="J257" s="587">
        <v>256</v>
      </c>
      <c r="K257" s="587">
        <v>257</v>
      </c>
      <c r="L257" s="587">
        <v>0</v>
      </c>
      <c r="M257" s="583">
        <f t="shared" si="6"/>
        <v>245.43</v>
      </c>
      <c r="N257" s="582">
        <v>216585.55</v>
      </c>
      <c r="P257" s="582" t="s">
        <v>621</v>
      </c>
      <c r="Q257" s="582">
        <f t="shared" si="7"/>
        <v>1</v>
      </c>
    </row>
    <row r="258" spans="1:17">
      <c r="A258" s="582" t="s">
        <v>605</v>
      </c>
      <c r="B258" s="582" t="s">
        <v>557</v>
      </c>
      <c r="C258" s="582" t="s">
        <v>558</v>
      </c>
      <c r="D258" s="2">
        <v>1881</v>
      </c>
      <c r="E258" s="587">
        <v>1907</v>
      </c>
      <c r="F258" s="587">
        <v>1912</v>
      </c>
      <c r="G258" s="587">
        <v>1912</v>
      </c>
      <c r="H258" s="587">
        <v>1906</v>
      </c>
      <c r="I258" s="587">
        <v>1923</v>
      </c>
      <c r="J258" s="587">
        <v>1929</v>
      </c>
      <c r="K258" s="587">
        <v>1938</v>
      </c>
      <c r="L258" s="587">
        <v>0</v>
      </c>
      <c r="M258" s="583">
        <f t="shared" si="6"/>
        <v>1918.14</v>
      </c>
      <c r="N258" s="582">
        <v>1577554.48</v>
      </c>
      <c r="P258" s="582" t="s">
        <v>621</v>
      </c>
      <c r="Q258" s="582">
        <f t="shared" si="7"/>
        <v>1</v>
      </c>
    </row>
    <row r="259" spans="1:17">
      <c r="A259" s="582" t="s">
        <v>597</v>
      </c>
      <c r="B259" s="582" t="s">
        <v>345</v>
      </c>
      <c r="C259" s="582" t="s">
        <v>346</v>
      </c>
      <c r="D259" s="2">
        <v>1862</v>
      </c>
      <c r="E259" s="587">
        <v>2239</v>
      </c>
      <c r="F259" s="587">
        <v>2202</v>
      </c>
      <c r="G259" s="587">
        <v>2212</v>
      </c>
      <c r="H259" s="587">
        <v>2196</v>
      </c>
      <c r="I259" s="587">
        <v>2183</v>
      </c>
      <c r="J259" s="587">
        <v>2191</v>
      </c>
      <c r="K259" s="587">
        <v>2211</v>
      </c>
      <c r="L259" s="587">
        <v>0</v>
      </c>
      <c r="M259" s="583">
        <f t="shared" si="6"/>
        <v>2204.86</v>
      </c>
      <c r="N259" s="582">
        <v>1914748.16</v>
      </c>
      <c r="P259" s="582" t="s">
        <v>621</v>
      </c>
      <c r="Q259" s="582">
        <f t="shared" si="7"/>
        <v>1</v>
      </c>
    </row>
    <row r="260" spans="1:17">
      <c r="A260" s="582" t="s">
        <v>594</v>
      </c>
      <c r="B260" s="582" t="s">
        <v>143</v>
      </c>
      <c r="C260" s="582" t="s">
        <v>144</v>
      </c>
      <c r="D260" s="2">
        <v>0</v>
      </c>
      <c r="E260" s="587">
        <v>0</v>
      </c>
      <c r="F260" s="587">
        <v>0</v>
      </c>
      <c r="G260" s="587">
        <v>0</v>
      </c>
      <c r="H260" s="587">
        <v>0</v>
      </c>
      <c r="I260" s="587">
        <v>0</v>
      </c>
      <c r="J260" s="587">
        <v>0</v>
      </c>
      <c r="K260" s="587">
        <v>0</v>
      </c>
      <c r="L260" s="587">
        <v>0</v>
      </c>
      <c r="M260" s="583">
        <f t="shared" si="6"/>
        <v>0</v>
      </c>
      <c r="N260" s="582">
        <v>0</v>
      </c>
      <c r="P260" s="582" t="s">
        <v>801</v>
      </c>
      <c r="Q260" s="582">
        <f t="shared" si="7"/>
        <v>0</v>
      </c>
    </row>
    <row r="261" spans="1:17">
      <c r="A261" s="582" t="s">
        <v>597</v>
      </c>
      <c r="B261" s="582" t="s">
        <v>197</v>
      </c>
      <c r="C261" s="582" t="s">
        <v>198</v>
      </c>
      <c r="D261" s="2">
        <v>75</v>
      </c>
      <c r="E261" s="587">
        <v>88</v>
      </c>
      <c r="F261" s="587">
        <v>97</v>
      </c>
      <c r="G261" s="587">
        <v>99</v>
      </c>
      <c r="H261" s="587">
        <v>99</v>
      </c>
      <c r="I261" s="587">
        <v>106</v>
      </c>
      <c r="J261" s="587">
        <v>110</v>
      </c>
      <c r="K261" s="587">
        <v>113</v>
      </c>
      <c r="L261" s="587">
        <v>0</v>
      </c>
      <c r="M261" s="583">
        <f t="shared" si="6"/>
        <v>101.71</v>
      </c>
      <c r="N261" s="582">
        <v>90205.48</v>
      </c>
      <c r="P261" s="582" t="s">
        <v>621</v>
      </c>
      <c r="Q261" s="582">
        <f t="shared" si="7"/>
        <v>1</v>
      </c>
    </row>
    <row r="262" spans="1:17">
      <c r="A262" s="582" t="s">
        <v>603</v>
      </c>
      <c r="B262" s="582" t="s">
        <v>521</v>
      </c>
      <c r="C262" s="582" t="s">
        <v>522</v>
      </c>
      <c r="D262" s="2">
        <v>0</v>
      </c>
      <c r="E262" s="587">
        <v>0</v>
      </c>
      <c r="F262" s="587">
        <v>0</v>
      </c>
      <c r="G262" s="587">
        <v>0</v>
      </c>
      <c r="H262" s="587">
        <v>0</v>
      </c>
      <c r="I262" s="587">
        <v>0</v>
      </c>
      <c r="J262" s="587">
        <v>0</v>
      </c>
      <c r="K262" s="587">
        <v>0</v>
      </c>
      <c r="L262" s="587">
        <v>0</v>
      </c>
      <c r="M262" s="583">
        <f t="shared" si="6"/>
        <v>0</v>
      </c>
      <c r="N262" s="582">
        <v>0</v>
      </c>
      <c r="P262" s="582" t="s">
        <v>801</v>
      </c>
      <c r="Q262" s="582">
        <f t="shared" si="7"/>
        <v>0</v>
      </c>
    </row>
    <row r="263" spans="1:17">
      <c r="A263" s="582" t="s">
        <v>594</v>
      </c>
      <c r="B263" s="582" t="s">
        <v>486</v>
      </c>
      <c r="C263" s="582" t="s">
        <v>487</v>
      </c>
      <c r="D263" s="2">
        <v>12</v>
      </c>
      <c r="E263" s="587">
        <v>11</v>
      </c>
      <c r="F263" s="587">
        <v>12</v>
      </c>
      <c r="G263" s="587">
        <v>12</v>
      </c>
      <c r="H263" s="587">
        <v>12</v>
      </c>
      <c r="I263" s="587">
        <v>9</v>
      </c>
      <c r="J263" s="587">
        <v>7</v>
      </c>
      <c r="K263" s="587">
        <v>9</v>
      </c>
      <c r="L263" s="587">
        <v>0</v>
      </c>
      <c r="M263" s="583">
        <f t="shared" si="6"/>
        <v>10.29</v>
      </c>
      <c r="N263" s="582">
        <v>9177.6200000000008</v>
      </c>
      <c r="P263" s="582" t="s">
        <v>621</v>
      </c>
      <c r="Q263" s="582">
        <f t="shared" si="7"/>
        <v>1</v>
      </c>
    </row>
    <row r="264" spans="1:17">
      <c r="A264" s="582" t="s">
        <v>605</v>
      </c>
      <c r="B264" s="582" t="s">
        <v>224</v>
      </c>
      <c r="C264" s="582" t="s">
        <v>225</v>
      </c>
      <c r="D264" s="2">
        <v>0</v>
      </c>
      <c r="E264" s="587">
        <v>0</v>
      </c>
      <c r="F264" s="587">
        <v>0</v>
      </c>
      <c r="G264" s="587">
        <v>0</v>
      </c>
      <c r="H264" s="587">
        <v>0</v>
      </c>
      <c r="I264" s="587">
        <v>0</v>
      </c>
      <c r="J264" s="587">
        <v>0</v>
      </c>
      <c r="K264" s="587">
        <v>0</v>
      </c>
      <c r="L264" s="587">
        <v>0</v>
      </c>
      <c r="M264" s="583">
        <f t="shared" si="6"/>
        <v>0</v>
      </c>
      <c r="N264" s="582">
        <v>0</v>
      </c>
      <c r="P264" s="582" t="s">
        <v>801</v>
      </c>
      <c r="Q264" s="582">
        <f t="shared" si="7"/>
        <v>0</v>
      </c>
    </row>
    <row r="265" spans="1:17">
      <c r="A265" s="582" t="s">
        <v>594</v>
      </c>
      <c r="B265" s="582" t="s">
        <v>268</v>
      </c>
      <c r="C265" s="582" t="s">
        <v>269</v>
      </c>
      <c r="D265" s="2">
        <v>17</v>
      </c>
      <c r="E265" s="587">
        <v>20</v>
      </c>
      <c r="F265" s="587">
        <v>20</v>
      </c>
      <c r="G265" s="587">
        <v>20</v>
      </c>
      <c r="H265" s="587">
        <v>20</v>
      </c>
      <c r="I265" s="587">
        <v>22</v>
      </c>
      <c r="J265" s="587">
        <v>22</v>
      </c>
      <c r="K265" s="587">
        <v>23</v>
      </c>
      <c r="L265" s="587">
        <v>0</v>
      </c>
      <c r="M265" s="583">
        <f t="shared" ref="M265:M303" si="8">ROUND(SUM(E265:L265)/7,2)</f>
        <v>21</v>
      </c>
      <c r="N265" s="582">
        <v>19559.189999999999</v>
      </c>
      <c r="P265" s="582" t="s">
        <v>621</v>
      </c>
      <c r="Q265" s="582">
        <f t="shared" ref="Q265:Q303" si="9">IF(M265&gt;0,1,0)</f>
        <v>1</v>
      </c>
    </row>
    <row r="266" spans="1:17">
      <c r="A266" s="582" t="s">
        <v>601</v>
      </c>
      <c r="B266" s="582" t="s">
        <v>321</v>
      </c>
      <c r="C266" s="582" t="s">
        <v>322</v>
      </c>
      <c r="D266" s="2">
        <v>113</v>
      </c>
      <c r="E266" s="587">
        <v>167</v>
      </c>
      <c r="F266" s="587">
        <v>164</v>
      </c>
      <c r="G266" s="587">
        <v>161</v>
      </c>
      <c r="H266" s="587">
        <v>161</v>
      </c>
      <c r="I266" s="587">
        <v>161</v>
      </c>
      <c r="J266" s="587">
        <v>161</v>
      </c>
      <c r="K266" s="587">
        <v>160</v>
      </c>
      <c r="L266" s="587">
        <v>0</v>
      </c>
      <c r="M266" s="583">
        <f t="shared" si="8"/>
        <v>162.13999999999999</v>
      </c>
      <c r="N266" s="582">
        <v>140761.07999999999</v>
      </c>
      <c r="P266" s="582" t="s">
        <v>621</v>
      </c>
      <c r="Q266" s="582">
        <f t="shared" si="9"/>
        <v>1</v>
      </c>
    </row>
    <row r="267" spans="1:17">
      <c r="A267" s="582" t="s">
        <v>605</v>
      </c>
      <c r="B267" s="582" t="s">
        <v>559</v>
      </c>
      <c r="C267" s="582" t="s">
        <v>560</v>
      </c>
      <c r="D267" s="2">
        <v>1224</v>
      </c>
      <c r="E267" s="587">
        <v>1103</v>
      </c>
      <c r="F267" s="587">
        <v>1117</v>
      </c>
      <c r="G267" s="587">
        <v>1099</v>
      </c>
      <c r="H267" s="587">
        <v>1097</v>
      </c>
      <c r="I267" s="587">
        <v>1088</v>
      </c>
      <c r="J267" s="587">
        <v>1074</v>
      </c>
      <c r="K267" s="587">
        <v>1076</v>
      </c>
      <c r="L267" s="587">
        <v>0</v>
      </c>
      <c r="M267" s="583">
        <f t="shared" si="8"/>
        <v>1093.43</v>
      </c>
      <c r="N267" s="582">
        <v>906745.45</v>
      </c>
      <c r="P267" s="582" t="s">
        <v>621</v>
      </c>
      <c r="Q267" s="582">
        <f t="shared" si="9"/>
        <v>1</v>
      </c>
    </row>
    <row r="268" spans="1:17">
      <c r="A268" s="582" t="s">
        <v>596</v>
      </c>
      <c r="B268" s="582" t="s">
        <v>496</v>
      </c>
      <c r="C268" s="582" t="s">
        <v>497</v>
      </c>
      <c r="D268" s="2">
        <v>29</v>
      </c>
      <c r="E268" s="587">
        <v>29</v>
      </c>
      <c r="F268" s="587">
        <v>28</v>
      </c>
      <c r="G268" s="587">
        <v>28</v>
      </c>
      <c r="H268" s="587">
        <v>27</v>
      </c>
      <c r="I268" s="587">
        <v>27</v>
      </c>
      <c r="J268" s="587">
        <v>27</v>
      </c>
      <c r="K268" s="587">
        <v>27</v>
      </c>
      <c r="L268" s="587">
        <v>0</v>
      </c>
      <c r="M268" s="583">
        <f t="shared" si="8"/>
        <v>27.57</v>
      </c>
      <c r="N268" s="582">
        <v>25650.23</v>
      </c>
      <c r="P268" s="582" t="s">
        <v>621</v>
      </c>
      <c r="Q268" s="582">
        <f t="shared" si="9"/>
        <v>1</v>
      </c>
    </row>
    <row r="269" spans="1:17">
      <c r="A269" s="582" t="s">
        <v>599</v>
      </c>
      <c r="B269" s="582" t="s">
        <v>72</v>
      </c>
      <c r="C269" s="582" t="s">
        <v>73</v>
      </c>
      <c r="D269" s="2">
        <v>0</v>
      </c>
      <c r="E269" s="587">
        <v>0</v>
      </c>
      <c r="F269" s="587">
        <v>0</v>
      </c>
      <c r="G269" s="587">
        <v>0</v>
      </c>
      <c r="H269" s="587">
        <v>0</v>
      </c>
      <c r="I269" s="587">
        <v>0</v>
      </c>
      <c r="J269" s="587">
        <v>0</v>
      </c>
      <c r="K269" s="587">
        <v>0</v>
      </c>
      <c r="L269" s="587">
        <v>0</v>
      </c>
      <c r="M269" s="583">
        <f t="shared" si="8"/>
        <v>0</v>
      </c>
      <c r="N269" s="582">
        <v>0</v>
      </c>
      <c r="P269" s="582" t="s">
        <v>801</v>
      </c>
      <c r="Q269" s="582">
        <f t="shared" si="9"/>
        <v>0</v>
      </c>
    </row>
    <row r="270" spans="1:17">
      <c r="A270" s="582" t="s">
        <v>599</v>
      </c>
      <c r="B270" s="582" t="s">
        <v>238</v>
      </c>
      <c r="C270" s="582" t="s">
        <v>239</v>
      </c>
      <c r="D270" s="2">
        <v>0</v>
      </c>
      <c r="E270" s="587">
        <v>0</v>
      </c>
      <c r="F270" s="587">
        <v>0</v>
      </c>
      <c r="G270" s="587">
        <v>0</v>
      </c>
      <c r="H270" s="587">
        <v>0</v>
      </c>
      <c r="I270" s="587">
        <v>0</v>
      </c>
      <c r="J270" s="587">
        <v>0</v>
      </c>
      <c r="K270" s="587">
        <v>0</v>
      </c>
      <c r="L270" s="587">
        <v>0</v>
      </c>
      <c r="M270" s="583">
        <f t="shared" si="8"/>
        <v>0</v>
      </c>
      <c r="N270" s="582">
        <v>0</v>
      </c>
      <c r="P270" s="582" t="s">
        <v>801</v>
      </c>
      <c r="Q270" s="582">
        <f t="shared" si="9"/>
        <v>0</v>
      </c>
    </row>
    <row r="271" spans="1:17">
      <c r="A271" s="582" t="s">
        <v>597</v>
      </c>
      <c r="B271" s="582" t="s">
        <v>191</v>
      </c>
      <c r="C271" s="582" t="s">
        <v>192</v>
      </c>
      <c r="D271" s="2">
        <v>761</v>
      </c>
      <c r="E271" s="587">
        <v>1031</v>
      </c>
      <c r="F271" s="587">
        <v>1029</v>
      </c>
      <c r="G271" s="587">
        <v>1023</v>
      </c>
      <c r="H271" s="587">
        <v>1015</v>
      </c>
      <c r="I271" s="587">
        <v>1015</v>
      </c>
      <c r="J271" s="587">
        <v>1022</v>
      </c>
      <c r="K271" s="587">
        <v>1020</v>
      </c>
      <c r="L271" s="587">
        <v>0</v>
      </c>
      <c r="M271" s="583">
        <f t="shared" si="8"/>
        <v>1022.14</v>
      </c>
      <c r="N271" s="582">
        <v>839876.4</v>
      </c>
      <c r="P271" s="582" t="s">
        <v>621</v>
      </c>
      <c r="Q271" s="582">
        <f t="shared" si="9"/>
        <v>1</v>
      </c>
    </row>
    <row r="272" spans="1:17">
      <c r="A272" s="582" t="s">
        <v>594</v>
      </c>
      <c r="B272" s="582" t="s">
        <v>476</v>
      </c>
      <c r="C272" s="582" t="s">
        <v>477</v>
      </c>
      <c r="D272" s="2">
        <v>89</v>
      </c>
      <c r="E272" s="587">
        <v>88</v>
      </c>
      <c r="F272" s="587">
        <v>95</v>
      </c>
      <c r="G272" s="587">
        <v>93</v>
      </c>
      <c r="H272" s="587">
        <v>96</v>
      </c>
      <c r="I272" s="587">
        <v>96</v>
      </c>
      <c r="J272" s="587">
        <v>96</v>
      </c>
      <c r="K272" s="587">
        <v>96</v>
      </c>
      <c r="L272" s="587">
        <v>0</v>
      </c>
      <c r="M272" s="583">
        <f t="shared" si="8"/>
        <v>94.29</v>
      </c>
      <c r="N272" s="582">
        <v>83827.72</v>
      </c>
      <c r="P272" s="582" t="s">
        <v>621</v>
      </c>
      <c r="Q272" s="582">
        <f t="shared" si="9"/>
        <v>1</v>
      </c>
    </row>
    <row r="273" spans="1:17">
      <c r="A273" s="582" t="s">
        <v>605</v>
      </c>
      <c r="B273" s="582" t="s">
        <v>543</v>
      </c>
      <c r="C273" s="582" t="s">
        <v>544</v>
      </c>
      <c r="D273" s="2">
        <v>126</v>
      </c>
      <c r="E273" s="587">
        <v>166</v>
      </c>
      <c r="F273" s="587">
        <v>166</v>
      </c>
      <c r="G273" s="587">
        <v>169</v>
      </c>
      <c r="H273" s="587">
        <v>171</v>
      </c>
      <c r="I273" s="587">
        <v>169</v>
      </c>
      <c r="J273" s="587">
        <v>167</v>
      </c>
      <c r="K273" s="587">
        <v>169</v>
      </c>
      <c r="L273" s="587">
        <v>0</v>
      </c>
      <c r="M273" s="583">
        <f t="shared" si="8"/>
        <v>168.14</v>
      </c>
      <c r="N273" s="582">
        <v>137999</v>
      </c>
      <c r="P273" s="582" t="s">
        <v>621</v>
      </c>
      <c r="Q273" s="582">
        <f t="shared" si="9"/>
        <v>1</v>
      </c>
    </row>
    <row r="274" spans="1:17">
      <c r="A274" s="582" t="s">
        <v>597</v>
      </c>
      <c r="B274" s="582" t="s">
        <v>349</v>
      </c>
      <c r="C274" s="582" t="s">
        <v>350</v>
      </c>
      <c r="D274" s="2">
        <v>116</v>
      </c>
      <c r="E274" s="587">
        <v>146</v>
      </c>
      <c r="F274" s="587">
        <v>151</v>
      </c>
      <c r="G274" s="587">
        <v>149</v>
      </c>
      <c r="H274" s="587">
        <v>145</v>
      </c>
      <c r="I274" s="587">
        <v>141</v>
      </c>
      <c r="J274" s="587">
        <v>134</v>
      </c>
      <c r="K274" s="587">
        <v>133</v>
      </c>
      <c r="L274" s="587">
        <v>0</v>
      </c>
      <c r="M274" s="583">
        <f t="shared" si="8"/>
        <v>142.71</v>
      </c>
      <c r="N274" s="582">
        <v>125734.83</v>
      </c>
      <c r="P274" s="582" t="s">
        <v>621</v>
      </c>
      <c r="Q274" s="582">
        <f t="shared" si="9"/>
        <v>1</v>
      </c>
    </row>
    <row r="275" spans="1:17">
      <c r="A275" s="582" t="s">
        <v>603</v>
      </c>
      <c r="B275" s="582" t="s">
        <v>454</v>
      </c>
      <c r="C275" s="582" t="s">
        <v>455</v>
      </c>
      <c r="D275" s="2">
        <v>0</v>
      </c>
      <c r="E275" s="587">
        <v>0</v>
      </c>
      <c r="F275" s="587">
        <v>0</v>
      </c>
      <c r="G275" s="587">
        <v>0</v>
      </c>
      <c r="H275" s="587">
        <v>0</v>
      </c>
      <c r="I275" s="587">
        <v>0</v>
      </c>
      <c r="J275" s="587">
        <v>0</v>
      </c>
      <c r="K275" s="587">
        <v>0</v>
      </c>
      <c r="L275" s="587">
        <v>0</v>
      </c>
      <c r="M275" s="583">
        <f t="shared" si="8"/>
        <v>0</v>
      </c>
      <c r="N275" s="582">
        <v>0</v>
      </c>
      <c r="P275" s="582" t="s">
        <v>801</v>
      </c>
      <c r="Q275" s="582">
        <f t="shared" si="9"/>
        <v>0</v>
      </c>
    </row>
    <row r="276" spans="1:17">
      <c r="A276" s="582" t="s">
        <v>599</v>
      </c>
      <c r="B276" s="582" t="s">
        <v>49</v>
      </c>
      <c r="C276" s="582" t="s">
        <v>50</v>
      </c>
      <c r="D276" s="2">
        <v>2026</v>
      </c>
      <c r="E276" s="587">
        <v>2147</v>
      </c>
      <c r="F276" s="587">
        <v>2215</v>
      </c>
      <c r="G276" s="587">
        <v>2204</v>
      </c>
      <c r="H276" s="587">
        <v>2197</v>
      </c>
      <c r="I276" s="587">
        <v>2209</v>
      </c>
      <c r="J276" s="587">
        <v>2207</v>
      </c>
      <c r="K276" s="587">
        <v>2204</v>
      </c>
      <c r="L276" s="587">
        <v>0</v>
      </c>
      <c r="M276" s="583">
        <f t="shared" si="8"/>
        <v>2197.5700000000002</v>
      </c>
      <c r="N276" s="582">
        <v>1897801.82</v>
      </c>
      <c r="P276" s="582" t="s">
        <v>621</v>
      </c>
      <c r="Q276" s="582">
        <f t="shared" si="9"/>
        <v>1</v>
      </c>
    </row>
    <row r="277" spans="1:17">
      <c r="A277" s="582" t="s">
        <v>597</v>
      </c>
      <c r="B277" s="582" t="s">
        <v>183</v>
      </c>
      <c r="C277" s="582" t="s">
        <v>184</v>
      </c>
      <c r="D277" s="2">
        <v>22</v>
      </c>
      <c r="E277" s="587">
        <v>27</v>
      </c>
      <c r="F277" s="587">
        <v>26</v>
      </c>
      <c r="G277" s="587">
        <v>27</v>
      </c>
      <c r="H277" s="587">
        <v>28</v>
      </c>
      <c r="I277" s="587">
        <v>28</v>
      </c>
      <c r="J277" s="587">
        <v>30</v>
      </c>
      <c r="K277" s="587">
        <v>32</v>
      </c>
      <c r="L277" s="587">
        <v>0</v>
      </c>
      <c r="M277" s="583">
        <f t="shared" si="8"/>
        <v>28.29</v>
      </c>
      <c r="N277" s="582">
        <v>24905.33</v>
      </c>
      <c r="P277" s="582" t="s">
        <v>621</v>
      </c>
      <c r="Q277" s="582">
        <f t="shared" si="9"/>
        <v>1</v>
      </c>
    </row>
    <row r="278" spans="1:17">
      <c r="A278" s="582" t="s">
        <v>599</v>
      </c>
      <c r="B278" s="582" t="s">
        <v>488</v>
      </c>
      <c r="C278" s="582" t="s">
        <v>489</v>
      </c>
      <c r="D278" s="2">
        <v>16</v>
      </c>
      <c r="E278" s="587">
        <v>15</v>
      </c>
      <c r="F278" s="587">
        <v>15</v>
      </c>
      <c r="G278" s="587">
        <v>15</v>
      </c>
      <c r="H278" s="587">
        <v>15</v>
      </c>
      <c r="I278" s="587">
        <v>15</v>
      </c>
      <c r="J278" s="587">
        <v>15</v>
      </c>
      <c r="K278" s="587">
        <v>15</v>
      </c>
      <c r="L278" s="587">
        <v>0</v>
      </c>
      <c r="M278" s="583">
        <f t="shared" si="8"/>
        <v>15</v>
      </c>
      <c r="N278" s="582">
        <v>13109.56</v>
      </c>
      <c r="P278" s="582" t="s">
        <v>621</v>
      </c>
      <c r="Q278" s="582">
        <f t="shared" si="9"/>
        <v>1</v>
      </c>
    </row>
    <row r="279" spans="1:17">
      <c r="A279" s="582" t="s">
        <v>605</v>
      </c>
      <c r="B279" s="582" t="s">
        <v>114</v>
      </c>
      <c r="C279" s="582" t="s">
        <v>115</v>
      </c>
      <c r="D279" s="2">
        <v>1232</v>
      </c>
      <c r="E279" s="587">
        <v>1216</v>
      </c>
      <c r="F279" s="587">
        <v>1190</v>
      </c>
      <c r="G279" s="587">
        <v>1151</v>
      </c>
      <c r="H279" s="587">
        <v>1148</v>
      </c>
      <c r="I279" s="587">
        <v>1157</v>
      </c>
      <c r="J279" s="587">
        <v>1175</v>
      </c>
      <c r="K279" s="587">
        <v>1183</v>
      </c>
      <c r="L279" s="587">
        <v>0</v>
      </c>
      <c r="M279" s="583">
        <f t="shared" si="8"/>
        <v>1174.29</v>
      </c>
      <c r="N279" s="582">
        <v>918912.71</v>
      </c>
      <c r="P279" s="582" t="s">
        <v>621</v>
      </c>
      <c r="Q279" s="582">
        <f t="shared" si="9"/>
        <v>1</v>
      </c>
    </row>
    <row r="280" spans="1:17">
      <c r="A280" s="582" t="s">
        <v>596</v>
      </c>
      <c r="B280" s="582" t="s">
        <v>500</v>
      </c>
      <c r="C280" s="582" t="s">
        <v>501</v>
      </c>
      <c r="D280" s="2">
        <v>0</v>
      </c>
      <c r="E280" s="587">
        <v>0</v>
      </c>
      <c r="F280" s="587">
        <v>0</v>
      </c>
      <c r="G280" s="587">
        <v>0</v>
      </c>
      <c r="H280" s="587">
        <v>0</v>
      </c>
      <c r="I280" s="587">
        <v>0</v>
      </c>
      <c r="J280" s="587">
        <v>0</v>
      </c>
      <c r="K280" s="587">
        <v>0</v>
      </c>
      <c r="L280" s="587">
        <v>0</v>
      </c>
      <c r="M280" s="583">
        <f t="shared" si="8"/>
        <v>0</v>
      </c>
      <c r="N280" s="582">
        <v>0</v>
      </c>
      <c r="P280" s="582" t="s">
        <v>801</v>
      </c>
      <c r="Q280" s="582">
        <f t="shared" si="9"/>
        <v>0</v>
      </c>
    </row>
    <row r="281" spans="1:17">
      <c r="A281" s="582" t="s">
        <v>596</v>
      </c>
      <c r="B281" s="582" t="s">
        <v>492</v>
      </c>
      <c r="C281" s="582" t="s">
        <v>493</v>
      </c>
      <c r="D281" s="2">
        <v>759</v>
      </c>
      <c r="E281" s="587">
        <v>762</v>
      </c>
      <c r="F281" s="587">
        <v>758</v>
      </c>
      <c r="G281" s="587">
        <v>751</v>
      </c>
      <c r="H281" s="587">
        <v>756</v>
      </c>
      <c r="I281" s="587">
        <v>751</v>
      </c>
      <c r="J281" s="587">
        <v>754</v>
      </c>
      <c r="K281" s="587">
        <v>760</v>
      </c>
      <c r="L281" s="587">
        <v>0</v>
      </c>
      <c r="M281" s="583">
        <f t="shared" si="8"/>
        <v>756</v>
      </c>
      <c r="N281" s="582">
        <v>675240.17</v>
      </c>
      <c r="P281" s="582" t="s">
        <v>621</v>
      </c>
      <c r="Q281" s="582">
        <f t="shared" si="9"/>
        <v>1</v>
      </c>
    </row>
    <row r="282" spans="1:17">
      <c r="A282" s="582" t="s">
        <v>605</v>
      </c>
      <c r="B282" s="582" t="s">
        <v>567</v>
      </c>
      <c r="C282" s="582" t="s">
        <v>568</v>
      </c>
      <c r="D282" s="2">
        <v>722</v>
      </c>
      <c r="E282" s="587">
        <v>838</v>
      </c>
      <c r="F282" s="587">
        <v>831</v>
      </c>
      <c r="G282" s="587">
        <v>837</v>
      </c>
      <c r="H282" s="587">
        <v>836</v>
      </c>
      <c r="I282" s="587">
        <v>845</v>
      </c>
      <c r="J282" s="587">
        <v>839</v>
      </c>
      <c r="K282" s="587">
        <v>844</v>
      </c>
      <c r="L282" s="587">
        <v>0</v>
      </c>
      <c r="M282" s="583">
        <f t="shared" si="8"/>
        <v>838.57</v>
      </c>
      <c r="N282" s="582">
        <v>687270.42</v>
      </c>
      <c r="P282" s="582" t="s">
        <v>621</v>
      </c>
      <c r="Q282" s="582">
        <f t="shared" si="9"/>
        <v>1</v>
      </c>
    </row>
    <row r="283" spans="1:17">
      <c r="A283" s="582" t="s">
        <v>601</v>
      </c>
      <c r="B283" s="582" t="s">
        <v>118</v>
      </c>
      <c r="C283" s="582" t="s">
        <v>119</v>
      </c>
      <c r="D283" s="2">
        <v>336</v>
      </c>
      <c r="E283" s="587">
        <v>333</v>
      </c>
      <c r="F283" s="587">
        <v>334</v>
      </c>
      <c r="G283" s="587">
        <v>324</v>
      </c>
      <c r="H283" s="587">
        <v>324</v>
      </c>
      <c r="I283" s="587">
        <v>327</v>
      </c>
      <c r="J283" s="587">
        <v>336</v>
      </c>
      <c r="K283" s="587">
        <v>338</v>
      </c>
      <c r="L283" s="587">
        <v>0</v>
      </c>
      <c r="M283" s="583">
        <f t="shared" si="8"/>
        <v>330.86</v>
      </c>
      <c r="N283" s="582">
        <v>274797.17</v>
      </c>
      <c r="P283" s="582" t="s">
        <v>621</v>
      </c>
      <c r="Q283" s="582">
        <f t="shared" si="9"/>
        <v>1</v>
      </c>
    </row>
    <row r="284" spans="1:17">
      <c r="A284" s="582" t="s">
        <v>599</v>
      </c>
      <c r="B284" s="582" t="s">
        <v>56</v>
      </c>
      <c r="C284" s="582" t="s">
        <v>57</v>
      </c>
      <c r="D284" s="2">
        <v>38</v>
      </c>
      <c r="E284" s="587">
        <v>50</v>
      </c>
      <c r="F284" s="587">
        <v>51</v>
      </c>
      <c r="G284" s="587">
        <v>52</v>
      </c>
      <c r="H284" s="587">
        <v>52</v>
      </c>
      <c r="I284" s="587">
        <v>51</v>
      </c>
      <c r="J284" s="587">
        <v>53</v>
      </c>
      <c r="K284" s="587">
        <v>55</v>
      </c>
      <c r="L284" s="587">
        <v>0</v>
      </c>
      <c r="M284" s="583">
        <f t="shared" si="8"/>
        <v>52</v>
      </c>
      <c r="N284" s="582">
        <v>45320.39</v>
      </c>
      <c r="P284" s="582" t="s">
        <v>621</v>
      </c>
      <c r="Q284" s="582">
        <f t="shared" si="9"/>
        <v>1</v>
      </c>
    </row>
    <row r="285" spans="1:17">
      <c r="A285" s="582" t="s">
        <v>603</v>
      </c>
      <c r="B285" s="582" t="s">
        <v>0</v>
      </c>
      <c r="C285" s="582" t="s">
        <v>1</v>
      </c>
      <c r="D285" s="587">
        <v>0</v>
      </c>
      <c r="E285" s="587">
        <v>0</v>
      </c>
      <c r="F285" s="587">
        <v>0</v>
      </c>
      <c r="G285" s="587">
        <v>0</v>
      </c>
      <c r="H285" s="587">
        <v>0</v>
      </c>
      <c r="I285" s="587">
        <v>0</v>
      </c>
      <c r="J285" s="587">
        <v>0</v>
      </c>
      <c r="K285" s="587">
        <v>0</v>
      </c>
      <c r="L285" s="587">
        <v>0</v>
      </c>
      <c r="M285" s="583">
        <f t="shared" si="8"/>
        <v>0</v>
      </c>
      <c r="N285" s="582">
        <v>0</v>
      </c>
      <c r="P285" s="582" t="s">
        <v>801</v>
      </c>
      <c r="Q285" s="582">
        <f t="shared" si="9"/>
        <v>0</v>
      </c>
    </row>
    <row r="286" spans="1:17">
      <c r="A286" s="582" t="s">
        <v>601</v>
      </c>
      <c r="B286" s="582" t="s">
        <v>92</v>
      </c>
      <c r="C286" s="582" t="s">
        <v>93</v>
      </c>
      <c r="D286" s="2">
        <v>10</v>
      </c>
      <c r="E286" s="587">
        <v>11</v>
      </c>
      <c r="F286" s="587">
        <v>11</v>
      </c>
      <c r="G286" s="587">
        <v>10</v>
      </c>
      <c r="H286" s="587">
        <v>10</v>
      </c>
      <c r="I286" s="587">
        <v>12</v>
      </c>
      <c r="J286" s="587">
        <v>12</v>
      </c>
      <c r="K286" s="587">
        <v>12</v>
      </c>
      <c r="L286" s="587">
        <v>0</v>
      </c>
      <c r="M286" s="583">
        <f t="shared" si="8"/>
        <v>11.14</v>
      </c>
      <c r="N286" s="582">
        <v>9813.89</v>
      </c>
      <c r="P286" s="582" t="s">
        <v>621</v>
      </c>
      <c r="Q286" s="582">
        <f t="shared" si="9"/>
        <v>1</v>
      </c>
    </row>
    <row r="287" spans="1:17">
      <c r="A287" s="582" t="s">
        <v>603</v>
      </c>
      <c r="B287" s="582" t="s">
        <v>452</v>
      </c>
      <c r="C287" s="582" t="s">
        <v>453</v>
      </c>
      <c r="D287" s="2">
        <v>0</v>
      </c>
      <c r="E287" s="587">
        <v>0</v>
      </c>
      <c r="F287" s="587">
        <v>0</v>
      </c>
      <c r="G287" s="587">
        <v>0</v>
      </c>
      <c r="H287" s="587">
        <v>0</v>
      </c>
      <c r="I287" s="587">
        <v>0</v>
      </c>
      <c r="J287" s="587">
        <v>0</v>
      </c>
      <c r="K287" s="587">
        <v>0</v>
      </c>
      <c r="L287" s="587">
        <v>0</v>
      </c>
      <c r="M287" s="583">
        <f t="shared" si="8"/>
        <v>0</v>
      </c>
      <c r="N287" s="582">
        <v>0</v>
      </c>
      <c r="P287" s="582" t="s">
        <v>801</v>
      </c>
      <c r="Q287" s="582">
        <f t="shared" si="9"/>
        <v>0</v>
      </c>
    </row>
    <row r="288" spans="1:17">
      <c r="A288" s="582" t="s">
        <v>601</v>
      </c>
      <c r="B288" s="582" t="s">
        <v>37</v>
      </c>
      <c r="C288" s="582" t="s">
        <v>38</v>
      </c>
      <c r="D288" s="2">
        <v>1265</v>
      </c>
      <c r="E288" s="587">
        <v>1460</v>
      </c>
      <c r="F288" s="587">
        <v>1478</v>
      </c>
      <c r="G288" s="587">
        <v>1457</v>
      </c>
      <c r="H288" s="587">
        <v>1460</v>
      </c>
      <c r="I288" s="587">
        <v>1454</v>
      </c>
      <c r="J288" s="587">
        <v>1449</v>
      </c>
      <c r="K288" s="587">
        <v>1439</v>
      </c>
      <c r="L288" s="587">
        <v>0</v>
      </c>
      <c r="M288" s="583">
        <f t="shared" si="8"/>
        <v>1456.71</v>
      </c>
      <c r="N288" s="582">
        <v>1280593.9099999999</v>
      </c>
      <c r="P288" s="582" t="s">
        <v>621</v>
      </c>
      <c r="Q288" s="582">
        <f t="shared" si="9"/>
        <v>1</v>
      </c>
    </row>
    <row r="289" spans="1:17">
      <c r="A289" s="582" t="s">
        <v>603</v>
      </c>
      <c r="B289" s="582" t="s">
        <v>443</v>
      </c>
      <c r="C289" s="582" t="s">
        <v>618</v>
      </c>
      <c r="D289" s="2">
        <v>103</v>
      </c>
      <c r="E289" s="587">
        <v>96</v>
      </c>
      <c r="F289" s="587">
        <v>99</v>
      </c>
      <c r="G289" s="587">
        <v>96</v>
      </c>
      <c r="H289" s="587">
        <v>94</v>
      </c>
      <c r="I289" s="587">
        <v>94</v>
      </c>
      <c r="J289" s="587">
        <v>93</v>
      </c>
      <c r="K289" s="587">
        <v>156</v>
      </c>
      <c r="L289" s="587">
        <v>0</v>
      </c>
      <c r="M289" s="583">
        <f t="shared" si="8"/>
        <v>104</v>
      </c>
      <c r="N289" s="582">
        <v>91452.75</v>
      </c>
      <c r="P289" s="582" t="s">
        <v>621</v>
      </c>
      <c r="Q289" s="582">
        <f t="shared" si="9"/>
        <v>1</v>
      </c>
    </row>
    <row r="290" spans="1:17">
      <c r="A290" s="582" t="s">
        <v>605</v>
      </c>
      <c r="B290" s="582" t="s">
        <v>569</v>
      </c>
      <c r="C290" s="582" t="s">
        <v>570</v>
      </c>
      <c r="D290" s="2">
        <v>137</v>
      </c>
      <c r="E290" s="587">
        <v>214</v>
      </c>
      <c r="F290" s="587">
        <v>210</v>
      </c>
      <c r="G290" s="587">
        <v>221</v>
      </c>
      <c r="H290" s="587">
        <v>220</v>
      </c>
      <c r="I290" s="587">
        <v>219</v>
      </c>
      <c r="J290" s="587">
        <v>228</v>
      </c>
      <c r="K290" s="587">
        <v>230</v>
      </c>
      <c r="L290" s="587">
        <v>0</v>
      </c>
      <c r="M290" s="583">
        <f t="shared" si="8"/>
        <v>220.29</v>
      </c>
      <c r="N290" s="582">
        <v>195293.96</v>
      </c>
      <c r="P290" s="582" t="s">
        <v>621</v>
      </c>
      <c r="Q290" s="582">
        <f t="shared" si="9"/>
        <v>1</v>
      </c>
    </row>
    <row r="291" spans="1:17">
      <c r="A291" s="582" t="s">
        <v>594</v>
      </c>
      <c r="B291" s="582" t="s">
        <v>276</v>
      </c>
      <c r="C291" s="582" t="s">
        <v>277</v>
      </c>
      <c r="D291" s="2">
        <v>0</v>
      </c>
      <c r="E291" s="587">
        <v>0</v>
      </c>
      <c r="F291" s="587">
        <v>0</v>
      </c>
      <c r="G291" s="587">
        <v>0</v>
      </c>
      <c r="H291" s="587">
        <v>0</v>
      </c>
      <c r="I291" s="587">
        <v>0</v>
      </c>
      <c r="J291" s="587">
        <v>0</v>
      </c>
      <c r="K291" s="587">
        <v>0</v>
      </c>
      <c r="L291" s="587">
        <v>0</v>
      </c>
      <c r="M291" s="583">
        <f t="shared" si="8"/>
        <v>0</v>
      </c>
      <c r="N291" s="582">
        <v>0</v>
      </c>
      <c r="P291" s="582" t="s">
        <v>801</v>
      </c>
      <c r="Q291" s="582">
        <f t="shared" si="9"/>
        <v>0</v>
      </c>
    </row>
    <row r="292" spans="1:17">
      <c r="A292" s="582" t="s">
        <v>597</v>
      </c>
      <c r="B292" s="582" t="s">
        <v>367</v>
      </c>
      <c r="C292" s="582" t="s">
        <v>368</v>
      </c>
      <c r="D292" s="2">
        <v>38</v>
      </c>
      <c r="E292" s="587">
        <v>52</v>
      </c>
      <c r="F292" s="587">
        <v>54</v>
      </c>
      <c r="G292" s="587">
        <v>52</v>
      </c>
      <c r="H292" s="587">
        <v>52</v>
      </c>
      <c r="I292" s="587">
        <v>53</v>
      </c>
      <c r="J292" s="587">
        <v>56</v>
      </c>
      <c r="K292" s="587">
        <v>55</v>
      </c>
      <c r="L292" s="587">
        <v>0</v>
      </c>
      <c r="M292" s="583">
        <f t="shared" si="8"/>
        <v>53.43</v>
      </c>
      <c r="N292" s="582">
        <v>48058.9</v>
      </c>
      <c r="P292" s="582" t="s">
        <v>621</v>
      </c>
      <c r="Q292" s="582">
        <f t="shared" si="9"/>
        <v>1</v>
      </c>
    </row>
    <row r="293" spans="1:17">
      <c r="A293" s="582" t="s">
        <v>599</v>
      </c>
      <c r="B293" s="582" t="s">
        <v>248</v>
      </c>
      <c r="C293" s="582" t="s">
        <v>249</v>
      </c>
      <c r="D293" s="2">
        <v>189</v>
      </c>
      <c r="E293" s="587">
        <v>187</v>
      </c>
      <c r="F293" s="587">
        <v>186</v>
      </c>
      <c r="G293" s="587">
        <v>191</v>
      </c>
      <c r="H293" s="587">
        <v>193</v>
      </c>
      <c r="I293" s="587">
        <v>193</v>
      </c>
      <c r="J293" s="587">
        <v>196</v>
      </c>
      <c r="K293" s="587">
        <v>195</v>
      </c>
      <c r="L293" s="587">
        <v>0</v>
      </c>
      <c r="M293" s="583">
        <f t="shared" si="8"/>
        <v>191.57</v>
      </c>
      <c r="N293" s="582">
        <v>167458.51999999999</v>
      </c>
      <c r="P293" s="582" t="s">
        <v>621</v>
      </c>
      <c r="Q293" s="582">
        <f t="shared" si="9"/>
        <v>1</v>
      </c>
    </row>
    <row r="294" spans="1:17">
      <c r="A294" s="582" t="s">
        <v>603</v>
      </c>
      <c r="B294" s="582" t="s">
        <v>289</v>
      </c>
      <c r="C294" s="582" t="s">
        <v>290</v>
      </c>
      <c r="D294" s="2">
        <v>0</v>
      </c>
      <c r="E294" s="587">
        <v>0</v>
      </c>
      <c r="F294" s="587">
        <v>0</v>
      </c>
      <c r="G294" s="587">
        <v>0</v>
      </c>
      <c r="H294" s="587">
        <v>0</v>
      </c>
      <c r="I294" s="587">
        <v>0</v>
      </c>
      <c r="J294" s="587">
        <v>0</v>
      </c>
      <c r="K294" s="587">
        <v>0</v>
      </c>
      <c r="L294" s="587">
        <v>0</v>
      </c>
      <c r="M294" s="583">
        <f t="shared" si="8"/>
        <v>0</v>
      </c>
      <c r="N294" s="582">
        <v>0</v>
      </c>
      <c r="P294" s="582" t="s">
        <v>801</v>
      </c>
      <c r="Q294" s="582">
        <f t="shared" si="9"/>
        <v>0</v>
      </c>
    </row>
    <row r="295" spans="1:17">
      <c r="A295" s="582" t="s">
        <v>594</v>
      </c>
      <c r="B295" s="582" t="s">
        <v>332</v>
      </c>
      <c r="C295" s="582" t="s">
        <v>333</v>
      </c>
      <c r="D295" s="2">
        <v>6</v>
      </c>
      <c r="E295" s="587">
        <v>6</v>
      </c>
      <c r="F295" s="587">
        <v>6</v>
      </c>
      <c r="G295" s="587">
        <v>6</v>
      </c>
      <c r="H295" s="587">
        <v>6</v>
      </c>
      <c r="I295" s="587">
        <v>6</v>
      </c>
      <c r="J295" s="587">
        <v>8</v>
      </c>
      <c r="K295" s="587">
        <v>8</v>
      </c>
      <c r="L295" s="587">
        <v>0</v>
      </c>
      <c r="M295" s="583">
        <f t="shared" si="8"/>
        <v>6.57</v>
      </c>
      <c r="N295" s="582">
        <v>0</v>
      </c>
      <c r="P295" s="582" t="s">
        <v>801</v>
      </c>
      <c r="Q295" s="582">
        <f t="shared" si="9"/>
        <v>1</v>
      </c>
    </row>
    <row r="296" spans="1:17">
      <c r="A296" s="582" t="s">
        <v>601</v>
      </c>
      <c r="B296" s="582" t="s">
        <v>129</v>
      </c>
      <c r="C296" s="582" t="s">
        <v>130</v>
      </c>
      <c r="D296" s="2">
        <v>0</v>
      </c>
      <c r="E296" s="587">
        <v>0</v>
      </c>
      <c r="F296" s="587">
        <v>0</v>
      </c>
      <c r="G296" s="587">
        <v>0</v>
      </c>
      <c r="H296" s="587">
        <v>0</v>
      </c>
      <c r="I296" s="587">
        <v>0</v>
      </c>
      <c r="J296" s="587">
        <v>0</v>
      </c>
      <c r="K296" s="587">
        <v>0</v>
      </c>
      <c r="L296" s="587">
        <v>0</v>
      </c>
      <c r="M296" s="583">
        <f t="shared" si="8"/>
        <v>0</v>
      </c>
      <c r="N296" s="582">
        <v>0</v>
      </c>
      <c r="P296" s="582" t="s">
        <v>801</v>
      </c>
      <c r="Q296" s="582">
        <f t="shared" si="9"/>
        <v>0</v>
      </c>
    </row>
    <row r="297" spans="1:17">
      <c r="A297" s="582" t="s">
        <v>594</v>
      </c>
      <c r="B297" s="582" t="s">
        <v>264</v>
      </c>
      <c r="C297" s="582" t="s">
        <v>265</v>
      </c>
      <c r="D297" s="2">
        <v>62</v>
      </c>
      <c r="E297" s="587">
        <v>62</v>
      </c>
      <c r="F297" s="587">
        <v>64</v>
      </c>
      <c r="G297" s="587">
        <v>64</v>
      </c>
      <c r="H297" s="587">
        <v>64</v>
      </c>
      <c r="I297" s="587">
        <v>65</v>
      </c>
      <c r="J297" s="587">
        <v>67</v>
      </c>
      <c r="K297" s="587">
        <v>71</v>
      </c>
      <c r="L297" s="587">
        <v>0</v>
      </c>
      <c r="M297" s="583">
        <f t="shared" si="8"/>
        <v>65.290000000000006</v>
      </c>
      <c r="N297" s="582">
        <v>60414.95</v>
      </c>
      <c r="P297" s="582" t="s">
        <v>621</v>
      </c>
      <c r="Q297" s="582">
        <f t="shared" si="9"/>
        <v>1</v>
      </c>
    </row>
    <row r="298" spans="1:17">
      <c r="A298" s="582" t="s">
        <v>594</v>
      </c>
      <c r="B298" s="582" t="s">
        <v>151</v>
      </c>
      <c r="C298" s="582" t="s">
        <v>152</v>
      </c>
      <c r="D298" s="2">
        <v>0</v>
      </c>
      <c r="E298" s="587">
        <v>0</v>
      </c>
      <c r="F298" s="587">
        <v>0</v>
      </c>
      <c r="G298" s="587">
        <v>0</v>
      </c>
      <c r="H298" s="587">
        <v>0</v>
      </c>
      <c r="I298" s="587">
        <v>0</v>
      </c>
      <c r="J298" s="587">
        <v>0</v>
      </c>
      <c r="K298" s="587">
        <v>0</v>
      </c>
      <c r="L298" s="587">
        <v>0</v>
      </c>
      <c r="M298" s="583">
        <f t="shared" si="8"/>
        <v>0</v>
      </c>
      <c r="N298" s="582">
        <v>0</v>
      </c>
      <c r="P298" s="582" t="s">
        <v>801</v>
      </c>
      <c r="Q298" s="582">
        <f t="shared" si="9"/>
        <v>0</v>
      </c>
    </row>
    <row r="299" spans="1:17">
      <c r="A299" s="582" t="s">
        <v>599</v>
      </c>
      <c r="B299" s="582" t="s">
        <v>232</v>
      </c>
      <c r="C299" s="582" t="s">
        <v>233</v>
      </c>
      <c r="D299" s="2">
        <v>0</v>
      </c>
      <c r="E299" s="587">
        <v>0</v>
      </c>
      <c r="F299" s="587">
        <v>0</v>
      </c>
      <c r="G299" s="587">
        <v>0</v>
      </c>
      <c r="H299" s="587">
        <v>0</v>
      </c>
      <c r="I299" s="587">
        <v>0</v>
      </c>
      <c r="J299" s="587">
        <v>0</v>
      </c>
      <c r="K299" s="587">
        <v>0</v>
      </c>
      <c r="L299" s="587">
        <v>0</v>
      </c>
      <c r="M299" s="583">
        <f t="shared" si="8"/>
        <v>0</v>
      </c>
      <c r="N299" s="582">
        <v>0</v>
      </c>
      <c r="P299" s="582" t="s">
        <v>801</v>
      </c>
      <c r="Q299" s="582">
        <f t="shared" si="9"/>
        <v>0</v>
      </c>
    </row>
    <row r="300" spans="1:17">
      <c r="A300" s="582" t="s">
        <v>599</v>
      </c>
      <c r="B300" s="582" t="s">
        <v>78</v>
      </c>
      <c r="C300" s="582" t="s">
        <v>79</v>
      </c>
      <c r="D300" s="2">
        <v>120</v>
      </c>
      <c r="E300" s="587">
        <v>118</v>
      </c>
      <c r="F300" s="587">
        <v>109</v>
      </c>
      <c r="G300" s="587">
        <v>110</v>
      </c>
      <c r="H300" s="587">
        <v>111</v>
      </c>
      <c r="I300" s="587">
        <v>112</v>
      </c>
      <c r="J300" s="587">
        <v>113</v>
      </c>
      <c r="K300" s="587">
        <v>113</v>
      </c>
      <c r="L300" s="587">
        <v>0</v>
      </c>
      <c r="M300" s="583">
        <f t="shared" si="8"/>
        <v>112.29</v>
      </c>
      <c r="N300" s="582">
        <v>98479.25</v>
      </c>
      <c r="P300" s="582" t="s">
        <v>621</v>
      </c>
      <c r="Q300" s="582">
        <f t="shared" si="9"/>
        <v>1</v>
      </c>
    </row>
    <row r="301" spans="1:17">
      <c r="A301" s="582" t="s">
        <v>605</v>
      </c>
      <c r="B301" s="582" t="s">
        <v>547</v>
      </c>
      <c r="C301" s="582" t="s">
        <v>548</v>
      </c>
      <c r="D301" s="2">
        <v>3294</v>
      </c>
      <c r="E301" s="587">
        <v>3954</v>
      </c>
      <c r="F301" s="587">
        <v>4154</v>
      </c>
      <c r="G301" s="587">
        <v>4100</v>
      </c>
      <c r="H301" s="587">
        <v>4068</v>
      </c>
      <c r="I301" s="587">
        <v>4050</v>
      </c>
      <c r="J301" s="587">
        <v>4033</v>
      </c>
      <c r="K301" s="587">
        <v>4045</v>
      </c>
      <c r="L301" s="587">
        <v>0</v>
      </c>
      <c r="M301" s="583">
        <f t="shared" si="8"/>
        <v>4057.71</v>
      </c>
      <c r="N301" s="582">
        <v>3530430.07</v>
      </c>
      <c r="P301" s="582" t="s">
        <v>621</v>
      </c>
      <c r="Q301" s="582">
        <f t="shared" si="9"/>
        <v>1</v>
      </c>
    </row>
    <row r="302" spans="1:17">
      <c r="A302" s="582" t="s">
        <v>594</v>
      </c>
      <c r="B302" s="582" t="s">
        <v>472</v>
      </c>
      <c r="C302" s="582" t="s">
        <v>619</v>
      </c>
      <c r="D302" s="2">
        <v>47</v>
      </c>
      <c r="E302" s="587">
        <v>72</v>
      </c>
      <c r="F302" s="587">
        <v>77</v>
      </c>
      <c r="G302" s="587">
        <v>77</v>
      </c>
      <c r="H302" s="587">
        <v>76</v>
      </c>
      <c r="I302" s="587">
        <v>79</v>
      </c>
      <c r="J302" s="587">
        <v>86</v>
      </c>
      <c r="K302" s="587">
        <v>81</v>
      </c>
      <c r="L302" s="587">
        <v>0</v>
      </c>
      <c r="M302" s="583">
        <f t="shared" si="8"/>
        <v>78.290000000000006</v>
      </c>
      <c r="N302" s="582">
        <v>67213.350000000006</v>
      </c>
      <c r="P302" s="582" t="s">
        <v>621</v>
      </c>
      <c r="Q302" s="582">
        <f t="shared" si="9"/>
        <v>1</v>
      </c>
    </row>
    <row r="303" spans="1:17">
      <c r="A303" s="582" t="s">
        <v>605</v>
      </c>
      <c r="B303" s="582" t="s">
        <v>565</v>
      </c>
      <c r="C303" s="582" t="s">
        <v>566</v>
      </c>
      <c r="D303" s="2">
        <v>112</v>
      </c>
      <c r="E303" s="587">
        <v>117</v>
      </c>
      <c r="F303" s="587">
        <v>121</v>
      </c>
      <c r="G303" s="587">
        <v>123</v>
      </c>
      <c r="H303" s="587">
        <v>125</v>
      </c>
      <c r="I303" s="587">
        <v>124</v>
      </c>
      <c r="J303" s="587">
        <v>121</v>
      </c>
      <c r="K303" s="587">
        <v>121</v>
      </c>
      <c r="L303" s="587">
        <v>0</v>
      </c>
      <c r="M303" s="583">
        <f t="shared" si="8"/>
        <v>121.71</v>
      </c>
      <c r="N303" s="582">
        <v>106602.73</v>
      </c>
      <c r="P303" s="582" t="s">
        <v>621</v>
      </c>
      <c r="Q303" s="582">
        <f t="shared" si="9"/>
        <v>1</v>
      </c>
    </row>
    <row r="304" spans="1:17">
      <c r="A304" s="582" t="s">
        <v>830</v>
      </c>
      <c r="D304" s="588">
        <f>SUM(D9:D303)</f>
        <v>78143</v>
      </c>
      <c r="E304" s="588">
        <f t="shared" ref="E304:J304" si="10">SUM(E9:E303)</f>
        <v>87963</v>
      </c>
      <c r="F304" s="588">
        <f t="shared" si="10"/>
        <v>88767</v>
      </c>
      <c r="G304" s="588">
        <f t="shared" si="10"/>
        <v>88736</v>
      </c>
      <c r="H304" s="588">
        <f t="shared" si="10"/>
        <v>88583</v>
      </c>
      <c r="I304" s="588">
        <f t="shared" si="10"/>
        <v>88884</v>
      </c>
      <c r="J304" s="588">
        <f t="shared" si="10"/>
        <v>88884</v>
      </c>
      <c r="K304" s="588">
        <f>SUM(K9:K303)</f>
        <v>89080</v>
      </c>
      <c r="L304" s="588">
        <f>SUM(L9:L303)</f>
        <v>0</v>
      </c>
      <c r="M304" s="583">
        <f>ROUND(SUM(E304:L304)/8,2)</f>
        <v>77612.13</v>
      </c>
      <c r="N304" s="589">
        <f>SUM(N9:N303)</f>
        <v>76179173.209999949</v>
      </c>
      <c r="P304" s="588"/>
    </row>
    <row r="305" spans="5:12">
      <c r="E305" s="588"/>
      <c r="F305" s="588"/>
      <c r="G305" s="588"/>
      <c r="H305" s="588"/>
      <c r="I305" s="588"/>
      <c r="J305" s="588"/>
      <c r="K305" s="588"/>
      <c r="L305" s="588"/>
    </row>
  </sheetData>
  <mergeCells count="1">
    <mergeCell ref="V1:V30"/>
  </mergeCells>
  <pageMargins left="0.5" right="0.5" top="0.75" bottom="0.8" header="0.5" footer="0.5"/>
  <pageSetup scale="61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"/>
  <dimension ref="A1:U298"/>
  <sheetViews>
    <sheetView workbookViewId="0">
      <pane ySplit="1" topLeftCell="A2" activePane="bottomLeft" state="frozen"/>
      <selection pane="bottomLeft" activeCell="M24" sqref="M24"/>
    </sheetView>
  </sheetViews>
  <sheetFormatPr defaultColWidth="18.5703125" defaultRowHeight="12.75"/>
  <cols>
    <col min="1" max="1" width="9.42578125" style="505" customWidth="1"/>
    <col min="2" max="2" width="9" style="505" customWidth="1"/>
    <col min="3" max="3" width="18.5703125" style="505" customWidth="1"/>
    <col min="4" max="12" width="18.5703125" style="505" hidden="1" customWidth="1"/>
    <col min="13" max="13" width="12.5703125" style="518" customWidth="1"/>
    <col min="14" max="14" width="9.42578125" style="505" customWidth="1"/>
    <col min="15" max="15" width="10.5703125" style="505" customWidth="1"/>
    <col min="16" max="16" width="11.140625" style="505" customWidth="1"/>
    <col min="17" max="20" width="18.5703125" style="505"/>
    <col min="21" max="21" width="8" style="505" bestFit="1" customWidth="1"/>
    <col min="22" max="256" width="18.5703125" style="505"/>
    <col min="257" max="257" width="9.42578125" style="505" customWidth="1"/>
    <col min="258" max="258" width="9" style="505" customWidth="1"/>
    <col min="259" max="259" width="18.5703125" style="505" customWidth="1"/>
    <col min="260" max="268" width="0" style="505" hidden="1" customWidth="1"/>
    <col min="269" max="269" width="12.5703125" style="505" customWidth="1"/>
    <col min="270" max="270" width="9.42578125" style="505" customWidth="1"/>
    <col min="271" max="271" width="10.5703125" style="505" customWidth="1"/>
    <col min="272" max="272" width="11.140625" style="505" customWidth="1"/>
    <col min="273" max="512" width="18.5703125" style="505"/>
    <col min="513" max="513" width="9.42578125" style="505" customWidth="1"/>
    <col min="514" max="514" width="9" style="505" customWidth="1"/>
    <col min="515" max="515" width="18.5703125" style="505" customWidth="1"/>
    <col min="516" max="524" width="0" style="505" hidden="1" customWidth="1"/>
    <col min="525" max="525" width="12.5703125" style="505" customWidth="1"/>
    <col min="526" max="526" width="9.42578125" style="505" customWidth="1"/>
    <col min="527" max="527" width="10.5703125" style="505" customWidth="1"/>
    <col min="528" max="528" width="11.140625" style="505" customWidth="1"/>
    <col min="529" max="768" width="18.5703125" style="505"/>
    <col min="769" max="769" width="9.42578125" style="505" customWidth="1"/>
    <col min="770" max="770" width="9" style="505" customWidth="1"/>
    <col min="771" max="771" width="18.5703125" style="505" customWidth="1"/>
    <col min="772" max="780" width="0" style="505" hidden="1" customWidth="1"/>
    <col min="781" max="781" width="12.5703125" style="505" customWidth="1"/>
    <col min="782" max="782" width="9.42578125" style="505" customWidth="1"/>
    <col min="783" max="783" width="10.5703125" style="505" customWidth="1"/>
    <col min="784" max="784" width="11.140625" style="505" customWidth="1"/>
    <col min="785" max="1024" width="18.5703125" style="505"/>
    <col min="1025" max="1025" width="9.42578125" style="505" customWidth="1"/>
    <col min="1026" max="1026" width="9" style="505" customWidth="1"/>
    <col min="1027" max="1027" width="18.5703125" style="505" customWidth="1"/>
    <col min="1028" max="1036" width="0" style="505" hidden="1" customWidth="1"/>
    <col min="1037" max="1037" width="12.5703125" style="505" customWidth="1"/>
    <col min="1038" max="1038" width="9.42578125" style="505" customWidth="1"/>
    <col min="1039" max="1039" width="10.5703125" style="505" customWidth="1"/>
    <col min="1040" max="1040" width="11.140625" style="505" customWidth="1"/>
    <col min="1041" max="1280" width="18.5703125" style="505"/>
    <col min="1281" max="1281" width="9.42578125" style="505" customWidth="1"/>
    <col min="1282" max="1282" width="9" style="505" customWidth="1"/>
    <col min="1283" max="1283" width="18.5703125" style="505" customWidth="1"/>
    <col min="1284" max="1292" width="0" style="505" hidden="1" customWidth="1"/>
    <col min="1293" max="1293" width="12.5703125" style="505" customWidth="1"/>
    <col min="1294" max="1294" width="9.42578125" style="505" customWidth="1"/>
    <col min="1295" max="1295" width="10.5703125" style="505" customWidth="1"/>
    <col min="1296" max="1296" width="11.140625" style="505" customWidth="1"/>
    <col min="1297" max="1536" width="18.5703125" style="505"/>
    <col min="1537" max="1537" width="9.42578125" style="505" customWidth="1"/>
    <col min="1538" max="1538" width="9" style="505" customWidth="1"/>
    <col min="1539" max="1539" width="18.5703125" style="505" customWidth="1"/>
    <col min="1540" max="1548" width="0" style="505" hidden="1" customWidth="1"/>
    <col min="1549" max="1549" width="12.5703125" style="505" customWidth="1"/>
    <col min="1550" max="1550" width="9.42578125" style="505" customWidth="1"/>
    <col min="1551" max="1551" width="10.5703125" style="505" customWidth="1"/>
    <col min="1552" max="1552" width="11.140625" style="505" customWidth="1"/>
    <col min="1553" max="1792" width="18.5703125" style="505"/>
    <col min="1793" max="1793" width="9.42578125" style="505" customWidth="1"/>
    <col min="1794" max="1794" width="9" style="505" customWidth="1"/>
    <col min="1795" max="1795" width="18.5703125" style="505" customWidth="1"/>
    <col min="1796" max="1804" width="0" style="505" hidden="1" customWidth="1"/>
    <col min="1805" max="1805" width="12.5703125" style="505" customWidth="1"/>
    <col min="1806" max="1806" width="9.42578125" style="505" customWidth="1"/>
    <col min="1807" max="1807" width="10.5703125" style="505" customWidth="1"/>
    <col min="1808" max="1808" width="11.140625" style="505" customWidth="1"/>
    <col min="1809" max="2048" width="18.5703125" style="505"/>
    <col min="2049" max="2049" width="9.42578125" style="505" customWidth="1"/>
    <col min="2050" max="2050" width="9" style="505" customWidth="1"/>
    <col min="2051" max="2051" width="18.5703125" style="505" customWidth="1"/>
    <col min="2052" max="2060" width="0" style="505" hidden="1" customWidth="1"/>
    <col min="2061" max="2061" width="12.5703125" style="505" customWidth="1"/>
    <col min="2062" max="2062" width="9.42578125" style="505" customWidth="1"/>
    <col min="2063" max="2063" width="10.5703125" style="505" customWidth="1"/>
    <col min="2064" max="2064" width="11.140625" style="505" customWidth="1"/>
    <col min="2065" max="2304" width="18.5703125" style="505"/>
    <col min="2305" max="2305" width="9.42578125" style="505" customWidth="1"/>
    <col min="2306" max="2306" width="9" style="505" customWidth="1"/>
    <col min="2307" max="2307" width="18.5703125" style="505" customWidth="1"/>
    <col min="2308" max="2316" width="0" style="505" hidden="1" customWidth="1"/>
    <col min="2317" max="2317" width="12.5703125" style="505" customWidth="1"/>
    <col min="2318" max="2318" width="9.42578125" style="505" customWidth="1"/>
    <col min="2319" max="2319" width="10.5703125" style="505" customWidth="1"/>
    <col min="2320" max="2320" width="11.140625" style="505" customWidth="1"/>
    <col min="2321" max="2560" width="18.5703125" style="505"/>
    <col min="2561" max="2561" width="9.42578125" style="505" customWidth="1"/>
    <col min="2562" max="2562" width="9" style="505" customWidth="1"/>
    <col min="2563" max="2563" width="18.5703125" style="505" customWidth="1"/>
    <col min="2564" max="2572" width="0" style="505" hidden="1" customWidth="1"/>
    <col min="2573" max="2573" width="12.5703125" style="505" customWidth="1"/>
    <col min="2574" max="2574" width="9.42578125" style="505" customWidth="1"/>
    <col min="2575" max="2575" width="10.5703125" style="505" customWidth="1"/>
    <col min="2576" max="2576" width="11.140625" style="505" customWidth="1"/>
    <col min="2577" max="2816" width="18.5703125" style="505"/>
    <col min="2817" max="2817" width="9.42578125" style="505" customWidth="1"/>
    <col min="2818" max="2818" width="9" style="505" customWidth="1"/>
    <col min="2819" max="2819" width="18.5703125" style="505" customWidth="1"/>
    <col min="2820" max="2828" width="0" style="505" hidden="1" customWidth="1"/>
    <col min="2829" max="2829" width="12.5703125" style="505" customWidth="1"/>
    <col min="2830" max="2830" width="9.42578125" style="505" customWidth="1"/>
    <col min="2831" max="2831" width="10.5703125" style="505" customWidth="1"/>
    <col min="2832" max="2832" width="11.140625" style="505" customWidth="1"/>
    <col min="2833" max="3072" width="18.5703125" style="505"/>
    <col min="3073" max="3073" width="9.42578125" style="505" customWidth="1"/>
    <col min="3074" max="3074" width="9" style="505" customWidth="1"/>
    <col min="3075" max="3075" width="18.5703125" style="505" customWidth="1"/>
    <col min="3076" max="3084" width="0" style="505" hidden="1" customWidth="1"/>
    <col min="3085" max="3085" width="12.5703125" style="505" customWidth="1"/>
    <col min="3086" max="3086" width="9.42578125" style="505" customWidth="1"/>
    <col min="3087" max="3087" width="10.5703125" style="505" customWidth="1"/>
    <col min="3088" max="3088" width="11.140625" style="505" customWidth="1"/>
    <col min="3089" max="3328" width="18.5703125" style="505"/>
    <col min="3329" max="3329" width="9.42578125" style="505" customWidth="1"/>
    <col min="3330" max="3330" width="9" style="505" customWidth="1"/>
    <col min="3331" max="3331" width="18.5703125" style="505" customWidth="1"/>
    <col min="3332" max="3340" width="0" style="505" hidden="1" customWidth="1"/>
    <col min="3341" max="3341" width="12.5703125" style="505" customWidth="1"/>
    <col min="3342" max="3342" width="9.42578125" style="505" customWidth="1"/>
    <col min="3343" max="3343" width="10.5703125" style="505" customWidth="1"/>
    <col min="3344" max="3344" width="11.140625" style="505" customWidth="1"/>
    <col min="3345" max="3584" width="18.5703125" style="505"/>
    <col min="3585" max="3585" width="9.42578125" style="505" customWidth="1"/>
    <col min="3586" max="3586" width="9" style="505" customWidth="1"/>
    <col min="3587" max="3587" width="18.5703125" style="505" customWidth="1"/>
    <col min="3588" max="3596" width="0" style="505" hidden="1" customWidth="1"/>
    <col min="3597" max="3597" width="12.5703125" style="505" customWidth="1"/>
    <col min="3598" max="3598" width="9.42578125" style="505" customWidth="1"/>
    <col min="3599" max="3599" width="10.5703125" style="505" customWidth="1"/>
    <col min="3600" max="3600" width="11.140625" style="505" customWidth="1"/>
    <col min="3601" max="3840" width="18.5703125" style="505"/>
    <col min="3841" max="3841" width="9.42578125" style="505" customWidth="1"/>
    <col min="3842" max="3842" width="9" style="505" customWidth="1"/>
    <col min="3843" max="3843" width="18.5703125" style="505" customWidth="1"/>
    <col min="3844" max="3852" width="0" style="505" hidden="1" customWidth="1"/>
    <col min="3853" max="3853" width="12.5703125" style="505" customWidth="1"/>
    <col min="3854" max="3854" width="9.42578125" style="505" customWidth="1"/>
    <col min="3855" max="3855" width="10.5703125" style="505" customWidth="1"/>
    <col min="3856" max="3856" width="11.140625" style="505" customWidth="1"/>
    <col min="3857" max="4096" width="18.5703125" style="505"/>
    <col min="4097" max="4097" width="9.42578125" style="505" customWidth="1"/>
    <col min="4098" max="4098" width="9" style="505" customWidth="1"/>
    <col min="4099" max="4099" width="18.5703125" style="505" customWidth="1"/>
    <col min="4100" max="4108" width="0" style="505" hidden="1" customWidth="1"/>
    <col min="4109" max="4109" width="12.5703125" style="505" customWidth="1"/>
    <col min="4110" max="4110" width="9.42578125" style="505" customWidth="1"/>
    <col min="4111" max="4111" width="10.5703125" style="505" customWidth="1"/>
    <col min="4112" max="4112" width="11.140625" style="505" customWidth="1"/>
    <col min="4113" max="4352" width="18.5703125" style="505"/>
    <col min="4353" max="4353" width="9.42578125" style="505" customWidth="1"/>
    <col min="4354" max="4354" width="9" style="505" customWidth="1"/>
    <col min="4355" max="4355" width="18.5703125" style="505" customWidth="1"/>
    <col min="4356" max="4364" width="0" style="505" hidden="1" customWidth="1"/>
    <col min="4365" max="4365" width="12.5703125" style="505" customWidth="1"/>
    <col min="4366" max="4366" width="9.42578125" style="505" customWidth="1"/>
    <col min="4367" max="4367" width="10.5703125" style="505" customWidth="1"/>
    <col min="4368" max="4368" width="11.140625" style="505" customWidth="1"/>
    <col min="4369" max="4608" width="18.5703125" style="505"/>
    <col min="4609" max="4609" width="9.42578125" style="505" customWidth="1"/>
    <col min="4610" max="4610" width="9" style="505" customWidth="1"/>
    <col min="4611" max="4611" width="18.5703125" style="505" customWidth="1"/>
    <col min="4612" max="4620" width="0" style="505" hidden="1" customWidth="1"/>
    <col min="4621" max="4621" width="12.5703125" style="505" customWidth="1"/>
    <col min="4622" max="4622" width="9.42578125" style="505" customWidth="1"/>
    <col min="4623" max="4623" width="10.5703125" style="505" customWidth="1"/>
    <col min="4624" max="4624" width="11.140625" style="505" customWidth="1"/>
    <col min="4625" max="4864" width="18.5703125" style="505"/>
    <col min="4865" max="4865" width="9.42578125" style="505" customWidth="1"/>
    <col min="4866" max="4866" width="9" style="505" customWidth="1"/>
    <col min="4867" max="4867" width="18.5703125" style="505" customWidth="1"/>
    <col min="4868" max="4876" width="0" style="505" hidden="1" customWidth="1"/>
    <col min="4877" max="4877" width="12.5703125" style="505" customWidth="1"/>
    <col min="4878" max="4878" width="9.42578125" style="505" customWidth="1"/>
    <col min="4879" max="4879" width="10.5703125" style="505" customWidth="1"/>
    <col min="4880" max="4880" width="11.140625" style="505" customWidth="1"/>
    <col min="4881" max="5120" width="18.5703125" style="505"/>
    <col min="5121" max="5121" width="9.42578125" style="505" customWidth="1"/>
    <col min="5122" max="5122" width="9" style="505" customWidth="1"/>
    <col min="5123" max="5123" width="18.5703125" style="505" customWidth="1"/>
    <col min="5124" max="5132" width="0" style="505" hidden="1" customWidth="1"/>
    <col min="5133" max="5133" width="12.5703125" style="505" customWidth="1"/>
    <col min="5134" max="5134" width="9.42578125" style="505" customWidth="1"/>
    <col min="5135" max="5135" width="10.5703125" style="505" customWidth="1"/>
    <col min="5136" max="5136" width="11.140625" style="505" customWidth="1"/>
    <col min="5137" max="5376" width="18.5703125" style="505"/>
    <col min="5377" max="5377" width="9.42578125" style="505" customWidth="1"/>
    <col min="5378" max="5378" width="9" style="505" customWidth="1"/>
    <col min="5379" max="5379" width="18.5703125" style="505" customWidth="1"/>
    <col min="5380" max="5388" width="0" style="505" hidden="1" customWidth="1"/>
    <col min="5389" max="5389" width="12.5703125" style="505" customWidth="1"/>
    <col min="5390" max="5390" width="9.42578125" style="505" customWidth="1"/>
    <col min="5391" max="5391" width="10.5703125" style="505" customWidth="1"/>
    <col min="5392" max="5392" width="11.140625" style="505" customWidth="1"/>
    <col min="5393" max="5632" width="18.5703125" style="505"/>
    <col min="5633" max="5633" width="9.42578125" style="505" customWidth="1"/>
    <col min="5634" max="5634" width="9" style="505" customWidth="1"/>
    <col min="5635" max="5635" width="18.5703125" style="505" customWidth="1"/>
    <col min="5636" max="5644" width="0" style="505" hidden="1" customWidth="1"/>
    <col min="5645" max="5645" width="12.5703125" style="505" customWidth="1"/>
    <col min="5646" max="5646" width="9.42578125" style="505" customWidth="1"/>
    <col min="5647" max="5647" width="10.5703125" style="505" customWidth="1"/>
    <col min="5648" max="5648" width="11.140625" style="505" customWidth="1"/>
    <col min="5649" max="5888" width="18.5703125" style="505"/>
    <col min="5889" max="5889" width="9.42578125" style="505" customWidth="1"/>
    <col min="5890" max="5890" width="9" style="505" customWidth="1"/>
    <col min="5891" max="5891" width="18.5703125" style="505" customWidth="1"/>
    <col min="5892" max="5900" width="0" style="505" hidden="1" customWidth="1"/>
    <col min="5901" max="5901" width="12.5703125" style="505" customWidth="1"/>
    <col min="5902" max="5902" width="9.42578125" style="505" customWidth="1"/>
    <col min="5903" max="5903" width="10.5703125" style="505" customWidth="1"/>
    <col min="5904" max="5904" width="11.140625" style="505" customWidth="1"/>
    <col min="5905" max="6144" width="18.5703125" style="505"/>
    <col min="6145" max="6145" width="9.42578125" style="505" customWidth="1"/>
    <col min="6146" max="6146" width="9" style="505" customWidth="1"/>
    <col min="6147" max="6147" width="18.5703125" style="505" customWidth="1"/>
    <col min="6148" max="6156" width="0" style="505" hidden="1" customWidth="1"/>
    <col min="6157" max="6157" width="12.5703125" style="505" customWidth="1"/>
    <col min="6158" max="6158" width="9.42578125" style="505" customWidth="1"/>
    <col min="6159" max="6159" width="10.5703125" style="505" customWidth="1"/>
    <col min="6160" max="6160" width="11.140625" style="505" customWidth="1"/>
    <col min="6161" max="6400" width="18.5703125" style="505"/>
    <col min="6401" max="6401" width="9.42578125" style="505" customWidth="1"/>
    <col min="6402" max="6402" width="9" style="505" customWidth="1"/>
    <col min="6403" max="6403" width="18.5703125" style="505" customWidth="1"/>
    <col min="6404" max="6412" width="0" style="505" hidden="1" customWidth="1"/>
    <col min="6413" max="6413" width="12.5703125" style="505" customWidth="1"/>
    <col min="6414" max="6414" width="9.42578125" style="505" customWidth="1"/>
    <col min="6415" max="6415" width="10.5703125" style="505" customWidth="1"/>
    <col min="6416" max="6416" width="11.140625" style="505" customWidth="1"/>
    <col min="6417" max="6656" width="18.5703125" style="505"/>
    <col min="6657" max="6657" width="9.42578125" style="505" customWidth="1"/>
    <col min="6658" max="6658" width="9" style="505" customWidth="1"/>
    <col min="6659" max="6659" width="18.5703125" style="505" customWidth="1"/>
    <col min="6660" max="6668" width="0" style="505" hidden="1" customWidth="1"/>
    <col min="6669" max="6669" width="12.5703125" style="505" customWidth="1"/>
    <col min="6670" max="6670" width="9.42578125" style="505" customWidth="1"/>
    <col min="6671" max="6671" width="10.5703125" style="505" customWidth="1"/>
    <col min="6672" max="6672" width="11.140625" style="505" customWidth="1"/>
    <col min="6673" max="6912" width="18.5703125" style="505"/>
    <col min="6913" max="6913" width="9.42578125" style="505" customWidth="1"/>
    <col min="6914" max="6914" width="9" style="505" customWidth="1"/>
    <col min="6915" max="6915" width="18.5703125" style="505" customWidth="1"/>
    <col min="6916" max="6924" width="0" style="505" hidden="1" customWidth="1"/>
    <col min="6925" max="6925" width="12.5703125" style="505" customWidth="1"/>
    <col min="6926" max="6926" width="9.42578125" style="505" customWidth="1"/>
    <col min="6927" max="6927" width="10.5703125" style="505" customWidth="1"/>
    <col min="6928" max="6928" width="11.140625" style="505" customWidth="1"/>
    <col min="6929" max="7168" width="18.5703125" style="505"/>
    <col min="7169" max="7169" width="9.42578125" style="505" customWidth="1"/>
    <col min="7170" max="7170" width="9" style="505" customWidth="1"/>
    <col min="7171" max="7171" width="18.5703125" style="505" customWidth="1"/>
    <col min="7172" max="7180" width="0" style="505" hidden="1" customWidth="1"/>
    <col min="7181" max="7181" width="12.5703125" style="505" customWidth="1"/>
    <col min="7182" max="7182" width="9.42578125" style="505" customWidth="1"/>
    <col min="7183" max="7183" width="10.5703125" style="505" customWidth="1"/>
    <col min="7184" max="7184" width="11.140625" style="505" customWidth="1"/>
    <col min="7185" max="7424" width="18.5703125" style="505"/>
    <col min="7425" max="7425" width="9.42578125" style="505" customWidth="1"/>
    <col min="7426" max="7426" width="9" style="505" customWidth="1"/>
    <col min="7427" max="7427" width="18.5703125" style="505" customWidth="1"/>
    <col min="7428" max="7436" width="0" style="505" hidden="1" customWidth="1"/>
    <col min="7437" max="7437" width="12.5703125" style="505" customWidth="1"/>
    <col min="7438" max="7438" width="9.42578125" style="505" customWidth="1"/>
    <col min="7439" max="7439" width="10.5703125" style="505" customWidth="1"/>
    <col min="7440" max="7440" width="11.140625" style="505" customWidth="1"/>
    <col min="7441" max="7680" width="18.5703125" style="505"/>
    <col min="7681" max="7681" width="9.42578125" style="505" customWidth="1"/>
    <col min="7682" max="7682" width="9" style="505" customWidth="1"/>
    <col min="7683" max="7683" width="18.5703125" style="505" customWidth="1"/>
    <col min="7684" max="7692" width="0" style="505" hidden="1" customWidth="1"/>
    <col min="7693" max="7693" width="12.5703125" style="505" customWidth="1"/>
    <col min="7694" max="7694" width="9.42578125" style="505" customWidth="1"/>
    <col min="7695" max="7695" width="10.5703125" style="505" customWidth="1"/>
    <col min="7696" max="7696" width="11.140625" style="505" customWidth="1"/>
    <col min="7697" max="7936" width="18.5703125" style="505"/>
    <col min="7937" max="7937" width="9.42578125" style="505" customWidth="1"/>
    <col min="7938" max="7938" width="9" style="505" customWidth="1"/>
    <col min="7939" max="7939" width="18.5703125" style="505" customWidth="1"/>
    <col min="7940" max="7948" width="0" style="505" hidden="1" customWidth="1"/>
    <col min="7949" max="7949" width="12.5703125" style="505" customWidth="1"/>
    <col min="7950" max="7950" width="9.42578125" style="505" customWidth="1"/>
    <col min="7951" max="7951" width="10.5703125" style="505" customWidth="1"/>
    <col min="7952" max="7952" width="11.140625" style="505" customWidth="1"/>
    <col min="7953" max="8192" width="18.5703125" style="505"/>
    <col min="8193" max="8193" width="9.42578125" style="505" customWidth="1"/>
    <col min="8194" max="8194" width="9" style="505" customWidth="1"/>
    <col min="8195" max="8195" width="18.5703125" style="505" customWidth="1"/>
    <col min="8196" max="8204" width="0" style="505" hidden="1" customWidth="1"/>
    <col min="8205" max="8205" width="12.5703125" style="505" customWidth="1"/>
    <col min="8206" max="8206" width="9.42578125" style="505" customWidth="1"/>
    <col min="8207" max="8207" width="10.5703125" style="505" customWidth="1"/>
    <col min="8208" max="8208" width="11.140625" style="505" customWidth="1"/>
    <col min="8209" max="8448" width="18.5703125" style="505"/>
    <col min="8449" max="8449" width="9.42578125" style="505" customWidth="1"/>
    <col min="8450" max="8450" width="9" style="505" customWidth="1"/>
    <col min="8451" max="8451" width="18.5703125" style="505" customWidth="1"/>
    <col min="8452" max="8460" width="0" style="505" hidden="1" customWidth="1"/>
    <col min="8461" max="8461" width="12.5703125" style="505" customWidth="1"/>
    <col min="8462" max="8462" width="9.42578125" style="505" customWidth="1"/>
    <col min="8463" max="8463" width="10.5703125" style="505" customWidth="1"/>
    <col min="8464" max="8464" width="11.140625" style="505" customWidth="1"/>
    <col min="8465" max="8704" width="18.5703125" style="505"/>
    <col min="8705" max="8705" width="9.42578125" style="505" customWidth="1"/>
    <col min="8706" max="8706" width="9" style="505" customWidth="1"/>
    <col min="8707" max="8707" width="18.5703125" style="505" customWidth="1"/>
    <col min="8708" max="8716" width="0" style="505" hidden="1" customWidth="1"/>
    <col min="8717" max="8717" width="12.5703125" style="505" customWidth="1"/>
    <col min="8718" max="8718" width="9.42578125" style="505" customWidth="1"/>
    <col min="8719" max="8719" width="10.5703125" style="505" customWidth="1"/>
    <col min="8720" max="8720" width="11.140625" style="505" customWidth="1"/>
    <col min="8721" max="8960" width="18.5703125" style="505"/>
    <col min="8961" max="8961" width="9.42578125" style="505" customWidth="1"/>
    <col min="8962" max="8962" width="9" style="505" customWidth="1"/>
    <col min="8963" max="8963" width="18.5703125" style="505" customWidth="1"/>
    <col min="8964" max="8972" width="0" style="505" hidden="1" customWidth="1"/>
    <col min="8973" max="8973" width="12.5703125" style="505" customWidth="1"/>
    <col min="8974" max="8974" width="9.42578125" style="505" customWidth="1"/>
    <col min="8975" max="8975" width="10.5703125" style="505" customWidth="1"/>
    <col min="8976" max="8976" width="11.140625" style="505" customWidth="1"/>
    <col min="8977" max="9216" width="18.5703125" style="505"/>
    <col min="9217" max="9217" width="9.42578125" style="505" customWidth="1"/>
    <col min="9218" max="9218" width="9" style="505" customWidth="1"/>
    <col min="9219" max="9219" width="18.5703125" style="505" customWidth="1"/>
    <col min="9220" max="9228" width="0" style="505" hidden="1" customWidth="1"/>
    <col min="9229" max="9229" width="12.5703125" style="505" customWidth="1"/>
    <col min="9230" max="9230" width="9.42578125" style="505" customWidth="1"/>
    <col min="9231" max="9231" width="10.5703125" style="505" customWidth="1"/>
    <col min="9232" max="9232" width="11.140625" style="505" customWidth="1"/>
    <col min="9233" max="9472" width="18.5703125" style="505"/>
    <col min="9473" max="9473" width="9.42578125" style="505" customWidth="1"/>
    <col min="9474" max="9474" width="9" style="505" customWidth="1"/>
    <col min="9475" max="9475" width="18.5703125" style="505" customWidth="1"/>
    <col min="9476" max="9484" width="0" style="505" hidden="1" customWidth="1"/>
    <col min="9485" max="9485" width="12.5703125" style="505" customWidth="1"/>
    <col min="9486" max="9486" width="9.42578125" style="505" customWidth="1"/>
    <col min="9487" max="9487" width="10.5703125" style="505" customWidth="1"/>
    <col min="9488" max="9488" width="11.140625" style="505" customWidth="1"/>
    <col min="9489" max="9728" width="18.5703125" style="505"/>
    <col min="9729" max="9729" width="9.42578125" style="505" customWidth="1"/>
    <col min="9730" max="9730" width="9" style="505" customWidth="1"/>
    <col min="9731" max="9731" width="18.5703125" style="505" customWidth="1"/>
    <col min="9732" max="9740" width="0" style="505" hidden="1" customWidth="1"/>
    <col min="9741" max="9741" width="12.5703125" style="505" customWidth="1"/>
    <col min="9742" max="9742" width="9.42578125" style="505" customWidth="1"/>
    <col min="9743" max="9743" width="10.5703125" style="505" customWidth="1"/>
    <col min="9744" max="9744" width="11.140625" style="505" customWidth="1"/>
    <col min="9745" max="9984" width="18.5703125" style="505"/>
    <col min="9985" max="9985" width="9.42578125" style="505" customWidth="1"/>
    <col min="9986" max="9986" width="9" style="505" customWidth="1"/>
    <col min="9987" max="9987" width="18.5703125" style="505" customWidth="1"/>
    <col min="9988" max="9996" width="0" style="505" hidden="1" customWidth="1"/>
    <col min="9997" max="9997" width="12.5703125" style="505" customWidth="1"/>
    <col min="9998" max="9998" width="9.42578125" style="505" customWidth="1"/>
    <col min="9999" max="9999" width="10.5703125" style="505" customWidth="1"/>
    <col min="10000" max="10000" width="11.140625" style="505" customWidth="1"/>
    <col min="10001" max="10240" width="18.5703125" style="505"/>
    <col min="10241" max="10241" width="9.42578125" style="505" customWidth="1"/>
    <col min="10242" max="10242" width="9" style="505" customWidth="1"/>
    <col min="10243" max="10243" width="18.5703125" style="505" customWidth="1"/>
    <col min="10244" max="10252" width="0" style="505" hidden="1" customWidth="1"/>
    <col min="10253" max="10253" width="12.5703125" style="505" customWidth="1"/>
    <col min="10254" max="10254" width="9.42578125" style="505" customWidth="1"/>
    <col min="10255" max="10255" width="10.5703125" style="505" customWidth="1"/>
    <col min="10256" max="10256" width="11.140625" style="505" customWidth="1"/>
    <col min="10257" max="10496" width="18.5703125" style="505"/>
    <col min="10497" max="10497" width="9.42578125" style="505" customWidth="1"/>
    <col min="10498" max="10498" width="9" style="505" customWidth="1"/>
    <col min="10499" max="10499" width="18.5703125" style="505" customWidth="1"/>
    <col min="10500" max="10508" width="0" style="505" hidden="1" customWidth="1"/>
    <col min="10509" max="10509" width="12.5703125" style="505" customWidth="1"/>
    <col min="10510" max="10510" width="9.42578125" style="505" customWidth="1"/>
    <col min="10511" max="10511" width="10.5703125" style="505" customWidth="1"/>
    <col min="10512" max="10512" width="11.140625" style="505" customWidth="1"/>
    <col min="10513" max="10752" width="18.5703125" style="505"/>
    <col min="10753" max="10753" width="9.42578125" style="505" customWidth="1"/>
    <col min="10754" max="10754" width="9" style="505" customWidth="1"/>
    <col min="10755" max="10755" width="18.5703125" style="505" customWidth="1"/>
    <col min="10756" max="10764" width="0" style="505" hidden="1" customWidth="1"/>
    <col min="10765" max="10765" width="12.5703125" style="505" customWidth="1"/>
    <col min="10766" max="10766" width="9.42578125" style="505" customWidth="1"/>
    <col min="10767" max="10767" width="10.5703125" style="505" customWidth="1"/>
    <col min="10768" max="10768" width="11.140625" style="505" customWidth="1"/>
    <col min="10769" max="11008" width="18.5703125" style="505"/>
    <col min="11009" max="11009" width="9.42578125" style="505" customWidth="1"/>
    <col min="11010" max="11010" width="9" style="505" customWidth="1"/>
    <col min="11011" max="11011" width="18.5703125" style="505" customWidth="1"/>
    <col min="11012" max="11020" width="0" style="505" hidden="1" customWidth="1"/>
    <col min="11021" max="11021" width="12.5703125" style="505" customWidth="1"/>
    <col min="11022" max="11022" width="9.42578125" style="505" customWidth="1"/>
    <col min="11023" max="11023" width="10.5703125" style="505" customWidth="1"/>
    <col min="11024" max="11024" width="11.140625" style="505" customWidth="1"/>
    <col min="11025" max="11264" width="18.5703125" style="505"/>
    <col min="11265" max="11265" width="9.42578125" style="505" customWidth="1"/>
    <col min="11266" max="11266" width="9" style="505" customWidth="1"/>
    <col min="11267" max="11267" width="18.5703125" style="505" customWidth="1"/>
    <col min="11268" max="11276" width="0" style="505" hidden="1" customWidth="1"/>
    <col min="11277" max="11277" width="12.5703125" style="505" customWidth="1"/>
    <col min="11278" max="11278" width="9.42578125" style="505" customWidth="1"/>
    <col min="11279" max="11279" width="10.5703125" style="505" customWidth="1"/>
    <col min="11280" max="11280" width="11.140625" style="505" customWidth="1"/>
    <col min="11281" max="11520" width="18.5703125" style="505"/>
    <col min="11521" max="11521" width="9.42578125" style="505" customWidth="1"/>
    <col min="11522" max="11522" width="9" style="505" customWidth="1"/>
    <col min="11523" max="11523" width="18.5703125" style="505" customWidth="1"/>
    <col min="11524" max="11532" width="0" style="505" hidden="1" customWidth="1"/>
    <col min="11533" max="11533" width="12.5703125" style="505" customWidth="1"/>
    <col min="11534" max="11534" width="9.42578125" style="505" customWidth="1"/>
    <col min="11535" max="11535" width="10.5703125" style="505" customWidth="1"/>
    <col min="11536" max="11536" width="11.140625" style="505" customWidth="1"/>
    <col min="11537" max="11776" width="18.5703125" style="505"/>
    <col min="11777" max="11777" width="9.42578125" style="505" customWidth="1"/>
    <col min="11778" max="11778" width="9" style="505" customWidth="1"/>
    <col min="11779" max="11779" width="18.5703125" style="505" customWidth="1"/>
    <col min="11780" max="11788" width="0" style="505" hidden="1" customWidth="1"/>
    <col min="11789" max="11789" width="12.5703125" style="505" customWidth="1"/>
    <col min="11790" max="11790" width="9.42578125" style="505" customWidth="1"/>
    <col min="11791" max="11791" width="10.5703125" style="505" customWidth="1"/>
    <col min="11792" max="11792" width="11.140625" style="505" customWidth="1"/>
    <col min="11793" max="12032" width="18.5703125" style="505"/>
    <col min="12033" max="12033" width="9.42578125" style="505" customWidth="1"/>
    <col min="12034" max="12034" width="9" style="505" customWidth="1"/>
    <col min="12035" max="12035" width="18.5703125" style="505" customWidth="1"/>
    <col min="12036" max="12044" width="0" style="505" hidden="1" customWidth="1"/>
    <col min="12045" max="12045" width="12.5703125" style="505" customWidth="1"/>
    <col min="12046" max="12046" width="9.42578125" style="505" customWidth="1"/>
    <col min="12047" max="12047" width="10.5703125" style="505" customWidth="1"/>
    <col min="12048" max="12048" width="11.140625" style="505" customWidth="1"/>
    <col min="12049" max="12288" width="18.5703125" style="505"/>
    <col min="12289" max="12289" width="9.42578125" style="505" customWidth="1"/>
    <col min="12290" max="12290" width="9" style="505" customWidth="1"/>
    <col min="12291" max="12291" width="18.5703125" style="505" customWidth="1"/>
    <col min="12292" max="12300" width="0" style="505" hidden="1" customWidth="1"/>
    <col min="12301" max="12301" width="12.5703125" style="505" customWidth="1"/>
    <col min="12302" max="12302" width="9.42578125" style="505" customWidth="1"/>
    <col min="12303" max="12303" width="10.5703125" style="505" customWidth="1"/>
    <col min="12304" max="12304" width="11.140625" style="505" customWidth="1"/>
    <col min="12305" max="12544" width="18.5703125" style="505"/>
    <col min="12545" max="12545" width="9.42578125" style="505" customWidth="1"/>
    <col min="12546" max="12546" width="9" style="505" customWidth="1"/>
    <col min="12547" max="12547" width="18.5703125" style="505" customWidth="1"/>
    <col min="12548" max="12556" width="0" style="505" hidden="1" customWidth="1"/>
    <col min="12557" max="12557" width="12.5703125" style="505" customWidth="1"/>
    <col min="12558" max="12558" width="9.42578125" style="505" customWidth="1"/>
    <col min="12559" max="12559" width="10.5703125" style="505" customWidth="1"/>
    <col min="12560" max="12560" width="11.140625" style="505" customWidth="1"/>
    <col min="12561" max="12800" width="18.5703125" style="505"/>
    <col min="12801" max="12801" width="9.42578125" style="505" customWidth="1"/>
    <col min="12802" max="12802" width="9" style="505" customWidth="1"/>
    <col min="12803" max="12803" width="18.5703125" style="505" customWidth="1"/>
    <col min="12804" max="12812" width="0" style="505" hidden="1" customWidth="1"/>
    <col min="12813" max="12813" width="12.5703125" style="505" customWidth="1"/>
    <col min="12814" max="12814" width="9.42578125" style="505" customWidth="1"/>
    <col min="12815" max="12815" width="10.5703125" style="505" customWidth="1"/>
    <col min="12816" max="12816" width="11.140625" style="505" customWidth="1"/>
    <col min="12817" max="13056" width="18.5703125" style="505"/>
    <col min="13057" max="13057" width="9.42578125" style="505" customWidth="1"/>
    <col min="13058" max="13058" width="9" style="505" customWidth="1"/>
    <col min="13059" max="13059" width="18.5703125" style="505" customWidth="1"/>
    <col min="13060" max="13068" width="0" style="505" hidden="1" customWidth="1"/>
    <col min="13069" max="13069" width="12.5703125" style="505" customWidth="1"/>
    <col min="13070" max="13070" width="9.42578125" style="505" customWidth="1"/>
    <col min="13071" max="13071" width="10.5703125" style="505" customWidth="1"/>
    <col min="13072" max="13072" width="11.140625" style="505" customWidth="1"/>
    <col min="13073" max="13312" width="18.5703125" style="505"/>
    <col min="13313" max="13313" width="9.42578125" style="505" customWidth="1"/>
    <col min="13314" max="13314" width="9" style="505" customWidth="1"/>
    <col min="13315" max="13315" width="18.5703125" style="505" customWidth="1"/>
    <col min="13316" max="13324" width="0" style="505" hidden="1" customWidth="1"/>
    <col min="13325" max="13325" width="12.5703125" style="505" customWidth="1"/>
    <col min="13326" max="13326" width="9.42578125" style="505" customWidth="1"/>
    <col min="13327" max="13327" width="10.5703125" style="505" customWidth="1"/>
    <col min="13328" max="13328" width="11.140625" style="505" customWidth="1"/>
    <col min="13329" max="13568" width="18.5703125" style="505"/>
    <col min="13569" max="13569" width="9.42578125" style="505" customWidth="1"/>
    <col min="13570" max="13570" width="9" style="505" customWidth="1"/>
    <col min="13571" max="13571" width="18.5703125" style="505" customWidth="1"/>
    <col min="13572" max="13580" width="0" style="505" hidden="1" customWidth="1"/>
    <col min="13581" max="13581" width="12.5703125" style="505" customWidth="1"/>
    <col min="13582" max="13582" width="9.42578125" style="505" customWidth="1"/>
    <col min="13583" max="13583" width="10.5703125" style="505" customWidth="1"/>
    <col min="13584" max="13584" width="11.140625" style="505" customWidth="1"/>
    <col min="13585" max="13824" width="18.5703125" style="505"/>
    <col min="13825" max="13825" width="9.42578125" style="505" customWidth="1"/>
    <col min="13826" max="13826" width="9" style="505" customWidth="1"/>
    <col min="13827" max="13827" width="18.5703125" style="505" customWidth="1"/>
    <col min="13828" max="13836" width="0" style="505" hidden="1" customWidth="1"/>
    <col min="13837" max="13837" width="12.5703125" style="505" customWidth="1"/>
    <col min="13838" max="13838" width="9.42578125" style="505" customWidth="1"/>
    <col min="13839" max="13839" width="10.5703125" style="505" customWidth="1"/>
    <col min="13840" max="13840" width="11.140625" style="505" customWidth="1"/>
    <col min="13841" max="14080" width="18.5703125" style="505"/>
    <col min="14081" max="14081" width="9.42578125" style="505" customWidth="1"/>
    <col min="14082" max="14082" width="9" style="505" customWidth="1"/>
    <col min="14083" max="14083" width="18.5703125" style="505" customWidth="1"/>
    <col min="14084" max="14092" width="0" style="505" hidden="1" customWidth="1"/>
    <col min="14093" max="14093" width="12.5703125" style="505" customWidth="1"/>
    <col min="14094" max="14094" width="9.42578125" style="505" customWidth="1"/>
    <col min="14095" max="14095" width="10.5703125" style="505" customWidth="1"/>
    <col min="14096" max="14096" width="11.140625" style="505" customWidth="1"/>
    <col min="14097" max="14336" width="18.5703125" style="505"/>
    <col min="14337" max="14337" width="9.42578125" style="505" customWidth="1"/>
    <col min="14338" max="14338" width="9" style="505" customWidth="1"/>
    <col min="14339" max="14339" width="18.5703125" style="505" customWidth="1"/>
    <col min="14340" max="14348" width="0" style="505" hidden="1" customWidth="1"/>
    <col min="14349" max="14349" width="12.5703125" style="505" customWidth="1"/>
    <col min="14350" max="14350" width="9.42578125" style="505" customWidth="1"/>
    <col min="14351" max="14351" width="10.5703125" style="505" customWidth="1"/>
    <col min="14352" max="14352" width="11.140625" style="505" customWidth="1"/>
    <col min="14353" max="14592" width="18.5703125" style="505"/>
    <col min="14593" max="14593" width="9.42578125" style="505" customWidth="1"/>
    <col min="14594" max="14594" width="9" style="505" customWidth="1"/>
    <col min="14595" max="14595" width="18.5703125" style="505" customWidth="1"/>
    <col min="14596" max="14604" width="0" style="505" hidden="1" customWidth="1"/>
    <col min="14605" max="14605" width="12.5703125" style="505" customWidth="1"/>
    <col min="14606" max="14606" width="9.42578125" style="505" customWidth="1"/>
    <col min="14607" max="14607" width="10.5703125" style="505" customWidth="1"/>
    <col min="14608" max="14608" width="11.140625" style="505" customWidth="1"/>
    <col min="14609" max="14848" width="18.5703125" style="505"/>
    <col min="14849" max="14849" width="9.42578125" style="505" customWidth="1"/>
    <col min="14850" max="14850" width="9" style="505" customWidth="1"/>
    <col min="14851" max="14851" width="18.5703125" style="505" customWidth="1"/>
    <col min="14852" max="14860" width="0" style="505" hidden="1" customWidth="1"/>
    <col min="14861" max="14861" width="12.5703125" style="505" customWidth="1"/>
    <col min="14862" max="14862" width="9.42578125" style="505" customWidth="1"/>
    <col min="14863" max="14863" width="10.5703125" style="505" customWidth="1"/>
    <col min="14864" max="14864" width="11.140625" style="505" customWidth="1"/>
    <col min="14865" max="15104" width="18.5703125" style="505"/>
    <col min="15105" max="15105" width="9.42578125" style="505" customWidth="1"/>
    <col min="15106" max="15106" width="9" style="505" customWidth="1"/>
    <col min="15107" max="15107" width="18.5703125" style="505" customWidth="1"/>
    <col min="15108" max="15116" width="0" style="505" hidden="1" customWidth="1"/>
    <col min="15117" max="15117" width="12.5703125" style="505" customWidth="1"/>
    <col min="15118" max="15118" width="9.42578125" style="505" customWidth="1"/>
    <col min="15119" max="15119" width="10.5703125" style="505" customWidth="1"/>
    <col min="15120" max="15120" width="11.140625" style="505" customWidth="1"/>
    <col min="15121" max="15360" width="18.5703125" style="505"/>
    <col min="15361" max="15361" width="9.42578125" style="505" customWidth="1"/>
    <col min="15362" max="15362" width="9" style="505" customWidth="1"/>
    <col min="15363" max="15363" width="18.5703125" style="505" customWidth="1"/>
    <col min="15364" max="15372" width="0" style="505" hidden="1" customWidth="1"/>
    <col min="15373" max="15373" width="12.5703125" style="505" customWidth="1"/>
    <col min="15374" max="15374" width="9.42578125" style="505" customWidth="1"/>
    <col min="15375" max="15375" width="10.5703125" style="505" customWidth="1"/>
    <col min="15376" max="15376" width="11.140625" style="505" customWidth="1"/>
    <col min="15377" max="15616" width="18.5703125" style="505"/>
    <col min="15617" max="15617" width="9.42578125" style="505" customWidth="1"/>
    <col min="15618" max="15618" width="9" style="505" customWidth="1"/>
    <col min="15619" max="15619" width="18.5703125" style="505" customWidth="1"/>
    <col min="15620" max="15628" width="0" style="505" hidden="1" customWidth="1"/>
    <col min="15629" max="15629" width="12.5703125" style="505" customWidth="1"/>
    <col min="15630" max="15630" width="9.42578125" style="505" customWidth="1"/>
    <col min="15631" max="15631" width="10.5703125" style="505" customWidth="1"/>
    <col min="15632" max="15632" width="11.140625" style="505" customWidth="1"/>
    <col min="15633" max="15872" width="18.5703125" style="505"/>
    <col min="15873" max="15873" width="9.42578125" style="505" customWidth="1"/>
    <col min="15874" max="15874" width="9" style="505" customWidth="1"/>
    <col min="15875" max="15875" width="18.5703125" style="505" customWidth="1"/>
    <col min="15876" max="15884" width="0" style="505" hidden="1" customWidth="1"/>
    <col min="15885" max="15885" width="12.5703125" style="505" customWidth="1"/>
    <col min="15886" max="15886" width="9.42578125" style="505" customWidth="1"/>
    <col min="15887" max="15887" width="10.5703125" style="505" customWidth="1"/>
    <col min="15888" max="15888" width="11.140625" style="505" customWidth="1"/>
    <col min="15889" max="16128" width="18.5703125" style="505"/>
    <col min="16129" max="16129" width="9.42578125" style="505" customWidth="1"/>
    <col min="16130" max="16130" width="9" style="505" customWidth="1"/>
    <col min="16131" max="16131" width="18.5703125" style="505" customWidth="1"/>
    <col min="16132" max="16140" width="0" style="505" hidden="1" customWidth="1"/>
    <col min="16141" max="16141" width="12.5703125" style="505" customWidth="1"/>
    <col min="16142" max="16142" width="9.42578125" style="505" customWidth="1"/>
    <col min="16143" max="16143" width="10.5703125" style="505" customWidth="1"/>
    <col min="16144" max="16144" width="11.140625" style="505" customWidth="1"/>
    <col min="16145" max="16384" width="18.5703125" style="505"/>
  </cols>
  <sheetData>
    <row r="1" spans="1:21" ht="38.25">
      <c r="A1" s="499" t="s">
        <v>591</v>
      </c>
      <c r="B1" s="499" t="s">
        <v>592</v>
      </c>
      <c r="C1" s="499" t="s">
        <v>593</v>
      </c>
      <c r="D1" s="499" t="s">
        <v>867</v>
      </c>
      <c r="E1" s="499" t="s">
        <v>820</v>
      </c>
      <c r="F1" s="499" t="s">
        <v>821</v>
      </c>
      <c r="G1" s="499" t="s">
        <v>822</v>
      </c>
      <c r="H1" s="499" t="s">
        <v>823</v>
      </c>
      <c r="I1" s="499" t="s">
        <v>824</v>
      </c>
      <c r="J1" s="499" t="s">
        <v>825</v>
      </c>
      <c r="K1" s="499" t="s">
        <v>826</v>
      </c>
      <c r="L1" s="499" t="s">
        <v>827</v>
      </c>
      <c r="M1" s="500" t="s">
        <v>887</v>
      </c>
      <c r="N1" s="501" t="s">
        <v>888</v>
      </c>
      <c r="O1" s="502" t="s">
        <v>889</v>
      </c>
      <c r="P1" s="503" t="s">
        <v>890</v>
      </c>
      <c r="Q1" s="504" t="s">
        <v>891</v>
      </c>
      <c r="R1" s="519" t="s">
        <v>892</v>
      </c>
      <c r="T1" s="520" t="s">
        <v>893</v>
      </c>
      <c r="U1" s="521" t="s">
        <v>894</v>
      </c>
    </row>
    <row r="2" spans="1:21">
      <c r="A2" s="506" t="s">
        <v>594</v>
      </c>
      <c r="B2" s="506" t="s">
        <v>132</v>
      </c>
      <c r="C2" s="506" t="s">
        <v>133</v>
      </c>
      <c r="D2" s="507">
        <v>207</v>
      </c>
      <c r="E2" s="508">
        <v>234</v>
      </c>
      <c r="F2" s="508">
        <v>237</v>
      </c>
      <c r="G2" s="508">
        <v>237</v>
      </c>
      <c r="H2" s="508">
        <v>236</v>
      </c>
      <c r="I2" s="508">
        <v>240</v>
      </c>
      <c r="J2" s="508">
        <v>239</v>
      </c>
      <c r="K2" s="508">
        <v>240</v>
      </c>
      <c r="L2" s="508">
        <v>237</v>
      </c>
      <c r="M2" s="509">
        <v>237.5</v>
      </c>
      <c r="N2" s="506"/>
      <c r="P2" s="510">
        <f t="shared" ref="P2:P65" si="0">SUM(M2:O2)</f>
        <v>237.5</v>
      </c>
      <c r="Q2" s="511">
        <v>16622335</v>
      </c>
      <c r="T2" s="522">
        <v>237.5</v>
      </c>
      <c r="U2" s="523">
        <f>T2-M2</f>
        <v>0</v>
      </c>
    </row>
    <row r="3" spans="1:21">
      <c r="A3" s="506" t="s">
        <v>594</v>
      </c>
      <c r="B3" s="506" t="s">
        <v>262</v>
      </c>
      <c r="C3" s="506" t="s">
        <v>263</v>
      </c>
      <c r="D3" s="512">
        <v>0</v>
      </c>
      <c r="E3" s="508">
        <v>0</v>
      </c>
      <c r="F3" s="508">
        <v>0</v>
      </c>
      <c r="G3" s="508">
        <v>0</v>
      </c>
      <c r="H3" s="508">
        <v>0</v>
      </c>
      <c r="I3" s="508">
        <v>0</v>
      </c>
      <c r="J3" s="508">
        <v>0</v>
      </c>
      <c r="K3" s="508">
        <v>0</v>
      </c>
      <c r="L3" s="508">
        <v>0</v>
      </c>
      <c r="M3" s="509">
        <v>0</v>
      </c>
      <c r="N3" s="506"/>
      <c r="P3" s="510">
        <f t="shared" si="0"/>
        <v>0</v>
      </c>
      <c r="Q3" s="513">
        <v>-831116.75</v>
      </c>
      <c r="T3" s="522">
        <v>0</v>
      </c>
      <c r="U3" s="523">
        <f t="shared" ref="U3:U66" si="1">T3-M3</f>
        <v>0</v>
      </c>
    </row>
    <row r="4" spans="1:21">
      <c r="A4" s="506" t="s">
        <v>603</v>
      </c>
      <c r="B4" s="506" t="s">
        <v>283</v>
      </c>
      <c r="C4" s="506" t="s">
        <v>284</v>
      </c>
      <c r="D4" s="512">
        <v>0</v>
      </c>
      <c r="E4" s="508">
        <v>0</v>
      </c>
      <c r="F4" s="508">
        <v>0</v>
      </c>
      <c r="G4" s="508">
        <v>0</v>
      </c>
      <c r="H4" s="508">
        <v>0</v>
      </c>
      <c r="I4" s="508">
        <v>0</v>
      </c>
      <c r="J4" s="508">
        <v>0</v>
      </c>
      <c r="K4" s="508">
        <v>0</v>
      </c>
      <c r="L4" s="508">
        <v>0</v>
      </c>
      <c r="M4" s="509">
        <v>0</v>
      </c>
      <c r="N4" s="506"/>
      <c r="P4" s="510">
        <f t="shared" si="0"/>
        <v>0</v>
      </c>
      <c r="Q4" s="513">
        <v>-100000</v>
      </c>
      <c r="T4" s="522">
        <v>0</v>
      </c>
      <c r="U4" s="523">
        <f t="shared" si="1"/>
        <v>0</v>
      </c>
    </row>
    <row r="5" spans="1:21">
      <c r="A5" s="506" t="s">
        <v>595</v>
      </c>
      <c r="B5" s="506" t="s">
        <v>380</v>
      </c>
      <c r="C5" s="506" t="s">
        <v>381</v>
      </c>
      <c r="D5" s="512">
        <v>47</v>
      </c>
      <c r="E5" s="508">
        <v>50</v>
      </c>
      <c r="F5" s="508">
        <v>53</v>
      </c>
      <c r="G5" s="508">
        <v>58</v>
      </c>
      <c r="H5" s="508">
        <v>58</v>
      </c>
      <c r="I5" s="508">
        <v>57</v>
      </c>
      <c r="J5" s="508">
        <v>59</v>
      </c>
      <c r="K5" s="508">
        <v>59</v>
      </c>
      <c r="L5" s="508">
        <v>60</v>
      </c>
      <c r="M5" s="509">
        <v>56.75</v>
      </c>
      <c r="N5" s="506"/>
      <c r="P5" s="510">
        <f t="shared" si="0"/>
        <v>56.75</v>
      </c>
      <c r="Q5" s="513">
        <v>15691218.25</v>
      </c>
      <c r="T5" s="522">
        <v>56.75</v>
      </c>
      <c r="U5" s="523">
        <f t="shared" si="1"/>
        <v>0</v>
      </c>
    </row>
    <row r="6" spans="1:21">
      <c r="A6" s="506" t="s">
        <v>595</v>
      </c>
      <c r="B6" s="506" t="s">
        <v>403</v>
      </c>
      <c r="C6" s="506" t="s">
        <v>404</v>
      </c>
      <c r="D6" s="512">
        <v>177</v>
      </c>
      <c r="E6" s="508">
        <v>177</v>
      </c>
      <c r="F6" s="508">
        <v>183</v>
      </c>
      <c r="G6" s="508">
        <v>184</v>
      </c>
      <c r="H6" s="508">
        <v>183</v>
      </c>
      <c r="I6" s="508">
        <v>176</v>
      </c>
      <c r="J6" s="508">
        <v>169</v>
      </c>
      <c r="K6" s="508">
        <v>169</v>
      </c>
      <c r="L6" s="508">
        <v>167</v>
      </c>
      <c r="M6" s="509">
        <v>176</v>
      </c>
      <c r="N6" s="506"/>
      <c r="P6" s="510">
        <f t="shared" si="0"/>
        <v>176</v>
      </c>
      <c r="Q6" s="514"/>
      <c r="T6" s="522">
        <v>176</v>
      </c>
      <c r="U6" s="523">
        <f t="shared" si="1"/>
        <v>0</v>
      </c>
    </row>
    <row r="7" spans="1:21">
      <c r="A7" s="506" t="s">
        <v>596</v>
      </c>
      <c r="B7" s="506" t="s">
        <v>12</v>
      </c>
      <c r="C7" s="506" t="s">
        <v>13</v>
      </c>
      <c r="D7" s="512">
        <v>0</v>
      </c>
      <c r="E7" s="508">
        <v>0</v>
      </c>
      <c r="F7" s="508">
        <v>0</v>
      </c>
      <c r="G7" s="508">
        <v>0</v>
      </c>
      <c r="H7" s="508">
        <v>0</v>
      </c>
      <c r="I7" s="508">
        <v>0</v>
      </c>
      <c r="J7" s="508">
        <v>0</v>
      </c>
      <c r="K7" s="508">
        <v>0</v>
      </c>
      <c r="L7" s="508">
        <v>0</v>
      </c>
      <c r="M7" s="509">
        <v>0</v>
      </c>
      <c r="N7" s="506"/>
      <c r="P7" s="510">
        <f t="shared" si="0"/>
        <v>0</v>
      </c>
      <c r="Q7" s="513"/>
      <c r="T7" s="522">
        <v>0</v>
      </c>
      <c r="U7" s="523">
        <f t="shared" si="1"/>
        <v>0</v>
      </c>
    </row>
    <row r="8" spans="1:21">
      <c r="A8" s="506" t="s">
        <v>597</v>
      </c>
      <c r="B8" s="506" t="s">
        <v>195</v>
      </c>
      <c r="C8" s="506" t="s">
        <v>196</v>
      </c>
      <c r="D8" s="512">
        <v>1670</v>
      </c>
      <c r="E8" s="508">
        <v>1813</v>
      </c>
      <c r="F8" s="508">
        <v>1823</v>
      </c>
      <c r="G8" s="508">
        <v>1841</v>
      </c>
      <c r="H8" s="508">
        <v>1827</v>
      </c>
      <c r="I8" s="508">
        <v>1819</v>
      </c>
      <c r="J8" s="508">
        <v>1813</v>
      </c>
      <c r="K8" s="508">
        <v>1809</v>
      </c>
      <c r="L8" s="508">
        <v>1814</v>
      </c>
      <c r="M8" s="509">
        <v>1819.88</v>
      </c>
      <c r="N8" s="515">
        <v>2</v>
      </c>
      <c r="P8" s="510">
        <f t="shared" si="0"/>
        <v>1821.88</v>
      </c>
      <c r="Q8" s="513"/>
      <c r="T8" s="522">
        <v>1819.88</v>
      </c>
      <c r="U8" s="523">
        <f t="shared" si="1"/>
        <v>0</v>
      </c>
    </row>
    <row r="9" spans="1:21">
      <c r="A9" s="506" t="s">
        <v>597</v>
      </c>
      <c r="B9" s="506" t="s">
        <v>213</v>
      </c>
      <c r="C9" s="506" t="s">
        <v>598</v>
      </c>
      <c r="D9" s="512">
        <v>26</v>
      </c>
      <c r="E9" s="508">
        <v>32</v>
      </c>
      <c r="F9" s="508">
        <v>33</v>
      </c>
      <c r="G9" s="508">
        <v>33</v>
      </c>
      <c r="H9" s="508">
        <v>32</v>
      </c>
      <c r="I9" s="508">
        <v>33</v>
      </c>
      <c r="J9" s="508">
        <v>33</v>
      </c>
      <c r="K9" s="508">
        <v>33</v>
      </c>
      <c r="L9" s="508">
        <v>33</v>
      </c>
      <c r="M9" s="509">
        <v>32.75</v>
      </c>
      <c r="N9" s="506"/>
      <c r="P9" s="510">
        <f t="shared" si="0"/>
        <v>32.75</v>
      </c>
      <c r="Q9" s="513"/>
      <c r="T9" s="522">
        <v>32.75</v>
      </c>
      <c r="U9" s="523">
        <f t="shared" si="1"/>
        <v>0</v>
      </c>
    </row>
    <row r="10" spans="1:21">
      <c r="A10" s="506" t="s">
        <v>599</v>
      </c>
      <c r="B10" s="506" t="s">
        <v>62</v>
      </c>
      <c r="C10" s="506" t="s">
        <v>63</v>
      </c>
      <c r="D10" s="512">
        <v>571</v>
      </c>
      <c r="E10" s="508">
        <v>666</v>
      </c>
      <c r="F10" s="508">
        <v>684</v>
      </c>
      <c r="G10" s="508">
        <v>682</v>
      </c>
      <c r="H10" s="508">
        <v>679</v>
      </c>
      <c r="I10" s="508">
        <v>685</v>
      </c>
      <c r="J10" s="508">
        <v>682</v>
      </c>
      <c r="K10" s="508">
        <v>683</v>
      </c>
      <c r="L10" s="508">
        <v>678</v>
      </c>
      <c r="M10" s="509">
        <v>679.88</v>
      </c>
      <c r="N10" s="506"/>
      <c r="P10" s="510">
        <f t="shared" si="0"/>
        <v>679.88</v>
      </c>
      <c r="Q10" s="513"/>
      <c r="T10" s="522">
        <v>679.88</v>
      </c>
      <c r="U10" s="523">
        <f t="shared" si="1"/>
        <v>0</v>
      </c>
    </row>
    <row r="11" spans="1:21">
      <c r="A11" s="506" t="s">
        <v>597</v>
      </c>
      <c r="B11" s="506" t="s">
        <v>189</v>
      </c>
      <c r="C11" s="506" t="s">
        <v>190</v>
      </c>
      <c r="D11" s="512">
        <v>1562</v>
      </c>
      <c r="E11" s="508">
        <v>1691</v>
      </c>
      <c r="F11" s="508">
        <v>1692</v>
      </c>
      <c r="G11" s="508">
        <v>1694</v>
      </c>
      <c r="H11" s="508">
        <v>1691</v>
      </c>
      <c r="I11" s="508">
        <v>1720</v>
      </c>
      <c r="J11" s="508">
        <v>1699</v>
      </c>
      <c r="K11" s="508">
        <v>1721</v>
      </c>
      <c r="L11" s="508">
        <v>1719</v>
      </c>
      <c r="M11" s="509">
        <v>1703.38</v>
      </c>
      <c r="N11" s="515">
        <v>17</v>
      </c>
      <c r="P11" s="510">
        <f t="shared" si="0"/>
        <v>1720.38</v>
      </c>
      <c r="Q11" s="513"/>
      <c r="T11" s="522">
        <v>1703.38</v>
      </c>
      <c r="U11" s="523">
        <f t="shared" si="1"/>
        <v>0</v>
      </c>
    </row>
    <row r="12" spans="1:21">
      <c r="A12" s="506" t="s">
        <v>595</v>
      </c>
      <c r="B12" s="506" t="s">
        <v>504</v>
      </c>
      <c r="C12" s="506" t="s">
        <v>505</v>
      </c>
      <c r="D12" s="512">
        <v>502</v>
      </c>
      <c r="E12" s="508">
        <v>604</v>
      </c>
      <c r="F12" s="508">
        <v>609</v>
      </c>
      <c r="G12" s="508">
        <v>612</v>
      </c>
      <c r="H12" s="508">
        <v>616</v>
      </c>
      <c r="I12" s="508">
        <v>624</v>
      </c>
      <c r="J12" s="508">
        <v>626</v>
      </c>
      <c r="K12" s="508">
        <v>616</v>
      </c>
      <c r="L12" s="508">
        <v>610</v>
      </c>
      <c r="M12" s="509">
        <v>614.63</v>
      </c>
      <c r="N12" s="506"/>
      <c r="P12" s="510">
        <f t="shared" si="0"/>
        <v>614.63</v>
      </c>
      <c r="Q12" s="513"/>
      <c r="T12" s="522">
        <v>614.63</v>
      </c>
      <c r="U12" s="523">
        <f t="shared" si="1"/>
        <v>0</v>
      </c>
    </row>
    <row r="13" spans="1:21">
      <c r="A13" s="506" t="s">
        <v>603</v>
      </c>
      <c r="B13" s="506" t="s">
        <v>2</v>
      </c>
      <c r="C13" s="506" t="s">
        <v>3</v>
      </c>
      <c r="D13" s="512">
        <v>0</v>
      </c>
      <c r="E13" s="508">
        <v>0</v>
      </c>
      <c r="F13" s="508">
        <v>0</v>
      </c>
      <c r="G13" s="508">
        <v>0</v>
      </c>
      <c r="H13" s="508">
        <v>0</v>
      </c>
      <c r="I13" s="508">
        <v>0</v>
      </c>
      <c r="J13" s="508">
        <v>0</v>
      </c>
      <c r="K13" s="508">
        <v>0</v>
      </c>
      <c r="L13" s="508">
        <v>0</v>
      </c>
      <c r="M13" s="509">
        <v>0</v>
      </c>
      <c r="N13" s="506"/>
      <c r="P13" s="510">
        <f t="shared" si="0"/>
        <v>0</v>
      </c>
      <c r="Q13" s="513"/>
      <c r="T13" s="522">
        <v>0</v>
      </c>
      <c r="U13" s="523">
        <f t="shared" si="1"/>
        <v>0</v>
      </c>
    </row>
    <row r="14" spans="1:21">
      <c r="A14" s="506" t="s">
        <v>597</v>
      </c>
      <c r="B14" s="506" t="s">
        <v>363</v>
      </c>
      <c r="C14" s="506" t="s">
        <v>364</v>
      </c>
      <c r="D14" s="512">
        <v>249</v>
      </c>
      <c r="E14" s="508">
        <v>261</v>
      </c>
      <c r="F14" s="508">
        <v>263</v>
      </c>
      <c r="G14" s="508">
        <v>270</v>
      </c>
      <c r="H14" s="508">
        <v>266</v>
      </c>
      <c r="I14" s="508">
        <v>267</v>
      </c>
      <c r="J14" s="508">
        <v>267</v>
      </c>
      <c r="K14" s="508">
        <v>269</v>
      </c>
      <c r="L14" s="508">
        <v>269</v>
      </c>
      <c r="M14" s="509">
        <v>266.5</v>
      </c>
      <c r="N14" s="506"/>
      <c r="P14" s="510">
        <f t="shared" si="0"/>
        <v>266.5</v>
      </c>
      <c r="Q14" s="513"/>
      <c r="T14" s="522">
        <v>266.5</v>
      </c>
      <c r="U14" s="523">
        <f t="shared" si="1"/>
        <v>0</v>
      </c>
    </row>
    <row r="15" spans="1:21">
      <c r="A15" s="506" t="s">
        <v>605</v>
      </c>
      <c r="B15" s="506" t="s">
        <v>234</v>
      </c>
      <c r="C15" s="506" t="s">
        <v>235</v>
      </c>
      <c r="D15" s="512">
        <v>0</v>
      </c>
      <c r="E15" s="508">
        <v>0</v>
      </c>
      <c r="F15" s="508">
        <v>0</v>
      </c>
      <c r="G15" s="508">
        <v>0</v>
      </c>
      <c r="H15" s="508">
        <v>0</v>
      </c>
      <c r="I15" s="508">
        <v>0</v>
      </c>
      <c r="J15" s="508">
        <v>0</v>
      </c>
      <c r="K15" s="508">
        <v>0</v>
      </c>
      <c r="L15" s="508">
        <v>0</v>
      </c>
      <c r="M15" s="509">
        <v>0</v>
      </c>
      <c r="N15" s="506"/>
      <c r="P15" s="510">
        <f t="shared" si="0"/>
        <v>0</v>
      </c>
      <c r="Q15" s="513"/>
      <c r="T15" s="522">
        <v>0</v>
      </c>
      <c r="U15" s="523">
        <f t="shared" si="1"/>
        <v>0</v>
      </c>
    </row>
    <row r="16" spans="1:21">
      <c r="A16" s="506" t="s">
        <v>595</v>
      </c>
      <c r="B16" s="506" t="s">
        <v>508</v>
      </c>
      <c r="C16" s="506" t="s">
        <v>509</v>
      </c>
      <c r="D16" s="512">
        <v>76</v>
      </c>
      <c r="E16" s="508">
        <v>89</v>
      </c>
      <c r="F16" s="508">
        <v>91</v>
      </c>
      <c r="G16" s="508">
        <v>93</v>
      </c>
      <c r="H16" s="508">
        <v>91</v>
      </c>
      <c r="I16" s="508">
        <v>89</v>
      </c>
      <c r="J16" s="508">
        <v>90</v>
      </c>
      <c r="K16" s="508">
        <v>90</v>
      </c>
      <c r="L16" s="508">
        <v>89</v>
      </c>
      <c r="M16" s="509">
        <v>90.25</v>
      </c>
      <c r="N16" s="506"/>
      <c r="P16" s="510">
        <f t="shared" si="0"/>
        <v>90.25</v>
      </c>
      <c r="Q16" s="513"/>
      <c r="T16" s="522">
        <v>90.25</v>
      </c>
      <c r="U16" s="523">
        <f t="shared" si="1"/>
        <v>0</v>
      </c>
    </row>
    <row r="17" spans="1:21">
      <c r="A17" s="506" t="s">
        <v>594</v>
      </c>
      <c r="B17" s="506" t="s">
        <v>266</v>
      </c>
      <c r="C17" s="506" t="s">
        <v>267</v>
      </c>
      <c r="D17" s="512">
        <v>0</v>
      </c>
      <c r="E17" s="508">
        <v>0</v>
      </c>
      <c r="F17" s="508">
        <v>0</v>
      </c>
      <c r="G17" s="508">
        <v>0</v>
      </c>
      <c r="H17" s="508">
        <v>0</v>
      </c>
      <c r="I17" s="508">
        <v>0</v>
      </c>
      <c r="J17" s="508">
        <v>0</v>
      </c>
      <c r="K17" s="508">
        <v>0</v>
      </c>
      <c r="L17" s="508">
        <v>0</v>
      </c>
      <c r="M17" s="509">
        <v>0</v>
      </c>
      <c r="N17" s="506"/>
      <c r="P17" s="510">
        <f t="shared" si="0"/>
        <v>0</v>
      </c>
      <c r="Q17" s="513"/>
      <c r="T17" s="522">
        <v>0</v>
      </c>
      <c r="U17" s="523">
        <f t="shared" si="1"/>
        <v>0</v>
      </c>
    </row>
    <row r="18" spans="1:21">
      <c r="A18" s="506" t="s">
        <v>600</v>
      </c>
      <c r="B18" s="506" t="s">
        <v>211</v>
      </c>
      <c r="C18" s="506" t="s">
        <v>212</v>
      </c>
      <c r="D18" s="512">
        <v>90</v>
      </c>
      <c r="E18" s="508">
        <v>123</v>
      </c>
      <c r="F18" s="508">
        <v>121</v>
      </c>
      <c r="G18" s="508">
        <v>127</v>
      </c>
      <c r="H18" s="508">
        <v>129</v>
      </c>
      <c r="I18" s="508">
        <v>126</v>
      </c>
      <c r="J18" s="508">
        <v>128</v>
      </c>
      <c r="K18" s="508">
        <v>127</v>
      </c>
      <c r="L18" s="508">
        <v>132</v>
      </c>
      <c r="M18" s="509">
        <v>126.63</v>
      </c>
      <c r="N18" s="506"/>
      <c r="P18" s="510">
        <f t="shared" si="0"/>
        <v>126.63</v>
      </c>
      <c r="Q18" s="513"/>
      <c r="T18" s="522">
        <v>126.63</v>
      </c>
      <c r="U18" s="523">
        <f t="shared" si="1"/>
        <v>0</v>
      </c>
    </row>
    <row r="19" spans="1:21">
      <c r="A19" s="506" t="s">
        <v>601</v>
      </c>
      <c r="B19" s="506" t="s">
        <v>315</v>
      </c>
      <c r="C19" s="506" t="s">
        <v>316</v>
      </c>
      <c r="D19" s="512">
        <v>317</v>
      </c>
      <c r="E19" s="508">
        <v>380</v>
      </c>
      <c r="F19" s="508">
        <v>390</v>
      </c>
      <c r="G19" s="508">
        <v>384</v>
      </c>
      <c r="H19" s="508">
        <v>373</v>
      </c>
      <c r="I19" s="508">
        <v>396</v>
      </c>
      <c r="J19" s="508">
        <v>397</v>
      </c>
      <c r="K19" s="508">
        <v>396</v>
      </c>
      <c r="L19" s="508">
        <v>388</v>
      </c>
      <c r="M19" s="509">
        <v>388</v>
      </c>
      <c r="N19" s="506"/>
      <c r="P19" s="510">
        <f t="shared" si="0"/>
        <v>388</v>
      </c>
      <c r="Q19" s="513"/>
      <c r="T19" s="522">
        <v>388</v>
      </c>
      <c r="U19" s="523">
        <f t="shared" si="1"/>
        <v>0</v>
      </c>
    </row>
    <row r="20" spans="1:21">
      <c r="A20" s="506" t="s">
        <v>601</v>
      </c>
      <c r="B20" s="506" t="s">
        <v>84</v>
      </c>
      <c r="C20" s="506" t="s">
        <v>85</v>
      </c>
      <c r="D20" s="512">
        <v>272</v>
      </c>
      <c r="E20" s="508">
        <v>269</v>
      </c>
      <c r="F20" s="508">
        <v>264</v>
      </c>
      <c r="G20" s="508">
        <v>327</v>
      </c>
      <c r="H20" s="508">
        <v>325</v>
      </c>
      <c r="I20" s="508">
        <v>328</v>
      </c>
      <c r="J20" s="508">
        <v>322</v>
      </c>
      <c r="K20" s="508">
        <v>327</v>
      </c>
      <c r="L20" s="508">
        <v>324</v>
      </c>
      <c r="M20" s="509">
        <v>310.75</v>
      </c>
      <c r="N20" s="506"/>
      <c r="P20" s="510">
        <f t="shared" si="0"/>
        <v>310.75</v>
      </c>
      <c r="Q20" s="513"/>
      <c r="T20" s="522">
        <v>310.75</v>
      </c>
      <c r="U20" s="523">
        <f t="shared" si="1"/>
        <v>0</v>
      </c>
    </row>
    <row r="21" spans="1:21">
      <c r="A21" s="506" t="s">
        <v>600</v>
      </c>
      <c r="B21" s="506" t="s">
        <v>165</v>
      </c>
      <c r="C21" s="506" t="s">
        <v>166</v>
      </c>
      <c r="D21" s="512">
        <v>0</v>
      </c>
      <c r="E21" s="508">
        <v>0</v>
      </c>
      <c r="F21" s="508">
        <v>0</v>
      </c>
      <c r="G21" s="508">
        <v>0</v>
      </c>
      <c r="H21" s="508">
        <v>0</v>
      </c>
      <c r="I21" s="508">
        <v>0</v>
      </c>
      <c r="J21" s="508">
        <v>0</v>
      </c>
      <c r="K21" s="508">
        <v>0</v>
      </c>
      <c r="L21" s="508">
        <v>0</v>
      </c>
      <c r="M21" s="509">
        <v>0</v>
      </c>
      <c r="N21" s="506"/>
      <c r="P21" s="510">
        <f t="shared" si="0"/>
        <v>0</v>
      </c>
      <c r="Q21" s="513"/>
      <c r="T21" s="522">
        <v>0</v>
      </c>
      <c r="U21" s="523">
        <f t="shared" si="1"/>
        <v>0</v>
      </c>
    </row>
    <row r="22" spans="1:21">
      <c r="A22" s="506" t="s">
        <v>595</v>
      </c>
      <c r="B22" s="506" t="s">
        <v>378</v>
      </c>
      <c r="C22" s="506" t="s">
        <v>602</v>
      </c>
      <c r="D22" s="512">
        <v>552</v>
      </c>
      <c r="E22" s="508">
        <v>663</v>
      </c>
      <c r="F22" s="508">
        <v>637</v>
      </c>
      <c r="G22" s="508">
        <v>627</v>
      </c>
      <c r="H22" s="508">
        <v>625</v>
      </c>
      <c r="I22" s="508">
        <v>624</v>
      </c>
      <c r="J22" s="508">
        <v>617</v>
      </c>
      <c r="K22" s="508">
        <v>617</v>
      </c>
      <c r="L22" s="508">
        <v>614</v>
      </c>
      <c r="M22" s="509">
        <v>628</v>
      </c>
      <c r="N22" s="506"/>
      <c r="P22" s="510">
        <f t="shared" si="0"/>
        <v>628</v>
      </c>
      <c r="Q22" s="513"/>
      <c r="T22" s="522">
        <v>628</v>
      </c>
      <c r="U22" s="523">
        <f t="shared" si="1"/>
        <v>0</v>
      </c>
    </row>
    <row r="23" spans="1:21">
      <c r="A23" s="506" t="s">
        <v>599</v>
      </c>
      <c r="B23" s="506" t="s">
        <v>60</v>
      </c>
      <c r="C23" s="506" t="s">
        <v>61</v>
      </c>
      <c r="D23" s="512">
        <v>80</v>
      </c>
      <c r="E23" s="508">
        <v>104</v>
      </c>
      <c r="F23" s="508">
        <v>105</v>
      </c>
      <c r="G23" s="508">
        <v>108</v>
      </c>
      <c r="H23" s="508">
        <v>108</v>
      </c>
      <c r="I23" s="508">
        <v>111</v>
      </c>
      <c r="J23" s="508">
        <v>111</v>
      </c>
      <c r="K23" s="508">
        <v>108</v>
      </c>
      <c r="L23" s="508">
        <v>106</v>
      </c>
      <c r="M23" s="509">
        <v>107.63</v>
      </c>
      <c r="N23" s="506"/>
      <c r="P23" s="510">
        <f t="shared" si="0"/>
        <v>107.63</v>
      </c>
      <c r="Q23" s="513"/>
      <c r="T23" s="522">
        <v>107.63</v>
      </c>
      <c r="U23" s="523">
        <f t="shared" si="1"/>
        <v>0</v>
      </c>
    </row>
    <row r="24" spans="1:21">
      <c r="A24" s="506" t="s">
        <v>600</v>
      </c>
      <c r="B24" s="506" t="s">
        <v>45</v>
      </c>
      <c r="C24" s="506" t="s">
        <v>46</v>
      </c>
      <c r="D24" s="512">
        <v>0</v>
      </c>
      <c r="E24" s="508">
        <v>0</v>
      </c>
      <c r="F24" s="508">
        <v>0</v>
      </c>
      <c r="G24" s="508">
        <v>0</v>
      </c>
      <c r="H24" s="508">
        <v>0</v>
      </c>
      <c r="I24" s="508">
        <v>0</v>
      </c>
      <c r="J24" s="508">
        <v>0</v>
      </c>
      <c r="K24" s="508">
        <v>0</v>
      </c>
      <c r="L24" s="508">
        <v>0</v>
      </c>
      <c r="M24" s="509">
        <v>0</v>
      </c>
      <c r="N24" s="506"/>
      <c r="P24" s="510">
        <f t="shared" si="0"/>
        <v>0</v>
      </c>
      <c r="Q24" s="513"/>
      <c r="T24" s="522">
        <v>0</v>
      </c>
      <c r="U24" s="523">
        <f t="shared" si="1"/>
        <v>0</v>
      </c>
    </row>
    <row r="25" spans="1:21">
      <c r="A25" s="506" t="s">
        <v>597</v>
      </c>
      <c r="B25" s="506" t="s">
        <v>347</v>
      </c>
      <c r="C25" s="506" t="s">
        <v>348</v>
      </c>
      <c r="D25" s="512">
        <v>0</v>
      </c>
      <c r="E25" s="508">
        <v>0</v>
      </c>
      <c r="F25" s="508">
        <v>0</v>
      </c>
      <c r="G25" s="508">
        <v>0</v>
      </c>
      <c r="H25" s="508">
        <v>0</v>
      </c>
      <c r="I25" s="508">
        <v>0</v>
      </c>
      <c r="J25" s="508">
        <v>0</v>
      </c>
      <c r="K25" s="508">
        <v>0</v>
      </c>
      <c r="L25" s="508">
        <v>0</v>
      </c>
      <c r="M25" s="509">
        <v>0</v>
      </c>
      <c r="N25" s="506"/>
      <c r="P25" s="510">
        <f t="shared" si="0"/>
        <v>0</v>
      </c>
      <c r="Q25" s="513"/>
      <c r="T25" s="522">
        <v>0</v>
      </c>
      <c r="U25" s="523">
        <f t="shared" si="1"/>
        <v>0</v>
      </c>
    </row>
    <row r="26" spans="1:21">
      <c r="A26" s="506" t="s">
        <v>601</v>
      </c>
      <c r="B26" s="506" t="s">
        <v>35</v>
      </c>
      <c r="C26" s="506" t="s">
        <v>36</v>
      </c>
      <c r="D26" s="512">
        <v>170</v>
      </c>
      <c r="E26" s="508">
        <v>172</v>
      </c>
      <c r="F26" s="508">
        <v>167</v>
      </c>
      <c r="G26" s="508">
        <v>170</v>
      </c>
      <c r="H26" s="508">
        <v>170</v>
      </c>
      <c r="I26" s="508">
        <v>170</v>
      </c>
      <c r="J26" s="508">
        <v>172</v>
      </c>
      <c r="K26" s="508">
        <v>170</v>
      </c>
      <c r="L26" s="508">
        <v>173</v>
      </c>
      <c r="M26" s="509">
        <v>170.5</v>
      </c>
      <c r="N26" s="506"/>
      <c r="P26" s="510">
        <f t="shared" si="0"/>
        <v>170.5</v>
      </c>
      <c r="Q26" s="513"/>
      <c r="T26" s="522">
        <v>170.5</v>
      </c>
      <c r="U26" s="523">
        <f t="shared" si="1"/>
        <v>0</v>
      </c>
    </row>
    <row r="27" spans="1:21">
      <c r="A27" s="506" t="s">
        <v>601</v>
      </c>
      <c r="B27" s="506" t="s">
        <v>33</v>
      </c>
      <c r="C27" s="506" t="s">
        <v>34</v>
      </c>
      <c r="D27" s="512">
        <v>213</v>
      </c>
      <c r="E27" s="508">
        <v>219</v>
      </c>
      <c r="F27" s="508">
        <v>221</v>
      </c>
      <c r="G27" s="508">
        <v>214</v>
      </c>
      <c r="H27" s="508">
        <v>212</v>
      </c>
      <c r="I27" s="508">
        <v>216</v>
      </c>
      <c r="J27" s="508">
        <v>217</v>
      </c>
      <c r="K27" s="508">
        <v>212</v>
      </c>
      <c r="L27" s="508">
        <v>213</v>
      </c>
      <c r="M27" s="509">
        <v>215.5</v>
      </c>
      <c r="N27" s="506">
        <v>10</v>
      </c>
      <c r="P27" s="510">
        <f t="shared" si="0"/>
        <v>225.5</v>
      </c>
      <c r="Q27" s="513"/>
      <c r="T27" s="522">
        <v>215.5</v>
      </c>
      <c r="U27" s="523">
        <f t="shared" si="1"/>
        <v>0</v>
      </c>
    </row>
    <row r="28" spans="1:21">
      <c r="A28" s="506" t="s">
        <v>599</v>
      </c>
      <c r="B28" s="506" t="s">
        <v>74</v>
      </c>
      <c r="C28" s="506" t="s">
        <v>75</v>
      </c>
      <c r="D28" s="512">
        <v>29</v>
      </c>
      <c r="E28" s="508">
        <v>31</v>
      </c>
      <c r="F28" s="508">
        <v>31</v>
      </c>
      <c r="G28" s="508">
        <v>29</v>
      </c>
      <c r="H28" s="508">
        <v>29</v>
      </c>
      <c r="I28" s="508">
        <v>29</v>
      </c>
      <c r="J28" s="508">
        <v>29</v>
      </c>
      <c r="K28" s="508">
        <v>29</v>
      </c>
      <c r="L28" s="508">
        <v>29</v>
      </c>
      <c r="M28" s="509">
        <v>29.5</v>
      </c>
      <c r="N28" s="506"/>
      <c r="P28" s="510">
        <f t="shared" si="0"/>
        <v>29.5</v>
      </c>
      <c r="Q28" s="513"/>
      <c r="T28" s="522">
        <v>29.5</v>
      </c>
      <c r="U28" s="523">
        <f t="shared" si="1"/>
        <v>0</v>
      </c>
    </row>
    <row r="29" spans="1:21">
      <c r="A29" s="506" t="s">
        <v>599</v>
      </c>
      <c r="B29" s="506" t="s">
        <v>236</v>
      </c>
      <c r="C29" s="506" t="s">
        <v>237</v>
      </c>
      <c r="D29" s="512">
        <v>0</v>
      </c>
      <c r="E29" s="508">
        <v>0</v>
      </c>
      <c r="F29" s="508">
        <v>0</v>
      </c>
      <c r="G29" s="508">
        <v>0</v>
      </c>
      <c r="H29" s="508">
        <v>0</v>
      </c>
      <c r="I29" s="508">
        <v>0</v>
      </c>
      <c r="J29" s="508">
        <v>0</v>
      </c>
      <c r="K29" s="508">
        <v>0</v>
      </c>
      <c r="L29" s="508">
        <v>0</v>
      </c>
      <c r="M29" s="509">
        <v>0</v>
      </c>
      <c r="N29" s="506"/>
      <c r="P29" s="510">
        <f t="shared" si="0"/>
        <v>0</v>
      </c>
      <c r="Q29" s="513"/>
      <c r="T29" s="522">
        <v>0</v>
      </c>
      <c r="U29" s="523">
        <f t="shared" si="1"/>
        <v>0</v>
      </c>
    </row>
    <row r="30" spans="1:21">
      <c r="A30" s="506" t="s">
        <v>600</v>
      </c>
      <c r="B30" s="506" t="s">
        <v>216</v>
      </c>
      <c r="C30" s="506" t="s">
        <v>217</v>
      </c>
      <c r="D30" s="512">
        <v>165</v>
      </c>
      <c r="E30" s="508">
        <v>215</v>
      </c>
      <c r="F30" s="508">
        <v>223</v>
      </c>
      <c r="G30" s="508">
        <v>220</v>
      </c>
      <c r="H30" s="508">
        <v>229</v>
      </c>
      <c r="I30" s="508">
        <v>238</v>
      </c>
      <c r="J30" s="508">
        <v>238</v>
      </c>
      <c r="K30" s="508">
        <v>243</v>
      </c>
      <c r="L30" s="508">
        <v>242</v>
      </c>
      <c r="M30" s="509">
        <v>231</v>
      </c>
      <c r="N30" s="506"/>
      <c r="P30" s="510">
        <f t="shared" si="0"/>
        <v>231</v>
      </c>
      <c r="Q30" s="513"/>
      <c r="T30" s="522">
        <v>231</v>
      </c>
      <c r="U30" s="523">
        <f t="shared" si="1"/>
        <v>0</v>
      </c>
    </row>
    <row r="31" spans="1:21">
      <c r="A31" s="506" t="s">
        <v>603</v>
      </c>
      <c r="B31" s="506" t="s">
        <v>434</v>
      </c>
      <c r="C31" s="506" t="s">
        <v>435</v>
      </c>
      <c r="D31" s="512">
        <v>207</v>
      </c>
      <c r="E31" s="508">
        <v>235</v>
      </c>
      <c r="F31" s="508">
        <v>232</v>
      </c>
      <c r="G31" s="508">
        <v>232</v>
      </c>
      <c r="H31" s="508">
        <v>233</v>
      </c>
      <c r="I31" s="508">
        <v>241</v>
      </c>
      <c r="J31" s="508">
        <v>240</v>
      </c>
      <c r="K31" s="508">
        <v>240</v>
      </c>
      <c r="L31" s="508">
        <v>244</v>
      </c>
      <c r="M31" s="509">
        <v>237.13</v>
      </c>
      <c r="N31" s="506"/>
      <c r="P31" s="510">
        <f t="shared" si="0"/>
        <v>237.13</v>
      </c>
      <c r="Q31" s="513"/>
      <c r="T31" s="522">
        <v>237.13</v>
      </c>
      <c r="U31" s="523">
        <f t="shared" si="1"/>
        <v>0</v>
      </c>
    </row>
    <row r="32" spans="1:21">
      <c r="A32" s="506" t="s">
        <v>594</v>
      </c>
      <c r="B32" s="506" t="s">
        <v>278</v>
      </c>
      <c r="C32" s="506" t="s">
        <v>279</v>
      </c>
      <c r="D32" s="512">
        <v>275</v>
      </c>
      <c r="E32" s="508">
        <v>310</v>
      </c>
      <c r="F32" s="508">
        <v>310</v>
      </c>
      <c r="G32" s="508">
        <v>309</v>
      </c>
      <c r="H32" s="508">
        <v>308</v>
      </c>
      <c r="I32" s="508">
        <v>312</v>
      </c>
      <c r="J32" s="508">
        <v>314</v>
      </c>
      <c r="K32" s="508">
        <v>310</v>
      </c>
      <c r="L32" s="508">
        <v>307</v>
      </c>
      <c r="M32" s="509">
        <v>310</v>
      </c>
      <c r="N32" s="506"/>
      <c r="P32" s="510">
        <f t="shared" si="0"/>
        <v>310</v>
      </c>
      <c r="Q32" s="513"/>
      <c r="T32" s="522">
        <v>310</v>
      </c>
      <c r="U32" s="523">
        <f t="shared" si="1"/>
        <v>0</v>
      </c>
    </row>
    <row r="33" spans="1:21">
      <c r="A33" s="506" t="s">
        <v>594</v>
      </c>
      <c r="B33" s="506" t="s">
        <v>274</v>
      </c>
      <c r="C33" s="506" t="s">
        <v>275</v>
      </c>
      <c r="D33" s="512">
        <v>54</v>
      </c>
      <c r="E33" s="508">
        <v>64</v>
      </c>
      <c r="F33" s="508">
        <v>62</v>
      </c>
      <c r="G33" s="508">
        <v>60</v>
      </c>
      <c r="H33" s="508">
        <v>65</v>
      </c>
      <c r="I33" s="508">
        <v>64</v>
      </c>
      <c r="J33" s="508">
        <v>64</v>
      </c>
      <c r="K33" s="508">
        <v>65</v>
      </c>
      <c r="L33" s="508">
        <v>66</v>
      </c>
      <c r="M33" s="509">
        <v>63.75</v>
      </c>
      <c r="N33" s="506"/>
      <c r="P33" s="510">
        <f t="shared" si="0"/>
        <v>63.75</v>
      </c>
      <c r="Q33" s="513"/>
      <c r="T33" s="522">
        <v>63.75</v>
      </c>
      <c r="U33" s="523">
        <f t="shared" si="1"/>
        <v>0</v>
      </c>
    </row>
    <row r="34" spans="1:21">
      <c r="A34" s="506" t="s">
        <v>603</v>
      </c>
      <c r="B34" s="506" t="s">
        <v>438</v>
      </c>
      <c r="C34" s="506" t="s">
        <v>439</v>
      </c>
      <c r="D34" s="512">
        <v>51</v>
      </c>
      <c r="E34" s="508">
        <v>77</v>
      </c>
      <c r="F34" s="508">
        <v>75</v>
      </c>
      <c r="G34" s="508">
        <v>74</v>
      </c>
      <c r="H34" s="508">
        <v>76</v>
      </c>
      <c r="I34" s="508">
        <v>76</v>
      </c>
      <c r="J34" s="508">
        <v>76</v>
      </c>
      <c r="K34" s="508">
        <v>79</v>
      </c>
      <c r="L34" s="508">
        <v>80</v>
      </c>
      <c r="M34" s="509">
        <v>76.63</v>
      </c>
      <c r="N34" s="516">
        <v>1</v>
      </c>
      <c r="P34" s="510">
        <f t="shared" si="0"/>
        <v>77.63</v>
      </c>
      <c r="Q34" s="513"/>
      <c r="T34" s="522">
        <v>76.63</v>
      </c>
      <c r="U34" s="523">
        <f t="shared" si="1"/>
        <v>0</v>
      </c>
    </row>
    <row r="35" spans="1:21">
      <c r="A35" s="506" t="s">
        <v>603</v>
      </c>
      <c r="B35" s="506" t="s">
        <v>450</v>
      </c>
      <c r="C35" s="506" t="s">
        <v>451</v>
      </c>
      <c r="D35" s="512">
        <v>3</v>
      </c>
      <c r="E35" s="508">
        <v>3</v>
      </c>
      <c r="F35" s="508">
        <v>3</v>
      </c>
      <c r="G35" s="508">
        <v>3</v>
      </c>
      <c r="H35" s="508">
        <v>3</v>
      </c>
      <c r="I35" s="508">
        <v>3</v>
      </c>
      <c r="J35" s="508">
        <v>3</v>
      </c>
      <c r="K35" s="508">
        <v>3</v>
      </c>
      <c r="L35" s="508">
        <v>3</v>
      </c>
      <c r="M35" s="509">
        <v>3</v>
      </c>
      <c r="N35" s="506"/>
      <c r="P35" s="510">
        <f t="shared" si="0"/>
        <v>3</v>
      </c>
      <c r="Q35" s="513"/>
      <c r="T35" s="522">
        <v>3</v>
      </c>
      <c r="U35" s="523">
        <f t="shared" si="1"/>
        <v>0</v>
      </c>
    </row>
    <row r="36" spans="1:21">
      <c r="A36" s="506" t="s">
        <v>600</v>
      </c>
      <c r="B36" s="506" t="s">
        <v>169</v>
      </c>
      <c r="C36" s="506" t="s">
        <v>170</v>
      </c>
      <c r="D36" s="512">
        <v>9</v>
      </c>
      <c r="E36" s="508">
        <v>13</v>
      </c>
      <c r="F36" s="508">
        <v>13</v>
      </c>
      <c r="G36" s="508">
        <v>13</v>
      </c>
      <c r="H36" s="508">
        <v>13</v>
      </c>
      <c r="I36" s="508">
        <v>14</v>
      </c>
      <c r="J36" s="508">
        <v>14</v>
      </c>
      <c r="K36" s="508">
        <v>13</v>
      </c>
      <c r="L36" s="508">
        <v>13</v>
      </c>
      <c r="M36" s="509">
        <v>13.25</v>
      </c>
      <c r="N36" s="506"/>
      <c r="P36" s="510">
        <f t="shared" si="0"/>
        <v>13.25</v>
      </c>
      <c r="Q36" s="513"/>
      <c r="T36" s="522">
        <v>13.25</v>
      </c>
      <c r="U36" s="523">
        <f t="shared" si="1"/>
        <v>0</v>
      </c>
    </row>
    <row r="37" spans="1:21">
      <c r="A37" s="506" t="s">
        <v>596</v>
      </c>
      <c r="B37" s="506" t="s">
        <v>10</v>
      </c>
      <c r="C37" s="506" t="s">
        <v>11</v>
      </c>
      <c r="D37" s="512">
        <v>16</v>
      </c>
      <c r="E37" s="508">
        <v>16</v>
      </c>
      <c r="F37" s="508">
        <v>16</v>
      </c>
      <c r="G37" s="508">
        <v>16</v>
      </c>
      <c r="H37" s="508">
        <v>18</v>
      </c>
      <c r="I37" s="508">
        <v>19</v>
      </c>
      <c r="J37" s="508">
        <v>18</v>
      </c>
      <c r="K37" s="508">
        <v>18</v>
      </c>
      <c r="L37" s="508">
        <v>18</v>
      </c>
      <c r="M37" s="509">
        <v>17.38</v>
      </c>
      <c r="N37" s="506"/>
      <c r="P37" s="510">
        <f t="shared" si="0"/>
        <v>17.38</v>
      </c>
      <c r="Q37" s="513"/>
      <c r="T37" s="522">
        <v>17.38</v>
      </c>
      <c r="U37" s="523">
        <f t="shared" si="1"/>
        <v>0</v>
      </c>
    </row>
    <row r="38" spans="1:21">
      <c r="A38" s="506" t="s">
        <v>605</v>
      </c>
      <c r="B38" s="506" t="s">
        <v>230</v>
      </c>
      <c r="C38" s="506" t="s">
        <v>231</v>
      </c>
      <c r="D38" s="512">
        <v>22</v>
      </c>
      <c r="E38" s="508">
        <v>22</v>
      </c>
      <c r="F38" s="508">
        <v>20</v>
      </c>
      <c r="G38" s="508">
        <v>21</v>
      </c>
      <c r="H38" s="508">
        <v>21</v>
      </c>
      <c r="I38" s="508">
        <v>21</v>
      </c>
      <c r="J38" s="508">
        <v>19</v>
      </c>
      <c r="K38" s="508">
        <v>18</v>
      </c>
      <c r="L38" s="508">
        <v>18</v>
      </c>
      <c r="M38" s="509">
        <v>20</v>
      </c>
      <c r="N38" s="516">
        <v>1</v>
      </c>
      <c r="P38" s="510">
        <f t="shared" si="0"/>
        <v>21</v>
      </c>
      <c r="Q38" s="513"/>
      <c r="T38" s="522">
        <v>20</v>
      </c>
      <c r="U38" s="523">
        <f t="shared" si="1"/>
        <v>0</v>
      </c>
    </row>
    <row r="39" spans="1:21">
      <c r="A39" s="506" t="s">
        <v>597</v>
      </c>
      <c r="B39" s="506" t="s">
        <v>357</v>
      </c>
      <c r="C39" s="506" t="s">
        <v>358</v>
      </c>
      <c r="D39" s="512">
        <v>778</v>
      </c>
      <c r="E39" s="508">
        <v>1205</v>
      </c>
      <c r="F39" s="508">
        <v>1240</v>
      </c>
      <c r="G39" s="508">
        <v>1224</v>
      </c>
      <c r="H39" s="508">
        <v>1197</v>
      </c>
      <c r="I39" s="508">
        <v>1211</v>
      </c>
      <c r="J39" s="508">
        <v>1195</v>
      </c>
      <c r="K39" s="508">
        <v>1205</v>
      </c>
      <c r="L39" s="508">
        <v>1201</v>
      </c>
      <c r="M39" s="509">
        <v>1209.75</v>
      </c>
      <c r="N39" s="506"/>
      <c r="P39" s="510">
        <f t="shared" si="0"/>
        <v>1209.75</v>
      </c>
      <c r="Q39" s="513"/>
      <c r="T39" s="522">
        <v>1209.75</v>
      </c>
      <c r="U39" s="523">
        <f t="shared" si="1"/>
        <v>0</v>
      </c>
    </row>
    <row r="40" spans="1:21">
      <c r="A40" s="506" t="s">
        <v>603</v>
      </c>
      <c r="B40" s="506" t="s">
        <v>525</v>
      </c>
      <c r="C40" s="506" t="s">
        <v>526</v>
      </c>
      <c r="D40" s="512">
        <v>0</v>
      </c>
      <c r="E40" s="508">
        <v>0</v>
      </c>
      <c r="F40" s="508">
        <v>0</v>
      </c>
      <c r="G40" s="508">
        <v>0</v>
      </c>
      <c r="H40" s="508">
        <v>0</v>
      </c>
      <c r="I40" s="508">
        <v>0</v>
      </c>
      <c r="J40" s="508">
        <v>0</v>
      </c>
      <c r="K40" s="508">
        <v>0</v>
      </c>
      <c r="L40" s="508">
        <v>0</v>
      </c>
      <c r="M40" s="509">
        <v>0</v>
      </c>
      <c r="N40" s="506"/>
      <c r="P40" s="510">
        <f t="shared" si="0"/>
        <v>0</v>
      </c>
      <c r="Q40" s="513"/>
      <c r="T40" s="522">
        <v>0</v>
      </c>
      <c r="U40" s="523">
        <f t="shared" si="1"/>
        <v>0</v>
      </c>
    </row>
    <row r="41" spans="1:21">
      <c r="A41" s="506" t="s">
        <v>596</v>
      </c>
      <c r="B41" s="506" t="s">
        <v>494</v>
      </c>
      <c r="C41" s="506" t="s">
        <v>495</v>
      </c>
      <c r="D41" s="512">
        <v>170</v>
      </c>
      <c r="E41" s="508">
        <v>173</v>
      </c>
      <c r="F41" s="508">
        <v>174</v>
      </c>
      <c r="G41" s="508">
        <v>169</v>
      </c>
      <c r="H41" s="508">
        <v>172</v>
      </c>
      <c r="I41" s="508">
        <v>169</v>
      </c>
      <c r="J41" s="508">
        <v>171</v>
      </c>
      <c r="K41" s="508">
        <v>170</v>
      </c>
      <c r="L41" s="508">
        <v>175</v>
      </c>
      <c r="M41" s="509">
        <v>171.63</v>
      </c>
      <c r="N41" s="506"/>
      <c r="P41" s="510">
        <f t="shared" si="0"/>
        <v>171.63</v>
      </c>
      <c r="Q41" s="513"/>
      <c r="T41" s="522">
        <v>171.63</v>
      </c>
      <c r="U41" s="523">
        <f t="shared" si="1"/>
        <v>0</v>
      </c>
    </row>
    <row r="42" spans="1:21">
      <c r="A42" s="506" t="s">
        <v>603</v>
      </c>
      <c r="B42" s="506" t="s">
        <v>533</v>
      </c>
      <c r="C42" s="506" t="s">
        <v>534</v>
      </c>
      <c r="D42" s="512">
        <v>0</v>
      </c>
      <c r="E42" s="508">
        <v>0</v>
      </c>
      <c r="F42" s="508">
        <v>0</v>
      </c>
      <c r="G42" s="508">
        <v>0</v>
      </c>
      <c r="H42" s="508">
        <v>0</v>
      </c>
      <c r="I42" s="508">
        <v>0</v>
      </c>
      <c r="J42" s="508">
        <v>0</v>
      </c>
      <c r="K42" s="508">
        <v>0</v>
      </c>
      <c r="L42" s="508">
        <v>0</v>
      </c>
      <c r="M42" s="509">
        <v>0</v>
      </c>
      <c r="N42" s="506"/>
      <c r="P42" s="510">
        <f t="shared" si="0"/>
        <v>0</v>
      </c>
      <c r="Q42" s="513"/>
      <c r="T42" s="522">
        <v>0</v>
      </c>
      <c r="U42" s="523">
        <f t="shared" si="1"/>
        <v>0</v>
      </c>
    </row>
    <row r="43" spans="1:21">
      <c r="A43" s="506" t="s">
        <v>603</v>
      </c>
      <c r="B43" s="506" t="s">
        <v>464</v>
      </c>
      <c r="C43" s="506" t="s">
        <v>465</v>
      </c>
      <c r="D43" s="512">
        <v>0</v>
      </c>
      <c r="E43" s="508">
        <v>0</v>
      </c>
      <c r="F43" s="508">
        <v>0</v>
      </c>
      <c r="G43" s="508">
        <v>0</v>
      </c>
      <c r="H43" s="508">
        <v>0</v>
      </c>
      <c r="I43" s="508">
        <v>0</v>
      </c>
      <c r="J43" s="508">
        <v>0</v>
      </c>
      <c r="K43" s="508">
        <v>0</v>
      </c>
      <c r="L43" s="508">
        <v>0</v>
      </c>
      <c r="M43" s="509">
        <v>0</v>
      </c>
      <c r="N43" s="506"/>
      <c r="P43" s="510">
        <f t="shared" si="0"/>
        <v>0</v>
      </c>
      <c r="Q43" s="513"/>
      <c r="T43" s="522">
        <v>0</v>
      </c>
      <c r="U43" s="523">
        <f t="shared" si="1"/>
        <v>0</v>
      </c>
    </row>
    <row r="44" spans="1:21">
      <c r="A44" s="506" t="s">
        <v>596</v>
      </c>
      <c r="B44" s="506" t="s">
        <v>498</v>
      </c>
      <c r="C44" s="506" t="s">
        <v>499</v>
      </c>
      <c r="D44" s="512">
        <v>75</v>
      </c>
      <c r="E44" s="508">
        <v>86</v>
      </c>
      <c r="F44" s="508">
        <v>91</v>
      </c>
      <c r="G44" s="508">
        <v>93</v>
      </c>
      <c r="H44" s="508">
        <v>92</v>
      </c>
      <c r="I44" s="508">
        <v>90</v>
      </c>
      <c r="J44" s="508">
        <v>93</v>
      </c>
      <c r="K44" s="508">
        <v>91</v>
      </c>
      <c r="L44" s="508">
        <v>92</v>
      </c>
      <c r="M44" s="509">
        <v>91</v>
      </c>
      <c r="N44" s="506"/>
      <c r="P44" s="510">
        <f t="shared" si="0"/>
        <v>91</v>
      </c>
      <c r="Q44" s="513"/>
      <c r="T44" s="522">
        <v>91</v>
      </c>
      <c r="U44" s="523">
        <f t="shared" si="1"/>
        <v>0</v>
      </c>
    </row>
    <row r="45" spans="1:21">
      <c r="A45" s="506" t="s">
        <v>603</v>
      </c>
      <c r="B45" s="506" t="s">
        <v>456</v>
      </c>
      <c r="C45" s="506" t="s">
        <v>457</v>
      </c>
      <c r="D45" s="512">
        <v>55</v>
      </c>
      <c r="E45" s="508">
        <v>53</v>
      </c>
      <c r="F45" s="508">
        <v>55</v>
      </c>
      <c r="G45" s="508">
        <v>55</v>
      </c>
      <c r="H45" s="508">
        <v>59</v>
      </c>
      <c r="I45" s="508">
        <v>59</v>
      </c>
      <c r="J45" s="508">
        <v>59</v>
      </c>
      <c r="K45" s="508">
        <v>58</v>
      </c>
      <c r="L45" s="508">
        <v>58</v>
      </c>
      <c r="M45" s="509">
        <v>57</v>
      </c>
      <c r="N45" s="506"/>
      <c r="P45" s="510">
        <f t="shared" si="0"/>
        <v>57</v>
      </c>
      <c r="Q45" s="513"/>
      <c r="T45" s="522">
        <v>57</v>
      </c>
      <c r="U45" s="523">
        <f t="shared" si="1"/>
        <v>0</v>
      </c>
    </row>
    <row r="46" spans="1:21">
      <c r="A46" s="506" t="s">
        <v>595</v>
      </c>
      <c r="B46" s="506" t="s">
        <v>376</v>
      </c>
      <c r="C46" s="506" t="s">
        <v>377</v>
      </c>
      <c r="D46" s="512">
        <v>0</v>
      </c>
      <c r="E46" s="508">
        <v>0</v>
      </c>
      <c r="F46" s="508">
        <v>0</v>
      </c>
      <c r="G46" s="508">
        <v>0</v>
      </c>
      <c r="H46" s="508">
        <v>0</v>
      </c>
      <c r="I46" s="508">
        <v>0</v>
      </c>
      <c r="J46" s="508">
        <v>0</v>
      </c>
      <c r="K46" s="508">
        <v>0</v>
      </c>
      <c r="L46" s="508">
        <v>0</v>
      </c>
      <c r="M46" s="509">
        <v>0</v>
      </c>
      <c r="N46" s="506"/>
      <c r="P46" s="510">
        <f t="shared" si="0"/>
        <v>0</v>
      </c>
      <c r="Q46" s="514"/>
      <c r="T46" s="522">
        <v>0</v>
      </c>
      <c r="U46" s="523">
        <f t="shared" si="1"/>
        <v>0</v>
      </c>
    </row>
    <row r="47" spans="1:21">
      <c r="A47" s="506" t="s">
        <v>595</v>
      </c>
      <c r="B47" s="506" t="s">
        <v>384</v>
      </c>
      <c r="C47" s="506" t="s">
        <v>385</v>
      </c>
      <c r="D47" s="512">
        <v>26</v>
      </c>
      <c r="E47" s="508">
        <v>26</v>
      </c>
      <c r="F47" s="508">
        <v>21</v>
      </c>
      <c r="G47" s="508">
        <v>20</v>
      </c>
      <c r="H47" s="508">
        <v>20</v>
      </c>
      <c r="I47" s="508">
        <v>23</v>
      </c>
      <c r="J47" s="508">
        <v>21</v>
      </c>
      <c r="K47" s="508">
        <v>21</v>
      </c>
      <c r="L47" s="508">
        <v>21</v>
      </c>
      <c r="M47" s="509">
        <v>21.63</v>
      </c>
      <c r="N47" s="506"/>
      <c r="P47" s="510">
        <f t="shared" si="0"/>
        <v>21.63</v>
      </c>
      <c r="Q47" s="514"/>
      <c r="T47" s="522">
        <v>21.63</v>
      </c>
      <c r="U47" s="523">
        <f t="shared" si="1"/>
        <v>0</v>
      </c>
    </row>
    <row r="48" spans="1:21">
      <c r="A48" s="506" t="s">
        <v>594</v>
      </c>
      <c r="B48" s="506" t="s">
        <v>147</v>
      </c>
      <c r="C48" s="506" t="s">
        <v>148</v>
      </c>
      <c r="D48" s="512">
        <v>0</v>
      </c>
      <c r="E48" s="508">
        <v>0</v>
      </c>
      <c r="F48" s="508">
        <v>0</v>
      </c>
      <c r="G48" s="508">
        <v>0</v>
      </c>
      <c r="H48" s="508">
        <v>0</v>
      </c>
      <c r="I48" s="508">
        <v>0</v>
      </c>
      <c r="J48" s="508">
        <v>0</v>
      </c>
      <c r="K48" s="508">
        <v>0</v>
      </c>
      <c r="L48" s="508">
        <v>0</v>
      </c>
      <c r="M48" s="509">
        <v>0</v>
      </c>
      <c r="N48" s="506"/>
      <c r="P48" s="510">
        <f t="shared" si="0"/>
        <v>0</v>
      </c>
      <c r="Q48" s="514"/>
      <c r="T48" s="522">
        <v>0</v>
      </c>
      <c r="U48" s="523">
        <f t="shared" si="1"/>
        <v>0</v>
      </c>
    </row>
    <row r="49" spans="1:21">
      <c r="A49" s="506" t="s">
        <v>601</v>
      </c>
      <c r="B49" s="506" t="s">
        <v>120</v>
      </c>
      <c r="C49" s="506" t="s">
        <v>654</v>
      </c>
      <c r="D49" s="512">
        <v>0</v>
      </c>
      <c r="E49" s="508">
        <v>0</v>
      </c>
      <c r="F49" s="508">
        <v>0</v>
      </c>
      <c r="G49" s="508">
        <v>0</v>
      </c>
      <c r="H49" s="508">
        <v>0</v>
      </c>
      <c r="I49" s="508">
        <v>0</v>
      </c>
      <c r="J49" s="508">
        <v>0</v>
      </c>
      <c r="K49" s="508">
        <v>0</v>
      </c>
      <c r="L49" s="508">
        <v>0</v>
      </c>
      <c r="M49" s="509">
        <v>0</v>
      </c>
      <c r="N49" s="506"/>
      <c r="P49" s="510">
        <f t="shared" si="0"/>
        <v>0</v>
      </c>
      <c r="Q49" s="514"/>
      <c r="T49" s="522">
        <v>0</v>
      </c>
      <c r="U49" s="523">
        <f t="shared" si="1"/>
        <v>0</v>
      </c>
    </row>
    <row r="50" spans="1:21">
      <c r="A50" s="506" t="s">
        <v>595</v>
      </c>
      <c r="B50" s="506" t="s">
        <v>159</v>
      </c>
      <c r="C50" s="506" t="s">
        <v>160</v>
      </c>
      <c r="D50" s="512">
        <v>24</v>
      </c>
      <c r="E50" s="508">
        <v>34</v>
      </c>
      <c r="F50" s="508">
        <v>35</v>
      </c>
      <c r="G50" s="508">
        <v>34</v>
      </c>
      <c r="H50" s="508">
        <v>34</v>
      </c>
      <c r="I50" s="508">
        <v>34</v>
      </c>
      <c r="J50" s="508">
        <v>34</v>
      </c>
      <c r="K50" s="508">
        <v>34</v>
      </c>
      <c r="L50" s="508">
        <v>34</v>
      </c>
      <c r="M50" s="509">
        <v>34.130000000000003</v>
      </c>
      <c r="N50" s="506"/>
      <c r="P50" s="510">
        <f t="shared" si="0"/>
        <v>34.130000000000003</v>
      </c>
      <c r="Q50" s="514"/>
      <c r="T50" s="522">
        <v>34.130000000000003</v>
      </c>
      <c r="U50" s="523">
        <f t="shared" si="1"/>
        <v>0</v>
      </c>
    </row>
    <row r="51" spans="1:21">
      <c r="A51" s="506" t="s">
        <v>600</v>
      </c>
      <c r="B51" s="506" t="s">
        <v>41</v>
      </c>
      <c r="C51" s="506" t="s">
        <v>42</v>
      </c>
      <c r="D51" s="512">
        <v>0</v>
      </c>
      <c r="E51" s="508">
        <v>0</v>
      </c>
      <c r="F51" s="508">
        <v>0</v>
      </c>
      <c r="G51" s="508">
        <v>0</v>
      </c>
      <c r="H51" s="508">
        <v>0</v>
      </c>
      <c r="I51" s="508">
        <v>0</v>
      </c>
      <c r="J51" s="508">
        <v>0</v>
      </c>
      <c r="K51" s="508">
        <v>0</v>
      </c>
      <c r="L51" s="508">
        <v>0</v>
      </c>
      <c r="M51" s="509">
        <v>0</v>
      </c>
      <c r="N51" s="506"/>
      <c r="P51" s="510">
        <f t="shared" si="0"/>
        <v>0</v>
      </c>
      <c r="Q51" s="514"/>
      <c r="T51" s="522">
        <v>0</v>
      </c>
      <c r="U51" s="523">
        <f t="shared" si="1"/>
        <v>0</v>
      </c>
    </row>
    <row r="52" spans="1:21">
      <c r="A52" s="506" t="s">
        <v>603</v>
      </c>
      <c r="B52" s="506" t="s">
        <v>285</v>
      </c>
      <c r="C52" s="506" t="s">
        <v>286</v>
      </c>
      <c r="D52" s="512">
        <v>0</v>
      </c>
      <c r="E52" s="508">
        <v>0</v>
      </c>
      <c r="F52" s="508">
        <v>0</v>
      </c>
      <c r="G52" s="508">
        <v>0</v>
      </c>
      <c r="H52" s="508">
        <v>0</v>
      </c>
      <c r="I52" s="508">
        <v>0</v>
      </c>
      <c r="J52" s="508">
        <v>0</v>
      </c>
      <c r="K52" s="508">
        <v>0</v>
      </c>
      <c r="L52" s="508">
        <v>0</v>
      </c>
      <c r="M52" s="509">
        <v>0</v>
      </c>
      <c r="N52" s="506"/>
      <c r="P52" s="510">
        <f t="shared" si="0"/>
        <v>0</v>
      </c>
      <c r="Q52" s="514"/>
      <c r="T52" s="522">
        <v>0</v>
      </c>
      <c r="U52" s="523">
        <f t="shared" si="1"/>
        <v>0</v>
      </c>
    </row>
    <row r="53" spans="1:21">
      <c r="A53" s="506" t="s">
        <v>603</v>
      </c>
      <c r="B53" s="506" t="s">
        <v>96</v>
      </c>
      <c r="C53" s="506" t="s">
        <v>97</v>
      </c>
      <c r="D53" s="512">
        <v>0</v>
      </c>
      <c r="E53" s="508">
        <v>0</v>
      </c>
      <c r="F53" s="508">
        <v>0</v>
      </c>
      <c r="G53" s="508">
        <v>0</v>
      </c>
      <c r="H53" s="508">
        <v>0</v>
      </c>
      <c r="I53" s="508">
        <v>0</v>
      </c>
      <c r="J53" s="508">
        <v>0</v>
      </c>
      <c r="K53" s="508">
        <v>0</v>
      </c>
      <c r="L53" s="508">
        <v>0</v>
      </c>
      <c r="M53" s="509">
        <v>0</v>
      </c>
      <c r="N53" s="506"/>
      <c r="P53" s="510">
        <f t="shared" si="0"/>
        <v>0</v>
      </c>
      <c r="Q53" s="514"/>
      <c r="T53" s="522">
        <v>0</v>
      </c>
      <c r="U53" s="523">
        <f t="shared" si="1"/>
        <v>0</v>
      </c>
    </row>
    <row r="54" spans="1:21">
      <c r="A54" s="506" t="s">
        <v>603</v>
      </c>
      <c r="B54" s="506" t="s">
        <v>338</v>
      </c>
      <c r="C54" s="506" t="s">
        <v>339</v>
      </c>
      <c r="D54" s="512">
        <v>0</v>
      </c>
      <c r="E54" s="508">
        <v>0</v>
      </c>
      <c r="F54" s="508">
        <v>0</v>
      </c>
      <c r="G54" s="508">
        <v>0</v>
      </c>
      <c r="H54" s="508">
        <v>0</v>
      </c>
      <c r="I54" s="508">
        <v>0</v>
      </c>
      <c r="J54" s="508">
        <v>0</v>
      </c>
      <c r="K54" s="508">
        <v>0</v>
      </c>
      <c r="L54" s="508">
        <v>0</v>
      </c>
      <c r="M54" s="509">
        <v>0</v>
      </c>
      <c r="N54" s="506"/>
      <c r="P54" s="510">
        <f t="shared" si="0"/>
        <v>0</v>
      </c>
      <c r="Q54" s="514"/>
      <c r="T54" s="522">
        <v>0</v>
      </c>
      <c r="U54" s="523">
        <f t="shared" si="1"/>
        <v>0</v>
      </c>
    </row>
    <row r="55" spans="1:21">
      <c r="A55" s="506" t="s">
        <v>605</v>
      </c>
      <c r="B55" s="506" t="s">
        <v>220</v>
      </c>
      <c r="C55" s="506" t="s">
        <v>221</v>
      </c>
      <c r="D55" s="512">
        <v>0</v>
      </c>
      <c r="E55" s="508">
        <v>0</v>
      </c>
      <c r="F55" s="508">
        <v>0</v>
      </c>
      <c r="G55" s="508">
        <v>0</v>
      </c>
      <c r="H55" s="508">
        <v>0</v>
      </c>
      <c r="I55" s="508">
        <v>0</v>
      </c>
      <c r="J55" s="508">
        <v>0</v>
      </c>
      <c r="K55" s="508">
        <v>0</v>
      </c>
      <c r="L55" s="508">
        <v>0</v>
      </c>
      <c r="M55" s="509">
        <v>0</v>
      </c>
      <c r="N55" s="506"/>
      <c r="P55" s="510">
        <f t="shared" si="0"/>
        <v>0</v>
      </c>
      <c r="Q55" s="514"/>
      <c r="T55" s="522">
        <v>0</v>
      </c>
      <c r="U55" s="523">
        <f t="shared" si="1"/>
        <v>0</v>
      </c>
    </row>
    <row r="56" spans="1:21">
      <c r="A56" s="506" t="s">
        <v>595</v>
      </c>
      <c r="B56" s="506" t="s">
        <v>417</v>
      </c>
      <c r="C56" s="506" t="s">
        <v>418</v>
      </c>
      <c r="D56" s="512">
        <v>0</v>
      </c>
      <c r="E56" s="508">
        <v>0</v>
      </c>
      <c r="F56" s="508">
        <v>0</v>
      </c>
      <c r="G56" s="508">
        <v>0</v>
      </c>
      <c r="H56" s="508">
        <v>0</v>
      </c>
      <c r="I56" s="508">
        <v>0</v>
      </c>
      <c r="J56" s="508">
        <v>0</v>
      </c>
      <c r="K56" s="508">
        <v>0</v>
      </c>
      <c r="L56" s="508">
        <v>0</v>
      </c>
      <c r="M56" s="509">
        <v>0</v>
      </c>
      <c r="N56" s="506"/>
      <c r="P56" s="510">
        <f t="shared" si="0"/>
        <v>0</v>
      </c>
      <c r="Q56" s="514"/>
      <c r="T56" s="522">
        <v>0</v>
      </c>
      <c r="U56" s="523">
        <f t="shared" si="1"/>
        <v>0</v>
      </c>
    </row>
    <row r="57" spans="1:21">
      <c r="A57" s="506" t="s">
        <v>603</v>
      </c>
      <c r="B57" s="506" t="s">
        <v>293</v>
      </c>
      <c r="C57" s="506" t="s">
        <v>294</v>
      </c>
      <c r="D57" s="512">
        <v>0</v>
      </c>
      <c r="E57" s="508">
        <v>0</v>
      </c>
      <c r="F57" s="508">
        <v>0</v>
      </c>
      <c r="G57" s="508">
        <v>0</v>
      </c>
      <c r="H57" s="508">
        <v>0</v>
      </c>
      <c r="I57" s="508">
        <v>0</v>
      </c>
      <c r="J57" s="508">
        <v>0</v>
      </c>
      <c r="K57" s="508">
        <v>0</v>
      </c>
      <c r="L57" s="508">
        <v>0</v>
      </c>
      <c r="M57" s="509">
        <v>0</v>
      </c>
      <c r="N57" s="506"/>
      <c r="P57" s="510">
        <f t="shared" si="0"/>
        <v>0</v>
      </c>
      <c r="Q57" s="514"/>
      <c r="T57" s="522">
        <v>0</v>
      </c>
      <c r="U57" s="523">
        <f t="shared" si="1"/>
        <v>0</v>
      </c>
    </row>
    <row r="58" spans="1:21">
      <c r="A58" s="506" t="s">
        <v>596</v>
      </c>
      <c r="B58" s="506" t="s">
        <v>66</v>
      </c>
      <c r="C58" s="506" t="s">
        <v>67</v>
      </c>
      <c r="D58" s="512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9">
        <v>0</v>
      </c>
      <c r="N58" s="506"/>
      <c r="P58" s="510">
        <f t="shared" si="0"/>
        <v>0</v>
      </c>
      <c r="Q58" s="514"/>
      <c r="T58" s="522">
        <v>0</v>
      </c>
      <c r="U58" s="523">
        <f t="shared" si="1"/>
        <v>0</v>
      </c>
    </row>
    <row r="59" spans="1:21">
      <c r="A59" s="506" t="s">
        <v>603</v>
      </c>
      <c r="B59" s="506" t="s">
        <v>444</v>
      </c>
      <c r="C59" s="506" t="s">
        <v>445</v>
      </c>
      <c r="D59" s="512">
        <v>2</v>
      </c>
      <c r="E59" s="508">
        <v>2</v>
      </c>
      <c r="F59" s="508">
        <v>5</v>
      </c>
      <c r="G59" s="508">
        <v>5</v>
      </c>
      <c r="H59" s="508">
        <v>5</v>
      </c>
      <c r="I59" s="508">
        <v>5</v>
      </c>
      <c r="J59" s="508">
        <v>5</v>
      </c>
      <c r="K59" s="508">
        <v>5</v>
      </c>
      <c r="L59" s="508">
        <v>5</v>
      </c>
      <c r="M59" s="509">
        <v>4.63</v>
      </c>
      <c r="N59" s="506"/>
      <c r="P59" s="510">
        <f t="shared" si="0"/>
        <v>4.63</v>
      </c>
      <c r="Q59" s="514"/>
      <c r="T59" s="522">
        <v>4.63</v>
      </c>
      <c r="U59" s="523">
        <f t="shared" si="1"/>
        <v>0</v>
      </c>
    </row>
    <row r="60" spans="1:21">
      <c r="A60" s="506" t="s">
        <v>597</v>
      </c>
      <c r="B60" s="506" t="s">
        <v>353</v>
      </c>
      <c r="C60" s="506" t="s">
        <v>354</v>
      </c>
      <c r="D60" s="512">
        <v>17</v>
      </c>
      <c r="E60" s="508">
        <v>17</v>
      </c>
      <c r="F60" s="508">
        <v>17</v>
      </c>
      <c r="G60" s="508">
        <v>17</v>
      </c>
      <c r="H60" s="508">
        <v>17</v>
      </c>
      <c r="I60" s="508">
        <v>19</v>
      </c>
      <c r="J60" s="508">
        <v>20</v>
      </c>
      <c r="K60" s="508">
        <v>19</v>
      </c>
      <c r="L60" s="508">
        <v>18</v>
      </c>
      <c r="M60" s="509">
        <v>18</v>
      </c>
      <c r="N60" s="506"/>
      <c r="P60" s="510">
        <f t="shared" si="0"/>
        <v>18</v>
      </c>
      <c r="Q60" s="514"/>
      <c r="T60" s="522">
        <v>18</v>
      </c>
      <c r="U60" s="523">
        <f t="shared" si="1"/>
        <v>0</v>
      </c>
    </row>
    <row r="61" spans="1:21">
      <c r="A61" s="506" t="s">
        <v>596</v>
      </c>
      <c r="B61" s="506" t="s">
        <v>490</v>
      </c>
      <c r="C61" s="506" t="s">
        <v>491</v>
      </c>
      <c r="D61" s="512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9">
        <v>0</v>
      </c>
      <c r="N61" s="506"/>
      <c r="P61" s="510">
        <f t="shared" si="0"/>
        <v>0</v>
      </c>
      <c r="Q61" s="514"/>
      <c r="T61" s="522">
        <v>0</v>
      </c>
      <c r="U61" s="523">
        <f t="shared" si="1"/>
        <v>0</v>
      </c>
    </row>
    <row r="62" spans="1:21">
      <c r="A62" s="506" t="s">
        <v>603</v>
      </c>
      <c r="B62" s="506" t="s">
        <v>440</v>
      </c>
      <c r="C62" s="506" t="s">
        <v>606</v>
      </c>
      <c r="D62" s="512">
        <v>90</v>
      </c>
      <c r="E62" s="508">
        <v>126</v>
      </c>
      <c r="F62" s="508">
        <v>123</v>
      </c>
      <c r="G62" s="508">
        <v>121</v>
      </c>
      <c r="H62" s="508">
        <v>119</v>
      </c>
      <c r="I62" s="508">
        <v>118</v>
      </c>
      <c r="J62" s="508">
        <v>123</v>
      </c>
      <c r="K62" s="508">
        <v>147</v>
      </c>
      <c r="L62" s="508">
        <v>143</v>
      </c>
      <c r="M62" s="509">
        <v>127.5</v>
      </c>
      <c r="N62" s="506"/>
      <c r="P62" s="510">
        <f t="shared" si="0"/>
        <v>127.5</v>
      </c>
      <c r="Q62" s="514"/>
      <c r="T62" s="522">
        <v>127.5</v>
      </c>
      <c r="U62" s="523">
        <f t="shared" si="1"/>
        <v>0</v>
      </c>
    </row>
    <row r="63" spans="1:21">
      <c r="A63" s="506" t="s">
        <v>605</v>
      </c>
      <c r="B63" s="506" t="s">
        <v>549</v>
      </c>
      <c r="C63" s="506" t="s">
        <v>550</v>
      </c>
      <c r="D63" s="512">
        <v>192</v>
      </c>
      <c r="E63" s="508">
        <v>210</v>
      </c>
      <c r="F63" s="508">
        <v>256</v>
      </c>
      <c r="G63" s="508">
        <v>256</v>
      </c>
      <c r="H63" s="508">
        <v>253</v>
      </c>
      <c r="I63" s="508">
        <v>256</v>
      </c>
      <c r="J63" s="508">
        <v>254</v>
      </c>
      <c r="K63" s="508">
        <v>254</v>
      </c>
      <c r="L63" s="508">
        <v>256</v>
      </c>
      <c r="M63" s="509">
        <v>249.38</v>
      </c>
      <c r="N63" s="506"/>
      <c r="P63" s="510">
        <f t="shared" si="0"/>
        <v>249.38</v>
      </c>
      <c r="Q63" s="514"/>
      <c r="T63" s="522">
        <v>249.38</v>
      </c>
      <c r="U63" s="523">
        <f t="shared" si="1"/>
        <v>0</v>
      </c>
    </row>
    <row r="64" spans="1:21">
      <c r="A64" s="506" t="s">
        <v>601</v>
      </c>
      <c r="B64" s="506" t="s">
        <v>88</v>
      </c>
      <c r="C64" s="506" t="s">
        <v>89</v>
      </c>
      <c r="D64" s="512">
        <v>698</v>
      </c>
      <c r="E64" s="508">
        <v>917</v>
      </c>
      <c r="F64" s="508">
        <v>916</v>
      </c>
      <c r="G64" s="508">
        <v>912</v>
      </c>
      <c r="H64" s="508">
        <v>913</v>
      </c>
      <c r="I64" s="508">
        <v>904</v>
      </c>
      <c r="J64" s="508">
        <v>905</v>
      </c>
      <c r="K64" s="508">
        <v>916</v>
      </c>
      <c r="L64" s="508">
        <v>916</v>
      </c>
      <c r="M64" s="509">
        <v>912.38</v>
      </c>
      <c r="N64" s="506"/>
      <c r="P64" s="510">
        <f t="shared" si="0"/>
        <v>912.38</v>
      </c>
      <c r="Q64" s="514"/>
      <c r="T64" s="522">
        <v>912.38</v>
      </c>
      <c r="U64" s="523">
        <f t="shared" si="1"/>
        <v>0</v>
      </c>
    </row>
    <row r="65" spans="1:21">
      <c r="A65" s="506" t="s">
        <v>605</v>
      </c>
      <c r="B65" s="506" t="s">
        <v>222</v>
      </c>
      <c r="C65" s="506" t="s">
        <v>223</v>
      </c>
      <c r="D65" s="512">
        <v>2</v>
      </c>
      <c r="E65" s="508">
        <v>6</v>
      </c>
      <c r="F65" s="508">
        <v>6</v>
      </c>
      <c r="G65" s="508">
        <v>6</v>
      </c>
      <c r="H65" s="508">
        <v>6</v>
      </c>
      <c r="I65" s="508">
        <v>6</v>
      </c>
      <c r="J65" s="508">
        <v>6</v>
      </c>
      <c r="K65" s="508">
        <v>6</v>
      </c>
      <c r="L65" s="508">
        <v>6</v>
      </c>
      <c r="M65" s="509">
        <v>6</v>
      </c>
      <c r="N65" s="506"/>
      <c r="P65" s="510">
        <f t="shared" si="0"/>
        <v>6</v>
      </c>
      <c r="Q65" s="514"/>
      <c r="T65" s="522">
        <v>6</v>
      </c>
      <c r="U65" s="523">
        <f t="shared" si="1"/>
        <v>0</v>
      </c>
    </row>
    <row r="66" spans="1:21">
      <c r="A66" s="506" t="s">
        <v>597</v>
      </c>
      <c r="B66" s="506" t="s">
        <v>365</v>
      </c>
      <c r="C66" s="506" t="s">
        <v>366</v>
      </c>
      <c r="D66" s="512">
        <v>14</v>
      </c>
      <c r="E66" s="508">
        <v>12</v>
      </c>
      <c r="F66" s="508">
        <v>12</v>
      </c>
      <c r="G66" s="508">
        <v>12</v>
      </c>
      <c r="H66" s="508">
        <v>12</v>
      </c>
      <c r="I66" s="508">
        <v>12</v>
      </c>
      <c r="J66" s="508">
        <v>12</v>
      </c>
      <c r="K66" s="508">
        <v>13</v>
      </c>
      <c r="L66" s="508">
        <v>13</v>
      </c>
      <c r="M66" s="509">
        <v>12.25</v>
      </c>
      <c r="N66" s="506"/>
      <c r="P66" s="510">
        <f t="shared" ref="P66:P129" si="2">SUM(M66:O66)</f>
        <v>12.25</v>
      </c>
      <c r="Q66" s="514"/>
      <c r="T66" s="522">
        <v>12.25</v>
      </c>
      <c r="U66" s="523">
        <f t="shared" si="1"/>
        <v>0</v>
      </c>
    </row>
    <row r="67" spans="1:21">
      <c r="A67" s="506" t="s">
        <v>595</v>
      </c>
      <c r="B67" s="506" t="s">
        <v>401</v>
      </c>
      <c r="C67" s="506" t="s">
        <v>402</v>
      </c>
      <c r="D67" s="512">
        <v>1441</v>
      </c>
      <c r="E67" s="508">
        <v>1906</v>
      </c>
      <c r="F67" s="508">
        <v>1944</v>
      </c>
      <c r="G67" s="508">
        <v>1946</v>
      </c>
      <c r="H67" s="508">
        <v>1957</v>
      </c>
      <c r="I67" s="508">
        <v>1977</v>
      </c>
      <c r="J67" s="508">
        <v>1992</v>
      </c>
      <c r="K67" s="508">
        <v>1986</v>
      </c>
      <c r="L67" s="508">
        <v>1982</v>
      </c>
      <c r="M67" s="509">
        <v>1961.25</v>
      </c>
      <c r="N67" s="506"/>
      <c r="P67" s="510">
        <f t="shared" si="2"/>
        <v>1961.25</v>
      </c>
      <c r="Q67" s="514"/>
      <c r="T67" s="522">
        <v>1961.25</v>
      </c>
      <c r="U67" s="523">
        <f t="shared" ref="U67:U130" si="3">T67-M67</f>
        <v>0</v>
      </c>
    </row>
    <row r="68" spans="1:21">
      <c r="A68" s="506" t="s">
        <v>605</v>
      </c>
      <c r="B68" s="506" t="s">
        <v>226</v>
      </c>
      <c r="C68" s="506" t="s">
        <v>227</v>
      </c>
      <c r="D68" s="512">
        <v>214</v>
      </c>
      <c r="E68" s="508">
        <v>216</v>
      </c>
      <c r="F68" s="508">
        <v>217</v>
      </c>
      <c r="G68" s="508">
        <v>205</v>
      </c>
      <c r="H68" s="508">
        <v>208</v>
      </c>
      <c r="I68" s="508">
        <v>211</v>
      </c>
      <c r="J68" s="508">
        <v>210</v>
      </c>
      <c r="K68" s="508">
        <v>212</v>
      </c>
      <c r="L68" s="508">
        <v>221</v>
      </c>
      <c r="M68" s="509">
        <v>212.5</v>
      </c>
      <c r="N68" s="506"/>
      <c r="P68" s="510">
        <f t="shared" si="2"/>
        <v>212.5</v>
      </c>
      <c r="Q68" s="514"/>
      <c r="T68" s="522">
        <v>212.5</v>
      </c>
      <c r="U68" s="523">
        <f t="shared" si="3"/>
        <v>0</v>
      </c>
    </row>
    <row r="69" spans="1:21">
      <c r="A69" s="506" t="s">
        <v>594</v>
      </c>
      <c r="B69" s="506" t="s">
        <v>141</v>
      </c>
      <c r="C69" s="506" t="s">
        <v>142</v>
      </c>
      <c r="D69" s="512">
        <v>83</v>
      </c>
      <c r="E69" s="508">
        <v>93</v>
      </c>
      <c r="F69" s="508">
        <v>94</v>
      </c>
      <c r="G69" s="508">
        <v>97</v>
      </c>
      <c r="H69" s="508">
        <v>97</v>
      </c>
      <c r="I69" s="508">
        <v>97</v>
      </c>
      <c r="J69" s="508">
        <v>97</v>
      </c>
      <c r="K69" s="508">
        <v>97</v>
      </c>
      <c r="L69" s="508">
        <v>98</v>
      </c>
      <c r="M69" s="509">
        <v>96.25</v>
      </c>
      <c r="N69" s="506"/>
      <c r="P69" s="510">
        <f t="shared" si="2"/>
        <v>96.25</v>
      </c>
      <c r="Q69" s="514"/>
      <c r="T69" s="522">
        <v>96.25</v>
      </c>
      <c r="U69" s="523">
        <f t="shared" si="3"/>
        <v>0</v>
      </c>
    </row>
    <row r="70" spans="1:21">
      <c r="A70" s="506" t="s">
        <v>603</v>
      </c>
      <c r="B70" s="506" t="s">
        <v>535</v>
      </c>
      <c r="C70" s="506" t="s">
        <v>536</v>
      </c>
      <c r="D70" s="512">
        <v>0</v>
      </c>
      <c r="E70" s="508">
        <v>0</v>
      </c>
      <c r="F70" s="508">
        <v>0</v>
      </c>
      <c r="G70" s="508">
        <v>0</v>
      </c>
      <c r="H70" s="508">
        <v>0</v>
      </c>
      <c r="I70" s="508">
        <v>0</v>
      </c>
      <c r="J70" s="508">
        <v>0</v>
      </c>
      <c r="K70" s="508">
        <v>0</v>
      </c>
      <c r="L70" s="508">
        <v>0</v>
      </c>
      <c r="M70" s="509">
        <v>0</v>
      </c>
      <c r="N70" s="506"/>
      <c r="P70" s="510">
        <f t="shared" si="2"/>
        <v>0</v>
      </c>
      <c r="Q70" s="514"/>
      <c r="T70" s="522">
        <v>0</v>
      </c>
      <c r="U70" s="523">
        <f t="shared" si="3"/>
        <v>0</v>
      </c>
    </row>
    <row r="71" spans="1:21">
      <c r="A71" s="506" t="s">
        <v>601</v>
      </c>
      <c r="B71" s="506" t="s">
        <v>29</v>
      </c>
      <c r="C71" s="506" t="s">
        <v>30</v>
      </c>
      <c r="D71" s="512">
        <v>47</v>
      </c>
      <c r="E71" s="508">
        <v>47</v>
      </c>
      <c r="F71" s="508">
        <v>47</v>
      </c>
      <c r="G71" s="508">
        <v>47</v>
      </c>
      <c r="H71" s="508">
        <v>48</v>
      </c>
      <c r="I71" s="508">
        <v>49</v>
      </c>
      <c r="J71" s="508">
        <v>49</v>
      </c>
      <c r="K71" s="508">
        <v>49</v>
      </c>
      <c r="L71" s="508">
        <v>49</v>
      </c>
      <c r="M71" s="509">
        <v>48.13</v>
      </c>
      <c r="N71" s="506"/>
      <c r="P71" s="510">
        <f t="shared" si="2"/>
        <v>48.13</v>
      </c>
      <c r="Q71" s="514"/>
      <c r="T71" s="522">
        <v>48.13</v>
      </c>
      <c r="U71" s="523">
        <f t="shared" si="3"/>
        <v>0</v>
      </c>
    </row>
    <row r="72" spans="1:21">
      <c r="A72" s="506" t="s">
        <v>597</v>
      </c>
      <c r="B72" s="506" t="s">
        <v>177</v>
      </c>
      <c r="C72" s="506" t="s">
        <v>178</v>
      </c>
      <c r="D72" s="512">
        <v>176</v>
      </c>
      <c r="E72" s="508">
        <v>177</v>
      </c>
      <c r="F72" s="508">
        <v>175</v>
      </c>
      <c r="G72" s="508">
        <v>178</v>
      </c>
      <c r="H72" s="508">
        <v>178</v>
      </c>
      <c r="I72" s="508">
        <v>179</v>
      </c>
      <c r="J72" s="508">
        <v>177</v>
      </c>
      <c r="K72" s="508">
        <v>173</v>
      </c>
      <c r="L72" s="508">
        <v>172</v>
      </c>
      <c r="M72" s="509">
        <v>176.13</v>
      </c>
      <c r="N72" s="506"/>
      <c r="P72" s="510">
        <f t="shared" si="2"/>
        <v>176.13</v>
      </c>
      <c r="Q72" s="514"/>
      <c r="T72" s="522">
        <v>176.13</v>
      </c>
      <c r="U72" s="523">
        <f t="shared" si="3"/>
        <v>0</v>
      </c>
    </row>
    <row r="73" spans="1:21">
      <c r="A73" s="506" t="s">
        <v>601</v>
      </c>
      <c r="B73" s="506" t="s">
        <v>127</v>
      </c>
      <c r="C73" s="506" t="s">
        <v>128</v>
      </c>
      <c r="D73" s="512">
        <v>152</v>
      </c>
      <c r="E73" s="508">
        <v>185</v>
      </c>
      <c r="F73" s="508">
        <v>190</v>
      </c>
      <c r="G73" s="508">
        <v>191</v>
      </c>
      <c r="H73" s="508">
        <v>191</v>
      </c>
      <c r="I73" s="508">
        <v>188</v>
      </c>
      <c r="J73" s="508">
        <v>188</v>
      </c>
      <c r="K73" s="508">
        <v>192</v>
      </c>
      <c r="L73" s="508">
        <v>192</v>
      </c>
      <c r="M73" s="509">
        <v>189.63</v>
      </c>
      <c r="N73" s="506"/>
      <c r="P73" s="510">
        <f t="shared" si="2"/>
        <v>189.63</v>
      </c>
      <c r="Q73" s="514"/>
      <c r="T73" s="522">
        <v>189.63</v>
      </c>
      <c r="U73" s="523">
        <f t="shared" si="3"/>
        <v>0</v>
      </c>
    </row>
    <row r="74" spans="1:21">
      <c r="A74" s="506" t="s">
        <v>594</v>
      </c>
      <c r="B74" s="506" t="s">
        <v>256</v>
      </c>
      <c r="C74" s="506" t="s">
        <v>257</v>
      </c>
      <c r="D74" s="512">
        <v>0</v>
      </c>
      <c r="E74" s="508">
        <v>0</v>
      </c>
      <c r="F74" s="508">
        <v>0</v>
      </c>
      <c r="G74" s="508">
        <v>0</v>
      </c>
      <c r="H74" s="508">
        <v>0</v>
      </c>
      <c r="I74" s="508">
        <v>0</v>
      </c>
      <c r="J74" s="508">
        <v>0</v>
      </c>
      <c r="K74" s="508">
        <v>0</v>
      </c>
      <c r="L74" s="508">
        <v>0</v>
      </c>
      <c r="M74" s="509">
        <v>0</v>
      </c>
      <c r="N74" s="506"/>
      <c r="P74" s="510">
        <f t="shared" si="2"/>
        <v>0</v>
      </c>
      <c r="Q74" s="514"/>
      <c r="T74" s="522">
        <v>0</v>
      </c>
      <c r="U74" s="523">
        <f t="shared" si="3"/>
        <v>0</v>
      </c>
    </row>
    <row r="75" spans="1:21">
      <c r="A75" s="506" t="s">
        <v>595</v>
      </c>
      <c r="B75" s="506" t="s">
        <v>395</v>
      </c>
      <c r="C75" s="506" t="s">
        <v>396</v>
      </c>
      <c r="D75" s="512">
        <v>1245</v>
      </c>
      <c r="E75" s="508">
        <v>1723</v>
      </c>
      <c r="F75" s="508">
        <v>1744</v>
      </c>
      <c r="G75" s="508">
        <v>1740</v>
      </c>
      <c r="H75" s="508">
        <v>1740</v>
      </c>
      <c r="I75" s="508">
        <v>1750</v>
      </c>
      <c r="J75" s="508">
        <v>1777</v>
      </c>
      <c r="K75" s="508">
        <v>1798</v>
      </c>
      <c r="L75" s="508">
        <v>1789</v>
      </c>
      <c r="M75" s="509">
        <v>1757.63</v>
      </c>
      <c r="N75" s="506"/>
      <c r="P75" s="510">
        <f t="shared" si="2"/>
        <v>1757.63</v>
      </c>
      <c r="Q75" s="514"/>
      <c r="T75" s="522">
        <v>1757.63</v>
      </c>
      <c r="U75" s="523">
        <f t="shared" si="3"/>
        <v>0</v>
      </c>
    </row>
    <row r="76" spans="1:21">
      <c r="A76" s="506" t="s">
        <v>599</v>
      </c>
      <c r="B76" s="506" t="s">
        <v>58</v>
      </c>
      <c r="C76" s="506" t="s">
        <v>59</v>
      </c>
      <c r="D76" s="512">
        <v>1656</v>
      </c>
      <c r="E76" s="508">
        <v>2145</v>
      </c>
      <c r="F76" s="508">
        <v>2157</v>
      </c>
      <c r="G76" s="508">
        <v>2174</v>
      </c>
      <c r="H76" s="508">
        <v>2183</v>
      </c>
      <c r="I76" s="508">
        <v>2195</v>
      </c>
      <c r="J76" s="508">
        <v>2188</v>
      </c>
      <c r="K76" s="508">
        <v>2226</v>
      </c>
      <c r="L76" s="508">
        <v>2233</v>
      </c>
      <c r="M76" s="509">
        <v>2187.63</v>
      </c>
      <c r="N76" s="506"/>
      <c r="P76" s="510">
        <f t="shared" si="2"/>
        <v>2187.63</v>
      </c>
      <c r="Q76" s="514"/>
      <c r="T76" s="522">
        <v>2187.63</v>
      </c>
      <c r="U76" s="523">
        <f t="shared" si="3"/>
        <v>0</v>
      </c>
    </row>
    <row r="77" spans="1:21">
      <c r="A77" s="506" t="s">
        <v>603</v>
      </c>
      <c r="B77" s="506" t="s">
        <v>462</v>
      </c>
      <c r="C77" s="506" t="s">
        <v>463</v>
      </c>
      <c r="D77" s="512">
        <v>0</v>
      </c>
      <c r="E77" s="508">
        <v>0</v>
      </c>
      <c r="F77" s="508">
        <v>0</v>
      </c>
      <c r="G77" s="508">
        <v>0</v>
      </c>
      <c r="H77" s="508">
        <v>0</v>
      </c>
      <c r="I77" s="508">
        <v>0</v>
      </c>
      <c r="J77" s="508">
        <v>0</v>
      </c>
      <c r="K77" s="508">
        <v>0</v>
      </c>
      <c r="L77" s="508">
        <v>0</v>
      </c>
      <c r="M77" s="509">
        <v>0</v>
      </c>
      <c r="N77" s="506"/>
      <c r="P77" s="510">
        <f t="shared" si="2"/>
        <v>0</v>
      </c>
      <c r="Q77" s="514"/>
      <c r="T77" s="522">
        <v>0</v>
      </c>
      <c r="U77" s="523">
        <f t="shared" si="3"/>
        <v>0</v>
      </c>
    </row>
    <row r="78" spans="1:21">
      <c r="A78" s="506" t="s">
        <v>597</v>
      </c>
      <c r="B78" s="506" t="s">
        <v>175</v>
      </c>
      <c r="C78" s="506" t="s">
        <v>176</v>
      </c>
      <c r="D78" s="512">
        <v>2378</v>
      </c>
      <c r="E78" s="508">
        <v>2984</v>
      </c>
      <c r="F78" s="508">
        <v>3003</v>
      </c>
      <c r="G78" s="508">
        <v>2998</v>
      </c>
      <c r="H78" s="508">
        <v>3017</v>
      </c>
      <c r="I78" s="508">
        <v>3032</v>
      </c>
      <c r="J78" s="508">
        <v>3041</v>
      </c>
      <c r="K78" s="508">
        <v>3035</v>
      </c>
      <c r="L78" s="508">
        <v>3045</v>
      </c>
      <c r="M78" s="509">
        <v>3019.38</v>
      </c>
      <c r="N78" s="506"/>
      <c r="P78" s="510">
        <f t="shared" si="2"/>
        <v>3019.38</v>
      </c>
      <c r="Q78" s="514"/>
      <c r="T78" s="522">
        <v>3019.38</v>
      </c>
      <c r="U78" s="523">
        <f t="shared" si="3"/>
        <v>0</v>
      </c>
    </row>
    <row r="79" spans="1:21">
      <c r="A79" s="506" t="s">
        <v>595</v>
      </c>
      <c r="B79" s="506" t="s">
        <v>506</v>
      </c>
      <c r="C79" s="506" t="s">
        <v>507</v>
      </c>
      <c r="D79" s="512">
        <v>190</v>
      </c>
      <c r="E79" s="508">
        <v>232</v>
      </c>
      <c r="F79" s="508">
        <v>230</v>
      </c>
      <c r="G79" s="508">
        <v>224</v>
      </c>
      <c r="H79" s="508">
        <v>226</v>
      </c>
      <c r="I79" s="508">
        <v>232</v>
      </c>
      <c r="J79" s="508">
        <v>234</v>
      </c>
      <c r="K79" s="508">
        <v>233</v>
      </c>
      <c r="L79" s="508">
        <v>235</v>
      </c>
      <c r="M79" s="509">
        <v>230.75</v>
      </c>
      <c r="N79" s="506"/>
      <c r="P79" s="510">
        <f t="shared" si="2"/>
        <v>230.75</v>
      </c>
      <c r="Q79" s="514"/>
      <c r="T79" s="522">
        <v>230.75</v>
      </c>
      <c r="U79" s="523">
        <f t="shared" si="3"/>
        <v>0</v>
      </c>
    </row>
    <row r="80" spans="1:21">
      <c r="A80" s="506" t="s">
        <v>597</v>
      </c>
      <c r="B80" s="506" t="s">
        <v>369</v>
      </c>
      <c r="C80" s="506" t="s">
        <v>370</v>
      </c>
      <c r="D80" s="512">
        <v>278</v>
      </c>
      <c r="E80" s="508">
        <v>351</v>
      </c>
      <c r="F80" s="508">
        <v>355</v>
      </c>
      <c r="G80" s="508">
        <v>362</v>
      </c>
      <c r="H80" s="508">
        <v>365</v>
      </c>
      <c r="I80" s="508">
        <v>367</v>
      </c>
      <c r="J80" s="508">
        <v>367</v>
      </c>
      <c r="K80" s="508">
        <v>360</v>
      </c>
      <c r="L80" s="508">
        <v>360</v>
      </c>
      <c r="M80" s="509">
        <v>360.88</v>
      </c>
      <c r="N80" s="506"/>
      <c r="P80" s="510">
        <f t="shared" si="2"/>
        <v>360.88</v>
      </c>
      <c r="Q80" s="514"/>
      <c r="T80" s="522">
        <v>360.88</v>
      </c>
      <c r="U80" s="523">
        <f t="shared" si="3"/>
        <v>0</v>
      </c>
    </row>
    <row r="81" spans="1:21">
      <c r="A81" s="506" t="s">
        <v>596</v>
      </c>
      <c r="B81" s="506" t="s">
        <v>19</v>
      </c>
      <c r="C81" s="506" t="s">
        <v>20</v>
      </c>
      <c r="D81" s="512">
        <v>116</v>
      </c>
      <c r="E81" s="508">
        <v>123</v>
      </c>
      <c r="F81" s="508">
        <v>129</v>
      </c>
      <c r="G81" s="508">
        <v>130</v>
      </c>
      <c r="H81" s="508">
        <v>132</v>
      </c>
      <c r="I81" s="508">
        <v>132</v>
      </c>
      <c r="J81" s="508">
        <v>132</v>
      </c>
      <c r="K81" s="508">
        <v>127</v>
      </c>
      <c r="L81" s="508">
        <v>123</v>
      </c>
      <c r="M81" s="509">
        <v>128.5</v>
      </c>
      <c r="N81" s="506"/>
      <c r="P81" s="510">
        <f t="shared" si="2"/>
        <v>128.5</v>
      </c>
      <c r="Q81" s="514"/>
      <c r="T81" s="522">
        <v>128.5</v>
      </c>
      <c r="U81" s="523">
        <f t="shared" si="3"/>
        <v>0</v>
      </c>
    </row>
    <row r="82" spans="1:21">
      <c r="A82" s="506" t="s">
        <v>597</v>
      </c>
      <c r="B82" s="506" t="s">
        <v>361</v>
      </c>
      <c r="C82" s="506" t="s">
        <v>362</v>
      </c>
      <c r="D82" s="512">
        <v>519</v>
      </c>
      <c r="E82" s="508">
        <v>563</v>
      </c>
      <c r="F82" s="508">
        <v>588</v>
      </c>
      <c r="G82" s="508">
        <v>597</v>
      </c>
      <c r="H82" s="508">
        <v>556</v>
      </c>
      <c r="I82" s="508">
        <v>591</v>
      </c>
      <c r="J82" s="508">
        <v>587</v>
      </c>
      <c r="K82" s="508">
        <v>576</v>
      </c>
      <c r="L82" s="508">
        <v>579</v>
      </c>
      <c r="M82" s="509">
        <v>579.63</v>
      </c>
      <c r="N82" s="506"/>
      <c r="P82" s="510">
        <f t="shared" si="2"/>
        <v>579.63</v>
      </c>
      <c r="Q82" s="514"/>
      <c r="T82" s="522">
        <v>579.63</v>
      </c>
      <c r="U82" s="523">
        <f t="shared" si="3"/>
        <v>0</v>
      </c>
    </row>
    <row r="83" spans="1:21">
      <c r="A83" s="506" t="s">
        <v>603</v>
      </c>
      <c r="B83" s="506" t="s">
        <v>436</v>
      </c>
      <c r="C83" s="506" t="s">
        <v>437</v>
      </c>
      <c r="D83" s="512">
        <v>0</v>
      </c>
      <c r="E83" s="508">
        <v>0</v>
      </c>
      <c r="F83" s="508">
        <v>0</v>
      </c>
      <c r="G83" s="508">
        <v>0</v>
      </c>
      <c r="H83" s="508">
        <v>0</v>
      </c>
      <c r="I83" s="508">
        <v>0</v>
      </c>
      <c r="J83" s="508">
        <v>0</v>
      </c>
      <c r="K83" s="508">
        <v>0</v>
      </c>
      <c r="L83" s="508">
        <v>0</v>
      </c>
      <c r="M83" s="509">
        <v>0</v>
      </c>
      <c r="N83" s="506"/>
      <c r="P83" s="510">
        <f t="shared" si="2"/>
        <v>0</v>
      </c>
      <c r="Q83" s="514"/>
      <c r="T83" s="522">
        <v>0</v>
      </c>
      <c r="U83" s="523">
        <f t="shared" si="3"/>
        <v>0</v>
      </c>
    </row>
    <row r="84" spans="1:21">
      <c r="A84" s="506" t="s">
        <v>603</v>
      </c>
      <c r="B84" s="506" t="s">
        <v>529</v>
      </c>
      <c r="C84" s="506" t="s">
        <v>530</v>
      </c>
      <c r="D84" s="512">
        <v>0</v>
      </c>
      <c r="E84" s="508">
        <v>0</v>
      </c>
      <c r="F84" s="508">
        <v>0</v>
      </c>
      <c r="G84" s="508">
        <v>0</v>
      </c>
      <c r="H84" s="508">
        <v>0</v>
      </c>
      <c r="I84" s="508">
        <v>0</v>
      </c>
      <c r="J84" s="508">
        <v>0</v>
      </c>
      <c r="K84" s="508">
        <v>0</v>
      </c>
      <c r="L84" s="508">
        <v>0</v>
      </c>
      <c r="M84" s="509">
        <v>0</v>
      </c>
      <c r="N84" s="506"/>
      <c r="P84" s="510">
        <f t="shared" si="2"/>
        <v>0</v>
      </c>
      <c r="Q84" s="514"/>
      <c r="T84" s="522">
        <v>0</v>
      </c>
      <c r="U84" s="523">
        <f t="shared" si="3"/>
        <v>0</v>
      </c>
    </row>
    <row r="85" spans="1:21">
      <c r="A85" s="506" t="s">
        <v>599</v>
      </c>
      <c r="B85" s="506" t="s">
        <v>240</v>
      </c>
      <c r="C85" s="506" t="s">
        <v>241</v>
      </c>
      <c r="D85" s="512">
        <v>0</v>
      </c>
      <c r="E85" s="508">
        <v>0</v>
      </c>
      <c r="F85" s="508">
        <v>0</v>
      </c>
      <c r="G85" s="508">
        <v>0</v>
      </c>
      <c r="H85" s="508">
        <v>0</v>
      </c>
      <c r="I85" s="508">
        <v>0</v>
      </c>
      <c r="J85" s="508">
        <v>0</v>
      </c>
      <c r="K85" s="508">
        <v>0</v>
      </c>
      <c r="L85" s="508">
        <v>0</v>
      </c>
      <c r="M85" s="509">
        <v>0</v>
      </c>
      <c r="N85" s="506"/>
      <c r="P85" s="510">
        <f t="shared" si="2"/>
        <v>0</v>
      </c>
      <c r="Q85" s="514"/>
      <c r="T85" s="522">
        <v>0</v>
      </c>
      <c r="U85" s="523">
        <f t="shared" si="3"/>
        <v>0</v>
      </c>
    </row>
    <row r="86" spans="1:21">
      <c r="A86" s="506" t="s">
        <v>605</v>
      </c>
      <c r="B86" s="506" t="s">
        <v>246</v>
      </c>
      <c r="C86" s="506" t="s">
        <v>247</v>
      </c>
      <c r="D86" s="512">
        <v>18</v>
      </c>
      <c r="E86" s="508">
        <v>32</v>
      </c>
      <c r="F86" s="508">
        <v>30</v>
      </c>
      <c r="G86" s="508">
        <v>33</v>
      </c>
      <c r="H86" s="508">
        <v>29</v>
      </c>
      <c r="I86" s="508">
        <v>31</v>
      </c>
      <c r="J86" s="508">
        <v>31</v>
      </c>
      <c r="K86" s="508">
        <v>32</v>
      </c>
      <c r="L86" s="508">
        <v>31</v>
      </c>
      <c r="M86" s="509">
        <v>31.13</v>
      </c>
      <c r="N86" s="506"/>
      <c r="P86" s="510">
        <f t="shared" si="2"/>
        <v>31.13</v>
      </c>
      <c r="Q86" s="514"/>
      <c r="T86" s="522">
        <v>31.13</v>
      </c>
      <c r="U86" s="523">
        <f t="shared" si="3"/>
        <v>0</v>
      </c>
    </row>
    <row r="87" spans="1:21">
      <c r="A87" s="506" t="s">
        <v>601</v>
      </c>
      <c r="B87" s="506" t="s">
        <v>131</v>
      </c>
      <c r="C87" s="506" t="s">
        <v>655</v>
      </c>
      <c r="D87" s="512">
        <v>0</v>
      </c>
      <c r="E87" s="508">
        <v>0</v>
      </c>
      <c r="F87" s="508">
        <v>0</v>
      </c>
      <c r="G87" s="508">
        <v>0</v>
      </c>
      <c r="H87" s="508">
        <v>0</v>
      </c>
      <c r="I87" s="508">
        <v>0</v>
      </c>
      <c r="J87" s="508">
        <v>0</v>
      </c>
      <c r="K87" s="508">
        <v>0</v>
      </c>
      <c r="L87" s="508">
        <v>0</v>
      </c>
      <c r="M87" s="509">
        <v>0</v>
      </c>
      <c r="N87" s="506"/>
      <c r="P87" s="510">
        <f t="shared" si="2"/>
        <v>0</v>
      </c>
      <c r="Q87" s="514"/>
      <c r="T87" s="522">
        <v>0</v>
      </c>
      <c r="U87" s="523">
        <f t="shared" si="3"/>
        <v>0</v>
      </c>
    </row>
    <row r="88" spans="1:21">
      <c r="A88" s="506" t="s">
        <v>605</v>
      </c>
      <c r="B88" s="506" t="s">
        <v>555</v>
      </c>
      <c r="C88" s="506" t="s">
        <v>556</v>
      </c>
      <c r="D88" s="512">
        <v>1064</v>
      </c>
      <c r="E88" s="508">
        <v>1164</v>
      </c>
      <c r="F88" s="508">
        <v>1155</v>
      </c>
      <c r="G88" s="508">
        <v>1135</v>
      </c>
      <c r="H88" s="508">
        <v>1129</v>
      </c>
      <c r="I88" s="508">
        <v>1126</v>
      </c>
      <c r="J88" s="508">
        <v>1125</v>
      </c>
      <c r="K88" s="508">
        <v>1119</v>
      </c>
      <c r="L88" s="508">
        <v>1124</v>
      </c>
      <c r="M88" s="509">
        <v>1134.6300000000001</v>
      </c>
      <c r="N88" s="506"/>
      <c r="P88" s="510">
        <f t="shared" si="2"/>
        <v>1134.6300000000001</v>
      </c>
      <c r="Q88" s="514"/>
      <c r="T88" s="522">
        <v>1134.6300000000001</v>
      </c>
      <c r="U88" s="523">
        <f t="shared" si="3"/>
        <v>0</v>
      </c>
    </row>
    <row r="89" spans="1:21">
      <c r="A89" s="506" t="s">
        <v>605</v>
      </c>
      <c r="B89" s="506" t="s">
        <v>563</v>
      </c>
      <c r="C89" s="506" t="s">
        <v>564</v>
      </c>
      <c r="D89" s="512">
        <v>526</v>
      </c>
      <c r="E89" s="508">
        <v>539</v>
      </c>
      <c r="F89" s="508">
        <v>554</v>
      </c>
      <c r="G89" s="508">
        <v>557</v>
      </c>
      <c r="H89" s="508">
        <v>562</v>
      </c>
      <c r="I89" s="508">
        <v>564</v>
      </c>
      <c r="J89" s="508">
        <v>555</v>
      </c>
      <c r="K89" s="508">
        <v>552</v>
      </c>
      <c r="L89" s="508">
        <v>553</v>
      </c>
      <c r="M89" s="509">
        <v>554.5</v>
      </c>
      <c r="N89" s="516">
        <v>20</v>
      </c>
      <c r="P89" s="510">
        <f t="shared" si="2"/>
        <v>574.5</v>
      </c>
      <c r="Q89" s="514"/>
      <c r="T89" s="522">
        <v>554.5</v>
      </c>
      <c r="U89" s="523">
        <f t="shared" si="3"/>
        <v>0</v>
      </c>
    </row>
    <row r="90" spans="1:21">
      <c r="A90" s="506" t="s">
        <v>595</v>
      </c>
      <c r="B90" s="506" t="s">
        <v>419</v>
      </c>
      <c r="C90" s="506" t="s">
        <v>420</v>
      </c>
      <c r="D90" s="512">
        <v>21</v>
      </c>
      <c r="E90" s="508">
        <v>26</v>
      </c>
      <c r="F90" s="508">
        <v>26</v>
      </c>
      <c r="G90" s="508">
        <v>26</v>
      </c>
      <c r="H90" s="508">
        <v>26</v>
      </c>
      <c r="I90" s="508">
        <v>27</v>
      </c>
      <c r="J90" s="508">
        <v>28</v>
      </c>
      <c r="K90" s="508">
        <v>28</v>
      </c>
      <c r="L90" s="508">
        <v>28</v>
      </c>
      <c r="M90" s="509">
        <v>26.88</v>
      </c>
      <c r="N90" s="506"/>
      <c r="P90" s="510">
        <f t="shared" si="2"/>
        <v>26.88</v>
      </c>
      <c r="Q90" s="514"/>
      <c r="T90" s="522">
        <v>26.88</v>
      </c>
      <c r="U90" s="523">
        <f t="shared" si="3"/>
        <v>0</v>
      </c>
    </row>
    <row r="91" spans="1:21">
      <c r="A91" s="506" t="s">
        <v>594</v>
      </c>
      <c r="B91" s="506" t="s">
        <v>297</v>
      </c>
      <c r="C91" s="506" t="s">
        <v>298</v>
      </c>
      <c r="D91" s="512">
        <v>0</v>
      </c>
      <c r="E91" s="508">
        <v>0</v>
      </c>
      <c r="F91" s="508">
        <v>0</v>
      </c>
      <c r="G91" s="508">
        <v>0</v>
      </c>
      <c r="H91" s="508">
        <v>0</v>
      </c>
      <c r="I91" s="508">
        <v>0</v>
      </c>
      <c r="J91" s="508">
        <v>0</v>
      </c>
      <c r="K91" s="508">
        <v>0</v>
      </c>
      <c r="L91" s="508">
        <v>0</v>
      </c>
      <c r="M91" s="509">
        <v>0</v>
      </c>
      <c r="N91" s="506"/>
      <c r="P91" s="510">
        <f t="shared" si="2"/>
        <v>0</v>
      </c>
      <c r="Q91" s="514"/>
      <c r="T91" s="522">
        <v>0</v>
      </c>
      <c r="U91" s="523">
        <f t="shared" si="3"/>
        <v>0</v>
      </c>
    </row>
    <row r="92" spans="1:21">
      <c r="A92" s="506" t="s">
        <v>603</v>
      </c>
      <c r="B92" s="506" t="s">
        <v>426</v>
      </c>
      <c r="C92" s="506" t="s">
        <v>427</v>
      </c>
      <c r="D92" s="512">
        <v>0</v>
      </c>
      <c r="E92" s="508">
        <v>0</v>
      </c>
      <c r="F92" s="508">
        <v>0</v>
      </c>
      <c r="G92" s="508">
        <v>0</v>
      </c>
      <c r="H92" s="508">
        <v>0</v>
      </c>
      <c r="I92" s="508">
        <v>0</v>
      </c>
      <c r="J92" s="508">
        <v>0</v>
      </c>
      <c r="K92" s="508">
        <v>0</v>
      </c>
      <c r="L92" s="508">
        <v>0</v>
      </c>
      <c r="M92" s="509">
        <v>0</v>
      </c>
      <c r="N92" s="506"/>
      <c r="P92" s="510">
        <f t="shared" si="2"/>
        <v>0</v>
      </c>
      <c r="Q92" s="514"/>
      <c r="T92" s="522">
        <v>0</v>
      </c>
      <c r="U92" s="523">
        <f t="shared" si="3"/>
        <v>0</v>
      </c>
    </row>
    <row r="93" spans="1:21">
      <c r="A93" s="506" t="s">
        <v>599</v>
      </c>
      <c r="B93" s="506" t="s">
        <v>54</v>
      </c>
      <c r="C93" s="506" t="s">
        <v>55</v>
      </c>
      <c r="D93" s="512">
        <v>0</v>
      </c>
      <c r="E93" s="508">
        <v>0</v>
      </c>
      <c r="F93" s="508">
        <v>0</v>
      </c>
      <c r="G93" s="508">
        <v>0</v>
      </c>
      <c r="H93" s="508">
        <v>0</v>
      </c>
      <c r="I93" s="508">
        <v>0</v>
      </c>
      <c r="J93" s="508">
        <v>0</v>
      </c>
      <c r="K93" s="508">
        <v>0</v>
      </c>
      <c r="L93" s="508">
        <v>0</v>
      </c>
      <c r="M93" s="509">
        <v>0</v>
      </c>
      <c r="N93" s="506"/>
      <c r="P93" s="510">
        <f t="shared" si="2"/>
        <v>0</v>
      </c>
      <c r="Q93" s="514"/>
      <c r="T93" s="522">
        <v>0</v>
      </c>
      <c r="U93" s="523">
        <f t="shared" si="3"/>
        <v>0</v>
      </c>
    </row>
    <row r="94" spans="1:21">
      <c r="A94" s="506" t="s">
        <v>594</v>
      </c>
      <c r="B94" s="506" t="s">
        <v>482</v>
      </c>
      <c r="C94" s="506" t="s">
        <v>483</v>
      </c>
      <c r="D94" s="512">
        <v>0</v>
      </c>
      <c r="E94" s="508">
        <v>0</v>
      </c>
      <c r="F94" s="508">
        <v>0</v>
      </c>
      <c r="G94" s="508">
        <v>0</v>
      </c>
      <c r="H94" s="508">
        <v>0</v>
      </c>
      <c r="I94" s="508">
        <v>0</v>
      </c>
      <c r="J94" s="508">
        <v>0</v>
      </c>
      <c r="K94" s="508">
        <v>0</v>
      </c>
      <c r="L94" s="508">
        <v>0</v>
      </c>
      <c r="M94" s="509">
        <v>0</v>
      </c>
      <c r="N94" s="506"/>
      <c r="P94" s="510">
        <f t="shared" si="2"/>
        <v>0</v>
      </c>
      <c r="Q94" s="514"/>
      <c r="T94" s="522">
        <v>0</v>
      </c>
      <c r="U94" s="523">
        <f t="shared" si="3"/>
        <v>0</v>
      </c>
    </row>
    <row r="95" spans="1:21">
      <c r="A95" s="506" t="s">
        <v>603</v>
      </c>
      <c r="B95" s="506" t="s">
        <v>291</v>
      </c>
      <c r="C95" s="506" t="s">
        <v>292</v>
      </c>
      <c r="D95" s="512">
        <v>0</v>
      </c>
      <c r="E95" s="508">
        <v>0</v>
      </c>
      <c r="F95" s="508">
        <v>0</v>
      </c>
      <c r="G95" s="508">
        <v>0</v>
      </c>
      <c r="H95" s="508">
        <v>0</v>
      </c>
      <c r="I95" s="508">
        <v>0</v>
      </c>
      <c r="J95" s="508">
        <v>0</v>
      </c>
      <c r="K95" s="508">
        <v>0</v>
      </c>
      <c r="L95" s="508">
        <v>0</v>
      </c>
      <c r="M95" s="509">
        <v>0</v>
      </c>
      <c r="N95" s="506"/>
      <c r="P95" s="510">
        <f t="shared" si="2"/>
        <v>0</v>
      </c>
      <c r="Q95" s="514"/>
      <c r="T95" s="522">
        <v>0</v>
      </c>
      <c r="U95" s="523">
        <f t="shared" si="3"/>
        <v>0</v>
      </c>
    </row>
    <row r="96" spans="1:21">
      <c r="A96" s="506" t="s">
        <v>605</v>
      </c>
      <c r="B96" s="506" t="s">
        <v>561</v>
      </c>
      <c r="C96" s="506" t="s">
        <v>562</v>
      </c>
      <c r="D96" s="512">
        <v>268</v>
      </c>
      <c r="E96" s="508">
        <v>270</v>
      </c>
      <c r="F96" s="508">
        <v>266</v>
      </c>
      <c r="G96" s="508">
        <v>261</v>
      </c>
      <c r="H96" s="508">
        <v>261</v>
      </c>
      <c r="I96" s="508">
        <v>265</v>
      </c>
      <c r="J96" s="508">
        <v>264</v>
      </c>
      <c r="K96" s="508">
        <v>267</v>
      </c>
      <c r="L96" s="508">
        <v>270</v>
      </c>
      <c r="M96" s="509">
        <v>265.5</v>
      </c>
      <c r="N96" s="506"/>
      <c r="P96" s="510">
        <f t="shared" si="2"/>
        <v>265.5</v>
      </c>
      <c r="Q96" s="514"/>
      <c r="T96" s="522">
        <v>265.5</v>
      </c>
      <c r="U96" s="523">
        <f t="shared" si="3"/>
        <v>0</v>
      </c>
    </row>
    <row r="97" spans="1:21">
      <c r="A97" s="506" t="s">
        <v>597</v>
      </c>
      <c r="B97" s="506" t="s">
        <v>181</v>
      </c>
      <c r="C97" s="506" t="s">
        <v>182</v>
      </c>
      <c r="D97" s="512">
        <v>3276</v>
      </c>
      <c r="E97" s="508">
        <v>3532</v>
      </c>
      <c r="F97" s="508">
        <v>3550</v>
      </c>
      <c r="G97" s="508">
        <v>3524</v>
      </c>
      <c r="H97" s="508">
        <v>3545</v>
      </c>
      <c r="I97" s="508">
        <v>3533</v>
      </c>
      <c r="J97" s="508">
        <v>3654</v>
      </c>
      <c r="K97" s="508">
        <v>3633</v>
      </c>
      <c r="L97" s="508">
        <v>3637</v>
      </c>
      <c r="M97" s="509">
        <v>3576</v>
      </c>
      <c r="N97" s="506"/>
      <c r="P97" s="510">
        <f t="shared" si="2"/>
        <v>3576</v>
      </c>
      <c r="Q97" s="514"/>
      <c r="T97" s="522">
        <v>3576</v>
      </c>
      <c r="U97" s="523">
        <f t="shared" si="3"/>
        <v>0</v>
      </c>
    </row>
    <row r="98" spans="1:21">
      <c r="A98" s="506" t="s">
        <v>599</v>
      </c>
      <c r="B98" s="506" t="s">
        <v>51</v>
      </c>
      <c r="C98" s="506" t="s">
        <v>52</v>
      </c>
      <c r="D98" s="512">
        <v>20</v>
      </c>
      <c r="E98" s="508">
        <v>24</v>
      </c>
      <c r="F98" s="508">
        <v>24</v>
      </c>
      <c r="G98" s="508">
        <v>24</v>
      </c>
      <c r="H98" s="508">
        <v>24</v>
      </c>
      <c r="I98" s="508">
        <v>24</v>
      </c>
      <c r="J98" s="508">
        <v>24</v>
      </c>
      <c r="K98" s="508">
        <v>24</v>
      </c>
      <c r="L98" s="508">
        <v>24</v>
      </c>
      <c r="M98" s="509">
        <v>24</v>
      </c>
      <c r="N98" s="506"/>
      <c r="P98" s="510">
        <f t="shared" si="2"/>
        <v>24</v>
      </c>
      <c r="Q98" s="513"/>
      <c r="T98" s="522">
        <v>24</v>
      </c>
      <c r="U98" s="523">
        <f t="shared" si="3"/>
        <v>0</v>
      </c>
    </row>
    <row r="99" spans="1:21">
      <c r="A99" s="506" t="s">
        <v>594</v>
      </c>
      <c r="B99" s="506" t="s">
        <v>307</v>
      </c>
      <c r="C99" s="506" t="s">
        <v>308</v>
      </c>
      <c r="D99" s="512">
        <v>0</v>
      </c>
      <c r="E99" s="508">
        <v>0</v>
      </c>
      <c r="F99" s="508">
        <v>0</v>
      </c>
      <c r="G99" s="508">
        <v>0</v>
      </c>
      <c r="H99" s="508">
        <v>0</v>
      </c>
      <c r="I99" s="508">
        <v>0</v>
      </c>
      <c r="J99" s="508">
        <v>0</v>
      </c>
      <c r="K99" s="508">
        <v>0</v>
      </c>
      <c r="L99" s="508">
        <v>0</v>
      </c>
      <c r="M99" s="509">
        <v>0</v>
      </c>
      <c r="N99" s="506"/>
      <c r="P99" s="510">
        <f t="shared" si="2"/>
        <v>0</v>
      </c>
      <c r="Q99" s="513"/>
      <c r="T99" s="522">
        <v>0</v>
      </c>
      <c r="U99" s="523">
        <f t="shared" si="3"/>
        <v>0</v>
      </c>
    </row>
    <row r="100" spans="1:21">
      <c r="A100" s="506" t="s">
        <v>594</v>
      </c>
      <c r="B100" s="506" t="s">
        <v>134</v>
      </c>
      <c r="C100" s="506" t="s">
        <v>135</v>
      </c>
      <c r="D100" s="512">
        <v>54</v>
      </c>
      <c r="E100" s="508">
        <v>51</v>
      </c>
      <c r="F100" s="508">
        <v>53</v>
      </c>
      <c r="G100" s="508">
        <v>41</v>
      </c>
      <c r="H100" s="508">
        <v>37</v>
      </c>
      <c r="I100" s="508">
        <v>36</v>
      </c>
      <c r="J100" s="508">
        <v>36</v>
      </c>
      <c r="K100" s="508">
        <v>33</v>
      </c>
      <c r="L100" s="508">
        <v>34</v>
      </c>
      <c r="M100" s="509">
        <v>40.130000000000003</v>
      </c>
      <c r="N100" s="506"/>
      <c r="P100" s="510">
        <f t="shared" si="2"/>
        <v>40.130000000000003</v>
      </c>
      <c r="Q100" s="514"/>
      <c r="T100" s="522">
        <v>40.130000000000003</v>
      </c>
      <c r="U100" s="523">
        <f t="shared" si="3"/>
        <v>0</v>
      </c>
    </row>
    <row r="101" spans="1:21">
      <c r="A101" s="506" t="s">
        <v>603</v>
      </c>
      <c r="B101" s="506" t="s">
        <v>100</v>
      </c>
      <c r="C101" s="506" t="s">
        <v>101</v>
      </c>
      <c r="D101" s="512">
        <v>0</v>
      </c>
      <c r="E101" s="508">
        <v>0</v>
      </c>
      <c r="F101" s="508">
        <v>0</v>
      </c>
      <c r="G101" s="508">
        <v>0</v>
      </c>
      <c r="H101" s="508">
        <v>0</v>
      </c>
      <c r="I101" s="508">
        <v>0</v>
      </c>
      <c r="J101" s="508">
        <v>0</v>
      </c>
      <c r="K101" s="508">
        <v>0</v>
      </c>
      <c r="L101" s="508">
        <v>0</v>
      </c>
      <c r="M101" s="509">
        <v>0</v>
      </c>
      <c r="N101" s="506"/>
      <c r="P101" s="510">
        <f t="shared" si="2"/>
        <v>0</v>
      </c>
      <c r="Q101" s="514"/>
      <c r="T101" s="522">
        <v>0</v>
      </c>
      <c r="U101" s="523">
        <f t="shared" si="3"/>
        <v>0</v>
      </c>
    </row>
    <row r="102" spans="1:21">
      <c r="A102" s="506" t="s">
        <v>595</v>
      </c>
      <c r="B102" s="506" t="s">
        <v>407</v>
      </c>
      <c r="C102" s="506" t="s">
        <v>408</v>
      </c>
      <c r="D102" s="512">
        <v>0</v>
      </c>
      <c r="E102" s="508">
        <v>0</v>
      </c>
      <c r="F102" s="508">
        <v>0</v>
      </c>
      <c r="G102" s="508">
        <v>0</v>
      </c>
      <c r="H102" s="508">
        <v>0</v>
      </c>
      <c r="I102" s="508">
        <v>0</v>
      </c>
      <c r="J102" s="508">
        <v>0</v>
      </c>
      <c r="K102" s="508">
        <v>0</v>
      </c>
      <c r="L102" s="508">
        <v>0</v>
      </c>
      <c r="M102" s="509">
        <v>0</v>
      </c>
      <c r="N102" s="506"/>
      <c r="P102" s="510">
        <f t="shared" si="2"/>
        <v>0</v>
      </c>
      <c r="Q102" s="514"/>
      <c r="T102" s="522">
        <v>0</v>
      </c>
      <c r="U102" s="523">
        <f t="shared" si="3"/>
        <v>0</v>
      </c>
    </row>
    <row r="103" spans="1:21">
      <c r="A103" s="506" t="s">
        <v>597</v>
      </c>
      <c r="B103" s="506" t="s">
        <v>201</v>
      </c>
      <c r="C103" s="506" t="s">
        <v>202</v>
      </c>
      <c r="D103" s="512">
        <v>624</v>
      </c>
      <c r="E103" s="508">
        <v>674</v>
      </c>
      <c r="F103" s="508">
        <v>680</v>
      </c>
      <c r="G103" s="508">
        <v>687</v>
      </c>
      <c r="H103" s="508">
        <v>691</v>
      </c>
      <c r="I103" s="508">
        <v>687</v>
      </c>
      <c r="J103" s="508">
        <v>685</v>
      </c>
      <c r="K103" s="508">
        <v>699</v>
      </c>
      <c r="L103" s="508">
        <v>700</v>
      </c>
      <c r="M103" s="509">
        <v>687.88</v>
      </c>
      <c r="N103" s="506"/>
      <c r="P103" s="510">
        <f t="shared" si="2"/>
        <v>687.88</v>
      </c>
      <c r="Q103" s="514"/>
      <c r="T103" s="522">
        <v>687.88</v>
      </c>
      <c r="U103" s="523">
        <f t="shared" si="3"/>
        <v>0</v>
      </c>
    </row>
    <row r="104" spans="1:21">
      <c r="A104" s="506" t="s">
        <v>596</v>
      </c>
      <c r="B104" s="506" t="s">
        <v>110</v>
      </c>
      <c r="C104" s="506" t="s">
        <v>111</v>
      </c>
      <c r="D104" s="512">
        <v>0</v>
      </c>
      <c r="E104" s="508">
        <v>0</v>
      </c>
      <c r="F104" s="508">
        <v>0</v>
      </c>
      <c r="G104" s="508">
        <v>0</v>
      </c>
      <c r="H104" s="508">
        <v>0</v>
      </c>
      <c r="I104" s="508">
        <v>0</v>
      </c>
      <c r="J104" s="508">
        <v>0</v>
      </c>
      <c r="K104" s="508">
        <v>0</v>
      </c>
      <c r="L104" s="508">
        <v>0</v>
      </c>
      <c r="M104" s="509">
        <v>0</v>
      </c>
      <c r="N104" s="506"/>
      <c r="P104" s="510">
        <f t="shared" si="2"/>
        <v>0</v>
      </c>
      <c r="Q104" s="514"/>
      <c r="T104" s="522">
        <v>0</v>
      </c>
      <c r="U104" s="523">
        <f t="shared" si="3"/>
        <v>0</v>
      </c>
    </row>
    <row r="105" spans="1:21">
      <c r="A105" s="506" t="s">
        <v>599</v>
      </c>
      <c r="B105" s="506" t="s">
        <v>76</v>
      </c>
      <c r="C105" s="506" t="s">
        <v>77</v>
      </c>
      <c r="D105" s="512">
        <v>0</v>
      </c>
      <c r="E105" s="508">
        <v>0</v>
      </c>
      <c r="F105" s="508">
        <v>0</v>
      </c>
      <c r="G105" s="508">
        <v>0</v>
      </c>
      <c r="H105" s="508">
        <v>0</v>
      </c>
      <c r="I105" s="508">
        <v>0</v>
      </c>
      <c r="J105" s="508">
        <v>0</v>
      </c>
      <c r="K105" s="508">
        <v>0</v>
      </c>
      <c r="L105" s="508">
        <v>0</v>
      </c>
      <c r="M105" s="509">
        <v>0</v>
      </c>
      <c r="N105" s="506"/>
      <c r="P105" s="510">
        <f t="shared" si="2"/>
        <v>0</v>
      </c>
      <c r="Q105" s="514"/>
      <c r="T105" s="522">
        <v>0</v>
      </c>
      <c r="U105" s="523">
        <f t="shared" si="3"/>
        <v>0</v>
      </c>
    </row>
    <row r="106" spans="1:21">
      <c r="A106" s="506" t="s">
        <v>603</v>
      </c>
      <c r="B106" s="506" t="s">
        <v>94</v>
      </c>
      <c r="C106" s="506" t="s">
        <v>95</v>
      </c>
      <c r="D106" s="512">
        <v>0</v>
      </c>
      <c r="E106" s="508">
        <v>0</v>
      </c>
      <c r="F106" s="508">
        <v>0</v>
      </c>
      <c r="G106" s="508">
        <v>0</v>
      </c>
      <c r="H106" s="508">
        <v>0</v>
      </c>
      <c r="I106" s="508">
        <v>0</v>
      </c>
      <c r="J106" s="508">
        <v>0</v>
      </c>
      <c r="K106" s="508">
        <v>0</v>
      </c>
      <c r="L106" s="508">
        <v>0</v>
      </c>
      <c r="M106" s="509">
        <v>0</v>
      </c>
      <c r="N106" s="516"/>
      <c r="P106" s="510">
        <f t="shared" si="2"/>
        <v>0</v>
      </c>
      <c r="Q106" s="514"/>
      <c r="T106" s="522">
        <v>0</v>
      </c>
      <c r="U106" s="523">
        <f t="shared" si="3"/>
        <v>0</v>
      </c>
    </row>
    <row r="107" spans="1:21">
      <c r="A107" s="506" t="s">
        <v>599</v>
      </c>
      <c r="B107" s="506" t="s">
        <v>80</v>
      </c>
      <c r="C107" s="506" t="s">
        <v>81</v>
      </c>
      <c r="D107" s="512">
        <v>173</v>
      </c>
      <c r="E107" s="508">
        <v>201</v>
      </c>
      <c r="F107" s="508">
        <v>206</v>
      </c>
      <c r="G107" s="508">
        <v>205</v>
      </c>
      <c r="H107" s="508">
        <v>206</v>
      </c>
      <c r="I107" s="508">
        <v>203</v>
      </c>
      <c r="J107" s="508">
        <v>221</v>
      </c>
      <c r="K107" s="508">
        <v>200</v>
      </c>
      <c r="L107" s="508">
        <v>198</v>
      </c>
      <c r="M107" s="509">
        <v>205</v>
      </c>
      <c r="N107" s="506">
        <v>1</v>
      </c>
      <c r="P107" s="510">
        <f t="shared" si="2"/>
        <v>206</v>
      </c>
      <c r="Q107" s="514"/>
      <c r="T107" s="522">
        <v>205</v>
      </c>
      <c r="U107" s="523">
        <f t="shared" si="3"/>
        <v>0</v>
      </c>
    </row>
    <row r="108" spans="1:21">
      <c r="A108" s="506" t="s">
        <v>596</v>
      </c>
      <c r="B108" s="506" t="s">
        <v>14</v>
      </c>
      <c r="C108" s="506" t="s">
        <v>15</v>
      </c>
      <c r="D108" s="512">
        <v>1807</v>
      </c>
      <c r="E108" s="508">
        <v>1943</v>
      </c>
      <c r="F108" s="508">
        <v>1967</v>
      </c>
      <c r="G108" s="508">
        <v>1987</v>
      </c>
      <c r="H108" s="508">
        <v>1983</v>
      </c>
      <c r="I108" s="508">
        <v>1926</v>
      </c>
      <c r="J108" s="508">
        <v>1940</v>
      </c>
      <c r="K108" s="508">
        <v>1942</v>
      </c>
      <c r="L108" s="508">
        <v>1934</v>
      </c>
      <c r="M108" s="509">
        <v>1952.75</v>
      </c>
      <c r="N108" s="506"/>
      <c r="P108" s="510">
        <f t="shared" si="2"/>
        <v>1952.75</v>
      </c>
      <c r="Q108" s="514"/>
      <c r="T108" s="522">
        <v>1952.75</v>
      </c>
      <c r="U108" s="523">
        <f t="shared" si="3"/>
        <v>0</v>
      </c>
    </row>
    <row r="109" spans="1:21">
      <c r="A109" s="506" t="s">
        <v>597</v>
      </c>
      <c r="B109" s="506" t="s">
        <v>207</v>
      </c>
      <c r="C109" s="506" t="s">
        <v>208</v>
      </c>
      <c r="D109" s="512">
        <v>3480</v>
      </c>
      <c r="E109" s="508">
        <v>4273</v>
      </c>
      <c r="F109" s="508">
        <v>4314</v>
      </c>
      <c r="G109" s="508">
        <v>4340</v>
      </c>
      <c r="H109" s="508">
        <v>4345</v>
      </c>
      <c r="I109" s="508">
        <v>4395</v>
      </c>
      <c r="J109" s="508">
        <v>4417</v>
      </c>
      <c r="K109" s="508">
        <v>4432</v>
      </c>
      <c r="L109" s="508">
        <v>4431</v>
      </c>
      <c r="M109" s="509">
        <v>4368.38</v>
      </c>
      <c r="N109" s="516">
        <v>22</v>
      </c>
      <c r="P109" s="510">
        <f t="shared" si="2"/>
        <v>4390.38</v>
      </c>
      <c r="Q109" s="514"/>
      <c r="T109" s="522">
        <v>4368.38</v>
      </c>
      <c r="U109" s="523">
        <f t="shared" si="3"/>
        <v>0</v>
      </c>
    </row>
    <row r="110" spans="1:21">
      <c r="A110" s="506" t="s">
        <v>603</v>
      </c>
      <c r="B110" s="506" t="s">
        <v>470</v>
      </c>
      <c r="C110" s="506" t="s">
        <v>471</v>
      </c>
      <c r="D110" s="512">
        <v>0</v>
      </c>
      <c r="E110" s="508">
        <v>0</v>
      </c>
      <c r="F110" s="508">
        <v>0</v>
      </c>
      <c r="G110" s="508">
        <v>0</v>
      </c>
      <c r="H110" s="508">
        <v>0</v>
      </c>
      <c r="I110" s="508">
        <v>0</v>
      </c>
      <c r="J110" s="508">
        <v>0</v>
      </c>
      <c r="K110" s="508">
        <v>0</v>
      </c>
      <c r="L110" s="508">
        <v>0</v>
      </c>
      <c r="M110" s="509">
        <v>0</v>
      </c>
      <c r="N110" s="506"/>
      <c r="P110" s="510">
        <f t="shared" si="2"/>
        <v>0</v>
      </c>
      <c r="Q110" s="514"/>
      <c r="T110" s="522">
        <v>0</v>
      </c>
      <c r="U110" s="523">
        <f t="shared" si="3"/>
        <v>0</v>
      </c>
    </row>
    <row r="111" spans="1:21">
      <c r="A111" s="506" t="s">
        <v>596</v>
      </c>
      <c r="B111" s="506" t="s">
        <v>18</v>
      </c>
      <c r="C111" s="506" t="s">
        <v>608</v>
      </c>
      <c r="D111" s="512">
        <v>194</v>
      </c>
      <c r="E111" s="508">
        <v>212</v>
      </c>
      <c r="F111" s="508">
        <v>211</v>
      </c>
      <c r="G111" s="508">
        <v>210</v>
      </c>
      <c r="H111" s="508">
        <v>212</v>
      </c>
      <c r="I111" s="508">
        <v>217</v>
      </c>
      <c r="J111" s="508">
        <v>210</v>
      </c>
      <c r="K111" s="508">
        <v>210</v>
      </c>
      <c r="L111" s="508">
        <v>209</v>
      </c>
      <c r="M111" s="509">
        <v>211.38</v>
      </c>
      <c r="N111" s="506"/>
      <c r="P111" s="510">
        <f t="shared" si="2"/>
        <v>211.38</v>
      </c>
      <c r="Q111" s="514"/>
      <c r="T111" s="522">
        <v>211.38</v>
      </c>
      <c r="U111" s="523">
        <f t="shared" si="3"/>
        <v>0</v>
      </c>
    </row>
    <row r="112" spans="1:21">
      <c r="A112" s="506" t="s">
        <v>605</v>
      </c>
      <c r="B112" s="506" t="s">
        <v>228</v>
      </c>
      <c r="C112" s="506" t="s">
        <v>229</v>
      </c>
      <c r="D112" s="512">
        <v>50</v>
      </c>
      <c r="E112" s="508">
        <v>53</v>
      </c>
      <c r="F112" s="508">
        <v>53</v>
      </c>
      <c r="G112" s="508">
        <v>55</v>
      </c>
      <c r="H112" s="508">
        <v>55</v>
      </c>
      <c r="I112" s="508">
        <v>54</v>
      </c>
      <c r="J112" s="508">
        <v>54</v>
      </c>
      <c r="K112" s="508">
        <v>55</v>
      </c>
      <c r="L112" s="508">
        <v>54</v>
      </c>
      <c r="M112" s="509">
        <v>54.13</v>
      </c>
      <c r="N112" s="506"/>
      <c r="P112" s="510">
        <f t="shared" si="2"/>
        <v>54.13</v>
      </c>
      <c r="Q112" s="514"/>
      <c r="T112" s="522">
        <v>54.13</v>
      </c>
      <c r="U112" s="523">
        <f t="shared" si="3"/>
        <v>0</v>
      </c>
    </row>
    <row r="113" spans="1:21">
      <c r="A113" s="506" t="s">
        <v>599</v>
      </c>
      <c r="B113" s="506" t="s">
        <v>242</v>
      </c>
      <c r="C113" s="506" t="s">
        <v>243</v>
      </c>
      <c r="D113" s="512">
        <v>0</v>
      </c>
      <c r="E113" s="508">
        <v>0</v>
      </c>
      <c r="F113" s="508">
        <v>0</v>
      </c>
      <c r="G113" s="508">
        <v>0</v>
      </c>
      <c r="H113" s="508">
        <v>0</v>
      </c>
      <c r="I113" s="508">
        <v>0</v>
      </c>
      <c r="J113" s="508">
        <v>0</v>
      </c>
      <c r="K113" s="508">
        <v>0</v>
      </c>
      <c r="L113" s="508">
        <v>0</v>
      </c>
      <c r="M113" s="509">
        <v>0</v>
      </c>
      <c r="N113" s="506"/>
      <c r="P113" s="510">
        <f t="shared" si="2"/>
        <v>0</v>
      </c>
      <c r="Q113" s="514"/>
      <c r="T113" s="522">
        <v>0</v>
      </c>
      <c r="U113" s="523">
        <f t="shared" si="3"/>
        <v>0</v>
      </c>
    </row>
    <row r="114" spans="1:21">
      <c r="A114" s="506" t="s">
        <v>595</v>
      </c>
      <c r="B114" s="506" t="s">
        <v>382</v>
      </c>
      <c r="C114" s="506" t="s">
        <v>383</v>
      </c>
      <c r="D114" s="512">
        <v>0</v>
      </c>
      <c r="E114" s="508">
        <v>11</v>
      </c>
      <c r="F114" s="508">
        <v>11</v>
      </c>
      <c r="G114" s="508">
        <v>11</v>
      </c>
      <c r="H114" s="508">
        <v>8</v>
      </c>
      <c r="I114" s="508">
        <v>3</v>
      </c>
      <c r="J114" s="508">
        <v>6</v>
      </c>
      <c r="K114" s="508">
        <v>6</v>
      </c>
      <c r="L114" s="508">
        <v>8</v>
      </c>
      <c r="M114" s="509">
        <v>8</v>
      </c>
      <c r="N114" s="506"/>
      <c r="P114" s="510">
        <f t="shared" si="2"/>
        <v>8</v>
      </c>
      <c r="Q114" s="514"/>
      <c r="T114" s="522">
        <v>8</v>
      </c>
      <c r="U114" s="523">
        <f t="shared" si="3"/>
        <v>0</v>
      </c>
    </row>
    <row r="115" spans="1:21">
      <c r="A115" s="506" t="s">
        <v>599</v>
      </c>
      <c r="B115" s="506" t="s">
        <v>53</v>
      </c>
      <c r="C115" s="506" t="s">
        <v>609</v>
      </c>
      <c r="D115" s="512">
        <v>16</v>
      </c>
      <c r="E115" s="508">
        <v>16</v>
      </c>
      <c r="F115" s="508">
        <v>16</v>
      </c>
      <c r="G115" s="508">
        <v>15</v>
      </c>
      <c r="H115" s="508">
        <v>17</v>
      </c>
      <c r="I115" s="508">
        <v>17</v>
      </c>
      <c r="J115" s="508">
        <v>15</v>
      </c>
      <c r="K115" s="508">
        <v>16</v>
      </c>
      <c r="L115" s="508">
        <v>16</v>
      </c>
      <c r="M115" s="509">
        <v>16</v>
      </c>
      <c r="N115" s="506"/>
      <c r="P115" s="510">
        <f t="shared" si="2"/>
        <v>16</v>
      </c>
      <c r="Q115" s="514"/>
      <c r="T115" s="522">
        <v>16</v>
      </c>
      <c r="U115" s="523">
        <f t="shared" si="3"/>
        <v>0</v>
      </c>
    </row>
    <row r="116" spans="1:21">
      <c r="A116" s="506" t="s">
        <v>603</v>
      </c>
      <c r="B116" s="506" t="s">
        <v>518</v>
      </c>
      <c r="C116" s="506" t="s">
        <v>645</v>
      </c>
      <c r="D116" s="512">
        <v>0</v>
      </c>
      <c r="E116" s="508">
        <v>0</v>
      </c>
      <c r="F116" s="508">
        <v>0</v>
      </c>
      <c r="G116" s="508">
        <v>0</v>
      </c>
      <c r="H116" s="508">
        <v>0</v>
      </c>
      <c r="I116" s="508">
        <v>0</v>
      </c>
      <c r="J116" s="508">
        <v>0</v>
      </c>
      <c r="K116" s="508">
        <v>0</v>
      </c>
      <c r="L116" s="508">
        <v>0</v>
      </c>
      <c r="M116" s="509">
        <v>0</v>
      </c>
      <c r="N116" s="506"/>
      <c r="P116" s="510">
        <f t="shared" si="2"/>
        <v>0</v>
      </c>
      <c r="Q116" s="514"/>
      <c r="T116" s="522">
        <v>0</v>
      </c>
      <c r="U116" s="523">
        <f t="shared" si="3"/>
        <v>0</v>
      </c>
    </row>
    <row r="117" spans="1:21">
      <c r="A117" s="506" t="s">
        <v>601</v>
      </c>
      <c r="B117" s="506" t="s">
        <v>31</v>
      </c>
      <c r="C117" s="506" t="s">
        <v>32</v>
      </c>
      <c r="D117" s="512">
        <v>282</v>
      </c>
      <c r="E117" s="508">
        <v>328</v>
      </c>
      <c r="F117" s="508">
        <v>313</v>
      </c>
      <c r="G117" s="508">
        <v>311</v>
      </c>
      <c r="H117" s="508">
        <v>310</v>
      </c>
      <c r="I117" s="508">
        <v>297</v>
      </c>
      <c r="J117" s="508">
        <v>295</v>
      </c>
      <c r="K117" s="508">
        <v>295</v>
      </c>
      <c r="L117" s="508">
        <v>299</v>
      </c>
      <c r="M117" s="509">
        <v>306</v>
      </c>
      <c r="N117" s="506"/>
      <c r="P117" s="510">
        <f t="shared" si="2"/>
        <v>306</v>
      </c>
      <c r="Q117" s="514"/>
      <c r="T117" s="522">
        <v>306</v>
      </c>
      <c r="U117" s="523">
        <f t="shared" si="3"/>
        <v>0</v>
      </c>
    </row>
    <row r="118" spans="1:21">
      <c r="A118" s="506" t="s">
        <v>595</v>
      </c>
      <c r="B118" s="506" t="s">
        <v>397</v>
      </c>
      <c r="C118" s="506" t="s">
        <v>398</v>
      </c>
      <c r="D118" s="512">
        <v>165</v>
      </c>
      <c r="E118" s="508">
        <v>237</v>
      </c>
      <c r="F118" s="508">
        <v>269</v>
      </c>
      <c r="G118" s="508">
        <v>269</v>
      </c>
      <c r="H118" s="508">
        <v>275</v>
      </c>
      <c r="I118" s="508">
        <v>273</v>
      </c>
      <c r="J118" s="508">
        <v>261</v>
      </c>
      <c r="K118" s="508">
        <v>259</v>
      </c>
      <c r="L118" s="508">
        <v>250</v>
      </c>
      <c r="M118" s="509">
        <v>261.63</v>
      </c>
      <c r="N118" s="506"/>
      <c r="P118" s="510">
        <f t="shared" si="2"/>
        <v>261.63</v>
      </c>
      <c r="Q118" s="514"/>
      <c r="T118" s="522">
        <v>261.63</v>
      </c>
      <c r="U118" s="523">
        <f t="shared" si="3"/>
        <v>0</v>
      </c>
    </row>
    <row r="119" spans="1:21">
      <c r="A119" s="506" t="s">
        <v>597</v>
      </c>
      <c r="B119" s="506" t="s">
        <v>205</v>
      </c>
      <c r="C119" s="506" t="s">
        <v>206</v>
      </c>
      <c r="D119" s="512">
        <v>1034</v>
      </c>
      <c r="E119" s="508">
        <v>1355</v>
      </c>
      <c r="F119" s="508">
        <v>1358</v>
      </c>
      <c r="G119" s="508">
        <v>1369</v>
      </c>
      <c r="H119" s="508">
        <v>1384</v>
      </c>
      <c r="I119" s="508">
        <v>1410</v>
      </c>
      <c r="J119" s="508">
        <v>1427</v>
      </c>
      <c r="K119" s="508">
        <v>1428</v>
      </c>
      <c r="L119" s="508">
        <v>1429</v>
      </c>
      <c r="M119" s="509">
        <v>1395</v>
      </c>
      <c r="N119" s="506"/>
      <c r="P119" s="510">
        <f t="shared" si="2"/>
        <v>1395</v>
      </c>
      <c r="Q119" s="514"/>
      <c r="T119" s="522">
        <v>1395</v>
      </c>
      <c r="U119" s="523">
        <f t="shared" si="3"/>
        <v>0</v>
      </c>
    </row>
    <row r="120" spans="1:21">
      <c r="A120" s="506" t="s">
        <v>595</v>
      </c>
      <c r="B120" s="506" t="s">
        <v>413</v>
      </c>
      <c r="C120" s="506" t="s">
        <v>414</v>
      </c>
      <c r="D120" s="512">
        <v>51</v>
      </c>
      <c r="E120" s="508">
        <v>66</v>
      </c>
      <c r="F120" s="508">
        <v>69</v>
      </c>
      <c r="G120" s="508">
        <v>70</v>
      </c>
      <c r="H120" s="508">
        <v>71</v>
      </c>
      <c r="I120" s="508">
        <v>71</v>
      </c>
      <c r="J120" s="508">
        <v>72</v>
      </c>
      <c r="K120" s="508">
        <v>72</v>
      </c>
      <c r="L120" s="508">
        <v>75</v>
      </c>
      <c r="M120" s="509">
        <v>70.75</v>
      </c>
      <c r="N120" s="506"/>
      <c r="P120" s="510">
        <f t="shared" si="2"/>
        <v>70.75</v>
      </c>
      <c r="Q120" s="514"/>
      <c r="T120" s="522">
        <v>70.75</v>
      </c>
      <c r="U120" s="523">
        <f t="shared" si="3"/>
        <v>0</v>
      </c>
    </row>
    <row r="121" spans="1:21">
      <c r="A121" s="506" t="s">
        <v>603</v>
      </c>
      <c r="B121" s="506" t="s">
        <v>519</v>
      </c>
      <c r="C121" s="506" t="s">
        <v>520</v>
      </c>
      <c r="D121" s="512">
        <v>0</v>
      </c>
      <c r="E121" s="508">
        <v>0</v>
      </c>
      <c r="F121" s="508">
        <v>0</v>
      </c>
      <c r="G121" s="508">
        <v>0</v>
      </c>
      <c r="H121" s="508">
        <v>0</v>
      </c>
      <c r="I121" s="508">
        <v>0</v>
      </c>
      <c r="J121" s="508">
        <v>0</v>
      </c>
      <c r="K121" s="508">
        <v>0</v>
      </c>
      <c r="L121" s="508">
        <v>0</v>
      </c>
      <c r="M121" s="509">
        <v>0</v>
      </c>
      <c r="N121" s="506"/>
      <c r="P121" s="510">
        <f t="shared" si="2"/>
        <v>0</v>
      </c>
      <c r="Q121" s="514"/>
      <c r="T121" s="522">
        <v>0</v>
      </c>
      <c r="U121" s="523">
        <f t="shared" si="3"/>
        <v>0</v>
      </c>
    </row>
    <row r="122" spans="1:21">
      <c r="A122" s="506" t="s">
        <v>603</v>
      </c>
      <c r="B122" s="506" t="s">
        <v>441</v>
      </c>
      <c r="C122" s="506" t="s">
        <v>442</v>
      </c>
      <c r="D122" s="512">
        <v>0</v>
      </c>
      <c r="E122" s="508">
        <v>0</v>
      </c>
      <c r="F122" s="508">
        <v>0</v>
      </c>
      <c r="G122" s="508">
        <v>0</v>
      </c>
      <c r="H122" s="508">
        <v>0</v>
      </c>
      <c r="I122" s="508">
        <v>0</v>
      </c>
      <c r="J122" s="508">
        <v>0</v>
      </c>
      <c r="K122" s="508">
        <v>0</v>
      </c>
      <c r="L122" s="508">
        <v>0</v>
      </c>
      <c r="M122" s="509">
        <v>0</v>
      </c>
      <c r="N122" s="506"/>
      <c r="P122" s="510">
        <f t="shared" si="2"/>
        <v>0</v>
      </c>
      <c r="Q122" s="514"/>
      <c r="T122" s="522">
        <v>0</v>
      </c>
      <c r="U122" s="523">
        <f t="shared" si="3"/>
        <v>0</v>
      </c>
    </row>
    <row r="123" spans="1:21">
      <c r="A123" s="506" t="s">
        <v>603</v>
      </c>
      <c r="B123" s="506" t="s">
        <v>6</v>
      </c>
      <c r="C123" s="506" t="s">
        <v>7</v>
      </c>
      <c r="D123" s="512">
        <v>21</v>
      </c>
      <c r="E123" s="508">
        <v>23</v>
      </c>
      <c r="F123" s="508">
        <v>22</v>
      </c>
      <c r="G123" s="508">
        <v>22</v>
      </c>
      <c r="H123" s="508">
        <v>22</v>
      </c>
      <c r="I123" s="508">
        <v>29</v>
      </c>
      <c r="J123" s="508">
        <v>27</v>
      </c>
      <c r="K123" s="508">
        <v>24</v>
      </c>
      <c r="L123" s="508">
        <v>24</v>
      </c>
      <c r="M123" s="509">
        <v>24.13</v>
      </c>
      <c r="N123" s="506"/>
      <c r="P123" s="510">
        <f t="shared" si="2"/>
        <v>24.13</v>
      </c>
      <c r="Q123" s="514"/>
      <c r="T123" s="522">
        <v>24.13</v>
      </c>
      <c r="U123" s="523">
        <f t="shared" si="3"/>
        <v>0</v>
      </c>
    </row>
    <row r="124" spans="1:21">
      <c r="A124" s="506" t="s">
        <v>599</v>
      </c>
      <c r="B124" s="506" t="s">
        <v>70</v>
      </c>
      <c r="C124" s="506" t="s">
        <v>71</v>
      </c>
      <c r="D124" s="512">
        <v>252</v>
      </c>
      <c r="E124" s="508">
        <v>333</v>
      </c>
      <c r="F124" s="508">
        <v>336</v>
      </c>
      <c r="G124" s="508">
        <v>338</v>
      </c>
      <c r="H124" s="508">
        <v>334</v>
      </c>
      <c r="I124" s="508">
        <v>350</v>
      </c>
      <c r="J124" s="508">
        <v>349</v>
      </c>
      <c r="K124" s="508">
        <v>348</v>
      </c>
      <c r="L124" s="508">
        <v>345</v>
      </c>
      <c r="M124" s="509">
        <v>341.63</v>
      </c>
      <c r="N124" s="506"/>
      <c r="P124" s="510">
        <f t="shared" si="2"/>
        <v>341.63</v>
      </c>
      <c r="Q124" s="514"/>
      <c r="T124" s="522">
        <v>341.63</v>
      </c>
      <c r="U124" s="523">
        <f t="shared" si="3"/>
        <v>0</v>
      </c>
    </row>
    <row r="125" spans="1:21">
      <c r="A125" s="506" t="s">
        <v>603</v>
      </c>
      <c r="B125" s="506" t="s">
        <v>458</v>
      </c>
      <c r="C125" s="506" t="s">
        <v>459</v>
      </c>
      <c r="D125" s="512">
        <v>0</v>
      </c>
      <c r="E125" s="508">
        <v>0</v>
      </c>
      <c r="F125" s="508">
        <v>0</v>
      </c>
      <c r="G125" s="508">
        <v>0</v>
      </c>
      <c r="H125" s="508">
        <v>0</v>
      </c>
      <c r="I125" s="508">
        <v>0</v>
      </c>
      <c r="J125" s="508">
        <v>0</v>
      </c>
      <c r="K125" s="508">
        <v>0</v>
      </c>
      <c r="L125" s="508">
        <v>0</v>
      </c>
      <c r="M125" s="509">
        <v>0</v>
      </c>
      <c r="N125" s="506"/>
      <c r="P125" s="510">
        <f t="shared" si="2"/>
        <v>0</v>
      </c>
      <c r="Q125" s="514"/>
      <c r="T125" s="522">
        <v>0</v>
      </c>
      <c r="U125" s="523">
        <f t="shared" si="3"/>
        <v>0</v>
      </c>
    </row>
    <row r="126" spans="1:21">
      <c r="A126" s="506" t="s">
        <v>595</v>
      </c>
      <c r="B126" s="506" t="s">
        <v>373</v>
      </c>
      <c r="C126" s="506" t="s">
        <v>374</v>
      </c>
      <c r="D126" s="512">
        <v>4</v>
      </c>
      <c r="E126" s="508">
        <v>1</v>
      </c>
      <c r="F126" s="508">
        <v>6</v>
      </c>
      <c r="G126" s="508">
        <v>6</v>
      </c>
      <c r="H126" s="508">
        <v>6</v>
      </c>
      <c r="I126" s="508">
        <v>6</v>
      </c>
      <c r="J126" s="508">
        <v>6</v>
      </c>
      <c r="K126" s="508">
        <v>6</v>
      </c>
      <c r="L126" s="508">
        <v>6</v>
      </c>
      <c r="M126" s="509">
        <v>5.38</v>
      </c>
      <c r="N126" s="506"/>
      <c r="P126" s="510">
        <f t="shared" si="2"/>
        <v>5.38</v>
      </c>
      <c r="Q126" s="514"/>
      <c r="T126" s="522">
        <v>5.38</v>
      </c>
      <c r="U126" s="523">
        <f t="shared" si="3"/>
        <v>0</v>
      </c>
    </row>
    <row r="127" spans="1:21">
      <c r="A127" s="506" t="s">
        <v>599</v>
      </c>
      <c r="B127" s="506" t="s">
        <v>250</v>
      </c>
      <c r="C127" s="506" t="s">
        <v>251</v>
      </c>
      <c r="D127" s="512">
        <v>0</v>
      </c>
      <c r="E127" s="508">
        <v>0</v>
      </c>
      <c r="F127" s="508">
        <v>0</v>
      </c>
      <c r="G127" s="508">
        <v>0</v>
      </c>
      <c r="H127" s="508">
        <v>0</v>
      </c>
      <c r="I127" s="508">
        <v>0</v>
      </c>
      <c r="J127" s="508">
        <v>0</v>
      </c>
      <c r="K127" s="508">
        <v>0</v>
      </c>
      <c r="L127" s="508">
        <v>0</v>
      </c>
      <c r="M127" s="509">
        <v>0</v>
      </c>
      <c r="N127" s="506"/>
      <c r="P127" s="510">
        <f t="shared" si="2"/>
        <v>0</v>
      </c>
      <c r="Q127" s="514"/>
      <c r="T127" s="522">
        <v>0</v>
      </c>
      <c r="U127" s="523">
        <f t="shared" si="3"/>
        <v>0</v>
      </c>
    </row>
    <row r="128" spans="1:21">
      <c r="A128" s="506" t="s">
        <v>595</v>
      </c>
      <c r="B128" s="506" t="s">
        <v>510</v>
      </c>
      <c r="C128" s="506" t="s">
        <v>511</v>
      </c>
      <c r="D128" s="512">
        <v>198</v>
      </c>
      <c r="E128" s="508">
        <v>235</v>
      </c>
      <c r="F128" s="508">
        <v>235</v>
      </c>
      <c r="G128" s="508">
        <v>224</v>
      </c>
      <c r="H128" s="508">
        <v>222</v>
      </c>
      <c r="I128" s="508">
        <v>234</v>
      </c>
      <c r="J128" s="508">
        <v>233</v>
      </c>
      <c r="K128" s="508">
        <v>231</v>
      </c>
      <c r="L128" s="508">
        <v>237</v>
      </c>
      <c r="M128" s="509">
        <v>231.38</v>
      </c>
      <c r="N128" s="506"/>
      <c r="P128" s="510">
        <f t="shared" si="2"/>
        <v>231.38</v>
      </c>
      <c r="Q128" s="514"/>
      <c r="T128" s="522">
        <v>231.38</v>
      </c>
      <c r="U128" s="523">
        <f t="shared" si="3"/>
        <v>0</v>
      </c>
    </row>
    <row r="129" spans="1:21">
      <c r="A129" s="506" t="s">
        <v>605</v>
      </c>
      <c r="B129" s="506" t="s">
        <v>553</v>
      </c>
      <c r="C129" s="506" t="s">
        <v>554</v>
      </c>
      <c r="D129" s="512">
        <v>328</v>
      </c>
      <c r="E129" s="508">
        <v>368</v>
      </c>
      <c r="F129" s="508">
        <v>371</v>
      </c>
      <c r="G129" s="508">
        <v>370</v>
      </c>
      <c r="H129" s="508">
        <v>364</v>
      </c>
      <c r="I129" s="508">
        <v>363</v>
      </c>
      <c r="J129" s="508">
        <v>367</v>
      </c>
      <c r="K129" s="508">
        <v>390</v>
      </c>
      <c r="L129" s="508">
        <v>391</v>
      </c>
      <c r="M129" s="509">
        <v>373</v>
      </c>
      <c r="N129" s="506"/>
      <c r="P129" s="510">
        <f t="shared" si="2"/>
        <v>373</v>
      </c>
      <c r="Q129" s="514"/>
      <c r="T129" s="522">
        <v>373</v>
      </c>
      <c r="U129" s="523">
        <f t="shared" si="3"/>
        <v>0</v>
      </c>
    </row>
    <row r="130" spans="1:21">
      <c r="A130" s="506" t="s">
        <v>601</v>
      </c>
      <c r="B130" s="506" t="s">
        <v>90</v>
      </c>
      <c r="C130" s="506" t="s">
        <v>91</v>
      </c>
      <c r="D130" s="512">
        <v>0</v>
      </c>
      <c r="E130" s="508">
        <v>0</v>
      </c>
      <c r="F130" s="508">
        <v>0</v>
      </c>
      <c r="G130" s="508">
        <v>0</v>
      </c>
      <c r="H130" s="508">
        <v>0</v>
      </c>
      <c r="I130" s="508">
        <v>0</v>
      </c>
      <c r="J130" s="508">
        <v>0</v>
      </c>
      <c r="K130" s="508">
        <v>0</v>
      </c>
      <c r="L130" s="508">
        <v>0</v>
      </c>
      <c r="M130" s="509">
        <v>0</v>
      </c>
      <c r="N130" s="506"/>
      <c r="P130" s="510">
        <f t="shared" ref="P130:P193" si="4">SUM(M130:O130)</f>
        <v>0</v>
      </c>
      <c r="Q130" s="514"/>
      <c r="T130" s="522">
        <v>0</v>
      </c>
      <c r="U130" s="523">
        <f t="shared" si="3"/>
        <v>0</v>
      </c>
    </row>
    <row r="131" spans="1:21">
      <c r="A131" s="506" t="s">
        <v>601</v>
      </c>
      <c r="B131" s="506" t="s">
        <v>25</v>
      </c>
      <c r="C131" s="506" t="s">
        <v>26</v>
      </c>
      <c r="D131" s="512">
        <v>194</v>
      </c>
      <c r="E131" s="508">
        <v>199</v>
      </c>
      <c r="F131" s="508">
        <v>199</v>
      </c>
      <c r="G131" s="508">
        <v>198</v>
      </c>
      <c r="H131" s="508">
        <v>198</v>
      </c>
      <c r="I131" s="508">
        <v>196</v>
      </c>
      <c r="J131" s="508">
        <v>194</v>
      </c>
      <c r="K131" s="508">
        <v>196</v>
      </c>
      <c r="L131" s="508">
        <v>197</v>
      </c>
      <c r="M131" s="509">
        <v>197.13</v>
      </c>
      <c r="N131" s="506"/>
      <c r="P131" s="510">
        <f t="shared" si="4"/>
        <v>197.13</v>
      </c>
      <c r="Q131" s="514"/>
      <c r="T131" s="522">
        <v>197.13</v>
      </c>
      <c r="U131" s="523">
        <f t="shared" ref="U131:U194" si="5">T131-M131</f>
        <v>0</v>
      </c>
    </row>
    <row r="132" spans="1:21">
      <c r="A132" s="506" t="s">
        <v>594</v>
      </c>
      <c r="B132" s="506" t="s">
        <v>301</v>
      </c>
      <c r="C132" s="506" t="s">
        <v>302</v>
      </c>
      <c r="D132" s="512">
        <v>0</v>
      </c>
      <c r="E132" s="508">
        <v>0</v>
      </c>
      <c r="F132" s="508">
        <v>0</v>
      </c>
      <c r="G132" s="508">
        <v>0</v>
      </c>
      <c r="H132" s="508">
        <v>0</v>
      </c>
      <c r="I132" s="508">
        <v>0</v>
      </c>
      <c r="J132" s="508">
        <v>0</v>
      </c>
      <c r="K132" s="508">
        <v>0</v>
      </c>
      <c r="L132" s="508">
        <v>0</v>
      </c>
      <c r="M132" s="509">
        <v>0</v>
      </c>
      <c r="N132" s="506"/>
      <c r="P132" s="510">
        <f t="shared" si="4"/>
        <v>0</v>
      </c>
      <c r="Q132" s="514"/>
      <c r="T132" s="522">
        <v>0</v>
      </c>
      <c r="U132" s="523">
        <f t="shared" si="5"/>
        <v>0</v>
      </c>
    </row>
    <row r="133" spans="1:21">
      <c r="A133" s="506" t="s">
        <v>603</v>
      </c>
      <c r="B133" s="506" t="s">
        <v>466</v>
      </c>
      <c r="C133" s="506" t="s">
        <v>467</v>
      </c>
      <c r="D133" s="512">
        <v>0</v>
      </c>
      <c r="E133" s="508">
        <v>0</v>
      </c>
      <c r="F133" s="508">
        <v>0</v>
      </c>
      <c r="G133" s="508">
        <v>0</v>
      </c>
      <c r="H133" s="508">
        <v>0</v>
      </c>
      <c r="I133" s="508">
        <v>0</v>
      </c>
      <c r="J133" s="508">
        <v>0</v>
      </c>
      <c r="K133" s="508">
        <v>0</v>
      </c>
      <c r="L133" s="508">
        <v>0</v>
      </c>
      <c r="M133" s="509">
        <v>0</v>
      </c>
      <c r="N133" s="506"/>
      <c r="P133" s="510">
        <f t="shared" si="4"/>
        <v>0</v>
      </c>
      <c r="Q133" s="514"/>
      <c r="T133" s="522">
        <v>0</v>
      </c>
      <c r="U133" s="523">
        <f t="shared" si="5"/>
        <v>0</v>
      </c>
    </row>
    <row r="134" spans="1:21">
      <c r="A134" s="506" t="s">
        <v>595</v>
      </c>
      <c r="B134" s="506" t="s">
        <v>405</v>
      </c>
      <c r="C134" s="506" t="s">
        <v>406</v>
      </c>
      <c r="D134" s="512">
        <v>649</v>
      </c>
      <c r="E134" s="508">
        <v>745</v>
      </c>
      <c r="F134" s="508">
        <v>747</v>
      </c>
      <c r="G134" s="508">
        <v>749</v>
      </c>
      <c r="H134" s="508">
        <v>747</v>
      </c>
      <c r="I134" s="508">
        <v>752</v>
      </c>
      <c r="J134" s="508">
        <v>754</v>
      </c>
      <c r="K134" s="508">
        <v>757</v>
      </c>
      <c r="L134" s="508">
        <v>760</v>
      </c>
      <c r="M134" s="509">
        <v>751.38</v>
      </c>
      <c r="N134" s="506"/>
      <c r="P134" s="510">
        <f t="shared" si="4"/>
        <v>751.38</v>
      </c>
      <c r="Q134" s="514"/>
      <c r="T134" s="522">
        <v>751.38</v>
      </c>
      <c r="U134" s="523">
        <f t="shared" si="5"/>
        <v>0</v>
      </c>
    </row>
    <row r="135" spans="1:21">
      <c r="A135" s="506" t="s">
        <v>594</v>
      </c>
      <c r="B135" s="506" t="s">
        <v>138</v>
      </c>
      <c r="C135" s="506" t="s">
        <v>656</v>
      </c>
      <c r="D135" s="512">
        <v>0</v>
      </c>
      <c r="E135" s="508">
        <v>0</v>
      </c>
      <c r="F135" s="508">
        <v>0</v>
      </c>
      <c r="G135" s="508">
        <v>0</v>
      </c>
      <c r="H135" s="508">
        <v>0</v>
      </c>
      <c r="I135" s="508">
        <v>0</v>
      </c>
      <c r="J135" s="508">
        <v>0</v>
      </c>
      <c r="K135" s="508">
        <v>0</v>
      </c>
      <c r="L135" s="508">
        <v>0</v>
      </c>
      <c r="M135" s="509">
        <v>0</v>
      </c>
      <c r="N135" s="506"/>
      <c r="P135" s="510">
        <f t="shared" si="4"/>
        <v>0</v>
      </c>
      <c r="Q135" s="514"/>
      <c r="T135" s="522">
        <v>0</v>
      </c>
      <c r="U135" s="523">
        <f t="shared" si="5"/>
        <v>0</v>
      </c>
    </row>
    <row r="136" spans="1:21">
      <c r="A136" s="506" t="s">
        <v>603</v>
      </c>
      <c r="B136" s="506" t="s">
        <v>432</v>
      </c>
      <c r="C136" s="506" t="s">
        <v>433</v>
      </c>
      <c r="D136" s="512">
        <v>155</v>
      </c>
      <c r="E136" s="508">
        <v>177</v>
      </c>
      <c r="F136" s="508">
        <v>183</v>
      </c>
      <c r="G136" s="508">
        <v>181</v>
      </c>
      <c r="H136" s="508">
        <v>190</v>
      </c>
      <c r="I136" s="508">
        <v>195</v>
      </c>
      <c r="J136" s="508">
        <v>191</v>
      </c>
      <c r="K136" s="508">
        <v>192</v>
      </c>
      <c r="L136" s="508">
        <v>193</v>
      </c>
      <c r="M136" s="509">
        <v>187.75</v>
      </c>
      <c r="N136" s="506"/>
      <c r="P136" s="510">
        <f t="shared" si="4"/>
        <v>187.75</v>
      </c>
      <c r="Q136" s="514"/>
      <c r="T136" s="522">
        <v>187.75</v>
      </c>
      <c r="U136" s="523">
        <f t="shared" si="5"/>
        <v>0</v>
      </c>
    </row>
    <row r="137" spans="1:21">
      <c r="A137" s="506" t="s">
        <v>603</v>
      </c>
      <c r="B137" s="506" t="s">
        <v>430</v>
      </c>
      <c r="C137" s="506" t="s">
        <v>431</v>
      </c>
      <c r="D137" s="512">
        <v>4</v>
      </c>
      <c r="E137" s="508">
        <v>4</v>
      </c>
      <c r="F137" s="508">
        <v>5</v>
      </c>
      <c r="G137" s="508">
        <v>7</v>
      </c>
      <c r="H137" s="508">
        <v>9</v>
      </c>
      <c r="I137" s="508">
        <v>11</v>
      </c>
      <c r="J137" s="508">
        <v>10</v>
      </c>
      <c r="K137" s="508">
        <v>10</v>
      </c>
      <c r="L137" s="508">
        <v>8</v>
      </c>
      <c r="M137" s="509">
        <v>8</v>
      </c>
      <c r="N137" s="506"/>
      <c r="P137" s="510">
        <f t="shared" si="4"/>
        <v>8</v>
      </c>
      <c r="Q137" s="514"/>
      <c r="T137" s="522">
        <v>8</v>
      </c>
      <c r="U137" s="523">
        <f t="shared" si="5"/>
        <v>0</v>
      </c>
    </row>
    <row r="138" spans="1:21">
      <c r="A138" s="506" t="s">
        <v>597</v>
      </c>
      <c r="B138" s="506" t="s">
        <v>179</v>
      </c>
      <c r="C138" s="506" t="s">
        <v>180</v>
      </c>
      <c r="D138" s="512">
        <v>58</v>
      </c>
      <c r="E138" s="508">
        <v>63</v>
      </c>
      <c r="F138" s="508">
        <v>63</v>
      </c>
      <c r="G138" s="508">
        <v>60</v>
      </c>
      <c r="H138" s="508">
        <v>66</v>
      </c>
      <c r="I138" s="508">
        <v>71</v>
      </c>
      <c r="J138" s="508">
        <v>68</v>
      </c>
      <c r="K138" s="508">
        <v>71</v>
      </c>
      <c r="L138" s="508">
        <v>71</v>
      </c>
      <c r="M138" s="509">
        <v>66.63</v>
      </c>
      <c r="N138" s="506"/>
      <c r="P138" s="510">
        <f t="shared" si="4"/>
        <v>66.63</v>
      </c>
      <c r="Q138" s="513"/>
      <c r="T138" s="522">
        <v>66.63</v>
      </c>
      <c r="U138" s="523">
        <f t="shared" si="5"/>
        <v>0</v>
      </c>
    </row>
    <row r="139" spans="1:21">
      <c r="A139" s="506" t="s">
        <v>595</v>
      </c>
      <c r="B139" s="506" t="s">
        <v>512</v>
      </c>
      <c r="C139" s="506" t="s">
        <v>513</v>
      </c>
      <c r="D139" s="512">
        <v>110</v>
      </c>
      <c r="E139" s="508">
        <v>113</v>
      </c>
      <c r="F139" s="508">
        <v>123</v>
      </c>
      <c r="G139" s="508">
        <v>128</v>
      </c>
      <c r="H139" s="508">
        <v>128</v>
      </c>
      <c r="I139" s="508">
        <v>125</v>
      </c>
      <c r="J139" s="508">
        <v>129</v>
      </c>
      <c r="K139" s="508">
        <v>130</v>
      </c>
      <c r="L139" s="508">
        <v>128</v>
      </c>
      <c r="M139" s="509">
        <v>125.5</v>
      </c>
      <c r="N139" s="506"/>
      <c r="P139" s="510">
        <f t="shared" si="4"/>
        <v>125.5</v>
      </c>
      <c r="Q139" s="514"/>
      <c r="T139" s="522">
        <v>125.5</v>
      </c>
      <c r="U139" s="523">
        <f t="shared" si="5"/>
        <v>0</v>
      </c>
    </row>
    <row r="140" spans="1:21">
      <c r="A140" s="506" t="s">
        <v>601</v>
      </c>
      <c r="B140" s="506" t="s">
        <v>319</v>
      </c>
      <c r="C140" s="506" t="s">
        <v>320</v>
      </c>
      <c r="D140" s="512">
        <v>6</v>
      </c>
      <c r="E140" s="508">
        <v>7</v>
      </c>
      <c r="F140" s="508">
        <v>7</v>
      </c>
      <c r="G140" s="508">
        <v>7</v>
      </c>
      <c r="H140" s="508">
        <v>7</v>
      </c>
      <c r="I140" s="508">
        <v>7</v>
      </c>
      <c r="J140" s="508">
        <v>7</v>
      </c>
      <c r="K140" s="508">
        <v>7</v>
      </c>
      <c r="L140" s="508">
        <v>7</v>
      </c>
      <c r="M140" s="509">
        <v>7</v>
      </c>
      <c r="N140" s="506"/>
      <c r="P140" s="510">
        <f t="shared" si="4"/>
        <v>7</v>
      </c>
      <c r="Q140" s="514"/>
      <c r="T140" s="522">
        <v>7</v>
      </c>
      <c r="U140" s="523">
        <f t="shared" si="5"/>
        <v>0</v>
      </c>
    </row>
    <row r="141" spans="1:21">
      <c r="A141" s="506" t="s">
        <v>599</v>
      </c>
      <c r="B141" s="506" t="s">
        <v>391</v>
      </c>
      <c r="C141" s="506" t="s">
        <v>392</v>
      </c>
      <c r="D141" s="512">
        <v>0</v>
      </c>
      <c r="E141" s="508">
        <v>0</v>
      </c>
      <c r="F141" s="508">
        <v>0</v>
      </c>
      <c r="G141" s="508">
        <v>0</v>
      </c>
      <c r="H141" s="508">
        <v>0</v>
      </c>
      <c r="I141" s="508">
        <v>0</v>
      </c>
      <c r="J141" s="508">
        <v>0</v>
      </c>
      <c r="K141" s="508">
        <v>0</v>
      </c>
      <c r="L141" s="508">
        <v>0</v>
      </c>
      <c r="M141" s="509">
        <v>0</v>
      </c>
      <c r="N141" s="506"/>
      <c r="P141" s="510">
        <f t="shared" si="4"/>
        <v>0</v>
      </c>
      <c r="Q141" s="514"/>
      <c r="T141" s="522">
        <v>0</v>
      </c>
      <c r="U141" s="523">
        <f t="shared" si="5"/>
        <v>0</v>
      </c>
    </row>
    <row r="142" spans="1:21">
      <c r="A142" s="506" t="s">
        <v>595</v>
      </c>
      <c r="B142" s="506" t="s">
        <v>409</v>
      </c>
      <c r="C142" s="506" t="s">
        <v>410</v>
      </c>
      <c r="D142" s="512">
        <v>0</v>
      </c>
      <c r="E142" s="508">
        <v>441</v>
      </c>
      <c r="F142" s="508">
        <v>443</v>
      </c>
      <c r="G142" s="508">
        <v>444</v>
      </c>
      <c r="H142" s="508">
        <v>437</v>
      </c>
      <c r="I142" s="508">
        <v>433</v>
      </c>
      <c r="J142" s="508">
        <v>438</v>
      </c>
      <c r="K142" s="508">
        <v>430</v>
      </c>
      <c r="L142" s="508">
        <v>428</v>
      </c>
      <c r="M142" s="509">
        <v>436.75</v>
      </c>
      <c r="N142" s="506"/>
      <c r="O142" s="505">
        <v>14</v>
      </c>
      <c r="P142" s="510">
        <f t="shared" si="4"/>
        <v>450.75</v>
      </c>
      <c r="Q142" s="514"/>
      <c r="T142" s="522">
        <v>436.75</v>
      </c>
      <c r="U142" s="523">
        <f t="shared" si="5"/>
        <v>0</v>
      </c>
    </row>
    <row r="143" spans="1:21">
      <c r="A143" s="506" t="s">
        <v>594</v>
      </c>
      <c r="B143" s="506" t="s">
        <v>139</v>
      </c>
      <c r="C143" s="506" t="s">
        <v>140</v>
      </c>
      <c r="D143" s="512">
        <v>14</v>
      </c>
      <c r="E143" s="508">
        <v>14</v>
      </c>
      <c r="F143" s="508">
        <v>20</v>
      </c>
      <c r="G143" s="508">
        <v>21</v>
      </c>
      <c r="H143" s="508">
        <v>18</v>
      </c>
      <c r="I143" s="508">
        <v>20</v>
      </c>
      <c r="J143" s="508">
        <v>20</v>
      </c>
      <c r="K143" s="508">
        <v>19</v>
      </c>
      <c r="L143" s="508">
        <v>19</v>
      </c>
      <c r="M143" s="509">
        <v>18.88</v>
      </c>
      <c r="N143" s="506"/>
      <c r="P143" s="510">
        <f t="shared" si="4"/>
        <v>18.88</v>
      </c>
      <c r="Q143" s="514"/>
      <c r="T143" s="522">
        <v>18.88</v>
      </c>
      <c r="U143" s="523">
        <f t="shared" si="5"/>
        <v>0</v>
      </c>
    </row>
    <row r="144" spans="1:21">
      <c r="A144" s="506" t="s">
        <v>594</v>
      </c>
      <c r="B144" s="506" t="s">
        <v>260</v>
      </c>
      <c r="C144" s="506" t="s">
        <v>261</v>
      </c>
      <c r="D144" s="512">
        <v>0</v>
      </c>
      <c r="E144" s="508">
        <v>0</v>
      </c>
      <c r="F144" s="508">
        <v>0</v>
      </c>
      <c r="G144" s="508">
        <v>0</v>
      </c>
      <c r="H144" s="508">
        <v>0</v>
      </c>
      <c r="I144" s="508">
        <v>0</v>
      </c>
      <c r="J144" s="508">
        <v>0</v>
      </c>
      <c r="K144" s="508">
        <v>0</v>
      </c>
      <c r="L144" s="508">
        <v>0</v>
      </c>
      <c r="M144" s="509">
        <v>0</v>
      </c>
      <c r="N144" s="506"/>
      <c r="P144" s="510">
        <f t="shared" si="4"/>
        <v>0</v>
      </c>
      <c r="Q144" s="514"/>
      <c r="T144" s="522">
        <v>0</v>
      </c>
      <c r="U144" s="523">
        <f t="shared" si="5"/>
        <v>0</v>
      </c>
    </row>
    <row r="145" spans="1:21">
      <c r="A145" s="506" t="s">
        <v>601</v>
      </c>
      <c r="B145" s="506" t="s">
        <v>125</v>
      </c>
      <c r="C145" s="506" t="s">
        <v>126</v>
      </c>
      <c r="D145" s="512">
        <v>507</v>
      </c>
      <c r="E145" s="508">
        <v>661</v>
      </c>
      <c r="F145" s="508">
        <v>663</v>
      </c>
      <c r="G145" s="508">
        <v>660</v>
      </c>
      <c r="H145" s="508">
        <v>662</v>
      </c>
      <c r="I145" s="508">
        <v>666</v>
      </c>
      <c r="J145" s="508">
        <v>674</v>
      </c>
      <c r="K145" s="508">
        <v>685</v>
      </c>
      <c r="L145" s="508">
        <v>674</v>
      </c>
      <c r="M145" s="509">
        <v>668.13</v>
      </c>
      <c r="N145" s="506"/>
      <c r="P145" s="510">
        <f t="shared" si="4"/>
        <v>668.13</v>
      </c>
      <c r="Q145" s="514"/>
      <c r="T145" s="522">
        <v>668.13</v>
      </c>
      <c r="U145" s="523">
        <f t="shared" si="5"/>
        <v>0</v>
      </c>
    </row>
    <row r="146" spans="1:21">
      <c r="A146" s="506" t="s">
        <v>594</v>
      </c>
      <c r="B146" s="506" t="s">
        <v>258</v>
      </c>
      <c r="C146" s="506" t="s">
        <v>259</v>
      </c>
      <c r="D146" s="512">
        <v>38</v>
      </c>
      <c r="E146" s="508">
        <v>38</v>
      </c>
      <c r="F146" s="508">
        <v>38</v>
      </c>
      <c r="G146" s="508">
        <v>39</v>
      </c>
      <c r="H146" s="508">
        <v>39</v>
      </c>
      <c r="I146" s="508">
        <v>37</v>
      </c>
      <c r="J146" s="508">
        <v>37</v>
      </c>
      <c r="K146" s="508">
        <v>37</v>
      </c>
      <c r="L146" s="508">
        <v>37</v>
      </c>
      <c r="M146" s="509">
        <v>37.75</v>
      </c>
      <c r="N146" s="506"/>
      <c r="P146" s="510">
        <f t="shared" si="4"/>
        <v>37.75</v>
      </c>
      <c r="Q146" s="514"/>
      <c r="T146" s="522">
        <v>37.75</v>
      </c>
      <c r="U146" s="523">
        <f t="shared" si="5"/>
        <v>0</v>
      </c>
    </row>
    <row r="147" spans="1:21">
      <c r="A147" s="506" t="s">
        <v>605</v>
      </c>
      <c r="B147" s="506" t="s">
        <v>571</v>
      </c>
      <c r="C147" s="506" t="s">
        <v>572</v>
      </c>
      <c r="D147" s="512">
        <v>130</v>
      </c>
      <c r="E147" s="508">
        <v>143</v>
      </c>
      <c r="F147" s="508">
        <v>141</v>
      </c>
      <c r="G147" s="508">
        <v>140</v>
      </c>
      <c r="H147" s="508">
        <v>141</v>
      </c>
      <c r="I147" s="508">
        <v>136</v>
      </c>
      <c r="J147" s="508">
        <v>135</v>
      </c>
      <c r="K147" s="508">
        <v>135</v>
      </c>
      <c r="L147" s="508">
        <v>136</v>
      </c>
      <c r="M147" s="509">
        <v>138.38</v>
      </c>
      <c r="N147" s="516">
        <v>130</v>
      </c>
      <c r="P147" s="510">
        <f t="shared" si="4"/>
        <v>268.38</v>
      </c>
      <c r="Q147" s="514"/>
      <c r="T147" s="522">
        <v>138.38</v>
      </c>
      <c r="U147" s="523">
        <f t="shared" si="5"/>
        <v>0</v>
      </c>
    </row>
    <row r="148" spans="1:21">
      <c r="A148" s="506" t="s">
        <v>595</v>
      </c>
      <c r="B148" s="506" t="s">
        <v>516</v>
      </c>
      <c r="C148" s="506" t="s">
        <v>517</v>
      </c>
      <c r="D148" s="512">
        <v>100</v>
      </c>
      <c r="E148" s="508">
        <v>128</v>
      </c>
      <c r="F148" s="508">
        <v>129</v>
      </c>
      <c r="G148" s="508">
        <v>128</v>
      </c>
      <c r="H148" s="508">
        <v>129</v>
      </c>
      <c r="I148" s="508">
        <v>129</v>
      </c>
      <c r="J148" s="508">
        <v>131</v>
      </c>
      <c r="K148" s="508">
        <v>130</v>
      </c>
      <c r="L148" s="508">
        <v>132</v>
      </c>
      <c r="M148" s="509">
        <v>129.5</v>
      </c>
      <c r="N148" s="506"/>
      <c r="P148" s="510">
        <f t="shared" si="4"/>
        <v>129.5</v>
      </c>
      <c r="Q148" s="513"/>
      <c r="T148" s="522">
        <v>129.5</v>
      </c>
      <c r="U148" s="523">
        <f t="shared" si="5"/>
        <v>0</v>
      </c>
    </row>
    <row r="149" spans="1:21">
      <c r="A149" s="506" t="s">
        <v>599</v>
      </c>
      <c r="B149" s="506" t="s">
        <v>389</v>
      </c>
      <c r="C149" s="506" t="s">
        <v>390</v>
      </c>
      <c r="D149" s="512">
        <v>0</v>
      </c>
      <c r="E149" s="508">
        <v>0</v>
      </c>
      <c r="F149" s="508">
        <v>0</v>
      </c>
      <c r="G149" s="508">
        <v>0</v>
      </c>
      <c r="H149" s="508">
        <v>0</v>
      </c>
      <c r="I149" s="508">
        <v>0</v>
      </c>
      <c r="J149" s="508">
        <v>0</v>
      </c>
      <c r="K149" s="508">
        <v>0</v>
      </c>
      <c r="L149" s="508">
        <v>0</v>
      </c>
      <c r="M149" s="509">
        <v>0</v>
      </c>
      <c r="N149" s="506"/>
      <c r="P149" s="510">
        <f t="shared" si="4"/>
        <v>0</v>
      </c>
      <c r="Q149" s="514"/>
      <c r="T149" s="522">
        <v>0</v>
      </c>
      <c r="U149" s="523">
        <f t="shared" si="5"/>
        <v>0</v>
      </c>
    </row>
    <row r="150" spans="1:21">
      <c r="A150" s="506" t="s">
        <v>595</v>
      </c>
      <c r="B150" s="506" t="s">
        <v>386</v>
      </c>
      <c r="C150" s="506" t="s">
        <v>610</v>
      </c>
      <c r="D150" s="512">
        <v>1060</v>
      </c>
      <c r="E150" s="508">
        <v>1586</v>
      </c>
      <c r="F150" s="508">
        <v>1583</v>
      </c>
      <c r="G150" s="508">
        <v>1562</v>
      </c>
      <c r="H150" s="508">
        <v>1563</v>
      </c>
      <c r="I150" s="508">
        <v>1567</v>
      </c>
      <c r="J150" s="508">
        <v>1572</v>
      </c>
      <c r="K150" s="508">
        <v>1569</v>
      </c>
      <c r="L150" s="508">
        <v>1553</v>
      </c>
      <c r="M150" s="509">
        <v>1569.38</v>
      </c>
      <c r="N150" s="506"/>
      <c r="P150" s="510">
        <f t="shared" si="4"/>
        <v>1569.38</v>
      </c>
      <c r="Q150" s="514"/>
      <c r="T150" s="522">
        <v>1569.38</v>
      </c>
      <c r="U150" s="523">
        <f t="shared" si="5"/>
        <v>0</v>
      </c>
    </row>
    <row r="151" spans="1:21">
      <c r="A151" s="506" t="s">
        <v>595</v>
      </c>
      <c r="B151" s="506" t="s">
        <v>399</v>
      </c>
      <c r="C151" s="506" t="s">
        <v>400</v>
      </c>
      <c r="D151" s="512">
        <v>1840</v>
      </c>
      <c r="E151" s="508">
        <v>2369</v>
      </c>
      <c r="F151" s="508">
        <v>2411</v>
      </c>
      <c r="G151" s="508">
        <v>2414</v>
      </c>
      <c r="H151" s="508">
        <v>2387</v>
      </c>
      <c r="I151" s="508">
        <v>2385</v>
      </c>
      <c r="J151" s="508">
        <v>2372</v>
      </c>
      <c r="K151" s="508">
        <v>2385</v>
      </c>
      <c r="L151" s="508">
        <v>2385</v>
      </c>
      <c r="M151" s="509">
        <v>2388.5</v>
      </c>
      <c r="N151" s="506"/>
      <c r="P151" s="510">
        <f t="shared" si="4"/>
        <v>2388.5</v>
      </c>
      <c r="Q151" s="514"/>
      <c r="T151" s="522">
        <v>2388.5</v>
      </c>
      <c r="U151" s="523">
        <f t="shared" si="5"/>
        <v>0</v>
      </c>
    </row>
    <row r="152" spans="1:21">
      <c r="A152" s="506" t="s">
        <v>605</v>
      </c>
      <c r="B152" s="506" t="s">
        <v>545</v>
      </c>
      <c r="C152" s="506" t="s">
        <v>546</v>
      </c>
      <c r="D152" s="512">
        <v>69</v>
      </c>
      <c r="E152" s="508">
        <v>69</v>
      </c>
      <c r="F152" s="508">
        <v>70</v>
      </c>
      <c r="G152" s="508">
        <v>70</v>
      </c>
      <c r="H152" s="508">
        <v>70</v>
      </c>
      <c r="I152" s="508">
        <v>69</v>
      </c>
      <c r="J152" s="508">
        <v>69</v>
      </c>
      <c r="K152" s="508">
        <v>68</v>
      </c>
      <c r="L152" s="508">
        <v>72</v>
      </c>
      <c r="M152" s="509">
        <v>69.63</v>
      </c>
      <c r="N152" s="506"/>
      <c r="P152" s="510">
        <f t="shared" si="4"/>
        <v>69.63</v>
      </c>
      <c r="Q152" s="514"/>
      <c r="T152" s="522">
        <v>69.63</v>
      </c>
      <c r="U152" s="523">
        <f t="shared" si="5"/>
        <v>0</v>
      </c>
    </row>
    <row r="153" spans="1:21">
      <c r="A153" s="506" t="s">
        <v>594</v>
      </c>
      <c r="B153" s="506" t="s">
        <v>252</v>
      </c>
      <c r="C153" s="506" t="s">
        <v>253</v>
      </c>
      <c r="D153" s="512">
        <v>2</v>
      </c>
      <c r="E153" s="508">
        <v>2</v>
      </c>
      <c r="F153" s="508">
        <v>2</v>
      </c>
      <c r="G153" s="508">
        <v>2</v>
      </c>
      <c r="H153" s="508">
        <v>2</v>
      </c>
      <c r="I153" s="508">
        <v>2</v>
      </c>
      <c r="J153" s="508">
        <v>2</v>
      </c>
      <c r="K153" s="508">
        <v>2</v>
      </c>
      <c r="L153" s="508">
        <v>2</v>
      </c>
      <c r="M153" s="509">
        <v>2</v>
      </c>
      <c r="N153" s="506"/>
      <c r="P153" s="510">
        <f t="shared" si="4"/>
        <v>2</v>
      </c>
      <c r="Q153" s="514"/>
      <c r="T153" s="522">
        <v>2</v>
      </c>
      <c r="U153" s="523">
        <f t="shared" si="5"/>
        <v>0</v>
      </c>
    </row>
    <row r="154" spans="1:21">
      <c r="A154" s="506" t="s">
        <v>599</v>
      </c>
      <c r="B154" s="506" t="s">
        <v>331</v>
      </c>
      <c r="C154" s="506" t="s">
        <v>611</v>
      </c>
      <c r="D154" s="512">
        <v>5</v>
      </c>
      <c r="E154" s="508">
        <v>5</v>
      </c>
      <c r="F154" s="508">
        <v>5</v>
      </c>
      <c r="G154" s="508">
        <v>5</v>
      </c>
      <c r="H154" s="508">
        <v>5</v>
      </c>
      <c r="I154" s="508">
        <v>5</v>
      </c>
      <c r="J154" s="508">
        <v>5</v>
      </c>
      <c r="K154" s="508">
        <v>5</v>
      </c>
      <c r="L154" s="508">
        <v>5</v>
      </c>
      <c r="M154" s="509">
        <v>5</v>
      </c>
      <c r="N154" s="506"/>
      <c r="P154" s="510">
        <f t="shared" si="4"/>
        <v>5</v>
      </c>
      <c r="Q154" s="514"/>
      <c r="T154" s="522">
        <v>5</v>
      </c>
      <c r="U154" s="523">
        <f t="shared" si="5"/>
        <v>0</v>
      </c>
    </row>
    <row r="155" spans="1:21">
      <c r="A155" s="506" t="s">
        <v>601</v>
      </c>
      <c r="B155" s="506" t="s">
        <v>309</v>
      </c>
      <c r="C155" s="506" t="s">
        <v>310</v>
      </c>
      <c r="D155" s="512">
        <v>0</v>
      </c>
      <c r="E155" s="508">
        <v>0</v>
      </c>
      <c r="F155" s="508">
        <v>0</v>
      </c>
      <c r="G155" s="508">
        <v>0</v>
      </c>
      <c r="H155" s="508">
        <v>0</v>
      </c>
      <c r="I155" s="508">
        <v>0</v>
      </c>
      <c r="J155" s="508">
        <v>0</v>
      </c>
      <c r="K155" s="508">
        <v>0</v>
      </c>
      <c r="L155" s="508">
        <v>0</v>
      </c>
      <c r="M155" s="509">
        <v>0</v>
      </c>
      <c r="N155" s="506"/>
      <c r="P155" s="510">
        <f t="shared" si="4"/>
        <v>0</v>
      </c>
      <c r="Q155" s="514"/>
      <c r="T155" s="522">
        <v>0</v>
      </c>
      <c r="U155" s="523">
        <f t="shared" si="5"/>
        <v>0</v>
      </c>
    </row>
    <row r="156" spans="1:21">
      <c r="A156" s="506" t="s">
        <v>603</v>
      </c>
      <c r="B156" s="506" t="s">
        <v>336</v>
      </c>
      <c r="C156" s="506" t="s">
        <v>337</v>
      </c>
      <c r="D156" s="512">
        <v>0</v>
      </c>
      <c r="E156" s="508">
        <v>0</v>
      </c>
      <c r="F156" s="508">
        <v>0</v>
      </c>
      <c r="G156" s="508">
        <v>0</v>
      </c>
      <c r="H156" s="508">
        <v>0</v>
      </c>
      <c r="I156" s="508">
        <v>0</v>
      </c>
      <c r="J156" s="508">
        <v>0</v>
      </c>
      <c r="K156" s="508">
        <v>0</v>
      </c>
      <c r="L156" s="508">
        <v>0</v>
      </c>
      <c r="M156" s="509">
        <v>0</v>
      </c>
      <c r="N156" s="506"/>
      <c r="P156" s="510">
        <f t="shared" si="4"/>
        <v>0</v>
      </c>
      <c r="Q156" s="514"/>
      <c r="T156" s="522">
        <v>0</v>
      </c>
      <c r="U156" s="523">
        <f t="shared" si="5"/>
        <v>0</v>
      </c>
    </row>
    <row r="157" spans="1:21">
      <c r="A157" s="506" t="s">
        <v>603</v>
      </c>
      <c r="B157" s="506" t="s">
        <v>428</v>
      </c>
      <c r="C157" s="506" t="s">
        <v>429</v>
      </c>
      <c r="D157" s="512">
        <v>0</v>
      </c>
      <c r="E157" s="508">
        <v>0</v>
      </c>
      <c r="F157" s="508">
        <v>0</v>
      </c>
      <c r="G157" s="508">
        <v>0</v>
      </c>
      <c r="H157" s="508">
        <v>0</v>
      </c>
      <c r="I157" s="508">
        <v>0</v>
      </c>
      <c r="J157" s="508">
        <v>0</v>
      </c>
      <c r="K157" s="508">
        <v>0</v>
      </c>
      <c r="L157" s="508">
        <v>0</v>
      </c>
      <c r="M157" s="509">
        <v>0</v>
      </c>
      <c r="N157" s="506"/>
      <c r="P157" s="510">
        <f t="shared" si="4"/>
        <v>0</v>
      </c>
      <c r="Q157" s="514"/>
      <c r="T157" s="522">
        <v>0</v>
      </c>
      <c r="U157" s="523">
        <f t="shared" si="5"/>
        <v>0</v>
      </c>
    </row>
    <row r="158" spans="1:21">
      <c r="A158" s="506" t="s">
        <v>595</v>
      </c>
      <c r="B158" s="506" t="s">
        <v>514</v>
      </c>
      <c r="C158" s="506" t="s">
        <v>515</v>
      </c>
      <c r="D158" s="512">
        <v>155</v>
      </c>
      <c r="E158" s="508">
        <v>180</v>
      </c>
      <c r="F158" s="508">
        <v>177</v>
      </c>
      <c r="G158" s="508">
        <v>172</v>
      </c>
      <c r="H158" s="508">
        <v>171</v>
      </c>
      <c r="I158" s="508">
        <v>173</v>
      </c>
      <c r="J158" s="508">
        <v>175</v>
      </c>
      <c r="K158" s="508">
        <v>177</v>
      </c>
      <c r="L158" s="508">
        <v>178</v>
      </c>
      <c r="M158" s="509">
        <v>175.38</v>
      </c>
      <c r="N158" s="506"/>
      <c r="P158" s="510">
        <f t="shared" si="4"/>
        <v>175.38</v>
      </c>
      <c r="Q158" s="514"/>
      <c r="T158" s="522">
        <v>175.38</v>
      </c>
      <c r="U158" s="523">
        <f t="shared" si="5"/>
        <v>0</v>
      </c>
    </row>
    <row r="159" spans="1:21">
      <c r="A159" s="506" t="s">
        <v>594</v>
      </c>
      <c r="B159" s="506" t="s">
        <v>136</v>
      </c>
      <c r="C159" s="506" t="s">
        <v>137</v>
      </c>
      <c r="D159" s="512">
        <v>0</v>
      </c>
      <c r="E159" s="508">
        <v>0</v>
      </c>
      <c r="F159" s="508">
        <v>0</v>
      </c>
      <c r="G159" s="508">
        <v>0</v>
      </c>
      <c r="H159" s="508">
        <v>0</v>
      </c>
      <c r="I159" s="508">
        <v>0</v>
      </c>
      <c r="J159" s="508">
        <v>0</v>
      </c>
      <c r="K159" s="508">
        <v>0</v>
      </c>
      <c r="L159" s="508">
        <v>0</v>
      </c>
      <c r="M159" s="509">
        <v>0</v>
      </c>
      <c r="N159" s="506"/>
      <c r="P159" s="510">
        <f t="shared" si="4"/>
        <v>0</v>
      </c>
      <c r="Q159" s="514"/>
      <c r="T159" s="522">
        <v>0</v>
      </c>
      <c r="U159" s="523">
        <f t="shared" si="5"/>
        <v>0</v>
      </c>
    </row>
    <row r="160" spans="1:21">
      <c r="A160" s="506" t="s">
        <v>596</v>
      </c>
      <c r="B160" s="506" t="s">
        <v>106</v>
      </c>
      <c r="C160" s="506" t="s">
        <v>107</v>
      </c>
      <c r="D160" s="512">
        <v>650</v>
      </c>
      <c r="E160" s="508">
        <v>731</v>
      </c>
      <c r="F160" s="508">
        <v>724</v>
      </c>
      <c r="G160" s="508">
        <v>718</v>
      </c>
      <c r="H160" s="508">
        <v>696</v>
      </c>
      <c r="I160" s="508">
        <v>707</v>
      </c>
      <c r="J160" s="508">
        <v>723</v>
      </c>
      <c r="K160" s="508">
        <v>721</v>
      </c>
      <c r="L160" s="508">
        <v>719</v>
      </c>
      <c r="M160" s="509">
        <v>717.38</v>
      </c>
      <c r="N160" s="506"/>
      <c r="P160" s="510">
        <f t="shared" si="4"/>
        <v>717.38</v>
      </c>
      <c r="Q160" s="514"/>
      <c r="T160" s="522">
        <v>717.38</v>
      </c>
      <c r="U160" s="523">
        <f t="shared" si="5"/>
        <v>0</v>
      </c>
    </row>
    <row r="161" spans="1:21">
      <c r="A161" s="506" t="s">
        <v>600</v>
      </c>
      <c r="B161" s="506" t="s">
        <v>214</v>
      </c>
      <c r="C161" s="506" t="s">
        <v>215</v>
      </c>
      <c r="D161" s="512">
        <v>114</v>
      </c>
      <c r="E161" s="508">
        <v>189</v>
      </c>
      <c r="F161" s="508">
        <v>189</v>
      </c>
      <c r="G161" s="508">
        <v>185</v>
      </c>
      <c r="H161" s="508">
        <v>184</v>
      </c>
      <c r="I161" s="508">
        <v>186</v>
      </c>
      <c r="J161" s="508">
        <v>184</v>
      </c>
      <c r="K161" s="508">
        <v>186</v>
      </c>
      <c r="L161" s="508">
        <v>185</v>
      </c>
      <c r="M161" s="509">
        <v>186</v>
      </c>
      <c r="N161" s="506"/>
      <c r="P161" s="510">
        <f t="shared" si="4"/>
        <v>186</v>
      </c>
      <c r="Q161" s="514"/>
      <c r="T161" s="522">
        <v>186</v>
      </c>
      <c r="U161" s="523">
        <f t="shared" si="5"/>
        <v>0</v>
      </c>
    </row>
    <row r="162" spans="1:21">
      <c r="A162" s="506" t="s">
        <v>600</v>
      </c>
      <c r="B162" s="506" t="s">
        <v>305</v>
      </c>
      <c r="C162" s="506" t="s">
        <v>306</v>
      </c>
      <c r="D162" s="512">
        <v>65</v>
      </c>
      <c r="E162" s="508">
        <v>95</v>
      </c>
      <c r="F162" s="508">
        <v>95</v>
      </c>
      <c r="G162" s="508">
        <v>96</v>
      </c>
      <c r="H162" s="508">
        <v>95</v>
      </c>
      <c r="I162" s="508">
        <v>98</v>
      </c>
      <c r="J162" s="508">
        <v>97</v>
      </c>
      <c r="K162" s="508">
        <v>97</v>
      </c>
      <c r="L162" s="508">
        <v>97</v>
      </c>
      <c r="M162" s="509">
        <v>96.25</v>
      </c>
      <c r="N162" s="506"/>
      <c r="P162" s="510">
        <f t="shared" si="4"/>
        <v>96.25</v>
      </c>
      <c r="Q162" s="514"/>
      <c r="T162" s="522">
        <v>96.25</v>
      </c>
      <c r="U162" s="523">
        <f t="shared" si="5"/>
        <v>0</v>
      </c>
    </row>
    <row r="163" spans="1:21">
      <c r="A163" s="506" t="s">
        <v>594</v>
      </c>
      <c r="B163" s="506" t="s">
        <v>334</v>
      </c>
      <c r="C163" s="506" t="s">
        <v>335</v>
      </c>
      <c r="D163" s="512">
        <v>0</v>
      </c>
      <c r="E163" s="508">
        <v>0</v>
      </c>
      <c r="F163" s="508">
        <v>0</v>
      </c>
      <c r="G163" s="508">
        <v>0</v>
      </c>
      <c r="H163" s="508">
        <v>0</v>
      </c>
      <c r="I163" s="508">
        <v>0</v>
      </c>
      <c r="J163" s="508">
        <v>0</v>
      </c>
      <c r="K163" s="508">
        <v>0</v>
      </c>
      <c r="L163" s="508">
        <v>0</v>
      </c>
      <c r="M163" s="509">
        <v>0</v>
      </c>
      <c r="N163" s="506"/>
      <c r="P163" s="510">
        <f t="shared" si="4"/>
        <v>0</v>
      </c>
      <c r="Q163" s="514"/>
      <c r="T163" s="522">
        <v>0</v>
      </c>
      <c r="U163" s="523">
        <f t="shared" si="5"/>
        <v>0</v>
      </c>
    </row>
    <row r="164" spans="1:21">
      <c r="A164" s="506" t="s">
        <v>594</v>
      </c>
      <c r="B164" s="506" t="s">
        <v>474</v>
      </c>
      <c r="C164" s="506" t="s">
        <v>475</v>
      </c>
      <c r="D164" s="512">
        <v>469</v>
      </c>
      <c r="E164" s="508">
        <v>463</v>
      </c>
      <c r="F164" s="508">
        <v>477</v>
      </c>
      <c r="G164" s="508">
        <v>481</v>
      </c>
      <c r="H164" s="508">
        <v>488</v>
      </c>
      <c r="I164" s="508">
        <v>496</v>
      </c>
      <c r="J164" s="508">
        <v>492</v>
      </c>
      <c r="K164" s="508">
        <v>506</v>
      </c>
      <c r="L164" s="508">
        <v>514</v>
      </c>
      <c r="M164" s="509">
        <v>489.63</v>
      </c>
      <c r="N164" s="506"/>
      <c r="P164" s="510">
        <f t="shared" si="4"/>
        <v>489.63</v>
      </c>
      <c r="Q164" s="514"/>
      <c r="T164" s="522">
        <v>489.63</v>
      </c>
      <c r="U164" s="523">
        <f t="shared" si="5"/>
        <v>0</v>
      </c>
    </row>
    <row r="165" spans="1:21">
      <c r="A165" s="506" t="s">
        <v>603</v>
      </c>
      <c r="B165" s="506" t="s">
        <v>468</v>
      </c>
      <c r="C165" s="506" t="s">
        <v>469</v>
      </c>
      <c r="D165" s="512">
        <v>0</v>
      </c>
      <c r="E165" s="508">
        <v>0</v>
      </c>
      <c r="F165" s="508">
        <v>0</v>
      </c>
      <c r="G165" s="508">
        <v>0</v>
      </c>
      <c r="H165" s="508">
        <v>0</v>
      </c>
      <c r="I165" s="508">
        <v>0</v>
      </c>
      <c r="J165" s="508">
        <v>0</v>
      </c>
      <c r="K165" s="508">
        <v>0</v>
      </c>
      <c r="L165" s="508">
        <v>0</v>
      </c>
      <c r="M165" s="509">
        <v>0</v>
      </c>
      <c r="N165" s="506"/>
      <c r="P165" s="510">
        <f t="shared" si="4"/>
        <v>0</v>
      </c>
      <c r="Q165" s="514"/>
      <c r="T165" s="522">
        <v>0</v>
      </c>
      <c r="U165" s="523">
        <f t="shared" si="5"/>
        <v>0</v>
      </c>
    </row>
    <row r="166" spans="1:21">
      <c r="A166" s="506" t="s">
        <v>597</v>
      </c>
      <c r="B166" s="506" t="s">
        <v>209</v>
      </c>
      <c r="C166" s="506" t="s">
        <v>210</v>
      </c>
      <c r="D166" s="512">
        <v>786</v>
      </c>
      <c r="E166" s="508">
        <v>910</v>
      </c>
      <c r="F166" s="508">
        <v>943</v>
      </c>
      <c r="G166" s="508">
        <v>946</v>
      </c>
      <c r="H166" s="508">
        <v>937</v>
      </c>
      <c r="I166" s="508">
        <v>940</v>
      </c>
      <c r="J166" s="508">
        <v>953</v>
      </c>
      <c r="K166" s="508">
        <v>941</v>
      </c>
      <c r="L166" s="508">
        <v>941</v>
      </c>
      <c r="M166" s="509">
        <v>938.88</v>
      </c>
      <c r="N166" s="516">
        <v>32</v>
      </c>
      <c r="P166" s="510">
        <f t="shared" si="4"/>
        <v>970.88</v>
      </c>
      <c r="Q166" s="514"/>
      <c r="T166" s="522">
        <v>938.88</v>
      </c>
      <c r="U166" s="523">
        <f t="shared" si="5"/>
        <v>0</v>
      </c>
    </row>
    <row r="167" spans="1:21">
      <c r="A167" s="506" t="s">
        <v>595</v>
      </c>
      <c r="B167" s="506" t="s">
        <v>157</v>
      </c>
      <c r="C167" s="506" t="s">
        <v>158</v>
      </c>
      <c r="D167" s="512">
        <v>89</v>
      </c>
      <c r="E167" s="508">
        <v>106</v>
      </c>
      <c r="F167" s="508">
        <v>108</v>
      </c>
      <c r="G167" s="508">
        <v>113</v>
      </c>
      <c r="H167" s="508">
        <v>111</v>
      </c>
      <c r="I167" s="508">
        <v>105</v>
      </c>
      <c r="J167" s="508">
        <v>106</v>
      </c>
      <c r="K167" s="508">
        <v>106</v>
      </c>
      <c r="L167" s="508">
        <v>104</v>
      </c>
      <c r="M167" s="509">
        <v>107.38</v>
      </c>
      <c r="N167" s="506"/>
      <c r="P167" s="510">
        <f t="shared" si="4"/>
        <v>107.38</v>
      </c>
      <c r="Q167" s="514"/>
      <c r="T167" s="522">
        <v>107.38</v>
      </c>
      <c r="U167" s="523">
        <f t="shared" si="5"/>
        <v>0</v>
      </c>
    </row>
    <row r="168" spans="1:21">
      <c r="A168" s="506" t="s">
        <v>603</v>
      </c>
      <c r="B168" s="506" t="s">
        <v>541</v>
      </c>
      <c r="C168" s="506" t="s">
        <v>542</v>
      </c>
      <c r="D168" s="512">
        <v>0</v>
      </c>
      <c r="E168" s="508">
        <v>0</v>
      </c>
      <c r="F168" s="508">
        <v>0</v>
      </c>
      <c r="G168" s="508">
        <v>0</v>
      </c>
      <c r="H168" s="508">
        <v>0</v>
      </c>
      <c r="I168" s="508">
        <v>0</v>
      </c>
      <c r="J168" s="508">
        <v>0</v>
      </c>
      <c r="K168" s="508">
        <v>0</v>
      </c>
      <c r="L168" s="508">
        <v>0</v>
      </c>
      <c r="M168" s="509">
        <v>0</v>
      </c>
      <c r="N168" s="506"/>
      <c r="P168" s="510">
        <f t="shared" si="4"/>
        <v>0</v>
      </c>
      <c r="Q168" s="514"/>
      <c r="T168" s="522">
        <v>0</v>
      </c>
      <c r="U168" s="523">
        <f t="shared" si="5"/>
        <v>0</v>
      </c>
    </row>
    <row r="169" spans="1:21">
      <c r="A169" s="506" t="s">
        <v>594</v>
      </c>
      <c r="B169" s="506" t="s">
        <v>155</v>
      </c>
      <c r="C169" s="506" t="s">
        <v>156</v>
      </c>
      <c r="D169" s="512">
        <v>0</v>
      </c>
      <c r="E169" s="508">
        <v>0</v>
      </c>
      <c r="F169" s="508">
        <v>0</v>
      </c>
      <c r="G169" s="508">
        <v>0</v>
      </c>
      <c r="H169" s="508">
        <v>0</v>
      </c>
      <c r="I169" s="508">
        <v>0</v>
      </c>
      <c r="J169" s="508">
        <v>0</v>
      </c>
      <c r="K169" s="508">
        <v>0</v>
      </c>
      <c r="L169" s="508">
        <v>0</v>
      </c>
      <c r="M169" s="509">
        <v>0</v>
      </c>
      <c r="N169" s="506"/>
      <c r="P169" s="510">
        <f t="shared" si="4"/>
        <v>0</v>
      </c>
      <c r="Q169" s="514"/>
      <c r="T169" s="522">
        <v>0</v>
      </c>
      <c r="U169" s="523">
        <f t="shared" si="5"/>
        <v>0</v>
      </c>
    </row>
    <row r="170" spans="1:21">
      <c r="A170" s="506" t="s">
        <v>599</v>
      </c>
      <c r="B170" s="506" t="s">
        <v>325</v>
      </c>
      <c r="C170" s="506" t="s">
        <v>326</v>
      </c>
      <c r="D170" s="512">
        <v>24</v>
      </c>
      <c r="E170" s="508">
        <v>24</v>
      </c>
      <c r="F170" s="508">
        <v>23</v>
      </c>
      <c r="G170" s="508">
        <v>30</v>
      </c>
      <c r="H170" s="508">
        <v>30</v>
      </c>
      <c r="I170" s="508">
        <v>31</v>
      </c>
      <c r="J170" s="508">
        <v>31</v>
      </c>
      <c r="K170" s="508">
        <v>30</v>
      </c>
      <c r="L170" s="508">
        <v>31</v>
      </c>
      <c r="M170" s="509">
        <v>28.75</v>
      </c>
      <c r="N170" s="506"/>
      <c r="P170" s="510">
        <f t="shared" si="4"/>
        <v>28.75</v>
      </c>
      <c r="Q170" s="514"/>
      <c r="T170" s="522">
        <v>28.75</v>
      </c>
      <c r="U170" s="523">
        <f t="shared" si="5"/>
        <v>0</v>
      </c>
    </row>
    <row r="171" spans="1:21">
      <c r="A171" s="506" t="s">
        <v>594</v>
      </c>
      <c r="B171" s="506" t="s">
        <v>153</v>
      </c>
      <c r="C171" s="506" t="s">
        <v>154</v>
      </c>
      <c r="D171" s="512">
        <v>41</v>
      </c>
      <c r="E171" s="508">
        <v>35</v>
      </c>
      <c r="F171" s="508">
        <v>43</v>
      </c>
      <c r="G171" s="508">
        <v>43</v>
      </c>
      <c r="H171" s="508">
        <v>43</v>
      </c>
      <c r="I171" s="508">
        <v>43</v>
      </c>
      <c r="J171" s="508">
        <v>42</v>
      </c>
      <c r="K171" s="508">
        <v>43</v>
      </c>
      <c r="L171" s="508">
        <v>43</v>
      </c>
      <c r="M171" s="509">
        <v>41.88</v>
      </c>
      <c r="N171" s="506"/>
      <c r="P171" s="510">
        <f t="shared" si="4"/>
        <v>41.88</v>
      </c>
      <c r="Q171" s="514"/>
      <c r="T171" s="522">
        <v>41.88</v>
      </c>
      <c r="U171" s="523">
        <f t="shared" si="5"/>
        <v>0</v>
      </c>
    </row>
    <row r="172" spans="1:21">
      <c r="A172" s="506" t="s">
        <v>603</v>
      </c>
      <c r="B172" s="506" t="s">
        <v>287</v>
      </c>
      <c r="C172" s="506" t="s">
        <v>288</v>
      </c>
      <c r="D172" s="512">
        <v>0</v>
      </c>
      <c r="E172" s="508">
        <v>0</v>
      </c>
      <c r="F172" s="508">
        <v>0</v>
      </c>
      <c r="G172" s="508">
        <v>0</v>
      </c>
      <c r="H172" s="508">
        <v>0</v>
      </c>
      <c r="I172" s="508">
        <v>0</v>
      </c>
      <c r="J172" s="508">
        <v>0</v>
      </c>
      <c r="K172" s="508">
        <v>0</v>
      </c>
      <c r="L172" s="508">
        <v>0</v>
      </c>
      <c r="M172" s="509">
        <v>0</v>
      </c>
      <c r="N172" s="506"/>
      <c r="P172" s="510">
        <f t="shared" si="4"/>
        <v>0</v>
      </c>
      <c r="Q172" s="514"/>
      <c r="T172" s="522">
        <v>0</v>
      </c>
      <c r="U172" s="523">
        <f t="shared" si="5"/>
        <v>0</v>
      </c>
    </row>
    <row r="173" spans="1:21">
      <c r="A173" s="506" t="s">
        <v>601</v>
      </c>
      <c r="B173" s="506" t="s">
        <v>313</v>
      </c>
      <c r="C173" s="506" t="s">
        <v>314</v>
      </c>
      <c r="D173" s="512">
        <v>91</v>
      </c>
      <c r="E173" s="508">
        <v>91</v>
      </c>
      <c r="F173" s="508">
        <v>91</v>
      </c>
      <c r="G173" s="508">
        <v>92</v>
      </c>
      <c r="H173" s="508">
        <v>92</v>
      </c>
      <c r="I173" s="508">
        <v>91</v>
      </c>
      <c r="J173" s="508">
        <v>90</v>
      </c>
      <c r="K173" s="508">
        <v>91</v>
      </c>
      <c r="L173" s="508">
        <v>91</v>
      </c>
      <c r="M173" s="509">
        <v>91.13</v>
      </c>
      <c r="N173" s="506"/>
      <c r="P173" s="510">
        <f t="shared" si="4"/>
        <v>91.13</v>
      </c>
      <c r="Q173" s="514"/>
      <c r="T173" s="522">
        <v>91.13</v>
      </c>
      <c r="U173" s="523">
        <f t="shared" si="5"/>
        <v>0</v>
      </c>
    </row>
    <row r="174" spans="1:21">
      <c r="A174" s="506" t="s">
        <v>594</v>
      </c>
      <c r="B174" s="506" t="s">
        <v>478</v>
      </c>
      <c r="C174" s="506" t="s">
        <v>479</v>
      </c>
      <c r="D174" s="512">
        <v>200</v>
      </c>
      <c r="E174" s="508">
        <v>221</v>
      </c>
      <c r="F174" s="508">
        <v>226</v>
      </c>
      <c r="G174" s="508">
        <v>223</v>
      </c>
      <c r="H174" s="508">
        <v>222</v>
      </c>
      <c r="I174" s="508">
        <v>222</v>
      </c>
      <c r="J174" s="508">
        <v>225</v>
      </c>
      <c r="K174" s="508">
        <v>221</v>
      </c>
      <c r="L174" s="508">
        <v>227</v>
      </c>
      <c r="M174" s="509">
        <v>223.38</v>
      </c>
      <c r="N174" s="506"/>
      <c r="P174" s="510">
        <f t="shared" si="4"/>
        <v>223.38</v>
      </c>
      <c r="Q174" s="514"/>
      <c r="T174" s="522">
        <v>223.38</v>
      </c>
      <c r="U174" s="523">
        <f t="shared" si="5"/>
        <v>0</v>
      </c>
    </row>
    <row r="175" spans="1:21">
      <c r="A175" s="506" t="s">
        <v>601</v>
      </c>
      <c r="B175" s="506" t="s">
        <v>311</v>
      </c>
      <c r="C175" s="506" t="s">
        <v>312</v>
      </c>
      <c r="D175" s="512">
        <v>75</v>
      </c>
      <c r="E175" s="508">
        <v>75</v>
      </c>
      <c r="F175" s="508">
        <v>86</v>
      </c>
      <c r="G175" s="508">
        <v>82</v>
      </c>
      <c r="H175" s="508">
        <v>84</v>
      </c>
      <c r="I175" s="508">
        <v>84</v>
      </c>
      <c r="J175" s="508">
        <v>80</v>
      </c>
      <c r="K175" s="508">
        <v>79</v>
      </c>
      <c r="L175" s="508">
        <v>79</v>
      </c>
      <c r="M175" s="509">
        <v>81.13</v>
      </c>
      <c r="N175" s="506"/>
      <c r="P175" s="510">
        <f t="shared" si="4"/>
        <v>81.13</v>
      </c>
      <c r="Q175" s="514"/>
      <c r="T175" s="522">
        <v>81.13</v>
      </c>
      <c r="U175" s="523">
        <f t="shared" si="5"/>
        <v>0</v>
      </c>
    </row>
    <row r="176" spans="1:21">
      <c r="A176" s="506" t="s">
        <v>594</v>
      </c>
      <c r="B176" s="506" t="s">
        <v>270</v>
      </c>
      <c r="C176" s="506" t="s">
        <v>271</v>
      </c>
      <c r="D176" s="512">
        <v>20</v>
      </c>
      <c r="E176" s="508">
        <v>24</v>
      </c>
      <c r="F176" s="508">
        <v>22</v>
      </c>
      <c r="G176" s="508">
        <v>22</v>
      </c>
      <c r="H176" s="508">
        <v>22</v>
      </c>
      <c r="I176" s="508">
        <v>22</v>
      </c>
      <c r="J176" s="508">
        <v>22</v>
      </c>
      <c r="K176" s="508">
        <v>22</v>
      </c>
      <c r="L176" s="508">
        <v>22</v>
      </c>
      <c r="M176" s="509">
        <v>22.25</v>
      </c>
      <c r="N176" s="506"/>
      <c r="P176" s="510">
        <f t="shared" si="4"/>
        <v>22.25</v>
      </c>
      <c r="Q176" s="514"/>
      <c r="T176" s="522">
        <v>22.25</v>
      </c>
      <c r="U176" s="523">
        <f t="shared" si="5"/>
        <v>0</v>
      </c>
    </row>
    <row r="177" spans="1:21">
      <c r="A177" s="506" t="s">
        <v>603</v>
      </c>
      <c r="B177" s="506" t="s">
        <v>448</v>
      </c>
      <c r="C177" s="506" t="s">
        <v>449</v>
      </c>
      <c r="D177" s="512">
        <v>0</v>
      </c>
      <c r="E177" s="508">
        <v>0</v>
      </c>
      <c r="F177" s="508">
        <v>0</v>
      </c>
      <c r="G177" s="508">
        <v>0</v>
      </c>
      <c r="H177" s="508">
        <v>0</v>
      </c>
      <c r="I177" s="508">
        <v>0</v>
      </c>
      <c r="J177" s="508">
        <v>0</v>
      </c>
      <c r="K177" s="508">
        <v>0</v>
      </c>
      <c r="L177" s="508">
        <v>0</v>
      </c>
      <c r="M177" s="509">
        <v>0</v>
      </c>
      <c r="N177" s="506"/>
      <c r="P177" s="510">
        <f t="shared" si="4"/>
        <v>0</v>
      </c>
      <c r="Q177" s="514"/>
      <c r="T177" s="522">
        <v>0</v>
      </c>
      <c r="U177" s="523">
        <f t="shared" si="5"/>
        <v>0</v>
      </c>
    </row>
    <row r="178" spans="1:21">
      <c r="A178" s="506" t="s">
        <v>595</v>
      </c>
      <c r="B178" s="506" t="s">
        <v>372</v>
      </c>
      <c r="C178" s="506" t="s">
        <v>613</v>
      </c>
      <c r="D178" s="512">
        <v>19</v>
      </c>
      <c r="E178" s="508">
        <v>20</v>
      </c>
      <c r="F178" s="508">
        <v>16</v>
      </c>
      <c r="G178" s="508">
        <v>15</v>
      </c>
      <c r="H178" s="508">
        <v>15</v>
      </c>
      <c r="I178" s="508">
        <v>15</v>
      </c>
      <c r="J178" s="508">
        <v>17</v>
      </c>
      <c r="K178" s="508">
        <v>15</v>
      </c>
      <c r="L178" s="508">
        <v>15</v>
      </c>
      <c r="M178" s="509">
        <v>16</v>
      </c>
      <c r="N178" s="506"/>
      <c r="P178" s="510">
        <f t="shared" si="4"/>
        <v>16</v>
      </c>
      <c r="Q178" s="514"/>
      <c r="T178" s="522">
        <v>16</v>
      </c>
      <c r="U178" s="523">
        <f t="shared" si="5"/>
        <v>0</v>
      </c>
    </row>
    <row r="179" spans="1:21">
      <c r="A179" s="506" t="s">
        <v>603</v>
      </c>
      <c r="B179" s="506" t="s">
        <v>424</v>
      </c>
      <c r="C179" s="506" t="s">
        <v>425</v>
      </c>
      <c r="D179" s="512">
        <v>0</v>
      </c>
      <c r="E179" s="508">
        <v>0</v>
      </c>
      <c r="F179" s="508">
        <v>0</v>
      </c>
      <c r="G179" s="508">
        <v>0</v>
      </c>
      <c r="H179" s="508">
        <v>0</v>
      </c>
      <c r="I179" s="508">
        <v>0</v>
      </c>
      <c r="J179" s="508">
        <v>0</v>
      </c>
      <c r="K179" s="508">
        <v>0</v>
      </c>
      <c r="L179" s="508">
        <v>0</v>
      </c>
      <c r="M179" s="509">
        <v>0</v>
      </c>
      <c r="N179" s="506"/>
      <c r="P179" s="510">
        <f t="shared" si="4"/>
        <v>0</v>
      </c>
      <c r="Q179" s="514"/>
      <c r="T179" s="522">
        <v>0</v>
      </c>
      <c r="U179" s="523">
        <f t="shared" si="5"/>
        <v>0</v>
      </c>
    </row>
    <row r="180" spans="1:21">
      <c r="A180" s="506" t="s">
        <v>603</v>
      </c>
      <c r="B180" s="506" t="s">
        <v>98</v>
      </c>
      <c r="C180" s="506" t="s">
        <v>99</v>
      </c>
      <c r="D180" s="512">
        <v>0</v>
      </c>
      <c r="E180" s="508">
        <v>0</v>
      </c>
      <c r="F180" s="508">
        <v>0</v>
      </c>
      <c r="G180" s="508">
        <v>0</v>
      </c>
      <c r="H180" s="508">
        <v>0</v>
      </c>
      <c r="I180" s="508">
        <v>0</v>
      </c>
      <c r="J180" s="508">
        <v>0</v>
      </c>
      <c r="K180" s="508">
        <v>0</v>
      </c>
      <c r="L180" s="508">
        <v>0</v>
      </c>
      <c r="M180" s="509">
        <v>0</v>
      </c>
      <c r="N180" s="506"/>
      <c r="P180" s="510">
        <f t="shared" si="4"/>
        <v>0</v>
      </c>
      <c r="Q180" s="514"/>
      <c r="T180" s="522">
        <v>0</v>
      </c>
      <c r="U180" s="523">
        <f t="shared" si="5"/>
        <v>0</v>
      </c>
    </row>
    <row r="181" spans="1:21">
      <c r="A181" s="506" t="s">
        <v>601</v>
      </c>
      <c r="B181" s="506" t="s">
        <v>82</v>
      </c>
      <c r="C181" s="506" t="s">
        <v>83</v>
      </c>
      <c r="D181" s="512">
        <v>93</v>
      </c>
      <c r="E181" s="508">
        <v>103</v>
      </c>
      <c r="F181" s="508">
        <v>104</v>
      </c>
      <c r="G181" s="508">
        <v>100</v>
      </c>
      <c r="H181" s="508">
        <v>101</v>
      </c>
      <c r="I181" s="508">
        <v>105</v>
      </c>
      <c r="J181" s="508">
        <v>105</v>
      </c>
      <c r="K181" s="508">
        <v>108</v>
      </c>
      <c r="L181" s="508">
        <v>106</v>
      </c>
      <c r="M181" s="509">
        <v>104</v>
      </c>
      <c r="N181" s="506"/>
      <c r="P181" s="510">
        <f t="shared" si="4"/>
        <v>104</v>
      </c>
      <c r="Q181" s="514"/>
      <c r="T181" s="522">
        <v>104</v>
      </c>
      <c r="U181" s="523">
        <f t="shared" si="5"/>
        <v>0</v>
      </c>
    </row>
    <row r="182" spans="1:21">
      <c r="A182" s="506" t="s">
        <v>601</v>
      </c>
      <c r="B182" s="506" t="s">
        <v>323</v>
      </c>
      <c r="C182" s="506" t="s">
        <v>324</v>
      </c>
      <c r="D182" s="512">
        <v>66</v>
      </c>
      <c r="E182" s="508">
        <v>90</v>
      </c>
      <c r="F182" s="508">
        <v>82</v>
      </c>
      <c r="G182" s="508">
        <v>82</v>
      </c>
      <c r="H182" s="508">
        <v>83</v>
      </c>
      <c r="I182" s="508">
        <v>86</v>
      </c>
      <c r="J182" s="508">
        <v>80</v>
      </c>
      <c r="K182" s="508">
        <v>79</v>
      </c>
      <c r="L182" s="508">
        <v>79</v>
      </c>
      <c r="M182" s="509">
        <v>82.63</v>
      </c>
      <c r="N182" s="506"/>
      <c r="P182" s="510">
        <f t="shared" si="4"/>
        <v>82.63</v>
      </c>
      <c r="Q182" s="514"/>
      <c r="T182" s="522">
        <v>82.63</v>
      </c>
      <c r="U182" s="523">
        <f t="shared" si="5"/>
        <v>0</v>
      </c>
    </row>
    <row r="183" spans="1:21">
      <c r="A183" s="506" t="s">
        <v>597</v>
      </c>
      <c r="B183" s="506" t="s">
        <v>355</v>
      </c>
      <c r="C183" s="506" t="s">
        <v>356</v>
      </c>
      <c r="D183" s="512">
        <v>25</v>
      </c>
      <c r="E183" s="508">
        <v>34</v>
      </c>
      <c r="F183" s="508">
        <v>34</v>
      </c>
      <c r="G183" s="508">
        <v>36</v>
      </c>
      <c r="H183" s="508">
        <v>37</v>
      </c>
      <c r="I183" s="508">
        <v>35</v>
      </c>
      <c r="J183" s="508">
        <v>35</v>
      </c>
      <c r="K183" s="508">
        <v>33</v>
      </c>
      <c r="L183" s="508">
        <v>36</v>
      </c>
      <c r="M183" s="509">
        <v>35</v>
      </c>
      <c r="N183" s="506"/>
      <c r="P183" s="510">
        <f t="shared" si="4"/>
        <v>35</v>
      </c>
      <c r="Q183" s="514"/>
      <c r="T183" s="522">
        <v>35</v>
      </c>
      <c r="U183" s="523">
        <f t="shared" si="5"/>
        <v>0</v>
      </c>
    </row>
    <row r="184" spans="1:21">
      <c r="A184" s="506" t="s">
        <v>596</v>
      </c>
      <c r="B184" s="506" t="s">
        <v>4</v>
      </c>
      <c r="C184" s="506" t="s">
        <v>5</v>
      </c>
      <c r="D184" s="512">
        <v>1174</v>
      </c>
      <c r="E184" s="508">
        <v>1411</v>
      </c>
      <c r="F184" s="508">
        <v>1422</v>
      </c>
      <c r="G184" s="508">
        <v>1383</v>
      </c>
      <c r="H184" s="508">
        <v>1355</v>
      </c>
      <c r="I184" s="508">
        <v>1359</v>
      </c>
      <c r="J184" s="508">
        <v>1354</v>
      </c>
      <c r="K184" s="508">
        <v>1345</v>
      </c>
      <c r="L184" s="508">
        <v>1350</v>
      </c>
      <c r="M184" s="509">
        <v>1372.38</v>
      </c>
      <c r="N184" s="506"/>
      <c r="P184" s="510">
        <f t="shared" si="4"/>
        <v>1372.38</v>
      </c>
      <c r="Q184" s="514"/>
      <c r="T184" s="522">
        <v>1372.38</v>
      </c>
      <c r="U184" s="523">
        <f t="shared" si="5"/>
        <v>0</v>
      </c>
    </row>
    <row r="185" spans="1:21">
      <c r="A185" s="506" t="s">
        <v>601</v>
      </c>
      <c r="B185" s="506" t="s">
        <v>86</v>
      </c>
      <c r="C185" s="506" t="s">
        <v>87</v>
      </c>
      <c r="D185" s="512">
        <v>14</v>
      </c>
      <c r="E185" s="508">
        <v>14</v>
      </c>
      <c r="F185" s="508">
        <v>14</v>
      </c>
      <c r="G185" s="508">
        <v>14</v>
      </c>
      <c r="H185" s="508">
        <v>14</v>
      </c>
      <c r="I185" s="508">
        <v>14</v>
      </c>
      <c r="J185" s="508">
        <v>15</v>
      </c>
      <c r="K185" s="508">
        <v>14</v>
      </c>
      <c r="L185" s="508">
        <v>14</v>
      </c>
      <c r="M185" s="509">
        <v>14.13</v>
      </c>
      <c r="N185" s="506"/>
      <c r="P185" s="510">
        <f t="shared" si="4"/>
        <v>14.13</v>
      </c>
      <c r="Q185" s="514"/>
      <c r="T185" s="522">
        <v>14.13</v>
      </c>
      <c r="U185" s="523">
        <f t="shared" si="5"/>
        <v>0</v>
      </c>
    </row>
    <row r="186" spans="1:21">
      <c r="A186" s="506" t="s">
        <v>603</v>
      </c>
      <c r="B186" s="506" t="s">
        <v>527</v>
      </c>
      <c r="C186" s="506" t="s">
        <v>528</v>
      </c>
      <c r="D186" s="512">
        <v>0</v>
      </c>
      <c r="E186" s="508">
        <v>0</v>
      </c>
      <c r="F186" s="508">
        <v>0</v>
      </c>
      <c r="G186" s="508">
        <v>0</v>
      </c>
      <c r="H186" s="508">
        <v>0</v>
      </c>
      <c r="I186" s="508">
        <v>0</v>
      </c>
      <c r="J186" s="508">
        <v>0</v>
      </c>
      <c r="K186" s="508">
        <v>0</v>
      </c>
      <c r="L186" s="508">
        <v>0</v>
      </c>
      <c r="M186" s="509">
        <v>0</v>
      </c>
      <c r="N186" s="506"/>
      <c r="P186" s="510">
        <f t="shared" si="4"/>
        <v>0</v>
      </c>
      <c r="Q186" s="514"/>
      <c r="T186" s="522">
        <v>0</v>
      </c>
      <c r="U186" s="523">
        <f t="shared" si="5"/>
        <v>0</v>
      </c>
    </row>
    <row r="187" spans="1:21">
      <c r="A187" s="506" t="s">
        <v>596</v>
      </c>
      <c r="B187" s="506" t="s">
        <v>104</v>
      </c>
      <c r="C187" s="506" t="s">
        <v>105</v>
      </c>
      <c r="D187" s="512">
        <v>4915</v>
      </c>
      <c r="E187" s="508">
        <v>5249</v>
      </c>
      <c r="F187" s="508">
        <v>5331</v>
      </c>
      <c r="G187" s="508">
        <v>5304</v>
      </c>
      <c r="H187" s="508">
        <v>5259</v>
      </c>
      <c r="I187" s="508">
        <v>5257</v>
      </c>
      <c r="J187" s="508">
        <v>5262</v>
      </c>
      <c r="K187" s="508">
        <v>5265</v>
      </c>
      <c r="L187" s="508">
        <v>5264</v>
      </c>
      <c r="M187" s="509">
        <v>5273.88</v>
      </c>
      <c r="N187" s="506"/>
      <c r="P187" s="510">
        <f t="shared" si="4"/>
        <v>5273.88</v>
      </c>
      <c r="Q187" s="514"/>
      <c r="T187" s="522">
        <v>5273.88</v>
      </c>
      <c r="U187" s="523">
        <f t="shared" si="5"/>
        <v>0</v>
      </c>
    </row>
    <row r="188" spans="1:21">
      <c r="A188" s="506" t="s">
        <v>601</v>
      </c>
      <c r="B188" s="506" t="s">
        <v>317</v>
      </c>
      <c r="C188" s="506" t="s">
        <v>318</v>
      </c>
      <c r="D188" s="512">
        <v>30</v>
      </c>
      <c r="E188" s="508">
        <v>31</v>
      </c>
      <c r="F188" s="508">
        <v>27</v>
      </c>
      <c r="G188" s="508">
        <v>28</v>
      </c>
      <c r="H188" s="508">
        <v>29</v>
      </c>
      <c r="I188" s="508">
        <v>31</v>
      </c>
      <c r="J188" s="508">
        <v>31</v>
      </c>
      <c r="K188" s="508">
        <v>33</v>
      </c>
      <c r="L188" s="508">
        <v>33</v>
      </c>
      <c r="M188" s="509">
        <v>30.38</v>
      </c>
      <c r="N188" s="506"/>
      <c r="P188" s="510">
        <f t="shared" si="4"/>
        <v>30.38</v>
      </c>
      <c r="Q188" s="514"/>
      <c r="T188" s="522">
        <v>30.38</v>
      </c>
      <c r="U188" s="523">
        <f t="shared" si="5"/>
        <v>0</v>
      </c>
    </row>
    <row r="189" spans="1:21">
      <c r="A189" s="506" t="s">
        <v>596</v>
      </c>
      <c r="B189" s="506" t="s">
        <v>16</v>
      </c>
      <c r="C189" s="506" t="s">
        <v>17</v>
      </c>
      <c r="D189" s="512">
        <v>32</v>
      </c>
      <c r="E189" s="508">
        <v>37</v>
      </c>
      <c r="F189" s="508">
        <v>39</v>
      </c>
      <c r="G189" s="508">
        <v>40</v>
      </c>
      <c r="H189" s="508">
        <v>40</v>
      </c>
      <c r="I189" s="508">
        <v>40</v>
      </c>
      <c r="J189" s="508">
        <v>40</v>
      </c>
      <c r="K189" s="508">
        <v>40</v>
      </c>
      <c r="L189" s="508">
        <v>40</v>
      </c>
      <c r="M189" s="509">
        <v>39.5</v>
      </c>
      <c r="N189" s="506"/>
      <c r="P189" s="510">
        <f t="shared" si="4"/>
        <v>39.5</v>
      </c>
      <c r="Q189" s="514"/>
      <c r="T189" s="522">
        <v>39.5</v>
      </c>
      <c r="U189" s="523">
        <f t="shared" si="5"/>
        <v>0</v>
      </c>
    </row>
    <row r="190" spans="1:21">
      <c r="A190" s="506" t="s">
        <v>594</v>
      </c>
      <c r="B190" s="506" t="s">
        <v>272</v>
      </c>
      <c r="C190" s="506" t="s">
        <v>273</v>
      </c>
      <c r="D190" s="512">
        <v>0</v>
      </c>
      <c r="E190" s="508">
        <v>0</v>
      </c>
      <c r="F190" s="508">
        <v>0</v>
      </c>
      <c r="G190" s="508">
        <v>0</v>
      </c>
      <c r="H190" s="508">
        <v>0</v>
      </c>
      <c r="I190" s="508">
        <v>0</v>
      </c>
      <c r="J190" s="508">
        <v>0</v>
      </c>
      <c r="K190" s="508">
        <v>0</v>
      </c>
      <c r="L190" s="508">
        <v>0</v>
      </c>
      <c r="M190" s="509">
        <v>0</v>
      </c>
      <c r="N190" s="506"/>
      <c r="P190" s="510">
        <f t="shared" si="4"/>
        <v>0</v>
      </c>
      <c r="Q190" s="514"/>
      <c r="T190" s="522">
        <v>0</v>
      </c>
      <c r="U190" s="523">
        <f t="shared" si="5"/>
        <v>0</v>
      </c>
    </row>
    <row r="191" spans="1:21">
      <c r="A191" s="506" t="s">
        <v>597</v>
      </c>
      <c r="B191" s="506" t="s">
        <v>359</v>
      </c>
      <c r="C191" s="506" t="s">
        <v>360</v>
      </c>
      <c r="D191" s="512">
        <v>36</v>
      </c>
      <c r="E191" s="508">
        <v>45</v>
      </c>
      <c r="F191" s="508">
        <v>47</v>
      </c>
      <c r="G191" s="508">
        <v>50</v>
      </c>
      <c r="H191" s="508">
        <v>50</v>
      </c>
      <c r="I191" s="508">
        <v>51</v>
      </c>
      <c r="J191" s="508">
        <v>51</v>
      </c>
      <c r="K191" s="508">
        <v>52</v>
      </c>
      <c r="L191" s="508">
        <v>53</v>
      </c>
      <c r="M191" s="509">
        <v>49.88</v>
      </c>
      <c r="N191" s="506"/>
      <c r="P191" s="510">
        <f t="shared" si="4"/>
        <v>49.88</v>
      </c>
      <c r="Q191" s="514"/>
      <c r="T191" s="522">
        <v>49.88</v>
      </c>
      <c r="U191" s="523">
        <f t="shared" si="5"/>
        <v>0</v>
      </c>
    </row>
    <row r="192" spans="1:21">
      <c r="A192" s="506" t="s">
        <v>594</v>
      </c>
      <c r="B192" s="506" t="s">
        <v>303</v>
      </c>
      <c r="C192" s="506" t="s">
        <v>304</v>
      </c>
      <c r="D192" s="512">
        <v>0</v>
      </c>
      <c r="E192" s="508">
        <v>0</v>
      </c>
      <c r="F192" s="508">
        <v>0</v>
      </c>
      <c r="G192" s="508">
        <v>0</v>
      </c>
      <c r="H192" s="508">
        <v>0</v>
      </c>
      <c r="I192" s="508">
        <v>0</v>
      </c>
      <c r="J192" s="508">
        <v>0</v>
      </c>
      <c r="K192" s="508">
        <v>0</v>
      </c>
      <c r="L192" s="508">
        <v>0</v>
      </c>
      <c r="M192" s="509">
        <v>0</v>
      </c>
      <c r="N192" s="506"/>
      <c r="P192" s="510">
        <f t="shared" si="4"/>
        <v>0</v>
      </c>
      <c r="Q192" s="514"/>
      <c r="T192" s="522">
        <v>0</v>
      </c>
      <c r="U192" s="523">
        <f t="shared" si="5"/>
        <v>0</v>
      </c>
    </row>
    <row r="193" spans="1:21">
      <c r="A193" s="506" t="s">
        <v>596</v>
      </c>
      <c r="B193" s="506" t="s">
        <v>112</v>
      </c>
      <c r="C193" s="506" t="s">
        <v>113</v>
      </c>
      <c r="D193" s="512">
        <v>2</v>
      </c>
      <c r="E193" s="508">
        <v>2</v>
      </c>
      <c r="F193" s="508">
        <v>2</v>
      </c>
      <c r="G193" s="508">
        <v>2</v>
      </c>
      <c r="H193" s="508">
        <v>2</v>
      </c>
      <c r="I193" s="508">
        <v>2</v>
      </c>
      <c r="J193" s="508">
        <v>1</v>
      </c>
      <c r="K193" s="508">
        <v>1</v>
      </c>
      <c r="L193" s="508">
        <v>2</v>
      </c>
      <c r="M193" s="509">
        <v>1.75</v>
      </c>
      <c r="N193" s="506"/>
      <c r="P193" s="510">
        <f t="shared" si="4"/>
        <v>1.75</v>
      </c>
      <c r="Q193" s="514"/>
      <c r="T193" s="522">
        <v>1.75</v>
      </c>
      <c r="U193" s="523">
        <f t="shared" si="5"/>
        <v>0</v>
      </c>
    </row>
    <row r="194" spans="1:21">
      <c r="A194" s="506" t="s">
        <v>600</v>
      </c>
      <c r="B194" s="506" t="s">
        <v>39</v>
      </c>
      <c r="C194" s="506" t="s">
        <v>40</v>
      </c>
      <c r="D194" s="512">
        <v>37</v>
      </c>
      <c r="E194" s="508">
        <v>40</v>
      </c>
      <c r="F194" s="508">
        <v>39</v>
      </c>
      <c r="G194" s="508">
        <v>37</v>
      </c>
      <c r="H194" s="508">
        <v>39</v>
      </c>
      <c r="I194" s="508">
        <v>40</v>
      </c>
      <c r="J194" s="508">
        <v>40</v>
      </c>
      <c r="K194" s="508">
        <v>40</v>
      </c>
      <c r="L194" s="508">
        <v>40</v>
      </c>
      <c r="M194" s="509">
        <v>39.380000000000003</v>
      </c>
      <c r="N194" s="506"/>
      <c r="P194" s="510">
        <f t="shared" ref="P194:P257" si="6">SUM(M194:O194)</f>
        <v>39.380000000000003</v>
      </c>
      <c r="Q194" s="513"/>
      <c r="T194" s="522">
        <v>39.380000000000003</v>
      </c>
      <c r="U194" s="523">
        <f t="shared" si="5"/>
        <v>0</v>
      </c>
    </row>
    <row r="195" spans="1:21">
      <c r="A195" s="506" t="s">
        <v>600</v>
      </c>
      <c r="B195" s="506" t="s">
        <v>171</v>
      </c>
      <c r="C195" s="506" t="s">
        <v>172</v>
      </c>
      <c r="D195" s="512">
        <v>8</v>
      </c>
      <c r="E195" s="508">
        <v>12</v>
      </c>
      <c r="F195" s="508">
        <v>12</v>
      </c>
      <c r="G195" s="508">
        <v>12</v>
      </c>
      <c r="H195" s="508">
        <v>12</v>
      </c>
      <c r="I195" s="508">
        <v>11</v>
      </c>
      <c r="J195" s="508">
        <v>11</v>
      </c>
      <c r="K195" s="508">
        <v>10</v>
      </c>
      <c r="L195" s="508">
        <v>13</v>
      </c>
      <c r="M195" s="509">
        <v>11.63</v>
      </c>
      <c r="N195" s="506"/>
      <c r="P195" s="510">
        <f t="shared" si="6"/>
        <v>11.63</v>
      </c>
      <c r="Q195" s="513"/>
      <c r="T195" s="522">
        <v>11.63</v>
      </c>
      <c r="U195" s="523">
        <f t="shared" ref="U195:U258" si="7">T195-M195</f>
        <v>0</v>
      </c>
    </row>
    <row r="196" spans="1:21">
      <c r="A196" s="506" t="s">
        <v>596</v>
      </c>
      <c r="B196" s="506" t="s">
        <v>502</v>
      </c>
      <c r="C196" s="506" t="s">
        <v>503</v>
      </c>
      <c r="D196" s="512">
        <v>37</v>
      </c>
      <c r="E196" s="508">
        <v>55</v>
      </c>
      <c r="F196" s="508">
        <v>55</v>
      </c>
      <c r="G196" s="508">
        <v>55</v>
      </c>
      <c r="H196" s="508">
        <v>57</v>
      </c>
      <c r="I196" s="508">
        <v>54</v>
      </c>
      <c r="J196" s="508">
        <v>53</v>
      </c>
      <c r="K196" s="508">
        <v>49</v>
      </c>
      <c r="L196" s="508">
        <v>50</v>
      </c>
      <c r="M196" s="509">
        <v>53.5</v>
      </c>
      <c r="N196" s="506"/>
      <c r="P196" s="510">
        <f t="shared" si="6"/>
        <v>53.5</v>
      </c>
      <c r="Q196" s="514"/>
      <c r="T196" s="522">
        <v>53.5</v>
      </c>
      <c r="U196" s="523">
        <f t="shared" si="7"/>
        <v>0</v>
      </c>
    </row>
    <row r="197" spans="1:21">
      <c r="A197" s="506" t="s">
        <v>596</v>
      </c>
      <c r="B197" s="506" t="s">
        <v>21</v>
      </c>
      <c r="C197" s="506" t="s">
        <v>22</v>
      </c>
      <c r="D197" s="512">
        <v>538</v>
      </c>
      <c r="E197" s="508">
        <v>584</v>
      </c>
      <c r="F197" s="508">
        <v>586</v>
      </c>
      <c r="G197" s="508">
        <v>580</v>
      </c>
      <c r="H197" s="508">
        <v>580</v>
      </c>
      <c r="I197" s="508">
        <v>578</v>
      </c>
      <c r="J197" s="508">
        <v>580</v>
      </c>
      <c r="K197" s="508">
        <v>578</v>
      </c>
      <c r="L197" s="508">
        <v>584</v>
      </c>
      <c r="M197" s="509">
        <v>581.25</v>
      </c>
      <c r="N197" s="506"/>
      <c r="P197" s="510">
        <f t="shared" si="6"/>
        <v>581.25</v>
      </c>
      <c r="Q197" s="514"/>
      <c r="T197" s="522">
        <v>581.25</v>
      </c>
      <c r="U197" s="523">
        <f t="shared" si="7"/>
        <v>0</v>
      </c>
    </row>
    <row r="198" spans="1:21">
      <c r="A198" s="506" t="s">
        <v>603</v>
      </c>
      <c r="B198" s="506" t="s">
        <v>523</v>
      </c>
      <c r="C198" s="506" t="s">
        <v>524</v>
      </c>
      <c r="D198" s="512">
        <v>74</v>
      </c>
      <c r="E198" s="508">
        <v>89</v>
      </c>
      <c r="F198" s="508">
        <v>90</v>
      </c>
      <c r="G198" s="508">
        <v>90</v>
      </c>
      <c r="H198" s="508">
        <v>91</v>
      </c>
      <c r="I198" s="508">
        <v>94</v>
      </c>
      <c r="J198" s="508">
        <v>94</v>
      </c>
      <c r="K198" s="508">
        <v>95</v>
      </c>
      <c r="L198" s="508">
        <v>98</v>
      </c>
      <c r="M198" s="509">
        <v>92.63</v>
      </c>
      <c r="N198" s="506"/>
      <c r="P198" s="510">
        <f t="shared" si="6"/>
        <v>92.63</v>
      </c>
      <c r="Q198" s="514"/>
      <c r="T198" s="522">
        <v>92.63</v>
      </c>
      <c r="U198" s="523">
        <f t="shared" si="7"/>
        <v>0</v>
      </c>
    </row>
    <row r="199" spans="1:21">
      <c r="A199" s="506" t="s">
        <v>597</v>
      </c>
      <c r="B199" s="506" t="s">
        <v>343</v>
      </c>
      <c r="C199" s="506" t="s">
        <v>344</v>
      </c>
      <c r="D199" s="512">
        <v>536</v>
      </c>
      <c r="E199" s="508">
        <v>616</v>
      </c>
      <c r="F199" s="508">
        <v>620</v>
      </c>
      <c r="G199" s="508">
        <v>635</v>
      </c>
      <c r="H199" s="508">
        <v>635</v>
      </c>
      <c r="I199" s="508">
        <v>634</v>
      </c>
      <c r="J199" s="508">
        <v>646</v>
      </c>
      <c r="K199" s="508">
        <v>646</v>
      </c>
      <c r="L199" s="508">
        <v>651</v>
      </c>
      <c r="M199" s="509">
        <v>635.38</v>
      </c>
      <c r="N199" s="506"/>
      <c r="P199" s="510">
        <f t="shared" si="6"/>
        <v>635.38</v>
      </c>
      <c r="Q199" s="514"/>
      <c r="T199" s="522">
        <v>635.38</v>
      </c>
      <c r="U199" s="523">
        <f t="shared" si="7"/>
        <v>0</v>
      </c>
    </row>
    <row r="200" spans="1:21">
      <c r="A200" s="506" t="s">
        <v>600</v>
      </c>
      <c r="B200" s="506" t="s">
        <v>163</v>
      </c>
      <c r="C200" s="506" t="s">
        <v>164</v>
      </c>
      <c r="D200" s="512">
        <v>0</v>
      </c>
      <c r="E200" s="508">
        <v>0</v>
      </c>
      <c r="F200" s="508">
        <v>0</v>
      </c>
      <c r="G200" s="508">
        <v>0</v>
      </c>
      <c r="H200" s="508">
        <v>0</v>
      </c>
      <c r="I200" s="508">
        <v>0</v>
      </c>
      <c r="J200" s="508">
        <v>0</v>
      </c>
      <c r="K200" s="508">
        <v>0</v>
      </c>
      <c r="L200" s="508">
        <v>0</v>
      </c>
      <c r="M200" s="509">
        <v>0</v>
      </c>
      <c r="N200" s="506"/>
      <c r="P200" s="510">
        <f t="shared" si="6"/>
        <v>0</v>
      </c>
      <c r="Q200" s="514"/>
      <c r="T200" s="522">
        <v>0</v>
      </c>
      <c r="U200" s="523">
        <f t="shared" si="7"/>
        <v>0</v>
      </c>
    </row>
    <row r="201" spans="1:21">
      <c r="A201" s="506" t="s">
        <v>600</v>
      </c>
      <c r="B201" s="506" t="s">
        <v>167</v>
      </c>
      <c r="C201" s="506" t="s">
        <v>168</v>
      </c>
      <c r="D201" s="512">
        <v>0</v>
      </c>
      <c r="E201" s="508">
        <v>0</v>
      </c>
      <c r="F201" s="508">
        <v>0</v>
      </c>
      <c r="G201" s="508">
        <v>0</v>
      </c>
      <c r="H201" s="508">
        <v>0</v>
      </c>
      <c r="I201" s="508">
        <v>0</v>
      </c>
      <c r="J201" s="508">
        <v>0</v>
      </c>
      <c r="K201" s="508">
        <v>0</v>
      </c>
      <c r="L201" s="508">
        <v>0</v>
      </c>
      <c r="M201" s="509">
        <v>0</v>
      </c>
      <c r="N201" s="506"/>
      <c r="P201" s="510">
        <f t="shared" si="6"/>
        <v>0</v>
      </c>
      <c r="Q201" s="514"/>
      <c r="T201" s="522">
        <v>0</v>
      </c>
      <c r="U201" s="523">
        <f t="shared" si="7"/>
        <v>0</v>
      </c>
    </row>
    <row r="202" spans="1:21">
      <c r="A202" s="506" t="s">
        <v>600</v>
      </c>
      <c r="B202" s="506" t="s">
        <v>47</v>
      </c>
      <c r="C202" s="506" t="s">
        <v>48</v>
      </c>
      <c r="D202" s="512">
        <v>105</v>
      </c>
      <c r="E202" s="508">
        <v>109</v>
      </c>
      <c r="F202" s="508">
        <v>112</v>
      </c>
      <c r="G202" s="508">
        <v>111</v>
      </c>
      <c r="H202" s="508">
        <v>108</v>
      </c>
      <c r="I202" s="508">
        <v>108</v>
      </c>
      <c r="J202" s="508">
        <v>107</v>
      </c>
      <c r="K202" s="508">
        <v>105</v>
      </c>
      <c r="L202" s="508">
        <v>104</v>
      </c>
      <c r="M202" s="509">
        <v>108</v>
      </c>
      <c r="N202" s="506"/>
      <c r="P202" s="510">
        <f t="shared" si="6"/>
        <v>108</v>
      </c>
      <c r="Q202" s="514"/>
      <c r="T202" s="522">
        <v>108</v>
      </c>
      <c r="U202" s="523">
        <f t="shared" si="7"/>
        <v>0</v>
      </c>
    </row>
    <row r="203" spans="1:21">
      <c r="A203" s="506" t="s">
        <v>594</v>
      </c>
      <c r="B203" s="506" t="s">
        <v>145</v>
      </c>
      <c r="C203" s="506" t="s">
        <v>146</v>
      </c>
      <c r="D203" s="512">
        <v>31</v>
      </c>
      <c r="E203" s="508">
        <v>31</v>
      </c>
      <c r="F203" s="508">
        <v>31</v>
      </c>
      <c r="G203" s="508">
        <v>31</v>
      </c>
      <c r="H203" s="508">
        <v>31</v>
      </c>
      <c r="I203" s="508">
        <v>31</v>
      </c>
      <c r="J203" s="508">
        <v>30</v>
      </c>
      <c r="K203" s="508">
        <v>31</v>
      </c>
      <c r="L203" s="508">
        <v>32</v>
      </c>
      <c r="M203" s="509">
        <v>31</v>
      </c>
      <c r="N203" s="506"/>
      <c r="P203" s="510">
        <f t="shared" si="6"/>
        <v>31</v>
      </c>
      <c r="Q203" s="514"/>
      <c r="T203" s="522">
        <v>31</v>
      </c>
      <c r="U203" s="523">
        <f t="shared" si="7"/>
        <v>0</v>
      </c>
    </row>
    <row r="204" spans="1:21">
      <c r="A204" s="506" t="s">
        <v>601</v>
      </c>
      <c r="B204" s="506" t="s">
        <v>116</v>
      </c>
      <c r="C204" s="506" t="s">
        <v>117</v>
      </c>
      <c r="D204" s="512">
        <v>850</v>
      </c>
      <c r="E204" s="508">
        <v>938</v>
      </c>
      <c r="F204" s="508">
        <v>938</v>
      </c>
      <c r="G204" s="508">
        <v>927</v>
      </c>
      <c r="H204" s="508">
        <v>935</v>
      </c>
      <c r="I204" s="508">
        <v>924</v>
      </c>
      <c r="J204" s="508">
        <v>911</v>
      </c>
      <c r="K204" s="508">
        <v>922</v>
      </c>
      <c r="L204" s="508">
        <v>911</v>
      </c>
      <c r="M204" s="509">
        <v>925.75</v>
      </c>
      <c r="N204" s="506"/>
      <c r="P204" s="510">
        <f t="shared" si="6"/>
        <v>925.75</v>
      </c>
      <c r="Q204" s="514"/>
      <c r="T204" s="522">
        <v>925.75</v>
      </c>
      <c r="U204" s="523">
        <f t="shared" si="7"/>
        <v>0</v>
      </c>
    </row>
    <row r="205" spans="1:21">
      <c r="A205" s="506" t="s">
        <v>594</v>
      </c>
      <c r="B205" s="506" t="s">
        <v>480</v>
      </c>
      <c r="C205" s="506" t="s">
        <v>481</v>
      </c>
      <c r="D205" s="512">
        <v>0</v>
      </c>
      <c r="E205" s="508">
        <v>0</v>
      </c>
      <c r="F205" s="508">
        <v>0</v>
      </c>
      <c r="G205" s="508">
        <v>0</v>
      </c>
      <c r="H205" s="508">
        <v>0</v>
      </c>
      <c r="I205" s="508">
        <v>0</v>
      </c>
      <c r="J205" s="508">
        <v>0</v>
      </c>
      <c r="K205" s="508">
        <v>0</v>
      </c>
      <c r="L205" s="508">
        <v>0</v>
      </c>
      <c r="M205" s="509">
        <v>0</v>
      </c>
      <c r="N205" s="506"/>
      <c r="P205" s="510">
        <f t="shared" si="6"/>
        <v>0</v>
      </c>
      <c r="Q205" s="514"/>
      <c r="T205" s="522">
        <v>0</v>
      </c>
      <c r="U205" s="523">
        <f t="shared" si="7"/>
        <v>0</v>
      </c>
    </row>
    <row r="206" spans="1:21">
      <c r="A206" s="506" t="s">
        <v>594</v>
      </c>
      <c r="B206" s="506" t="s">
        <v>327</v>
      </c>
      <c r="C206" s="506" t="s">
        <v>328</v>
      </c>
      <c r="D206" s="512">
        <v>46</v>
      </c>
      <c r="E206" s="508">
        <v>55</v>
      </c>
      <c r="F206" s="508">
        <v>54</v>
      </c>
      <c r="G206" s="508">
        <v>55</v>
      </c>
      <c r="H206" s="508">
        <v>55</v>
      </c>
      <c r="I206" s="508">
        <v>59</v>
      </c>
      <c r="J206" s="508">
        <v>57</v>
      </c>
      <c r="K206" s="508">
        <v>59</v>
      </c>
      <c r="L206" s="508">
        <v>59</v>
      </c>
      <c r="M206" s="509">
        <v>56.63</v>
      </c>
      <c r="N206" s="506"/>
      <c r="P206" s="510">
        <f t="shared" si="6"/>
        <v>56.63</v>
      </c>
      <c r="Q206" s="514"/>
      <c r="T206" s="522">
        <v>56.63</v>
      </c>
      <c r="U206" s="523">
        <f t="shared" si="7"/>
        <v>0</v>
      </c>
    </row>
    <row r="207" spans="1:21">
      <c r="A207" s="506" t="s">
        <v>603</v>
      </c>
      <c r="B207" s="506" t="s">
        <v>282</v>
      </c>
      <c r="C207" s="506" t="s">
        <v>665</v>
      </c>
      <c r="D207" s="512">
        <v>0</v>
      </c>
      <c r="E207" s="508">
        <v>0</v>
      </c>
      <c r="F207" s="508">
        <v>0</v>
      </c>
      <c r="G207" s="508">
        <v>0</v>
      </c>
      <c r="H207" s="508">
        <v>23</v>
      </c>
      <c r="I207" s="508">
        <v>22</v>
      </c>
      <c r="J207" s="508">
        <v>22</v>
      </c>
      <c r="K207" s="508">
        <v>22</v>
      </c>
      <c r="L207" s="508">
        <v>22</v>
      </c>
      <c r="M207" s="509">
        <v>13.88</v>
      </c>
      <c r="N207" s="506"/>
      <c r="P207" s="510">
        <f t="shared" si="6"/>
        <v>13.88</v>
      </c>
      <c r="Q207" s="514"/>
      <c r="T207" s="522">
        <v>13.88</v>
      </c>
      <c r="U207" s="523">
        <f t="shared" si="7"/>
        <v>0</v>
      </c>
    </row>
    <row r="208" spans="1:21">
      <c r="A208" s="506" t="s">
        <v>597</v>
      </c>
      <c r="B208" s="506" t="s">
        <v>185</v>
      </c>
      <c r="C208" s="506" t="s">
        <v>186</v>
      </c>
      <c r="D208" s="512">
        <v>1952</v>
      </c>
      <c r="E208" s="508">
        <v>1815</v>
      </c>
      <c r="F208" s="508">
        <v>2052</v>
      </c>
      <c r="G208" s="508">
        <v>2098</v>
      </c>
      <c r="H208" s="508">
        <v>2091</v>
      </c>
      <c r="I208" s="508">
        <v>2136</v>
      </c>
      <c r="J208" s="508">
        <v>2141</v>
      </c>
      <c r="K208" s="508">
        <v>2152</v>
      </c>
      <c r="L208" s="508">
        <v>2174</v>
      </c>
      <c r="M208" s="509">
        <v>2082.38</v>
      </c>
      <c r="N208" s="506"/>
      <c r="P208" s="510">
        <f t="shared" si="6"/>
        <v>2082.38</v>
      </c>
      <c r="Q208" s="514"/>
      <c r="T208" s="522">
        <v>2082.38</v>
      </c>
      <c r="U208" s="523">
        <f t="shared" si="7"/>
        <v>0</v>
      </c>
    </row>
    <row r="209" spans="1:21">
      <c r="A209" s="506" t="s">
        <v>603</v>
      </c>
      <c r="B209" s="506" t="s">
        <v>102</v>
      </c>
      <c r="C209" s="506" t="s">
        <v>103</v>
      </c>
      <c r="D209" s="512">
        <v>0</v>
      </c>
      <c r="E209" s="508">
        <v>0</v>
      </c>
      <c r="F209" s="508">
        <v>0</v>
      </c>
      <c r="G209" s="508">
        <v>0</v>
      </c>
      <c r="H209" s="508">
        <v>0</v>
      </c>
      <c r="I209" s="508">
        <v>0</v>
      </c>
      <c r="J209" s="508">
        <v>0</v>
      </c>
      <c r="K209" s="508">
        <v>0</v>
      </c>
      <c r="L209" s="508">
        <v>0</v>
      </c>
      <c r="M209" s="509">
        <v>0</v>
      </c>
      <c r="N209" s="506"/>
      <c r="P209" s="510">
        <f t="shared" si="6"/>
        <v>0</v>
      </c>
      <c r="Q209" s="514"/>
      <c r="T209" s="522">
        <v>0</v>
      </c>
      <c r="U209" s="523">
        <f t="shared" si="7"/>
        <v>0</v>
      </c>
    </row>
    <row r="210" spans="1:21">
      <c r="A210" s="506" t="s">
        <v>596</v>
      </c>
      <c r="B210" s="506" t="s">
        <v>23</v>
      </c>
      <c r="C210" s="506" t="s">
        <v>24</v>
      </c>
      <c r="D210" s="512">
        <v>194</v>
      </c>
      <c r="E210" s="508">
        <v>261</v>
      </c>
      <c r="F210" s="508">
        <v>265</v>
      </c>
      <c r="G210" s="508">
        <v>268</v>
      </c>
      <c r="H210" s="508">
        <v>270</v>
      </c>
      <c r="I210" s="508">
        <v>275</v>
      </c>
      <c r="J210" s="508">
        <v>277</v>
      </c>
      <c r="K210" s="508">
        <v>281</v>
      </c>
      <c r="L210" s="508">
        <v>281</v>
      </c>
      <c r="M210" s="509">
        <v>272.25</v>
      </c>
      <c r="N210" s="506"/>
      <c r="P210" s="510">
        <f t="shared" si="6"/>
        <v>272.25</v>
      </c>
      <c r="Q210" s="514"/>
      <c r="T210" s="522">
        <v>272.25</v>
      </c>
      <c r="U210" s="523">
        <f t="shared" si="7"/>
        <v>0</v>
      </c>
    </row>
    <row r="211" spans="1:21">
      <c r="A211" s="506" t="s">
        <v>599</v>
      </c>
      <c r="B211" s="506" t="s">
        <v>64</v>
      </c>
      <c r="C211" s="506" t="s">
        <v>65</v>
      </c>
      <c r="D211" s="512">
        <v>50</v>
      </c>
      <c r="E211" s="508">
        <v>57</v>
      </c>
      <c r="F211" s="508">
        <v>63</v>
      </c>
      <c r="G211" s="508">
        <v>68</v>
      </c>
      <c r="H211" s="508">
        <v>64</v>
      </c>
      <c r="I211" s="508">
        <v>67</v>
      </c>
      <c r="J211" s="508">
        <v>67</v>
      </c>
      <c r="K211" s="508">
        <v>68</v>
      </c>
      <c r="L211" s="508">
        <v>70</v>
      </c>
      <c r="M211" s="509">
        <v>65.5</v>
      </c>
      <c r="N211" s="506"/>
      <c r="P211" s="510">
        <f t="shared" si="6"/>
        <v>65.5</v>
      </c>
      <c r="Q211" s="514"/>
      <c r="T211" s="522">
        <v>65.5</v>
      </c>
      <c r="U211" s="523">
        <f t="shared" si="7"/>
        <v>0</v>
      </c>
    </row>
    <row r="212" spans="1:21">
      <c r="A212" s="506" t="s">
        <v>603</v>
      </c>
      <c r="B212" s="506" t="s">
        <v>8</v>
      </c>
      <c r="C212" s="506" t="s">
        <v>9</v>
      </c>
      <c r="D212" s="512">
        <v>0</v>
      </c>
      <c r="E212" s="508">
        <v>0</v>
      </c>
      <c r="F212" s="508">
        <v>0</v>
      </c>
      <c r="G212" s="508">
        <v>0</v>
      </c>
      <c r="H212" s="508">
        <v>0</v>
      </c>
      <c r="I212" s="508">
        <v>0</v>
      </c>
      <c r="J212" s="508">
        <v>0</v>
      </c>
      <c r="K212" s="508">
        <v>0</v>
      </c>
      <c r="L212" s="508">
        <v>0</v>
      </c>
      <c r="M212" s="509">
        <v>0</v>
      </c>
      <c r="N212" s="506"/>
      <c r="P212" s="510">
        <f t="shared" si="6"/>
        <v>0</v>
      </c>
      <c r="Q212" s="514"/>
      <c r="T212" s="522">
        <v>0</v>
      </c>
      <c r="U212" s="523">
        <f t="shared" si="7"/>
        <v>0</v>
      </c>
    </row>
    <row r="213" spans="1:21">
      <c r="A213" s="506" t="s">
        <v>603</v>
      </c>
      <c r="B213" s="506" t="s">
        <v>446</v>
      </c>
      <c r="C213" s="506" t="s">
        <v>447</v>
      </c>
      <c r="D213" s="512">
        <v>9</v>
      </c>
      <c r="E213" s="508">
        <v>9</v>
      </c>
      <c r="F213" s="508">
        <v>9</v>
      </c>
      <c r="G213" s="508">
        <v>9</v>
      </c>
      <c r="H213" s="508">
        <v>8</v>
      </c>
      <c r="I213" s="508">
        <v>8</v>
      </c>
      <c r="J213" s="508">
        <v>5</v>
      </c>
      <c r="K213" s="508">
        <v>5</v>
      </c>
      <c r="L213" s="508">
        <v>7</v>
      </c>
      <c r="M213" s="509">
        <v>7.5</v>
      </c>
      <c r="N213" s="506"/>
      <c r="P213" s="510">
        <f t="shared" si="6"/>
        <v>7.5</v>
      </c>
      <c r="Q213" s="514"/>
      <c r="T213" s="522">
        <v>7.5</v>
      </c>
      <c r="U213" s="523">
        <f t="shared" si="7"/>
        <v>0</v>
      </c>
    </row>
    <row r="214" spans="1:21">
      <c r="A214" s="506" t="s">
        <v>597</v>
      </c>
      <c r="B214" s="506" t="s">
        <v>193</v>
      </c>
      <c r="C214" s="506" t="s">
        <v>194</v>
      </c>
      <c r="D214" s="512">
        <v>58</v>
      </c>
      <c r="E214" s="508">
        <v>63</v>
      </c>
      <c r="F214" s="508">
        <v>64</v>
      </c>
      <c r="G214" s="508">
        <v>64</v>
      </c>
      <c r="H214" s="508">
        <v>64</v>
      </c>
      <c r="I214" s="508">
        <v>64</v>
      </c>
      <c r="J214" s="508">
        <v>65</v>
      </c>
      <c r="K214" s="508">
        <v>62</v>
      </c>
      <c r="L214" s="508">
        <v>62</v>
      </c>
      <c r="M214" s="509">
        <v>63.5</v>
      </c>
      <c r="N214" s="506"/>
      <c r="P214" s="510">
        <f t="shared" si="6"/>
        <v>63.5</v>
      </c>
      <c r="Q214" s="514"/>
      <c r="T214" s="522">
        <v>63.5</v>
      </c>
      <c r="U214" s="523">
        <f t="shared" si="7"/>
        <v>0</v>
      </c>
    </row>
    <row r="215" spans="1:21">
      <c r="A215" s="506" t="s">
        <v>594</v>
      </c>
      <c r="B215" s="506" t="s">
        <v>484</v>
      </c>
      <c r="C215" s="506" t="s">
        <v>485</v>
      </c>
      <c r="D215" s="512">
        <v>93</v>
      </c>
      <c r="E215" s="508">
        <v>101</v>
      </c>
      <c r="F215" s="508">
        <v>105</v>
      </c>
      <c r="G215" s="508">
        <v>105</v>
      </c>
      <c r="H215" s="508">
        <v>105</v>
      </c>
      <c r="I215" s="508">
        <v>101</v>
      </c>
      <c r="J215" s="508">
        <v>100</v>
      </c>
      <c r="K215" s="508">
        <v>102</v>
      </c>
      <c r="L215" s="508">
        <v>101</v>
      </c>
      <c r="M215" s="509">
        <v>102.5</v>
      </c>
      <c r="N215" s="516">
        <v>18</v>
      </c>
      <c r="P215" s="510">
        <f t="shared" si="6"/>
        <v>120.5</v>
      </c>
      <c r="Q215" s="514"/>
      <c r="T215" s="522">
        <v>102.5</v>
      </c>
      <c r="U215" s="523">
        <f t="shared" si="7"/>
        <v>0</v>
      </c>
    </row>
    <row r="216" spans="1:21">
      <c r="A216" s="506" t="s">
        <v>599</v>
      </c>
      <c r="B216" s="506" t="s">
        <v>244</v>
      </c>
      <c r="C216" s="506" t="s">
        <v>245</v>
      </c>
      <c r="D216" s="512">
        <v>10</v>
      </c>
      <c r="E216" s="508">
        <v>10</v>
      </c>
      <c r="F216" s="508">
        <v>10</v>
      </c>
      <c r="G216" s="508">
        <v>9</v>
      </c>
      <c r="H216" s="508">
        <v>14</v>
      </c>
      <c r="I216" s="508">
        <v>14</v>
      </c>
      <c r="J216" s="508">
        <v>14</v>
      </c>
      <c r="K216" s="508">
        <v>14</v>
      </c>
      <c r="L216" s="508">
        <v>14</v>
      </c>
      <c r="M216" s="509">
        <v>12.38</v>
      </c>
      <c r="N216" s="506"/>
      <c r="P216" s="510">
        <f t="shared" si="6"/>
        <v>12.38</v>
      </c>
      <c r="Q216" s="514"/>
      <c r="T216" s="522">
        <v>12.38</v>
      </c>
      <c r="U216" s="523">
        <f t="shared" si="7"/>
        <v>0</v>
      </c>
    </row>
    <row r="217" spans="1:21">
      <c r="A217" s="506" t="s">
        <v>603</v>
      </c>
      <c r="B217" s="506" t="s">
        <v>537</v>
      </c>
      <c r="C217" s="506" t="s">
        <v>538</v>
      </c>
      <c r="D217" s="512">
        <v>0</v>
      </c>
      <c r="E217" s="508">
        <v>0</v>
      </c>
      <c r="F217" s="508">
        <v>0</v>
      </c>
      <c r="G217" s="508">
        <v>0</v>
      </c>
      <c r="H217" s="508">
        <v>0</v>
      </c>
      <c r="I217" s="508">
        <v>1</v>
      </c>
      <c r="J217" s="508">
        <v>1</v>
      </c>
      <c r="K217" s="508">
        <v>1</v>
      </c>
      <c r="L217" s="508">
        <v>1</v>
      </c>
      <c r="M217" s="509">
        <v>0.5</v>
      </c>
      <c r="N217" s="506"/>
      <c r="P217" s="510">
        <f t="shared" si="6"/>
        <v>0.5</v>
      </c>
      <c r="Q217" s="514"/>
      <c r="T217" s="522">
        <v>0.5</v>
      </c>
      <c r="U217" s="523">
        <f t="shared" si="7"/>
        <v>0</v>
      </c>
    </row>
    <row r="218" spans="1:21">
      <c r="A218" s="506" t="s">
        <v>605</v>
      </c>
      <c r="B218" s="506" t="s">
        <v>123</v>
      </c>
      <c r="C218" s="506" t="s">
        <v>124</v>
      </c>
      <c r="D218" s="512">
        <v>546</v>
      </c>
      <c r="E218" s="508">
        <v>644</v>
      </c>
      <c r="F218" s="508">
        <v>630</v>
      </c>
      <c r="G218" s="508">
        <v>622</v>
      </c>
      <c r="H218" s="508">
        <v>622</v>
      </c>
      <c r="I218" s="508">
        <v>628</v>
      </c>
      <c r="J218" s="508">
        <v>618</v>
      </c>
      <c r="K218" s="508">
        <v>620</v>
      </c>
      <c r="L218" s="508">
        <v>624</v>
      </c>
      <c r="M218" s="509">
        <v>626</v>
      </c>
      <c r="N218" s="516">
        <v>1</v>
      </c>
      <c r="P218" s="510">
        <f t="shared" si="6"/>
        <v>627</v>
      </c>
      <c r="Q218" s="514"/>
      <c r="T218" s="522">
        <v>626</v>
      </c>
      <c r="U218" s="523">
        <f t="shared" si="7"/>
        <v>0</v>
      </c>
    </row>
    <row r="219" spans="1:21">
      <c r="A219" s="506" t="s">
        <v>595</v>
      </c>
      <c r="B219" s="506" t="s">
        <v>375</v>
      </c>
      <c r="C219" s="506" t="s">
        <v>614</v>
      </c>
      <c r="D219" s="512">
        <v>0</v>
      </c>
      <c r="E219" s="508">
        <v>44</v>
      </c>
      <c r="F219" s="508">
        <v>47</v>
      </c>
      <c r="G219" s="508">
        <v>48</v>
      </c>
      <c r="H219" s="508">
        <v>48</v>
      </c>
      <c r="I219" s="508">
        <v>49</v>
      </c>
      <c r="J219" s="508">
        <v>49</v>
      </c>
      <c r="K219" s="508">
        <v>49</v>
      </c>
      <c r="L219" s="508">
        <v>50</v>
      </c>
      <c r="M219" s="509">
        <v>48</v>
      </c>
      <c r="N219" s="506"/>
      <c r="P219" s="510">
        <f t="shared" si="6"/>
        <v>48</v>
      </c>
      <c r="Q219" s="514"/>
      <c r="T219" s="522">
        <v>48</v>
      </c>
      <c r="U219" s="523">
        <f t="shared" si="7"/>
        <v>0</v>
      </c>
    </row>
    <row r="220" spans="1:21">
      <c r="A220" s="506" t="s">
        <v>594</v>
      </c>
      <c r="B220" s="506" t="s">
        <v>149</v>
      </c>
      <c r="C220" s="506" t="s">
        <v>150</v>
      </c>
      <c r="D220" s="512">
        <v>0</v>
      </c>
      <c r="E220" s="508">
        <v>0</v>
      </c>
      <c r="F220" s="508">
        <v>0</v>
      </c>
      <c r="G220" s="508">
        <v>0</v>
      </c>
      <c r="H220" s="508">
        <v>0</v>
      </c>
      <c r="I220" s="508">
        <v>0</v>
      </c>
      <c r="J220" s="508">
        <v>0</v>
      </c>
      <c r="K220" s="508">
        <v>0</v>
      </c>
      <c r="L220" s="508">
        <v>0</v>
      </c>
      <c r="M220" s="509">
        <v>0</v>
      </c>
      <c r="N220" s="506"/>
      <c r="P220" s="510">
        <f t="shared" si="6"/>
        <v>0</v>
      </c>
      <c r="Q220" s="514"/>
      <c r="T220" s="522">
        <v>0</v>
      </c>
      <c r="U220" s="523">
        <f t="shared" si="7"/>
        <v>0</v>
      </c>
    </row>
    <row r="221" spans="1:21">
      <c r="A221" s="506" t="s">
        <v>597</v>
      </c>
      <c r="B221" s="506" t="s">
        <v>173</v>
      </c>
      <c r="C221" s="506" t="s">
        <v>174</v>
      </c>
      <c r="D221" s="512">
        <v>5209</v>
      </c>
      <c r="E221" s="508">
        <v>5456</v>
      </c>
      <c r="F221" s="508">
        <v>5528</v>
      </c>
      <c r="G221" s="508">
        <v>5579</v>
      </c>
      <c r="H221" s="508">
        <v>5604</v>
      </c>
      <c r="I221" s="508">
        <v>5613</v>
      </c>
      <c r="J221" s="508">
        <v>5642</v>
      </c>
      <c r="K221" s="508">
        <v>5681</v>
      </c>
      <c r="L221" s="508">
        <v>5690</v>
      </c>
      <c r="M221" s="509">
        <v>5599.13</v>
      </c>
      <c r="N221" s="506">
        <v>181</v>
      </c>
      <c r="P221" s="510">
        <f t="shared" si="6"/>
        <v>5780.13</v>
      </c>
      <c r="Q221" s="514"/>
      <c r="T221" s="522">
        <v>5599.13</v>
      </c>
      <c r="U221" s="523">
        <f t="shared" si="7"/>
        <v>0</v>
      </c>
    </row>
    <row r="222" spans="1:21">
      <c r="A222" s="506" t="s">
        <v>595</v>
      </c>
      <c r="B222" s="506" t="s">
        <v>379</v>
      </c>
      <c r="C222" s="506" t="s">
        <v>615</v>
      </c>
      <c r="D222" s="512">
        <v>176</v>
      </c>
      <c r="E222" s="508">
        <v>195</v>
      </c>
      <c r="F222" s="508">
        <v>193</v>
      </c>
      <c r="G222" s="508">
        <v>197</v>
      </c>
      <c r="H222" s="508">
        <v>197</v>
      </c>
      <c r="I222" s="508">
        <v>203</v>
      </c>
      <c r="J222" s="508">
        <v>204</v>
      </c>
      <c r="K222" s="508">
        <v>212</v>
      </c>
      <c r="L222" s="508">
        <v>214</v>
      </c>
      <c r="M222" s="509">
        <v>201.88</v>
      </c>
      <c r="N222" s="506"/>
      <c r="P222" s="510">
        <f t="shared" si="6"/>
        <v>201.88</v>
      </c>
      <c r="Q222" s="514"/>
      <c r="T222" s="522">
        <v>201.88</v>
      </c>
      <c r="U222" s="523">
        <f t="shared" si="7"/>
        <v>0</v>
      </c>
    </row>
    <row r="223" spans="1:21">
      <c r="A223" s="506" t="s">
        <v>605</v>
      </c>
      <c r="B223" s="506" t="s">
        <v>551</v>
      </c>
      <c r="C223" s="506" t="s">
        <v>552</v>
      </c>
      <c r="D223" s="512">
        <v>189</v>
      </c>
      <c r="E223" s="508">
        <v>224</v>
      </c>
      <c r="F223" s="508">
        <v>227</v>
      </c>
      <c r="G223" s="508">
        <v>225</v>
      </c>
      <c r="H223" s="508">
        <v>222</v>
      </c>
      <c r="I223" s="508">
        <v>222</v>
      </c>
      <c r="J223" s="508">
        <v>218</v>
      </c>
      <c r="K223" s="508">
        <v>219</v>
      </c>
      <c r="L223" s="508">
        <v>226</v>
      </c>
      <c r="M223" s="509">
        <v>222.88</v>
      </c>
      <c r="N223" s="506"/>
      <c r="P223" s="510">
        <f t="shared" si="6"/>
        <v>222.88</v>
      </c>
      <c r="Q223" s="514"/>
      <c r="T223" s="522">
        <v>222.88</v>
      </c>
      <c r="U223" s="523">
        <f t="shared" si="7"/>
        <v>0</v>
      </c>
    </row>
    <row r="224" spans="1:21">
      <c r="A224" s="506" t="s">
        <v>603</v>
      </c>
      <c r="B224" s="506" t="s">
        <v>340</v>
      </c>
      <c r="C224" s="506" t="s">
        <v>341</v>
      </c>
      <c r="D224" s="512">
        <v>0</v>
      </c>
      <c r="E224" s="508">
        <v>0</v>
      </c>
      <c r="F224" s="508">
        <v>0</v>
      </c>
      <c r="G224" s="508">
        <v>0</v>
      </c>
      <c r="H224" s="508">
        <v>0</v>
      </c>
      <c r="I224" s="508">
        <v>0</v>
      </c>
      <c r="J224" s="508">
        <v>0</v>
      </c>
      <c r="K224" s="508">
        <v>0</v>
      </c>
      <c r="L224" s="508">
        <v>0</v>
      </c>
      <c r="M224" s="509">
        <v>0</v>
      </c>
      <c r="N224" s="506"/>
      <c r="P224" s="510">
        <f t="shared" si="6"/>
        <v>0</v>
      </c>
      <c r="Q224" s="514"/>
      <c r="T224" s="522">
        <v>0</v>
      </c>
      <c r="U224" s="523">
        <f t="shared" si="7"/>
        <v>0</v>
      </c>
    </row>
    <row r="225" spans="1:21">
      <c r="A225" s="506" t="s">
        <v>600</v>
      </c>
      <c r="B225" s="506" t="s">
        <v>43</v>
      </c>
      <c r="C225" s="506" t="s">
        <v>44</v>
      </c>
      <c r="D225" s="512">
        <v>27</v>
      </c>
      <c r="E225" s="508">
        <v>35</v>
      </c>
      <c r="F225" s="508">
        <v>35</v>
      </c>
      <c r="G225" s="508">
        <v>36</v>
      </c>
      <c r="H225" s="508">
        <v>35</v>
      </c>
      <c r="I225" s="508">
        <v>40</v>
      </c>
      <c r="J225" s="508">
        <v>40</v>
      </c>
      <c r="K225" s="508">
        <v>40</v>
      </c>
      <c r="L225" s="508">
        <v>38</v>
      </c>
      <c r="M225" s="509">
        <v>37.380000000000003</v>
      </c>
      <c r="N225" s="506"/>
      <c r="P225" s="510">
        <f t="shared" si="6"/>
        <v>37.380000000000003</v>
      </c>
      <c r="Q225" s="514"/>
      <c r="T225" s="522">
        <v>37.380000000000003</v>
      </c>
      <c r="U225" s="523">
        <f t="shared" si="7"/>
        <v>0</v>
      </c>
    </row>
    <row r="226" spans="1:21">
      <c r="A226" s="506" t="s">
        <v>595</v>
      </c>
      <c r="B226" s="506" t="s">
        <v>371</v>
      </c>
      <c r="C226" s="506" t="s">
        <v>670</v>
      </c>
      <c r="D226" s="512">
        <v>0</v>
      </c>
      <c r="E226" s="508">
        <v>0</v>
      </c>
      <c r="F226" s="508">
        <v>0</v>
      </c>
      <c r="G226" s="508">
        <v>0</v>
      </c>
      <c r="H226" s="508">
        <v>0</v>
      </c>
      <c r="I226" s="508">
        <v>0</v>
      </c>
      <c r="J226" s="508">
        <v>0</v>
      </c>
      <c r="K226" s="508">
        <v>0</v>
      </c>
      <c r="L226" s="508">
        <v>0</v>
      </c>
      <c r="M226" s="509">
        <v>0</v>
      </c>
      <c r="N226" s="506"/>
      <c r="P226" s="510">
        <f t="shared" si="6"/>
        <v>0</v>
      </c>
      <c r="Q226" s="514"/>
      <c r="T226" s="522">
        <v>0</v>
      </c>
      <c r="U226" s="523">
        <f t="shared" si="7"/>
        <v>0</v>
      </c>
    </row>
    <row r="227" spans="1:21">
      <c r="A227" s="506" t="s">
        <v>594</v>
      </c>
      <c r="B227" s="506" t="s">
        <v>299</v>
      </c>
      <c r="C227" s="506" t="s">
        <v>300</v>
      </c>
      <c r="D227" s="512">
        <v>273</v>
      </c>
      <c r="E227" s="508">
        <v>307</v>
      </c>
      <c r="F227" s="508">
        <v>315</v>
      </c>
      <c r="G227" s="508">
        <v>312</v>
      </c>
      <c r="H227" s="508">
        <v>313</v>
      </c>
      <c r="I227" s="508">
        <v>307</v>
      </c>
      <c r="J227" s="508">
        <v>306</v>
      </c>
      <c r="K227" s="508">
        <v>312</v>
      </c>
      <c r="L227" s="508">
        <v>312</v>
      </c>
      <c r="M227" s="509">
        <v>310.5</v>
      </c>
      <c r="N227" s="506"/>
      <c r="P227" s="510">
        <f t="shared" si="6"/>
        <v>310.5</v>
      </c>
      <c r="Q227" s="514"/>
      <c r="T227" s="522">
        <v>310.5</v>
      </c>
      <c r="U227" s="523">
        <f t="shared" si="7"/>
        <v>0</v>
      </c>
    </row>
    <row r="228" spans="1:21">
      <c r="A228" s="506" t="s">
        <v>597</v>
      </c>
      <c r="B228" s="506" t="s">
        <v>203</v>
      </c>
      <c r="C228" s="506" t="s">
        <v>204</v>
      </c>
      <c r="D228" s="512">
        <v>524</v>
      </c>
      <c r="E228" s="508">
        <v>560</v>
      </c>
      <c r="F228" s="508">
        <v>574</v>
      </c>
      <c r="G228" s="508">
        <v>576</v>
      </c>
      <c r="H228" s="508">
        <v>573</v>
      </c>
      <c r="I228" s="508">
        <v>581</v>
      </c>
      <c r="J228" s="508">
        <v>579</v>
      </c>
      <c r="K228" s="508">
        <v>582</v>
      </c>
      <c r="L228" s="508">
        <v>590</v>
      </c>
      <c r="M228" s="509">
        <v>576.88</v>
      </c>
      <c r="N228" s="506"/>
      <c r="P228" s="510">
        <f t="shared" si="6"/>
        <v>576.88</v>
      </c>
      <c r="Q228" s="514"/>
      <c r="T228" s="522">
        <v>576.88</v>
      </c>
      <c r="U228" s="523">
        <f t="shared" si="7"/>
        <v>0</v>
      </c>
    </row>
    <row r="229" spans="1:21">
      <c r="A229" s="506" t="s">
        <v>599</v>
      </c>
      <c r="B229" s="506" t="s">
        <v>387</v>
      </c>
      <c r="C229" s="506" t="s">
        <v>388</v>
      </c>
      <c r="D229" s="512">
        <v>0</v>
      </c>
      <c r="E229" s="508">
        <v>0</v>
      </c>
      <c r="F229" s="508">
        <v>0</v>
      </c>
      <c r="G229" s="508">
        <v>0</v>
      </c>
      <c r="H229" s="508">
        <v>0</v>
      </c>
      <c r="I229" s="508">
        <v>0</v>
      </c>
      <c r="J229" s="508">
        <v>0</v>
      </c>
      <c r="K229" s="508">
        <v>0</v>
      </c>
      <c r="L229" s="508">
        <v>0</v>
      </c>
      <c r="M229" s="509">
        <v>0</v>
      </c>
      <c r="N229" s="506"/>
      <c r="P229" s="510">
        <f t="shared" si="6"/>
        <v>0</v>
      </c>
      <c r="Q229" s="514"/>
      <c r="T229" s="522">
        <v>0</v>
      </c>
      <c r="U229" s="523">
        <f t="shared" si="7"/>
        <v>0</v>
      </c>
    </row>
    <row r="230" spans="1:21">
      <c r="A230" s="506" t="s">
        <v>597</v>
      </c>
      <c r="B230" s="506" t="s">
        <v>187</v>
      </c>
      <c r="C230" s="506" t="s">
        <v>188</v>
      </c>
      <c r="D230" s="512">
        <v>0</v>
      </c>
      <c r="E230" s="508">
        <v>0</v>
      </c>
      <c r="F230" s="508">
        <v>0</v>
      </c>
      <c r="G230" s="508">
        <v>0</v>
      </c>
      <c r="H230" s="508">
        <v>0</v>
      </c>
      <c r="I230" s="508">
        <v>0</v>
      </c>
      <c r="J230" s="508">
        <v>0</v>
      </c>
      <c r="K230" s="508">
        <v>0</v>
      </c>
      <c r="L230" s="508">
        <v>0</v>
      </c>
      <c r="M230" s="509">
        <v>0</v>
      </c>
      <c r="N230" s="506"/>
      <c r="P230" s="510">
        <f t="shared" si="6"/>
        <v>0</v>
      </c>
      <c r="Q230" s="514"/>
      <c r="T230" s="522">
        <v>0</v>
      </c>
      <c r="U230" s="523">
        <f t="shared" si="7"/>
        <v>0</v>
      </c>
    </row>
    <row r="231" spans="1:21">
      <c r="A231" s="506" t="s">
        <v>595</v>
      </c>
      <c r="B231" s="506" t="s">
        <v>411</v>
      </c>
      <c r="C231" s="506" t="s">
        <v>412</v>
      </c>
      <c r="D231" s="512">
        <v>196</v>
      </c>
      <c r="E231" s="508">
        <v>267</v>
      </c>
      <c r="F231" s="508">
        <v>270</v>
      </c>
      <c r="G231" s="508">
        <v>274</v>
      </c>
      <c r="H231" s="508">
        <v>277</v>
      </c>
      <c r="I231" s="508">
        <v>275</v>
      </c>
      <c r="J231" s="508">
        <v>281</v>
      </c>
      <c r="K231" s="508">
        <v>279</v>
      </c>
      <c r="L231" s="508">
        <v>280</v>
      </c>
      <c r="M231" s="509">
        <v>275.38</v>
      </c>
      <c r="N231" s="506"/>
      <c r="P231" s="510">
        <f t="shared" si="6"/>
        <v>275.38</v>
      </c>
      <c r="Q231" s="514"/>
      <c r="T231" s="522">
        <v>275.38</v>
      </c>
      <c r="U231" s="523">
        <f t="shared" si="7"/>
        <v>0</v>
      </c>
    </row>
    <row r="232" spans="1:21">
      <c r="A232" s="506" t="s">
        <v>597</v>
      </c>
      <c r="B232" s="506" t="s">
        <v>199</v>
      </c>
      <c r="C232" s="506" t="s">
        <v>200</v>
      </c>
      <c r="D232" s="512">
        <v>107</v>
      </c>
      <c r="E232" s="508">
        <v>111</v>
      </c>
      <c r="F232" s="508">
        <v>113</v>
      </c>
      <c r="G232" s="508">
        <v>110</v>
      </c>
      <c r="H232" s="508">
        <v>109</v>
      </c>
      <c r="I232" s="508">
        <v>109</v>
      </c>
      <c r="J232" s="508">
        <v>109</v>
      </c>
      <c r="K232" s="508">
        <v>103</v>
      </c>
      <c r="L232" s="508">
        <v>103</v>
      </c>
      <c r="M232" s="509">
        <v>108.38</v>
      </c>
      <c r="N232" s="516">
        <v>10</v>
      </c>
      <c r="P232" s="510">
        <f t="shared" si="6"/>
        <v>118.38</v>
      </c>
      <c r="Q232" s="514"/>
      <c r="T232" s="522">
        <v>108.38</v>
      </c>
      <c r="U232" s="523">
        <f t="shared" si="7"/>
        <v>0</v>
      </c>
    </row>
    <row r="233" spans="1:21">
      <c r="A233" s="506" t="s">
        <v>601</v>
      </c>
      <c r="B233" s="506" t="s">
        <v>121</v>
      </c>
      <c r="C233" s="506" t="s">
        <v>122</v>
      </c>
      <c r="D233" s="512">
        <v>70</v>
      </c>
      <c r="E233" s="508">
        <v>74</v>
      </c>
      <c r="F233" s="508">
        <v>79</v>
      </c>
      <c r="G233" s="508">
        <v>78</v>
      </c>
      <c r="H233" s="508">
        <v>80</v>
      </c>
      <c r="I233" s="508">
        <v>80</v>
      </c>
      <c r="J233" s="508">
        <v>79</v>
      </c>
      <c r="K233" s="508">
        <v>78</v>
      </c>
      <c r="L233" s="508">
        <v>78</v>
      </c>
      <c r="M233" s="509">
        <v>78.25</v>
      </c>
      <c r="N233" s="506"/>
      <c r="P233" s="510">
        <f t="shared" si="6"/>
        <v>78.25</v>
      </c>
      <c r="Q233" s="514"/>
      <c r="T233" s="522">
        <v>78.25</v>
      </c>
      <c r="U233" s="523">
        <f t="shared" si="7"/>
        <v>0</v>
      </c>
    </row>
    <row r="234" spans="1:21">
      <c r="A234" s="506" t="s">
        <v>594</v>
      </c>
      <c r="B234" s="506" t="s">
        <v>329</v>
      </c>
      <c r="C234" s="506" t="s">
        <v>330</v>
      </c>
      <c r="D234" s="512">
        <v>52</v>
      </c>
      <c r="E234" s="508">
        <v>53</v>
      </c>
      <c r="F234" s="508">
        <v>50</v>
      </c>
      <c r="G234" s="508">
        <v>72</v>
      </c>
      <c r="H234" s="508">
        <v>71</v>
      </c>
      <c r="I234" s="508">
        <v>70</v>
      </c>
      <c r="J234" s="508">
        <v>71</v>
      </c>
      <c r="K234" s="508">
        <v>70</v>
      </c>
      <c r="L234" s="508">
        <v>68</v>
      </c>
      <c r="M234" s="509">
        <v>65.63</v>
      </c>
      <c r="N234" s="506"/>
      <c r="P234" s="510">
        <f t="shared" si="6"/>
        <v>65.63</v>
      </c>
      <c r="Q234" s="514"/>
      <c r="T234" s="522">
        <v>65.63</v>
      </c>
      <c r="U234" s="523">
        <f t="shared" si="7"/>
        <v>0</v>
      </c>
    </row>
    <row r="235" spans="1:21">
      <c r="A235" s="506" t="s">
        <v>600</v>
      </c>
      <c r="B235" s="506" t="s">
        <v>218</v>
      </c>
      <c r="C235" s="506" t="s">
        <v>219</v>
      </c>
      <c r="D235" s="512">
        <v>79</v>
      </c>
      <c r="E235" s="508">
        <v>86</v>
      </c>
      <c r="F235" s="508">
        <v>100</v>
      </c>
      <c r="G235" s="508">
        <v>99</v>
      </c>
      <c r="H235" s="508">
        <v>99</v>
      </c>
      <c r="I235" s="508">
        <v>98</v>
      </c>
      <c r="J235" s="508">
        <v>98</v>
      </c>
      <c r="K235" s="508">
        <v>98</v>
      </c>
      <c r="L235" s="508">
        <v>99</v>
      </c>
      <c r="M235" s="509">
        <v>97.13</v>
      </c>
      <c r="N235" s="506"/>
      <c r="P235" s="510">
        <f t="shared" si="6"/>
        <v>97.13</v>
      </c>
      <c r="Q235" s="514"/>
      <c r="T235" s="522">
        <v>97.13</v>
      </c>
      <c r="U235" s="523">
        <f t="shared" si="7"/>
        <v>0</v>
      </c>
    </row>
    <row r="236" spans="1:21">
      <c r="A236" s="506" t="s">
        <v>595</v>
      </c>
      <c r="B236" s="506" t="s">
        <v>161</v>
      </c>
      <c r="C236" s="506" t="s">
        <v>162</v>
      </c>
      <c r="D236" s="512">
        <v>11</v>
      </c>
      <c r="E236" s="508">
        <v>12</v>
      </c>
      <c r="F236" s="508">
        <v>12</v>
      </c>
      <c r="G236" s="508">
        <v>13</v>
      </c>
      <c r="H236" s="508">
        <v>12</v>
      </c>
      <c r="I236" s="508">
        <v>12</v>
      </c>
      <c r="J236" s="508">
        <v>12</v>
      </c>
      <c r="K236" s="508">
        <v>13</v>
      </c>
      <c r="L236" s="508">
        <v>13</v>
      </c>
      <c r="M236" s="509">
        <v>12.38</v>
      </c>
      <c r="N236" s="506"/>
      <c r="P236" s="510">
        <f t="shared" si="6"/>
        <v>12.38</v>
      </c>
      <c r="Q236" s="514"/>
      <c r="T236" s="522">
        <v>12.38</v>
      </c>
      <c r="U236" s="523">
        <f t="shared" si="7"/>
        <v>0</v>
      </c>
    </row>
    <row r="237" spans="1:21">
      <c r="A237" s="506" t="s">
        <v>594</v>
      </c>
      <c r="B237" s="506" t="s">
        <v>295</v>
      </c>
      <c r="C237" s="506" t="s">
        <v>296</v>
      </c>
      <c r="D237" s="512">
        <v>1</v>
      </c>
      <c r="E237" s="508">
        <v>3</v>
      </c>
      <c r="F237" s="508">
        <v>3</v>
      </c>
      <c r="G237" s="508">
        <v>3</v>
      </c>
      <c r="H237" s="508">
        <v>3</v>
      </c>
      <c r="I237" s="508">
        <v>3</v>
      </c>
      <c r="J237" s="508">
        <v>3</v>
      </c>
      <c r="K237" s="508">
        <v>3</v>
      </c>
      <c r="L237" s="508">
        <v>3</v>
      </c>
      <c r="M237" s="509">
        <v>3</v>
      </c>
      <c r="N237" s="506"/>
      <c r="P237" s="510">
        <f t="shared" si="6"/>
        <v>3</v>
      </c>
      <c r="Q237" s="514"/>
      <c r="T237" s="522">
        <v>3</v>
      </c>
      <c r="U237" s="523">
        <f t="shared" si="7"/>
        <v>0</v>
      </c>
    </row>
    <row r="238" spans="1:21">
      <c r="A238" s="506" t="s">
        <v>603</v>
      </c>
      <c r="B238" s="506" t="s">
        <v>422</v>
      </c>
      <c r="C238" s="506" t="s">
        <v>423</v>
      </c>
      <c r="D238" s="512">
        <v>1254</v>
      </c>
      <c r="E238" s="508">
        <v>1295</v>
      </c>
      <c r="F238" s="508">
        <v>1291</v>
      </c>
      <c r="G238" s="508">
        <v>1304</v>
      </c>
      <c r="H238" s="508">
        <v>1311</v>
      </c>
      <c r="I238" s="508">
        <v>1309</v>
      </c>
      <c r="J238" s="508">
        <v>1309</v>
      </c>
      <c r="K238" s="508">
        <v>1309</v>
      </c>
      <c r="L238" s="508">
        <v>1309</v>
      </c>
      <c r="M238" s="509">
        <v>1304.6300000000001</v>
      </c>
      <c r="N238" s="506"/>
      <c r="P238" s="510">
        <f t="shared" si="6"/>
        <v>1304.6300000000001</v>
      </c>
      <c r="Q238" s="514"/>
      <c r="T238" s="522">
        <v>1304.6300000000001</v>
      </c>
      <c r="U238" s="523">
        <f t="shared" si="7"/>
        <v>0</v>
      </c>
    </row>
    <row r="239" spans="1:21">
      <c r="A239" s="506" t="s">
        <v>603</v>
      </c>
      <c r="B239" s="506" t="s">
        <v>280</v>
      </c>
      <c r="C239" s="506" t="s">
        <v>281</v>
      </c>
      <c r="D239" s="512">
        <v>0</v>
      </c>
      <c r="E239" s="508">
        <v>0</v>
      </c>
      <c r="F239" s="508">
        <v>0</v>
      </c>
      <c r="G239" s="508">
        <v>0</v>
      </c>
      <c r="H239" s="508">
        <v>0</v>
      </c>
      <c r="I239" s="508">
        <v>0</v>
      </c>
      <c r="J239" s="508">
        <v>0</v>
      </c>
      <c r="K239" s="508">
        <v>0</v>
      </c>
      <c r="L239" s="508">
        <v>0</v>
      </c>
      <c r="M239" s="509">
        <v>0</v>
      </c>
      <c r="N239" s="506"/>
      <c r="P239" s="510">
        <f t="shared" si="6"/>
        <v>0</v>
      </c>
      <c r="Q239" s="514"/>
      <c r="T239" s="522">
        <v>0</v>
      </c>
      <c r="U239" s="523">
        <f t="shared" si="7"/>
        <v>0</v>
      </c>
    </row>
    <row r="240" spans="1:21">
      <c r="A240" s="506" t="s">
        <v>603</v>
      </c>
      <c r="B240" s="506" t="s">
        <v>539</v>
      </c>
      <c r="C240" s="506" t="s">
        <v>540</v>
      </c>
      <c r="D240" s="512">
        <v>0</v>
      </c>
      <c r="E240" s="508">
        <v>0</v>
      </c>
      <c r="F240" s="508">
        <v>0</v>
      </c>
      <c r="G240" s="508">
        <v>0</v>
      </c>
      <c r="H240" s="508">
        <v>0</v>
      </c>
      <c r="I240" s="508">
        <v>0</v>
      </c>
      <c r="J240" s="508">
        <v>0</v>
      </c>
      <c r="K240" s="508">
        <v>0</v>
      </c>
      <c r="L240" s="508">
        <v>0</v>
      </c>
      <c r="M240" s="509">
        <v>0</v>
      </c>
      <c r="N240" s="506"/>
      <c r="P240" s="510">
        <f t="shared" si="6"/>
        <v>0</v>
      </c>
      <c r="Q240" s="514"/>
      <c r="T240" s="522">
        <v>0</v>
      </c>
      <c r="U240" s="523">
        <f t="shared" si="7"/>
        <v>0</v>
      </c>
    </row>
    <row r="241" spans="1:21">
      <c r="A241" s="506" t="s">
        <v>595</v>
      </c>
      <c r="B241" s="506" t="s">
        <v>421</v>
      </c>
      <c r="C241" s="506" t="s">
        <v>616</v>
      </c>
      <c r="D241" s="512">
        <v>76</v>
      </c>
      <c r="E241" s="508">
        <v>89</v>
      </c>
      <c r="F241" s="508">
        <v>89</v>
      </c>
      <c r="G241" s="508">
        <v>86</v>
      </c>
      <c r="H241" s="508">
        <v>86</v>
      </c>
      <c r="I241" s="508">
        <v>84</v>
      </c>
      <c r="J241" s="508">
        <v>86</v>
      </c>
      <c r="K241" s="508">
        <v>89</v>
      </c>
      <c r="L241" s="508">
        <v>89</v>
      </c>
      <c r="M241" s="509">
        <v>87.25</v>
      </c>
      <c r="N241" s="506"/>
      <c r="P241" s="510">
        <f t="shared" si="6"/>
        <v>87.25</v>
      </c>
      <c r="Q241" s="514"/>
      <c r="T241" s="522">
        <v>87.25</v>
      </c>
      <c r="U241" s="523">
        <f t="shared" si="7"/>
        <v>0</v>
      </c>
    </row>
    <row r="242" spans="1:21">
      <c r="A242" s="506" t="s">
        <v>596</v>
      </c>
      <c r="B242" s="506" t="s">
        <v>108</v>
      </c>
      <c r="C242" s="506" t="s">
        <v>109</v>
      </c>
      <c r="D242" s="512">
        <v>0</v>
      </c>
      <c r="E242" s="508">
        <v>0</v>
      </c>
      <c r="F242" s="508">
        <v>0</v>
      </c>
      <c r="G242" s="508">
        <v>0</v>
      </c>
      <c r="H242" s="508">
        <v>0</v>
      </c>
      <c r="I242" s="508">
        <v>0</v>
      </c>
      <c r="J242" s="508">
        <v>0</v>
      </c>
      <c r="K242" s="508">
        <v>0</v>
      </c>
      <c r="L242" s="508">
        <v>0</v>
      </c>
      <c r="M242" s="509">
        <v>0</v>
      </c>
      <c r="N242" s="506"/>
      <c r="P242" s="510">
        <f t="shared" si="6"/>
        <v>0</v>
      </c>
      <c r="Q242" s="514"/>
      <c r="T242" s="522">
        <v>0</v>
      </c>
      <c r="U242" s="523">
        <f t="shared" si="7"/>
        <v>0</v>
      </c>
    </row>
    <row r="243" spans="1:21">
      <c r="A243" s="506" t="s">
        <v>596</v>
      </c>
      <c r="B243" s="506" t="s">
        <v>68</v>
      </c>
      <c r="C243" s="506" t="s">
        <v>69</v>
      </c>
      <c r="D243" s="512">
        <v>0</v>
      </c>
      <c r="E243" s="508">
        <v>0</v>
      </c>
      <c r="F243" s="508">
        <v>0</v>
      </c>
      <c r="G243" s="508">
        <v>0</v>
      </c>
      <c r="H243" s="508">
        <v>0</v>
      </c>
      <c r="I243" s="508">
        <v>0</v>
      </c>
      <c r="J243" s="508">
        <v>0</v>
      </c>
      <c r="K243" s="508">
        <v>0</v>
      </c>
      <c r="L243" s="508">
        <v>0</v>
      </c>
      <c r="M243" s="509">
        <v>0</v>
      </c>
      <c r="N243" s="506"/>
      <c r="P243" s="510">
        <f t="shared" si="6"/>
        <v>0</v>
      </c>
      <c r="Q243" s="514"/>
      <c r="T243" s="522">
        <v>0</v>
      </c>
      <c r="U243" s="523">
        <f t="shared" si="7"/>
        <v>0</v>
      </c>
    </row>
    <row r="244" spans="1:21">
      <c r="A244" s="506" t="s">
        <v>601</v>
      </c>
      <c r="B244" s="506" t="s">
        <v>27</v>
      </c>
      <c r="C244" s="506" t="s">
        <v>28</v>
      </c>
      <c r="D244" s="512">
        <v>0</v>
      </c>
      <c r="E244" s="508">
        <v>0</v>
      </c>
      <c r="F244" s="508">
        <v>0</v>
      </c>
      <c r="G244" s="508">
        <v>0</v>
      </c>
      <c r="H244" s="508">
        <v>0</v>
      </c>
      <c r="I244" s="508">
        <v>0</v>
      </c>
      <c r="J244" s="508">
        <v>0</v>
      </c>
      <c r="K244" s="508">
        <v>0</v>
      </c>
      <c r="L244" s="508">
        <v>0</v>
      </c>
      <c r="M244" s="509">
        <v>0</v>
      </c>
      <c r="N244" s="506"/>
      <c r="P244" s="510">
        <f t="shared" si="6"/>
        <v>0</v>
      </c>
      <c r="Q244" s="514"/>
      <c r="T244" s="522">
        <v>0</v>
      </c>
      <c r="U244" s="523">
        <f t="shared" si="7"/>
        <v>0</v>
      </c>
    </row>
    <row r="245" spans="1:21">
      <c r="A245" s="506" t="s">
        <v>597</v>
      </c>
      <c r="B245" s="506" t="s">
        <v>342</v>
      </c>
      <c r="C245" s="506" t="s">
        <v>617</v>
      </c>
      <c r="D245" s="512">
        <v>48</v>
      </c>
      <c r="E245" s="508">
        <v>65</v>
      </c>
      <c r="F245" s="508">
        <v>63</v>
      </c>
      <c r="G245" s="508">
        <v>62</v>
      </c>
      <c r="H245" s="508">
        <v>62</v>
      </c>
      <c r="I245" s="508">
        <v>63</v>
      </c>
      <c r="J245" s="508">
        <v>66</v>
      </c>
      <c r="K245" s="508">
        <v>67</v>
      </c>
      <c r="L245" s="508">
        <v>67</v>
      </c>
      <c r="M245" s="509">
        <v>64.38</v>
      </c>
      <c r="N245" s="506"/>
      <c r="P245" s="510">
        <f t="shared" si="6"/>
        <v>64.38</v>
      </c>
      <c r="Q245" s="514"/>
      <c r="T245" s="522">
        <v>64.38</v>
      </c>
      <c r="U245" s="523">
        <f t="shared" si="7"/>
        <v>0</v>
      </c>
    </row>
    <row r="246" spans="1:21">
      <c r="A246" s="506" t="s">
        <v>603</v>
      </c>
      <c r="B246" s="506" t="s">
        <v>531</v>
      </c>
      <c r="C246" s="506" t="s">
        <v>532</v>
      </c>
      <c r="D246" s="512">
        <v>0</v>
      </c>
      <c r="E246" s="508">
        <v>0</v>
      </c>
      <c r="F246" s="508">
        <v>0</v>
      </c>
      <c r="G246" s="508">
        <v>0</v>
      </c>
      <c r="H246" s="508">
        <v>0</v>
      </c>
      <c r="I246" s="508">
        <v>0</v>
      </c>
      <c r="J246" s="508">
        <v>0</v>
      </c>
      <c r="K246" s="508">
        <v>0</v>
      </c>
      <c r="L246" s="508">
        <v>0</v>
      </c>
      <c r="M246" s="509">
        <v>0</v>
      </c>
      <c r="N246" s="506"/>
      <c r="P246" s="510">
        <f t="shared" si="6"/>
        <v>0</v>
      </c>
      <c r="Q246" s="514"/>
      <c r="T246" s="522">
        <v>0</v>
      </c>
      <c r="U246" s="523">
        <f t="shared" si="7"/>
        <v>0</v>
      </c>
    </row>
    <row r="247" spans="1:21">
      <c r="A247" s="506" t="s">
        <v>599</v>
      </c>
      <c r="B247" s="506" t="s">
        <v>393</v>
      </c>
      <c r="C247" s="506" t="s">
        <v>394</v>
      </c>
      <c r="D247" s="512">
        <v>16</v>
      </c>
      <c r="E247" s="508">
        <v>28</v>
      </c>
      <c r="F247" s="508">
        <v>29</v>
      </c>
      <c r="G247" s="508">
        <v>30</v>
      </c>
      <c r="H247" s="508">
        <v>27</v>
      </c>
      <c r="I247" s="508">
        <v>27</v>
      </c>
      <c r="J247" s="508">
        <v>27</v>
      </c>
      <c r="K247" s="508">
        <v>28</v>
      </c>
      <c r="L247" s="508">
        <v>28</v>
      </c>
      <c r="M247" s="509">
        <v>28</v>
      </c>
      <c r="N247" s="506"/>
      <c r="P247" s="510">
        <f t="shared" si="6"/>
        <v>28</v>
      </c>
      <c r="Q247" s="514"/>
      <c r="T247" s="522">
        <v>28</v>
      </c>
      <c r="U247" s="523">
        <f t="shared" si="7"/>
        <v>0</v>
      </c>
    </row>
    <row r="248" spans="1:21">
      <c r="A248" s="506" t="s">
        <v>595</v>
      </c>
      <c r="B248" s="506" t="s">
        <v>415</v>
      </c>
      <c r="C248" s="506" t="s">
        <v>416</v>
      </c>
      <c r="D248" s="512">
        <v>103</v>
      </c>
      <c r="E248" s="508">
        <v>110</v>
      </c>
      <c r="F248" s="508">
        <v>112</v>
      </c>
      <c r="G248" s="508">
        <v>112</v>
      </c>
      <c r="H248" s="508">
        <v>115</v>
      </c>
      <c r="I248" s="508">
        <v>116</v>
      </c>
      <c r="J248" s="508">
        <v>120</v>
      </c>
      <c r="K248" s="508">
        <v>120</v>
      </c>
      <c r="L248" s="508">
        <v>121</v>
      </c>
      <c r="M248" s="509">
        <v>115.75</v>
      </c>
      <c r="N248" s="506"/>
      <c r="P248" s="510">
        <f t="shared" si="6"/>
        <v>115.75</v>
      </c>
      <c r="Q248" s="514"/>
      <c r="T248" s="522">
        <v>115.75</v>
      </c>
      <c r="U248" s="523">
        <f t="shared" si="7"/>
        <v>0</v>
      </c>
    </row>
    <row r="249" spans="1:21">
      <c r="A249" s="506" t="s">
        <v>603</v>
      </c>
      <c r="B249" s="506" t="s">
        <v>460</v>
      </c>
      <c r="C249" s="506" t="s">
        <v>461</v>
      </c>
      <c r="D249" s="512">
        <v>0</v>
      </c>
      <c r="E249" s="508">
        <v>0</v>
      </c>
      <c r="F249" s="508">
        <v>0</v>
      </c>
      <c r="G249" s="508">
        <v>0</v>
      </c>
      <c r="H249" s="508">
        <v>0</v>
      </c>
      <c r="I249" s="508">
        <v>0</v>
      </c>
      <c r="J249" s="508">
        <v>0</v>
      </c>
      <c r="K249" s="508">
        <v>0</v>
      </c>
      <c r="L249" s="508">
        <v>0</v>
      </c>
      <c r="M249" s="509">
        <v>0</v>
      </c>
      <c r="N249" s="506"/>
      <c r="P249" s="510">
        <f t="shared" si="6"/>
        <v>0</v>
      </c>
      <c r="Q249" s="514"/>
      <c r="T249" s="522">
        <v>0</v>
      </c>
      <c r="U249" s="523">
        <f t="shared" si="7"/>
        <v>0</v>
      </c>
    </row>
    <row r="250" spans="1:21">
      <c r="A250" s="506" t="s">
        <v>597</v>
      </c>
      <c r="B250" s="506" t="s">
        <v>351</v>
      </c>
      <c r="C250" s="506" t="s">
        <v>352</v>
      </c>
      <c r="D250" s="512">
        <v>200</v>
      </c>
      <c r="E250" s="508">
        <v>231</v>
      </c>
      <c r="F250" s="508">
        <v>230</v>
      </c>
      <c r="G250" s="508">
        <v>235</v>
      </c>
      <c r="H250" s="508">
        <v>228</v>
      </c>
      <c r="I250" s="508">
        <v>229</v>
      </c>
      <c r="J250" s="508">
        <v>225</v>
      </c>
      <c r="K250" s="508">
        <v>232</v>
      </c>
      <c r="L250" s="508">
        <v>237</v>
      </c>
      <c r="M250" s="509">
        <v>230.88</v>
      </c>
      <c r="N250" s="506"/>
      <c r="P250" s="510">
        <f t="shared" si="6"/>
        <v>230.88</v>
      </c>
      <c r="Q250" s="514"/>
      <c r="T250" s="522">
        <v>230.88</v>
      </c>
      <c r="U250" s="523">
        <f t="shared" si="7"/>
        <v>0</v>
      </c>
    </row>
    <row r="251" spans="1:21">
      <c r="A251" s="506" t="s">
        <v>605</v>
      </c>
      <c r="B251" s="506" t="s">
        <v>557</v>
      </c>
      <c r="C251" s="506" t="s">
        <v>558</v>
      </c>
      <c r="D251" s="512">
        <v>1902</v>
      </c>
      <c r="E251" s="508">
        <v>1926</v>
      </c>
      <c r="F251" s="508">
        <v>1910</v>
      </c>
      <c r="G251" s="508">
        <v>1917</v>
      </c>
      <c r="H251" s="508">
        <v>1807</v>
      </c>
      <c r="I251" s="508">
        <v>1935</v>
      </c>
      <c r="J251" s="508">
        <v>1929</v>
      </c>
      <c r="K251" s="508">
        <v>1937</v>
      </c>
      <c r="L251" s="508">
        <v>1933</v>
      </c>
      <c r="M251" s="509">
        <v>1911.75</v>
      </c>
      <c r="N251" s="506"/>
      <c r="P251" s="510">
        <f t="shared" si="6"/>
        <v>1911.75</v>
      </c>
      <c r="Q251" s="514"/>
      <c r="T251" s="522">
        <v>1911.75</v>
      </c>
      <c r="U251" s="523">
        <f t="shared" si="7"/>
        <v>0</v>
      </c>
    </row>
    <row r="252" spans="1:21">
      <c r="A252" s="506" t="s">
        <v>597</v>
      </c>
      <c r="B252" s="506" t="s">
        <v>345</v>
      </c>
      <c r="C252" s="506" t="s">
        <v>346</v>
      </c>
      <c r="D252" s="512">
        <v>2180</v>
      </c>
      <c r="E252" s="508">
        <v>2208</v>
      </c>
      <c r="F252" s="508">
        <v>2181</v>
      </c>
      <c r="G252" s="508">
        <v>2198</v>
      </c>
      <c r="H252" s="508">
        <v>2205</v>
      </c>
      <c r="I252" s="508">
        <v>2215</v>
      </c>
      <c r="J252" s="508">
        <v>2227</v>
      </c>
      <c r="K252" s="508">
        <v>2225</v>
      </c>
      <c r="L252" s="508">
        <v>2201</v>
      </c>
      <c r="M252" s="509">
        <v>2207.5</v>
      </c>
      <c r="N252" s="506"/>
      <c r="P252" s="510">
        <f t="shared" si="6"/>
        <v>2207.5</v>
      </c>
      <c r="Q252" s="514"/>
      <c r="T252" s="522">
        <v>2207.5</v>
      </c>
      <c r="U252" s="523">
        <f t="shared" si="7"/>
        <v>0</v>
      </c>
    </row>
    <row r="253" spans="1:21">
      <c r="A253" s="506" t="s">
        <v>594</v>
      </c>
      <c r="B253" s="506" t="s">
        <v>143</v>
      </c>
      <c r="C253" s="506" t="s">
        <v>144</v>
      </c>
      <c r="D253" s="512">
        <v>0</v>
      </c>
      <c r="E253" s="508">
        <v>0</v>
      </c>
      <c r="F253" s="508">
        <v>0</v>
      </c>
      <c r="G253" s="508">
        <v>0</v>
      </c>
      <c r="H253" s="508">
        <v>0</v>
      </c>
      <c r="I253" s="508">
        <v>0</v>
      </c>
      <c r="J253" s="508">
        <v>0</v>
      </c>
      <c r="K253" s="508">
        <v>0</v>
      </c>
      <c r="L253" s="508">
        <v>0</v>
      </c>
      <c r="M253" s="509">
        <v>0</v>
      </c>
      <c r="N253" s="506"/>
      <c r="P253" s="510">
        <f t="shared" si="6"/>
        <v>0</v>
      </c>
      <c r="Q253" s="514"/>
      <c r="T253" s="522">
        <v>0</v>
      </c>
      <c r="U253" s="523">
        <f t="shared" si="7"/>
        <v>0</v>
      </c>
    </row>
    <row r="254" spans="1:21">
      <c r="A254" s="506" t="s">
        <v>597</v>
      </c>
      <c r="B254" s="506" t="s">
        <v>197</v>
      </c>
      <c r="C254" s="506" t="s">
        <v>198</v>
      </c>
      <c r="D254" s="512">
        <v>103</v>
      </c>
      <c r="E254" s="508">
        <v>123</v>
      </c>
      <c r="F254" s="508">
        <v>128</v>
      </c>
      <c r="G254" s="508">
        <v>127</v>
      </c>
      <c r="H254" s="508">
        <v>128</v>
      </c>
      <c r="I254" s="508">
        <v>125</v>
      </c>
      <c r="J254" s="508">
        <v>124</v>
      </c>
      <c r="K254" s="508">
        <v>124</v>
      </c>
      <c r="L254" s="508">
        <v>125</v>
      </c>
      <c r="M254" s="509">
        <v>125.5</v>
      </c>
      <c r="N254" s="506"/>
      <c r="P254" s="510">
        <f t="shared" si="6"/>
        <v>125.5</v>
      </c>
      <c r="Q254" s="514"/>
      <c r="T254" s="522">
        <v>125.5</v>
      </c>
      <c r="U254" s="523">
        <f t="shared" si="7"/>
        <v>0</v>
      </c>
    </row>
    <row r="255" spans="1:21">
      <c r="A255" s="506" t="s">
        <v>603</v>
      </c>
      <c r="B255" s="506" t="s">
        <v>521</v>
      </c>
      <c r="C255" s="506" t="s">
        <v>522</v>
      </c>
      <c r="D255" s="512">
        <v>0</v>
      </c>
      <c r="E255" s="508">
        <v>0</v>
      </c>
      <c r="F255" s="508">
        <v>0</v>
      </c>
      <c r="G255" s="508">
        <v>0</v>
      </c>
      <c r="H255" s="508">
        <v>0</v>
      </c>
      <c r="I255" s="508">
        <v>0</v>
      </c>
      <c r="J255" s="508">
        <v>0</v>
      </c>
      <c r="K255" s="508">
        <v>0</v>
      </c>
      <c r="L255" s="508">
        <v>0</v>
      </c>
      <c r="M255" s="509">
        <v>0</v>
      </c>
      <c r="N255" s="506"/>
      <c r="P255" s="510">
        <f t="shared" si="6"/>
        <v>0</v>
      </c>
      <c r="Q255" s="514"/>
      <c r="T255" s="522">
        <v>0</v>
      </c>
      <c r="U255" s="523">
        <f t="shared" si="7"/>
        <v>0</v>
      </c>
    </row>
    <row r="256" spans="1:21">
      <c r="A256" s="506" t="s">
        <v>594</v>
      </c>
      <c r="B256" s="506" t="s">
        <v>486</v>
      </c>
      <c r="C256" s="506" t="s">
        <v>487</v>
      </c>
      <c r="D256" s="512">
        <v>11</v>
      </c>
      <c r="E256" s="508">
        <v>12</v>
      </c>
      <c r="F256" s="508">
        <v>12</v>
      </c>
      <c r="G256" s="508">
        <v>12</v>
      </c>
      <c r="H256" s="508">
        <v>12</v>
      </c>
      <c r="I256" s="508">
        <v>12</v>
      </c>
      <c r="J256" s="508">
        <v>12</v>
      </c>
      <c r="K256" s="508">
        <v>16</v>
      </c>
      <c r="L256" s="508">
        <v>15</v>
      </c>
      <c r="M256" s="509">
        <v>12.88</v>
      </c>
      <c r="N256" s="506"/>
      <c r="P256" s="510">
        <f t="shared" si="6"/>
        <v>12.88</v>
      </c>
      <c r="Q256" s="514"/>
      <c r="T256" s="522">
        <v>12.88</v>
      </c>
      <c r="U256" s="523">
        <f t="shared" si="7"/>
        <v>0</v>
      </c>
    </row>
    <row r="257" spans="1:21">
      <c r="A257" s="506" t="s">
        <v>605</v>
      </c>
      <c r="B257" s="506" t="s">
        <v>224</v>
      </c>
      <c r="C257" s="506" t="s">
        <v>225</v>
      </c>
      <c r="D257" s="512">
        <v>0</v>
      </c>
      <c r="E257" s="508">
        <v>0</v>
      </c>
      <c r="F257" s="508">
        <v>0</v>
      </c>
      <c r="G257" s="508">
        <v>0</v>
      </c>
      <c r="H257" s="508">
        <v>0</v>
      </c>
      <c r="I257" s="508">
        <v>0</v>
      </c>
      <c r="J257" s="508">
        <v>0</v>
      </c>
      <c r="K257" s="508">
        <v>0</v>
      </c>
      <c r="L257" s="508">
        <v>0</v>
      </c>
      <c r="M257" s="509">
        <v>0</v>
      </c>
      <c r="N257" s="506"/>
      <c r="P257" s="510">
        <f t="shared" si="6"/>
        <v>0</v>
      </c>
      <c r="Q257" s="514"/>
      <c r="T257" s="522">
        <v>0</v>
      </c>
      <c r="U257" s="523">
        <f t="shared" si="7"/>
        <v>0</v>
      </c>
    </row>
    <row r="258" spans="1:21">
      <c r="A258" s="506" t="s">
        <v>594</v>
      </c>
      <c r="B258" s="506" t="s">
        <v>268</v>
      </c>
      <c r="C258" s="506" t="s">
        <v>269</v>
      </c>
      <c r="D258" s="512">
        <v>17</v>
      </c>
      <c r="E258" s="508">
        <v>19</v>
      </c>
      <c r="F258" s="508">
        <v>19</v>
      </c>
      <c r="G258" s="508">
        <v>19</v>
      </c>
      <c r="H258" s="508">
        <v>19</v>
      </c>
      <c r="I258" s="508">
        <v>22</v>
      </c>
      <c r="J258" s="508">
        <v>22</v>
      </c>
      <c r="K258" s="508">
        <v>22</v>
      </c>
      <c r="L258" s="508">
        <v>22</v>
      </c>
      <c r="M258" s="509">
        <v>20.5</v>
      </c>
      <c r="N258" s="506"/>
      <c r="P258" s="510">
        <f t="shared" ref="P258:P296" si="8">SUM(M258:O258)</f>
        <v>20.5</v>
      </c>
      <c r="Q258" s="514"/>
      <c r="T258" s="522">
        <v>20.5</v>
      </c>
      <c r="U258" s="523">
        <f t="shared" si="7"/>
        <v>0</v>
      </c>
    </row>
    <row r="259" spans="1:21">
      <c r="A259" s="506" t="s">
        <v>601</v>
      </c>
      <c r="B259" s="506" t="s">
        <v>321</v>
      </c>
      <c r="C259" s="506" t="s">
        <v>322</v>
      </c>
      <c r="D259" s="512">
        <v>102</v>
      </c>
      <c r="E259" s="508">
        <v>133</v>
      </c>
      <c r="F259" s="508">
        <v>137</v>
      </c>
      <c r="G259" s="508">
        <v>132</v>
      </c>
      <c r="H259" s="508">
        <v>135</v>
      </c>
      <c r="I259" s="508">
        <v>132</v>
      </c>
      <c r="J259" s="508">
        <v>135</v>
      </c>
      <c r="K259" s="508">
        <v>134</v>
      </c>
      <c r="L259" s="508">
        <v>135</v>
      </c>
      <c r="M259" s="509">
        <v>134.13</v>
      </c>
      <c r="N259" s="506"/>
      <c r="P259" s="510">
        <f t="shared" si="8"/>
        <v>134.13</v>
      </c>
      <c r="Q259" s="514"/>
      <c r="T259" s="522">
        <v>134.13</v>
      </c>
      <c r="U259" s="523">
        <f t="shared" ref="U259:U297" si="9">T259-M259</f>
        <v>0</v>
      </c>
    </row>
    <row r="260" spans="1:21">
      <c r="A260" s="506" t="s">
        <v>605</v>
      </c>
      <c r="B260" s="506" t="s">
        <v>559</v>
      </c>
      <c r="C260" s="506" t="s">
        <v>560</v>
      </c>
      <c r="D260" s="512">
        <v>1196</v>
      </c>
      <c r="E260" s="508">
        <v>1215</v>
      </c>
      <c r="F260" s="508">
        <v>1217</v>
      </c>
      <c r="G260" s="508">
        <v>1193</v>
      </c>
      <c r="H260" s="508">
        <v>1190</v>
      </c>
      <c r="I260" s="508">
        <v>1177</v>
      </c>
      <c r="J260" s="508">
        <v>1166</v>
      </c>
      <c r="K260" s="508">
        <v>1157</v>
      </c>
      <c r="L260" s="508">
        <v>1152</v>
      </c>
      <c r="M260" s="509">
        <v>1183.3800000000001</v>
      </c>
      <c r="N260" s="516">
        <v>50</v>
      </c>
      <c r="P260" s="510">
        <f t="shared" si="8"/>
        <v>1233.3800000000001</v>
      </c>
      <c r="Q260" s="514"/>
      <c r="T260" s="522">
        <v>1183.3800000000001</v>
      </c>
      <c r="U260" s="523">
        <f t="shared" si="9"/>
        <v>0</v>
      </c>
    </row>
    <row r="261" spans="1:21">
      <c r="A261" s="506" t="s">
        <v>596</v>
      </c>
      <c r="B261" s="506" t="s">
        <v>496</v>
      </c>
      <c r="C261" s="506" t="s">
        <v>497</v>
      </c>
      <c r="D261" s="512">
        <v>23</v>
      </c>
      <c r="E261" s="508">
        <v>23</v>
      </c>
      <c r="F261" s="508">
        <v>23</v>
      </c>
      <c r="G261" s="508">
        <v>23</v>
      </c>
      <c r="H261" s="508">
        <v>23</v>
      </c>
      <c r="I261" s="508">
        <v>23</v>
      </c>
      <c r="J261" s="508">
        <v>23</v>
      </c>
      <c r="K261" s="508">
        <v>23</v>
      </c>
      <c r="L261" s="508">
        <v>23</v>
      </c>
      <c r="M261" s="509">
        <v>23</v>
      </c>
      <c r="N261" s="506"/>
      <c r="P261" s="510">
        <f t="shared" si="8"/>
        <v>23</v>
      </c>
      <c r="Q261" s="514"/>
      <c r="T261" s="522">
        <v>23</v>
      </c>
      <c r="U261" s="523">
        <f t="shared" si="9"/>
        <v>0</v>
      </c>
    </row>
    <row r="262" spans="1:21">
      <c r="A262" s="506" t="s">
        <v>599</v>
      </c>
      <c r="B262" s="506" t="s">
        <v>72</v>
      </c>
      <c r="C262" s="506" t="s">
        <v>73</v>
      </c>
      <c r="D262" s="512">
        <v>0</v>
      </c>
      <c r="E262" s="508">
        <v>0</v>
      </c>
      <c r="F262" s="508">
        <v>0</v>
      </c>
      <c r="G262" s="508">
        <v>0</v>
      </c>
      <c r="H262" s="508">
        <v>0</v>
      </c>
      <c r="I262" s="508">
        <v>0</v>
      </c>
      <c r="J262" s="508">
        <v>0</v>
      </c>
      <c r="K262" s="508">
        <v>0</v>
      </c>
      <c r="L262" s="508">
        <v>0</v>
      </c>
      <c r="M262" s="509">
        <v>0</v>
      </c>
      <c r="N262" s="506"/>
      <c r="P262" s="510">
        <f t="shared" si="8"/>
        <v>0</v>
      </c>
      <c r="Q262" s="514"/>
      <c r="T262" s="522">
        <v>0</v>
      </c>
      <c r="U262" s="523">
        <f t="shared" si="9"/>
        <v>0</v>
      </c>
    </row>
    <row r="263" spans="1:21">
      <c r="A263" s="506" t="s">
        <v>599</v>
      </c>
      <c r="B263" s="506" t="s">
        <v>238</v>
      </c>
      <c r="C263" s="506" t="s">
        <v>239</v>
      </c>
      <c r="D263" s="512">
        <v>0</v>
      </c>
      <c r="E263" s="508">
        <v>0</v>
      </c>
      <c r="F263" s="508">
        <v>0</v>
      </c>
      <c r="G263" s="508">
        <v>0</v>
      </c>
      <c r="H263" s="508">
        <v>0</v>
      </c>
      <c r="I263" s="508">
        <v>0</v>
      </c>
      <c r="J263" s="508">
        <v>0</v>
      </c>
      <c r="K263" s="508">
        <v>0</v>
      </c>
      <c r="L263" s="508">
        <v>0</v>
      </c>
      <c r="M263" s="509">
        <v>0</v>
      </c>
      <c r="N263" s="506"/>
      <c r="P263" s="510">
        <f t="shared" si="8"/>
        <v>0</v>
      </c>
      <c r="Q263" s="514"/>
      <c r="T263" s="522">
        <v>0</v>
      </c>
      <c r="U263" s="523">
        <f t="shared" si="9"/>
        <v>0</v>
      </c>
    </row>
    <row r="264" spans="1:21">
      <c r="A264" s="506" t="s">
        <v>597</v>
      </c>
      <c r="B264" s="506" t="s">
        <v>191</v>
      </c>
      <c r="C264" s="506" t="s">
        <v>192</v>
      </c>
      <c r="D264" s="512">
        <v>826</v>
      </c>
      <c r="E264" s="508">
        <v>1050</v>
      </c>
      <c r="F264" s="508">
        <v>1071</v>
      </c>
      <c r="G264" s="508">
        <v>1081</v>
      </c>
      <c r="H264" s="508">
        <v>1070</v>
      </c>
      <c r="I264" s="508">
        <v>1084</v>
      </c>
      <c r="J264" s="508">
        <v>1079</v>
      </c>
      <c r="K264" s="508">
        <v>1066</v>
      </c>
      <c r="L264" s="508">
        <v>1071</v>
      </c>
      <c r="M264" s="509">
        <v>1071.5</v>
      </c>
      <c r="N264" s="506"/>
      <c r="P264" s="510">
        <f t="shared" si="8"/>
        <v>1071.5</v>
      </c>
      <c r="Q264" s="514"/>
      <c r="T264" s="522">
        <v>1071.5</v>
      </c>
      <c r="U264" s="523">
        <f t="shared" si="9"/>
        <v>0</v>
      </c>
    </row>
    <row r="265" spans="1:21">
      <c r="A265" s="506" t="s">
        <v>594</v>
      </c>
      <c r="B265" s="506" t="s">
        <v>476</v>
      </c>
      <c r="C265" s="506" t="s">
        <v>477</v>
      </c>
      <c r="D265" s="512">
        <v>70</v>
      </c>
      <c r="E265" s="508">
        <v>92</v>
      </c>
      <c r="F265" s="508">
        <v>92</v>
      </c>
      <c r="G265" s="508">
        <v>91</v>
      </c>
      <c r="H265" s="508">
        <v>94</v>
      </c>
      <c r="I265" s="508">
        <v>91</v>
      </c>
      <c r="J265" s="508">
        <v>91</v>
      </c>
      <c r="K265" s="508">
        <v>93</v>
      </c>
      <c r="L265" s="508">
        <v>94</v>
      </c>
      <c r="M265" s="509">
        <v>92.25</v>
      </c>
      <c r="N265" s="506"/>
      <c r="P265" s="510">
        <f t="shared" si="8"/>
        <v>92.25</v>
      </c>
      <c r="Q265" s="514"/>
      <c r="T265" s="522">
        <v>92.25</v>
      </c>
      <c r="U265" s="523">
        <f t="shared" si="9"/>
        <v>0</v>
      </c>
    </row>
    <row r="266" spans="1:21">
      <c r="A266" s="506" t="s">
        <v>605</v>
      </c>
      <c r="B266" s="506" t="s">
        <v>543</v>
      </c>
      <c r="C266" s="506" t="s">
        <v>544</v>
      </c>
      <c r="D266" s="512">
        <v>151</v>
      </c>
      <c r="E266" s="508">
        <v>156</v>
      </c>
      <c r="F266" s="508">
        <v>155</v>
      </c>
      <c r="G266" s="508">
        <v>158</v>
      </c>
      <c r="H266" s="508">
        <v>157</v>
      </c>
      <c r="I266" s="508">
        <v>157</v>
      </c>
      <c r="J266" s="508">
        <v>156</v>
      </c>
      <c r="K266" s="508">
        <v>155</v>
      </c>
      <c r="L266" s="508">
        <v>158</v>
      </c>
      <c r="M266" s="509">
        <v>156.5</v>
      </c>
      <c r="N266" s="506"/>
      <c r="P266" s="510">
        <f t="shared" si="8"/>
        <v>156.5</v>
      </c>
      <c r="Q266" s="514"/>
      <c r="T266" s="522">
        <v>156.5</v>
      </c>
      <c r="U266" s="523">
        <f t="shared" si="9"/>
        <v>0</v>
      </c>
    </row>
    <row r="267" spans="1:21">
      <c r="A267" s="506" t="s">
        <v>597</v>
      </c>
      <c r="B267" s="506" t="s">
        <v>349</v>
      </c>
      <c r="C267" s="506" t="s">
        <v>350</v>
      </c>
      <c r="D267" s="512">
        <v>88</v>
      </c>
      <c r="E267" s="508">
        <v>131</v>
      </c>
      <c r="F267" s="508">
        <v>134</v>
      </c>
      <c r="G267" s="508">
        <v>131</v>
      </c>
      <c r="H267" s="508">
        <v>132</v>
      </c>
      <c r="I267" s="508">
        <v>130</v>
      </c>
      <c r="J267" s="508">
        <v>130</v>
      </c>
      <c r="K267" s="508">
        <v>133</v>
      </c>
      <c r="L267" s="508">
        <v>143</v>
      </c>
      <c r="M267" s="509">
        <v>133</v>
      </c>
      <c r="N267" s="506"/>
      <c r="P267" s="510">
        <f t="shared" si="8"/>
        <v>133</v>
      </c>
      <c r="Q267" s="514"/>
      <c r="T267" s="522">
        <v>133</v>
      </c>
      <c r="U267" s="523">
        <f t="shared" si="9"/>
        <v>0</v>
      </c>
    </row>
    <row r="268" spans="1:21">
      <c r="A268" s="506" t="s">
        <v>603</v>
      </c>
      <c r="B268" s="506" t="s">
        <v>454</v>
      </c>
      <c r="C268" s="506" t="s">
        <v>455</v>
      </c>
      <c r="D268" s="512">
        <v>0</v>
      </c>
      <c r="E268" s="508">
        <v>0</v>
      </c>
      <c r="F268" s="508">
        <v>0</v>
      </c>
      <c r="G268" s="508">
        <v>0</v>
      </c>
      <c r="H268" s="508">
        <v>0</v>
      </c>
      <c r="I268" s="508">
        <v>0</v>
      </c>
      <c r="J268" s="508">
        <v>0</v>
      </c>
      <c r="K268" s="508">
        <v>0</v>
      </c>
      <c r="L268" s="508">
        <v>0</v>
      </c>
      <c r="M268" s="509">
        <v>0</v>
      </c>
      <c r="N268" s="506"/>
      <c r="P268" s="510">
        <f t="shared" si="8"/>
        <v>0</v>
      </c>
      <c r="Q268" s="514"/>
      <c r="T268" s="522">
        <v>0</v>
      </c>
      <c r="U268" s="523">
        <f t="shared" si="9"/>
        <v>0</v>
      </c>
    </row>
    <row r="269" spans="1:21">
      <c r="A269" s="506" t="s">
        <v>599</v>
      </c>
      <c r="B269" s="506" t="s">
        <v>49</v>
      </c>
      <c r="C269" s="506" t="s">
        <v>50</v>
      </c>
      <c r="D269" s="512">
        <v>1970</v>
      </c>
      <c r="E269" s="508">
        <v>2025</v>
      </c>
      <c r="F269" s="508">
        <v>2051</v>
      </c>
      <c r="G269" s="508">
        <v>2062</v>
      </c>
      <c r="H269" s="508">
        <v>2056</v>
      </c>
      <c r="I269" s="508">
        <v>2047</v>
      </c>
      <c r="J269" s="508">
        <v>2044</v>
      </c>
      <c r="K269" s="508">
        <v>2045</v>
      </c>
      <c r="L269" s="508">
        <v>2048</v>
      </c>
      <c r="M269" s="509">
        <v>2047.25</v>
      </c>
      <c r="N269" s="506"/>
      <c r="P269" s="510">
        <f t="shared" si="8"/>
        <v>2047.25</v>
      </c>
      <c r="Q269" s="514"/>
      <c r="T269" s="522">
        <v>2047.25</v>
      </c>
      <c r="U269" s="523">
        <f t="shared" si="9"/>
        <v>0</v>
      </c>
    </row>
    <row r="270" spans="1:21">
      <c r="A270" s="506" t="s">
        <v>597</v>
      </c>
      <c r="B270" s="506" t="s">
        <v>183</v>
      </c>
      <c r="C270" s="506" t="s">
        <v>184</v>
      </c>
      <c r="D270" s="512">
        <v>20</v>
      </c>
      <c r="E270" s="508">
        <v>20</v>
      </c>
      <c r="F270" s="508">
        <v>27</v>
      </c>
      <c r="G270" s="508">
        <v>26</v>
      </c>
      <c r="H270" s="508">
        <v>27</v>
      </c>
      <c r="I270" s="508">
        <v>26</v>
      </c>
      <c r="J270" s="508">
        <v>27</v>
      </c>
      <c r="K270" s="508">
        <v>28</v>
      </c>
      <c r="L270" s="508">
        <v>28</v>
      </c>
      <c r="M270" s="509">
        <v>26.13</v>
      </c>
      <c r="N270" s="506"/>
      <c r="P270" s="510">
        <f t="shared" si="8"/>
        <v>26.13</v>
      </c>
      <c r="Q270" s="514"/>
      <c r="T270" s="522">
        <v>26.13</v>
      </c>
      <c r="U270" s="523">
        <f t="shared" si="9"/>
        <v>0</v>
      </c>
    </row>
    <row r="271" spans="1:21">
      <c r="A271" s="506" t="s">
        <v>599</v>
      </c>
      <c r="B271" s="506" t="s">
        <v>488</v>
      </c>
      <c r="C271" s="506" t="s">
        <v>489</v>
      </c>
      <c r="D271" s="512">
        <v>20</v>
      </c>
      <c r="E271" s="508">
        <v>21</v>
      </c>
      <c r="F271" s="508">
        <v>22</v>
      </c>
      <c r="G271" s="508">
        <v>23</v>
      </c>
      <c r="H271" s="508">
        <v>23</v>
      </c>
      <c r="I271" s="508">
        <v>23</v>
      </c>
      <c r="J271" s="508">
        <v>21</v>
      </c>
      <c r="K271" s="508">
        <v>23</v>
      </c>
      <c r="L271" s="508">
        <v>23</v>
      </c>
      <c r="M271" s="509">
        <v>22.38</v>
      </c>
      <c r="N271" s="506"/>
      <c r="P271" s="510">
        <f t="shared" si="8"/>
        <v>22.38</v>
      </c>
      <c r="Q271" s="514"/>
      <c r="T271" s="522">
        <v>22.38</v>
      </c>
      <c r="U271" s="523">
        <f t="shared" si="9"/>
        <v>0</v>
      </c>
    </row>
    <row r="272" spans="1:21">
      <c r="A272" s="506" t="s">
        <v>605</v>
      </c>
      <c r="B272" s="506" t="s">
        <v>114</v>
      </c>
      <c r="C272" s="506" t="s">
        <v>115</v>
      </c>
      <c r="D272" s="512">
        <v>1289</v>
      </c>
      <c r="E272" s="508">
        <v>1288</v>
      </c>
      <c r="F272" s="508">
        <v>1260</v>
      </c>
      <c r="G272" s="508">
        <v>1212</v>
      </c>
      <c r="H272" s="508">
        <v>1194</v>
      </c>
      <c r="I272" s="508">
        <v>1234</v>
      </c>
      <c r="J272" s="508">
        <v>1245</v>
      </c>
      <c r="K272" s="508">
        <v>1236</v>
      </c>
      <c r="L272" s="508">
        <v>1230</v>
      </c>
      <c r="M272" s="509">
        <v>1237.3800000000001</v>
      </c>
      <c r="N272" s="506"/>
      <c r="P272" s="510">
        <f t="shared" si="8"/>
        <v>1237.3800000000001</v>
      </c>
      <c r="Q272" s="514"/>
      <c r="T272" s="522">
        <v>1237.3800000000001</v>
      </c>
      <c r="U272" s="523">
        <f t="shared" si="9"/>
        <v>0</v>
      </c>
    </row>
    <row r="273" spans="1:21">
      <c r="A273" s="506" t="s">
        <v>596</v>
      </c>
      <c r="B273" s="506" t="s">
        <v>500</v>
      </c>
      <c r="C273" s="506" t="s">
        <v>501</v>
      </c>
      <c r="D273" s="512">
        <v>0</v>
      </c>
      <c r="E273" s="508">
        <v>0</v>
      </c>
      <c r="F273" s="508">
        <v>0</v>
      </c>
      <c r="G273" s="508">
        <v>0</v>
      </c>
      <c r="H273" s="508">
        <v>0</v>
      </c>
      <c r="I273" s="508">
        <v>0</v>
      </c>
      <c r="J273" s="508">
        <v>0</v>
      </c>
      <c r="K273" s="508">
        <v>0</v>
      </c>
      <c r="L273" s="508">
        <v>0</v>
      </c>
      <c r="M273" s="509">
        <v>0</v>
      </c>
      <c r="N273" s="506"/>
      <c r="P273" s="510">
        <f t="shared" si="8"/>
        <v>0</v>
      </c>
      <c r="Q273" s="514"/>
      <c r="T273" s="522">
        <v>0</v>
      </c>
      <c r="U273" s="523">
        <f t="shared" si="9"/>
        <v>0</v>
      </c>
    </row>
    <row r="274" spans="1:21">
      <c r="A274" s="506" t="s">
        <v>596</v>
      </c>
      <c r="B274" s="506" t="s">
        <v>492</v>
      </c>
      <c r="C274" s="506" t="s">
        <v>493</v>
      </c>
      <c r="D274" s="512">
        <v>785</v>
      </c>
      <c r="E274" s="508">
        <v>790</v>
      </c>
      <c r="F274" s="508">
        <v>807</v>
      </c>
      <c r="G274" s="508">
        <v>810</v>
      </c>
      <c r="H274" s="508">
        <v>802</v>
      </c>
      <c r="I274" s="508">
        <v>807</v>
      </c>
      <c r="J274" s="508">
        <v>819</v>
      </c>
      <c r="K274" s="508">
        <v>808</v>
      </c>
      <c r="L274" s="508">
        <v>809</v>
      </c>
      <c r="M274" s="509">
        <v>806.5</v>
      </c>
      <c r="N274" s="506"/>
      <c r="P274" s="510">
        <f t="shared" si="8"/>
        <v>806.5</v>
      </c>
      <c r="Q274" s="514"/>
      <c r="T274" s="522">
        <v>806.5</v>
      </c>
      <c r="U274" s="523">
        <f t="shared" si="9"/>
        <v>0</v>
      </c>
    </row>
    <row r="275" spans="1:21">
      <c r="A275" s="506" t="s">
        <v>605</v>
      </c>
      <c r="B275" s="506" t="s">
        <v>567</v>
      </c>
      <c r="C275" s="506" t="s">
        <v>568</v>
      </c>
      <c r="D275" s="512">
        <v>728</v>
      </c>
      <c r="E275" s="508">
        <v>804</v>
      </c>
      <c r="F275" s="508">
        <v>818</v>
      </c>
      <c r="G275" s="508">
        <v>821</v>
      </c>
      <c r="H275" s="508">
        <v>839</v>
      </c>
      <c r="I275" s="508">
        <v>842</v>
      </c>
      <c r="J275" s="508">
        <v>848</v>
      </c>
      <c r="K275" s="508">
        <v>847</v>
      </c>
      <c r="L275" s="508">
        <v>852</v>
      </c>
      <c r="M275" s="509">
        <v>833.88</v>
      </c>
      <c r="N275" s="516">
        <v>262</v>
      </c>
      <c r="P275" s="510">
        <f t="shared" si="8"/>
        <v>1095.8800000000001</v>
      </c>
      <c r="Q275" s="513"/>
      <c r="T275" s="522">
        <v>833.88</v>
      </c>
      <c r="U275" s="523">
        <f t="shared" si="9"/>
        <v>0</v>
      </c>
    </row>
    <row r="276" spans="1:21">
      <c r="A276" s="506" t="s">
        <v>601</v>
      </c>
      <c r="B276" s="506" t="s">
        <v>118</v>
      </c>
      <c r="C276" s="506" t="s">
        <v>119</v>
      </c>
      <c r="D276" s="512">
        <v>343</v>
      </c>
      <c r="E276" s="508">
        <v>346</v>
      </c>
      <c r="F276" s="508">
        <v>340</v>
      </c>
      <c r="G276" s="508">
        <v>339</v>
      </c>
      <c r="H276" s="508">
        <v>338</v>
      </c>
      <c r="I276" s="508">
        <v>339</v>
      </c>
      <c r="J276" s="508">
        <v>343</v>
      </c>
      <c r="K276" s="508">
        <v>344</v>
      </c>
      <c r="L276" s="508">
        <v>340</v>
      </c>
      <c r="M276" s="509">
        <v>341.13</v>
      </c>
      <c r="N276" s="506"/>
      <c r="P276" s="510">
        <f t="shared" si="8"/>
        <v>341.13</v>
      </c>
      <c r="Q276" s="513"/>
      <c r="T276" s="522">
        <v>341.13</v>
      </c>
      <c r="U276" s="523">
        <f t="shared" si="9"/>
        <v>0</v>
      </c>
    </row>
    <row r="277" spans="1:21">
      <c r="A277" s="506" t="s">
        <v>599</v>
      </c>
      <c r="B277" s="506" t="s">
        <v>56</v>
      </c>
      <c r="C277" s="506" t="s">
        <v>57</v>
      </c>
      <c r="D277" s="512">
        <v>38</v>
      </c>
      <c r="E277" s="508">
        <v>54</v>
      </c>
      <c r="F277" s="508">
        <v>51</v>
      </c>
      <c r="G277" s="508">
        <v>53</v>
      </c>
      <c r="H277" s="508">
        <v>54</v>
      </c>
      <c r="I277" s="508">
        <v>57</v>
      </c>
      <c r="J277" s="508">
        <v>57</v>
      </c>
      <c r="K277" s="508">
        <v>54</v>
      </c>
      <c r="L277" s="508">
        <v>54</v>
      </c>
      <c r="M277" s="509">
        <v>54.25</v>
      </c>
      <c r="N277" s="506"/>
      <c r="P277" s="510">
        <f t="shared" si="8"/>
        <v>54.25</v>
      </c>
      <c r="Q277" s="513"/>
      <c r="T277" s="522">
        <v>54.25</v>
      </c>
      <c r="U277" s="523">
        <f t="shared" si="9"/>
        <v>0</v>
      </c>
    </row>
    <row r="278" spans="1:21">
      <c r="A278" s="506" t="s">
        <v>603</v>
      </c>
      <c r="B278" s="506" t="s">
        <v>0</v>
      </c>
      <c r="C278" s="506" t="s">
        <v>1</v>
      </c>
      <c r="D278" s="512">
        <v>0</v>
      </c>
      <c r="E278" s="508">
        <v>0</v>
      </c>
      <c r="F278" s="508">
        <v>0</v>
      </c>
      <c r="G278" s="508">
        <v>0</v>
      </c>
      <c r="H278" s="508">
        <v>0</v>
      </c>
      <c r="I278" s="508">
        <v>0</v>
      </c>
      <c r="J278" s="508">
        <v>0</v>
      </c>
      <c r="K278" s="508">
        <v>0</v>
      </c>
      <c r="L278" s="508">
        <v>0</v>
      </c>
      <c r="M278" s="509">
        <v>0</v>
      </c>
      <c r="N278" s="506"/>
      <c r="P278" s="510">
        <f t="shared" si="8"/>
        <v>0</v>
      </c>
      <c r="Q278" s="513"/>
      <c r="T278" s="522">
        <v>0</v>
      </c>
      <c r="U278" s="523">
        <f t="shared" si="9"/>
        <v>0</v>
      </c>
    </row>
    <row r="279" spans="1:21">
      <c r="A279" s="506" t="s">
        <v>601</v>
      </c>
      <c r="B279" s="506" t="s">
        <v>92</v>
      </c>
      <c r="C279" s="506" t="s">
        <v>93</v>
      </c>
      <c r="D279" s="512">
        <v>16</v>
      </c>
      <c r="E279" s="508">
        <v>17</v>
      </c>
      <c r="F279" s="508">
        <v>20</v>
      </c>
      <c r="G279" s="508">
        <v>20</v>
      </c>
      <c r="H279" s="508">
        <v>19</v>
      </c>
      <c r="I279" s="508">
        <v>19</v>
      </c>
      <c r="J279" s="508">
        <v>19</v>
      </c>
      <c r="K279" s="508">
        <v>15</v>
      </c>
      <c r="L279" s="508">
        <v>14</v>
      </c>
      <c r="M279" s="509">
        <v>17.88</v>
      </c>
      <c r="N279" s="506"/>
      <c r="P279" s="510">
        <f t="shared" si="8"/>
        <v>17.88</v>
      </c>
      <c r="Q279" s="513"/>
      <c r="T279" s="522">
        <v>17.88</v>
      </c>
      <c r="U279" s="523">
        <f t="shared" si="9"/>
        <v>0</v>
      </c>
    </row>
    <row r="280" spans="1:21">
      <c r="A280" s="506" t="s">
        <v>603</v>
      </c>
      <c r="B280" s="506" t="s">
        <v>452</v>
      </c>
      <c r="C280" s="506" t="s">
        <v>453</v>
      </c>
      <c r="D280" s="512">
        <v>0</v>
      </c>
      <c r="E280" s="508">
        <v>0</v>
      </c>
      <c r="F280" s="508">
        <v>0</v>
      </c>
      <c r="G280" s="508">
        <v>0</v>
      </c>
      <c r="H280" s="508">
        <v>0</v>
      </c>
      <c r="I280" s="508">
        <v>0</v>
      </c>
      <c r="J280" s="508">
        <v>0</v>
      </c>
      <c r="K280" s="508">
        <v>0</v>
      </c>
      <c r="L280" s="508">
        <v>0</v>
      </c>
      <c r="M280" s="509">
        <v>0</v>
      </c>
      <c r="N280" s="506"/>
      <c r="P280" s="510">
        <f t="shared" si="8"/>
        <v>0</v>
      </c>
      <c r="Q280" s="513"/>
      <c r="T280" s="522">
        <v>0</v>
      </c>
      <c r="U280" s="523">
        <f t="shared" si="9"/>
        <v>0</v>
      </c>
    </row>
    <row r="281" spans="1:21">
      <c r="A281" s="506" t="s">
        <v>601</v>
      </c>
      <c r="B281" s="506" t="s">
        <v>37</v>
      </c>
      <c r="C281" s="506" t="s">
        <v>38</v>
      </c>
      <c r="D281" s="512">
        <v>1542</v>
      </c>
      <c r="E281" s="508">
        <v>1574</v>
      </c>
      <c r="F281" s="508">
        <v>1588</v>
      </c>
      <c r="G281" s="508">
        <v>1577</v>
      </c>
      <c r="H281" s="508">
        <v>1563</v>
      </c>
      <c r="I281" s="508">
        <v>1570</v>
      </c>
      <c r="J281" s="508">
        <v>1576</v>
      </c>
      <c r="K281" s="508">
        <v>1577</v>
      </c>
      <c r="L281" s="508">
        <v>1578</v>
      </c>
      <c r="M281" s="509">
        <v>1575.38</v>
      </c>
      <c r="N281" s="506"/>
      <c r="P281" s="510">
        <f t="shared" si="8"/>
        <v>1575.38</v>
      </c>
      <c r="Q281" s="513"/>
      <c r="T281" s="522">
        <v>1575.38</v>
      </c>
      <c r="U281" s="523">
        <f t="shared" si="9"/>
        <v>0</v>
      </c>
    </row>
    <row r="282" spans="1:21">
      <c r="A282" s="506" t="s">
        <v>603</v>
      </c>
      <c r="B282" s="506" t="s">
        <v>443</v>
      </c>
      <c r="C282" s="506" t="s">
        <v>618</v>
      </c>
      <c r="D282" s="512">
        <v>97</v>
      </c>
      <c r="E282" s="508">
        <v>96</v>
      </c>
      <c r="F282" s="508">
        <v>104</v>
      </c>
      <c r="G282" s="508">
        <v>96</v>
      </c>
      <c r="H282" s="508">
        <v>128</v>
      </c>
      <c r="I282" s="508">
        <v>109</v>
      </c>
      <c r="J282" s="508">
        <v>115</v>
      </c>
      <c r="K282" s="508">
        <v>112</v>
      </c>
      <c r="L282" s="508">
        <v>111</v>
      </c>
      <c r="M282" s="509">
        <v>108.88</v>
      </c>
      <c r="N282" s="516">
        <v>3</v>
      </c>
      <c r="P282" s="510">
        <f t="shared" si="8"/>
        <v>111.88</v>
      </c>
      <c r="Q282" s="514"/>
      <c r="T282" s="522">
        <v>108.88</v>
      </c>
      <c r="U282" s="523">
        <f t="shared" si="9"/>
        <v>0</v>
      </c>
    </row>
    <row r="283" spans="1:21">
      <c r="A283" s="506" t="s">
        <v>605</v>
      </c>
      <c r="B283" s="506" t="s">
        <v>569</v>
      </c>
      <c r="C283" s="506" t="s">
        <v>570</v>
      </c>
      <c r="D283" s="512">
        <v>65</v>
      </c>
      <c r="E283" s="508">
        <v>90</v>
      </c>
      <c r="F283" s="508">
        <v>92</v>
      </c>
      <c r="G283" s="508">
        <v>92</v>
      </c>
      <c r="H283" s="508">
        <v>94</v>
      </c>
      <c r="I283" s="508">
        <v>91</v>
      </c>
      <c r="J283" s="508">
        <v>93</v>
      </c>
      <c r="K283" s="508">
        <v>119</v>
      </c>
      <c r="L283" s="508">
        <v>122</v>
      </c>
      <c r="M283" s="509">
        <v>99.13</v>
      </c>
      <c r="N283" s="506"/>
      <c r="P283" s="510">
        <f t="shared" si="8"/>
        <v>99.13</v>
      </c>
      <c r="Q283" s="514"/>
      <c r="T283" s="522">
        <v>99.13</v>
      </c>
      <c r="U283" s="523">
        <f t="shared" si="9"/>
        <v>0</v>
      </c>
    </row>
    <row r="284" spans="1:21">
      <c r="A284" s="506" t="s">
        <v>594</v>
      </c>
      <c r="B284" s="506" t="s">
        <v>276</v>
      </c>
      <c r="C284" s="506" t="s">
        <v>277</v>
      </c>
      <c r="D284" s="512">
        <v>0</v>
      </c>
      <c r="E284" s="508">
        <v>0</v>
      </c>
      <c r="F284" s="508">
        <v>0</v>
      </c>
      <c r="G284" s="508">
        <v>0</v>
      </c>
      <c r="H284" s="508">
        <v>0</v>
      </c>
      <c r="I284" s="508">
        <v>0</v>
      </c>
      <c r="J284" s="508">
        <v>0</v>
      </c>
      <c r="K284" s="508">
        <v>0</v>
      </c>
      <c r="L284" s="508">
        <v>0</v>
      </c>
      <c r="M284" s="509">
        <v>0</v>
      </c>
      <c r="N284" s="506"/>
      <c r="P284" s="510">
        <f t="shared" si="8"/>
        <v>0</v>
      </c>
      <c r="Q284" s="514"/>
      <c r="T284" s="522">
        <v>0</v>
      </c>
      <c r="U284" s="523">
        <f t="shared" si="9"/>
        <v>0</v>
      </c>
    </row>
    <row r="285" spans="1:21">
      <c r="A285" s="506" t="s">
        <v>597</v>
      </c>
      <c r="B285" s="506" t="s">
        <v>367</v>
      </c>
      <c r="C285" s="506" t="s">
        <v>368</v>
      </c>
      <c r="D285" s="512">
        <v>26</v>
      </c>
      <c r="E285" s="508">
        <v>40</v>
      </c>
      <c r="F285" s="508">
        <v>39</v>
      </c>
      <c r="G285" s="508">
        <v>39</v>
      </c>
      <c r="H285" s="508">
        <v>39</v>
      </c>
      <c r="I285" s="508">
        <v>39</v>
      </c>
      <c r="J285" s="508">
        <v>40</v>
      </c>
      <c r="K285" s="508">
        <v>42</v>
      </c>
      <c r="L285" s="508">
        <v>43</v>
      </c>
      <c r="M285" s="509">
        <v>40.130000000000003</v>
      </c>
      <c r="N285" s="506"/>
      <c r="P285" s="510">
        <f t="shared" si="8"/>
        <v>40.130000000000003</v>
      </c>
      <c r="Q285" s="514"/>
      <c r="T285" s="522">
        <v>40.130000000000003</v>
      </c>
      <c r="U285" s="523">
        <f t="shared" si="9"/>
        <v>0</v>
      </c>
    </row>
    <row r="286" spans="1:21">
      <c r="A286" s="506" t="s">
        <v>599</v>
      </c>
      <c r="B286" s="506" t="s">
        <v>248</v>
      </c>
      <c r="C286" s="506" t="s">
        <v>249</v>
      </c>
      <c r="D286" s="512">
        <v>183</v>
      </c>
      <c r="E286" s="508">
        <v>182</v>
      </c>
      <c r="F286" s="508">
        <v>187</v>
      </c>
      <c r="G286" s="508">
        <v>185</v>
      </c>
      <c r="H286" s="508">
        <v>185</v>
      </c>
      <c r="I286" s="508">
        <v>186</v>
      </c>
      <c r="J286" s="508">
        <v>188</v>
      </c>
      <c r="K286" s="508">
        <v>189</v>
      </c>
      <c r="L286" s="508">
        <v>190</v>
      </c>
      <c r="M286" s="509">
        <v>186.5</v>
      </c>
      <c r="N286" s="506"/>
      <c r="P286" s="510">
        <f t="shared" si="8"/>
        <v>186.5</v>
      </c>
      <c r="Q286" s="514"/>
      <c r="T286" s="522">
        <v>186.5</v>
      </c>
      <c r="U286" s="523">
        <f t="shared" si="9"/>
        <v>0</v>
      </c>
    </row>
    <row r="287" spans="1:21">
      <c r="A287" s="506" t="s">
        <v>603</v>
      </c>
      <c r="B287" s="506" t="s">
        <v>289</v>
      </c>
      <c r="C287" s="506" t="s">
        <v>290</v>
      </c>
      <c r="D287" s="512">
        <v>0</v>
      </c>
      <c r="E287" s="508">
        <v>0</v>
      </c>
      <c r="F287" s="508">
        <v>0</v>
      </c>
      <c r="G287" s="508">
        <v>0</v>
      </c>
      <c r="H287" s="508">
        <v>0</v>
      </c>
      <c r="I287" s="508">
        <v>0</v>
      </c>
      <c r="J287" s="508">
        <v>0</v>
      </c>
      <c r="K287" s="508">
        <v>0</v>
      </c>
      <c r="L287" s="508">
        <v>0</v>
      </c>
      <c r="M287" s="509">
        <v>0</v>
      </c>
      <c r="N287" s="506"/>
      <c r="P287" s="510">
        <f t="shared" si="8"/>
        <v>0</v>
      </c>
      <c r="Q287" s="514"/>
      <c r="T287" s="522">
        <v>0</v>
      </c>
      <c r="U287" s="523">
        <f t="shared" si="9"/>
        <v>0</v>
      </c>
    </row>
    <row r="288" spans="1:21">
      <c r="A288" s="506" t="s">
        <v>594</v>
      </c>
      <c r="B288" s="506" t="s">
        <v>332</v>
      </c>
      <c r="C288" s="506" t="s">
        <v>333</v>
      </c>
      <c r="D288" s="512">
        <v>7</v>
      </c>
      <c r="E288" s="508">
        <v>7</v>
      </c>
      <c r="F288" s="508">
        <v>7</v>
      </c>
      <c r="G288" s="508">
        <v>11</v>
      </c>
      <c r="H288" s="508">
        <v>11</v>
      </c>
      <c r="I288" s="508">
        <v>11</v>
      </c>
      <c r="J288" s="508">
        <v>11</v>
      </c>
      <c r="K288" s="508">
        <v>12</v>
      </c>
      <c r="L288" s="508">
        <v>11</v>
      </c>
      <c r="M288" s="509">
        <v>10.130000000000001</v>
      </c>
      <c r="N288" s="506"/>
      <c r="P288" s="510">
        <f t="shared" si="8"/>
        <v>10.130000000000001</v>
      </c>
      <c r="Q288" s="514"/>
      <c r="T288" s="522">
        <v>10.130000000000001</v>
      </c>
      <c r="U288" s="523">
        <f t="shared" si="9"/>
        <v>0</v>
      </c>
    </row>
    <row r="289" spans="1:21">
      <c r="A289" s="506" t="s">
        <v>601</v>
      </c>
      <c r="B289" s="506" t="s">
        <v>129</v>
      </c>
      <c r="C289" s="506" t="s">
        <v>130</v>
      </c>
      <c r="D289" s="512">
        <v>0</v>
      </c>
      <c r="E289" s="508">
        <v>0</v>
      </c>
      <c r="F289" s="508">
        <v>0</v>
      </c>
      <c r="G289" s="508">
        <v>0</v>
      </c>
      <c r="H289" s="508">
        <v>0</v>
      </c>
      <c r="I289" s="508">
        <v>0</v>
      </c>
      <c r="J289" s="508">
        <v>0</v>
      </c>
      <c r="K289" s="508">
        <v>0</v>
      </c>
      <c r="L289" s="508">
        <v>0</v>
      </c>
      <c r="M289" s="509">
        <v>0</v>
      </c>
      <c r="N289" s="506"/>
      <c r="P289" s="510">
        <f t="shared" si="8"/>
        <v>0</v>
      </c>
      <c r="Q289" s="514"/>
      <c r="T289" s="522">
        <v>0</v>
      </c>
      <c r="U289" s="523">
        <f t="shared" si="9"/>
        <v>0</v>
      </c>
    </row>
    <row r="290" spans="1:21">
      <c r="A290" s="506" t="s">
        <v>594</v>
      </c>
      <c r="B290" s="506" t="s">
        <v>264</v>
      </c>
      <c r="C290" s="506" t="s">
        <v>265</v>
      </c>
      <c r="D290" s="512">
        <v>47</v>
      </c>
      <c r="E290" s="508">
        <v>57</v>
      </c>
      <c r="F290" s="508">
        <v>58</v>
      </c>
      <c r="G290" s="508">
        <v>61</v>
      </c>
      <c r="H290" s="508">
        <v>62</v>
      </c>
      <c r="I290" s="508">
        <v>65</v>
      </c>
      <c r="J290" s="508">
        <v>62</v>
      </c>
      <c r="K290" s="508">
        <v>62</v>
      </c>
      <c r="L290" s="508">
        <v>62</v>
      </c>
      <c r="M290" s="509">
        <v>61.13</v>
      </c>
      <c r="N290" s="506"/>
      <c r="P290" s="510">
        <f t="shared" si="8"/>
        <v>61.13</v>
      </c>
      <c r="Q290" s="514"/>
      <c r="T290" s="522">
        <v>61.13</v>
      </c>
      <c r="U290" s="523">
        <f t="shared" si="9"/>
        <v>0</v>
      </c>
    </row>
    <row r="291" spans="1:21">
      <c r="A291" s="506" t="s">
        <v>594</v>
      </c>
      <c r="B291" s="506" t="s">
        <v>151</v>
      </c>
      <c r="C291" s="506" t="s">
        <v>152</v>
      </c>
      <c r="D291" s="512">
        <v>0</v>
      </c>
      <c r="E291" s="508">
        <v>0</v>
      </c>
      <c r="F291" s="508">
        <v>0</v>
      </c>
      <c r="G291" s="508">
        <v>0</v>
      </c>
      <c r="H291" s="508">
        <v>0</v>
      </c>
      <c r="I291" s="508">
        <v>0</v>
      </c>
      <c r="J291" s="508">
        <v>0</v>
      </c>
      <c r="K291" s="508">
        <v>0</v>
      </c>
      <c r="L291" s="508">
        <v>0</v>
      </c>
      <c r="M291" s="509">
        <v>0</v>
      </c>
      <c r="N291" s="506"/>
      <c r="P291" s="510">
        <f t="shared" si="8"/>
        <v>0</v>
      </c>
      <c r="Q291" s="514"/>
      <c r="T291" s="522">
        <v>0</v>
      </c>
      <c r="U291" s="523">
        <f t="shared" si="9"/>
        <v>0</v>
      </c>
    </row>
    <row r="292" spans="1:21">
      <c r="A292" s="506" t="s">
        <v>599</v>
      </c>
      <c r="B292" s="506" t="s">
        <v>232</v>
      </c>
      <c r="C292" s="506" t="s">
        <v>233</v>
      </c>
      <c r="D292" s="512">
        <v>0</v>
      </c>
      <c r="E292" s="508">
        <v>0</v>
      </c>
      <c r="F292" s="508">
        <v>0</v>
      </c>
      <c r="G292" s="508">
        <v>0</v>
      </c>
      <c r="H292" s="508">
        <v>0</v>
      </c>
      <c r="I292" s="508">
        <v>0</v>
      </c>
      <c r="J292" s="508">
        <v>0</v>
      </c>
      <c r="K292" s="508">
        <v>0</v>
      </c>
      <c r="L292" s="508">
        <v>0</v>
      </c>
      <c r="M292" s="509">
        <v>0</v>
      </c>
      <c r="N292" s="506"/>
      <c r="P292" s="510">
        <f t="shared" si="8"/>
        <v>0</v>
      </c>
      <c r="Q292" s="514"/>
      <c r="T292" s="522">
        <v>0</v>
      </c>
      <c r="U292" s="523">
        <f t="shared" si="9"/>
        <v>0</v>
      </c>
    </row>
    <row r="293" spans="1:21">
      <c r="A293" s="506" t="s">
        <v>599</v>
      </c>
      <c r="B293" s="506" t="s">
        <v>78</v>
      </c>
      <c r="C293" s="506" t="s">
        <v>79</v>
      </c>
      <c r="D293" s="512">
        <v>104</v>
      </c>
      <c r="E293" s="508">
        <v>123</v>
      </c>
      <c r="F293" s="508">
        <v>120</v>
      </c>
      <c r="G293" s="508">
        <v>120</v>
      </c>
      <c r="H293" s="508">
        <v>120</v>
      </c>
      <c r="I293" s="508">
        <v>117</v>
      </c>
      <c r="J293" s="508">
        <v>125</v>
      </c>
      <c r="K293" s="508">
        <v>127</v>
      </c>
      <c r="L293" s="508">
        <v>127</v>
      </c>
      <c r="M293" s="509">
        <v>122.38</v>
      </c>
      <c r="N293" s="506"/>
      <c r="P293" s="510">
        <f t="shared" si="8"/>
        <v>122.38</v>
      </c>
      <c r="Q293" s="514"/>
      <c r="T293" s="522">
        <v>122.38</v>
      </c>
      <c r="U293" s="523">
        <f t="shared" si="9"/>
        <v>0</v>
      </c>
    </row>
    <row r="294" spans="1:21">
      <c r="A294" s="506" t="s">
        <v>605</v>
      </c>
      <c r="B294" s="506" t="s">
        <v>547</v>
      </c>
      <c r="C294" s="506" t="s">
        <v>548</v>
      </c>
      <c r="D294" s="512">
        <v>3646</v>
      </c>
      <c r="E294" s="508">
        <v>4046</v>
      </c>
      <c r="F294" s="508">
        <v>4157</v>
      </c>
      <c r="G294" s="508">
        <v>4131</v>
      </c>
      <c r="H294" s="508">
        <v>4089</v>
      </c>
      <c r="I294" s="508">
        <v>4071</v>
      </c>
      <c r="J294" s="508">
        <v>4060</v>
      </c>
      <c r="K294" s="508">
        <v>4079</v>
      </c>
      <c r="L294" s="508">
        <v>4078</v>
      </c>
      <c r="M294" s="509">
        <v>4088.88</v>
      </c>
      <c r="N294" s="516">
        <v>37</v>
      </c>
      <c r="P294" s="510">
        <f t="shared" si="8"/>
        <v>4125.88</v>
      </c>
      <c r="Q294" s="514"/>
      <c r="T294" s="522">
        <v>4088.88</v>
      </c>
      <c r="U294" s="523">
        <f t="shared" si="9"/>
        <v>0</v>
      </c>
    </row>
    <row r="295" spans="1:21">
      <c r="A295" s="506" t="s">
        <v>594</v>
      </c>
      <c r="B295" s="506" t="s">
        <v>472</v>
      </c>
      <c r="C295" s="506" t="s">
        <v>619</v>
      </c>
      <c r="D295" s="512">
        <v>46</v>
      </c>
      <c r="E295" s="508">
        <v>73</v>
      </c>
      <c r="F295" s="508">
        <v>77</v>
      </c>
      <c r="G295" s="508">
        <v>76</v>
      </c>
      <c r="H295" s="508">
        <v>76</v>
      </c>
      <c r="I295" s="508">
        <v>76</v>
      </c>
      <c r="J295" s="508">
        <v>78</v>
      </c>
      <c r="K295" s="508">
        <v>78</v>
      </c>
      <c r="L295" s="508">
        <v>74</v>
      </c>
      <c r="M295" s="509">
        <v>76</v>
      </c>
      <c r="N295" s="506"/>
      <c r="P295" s="510">
        <f t="shared" si="8"/>
        <v>76</v>
      </c>
      <c r="Q295" s="514"/>
      <c r="T295" s="522">
        <v>76</v>
      </c>
      <c r="U295" s="523">
        <f t="shared" si="9"/>
        <v>0</v>
      </c>
    </row>
    <row r="296" spans="1:21">
      <c r="A296" s="506" t="s">
        <v>605</v>
      </c>
      <c r="B296" s="506" t="s">
        <v>565</v>
      </c>
      <c r="C296" s="506" t="s">
        <v>566</v>
      </c>
      <c r="D296" s="512">
        <v>125</v>
      </c>
      <c r="E296" s="508">
        <v>141</v>
      </c>
      <c r="F296" s="508">
        <v>142</v>
      </c>
      <c r="G296" s="508">
        <v>148</v>
      </c>
      <c r="H296" s="508">
        <v>148</v>
      </c>
      <c r="I296" s="508">
        <v>148</v>
      </c>
      <c r="J296" s="508">
        <v>146</v>
      </c>
      <c r="K296" s="508">
        <v>148</v>
      </c>
      <c r="L296" s="508">
        <v>149</v>
      </c>
      <c r="M296" s="509">
        <v>146.25</v>
      </c>
      <c r="N296" s="506"/>
      <c r="P296" s="510">
        <f t="shared" si="8"/>
        <v>146.25</v>
      </c>
      <c r="Q296" s="514"/>
      <c r="T296" s="522">
        <v>146.25</v>
      </c>
      <c r="U296" s="523">
        <f t="shared" si="9"/>
        <v>0</v>
      </c>
    </row>
    <row r="297" spans="1:21">
      <c r="A297" s="506" t="s">
        <v>830</v>
      </c>
      <c r="B297" s="506"/>
      <c r="C297" s="506"/>
      <c r="D297" s="517">
        <v>77853</v>
      </c>
      <c r="E297" s="517">
        <v>88672</v>
      </c>
      <c r="F297" s="517">
        <v>89772</v>
      </c>
      <c r="G297" s="517">
        <v>89824</v>
      </c>
      <c r="H297" s="517">
        <v>89604</v>
      </c>
      <c r="I297" s="517">
        <v>90063</v>
      </c>
      <c r="J297" s="517">
        <v>90288</v>
      </c>
      <c r="K297" s="517">
        <v>90477</v>
      </c>
      <c r="L297" s="517">
        <v>90527</v>
      </c>
      <c r="M297" s="509">
        <f>SUM(M2:M296)</f>
        <v>89903.86000000003</v>
      </c>
      <c r="N297" s="509">
        <f>SUM(N2:N296)</f>
        <v>798</v>
      </c>
      <c r="O297" s="509">
        <f>SUM(O2:O296)</f>
        <v>14</v>
      </c>
      <c r="P297" s="509">
        <f>SUM(P2:P296)</f>
        <v>90715.86000000003</v>
      </c>
      <c r="T297" s="524">
        <v>89903.86000000003</v>
      </c>
      <c r="U297" s="525">
        <f t="shared" si="9"/>
        <v>0</v>
      </c>
    </row>
    <row r="298" spans="1:21">
      <c r="E298" s="517"/>
      <c r="F298" s="517"/>
      <c r="G298" s="517"/>
      <c r="H298" s="517"/>
      <c r="I298" s="517"/>
      <c r="J298" s="517"/>
      <c r="K298" s="517"/>
      <c r="L298" s="517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transitionEvaluation="1" codeName="Sheet9">
    <pageSetUpPr fitToPage="1"/>
  </sheetPr>
  <dimension ref="A4:P305"/>
  <sheetViews>
    <sheetView showZeros="0" defaultGridColor="0" colorId="22" zoomScaleNormal="100" workbookViewId="0">
      <selection activeCell="M304" sqref="M304"/>
    </sheetView>
  </sheetViews>
  <sheetFormatPr defaultColWidth="16.42578125" defaultRowHeight="12.75"/>
  <cols>
    <col min="1" max="1" width="6.140625" style="158" customWidth="1"/>
    <col min="2" max="2" width="9.42578125" style="158" customWidth="1"/>
    <col min="3" max="3" width="24.140625" style="158" customWidth="1"/>
    <col min="4" max="4" width="9.42578125" style="158" hidden="1" customWidth="1"/>
    <col min="5" max="12" width="10" style="158" customWidth="1"/>
    <col min="13" max="13" width="16.85546875" style="158" bestFit="1" customWidth="1"/>
    <col min="14" max="14" width="6.140625" style="158" customWidth="1"/>
    <col min="15" max="15" width="8.5703125" style="158" customWidth="1"/>
    <col min="16" max="16384" width="16.42578125" style="158"/>
  </cols>
  <sheetData>
    <row r="4" spans="1:16">
      <c r="A4" s="158" t="s">
        <v>869</v>
      </c>
    </row>
    <row r="5" spans="1:16">
      <c r="A5" s="158" t="str">
        <f>"Districts Reporting Bilingual Enrollment = "&amp;P7</f>
        <v>Districts Reporting Bilingual Enrollment = 192</v>
      </c>
    </row>
    <row r="6" spans="1:16">
      <c r="M6" s="240" t="s">
        <v>740</v>
      </c>
      <c r="N6" s="158" t="s">
        <v>819</v>
      </c>
    </row>
    <row r="7" spans="1:16">
      <c r="A7" s="158" t="s">
        <v>591</v>
      </c>
      <c r="B7" s="158" t="s">
        <v>592</v>
      </c>
      <c r="C7" s="158" t="s">
        <v>593</v>
      </c>
      <c r="D7" s="455" t="s">
        <v>867</v>
      </c>
      <c r="E7" s="455" t="s">
        <v>820</v>
      </c>
      <c r="F7" s="455" t="s">
        <v>821</v>
      </c>
      <c r="G7" s="455" t="s">
        <v>822</v>
      </c>
      <c r="H7" s="455" t="s">
        <v>823</v>
      </c>
      <c r="I7" s="455" t="s">
        <v>824</v>
      </c>
      <c r="J7" s="455" t="s">
        <v>825</v>
      </c>
      <c r="K7" s="455" t="s">
        <v>826</v>
      </c>
      <c r="L7" s="455" t="s">
        <v>827</v>
      </c>
      <c r="M7" s="240" t="s">
        <v>828</v>
      </c>
      <c r="N7" s="158" t="s">
        <v>829</v>
      </c>
      <c r="P7" s="158" t="str">
        <f>FIXED(SUM(P9:P303),0,TRUE)</f>
        <v>192</v>
      </c>
    </row>
    <row r="9" spans="1:16">
      <c r="A9" s="158" t="s">
        <v>594</v>
      </c>
      <c r="B9" s="158" t="s">
        <v>132</v>
      </c>
      <c r="C9" s="158" t="s">
        <v>133</v>
      </c>
      <c r="D9" s="406">
        <v>244</v>
      </c>
      <c r="E9" s="408">
        <v>245</v>
      </c>
      <c r="F9" s="408">
        <v>247</v>
      </c>
      <c r="G9" s="408">
        <v>249</v>
      </c>
      <c r="H9" s="408">
        <v>252</v>
      </c>
      <c r="I9" s="408">
        <v>253</v>
      </c>
      <c r="J9" s="408">
        <v>252</v>
      </c>
      <c r="K9" s="408">
        <v>242</v>
      </c>
      <c r="L9" s="408">
        <v>240</v>
      </c>
      <c r="M9" s="158">
        <f t="shared" ref="M9:M72" si="0">ROUND(SUM(E9:L9)/8,2)</f>
        <v>247.5</v>
      </c>
      <c r="O9" s="158" t="s">
        <v>621</v>
      </c>
      <c r="P9" s="158">
        <f t="shared" ref="P9:P72" si="1">IF(M9&gt;0,1,0)</f>
        <v>1</v>
      </c>
    </row>
    <row r="10" spans="1:16">
      <c r="A10" s="158" t="s">
        <v>594</v>
      </c>
      <c r="B10" s="158" t="s">
        <v>262</v>
      </c>
      <c r="C10" s="158" t="s">
        <v>263</v>
      </c>
      <c r="D10" s="407">
        <v>0</v>
      </c>
      <c r="E10" s="408">
        <v>0</v>
      </c>
      <c r="F10" s="408">
        <v>0</v>
      </c>
      <c r="G10" s="408">
        <v>0</v>
      </c>
      <c r="H10" s="408">
        <v>0</v>
      </c>
      <c r="I10" s="408">
        <v>0</v>
      </c>
      <c r="J10" s="408">
        <v>0</v>
      </c>
      <c r="K10" s="408">
        <v>0</v>
      </c>
      <c r="L10" s="408">
        <v>0</v>
      </c>
      <c r="M10" s="158">
        <f t="shared" si="0"/>
        <v>0</v>
      </c>
      <c r="O10" s="158" t="s">
        <v>801</v>
      </c>
      <c r="P10" s="158">
        <f t="shared" si="1"/>
        <v>0</v>
      </c>
    </row>
    <row r="11" spans="1:16">
      <c r="A11" s="158" t="s">
        <v>603</v>
      </c>
      <c r="B11" s="158" t="s">
        <v>283</v>
      </c>
      <c r="C11" s="158" t="s">
        <v>284</v>
      </c>
      <c r="D11" s="407">
        <v>0</v>
      </c>
      <c r="E11" s="408">
        <v>0</v>
      </c>
      <c r="F11" s="408">
        <v>0</v>
      </c>
      <c r="G11" s="408">
        <v>0</v>
      </c>
      <c r="H11" s="408">
        <v>0</v>
      </c>
      <c r="I11" s="408">
        <v>0</v>
      </c>
      <c r="J11" s="408">
        <v>0</v>
      </c>
      <c r="K11" s="408">
        <v>0</v>
      </c>
      <c r="L11" s="408">
        <v>0</v>
      </c>
      <c r="M11" s="158">
        <f t="shared" si="0"/>
        <v>0</v>
      </c>
      <c r="O11" s="158" t="s">
        <v>801</v>
      </c>
      <c r="P11" s="158">
        <f t="shared" si="1"/>
        <v>0</v>
      </c>
    </row>
    <row r="12" spans="1:16">
      <c r="A12" s="158" t="s">
        <v>595</v>
      </c>
      <c r="B12" s="158" t="s">
        <v>380</v>
      </c>
      <c r="C12" s="158" t="s">
        <v>381</v>
      </c>
      <c r="D12" s="407">
        <v>49</v>
      </c>
      <c r="E12" s="408">
        <v>51</v>
      </c>
      <c r="F12" s="408">
        <v>53</v>
      </c>
      <c r="G12" s="408">
        <v>53</v>
      </c>
      <c r="H12" s="408">
        <v>53</v>
      </c>
      <c r="I12" s="408">
        <v>52</v>
      </c>
      <c r="J12" s="408">
        <v>52</v>
      </c>
      <c r="K12" s="408">
        <v>51</v>
      </c>
      <c r="L12" s="408">
        <v>50</v>
      </c>
      <c r="M12" s="158">
        <f t="shared" si="0"/>
        <v>51.88</v>
      </c>
      <c r="O12" s="158" t="s">
        <v>621</v>
      </c>
      <c r="P12" s="158">
        <f t="shared" si="1"/>
        <v>1</v>
      </c>
    </row>
    <row r="13" spans="1:16">
      <c r="A13" s="158" t="s">
        <v>595</v>
      </c>
      <c r="B13" s="158" t="s">
        <v>403</v>
      </c>
      <c r="C13" s="158" t="s">
        <v>404</v>
      </c>
      <c r="D13" s="407">
        <v>159</v>
      </c>
      <c r="E13" s="408">
        <v>162</v>
      </c>
      <c r="F13" s="408">
        <v>162</v>
      </c>
      <c r="G13" s="408">
        <v>164</v>
      </c>
      <c r="H13" s="408">
        <v>164</v>
      </c>
      <c r="I13" s="408">
        <v>170</v>
      </c>
      <c r="J13" s="408">
        <v>172</v>
      </c>
      <c r="K13" s="408">
        <v>172</v>
      </c>
      <c r="L13" s="408">
        <v>173</v>
      </c>
      <c r="M13" s="158">
        <f t="shared" si="0"/>
        <v>167.38</v>
      </c>
      <c r="O13" s="158" t="s">
        <v>621</v>
      </c>
      <c r="P13" s="158">
        <f t="shared" si="1"/>
        <v>1</v>
      </c>
    </row>
    <row r="14" spans="1:16">
      <c r="A14" s="158" t="s">
        <v>596</v>
      </c>
      <c r="B14" s="158" t="s">
        <v>12</v>
      </c>
      <c r="C14" s="158" t="s">
        <v>13</v>
      </c>
      <c r="D14" s="407">
        <v>0</v>
      </c>
      <c r="E14" s="408">
        <v>0</v>
      </c>
      <c r="F14" s="408">
        <v>0</v>
      </c>
      <c r="G14" s="408">
        <v>0</v>
      </c>
      <c r="H14" s="408">
        <v>0</v>
      </c>
      <c r="I14" s="408">
        <v>0</v>
      </c>
      <c r="J14" s="408">
        <v>0</v>
      </c>
      <c r="K14" s="408">
        <v>0</v>
      </c>
      <c r="L14" s="408">
        <v>0</v>
      </c>
      <c r="M14" s="158">
        <f t="shared" si="0"/>
        <v>0</v>
      </c>
      <c r="O14" s="158" t="s">
        <v>801</v>
      </c>
      <c r="P14" s="158">
        <f t="shared" si="1"/>
        <v>0</v>
      </c>
    </row>
    <row r="15" spans="1:16">
      <c r="A15" s="158" t="s">
        <v>597</v>
      </c>
      <c r="B15" s="158" t="s">
        <v>195</v>
      </c>
      <c r="C15" s="158" t="s">
        <v>196</v>
      </c>
      <c r="D15" s="407">
        <v>1675</v>
      </c>
      <c r="E15" s="408">
        <v>1738</v>
      </c>
      <c r="F15" s="408">
        <v>1750</v>
      </c>
      <c r="G15" s="408">
        <v>1745</v>
      </c>
      <c r="H15" s="408">
        <v>1718</v>
      </c>
      <c r="I15" s="408">
        <v>1744</v>
      </c>
      <c r="J15" s="408">
        <v>1741</v>
      </c>
      <c r="K15" s="408">
        <v>1748</v>
      </c>
      <c r="L15" s="408">
        <v>1748</v>
      </c>
      <c r="M15" s="158">
        <f t="shared" si="0"/>
        <v>1741.5</v>
      </c>
      <c r="O15" s="158" t="s">
        <v>621</v>
      </c>
      <c r="P15" s="158">
        <f t="shared" si="1"/>
        <v>1</v>
      </c>
    </row>
    <row r="16" spans="1:16">
      <c r="A16" s="158" t="s">
        <v>597</v>
      </c>
      <c r="B16" s="158" t="s">
        <v>213</v>
      </c>
      <c r="C16" s="158" t="s">
        <v>598</v>
      </c>
      <c r="D16" s="407">
        <v>21</v>
      </c>
      <c r="E16" s="408">
        <v>31</v>
      </c>
      <c r="F16" s="408">
        <v>32</v>
      </c>
      <c r="G16" s="408">
        <v>32</v>
      </c>
      <c r="H16" s="408">
        <v>32</v>
      </c>
      <c r="I16" s="408">
        <v>32</v>
      </c>
      <c r="J16" s="408">
        <v>32</v>
      </c>
      <c r="K16" s="408">
        <v>32</v>
      </c>
      <c r="L16" s="408">
        <v>35</v>
      </c>
      <c r="M16" s="158">
        <f t="shared" si="0"/>
        <v>32.25</v>
      </c>
      <c r="O16" s="158" t="s">
        <v>621</v>
      </c>
      <c r="P16" s="158">
        <f t="shared" si="1"/>
        <v>1</v>
      </c>
    </row>
    <row r="17" spans="1:16">
      <c r="A17" s="158" t="s">
        <v>599</v>
      </c>
      <c r="B17" s="158" t="s">
        <v>62</v>
      </c>
      <c r="C17" s="158" t="s">
        <v>63</v>
      </c>
      <c r="D17" s="407">
        <v>491</v>
      </c>
      <c r="E17" s="408">
        <v>651</v>
      </c>
      <c r="F17" s="408">
        <v>665</v>
      </c>
      <c r="G17" s="408">
        <v>668</v>
      </c>
      <c r="H17" s="408">
        <v>669</v>
      </c>
      <c r="I17" s="408">
        <v>666</v>
      </c>
      <c r="J17" s="408">
        <v>659</v>
      </c>
      <c r="K17" s="408">
        <v>660</v>
      </c>
      <c r="L17" s="408">
        <v>670</v>
      </c>
      <c r="M17" s="158">
        <f t="shared" si="0"/>
        <v>663.5</v>
      </c>
      <c r="O17" s="158" t="s">
        <v>621</v>
      </c>
      <c r="P17" s="158">
        <f t="shared" si="1"/>
        <v>1</v>
      </c>
    </row>
    <row r="18" spans="1:16">
      <c r="A18" s="158" t="s">
        <v>597</v>
      </c>
      <c r="B18" s="158" t="s">
        <v>189</v>
      </c>
      <c r="C18" s="158" t="s">
        <v>190</v>
      </c>
      <c r="D18" s="407">
        <v>1529</v>
      </c>
      <c r="E18" s="408">
        <v>1591</v>
      </c>
      <c r="F18" s="408">
        <v>1619</v>
      </c>
      <c r="G18" s="408">
        <v>1628</v>
      </c>
      <c r="H18" s="408">
        <v>1643</v>
      </c>
      <c r="I18" s="408">
        <v>1675</v>
      </c>
      <c r="J18" s="408">
        <v>1663</v>
      </c>
      <c r="K18" s="408">
        <v>1703</v>
      </c>
      <c r="L18" s="408">
        <v>1714</v>
      </c>
      <c r="M18" s="158">
        <f t="shared" si="0"/>
        <v>1654.5</v>
      </c>
      <c r="O18" s="158" t="s">
        <v>621</v>
      </c>
      <c r="P18" s="158">
        <f t="shared" si="1"/>
        <v>1</v>
      </c>
    </row>
    <row r="19" spans="1:16">
      <c r="A19" s="158" t="s">
        <v>595</v>
      </c>
      <c r="B19" s="158" t="s">
        <v>504</v>
      </c>
      <c r="C19" s="158" t="s">
        <v>505</v>
      </c>
      <c r="D19" s="407">
        <v>484</v>
      </c>
      <c r="E19" s="408">
        <v>564</v>
      </c>
      <c r="F19" s="408">
        <v>559</v>
      </c>
      <c r="G19" s="408">
        <v>560</v>
      </c>
      <c r="H19" s="408">
        <v>553</v>
      </c>
      <c r="I19" s="408">
        <v>560</v>
      </c>
      <c r="J19" s="408">
        <v>559</v>
      </c>
      <c r="K19" s="408">
        <v>565</v>
      </c>
      <c r="L19" s="408">
        <v>571</v>
      </c>
      <c r="M19" s="158">
        <f t="shared" si="0"/>
        <v>561.38</v>
      </c>
      <c r="O19" s="158" t="s">
        <v>621</v>
      </c>
      <c r="P19" s="158">
        <f t="shared" si="1"/>
        <v>1</v>
      </c>
    </row>
    <row r="20" spans="1:16">
      <c r="A20" s="158" t="s">
        <v>603</v>
      </c>
      <c r="B20" s="158" t="s">
        <v>2</v>
      </c>
      <c r="C20" s="158" t="s">
        <v>3</v>
      </c>
      <c r="D20" s="407">
        <v>0</v>
      </c>
      <c r="E20" s="408">
        <v>0</v>
      </c>
      <c r="F20" s="408">
        <v>0</v>
      </c>
      <c r="G20" s="408">
        <v>0</v>
      </c>
      <c r="H20" s="408">
        <v>0</v>
      </c>
      <c r="I20" s="408">
        <v>0</v>
      </c>
      <c r="J20" s="408">
        <v>0</v>
      </c>
      <c r="K20" s="408">
        <v>0</v>
      </c>
      <c r="L20" s="408">
        <v>0</v>
      </c>
      <c r="M20" s="158">
        <f t="shared" si="0"/>
        <v>0</v>
      </c>
      <c r="O20" s="158" t="s">
        <v>801</v>
      </c>
      <c r="P20" s="158">
        <f t="shared" si="1"/>
        <v>0</v>
      </c>
    </row>
    <row r="21" spans="1:16">
      <c r="A21" s="158" t="s">
        <v>597</v>
      </c>
      <c r="B21" s="158" t="s">
        <v>363</v>
      </c>
      <c r="C21" s="158" t="s">
        <v>364</v>
      </c>
      <c r="D21" s="407">
        <v>231</v>
      </c>
      <c r="E21" s="408">
        <v>242</v>
      </c>
      <c r="F21" s="408">
        <v>261</v>
      </c>
      <c r="G21" s="408">
        <v>268</v>
      </c>
      <c r="H21" s="408">
        <v>273</v>
      </c>
      <c r="I21" s="408">
        <v>277</v>
      </c>
      <c r="J21" s="408">
        <v>266</v>
      </c>
      <c r="K21" s="408">
        <v>266</v>
      </c>
      <c r="L21" s="408">
        <v>275</v>
      </c>
      <c r="M21" s="158">
        <f t="shared" si="0"/>
        <v>266</v>
      </c>
      <c r="O21" s="158" t="s">
        <v>621</v>
      </c>
      <c r="P21" s="158">
        <f t="shared" si="1"/>
        <v>1</v>
      </c>
    </row>
    <row r="22" spans="1:16">
      <c r="A22" s="158" t="s">
        <v>605</v>
      </c>
      <c r="B22" s="158" t="s">
        <v>234</v>
      </c>
      <c r="C22" s="158" t="s">
        <v>235</v>
      </c>
      <c r="D22" s="407">
        <v>0</v>
      </c>
      <c r="E22" s="408">
        <v>0</v>
      </c>
      <c r="F22" s="408">
        <v>0</v>
      </c>
      <c r="G22" s="408">
        <v>0</v>
      </c>
      <c r="H22" s="408">
        <v>0</v>
      </c>
      <c r="I22" s="408">
        <v>0</v>
      </c>
      <c r="J22" s="408">
        <v>0</v>
      </c>
      <c r="K22" s="408">
        <v>0</v>
      </c>
      <c r="L22" s="408">
        <v>0</v>
      </c>
      <c r="M22" s="158">
        <f t="shared" si="0"/>
        <v>0</v>
      </c>
      <c r="O22" s="158" t="s">
        <v>801</v>
      </c>
      <c r="P22" s="158">
        <f t="shared" si="1"/>
        <v>0</v>
      </c>
    </row>
    <row r="23" spans="1:16">
      <c r="A23" s="158" t="s">
        <v>595</v>
      </c>
      <c r="B23" s="158" t="s">
        <v>508</v>
      </c>
      <c r="C23" s="158" t="s">
        <v>509</v>
      </c>
      <c r="D23" s="407">
        <v>85</v>
      </c>
      <c r="E23" s="408">
        <v>99</v>
      </c>
      <c r="F23" s="408">
        <v>84</v>
      </c>
      <c r="G23" s="408">
        <v>82</v>
      </c>
      <c r="H23" s="408">
        <v>86</v>
      </c>
      <c r="I23" s="408">
        <v>90</v>
      </c>
      <c r="J23" s="408">
        <v>89</v>
      </c>
      <c r="K23" s="408">
        <v>91</v>
      </c>
      <c r="L23" s="408">
        <v>91</v>
      </c>
      <c r="M23" s="158">
        <f t="shared" si="0"/>
        <v>89</v>
      </c>
      <c r="O23" s="158" t="s">
        <v>621</v>
      </c>
      <c r="P23" s="158">
        <f t="shared" si="1"/>
        <v>1</v>
      </c>
    </row>
    <row r="24" spans="1:16">
      <c r="A24" s="158" t="s">
        <v>594</v>
      </c>
      <c r="B24" s="158" t="s">
        <v>266</v>
      </c>
      <c r="C24" s="158" t="s">
        <v>267</v>
      </c>
      <c r="D24" s="407">
        <v>0</v>
      </c>
      <c r="E24" s="408">
        <v>0</v>
      </c>
      <c r="F24" s="408">
        <v>0</v>
      </c>
      <c r="G24" s="408">
        <v>0</v>
      </c>
      <c r="H24" s="408">
        <v>0</v>
      </c>
      <c r="I24" s="408">
        <v>0</v>
      </c>
      <c r="J24" s="408">
        <v>0</v>
      </c>
      <c r="K24" s="408">
        <v>0</v>
      </c>
      <c r="L24" s="408">
        <v>0</v>
      </c>
      <c r="M24" s="158">
        <f t="shared" si="0"/>
        <v>0</v>
      </c>
      <c r="O24" s="158" t="s">
        <v>801</v>
      </c>
      <c r="P24" s="158">
        <f t="shared" si="1"/>
        <v>0</v>
      </c>
    </row>
    <row r="25" spans="1:16">
      <c r="A25" s="158" t="s">
        <v>600</v>
      </c>
      <c r="B25" s="158" t="s">
        <v>211</v>
      </c>
      <c r="C25" s="158" t="s">
        <v>212</v>
      </c>
      <c r="D25" s="407">
        <v>92</v>
      </c>
      <c r="E25" s="408">
        <v>124</v>
      </c>
      <c r="F25" s="408">
        <v>125</v>
      </c>
      <c r="G25" s="408">
        <v>122</v>
      </c>
      <c r="H25" s="408">
        <v>123</v>
      </c>
      <c r="I25" s="408">
        <v>119</v>
      </c>
      <c r="J25" s="408">
        <v>119</v>
      </c>
      <c r="K25" s="408">
        <v>130</v>
      </c>
      <c r="L25" s="408">
        <v>137</v>
      </c>
      <c r="M25" s="158">
        <f t="shared" si="0"/>
        <v>124.88</v>
      </c>
      <c r="O25" s="158" t="s">
        <v>621</v>
      </c>
      <c r="P25" s="158">
        <f t="shared" si="1"/>
        <v>1</v>
      </c>
    </row>
    <row r="26" spans="1:16">
      <c r="A26" s="158" t="s">
        <v>601</v>
      </c>
      <c r="B26" s="158" t="s">
        <v>315</v>
      </c>
      <c r="C26" s="158" t="s">
        <v>316</v>
      </c>
      <c r="D26" s="407">
        <v>318</v>
      </c>
      <c r="E26" s="408">
        <v>393</v>
      </c>
      <c r="F26" s="408">
        <v>392</v>
      </c>
      <c r="G26" s="408">
        <v>392</v>
      </c>
      <c r="H26" s="408">
        <v>421</v>
      </c>
      <c r="I26" s="408">
        <v>395</v>
      </c>
      <c r="J26" s="408">
        <v>402</v>
      </c>
      <c r="K26" s="408">
        <v>410</v>
      </c>
      <c r="L26" s="408">
        <v>405</v>
      </c>
      <c r="M26" s="158">
        <f t="shared" si="0"/>
        <v>401.25</v>
      </c>
      <c r="O26" s="158" t="s">
        <v>621</v>
      </c>
      <c r="P26" s="158">
        <f t="shared" si="1"/>
        <v>1</v>
      </c>
    </row>
    <row r="27" spans="1:16">
      <c r="A27" s="158" t="s">
        <v>601</v>
      </c>
      <c r="B27" s="158" t="s">
        <v>84</v>
      </c>
      <c r="C27" s="158" t="s">
        <v>85</v>
      </c>
      <c r="D27" s="407">
        <v>323</v>
      </c>
      <c r="E27" s="408">
        <v>337</v>
      </c>
      <c r="F27" s="408">
        <v>334</v>
      </c>
      <c r="G27" s="408">
        <v>326</v>
      </c>
      <c r="H27" s="408">
        <v>325</v>
      </c>
      <c r="I27" s="408">
        <v>326</v>
      </c>
      <c r="J27" s="408">
        <v>328</v>
      </c>
      <c r="K27" s="408">
        <v>333</v>
      </c>
      <c r="L27" s="408">
        <v>340</v>
      </c>
      <c r="M27" s="158">
        <f t="shared" si="0"/>
        <v>331.13</v>
      </c>
      <c r="O27" s="158" t="s">
        <v>621</v>
      </c>
      <c r="P27" s="158">
        <f t="shared" si="1"/>
        <v>1</v>
      </c>
    </row>
    <row r="28" spans="1:16">
      <c r="A28" s="158" t="s">
        <v>600</v>
      </c>
      <c r="B28" s="158" t="s">
        <v>165</v>
      </c>
      <c r="C28" s="158" t="s">
        <v>166</v>
      </c>
      <c r="D28" s="407">
        <v>0</v>
      </c>
      <c r="E28" s="408">
        <v>0</v>
      </c>
      <c r="F28" s="408">
        <v>0</v>
      </c>
      <c r="G28" s="408">
        <v>0</v>
      </c>
      <c r="H28" s="408">
        <v>0</v>
      </c>
      <c r="I28" s="408">
        <v>0</v>
      </c>
      <c r="J28" s="408">
        <v>0</v>
      </c>
      <c r="K28" s="408">
        <v>0</v>
      </c>
      <c r="L28" s="408">
        <v>0</v>
      </c>
      <c r="M28" s="158">
        <f t="shared" si="0"/>
        <v>0</v>
      </c>
      <c r="O28" s="158" t="s">
        <v>801</v>
      </c>
      <c r="P28" s="158">
        <f t="shared" si="1"/>
        <v>0</v>
      </c>
    </row>
    <row r="29" spans="1:16">
      <c r="A29" s="158" t="s">
        <v>595</v>
      </c>
      <c r="B29" s="158" t="s">
        <v>378</v>
      </c>
      <c r="C29" s="158" t="s">
        <v>602</v>
      </c>
      <c r="D29" s="407">
        <v>497</v>
      </c>
      <c r="E29" s="408">
        <v>633</v>
      </c>
      <c r="F29" s="408">
        <v>614</v>
      </c>
      <c r="G29" s="408">
        <v>597</v>
      </c>
      <c r="H29" s="408">
        <v>590</v>
      </c>
      <c r="I29" s="408">
        <v>590</v>
      </c>
      <c r="J29" s="408">
        <v>588</v>
      </c>
      <c r="K29" s="408">
        <v>586</v>
      </c>
      <c r="L29" s="408">
        <v>587</v>
      </c>
      <c r="M29" s="158">
        <f t="shared" si="0"/>
        <v>598.13</v>
      </c>
      <c r="O29" s="158" t="s">
        <v>621</v>
      </c>
      <c r="P29" s="158">
        <f t="shared" si="1"/>
        <v>1</v>
      </c>
    </row>
    <row r="30" spans="1:16">
      <c r="A30" s="158" t="s">
        <v>599</v>
      </c>
      <c r="B30" s="158" t="s">
        <v>60</v>
      </c>
      <c r="C30" s="158" t="s">
        <v>61</v>
      </c>
      <c r="D30" s="407">
        <v>61</v>
      </c>
      <c r="E30" s="408">
        <v>86</v>
      </c>
      <c r="F30" s="408">
        <v>85</v>
      </c>
      <c r="G30" s="408">
        <v>85</v>
      </c>
      <c r="H30" s="408">
        <v>84</v>
      </c>
      <c r="I30" s="408">
        <v>84</v>
      </c>
      <c r="J30" s="408">
        <v>91</v>
      </c>
      <c r="K30" s="408">
        <v>89</v>
      </c>
      <c r="L30" s="408">
        <v>94</v>
      </c>
      <c r="M30" s="158">
        <f t="shared" si="0"/>
        <v>87.25</v>
      </c>
      <c r="O30" s="158" t="s">
        <v>621</v>
      </c>
      <c r="P30" s="158">
        <f t="shared" si="1"/>
        <v>1</v>
      </c>
    </row>
    <row r="31" spans="1:16">
      <c r="A31" s="158" t="s">
        <v>600</v>
      </c>
      <c r="B31" s="158" t="s">
        <v>45</v>
      </c>
      <c r="C31" s="158" t="s">
        <v>46</v>
      </c>
      <c r="D31" s="407">
        <v>80</v>
      </c>
      <c r="E31" s="408">
        <v>81</v>
      </c>
      <c r="F31" s="408">
        <v>78</v>
      </c>
      <c r="G31" s="408">
        <v>78</v>
      </c>
      <c r="H31" s="408">
        <v>78</v>
      </c>
      <c r="I31" s="408">
        <v>78</v>
      </c>
      <c r="J31" s="408">
        <v>75</v>
      </c>
      <c r="K31" s="408">
        <v>74</v>
      </c>
      <c r="L31" s="408">
        <v>75</v>
      </c>
      <c r="M31" s="158">
        <f t="shared" si="0"/>
        <v>77.13</v>
      </c>
      <c r="O31" s="158" t="s">
        <v>621</v>
      </c>
      <c r="P31" s="158">
        <f t="shared" si="1"/>
        <v>1</v>
      </c>
    </row>
    <row r="32" spans="1:16">
      <c r="A32" s="158" t="s">
        <v>597</v>
      </c>
      <c r="B32" s="158" t="s">
        <v>347</v>
      </c>
      <c r="C32" s="158" t="s">
        <v>348</v>
      </c>
      <c r="D32" s="407">
        <v>0</v>
      </c>
      <c r="E32" s="408">
        <v>0</v>
      </c>
      <c r="F32" s="408">
        <v>0</v>
      </c>
      <c r="G32" s="408">
        <v>0</v>
      </c>
      <c r="H32" s="408">
        <v>0</v>
      </c>
      <c r="I32" s="408">
        <v>0</v>
      </c>
      <c r="J32" s="408">
        <v>0</v>
      </c>
      <c r="K32" s="408">
        <v>0</v>
      </c>
      <c r="L32" s="408">
        <v>0</v>
      </c>
      <c r="M32" s="158">
        <f t="shared" si="0"/>
        <v>0</v>
      </c>
      <c r="O32" s="158" t="s">
        <v>801</v>
      </c>
      <c r="P32" s="158">
        <f t="shared" si="1"/>
        <v>0</v>
      </c>
    </row>
    <row r="33" spans="1:16">
      <c r="A33" s="158" t="s">
        <v>601</v>
      </c>
      <c r="B33" s="158" t="s">
        <v>35</v>
      </c>
      <c r="C33" s="158" t="s">
        <v>36</v>
      </c>
      <c r="D33" s="407">
        <v>158</v>
      </c>
      <c r="E33" s="408">
        <v>163</v>
      </c>
      <c r="F33" s="408">
        <v>169</v>
      </c>
      <c r="G33" s="408">
        <v>170</v>
      </c>
      <c r="H33" s="408">
        <v>164</v>
      </c>
      <c r="I33" s="408">
        <v>166</v>
      </c>
      <c r="J33" s="408">
        <v>167</v>
      </c>
      <c r="K33" s="408">
        <v>166</v>
      </c>
      <c r="L33" s="408">
        <v>166</v>
      </c>
      <c r="M33" s="158">
        <f t="shared" si="0"/>
        <v>166.38</v>
      </c>
      <c r="O33" s="158" t="s">
        <v>621</v>
      </c>
      <c r="P33" s="158">
        <f t="shared" si="1"/>
        <v>1</v>
      </c>
    </row>
    <row r="34" spans="1:16">
      <c r="A34" s="158" t="s">
        <v>601</v>
      </c>
      <c r="B34" s="158" t="s">
        <v>33</v>
      </c>
      <c r="C34" s="158" t="s">
        <v>34</v>
      </c>
      <c r="D34" s="407">
        <v>200</v>
      </c>
      <c r="E34" s="408">
        <v>205</v>
      </c>
      <c r="F34" s="408">
        <v>202</v>
      </c>
      <c r="G34" s="408">
        <v>203</v>
      </c>
      <c r="H34" s="408">
        <v>206</v>
      </c>
      <c r="I34" s="408">
        <v>207</v>
      </c>
      <c r="J34" s="408">
        <v>207</v>
      </c>
      <c r="K34" s="408">
        <v>207</v>
      </c>
      <c r="L34" s="408">
        <v>211</v>
      </c>
      <c r="M34" s="158">
        <f t="shared" si="0"/>
        <v>206</v>
      </c>
      <c r="O34" s="158" t="s">
        <v>621</v>
      </c>
      <c r="P34" s="158">
        <f t="shared" si="1"/>
        <v>1</v>
      </c>
    </row>
    <row r="35" spans="1:16">
      <c r="A35" s="158" t="s">
        <v>599</v>
      </c>
      <c r="B35" s="158" t="s">
        <v>74</v>
      </c>
      <c r="C35" s="158" t="s">
        <v>75</v>
      </c>
      <c r="D35" s="407">
        <v>30</v>
      </c>
      <c r="E35" s="408">
        <v>31</v>
      </c>
      <c r="F35" s="408">
        <v>31</v>
      </c>
      <c r="G35" s="408">
        <v>31</v>
      </c>
      <c r="H35" s="408">
        <v>31</v>
      </c>
      <c r="I35" s="408">
        <v>33</v>
      </c>
      <c r="J35" s="408">
        <v>33</v>
      </c>
      <c r="K35" s="408">
        <v>33</v>
      </c>
      <c r="L35" s="408">
        <v>34</v>
      </c>
      <c r="M35" s="158">
        <f t="shared" si="0"/>
        <v>32.130000000000003</v>
      </c>
      <c r="O35" s="158" t="s">
        <v>621</v>
      </c>
      <c r="P35" s="158">
        <f t="shared" si="1"/>
        <v>1</v>
      </c>
    </row>
    <row r="36" spans="1:16">
      <c r="A36" s="158" t="s">
        <v>599</v>
      </c>
      <c r="B36" s="158" t="s">
        <v>236</v>
      </c>
      <c r="C36" s="158" t="s">
        <v>237</v>
      </c>
      <c r="D36" s="407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158">
        <f t="shared" si="0"/>
        <v>0</v>
      </c>
      <c r="O36" s="158" t="s">
        <v>801</v>
      </c>
      <c r="P36" s="158">
        <f t="shared" si="1"/>
        <v>0</v>
      </c>
    </row>
    <row r="37" spans="1:16">
      <c r="A37" s="158" t="s">
        <v>600</v>
      </c>
      <c r="B37" s="158" t="s">
        <v>216</v>
      </c>
      <c r="C37" s="158" t="s">
        <v>217</v>
      </c>
      <c r="D37" s="407">
        <v>175</v>
      </c>
      <c r="E37" s="408">
        <v>200</v>
      </c>
      <c r="F37" s="408">
        <v>216</v>
      </c>
      <c r="G37" s="408">
        <v>212</v>
      </c>
      <c r="H37" s="408">
        <v>210</v>
      </c>
      <c r="I37" s="408">
        <v>212</v>
      </c>
      <c r="J37" s="408">
        <v>211</v>
      </c>
      <c r="K37" s="408">
        <v>216</v>
      </c>
      <c r="L37" s="408">
        <v>219</v>
      </c>
      <c r="M37" s="158">
        <f t="shared" si="0"/>
        <v>212</v>
      </c>
      <c r="O37" s="158" t="s">
        <v>621</v>
      </c>
      <c r="P37" s="158">
        <f t="shared" si="1"/>
        <v>1</v>
      </c>
    </row>
    <row r="38" spans="1:16">
      <c r="A38" s="158" t="s">
        <v>603</v>
      </c>
      <c r="B38" s="158" t="s">
        <v>434</v>
      </c>
      <c r="C38" s="158" t="s">
        <v>435</v>
      </c>
      <c r="D38" s="407">
        <v>170</v>
      </c>
      <c r="E38" s="408">
        <v>219</v>
      </c>
      <c r="F38" s="408">
        <v>231</v>
      </c>
      <c r="G38" s="408">
        <v>239</v>
      </c>
      <c r="H38" s="408">
        <v>231</v>
      </c>
      <c r="I38" s="408">
        <v>233</v>
      </c>
      <c r="J38" s="408">
        <v>234</v>
      </c>
      <c r="K38" s="408">
        <v>231</v>
      </c>
      <c r="L38" s="408">
        <v>238</v>
      </c>
      <c r="M38" s="158">
        <f t="shared" si="0"/>
        <v>232</v>
      </c>
      <c r="O38" s="158" t="s">
        <v>621</v>
      </c>
      <c r="P38" s="158">
        <f t="shared" si="1"/>
        <v>1</v>
      </c>
    </row>
    <row r="39" spans="1:16">
      <c r="A39" s="158" t="s">
        <v>594</v>
      </c>
      <c r="B39" s="158" t="s">
        <v>278</v>
      </c>
      <c r="C39" s="158" t="s">
        <v>279</v>
      </c>
      <c r="D39" s="407">
        <v>220</v>
      </c>
      <c r="E39" s="408">
        <v>257</v>
      </c>
      <c r="F39" s="408">
        <v>257</v>
      </c>
      <c r="G39" s="408">
        <v>261</v>
      </c>
      <c r="H39" s="408">
        <v>264</v>
      </c>
      <c r="I39" s="408">
        <v>259</v>
      </c>
      <c r="J39" s="408">
        <v>256</v>
      </c>
      <c r="K39" s="408">
        <v>256</v>
      </c>
      <c r="L39" s="408">
        <v>264</v>
      </c>
      <c r="M39" s="158">
        <f t="shared" si="0"/>
        <v>259.25</v>
      </c>
      <c r="O39" s="158" t="s">
        <v>621</v>
      </c>
      <c r="P39" s="158">
        <f t="shared" si="1"/>
        <v>1</v>
      </c>
    </row>
    <row r="40" spans="1:16">
      <c r="A40" s="158" t="s">
        <v>594</v>
      </c>
      <c r="B40" s="158" t="s">
        <v>274</v>
      </c>
      <c r="C40" s="158" t="s">
        <v>275</v>
      </c>
      <c r="D40" s="407">
        <v>50</v>
      </c>
      <c r="E40" s="408">
        <v>62</v>
      </c>
      <c r="F40" s="408">
        <v>68</v>
      </c>
      <c r="G40" s="408">
        <v>72</v>
      </c>
      <c r="H40" s="408">
        <v>70</v>
      </c>
      <c r="I40" s="408">
        <v>69</v>
      </c>
      <c r="J40" s="408">
        <v>70</v>
      </c>
      <c r="K40" s="408">
        <v>71</v>
      </c>
      <c r="L40" s="408">
        <v>69</v>
      </c>
      <c r="M40" s="158">
        <f t="shared" si="0"/>
        <v>68.88</v>
      </c>
      <c r="O40" s="158" t="s">
        <v>621</v>
      </c>
      <c r="P40" s="158">
        <f t="shared" si="1"/>
        <v>1</v>
      </c>
    </row>
    <row r="41" spans="1:16">
      <c r="A41" s="158" t="s">
        <v>603</v>
      </c>
      <c r="B41" s="158" t="s">
        <v>438</v>
      </c>
      <c r="C41" s="158" t="s">
        <v>439</v>
      </c>
      <c r="D41" s="407">
        <v>44</v>
      </c>
      <c r="E41" s="408">
        <v>75</v>
      </c>
      <c r="F41" s="408">
        <v>73</v>
      </c>
      <c r="G41" s="408">
        <v>72</v>
      </c>
      <c r="H41" s="408">
        <v>72</v>
      </c>
      <c r="I41" s="408">
        <v>76</v>
      </c>
      <c r="J41" s="408">
        <v>77</v>
      </c>
      <c r="K41" s="408">
        <v>77</v>
      </c>
      <c r="L41" s="408">
        <v>77</v>
      </c>
      <c r="M41" s="158">
        <f t="shared" si="0"/>
        <v>74.88</v>
      </c>
      <c r="O41" s="158" t="s">
        <v>621</v>
      </c>
      <c r="P41" s="158">
        <f t="shared" si="1"/>
        <v>1</v>
      </c>
    </row>
    <row r="42" spans="1:16">
      <c r="A42" s="158" t="s">
        <v>603</v>
      </c>
      <c r="B42" s="158" t="s">
        <v>450</v>
      </c>
      <c r="C42" s="158" t="s">
        <v>451</v>
      </c>
      <c r="D42" s="407">
        <v>2</v>
      </c>
      <c r="E42" s="408">
        <v>2</v>
      </c>
      <c r="F42" s="408">
        <v>2</v>
      </c>
      <c r="G42" s="408">
        <v>2</v>
      </c>
      <c r="H42" s="408">
        <v>2</v>
      </c>
      <c r="I42" s="408">
        <v>2</v>
      </c>
      <c r="J42" s="408">
        <v>2</v>
      </c>
      <c r="K42" s="408">
        <v>2</v>
      </c>
      <c r="L42" s="408">
        <v>2</v>
      </c>
      <c r="M42" s="158">
        <f t="shared" si="0"/>
        <v>2</v>
      </c>
      <c r="O42" s="158" t="s">
        <v>621</v>
      </c>
      <c r="P42" s="158">
        <f t="shared" si="1"/>
        <v>1</v>
      </c>
    </row>
    <row r="43" spans="1:16">
      <c r="A43" s="158" t="s">
        <v>600</v>
      </c>
      <c r="B43" s="158" t="s">
        <v>169</v>
      </c>
      <c r="C43" s="158" t="s">
        <v>170</v>
      </c>
      <c r="D43" s="407">
        <v>12</v>
      </c>
      <c r="E43" s="408">
        <v>13</v>
      </c>
      <c r="F43" s="408">
        <v>11</v>
      </c>
      <c r="G43" s="408">
        <v>11</v>
      </c>
      <c r="H43" s="408">
        <v>11</v>
      </c>
      <c r="I43" s="408">
        <v>10</v>
      </c>
      <c r="J43" s="408">
        <v>9</v>
      </c>
      <c r="K43" s="408">
        <v>9</v>
      </c>
      <c r="L43" s="408">
        <v>9</v>
      </c>
      <c r="M43" s="158">
        <f t="shared" si="0"/>
        <v>10.38</v>
      </c>
      <c r="O43" s="158" t="s">
        <v>621</v>
      </c>
      <c r="P43" s="158">
        <f t="shared" si="1"/>
        <v>1</v>
      </c>
    </row>
    <row r="44" spans="1:16">
      <c r="A44" s="158" t="s">
        <v>596</v>
      </c>
      <c r="B44" s="158" t="s">
        <v>10</v>
      </c>
      <c r="C44" s="158" t="s">
        <v>11</v>
      </c>
      <c r="D44" s="407">
        <v>23</v>
      </c>
      <c r="E44" s="408">
        <v>24</v>
      </c>
      <c r="F44" s="408">
        <v>24</v>
      </c>
      <c r="G44" s="408">
        <v>21</v>
      </c>
      <c r="H44" s="408">
        <v>21</v>
      </c>
      <c r="I44" s="408">
        <v>22</v>
      </c>
      <c r="J44" s="408">
        <v>22</v>
      </c>
      <c r="K44" s="408">
        <v>22</v>
      </c>
      <c r="L44" s="408">
        <v>22</v>
      </c>
      <c r="M44" s="158">
        <f t="shared" si="0"/>
        <v>22.25</v>
      </c>
      <c r="O44" s="158" t="s">
        <v>621</v>
      </c>
      <c r="P44" s="158">
        <f t="shared" si="1"/>
        <v>1</v>
      </c>
    </row>
    <row r="45" spans="1:16">
      <c r="A45" s="158" t="s">
        <v>605</v>
      </c>
      <c r="B45" s="158" t="s">
        <v>230</v>
      </c>
      <c r="C45" s="158" t="s">
        <v>231</v>
      </c>
      <c r="D45" s="407">
        <v>14</v>
      </c>
      <c r="E45" s="408">
        <v>16</v>
      </c>
      <c r="F45" s="408">
        <v>16</v>
      </c>
      <c r="G45" s="408">
        <v>17</v>
      </c>
      <c r="H45" s="408">
        <v>18</v>
      </c>
      <c r="I45" s="408">
        <v>15</v>
      </c>
      <c r="J45" s="408">
        <v>13</v>
      </c>
      <c r="K45" s="408">
        <v>13</v>
      </c>
      <c r="L45" s="408">
        <v>13</v>
      </c>
      <c r="M45" s="158">
        <f t="shared" si="0"/>
        <v>15.13</v>
      </c>
      <c r="O45" s="158" t="s">
        <v>621</v>
      </c>
      <c r="P45" s="158">
        <f t="shared" si="1"/>
        <v>1</v>
      </c>
    </row>
    <row r="46" spans="1:16">
      <c r="A46" s="158" t="s">
        <v>597</v>
      </c>
      <c r="B46" s="158" t="s">
        <v>357</v>
      </c>
      <c r="C46" s="158" t="s">
        <v>358</v>
      </c>
      <c r="D46" s="407">
        <v>808</v>
      </c>
      <c r="E46" s="408">
        <v>1087</v>
      </c>
      <c r="F46" s="408">
        <v>1127</v>
      </c>
      <c r="G46" s="408">
        <v>1109</v>
      </c>
      <c r="H46" s="408">
        <v>1089</v>
      </c>
      <c r="I46" s="408">
        <v>1116</v>
      </c>
      <c r="J46" s="408">
        <v>1118</v>
      </c>
      <c r="K46" s="408">
        <v>1111</v>
      </c>
      <c r="L46" s="408">
        <v>1129</v>
      </c>
      <c r="M46" s="158">
        <f t="shared" si="0"/>
        <v>1110.75</v>
      </c>
      <c r="O46" s="158" t="s">
        <v>621</v>
      </c>
      <c r="P46" s="158">
        <f t="shared" si="1"/>
        <v>1</v>
      </c>
    </row>
    <row r="47" spans="1:16">
      <c r="A47" s="158" t="s">
        <v>603</v>
      </c>
      <c r="B47" s="158" t="s">
        <v>525</v>
      </c>
      <c r="C47" s="158" t="s">
        <v>526</v>
      </c>
      <c r="D47" s="407">
        <v>0</v>
      </c>
      <c r="E47" s="408">
        <v>0</v>
      </c>
      <c r="F47" s="408">
        <v>0</v>
      </c>
      <c r="G47" s="408">
        <v>0</v>
      </c>
      <c r="H47" s="408">
        <v>0</v>
      </c>
      <c r="I47" s="408">
        <v>0</v>
      </c>
      <c r="J47" s="408">
        <v>0</v>
      </c>
      <c r="K47" s="408">
        <v>0</v>
      </c>
      <c r="L47" s="408">
        <v>0</v>
      </c>
      <c r="M47" s="158">
        <f t="shared" si="0"/>
        <v>0</v>
      </c>
      <c r="O47" s="158" t="s">
        <v>801</v>
      </c>
      <c r="P47" s="158">
        <f t="shared" si="1"/>
        <v>0</v>
      </c>
    </row>
    <row r="48" spans="1:16">
      <c r="A48" s="158" t="s">
        <v>596</v>
      </c>
      <c r="B48" s="158" t="s">
        <v>494</v>
      </c>
      <c r="C48" s="158" t="s">
        <v>495</v>
      </c>
      <c r="D48" s="407">
        <v>158</v>
      </c>
      <c r="E48" s="408">
        <v>156</v>
      </c>
      <c r="F48" s="408">
        <v>160</v>
      </c>
      <c r="G48" s="408">
        <v>161</v>
      </c>
      <c r="H48" s="408">
        <v>160</v>
      </c>
      <c r="I48" s="408">
        <v>162</v>
      </c>
      <c r="J48" s="408">
        <v>166</v>
      </c>
      <c r="K48" s="408">
        <v>169</v>
      </c>
      <c r="L48" s="408">
        <v>170</v>
      </c>
      <c r="M48" s="158">
        <f t="shared" si="0"/>
        <v>163</v>
      </c>
      <c r="O48" s="158" t="s">
        <v>621</v>
      </c>
      <c r="P48" s="158">
        <f t="shared" si="1"/>
        <v>1</v>
      </c>
    </row>
    <row r="49" spans="1:16">
      <c r="A49" s="158" t="s">
        <v>603</v>
      </c>
      <c r="B49" s="158" t="s">
        <v>533</v>
      </c>
      <c r="C49" s="158" t="s">
        <v>534</v>
      </c>
      <c r="D49" s="407">
        <v>0</v>
      </c>
      <c r="E49" s="408">
        <v>0</v>
      </c>
      <c r="F49" s="408">
        <v>0</v>
      </c>
      <c r="G49" s="408">
        <v>0</v>
      </c>
      <c r="H49" s="408">
        <v>0</v>
      </c>
      <c r="I49" s="408">
        <v>0</v>
      </c>
      <c r="J49" s="408">
        <v>0</v>
      </c>
      <c r="K49" s="408">
        <v>0</v>
      </c>
      <c r="L49" s="408">
        <v>0</v>
      </c>
      <c r="M49" s="158">
        <f t="shared" si="0"/>
        <v>0</v>
      </c>
      <c r="O49" s="158" t="s">
        <v>801</v>
      </c>
      <c r="P49" s="158">
        <f t="shared" si="1"/>
        <v>0</v>
      </c>
    </row>
    <row r="50" spans="1:16">
      <c r="A50" s="158" t="s">
        <v>603</v>
      </c>
      <c r="B50" s="158" t="s">
        <v>464</v>
      </c>
      <c r="C50" s="158" t="s">
        <v>465</v>
      </c>
      <c r="D50" s="407">
        <v>0</v>
      </c>
      <c r="E50" s="408">
        <v>0</v>
      </c>
      <c r="F50" s="408">
        <v>0</v>
      </c>
      <c r="G50" s="408">
        <v>0</v>
      </c>
      <c r="H50" s="408">
        <v>0</v>
      </c>
      <c r="I50" s="408">
        <v>0</v>
      </c>
      <c r="J50" s="408">
        <v>0</v>
      </c>
      <c r="K50" s="408">
        <v>0</v>
      </c>
      <c r="L50" s="408">
        <v>0</v>
      </c>
      <c r="M50" s="158">
        <f t="shared" si="0"/>
        <v>0</v>
      </c>
      <c r="O50" s="158" t="s">
        <v>801</v>
      </c>
      <c r="P50" s="158">
        <f t="shared" si="1"/>
        <v>0</v>
      </c>
    </row>
    <row r="51" spans="1:16">
      <c r="A51" s="158" t="s">
        <v>596</v>
      </c>
      <c r="B51" s="158" t="s">
        <v>498</v>
      </c>
      <c r="C51" s="158" t="s">
        <v>499</v>
      </c>
      <c r="D51" s="407">
        <v>58</v>
      </c>
      <c r="E51" s="408">
        <v>79</v>
      </c>
      <c r="F51" s="408">
        <v>78</v>
      </c>
      <c r="G51" s="408">
        <v>78</v>
      </c>
      <c r="H51" s="408">
        <v>78</v>
      </c>
      <c r="I51" s="408">
        <v>77</v>
      </c>
      <c r="J51" s="408">
        <v>77</v>
      </c>
      <c r="K51" s="408">
        <v>77</v>
      </c>
      <c r="L51" s="408">
        <v>75</v>
      </c>
      <c r="M51" s="158">
        <f t="shared" si="0"/>
        <v>77.38</v>
      </c>
      <c r="O51" s="158" t="s">
        <v>621</v>
      </c>
      <c r="P51" s="158">
        <f t="shared" si="1"/>
        <v>1</v>
      </c>
    </row>
    <row r="52" spans="1:16">
      <c r="A52" s="158" t="s">
        <v>603</v>
      </c>
      <c r="B52" s="158" t="s">
        <v>456</v>
      </c>
      <c r="C52" s="158" t="s">
        <v>457</v>
      </c>
      <c r="D52" s="407">
        <v>39</v>
      </c>
      <c r="E52" s="408">
        <v>42</v>
      </c>
      <c r="F52" s="408">
        <v>50</v>
      </c>
      <c r="G52" s="408">
        <v>52</v>
      </c>
      <c r="H52" s="408">
        <v>51</v>
      </c>
      <c r="I52" s="408">
        <v>51</v>
      </c>
      <c r="J52" s="408">
        <v>54</v>
      </c>
      <c r="K52" s="408">
        <v>54</v>
      </c>
      <c r="L52" s="408">
        <v>57</v>
      </c>
      <c r="M52" s="158">
        <f t="shared" si="0"/>
        <v>51.38</v>
      </c>
      <c r="O52" s="158" t="s">
        <v>621</v>
      </c>
      <c r="P52" s="158">
        <f t="shared" si="1"/>
        <v>1</v>
      </c>
    </row>
    <row r="53" spans="1:16">
      <c r="A53" s="158" t="s">
        <v>595</v>
      </c>
      <c r="B53" s="158" t="s">
        <v>376</v>
      </c>
      <c r="C53" s="158" t="s">
        <v>377</v>
      </c>
      <c r="D53" s="407">
        <v>0</v>
      </c>
      <c r="E53" s="408">
        <v>0</v>
      </c>
      <c r="F53" s="408">
        <v>0</v>
      </c>
      <c r="G53" s="408">
        <v>0</v>
      </c>
      <c r="H53" s="408">
        <v>0</v>
      </c>
      <c r="I53" s="408">
        <v>0</v>
      </c>
      <c r="J53" s="408">
        <v>0</v>
      </c>
      <c r="K53" s="408">
        <v>0</v>
      </c>
      <c r="L53" s="408">
        <v>0</v>
      </c>
      <c r="M53" s="158">
        <f t="shared" si="0"/>
        <v>0</v>
      </c>
      <c r="O53" s="158" t="s">
        <v>801</v>
      </c>
      <c r="P53" s="158">
        <f t="shared" si="1"/>
        <v>0</v>
      </c>
    </row>
    <row r="54" spans="1:16">
      <c r="A54" s="158" t="s">
        <v>595</v>
      </c>
      <c r="B54" s="158" t="s">
        <v>384</v>
      </c>
      <c r="C54" s="158" t="s">
        <v>385</v>
      </c>
      <c r="D54" s="407">
        <v>20</v>
      </c>
      <c r="E54" s="408">
        <v>20</v>
      </c>
      <c r="F54" s="408">
        <v>17</v>
      </c>
      <c r="G54" s="408">
        <v>18</v>
      </c>
      <c r="H54" s="408">
        <v>18</v>
      </c>
      <c r="I54" s="408">
        <v>18</v>
      </c>
      <c r="J54" s="408">
        <v>18</v>
      </c>
      <c r="K54" s="408">
        <v>21</v>
      </c>
      <c r="L54" s="408">
        <v>23</v>
      </c>
      <c r="M54" s="158">
        <f t="shared" si="0"/>
        <v>19.13</v>
      </c>
      <c r="O54" s="158" t="s">
        <v>621</v>
      </c>
      <c r="P54" s="158">
        <f t="shared" si="1"/>
        <v>1</v>
      </c>
    </row>
    <row r="55" spans="1:16">
      <c r="A55" s="158" t="s">
        <v>594</v>
      </c>
      <c r="B55" s="158" t="s">
        <v>147</v>
      </c>
      <c r="C55" s="158" t="s">
        <v>148</v>
      </c>
      <c r="D55" s="407">
        <v>0</v>
      </c>
      <c r="E55" s="408">
        <v>0</v>
      </c>
      <c r="F55" s="408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8">
        <v>0</v>
      </c>
      <c r="M55" s="158">
        <f t="shared" si="0"/>
        <v>0</v>
      </c>
      <c r="O55" s="158" t="s">
        <v>801</v>
      </c>
      <c r="P55" s="158">
        <f t="shared" si="1"/>
        <v>0</v>
      </c>
    </row>
    <row r="56" spans="1:16">
      <c r="A56" s="158" t="s">
        <v>601</v>
      </c>
      <c r="B56" s="158" t="s">
        <v>120</v>
      </c>
      <c r="C56" s="158" t="s">
        <v>654</v>
      </c>
      <c r="D56" s="407">
        <v>0</v>
      </c>
      <c r="E56" s="408">
        <v>0</v>
      </c>
      <c r="F56" s="408">
        <v>0</v>
      </c>
      <c r="G56" s="408">
        <v>0</v>
      </c>
      <c r="H56" s="408">
        <v>0</v>
      </c>
      <c r="I56" s="408">
        <v>0</v>
      </c>
      <c r="J56" s="408">
        <v>0</v>
      </c>
      <c r="K56" s="408">
        <v>0</v>
      </c>
      <c r="L56" s="408">
        <v>0</v>
      </c>
      <c r="M56" s="158">
        <f t="shared" si="0"/>
        <v>0</v>
      </c>
      <c r="O56" s="158" t="s">
        <v>801</v>
      </c>
      <c r="P56" s="158">
        <f t="shared" si="1"/>
        <v>0</v>
      </c>
    </row>
    <row r="57" spans="1:16">
      <c r="A57" s="158" t="s">
        <v>595</v>
      </c>
      <c r="B57" s="158" t="s">
        <v>159</v>
      </c>
      <c r="C57" s="158" t="s">
        <v>160</v>
      </c>
      <c r="D57" s="407">
        <v>23</v>
      </c>
      <c r="E57" s="408">
        <v>27</v>
      </c>
      <c r="F57" s="408">
        <v>27</v>
      </c>
      <c r="G57" s="408">
        <v>27</v>
      </c>
      <c r="H57" s="408">
        <v>27</v>
      </c>
      <c r="I57" s="408">
        <v>27</v>
      </c>
      <c r="J57" s="408">
        <v>27</v>
      </c>
      <c r="K57" s="408">
        <v>30</v>
      </c>
      <c r="L57" s="408">
        <v>30</v>
      </c>
      <c r="M57" s="158">
        <f t="shared" si="0"/>
        <v>27.75</v>
      </c>
      <c r="O57" s="158" t="s">
        <v>621</v>
      </c>
      <c r="P57" s="158">
        <f t="shared" si="1"/>
        <v>1</v>
      </c>
    </row>
    <row r="58" spans="1:16">
      <c r="A58" s="158" t="s">
        <v>600</v>
      </c>
      <c r="B58" s="158" t="s">
        <v>41</v>
      </c>
      <c r="C58" s="158" t="s">
        <v>42</v>
      </c>
      <c r="D58" s="407">
        <v>0</v>
      </c>
      <c r="E58" s="408">
        <v>0</v>
      </c>
      <c r="F58" s="408">
        <v>0</v>
      </c>
      <c r="G58" s="408">
        <v>0</v>
      </c>
      <c r="H58" s="408">
        <v>0</v>
      </c>
      <c r="I58" s="408">
        <v>0</v>
      </c>
      <c r="J58" s="408">
        <v>0</v>
      </c>
      <c r="K58" s="408">
        <v>0</v>
      </c>
      <c r="L58" s="408">
        <v>0</v>
      </c>
      <c r="M58" s="158">
        <f t="shared" si="0"/>
        <v>0</v>
      </c>
      <c r="O58" s="158" t="s">
        <v>801</v>
      </c>
      <c r="P58" s="158">
        <f t="shared" si="1"/>
        <v>0</v>
      </c>
    </row>
    <row r="59" spans="1:16">
      <c r="A59" s="158" t="s">
        <v>603</v>
      </c>
      <c r="B59" s="158" t="s">
        <v>285</v>
      </c>
      <c r="C59" s="158" t="s">
        <v>286</v>
      </c>
      <c r="D59" s="407">
        <v>0</v>
      </c>
      <c r="E59" s="408">
        <v>0</v>
      </c>
      <c r="F59" s="408">
        <v>0</v>
      </c>
      <c r="G59" s="408">
        <v>0</v>
      </c>
      <c r="H59" s="408">
        <v>0</v>
      </c>
      <c r="I59" s="408">
        <v>0</v>
      </c>
      <c r="J59" s="408">
        <v>0</v>
      </c>
      <c r="K59" s="408">
        <v>0</v>
      </c>
      <c r="L59" s="408">
        <v>0</v>
      </c>
      <c r="M59" s="158">
        <f t="shared" si="0"/>
        <v>0</v>
      </c>
      <c r="O59" s="158" t="s">
        <v>801</v>
      </c>
      <c r="P59" s="158">
        <f t="shared" si="1"/>
        <v>0</v>
      </c>
    </row>
    <row r="60" spans="1:16">
      <c r="A60" s="158" t="s">
        <v>603</v>
      </c>
      <c r="B60" s="158" t="s">
        <v>96</v>
      </c>
      <c r="C60" s="158" t="s">
        <v>97</v>
      </c>
      <c r="D60" s="407">
        <v>0</v>
      </c>
      <c r="E60" s="408">
        <v>0</v>
      </c>
      <c r="F60" s="408">
        <v>0</v>
      </c>
      <c r="G60" s="408">
        <v>0</v>
      </c>
      <c r="H60" s="408">
        <v>0</v>
      </c>
      <c r="I60" s="408">
        <v>0</v>
      </c>
      <c r="J60" s="408">
        <v>0</v>
      </c>
      <c r="K60" s="408">
        <v>0</v>
      </c>
      <c r="L60" s="408">
        <v>0</v>
      </c>
      <c r="M60" s="158">
        <f t="shared" si="0"/>
        <v>0</v>
      </c>
      <c r="O60" s="158" t="s">
        <v>801</v>
      </c>
      <c r="P60" s="158">
        <f t="shared" si="1"/>
        <v>0</v>
      </c>
    </row>
    <row r="61" spans="1:16">
      <c r="A61" s="158" t="s">
        <v>603</v>
      </c>
      <c r="B61" s="158" t="s">
        <v>338</v>
      </c>
      <c r="C61" s="158" t="s">
        <v>339</v>
      </c>
      <c r="D61" s="407">
        <v>0</v>
      </c>
      <c r="E61" s="408">
        <v>0</v>
      </c>
      <c r="F61" s="408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8">
        <v>0</v>
      </c>
      <c r="M61" s="158">
        <f t="shared" si="0"/>
        <v>0</v>
      </c>
      <c r="O61" s="158" t="s">
        <v>801</v>
      </c>
      <c r="P61" s="158">
        <f t="shared" si="1"/>
        <v>0</v>
      </c>
    </row>
    <row r="62" spans="1:16">
      <c r="A62" s="158" t="s">
        <v>605</v>
      </c>
      <c r="B62" s="158" t="s">
        <v>220</v>
      </c>
      <c r="C62" s="158" t="s">
        <v>221</v>
      </c>
      <c r="D62" s="407">
        <v>0</v>
      </c>
      <c r="E62" s="408">
        <v>0</v>
      </c>
      <c r="F62" s="408">
        <v>0</v>
      </c>
      <c r="G62" s="408">
        <v>0</v>
      </c>
      <c r="H62" s="408">
        <v>0</v>
      </c>
      <c r="I62" s="408">
        <v>0</v>
      </c>
      <c r="J62" s="408">
        <v>0</v>
      </c>
      <c r="K62" s="408">
        <v>0</v>
      </c>
      <c r="L62" s="408">
        <v>0</v>
      </c>
      <c r="M62" s="158">
        <f t="shared" si="0"/>
        <v>0</v>
      </c>
      <c r="O62" s="158" t="s">
        <v>801</v>
      </c>
      <c r="P62" s="158">
        <f t="shared" si="1"/>
        <v>0</v>
      </c>
    </row>
    <row r="63" spans="1:16">
      <c r="A63" s="158" t="s">
        <v>595</v>
      </c>
      <c r="B63" s="158" t="s">
        <v>417</v>
      </c>
      <c r="C63" s="158" t="s">
        <v>418</v>
      </c>
      <c r="D63" s="407">
        <v>0</v>
      </c>
      <c r="E63" s="408">
        <v>0</v>
      </c>
      <c r="F63" s="408">
        <v>0</v>
      </c>
      <c r="G63" s="408">
        <v>0</v>
      </c>
      <c r="H63" s="408">
        <v>0</v>
      </c>
      <c r="I63" s="408">
        <v>0</v>
      </c>
      <c r="J63" s="408">
        <v>0</v>
      </c>
      <c r="K63" s="408">
        <v>0</v>
      </c>
      <c r="L63" s="408">
        <v>0</v>
      </c>
      <c r="M63" s="158">
        <f t="shared" si="0"/>
        <v>0</v>
      </c>
      <c r="O63" s="158" t="s">
        <v>801</v>
      </c>
      <c r="P63" s="158">
        <f t="shared" si="1"/>
        <v>0</v>
      </c>
    </row>
    <row r="64" spans="1:16">
      <c r="A64" s="158" t="s">
        <v>603</v>
      </c>
      <c r="B64" s="158" t="s">
        <v>293</v>
      </c>
      <c r="C64" s="158" t="s">
        <v>294</v>
      </c>
      <c r="D64" s="407">
        <v>0</v>
      </c>
      <c r="E64" s="408">
        <v>0</v>
      </c>
      <c r="F64" s="408">
        <v>0</v>
      </c>
      <c r="G64" s="408">
        <v>0</v>
      </c>
      <c r="H64" s="408">
        <v>0</v>
      </c>
      <c r="I64" s="408">
        <v>0</v>
      </c>
      <c r="J64" s="408">
        <v>0</v>
      </c>
      <c r="K64" s="408">
        <v>0</v>
      </c>
      <c r="L64" s="408">
        <v>0</v>
      </c>
      <c r="M64" s="158">
        <f t="shared" si="0"/>
        <v>0</v>
      </c>
      <c r="O64" s="158" t="s">
        <v>801</v>
      </c>
      <c r="P64" s="158">
        <f t="shared" si="1"/>
        <v>0</v>
      </c>
    </row>
    <row r="65" spans="1:16">
      <c r="A65" s="158" t="s">
        <v>596</v>
      </c>
      <c r="B65" s="158" t="s">
        <v>66</v>
      </c>
      <c r="C65" s="158" t="s">
        <v>67</v>
      </c>
      <c r="D65" s="407">
        <v>0</v>
      </c>
      <c r="E65" s="408">
        <v>0</v>
      </c>
      <c r="F65" s="408">
        <v>0</v>
      </c>
      <c r="G65" s="408">
        <v>0</v>
      </c>
      <c r="H65" s="408">
        <v>0</v>
      </c>
      <c r="I65" s="408">
        <v>0</v>
      </c>
      <c r="J65" s="408">
        <v>0</v>
      </c>
      <c r="K65" s="408">
        <v>0</v>
      </c>
      <c r="L65" s="408">
        <v>0</v>
      </c>
      <c r="M65" s="158">
        <f t="shared" si="0"/>
        <v>0</v>
      </c>
      <c r="O65" s="158" t="s">
        <v>801</v>
      </c>
      <c r="P65" s="158">
        <f t="shared" si="1"/>
        <v>0</v>
      </c>
    </row>
    <row r="66" spans="1:16">
      <c r="A66" s="158" t="s">
        <v>603</v>
      </c>
      <c r="B66" s="158" t="s">
        <v>444</v>
      </c>
      <c r="C66" s="158" t="s">
        <v>445</v>
      </c>
      <c r="D66" s="407">
        <v>4</v>
      </c>
      <c r="E66" s="408">
        <v>4</v>
      </c>
      <c r="F66" s="408">
        <v>4</v>
      </c>
      <c r="G66" s="408">
        <v>4</v>
      </c>
      <c r="H66" s="408">
        <v>4</v>
      </c>
      <c r="I66" s="408">
        <v>4</v>
      </c>
      <c r="J66" s="408">
        <v>4</v>
      </c>
      <c r="K66" s="408">
        <v>4</v>
      </c>
      <c r="L66" s="408">
        <v>4</v>
      </c>
      <c r="M66" s="158">
        <f t="shared" si="0"/>
        <v>4</v>
      </c>
      <c r="O66" s="158" t="s">
        <v>621</v>
      </c>
      <c r="P66" s="158">
        <f t="shared" si="1"/>
        <v>1</v>
      </c>
    </row>
    <row r="67" spans="1:16">
      <c r="A67" s="158" t="s">
        <v>597</v>
      </c>
      <c r="B67" s="158" t="s">
        <v>353</v>
      </c>
      <c r="C67" s="158" t="s">
        <v>354</v>
      </c>
      <c r="D67" s="407">
        <v>11</v>
      </c>
      <c r="E67" s="408">
        <v>12</v>
      </c>
      <c r="F67" s="408">
        <v>13</v>
      </c>
      <c r="G67" s="408">
        <v>13</v>
      </c>
      <c r="H67" s="408">
        <v>14</v>
      </c>
      <c r="I67" s="408">
        <v>15</v>
      </c>
      <c r="J67" s="408">
        <v>17</v>
      </c>
      <c r="K67" s="408">
        <v>17</v>
      </c>
      <c r="L67" s="408">
        <v>16</v>
      </c>
      <c r="M67" s="158">
        <f t="shared" si="0"/>
        <v>14.63</v>
      </c>
      <c r="O67" s="158" t="s">
        <v>621</v>
      </c>
      <c r="P67" s="158">
        <f t="shared" si="1"/>
        <v>1</v>
      </c>
    </row>
    <row r="68" spans="1:16">
      <c r="A68" s="158" t="s">
        <v>596</v>
      </c>
      <c r="B68" s="158" t="s">
        <v>490</v>
      </c>
      <c r="C68" s="158" t="s">
        <v>491</v>
      </c>
      <c r="D68" s="407">
        <v>0</v>
      </c>
      <c r="E68" s="408">
        <v>0</v>
      </c>
      <c r="F68" s="408">
        <v>0</v>
      </c>
      <c r="G68" s="408">
        <v>0</v>
      </c>
      <c r="H68" s="408">
        <v>0</v>
      </c>
      <c r="I68" s="408">
        <v>0</v>
      </c>
      <c r="J68" s="408">
        <v>0</v>
      </c>
      <c r="K68" s="408">
        <v>0</v>
      </c>
      <c r="L68" s="408">
        <v>0</v>
      </c>
      <c r="M68" s="158">
        <f t="shared" si="0"/>
        <v>0</v>
      </c>
      <c r="O68" s="158" t="s">
        <v>801</v>
      </c>
      <c r="P68" s="158">
        <f t="shared" si="1"/>
        <v>0</v>
      </c>
    </row>
    <row r="69" spans="1:16">
      <c r="A69" s="158" t="s">
        <v>603</v>
      </c>
      <c r="B69" s="158" t="s">
        <v>440</v>
      </c>
      <c r="C69" s="158" t="s">
        <v>606</v>
      </c>
      <c r="D69" s="407">
        <v>81</v>
      </c>
      <c r="E69" s="408">
        <v>119</v>
      </c>
      <c r="F69" s="408">
        <v>122</v>
      </c>
      <c r="G69" s="408">
        <v>117</v>
      </c>
      <c r="H69" s="408">
        <v>117</v>
      </c>
      <c r="I69" s="408">
        <v>116</v>
      </c>
      <c r="J69" s="408">
        <v>116</v>
      </c>
      <c r="K69" s="408">
        <v>117</v>
      </c>
      <c r="L69" s="408">
        <v>116</v>
      </c>
      <c r="M69" s="158">
        <f t="shared" si="0"/>
        <v>117.5</v>
      </c>
      <c r="O69" s="158" t="s">
        <v>621</v>
      </c>
      <c r="P69" s="158">
        <f t="shared" si="1"/>
        <v>1</v>
      </c>
    </row>
    <row r="70" spans="1:16">
      <c r="A70" s="158" t="s">
        <v>605</v>
      </c>
      <c r="B70" s="158" t="s">
        <v>549</v>
      </c>
      <c r="C70" s="158" t="s">
        <v>550</v>
      </c>
      <c r="D70" s="407">
        <v>170</v>
      </c>
      <c r="E70" s="408">
        <v>225</v>
      </c>
      <c r="F70" s="408">
        <v>222</v>
      </c>
      <c r="G70" s="408">
        <v>216</v>
      </c>
      <c r="H70" s="408">
        <v>211</v>
      </c>
      <c r="I70" s="408">
        <v>209</v>
      </c>
      <c r="J70" s="408">
        <v>211</v>
      </c>
      <c r="K70" s="408">
        <v>215</v>
      </c>
      <c r="L70" s="408">
        <v>214</v>
      </c>
      <c r="M70" s="158">
        <f t="shared" si="0"/>
        <v>215.38</v>
      </c>
      <c r="O70" s="158" t="s">
        <v>621</v>
      </c>
      <c r="P70" s="158">
        <f t="shared" si="1"/>
        <v>1</v>
      </c>
    </row>
    <row r="71" spans="1:16">
      <c r="A71" s="158" t="s">
        <v>601</v>
      </c>
      <c r="B71" s="158" t="s">
        <v>88</v>
      </c>
      <c r="C71" s="158" t="s">
        <v>89</v>
      </c>
      <c r="D71" s="407">
        <v>649</v>
      </c>
      <c r="E71" s="408">
        <v>849</v>
      </c>
      <c r="F71" s="408">
        <v>843</v>
      </c>
      <c r="G71" s="408">
        <v>847</v>
      </c>
      <c r="H71" s="408">
        <v>834</v>
      </c>
      <c r="I71" s="408">
        <v>831</v>
      </c>
      <c r="J71" s="408">
        <v>831</v>
      </c>
      <c r="K71" s="408">
        <v>826</v>
      </c>
      <c r="L71" s="408">
        <v>826</v>
      </c>
      <c r="M71" s="158">
        <f t="shared" si="0"/>
        <v>835.88</v>
      </c>
      <c r="O71" s="158" t="s">
        <v>621</v>
      </c>
      <c r="P71" s="158">
        <f t="shared" si="1"/>
        <v>1</v>
      </c>
    </row>
    <row r="72" spans="1:16">
      <c r="A72" s="158" t="s">
        <v>605</v>
      </c>
      <c r="B72" s="158" t="s">
        <v>222</v>
      </c>
      <c r="C72" s="158" t="s">
        <v>223</v>
      </c>
      <c r="D72" s="407">
        <v>9</v>
      </c>
      <c r="E72" s="408">
        <v>6</v>
      </c>
      <c r="F72" s="408">
        <v>11</v>
      </c>
      <c r="G72" s="408">
        <v>6</v>
      </c>
      <c r="H72" s="408">
        <v>6</v>
      </c>
      <c r="I72" s="408">
        <v>6</v>
      </c>
      <c r="J72" s="408">
        <v>6</v>
      </c>
      <c r="K72" s="408">
        <v>6</v>
      </c>
      <c r="L72" s="408">
        <v>6</v>
      </c>
      <c r="M72" s="158">
        <f t="shared" si="0"/>
        <v>6.63</v>
      </c>
      <c r="O72" s="158" t="s">
        <v>621</v>
      </c>
      <c r="P72" s="158">
        <f t="shared" si="1"/>
        <v>1</v>
      </c>
    </row>
    <row r="73" spans="1:16">
      <c r="A73" s="158" t="s">
        <v>597</v>
      </c>
      <c r="B73" s="158" t="s">
        <v>365</v>
      </c>
      <c r="C73" s="158" t="s">
        <v>366</v>
      </c>
      <c r="D73" s="407">
        <v>8</v>
      </c>
      <c r="E73" s="408">
        <v>11</v>
      </c>
      <c r="F73" s="408">
        <v>13</v>
      </c>
      <c r="G73" s="408">
        <v>12</v>
      </c>
      <c r="H73" s="408">
        <v>12</v>
      </c>
      <c r="I73" s="408">
        <v>12</v>
      </c>
      <c r="J73" s="408">
        <v>12</v>
      </c>
      <c r="K73" s="408">
        <v>16</v>
      </c>
      <c r="L73" s="408">
        <v>16</v>
      </c>
      <c r="M73" s="158">
        <f t="shared" ref="M73:M136" si="2">ROUND(SUM(E73:L73)/8,2)</f>
        <v>13</v>
      </c>
      <c r="O73" s="158" t="s">
        <v>621</v>
      </c>
      <c r="P73" s="158">
        <f t="shared" ref="P73:P136" si="3">IF(M73&gt;0,1,0)</f>
        <v>1</v>
      </c>
    </row>
    <row r="74" spans="1:16">
      <c r="A74" s="158" t="s">
        <v>595</v>
      </c>
      <c r="B74" s="158" t="s">
        <v>401</v>
      </c>
      <c r="C74" s="158" t="s">
        <v>402</v>
      </c>
      <c r="D74" s="407">
        <v>1471</v>
      </c>
      <c r="E74" s="408">
        <v>1919</v>
      </c>
      <c r="F74" s="408">
        <v>1935</v>
      </c>
      <c r="G74" s="408">
        <v>1934</v>
      </c>
      <c r="H74" s="408">
        <v>1940</v>
      </c>
      <c r="I74" s="408">
        <v>1950</v>
      </c>
      <c r="J74" s="408">
        <v>1951</v>
      </c>
      <c r="K74" s="408">
        <v>1956</v>
      </c>
      <c r="L74" s="408">
        <v>1966</v>
      </c>
      <c r="M74" s="158">
        <f t="shared" si="2"/>
        <v>1943.88</v>
      </c>
      <c r="O74" s="158" t="s">
        <v>621</v>
      </c>
      <c r="P74" s="158">
        <f t="shared" si="3"/>
        <v>1</v>
      </c>
    </row>
    <row r="75" spans="1:16">
      <c r="A75" s="158" t="s">
        <v>605</v>
      </c>
      <c r="B75" s="158" t="s">
        <v>226</v>
      </c>
      <c r="C75" s="158" t="s">
        <v>227</v>
      </c>
      <c r="D75" s="407">
        <v>148</v>
      </c>
      <c r="E75" s="408">
        <v>200</v>
      </c>
      <c r="F75" s="408">
        <v>194</v>
      </c>
      <c r="G75" s="408">
        <v>192</v>
      </c>
      <c r="H75" s="408">
        <v>187</v>
      </c>
      <c r="I75" s="408">
        <v>193</v>
      </c>
      <c r="J75" s="408">
        <v>196</v>
      </c>
      <c r="K75" s="408">
        <v>199</v>
      </c>
      <c r="L75" s="408">
        <v>203</v>
      </c>
      <c r="M75" s="158">
        <f t="shared" si="2"/>
        <v>195.5</v>
      </c>
      <c r="O75" s="158" t="s">
        <v>621</v>
      </c>
      <c r="P75" s="158">
        <f t="shared" si="3"/>
        <v>1</v>
      </c>
    </row>
    <row r="76" spans="1:16">
      <c r="A76" s="158" t="s">
        <v>594</v>
      </c>
      <c r="B76" s="158" t="s">
        <v>141</v>
      </c>
      <c r="C76" s="158" t="s">
        <v>142</v>
      </c>
      <c r="D76" s="407">
        <v>66</v>
      </c>
      <c r="E76" s="408">
        <v>81</v>
      </c>
      <c r="F76" s="408">
        <v>83</v>
      </c>
      <c r="G76" s="408">
        <v>78</v>
      </c>
      <c r="H76" s="408">
        <v>82</v>
      </c>
      <c r="I76" s="408">
        <v>83</v>
      </c>
      <c r="J76" s="408">
        <v>81</v>
      </c>
      <c r="K76" s="408">
        <v>84</v>
      </c>
      <c r="L76" s="408">
        <v>83</v>
      </c>
      <c r="M76" s="158">
        <f t="shared" si="2"/>
        <v>81.88</v>
      </c>
      <c r="O76" s="158" t="s">
        <v>621</v>
      </c>
      <c r="P76" s="158">
        <f t="shared" si="3"/>
        <v>1</v>
      </c>
    </row>
    <row r="77" spans="1:16">
      <c r="A77" s="158" t="s">
        <v>603</v>
      </c>
      <c r="B77" s="158" t="s">
        <v>535</v>
      </c>
      <c r="C77" s="158" t="s">
        <v>536</v>
      </c>
      <c r="D77" s="407">
        <v>0</v>
      </c>
      <c r="E77" s="408">
        <v>0</v>
      </c>
      <c r="F77" s="408">
        <v>0</v>
      </c>
      <c r="G77" s="408">
        <v>0</v>
      </c>
      <c r="H77" s="408">
        <v>0</v>
      </c>
      <c r="I77" s="408">
        <v>0</v>
      </c>
      <c r="J77" s="408">
        <v>0</v>
      </c>
      <c r="K77" s="408">
        <v>0</v>
      </c>
      <c r="L77" s="408">
        <v>0</v>
      </c>
      <c r="M77" s="158">
        <f t="shared" si="2"/>
        <v>0</v>
      </c>
      <c r="O77" s="158" t="s">
        <v>801</v>
      </c>
      <c r="P77" s="158">
        <f t="shared" si="3"/>
        <v>0</v>
      </c>
    </row>
    <row r="78" spans="1:16">
      <c r="A78" s="158" t="s">
        <v>601</v>
      </c>
      <c r="B78" s="158" t="s">
        <v>29</v>
      </c>
      <c r="C78" s="158" t="s">
        <v>30</v>
      </c>
      <c r="D78" s="407">
        <v>33</v>
      </c>
      <c r="E78" s="408">
        <v>40</v>
      </c>
      <c r="F78" s="408">
        <v>41</v>
      </c>
      <c r="G78" s="408">
        <v>41</v>
      </c>
      <c r="H78" s="408">
        <v>41</v>
      </c>
      <c r="I78" s="408">
        <v>42</v>
      </c>
      <c r="J78" s="408">
        <v>43</v>
      </c>
      <c r="K78" s="408">
        <v>41</v>
      </c>
      <c r="L78" s="408">
        <v>42</v>
      </c>
      <c r="M78" s="158">
        <f t="shared" si="2"/>
        <v>41.38</v>
      </c>
      <c r="O78" s="158" t="s">
        <v>621</v>
      </c>
      <c r="P78" s="158">
        <f t="shared" si="3"/>
        <v>1</v>
      </c>
    </row>
    <row r="79" spans="1:16">
      <c r="A79" s="158" t="s">
        <v>597</v>
      </c>
      <c r="B79" s="158" t="s">
        <v>177</v>
      </c>
      <c r="C79" s="158" t="s">
        <v>178</v>
      </c>
      <c r="D79" s="407">
        <v>146</v>
      </c>
      <c r="E79" s="408">
        <v>154</v>
      </c>
      <c r="F79" s="408">
        <v>156</v>
      </c>
      <c r="G79" s="408">
        <v>157</v>
      </c>
      <c r="H79" s="408">
        <v>154</v>
      </c>
      <c r="I79" s="408">
        <v>161</v>
      </c>
      <c r="J79" s="408">
        <v>160</v>
      </c>
      <c r="K79" s="408">
        <v>160</v>
      </c>
      <c r="L79" s="408">
        <v>161</v>
      </c>
      <c r="M79" s="158">
        <f t="shared" si="2"/>
        <v>157.88</v>
      </c>
      <c r="O79" s="158" t="s">
        <v>621</v>
      </c>
      <c r="P79" s="158">
        <f t="shared" si="3"/>
        <v>1</v>
      </c>
    </row>
    <row r="80" spans="1:16">
      <c r="A80" s="158" t="s">
        <v>601</v>
      </c>
      <c r="B80" s="158" t="s">
        <v>127</v>
      </c>
      <c r="C80" s="158" t="s">
        <v>128</v>
      </c>
      <c r="D80" s="407">
        <v>135</v>
      </c>
      <c r="E80" s="408">
        <v>173</v>
      </c>
      <c r="F80" s="408">
        <v>172</v>
      </c>
      <c r="G80" s="408">
        <v>177</v>
      </c>
      <c r="H80" s="408">
        <v>183</v>
      </c>
      <c r="I80" s="408">
        <v>177</v>
      </c>
      <c r="J80" s="408">
        <v>180</v>
      </c>
      <c r="K80" s="408">
        <v>177</v>
      </c>
      <c r="L80" s="408">
        <v>175</v>
      </c>
      <c r="M80" s="158">
        <f t="shared" si="2"/>
        <v>176.75</v>
      </c>
      <c r="O80" s="158" t="s">
        <v>621</v>
      </c>
      <c r="P80" s="158">
        <f t="shared" si="3"/>
        <v>1</v>
      </c>
    </row>
    <row r="81" spans="1:16">
      <c r="A81" s="158" t="s">
        <v>594</v>
      </c>
      <c r="B81" s="158" t="s">
        <v>256</v>
      </c>
      <c r="C81" s="158" t="s">
        <v>257</v>
      </c>
      <c r="D81" s="407">
        <v>0</v>
      </c>
      <c r="E81" s="408">
        <v>0</v>
      </c>
      <c r="F81" s="408">
        <v>0</v>
      </c>
      <c r="G81" s="408">
        <v>0</v>
      </c>
      <c r="H81" s="408">
        <v>0</v>
      </c>
      <c r="I81" s="408">
        <v>0</v>
      </c>
      <c r="J81" s="408">
        <v>0</v>
      </c>
      <c r="K81" s="408">
        <v>0</v>
      </c>
      <c r="L81" s="408">
        <v>0</v>
      </c>
      <c r="M81" s="158">
        <f t="shared" si="2"/>
        <v>0</v>
      </c>
      <c r="O81" s="158" t="s">
        <v>801</v>
      </c>
      <c r="P81" s="158">
        <f t="shared" si="3"/>
        <v>0</v>
      </c>
    </row>
    <row r="82" spans="1:16">
      <c r="A82" s="158" t="s">
        <v>595</v>
      </c>
      <c r="B82" s="158" t="s">
        <v>395</v>
      </c>
      <c r="C82" s="158" t="s">
        <v>396</v>
      </c>
      <c r="D82" s="407">
        <v>1245</v>
      </c>
      <c r="E82" s="408">
        <v>1754</v>
      </c>
      <c r="F82" s="408">
        <v>1757</v>
      </c>
      <c r="G82" s="408">
        <v>1769</v>
      </c>
      <c r="H82" s="408">
        <v>1778</v>
      </c>
      <c r="I82" s="408">
        <v>1798</v>
      </c>
      <c r="J82" s="408">
        <v>1777</v>
      </c>
      <c r="K82" s="408">
        <v>1771</v>
      </c>
      <c r="L82" s="408">
        <v>1769</v>
      </c>
      <c r="M82" s="158">
        <f t="shared" si="2"/>
        <v>1771.63</v>
      </c>
      <c r="O82" s="158" t="s">
        <v>621</v>
      </c>
      <c r="P82" s="158">
        <f t="shared" si="3"/>
        <v>1</v>
      </c>
    </row>
    <row r="83" spans="1:16">
      <c r="A83" s="158" t="s">
        <v>599</v>
      </c>
      <c r="B83" s="158" t="s">
        <v>58</v>
      </c>
      <c r="C83" s="158" t="s">
        <v>59</v>
      </c>
      <c r="D83" s="407">
        <v>1470</v>
      </c>
      <c r="E83" s="408">
        <v>2001</v>
      </c>
      <c r="F83" s="408">
        <v>2022</v>
      </c>
      <c r="G83" s="408">
        <v>2028</v>
      </c>
      <c r="H83" s="408">
        <v>2019</v>
      </c>
      <c r="I83" s="408">
        <v>2018</v>
      </c>
      <c r="J83" s="408">
        <v>2021</v>
      </c>
      <c r="K83" s="408">
        <v>2025</v>
      </c>
      <c r="L83" s="408">
        <v>2037</v>
      </c>
      <c r="M83" s="158">
        <f t="shared" si="2"/>
        <v>2021.38</v>
      </c>
      <c r="O83" s="158" t="s">
        <v>621</v>
      </c>
      <c r="P83" s="158">
        <f t="shared" si="3"/>
        <v>1</v>
      </c>
    </row>
    <row r="84" spans="1:16">
      <c r="A84" s="158" t="s">
        <v>603</v>
      </c>
      <c r="B84" s="158" t="s">
        <v>462</v>
      </c>
      <c r="C84" s="158" t="s">
        <v>463</v>
      </c>
      <c r="D84" s="407">
        <v>0</v>
      </c>
      <c r="E84" s="408">
        <v>0</v>
      </c>
      <c r="F84" s="408">
        <v>0</v>
      </c>
      <c r="G84" s="408">
        <v>0</v>
      </c>
      <c r="H84" s="408">
        <v>0</v>
      </c>
      <c r="I84" s="408">
        <v>0</v>
      </c>
      <c r="J84" s="408">
        <v>0</v>
      </c>
      <c r="K84" s="408">
        <v>0</v>
      </c>
      <c r="L84" s="408">
        <v>0</v>
      </c>
      <c r="M84" s="158">
        <f t="shared" si="2"/>
        <v>0</v>
      </c>
      <c r="O84" s="158" t="s">
        <v>801</v>
      </c>
      <c r="P84" s="158">
        <f t="shared" si="3"/>
        <v>0</v>
      </c>
    </row>
    <row r="85" spans="1:16">
      <c r="A85" s="158" t="s">
        <v>597</v>
      </c>
      <c r="B85" s="158" t="s">
        <v>175</v>
      </c>
      <c r="C85" s="158" t="s">
        <v>176</v>
      </c>
      <c r="D85" s="407">
        <v>2072</v>
      </c>
      <c r="E85" s="408">
        <v>2803</v>
      </c>
      <c r="F85" s="408">
        <v>2845</v>
      </c>
      <c r="G85" s="408">
        <v>2871</v>
      </c>
      <c r="H85" s="408">
        <v>2879</v>
      </c>
      <c r="I85" s="408">
        <v>2894</v>
      </c>
      <c r="J85" s="408">
        <v>2888</v>
      </c>
      <c r="K85" s="408">
        <v>2856</v>
      </c>
      <c r="L85" s="408">
        <v>2856</v>
      </c>
      <c r="M85" s="158">
        <f t="shared" si="2"/>
        <v>2861.5</v>
      </c>
      <c r="O85" s="158" t="s">
        <v>621</v>
      </c>
      <c r="P85" s="158">
        <f t="shared" si="3"/>
        <v>1</v>
      </c>
    </row>
    <row r="86" spans="1:16">
      <c r="A86" s="158" t="s">
        <v>595</v>
      </c>
      <c r="B86" s="158" t="s">
        <v>506</v>
      </c>
      <c r="C86" s="158" t="s">
        <v>507</v>
      </c>
      <c r="D86" s="407">
        <v>168</v>
      </c>
      <c r="E86" s="408">
        <v>221</v>
      </c>
      <c r="F86" s="408">
        <v>228</v>
      </c>
      <c r="G86" s="408">
        <v>232</v>
      </c>
      <c r="H86" s="408">
        <v>233</v>
      </c>
      <c r="I86" s="408">
        <v>231</v>
      </c>
      <c r="J86" s="408">
        <v>243</v>
      </c>
      <c r="K86" s="408">
        <v>243</v>
      </c>
      <c r="L86" s="408">
        <v>242</v>
      </c>
      <c r="M86" s="158">
        <f t="shared" si="2"/>
        <v>234.13</v>
      </c>
      <c r="O86" s="158" t="s">
        <v>621</v>
      </c>
      <c r="P86" s="158">
        <f t="shared" si="3"/>
        <v>1</v>
      </c>
    </row>
    <row r="87" spans="1:16">
      <c r="A87" s="158" t="s">
        <v>597</v>
      </c>
      <c r="B87" s="158" t="s">
        <v>369</v>
      </c>
      <c r="C87" s="158" t="s">
        <v>370</v>
      </c>
      <c r="D87" s="407">
        <v>263</v>
      </c>
      <c r="E87" s="408">
        <v>346</v>
      </c>
      <c r="F87" s="408">
        <v>345</v>
      </c>
      <c r="G87" s="408">
        <v>345</v>
      </c>
      <c r="H87" s="408">
        <v>341</v>
      </c>
      <c r="I87" s="408">
        <v>338</v>
      </c>
      <c r="J87" s="408">
        <v>341</v>
      </c>
      <c r="K87" s="408">
        <v>334</v>
      </c>
      <c r="L87" s="408">
        <v>330</v>
      </c>
      <c r="M87" s="158">
        <f t="shared" si="2"/>
        <v>340</v>
      </c>
      <c r="O87" s="158" t="s">
        <v>621</v>
      </c>
      <c r="P87" s="158">
        <f t="shared" si="3"/>
        <v>1</v>
      </c>
    </row>
    <row r="88" spans="1:16">
      <c r="A88" s="158" t="s">
        <v>596</v>
      </c>
      <c r="B88" s="158" t="s">
        <v>19</v>
      </c>
      <c r="C88" s="158" t="s">
        <v>20</v>
      </c>
      <c r="D88" s="407">
        <v>118</v>
      </c>
      <c r="E88" s="408">
        <v>119</v>
      </c>
      <c r="F88" s="408">
        <v>119</v>
      </c>
      <c r="G88" s="408">
        <v>124</v>
      </c>
      <c r="H88" s="408">
        <v>124</v>
      </c>
      <c r="I88" s="408">
        <v>123</v>
      </c>
      <c r="J88" s="408">
        <v>127</v>
      </c>
      <c r="K88" s="408">
        <v>128</v>
      </c>
      <c r="L88" s="408">
        <v>124</v>
      </c>
      <c r="M88" s="158">
        <f t="shared" si="2"/>
        <v>123.5</v>
      </c>
      <c r="O88" s="158" t="s">
        <v>621</v>
      </c>
      <c r="P88" s="158">
        <f t="shared" si="3"/>
        <v>1</v>
      </c>
    </row>
    <row r="89" spans="1:16">
      <c r="A89" s="158" t="s">
        <v>597</v>
      </c>
      <c r="B89" s="158" t="s">
        <v>361</v>
      </c>
      <c r="C89" s="158" t="s">
        <v>362</v>
      </c>
      <c r="D89" s="407">
        <v>452</v>
      </c>
      <c r="E89" s="408">
        <v>527</v>
      </c>
      <c r="F89" s="408">
        <v>537</v>
      </c>
      <c r="G89" s="408">
        <v>542</v>
      </c>
      <c r="H89" s="408">
        <v>546</v>
      </c>
      <c r="I89" s="408">
        <v>547</v>
      </c>
      <c r="J89" s="408">
        <v>546</v>
      </c>
      <c r="K89" s="408">
        <v>570</v>
      </c>
      <c r="L89" s="408">
        <v>564</v>
      </c>
      <c r="M89" s="158">
        <f t="shared" si="2"/>
        <v>547.38</v>
      </c>
      <c r="O89" s="158" t="s">
        <v>621</v>
      </c>
      <c r="P89" s="158">
        <f t="shared" si="3"/>
        <v>1</v>
      </c>
    </row>
    <row r="90" spans="1:16">
      <c r="A90" s="158" t="s">
        <v>603</v>
      </c>
      <c r="B90" s="158" t="s">
        <v>436</v>
      </c>
      <c r="C90" s="158" t="s">
        <v>437</v>
      </c>
      <c r="D90" s="407">
        <v>0</v>
      </c>
      <c r="E90" s="408">
        <v>0</v>
      </c>
      <c r="F90" s="408">
        <v>0</v>
      </c>
      <c r="G90" s="408">
        <v>0</v>
      </c>
      <c r="H90" s="408">
        <v>0</v>
      </c>
      <c r="I90" s="408">
        <v>0</v>
      </c>
      <c r="J90" s="408">
        <v>0</v>
      </c>
      <c r="K90" s="408">
        <v>0</v>
      </c>
      <c r="L90" s="408">
        <v>0</v>
      </c>
      <c r="M90" s="158">
        <f t="shared" si="2"/>
        <v>0</v>
      </c>
      <c r="O90" s="158" t="s">
        <v>801</v>
      </c>
      <c r="P90" s="158">
        <f t="shared" si="3"/>
        <v>0</v>
      </c>
    </row>
    <row r="91" spans="1:16">
      <c r="A91" s="158" t="s">
        <v>603</v>
      </c>
      <c r="B91" s="158" t="s">
        <v>529</v>
      </c>
      <c r="C91" s="158" t="s">
        <v>530</v>
      </c>
      <c r="D91" s="407">
        <v>0</v>
      </c>
      <c r="E91" s="408">
        <v>0</v>
      </c>
      <c r="F91" s="408">
        <v>0</v>
      </c>
      <c r="G91" s="408">
        <v>0</v>
      </c>
      <c r="H91" s="408">
        <v>0</v>
      </c>
      <c r="I91" s="408">
        <v>0</v>
      </c>
      <c r="J91" s="408">
        <v>0</v>
      </c>
      <c r="K91" s="408">
        <v>0</v>
      </c>
      <c r="L91" s="408">
        <v>0</v>
      </c>
      <c r="M91" s="158">
        <f t="shared" si="2"/>
        <v>0</v>
      </c>
      <c r="O91" s="158" t="s">
        <v>801</v>
      </c>
      <c r="P91" s="158">
        <f t="shared" si="3"/>
        <v>0</v>
      </c>
    </row>
    <row r="92" spans="1:16">
      <c r="A92" s="158" t="s">
        <v>599</v>
      </c>
      <c r="B92" s="158" t="s">
        <v>240</v>
      </c>
      <c r="C92" s="158" t="s">
        <v>241</v>
      </c>
      <c r="D92" s="407">
        <v>0</v>
      </c>
      <c r="E92" s="408">
        <v>0</v>
      </c>
      <c r="F92" s="408">
        <v>0</v>
      </c>
      <c r="G92" s="408">
        <v>0</v>
      </c>
      <c r="H92" s="408">
        <v>0</v>
      </c>
      <c r="I92" s="408">
        <v>0</v>
      </c>
      <c r="J92" s="408">
        <v>0</v>
      </c>
      <c r="K92" s="408">
        <v>0</v>
      </c>
      <c r="L92" s="408">
        <v>0</v>
      </c>
      <c r="M92" s="158">
        <f t="shared" si="2"/>
        <v>0</v>
      </c>
      <c r="O92" s="158" t="s">
        <v>801</v>
      </c>
      <c r="P92" s="158">
        <f t="shared" si="3"/>
        <v>0</v>
      </c>
    </row>
    <row r="93" spans="1:16">
      <c r="A93" s="158" t="s">
        <v>605</v>
      </c>
      <c r="B93" s="158" t="s">
        <v>246</v>
      </c>
      <c r="C93" s="158" t="s">
        <v>247</v>
      </c>
      <c r="D93" s="407">
        <v>35</v>
      </c>
      <c r="E93" s="408">
        <v>37</v>
      </c>
      <c r="F93" s="408">
        <v>35</v>
      </c>
      <c r="G93" s="408">
        <v>34</v>
      </c>
      <c r="H93" s="408">
        <v>31</v>
      </c>
      <c r="I93" s="408">
        <v>32</v>
      </c>
      <c r="J93" s="408">
        <v>32</v>
      </c>
      <c r="K93" s="408">
        <v>33</v>
      </c>
      <c r="L93" s="408">
        <v>35</v>
      </c>
      <c r="M93" s="158">
        <f t="shared" si="2"/>
        <v>33.630000000000003</v>
      </c>
      <c r="O93" s="158" t="s">
        <v>621</v>
      </c>
      <c r="P93" s="158">
        <f t="shared" si="3"/>
        <v>1</v>
      </c>
    </row>
    <row r="94" spans="1:16">
      <c r="A94" s="158" t="s">
        <v>601</v>
      </c>
      <c r="B94" s="158" t="s">
        <v>131</v>
      </c>
      <c r="C94" s="158" t="s">
        <v>655</v>
      </c>
      <c r="D94" s="407">
        <v>0</v>
      </c>
      <c r="E94" s="408">
        <v>0</v>
      </c>
      <c r="F94" s="408">
        <v>0</v>
      </c>
      <c r="G94" s="408">
        <v>0</v>
      </c>
      <c r="H94" s="408">
        <v>0</v>
      </c>
      <c r="I94" s="408">
        <v>0</v>
      </c>
      <c r="J94" s="408">
        <v>0</v>
      </c>
      <c r="K94" s="408">
        <v>0</v>
      </c>
      <c r="L94" s="408">
        <v>0</v>
      </c>
      <c r="M94" s="158">
        <f t="shared" si="2"/>
        <v>0</v>
      </c>
      <c r="O94" s="158" t="s">
        <v>801</v>
      </c>
      <c r="P94" s="158">
        <f t="shared" si="3"/>
        <v>0</v>
      </c>
    </row>
    <row r="95" spans="1:16">
      <c r="A95" s="158" t="s">
        <v>605</v>
      </c>
      <c r="B95" s="158" t="s">
        <v>555</v>
      </c>
      <c r="C95" s="158" t="s">
        <v>556</v>
      </c>
      <c r="D95" s="407">
        <v>983</v>
      </c>
      <c r="E95" s="408">
        <v>1057</v>
      </c>
      <c r="F95" s="408">
        <v>1064</v>
      </c>
      <c r="G95" s="408">
        <v>1053</v>
      </c>
      <c r="H95" s="408">
        <v>1052</v>
      </c>
      <c r="I95" s="408">
        <v>1051</v>
      </c>
      <c r="J95" s="408">
        <v>1046</v>
      </c>
      <c r="K95" s="408">
        <v>1060</v>
      </c>
      <c r="L95" s="408">
        <v>1059</v>
      </c>
      <c r="M95" s="158">
        <f t="shared" si="2"/>
        <v>1055.25</v>
      </c>
      <c r="O95" s="158" t="s">
        <v>621</v>
      </c>
      <c r="P95" s="158">
        <f t="shared" si="3"/>
        <v>1</v>
      </c>
    </row>
    <row r="96" spans="1:16">
      <c r="A96" s="158" t="s">
        <v>605</v>
      </c>
      <c r="B96" s="158" t="s">
        <v>563</v>
      </c>
      <c r="C96" s="158" t="s">
        <v>564</v>
      </c>
      <c r="D96" s="407">
        <v>571</v>
      </c>
      <c r="E96" s="408">
        <v>562</v>
      </c>
      <c r="F96" s="408">
        <v>555</v>
      </c>
      <c r="G96" s="408">
        <v>542</v>
      </c>
      <c r="H96" s="408">
        <v>537</v>
      </c>
      <c r="I96" s="408">
        <v>541</v>
      </c>
      <c r="J96" s="408">
        <v>536</v>
      </c>
      <c r="K96" s="408">
        <v>531</v>
      </c>
      <c r="L96" s="408">
        <v>527</v>
      </c>
      <c r="M96" s="158">
        <f t="shared" si="2"/>
        <v>541.38</v>
      </c>
      <c r="O96" s="158" t="s">
        <v>621</v>
      </c>
      <c r="P96" s="158">
        <f t="shared" si="3"/>
        <v>1</v>
      </c>
    </row>
    <row r="97" spans="1:16">
      <c r="A97" s="158" t="s">
        <v>595</v>
      </c>
      <c r="B97" s="158" t="s">
        <v>419</v>
      </c>
      <c r="C97" s="158" t="s">
        <v>420</v>
      </c>
      <c r="D97" s="407">
        <v>22</v>
      </c>
      <c r="E97" s="408">
        <v>22</v>
      </c>
      <c r="F97" s="408">
        <v>26</v>
      </c>
      <c r="G97" s="408">
        <v>26</v>
      </c>
      <c r="H97" s="408">
        <v>26</v>
      </c>
      <c r="I97" s="408">
        <v>26</v>
      </c>
      <c r="J97" s="408">
        <v>26</v>
      </c>
      <c r="K97" s="408">
        <v>26</v>
      </c>
      <c r="L97" s="408">
        <v>26</v>
      </c>
      <c r="M97" s="158">
        <f t="shared" si="2"/>
        <v>25.5</v>
      </c>
      <c r="O97" s="158" t="s">
        <v>621</v>
      </c>
      <c r="P97" s="158">
        <f t="shared" si="3"/>
        <v>1</v>
      </c>
    </row>
    <row r="98" spans="1:16">
      <c r="A98" s="158" t="s">
        <v>594</v>
      </c>
      <c r="B98" s="158" t="s">
        <v>297</v>
      </c>
      <c r="C98" s="158" t="s">
        <v>298</v>
      </c>
      <c r="D98" s="407">
        <v>0</v>
      </c>
      <c r="E98" s="408">
        <v>0</v>
      </c>
      <c r="F98" s="408">
        <v>0</v>
      </c>
      <c r="G98" s="408">
        <v>0</v>
      </c>
      <c r="H98" s="408">
        <v>0</v>
      </c>
      <c r="I98" s="408">
        <v>0</v>
      </c>
      <c r="J98" s="408">
        <v>0</v>
      </c>
      <c r="K98" s="408">
        <v>0</v>
      </c>
      <c r="L98" s="408">
        <v>0</v>
      </c>
      <c r="M98" s="158">
        <f t="shared" si="2"/>
        <v>0</v>
      </c>
      <c r="O98" s="158" t="s">
        <v>801</v>
      </c>
      <c r="P98" s="158">
        <f t="shared" si="3"/>
        <v>0</v>
      </c>
    </row>
    <row r="99" spans="1:16">
      <c r="A99" s="158" t="s">
        <v>603</v>
      </c>
      <c r="B99" s="158" t="s">
        <v>426</v>
      </c>
      <c r="C99" s="158" t="s">
        <v>427</v>
      </c>
      <c r="D99" s="407">
        <v>0</v>
      </c>
      <c r="E99" s="408">
        <v>0</v>
      </c>
      <c r="F99" s="408">
        <v>0</v>
      </c>
      <c r="G99" s="408">
        <v>0</v>
      </c>
      <c r="H99" s="408">
        <v>0</v>
      </c>
      <c r="I99" s="408">
        <v>0</v>
      </c>
      <c r="J99" s="408">
        <v>0</v>
      </c>
      <c r="K99" s="408">
        <v>0</v>
      </c>
      <c r="L99" s="408">
        <v>0</v>
      </c>
      <c r="M99" s="158">
        <f t="shared" si="2"/>
        <v>0</v>
      </c>
      <c r="O99" s="158" t="s">
        <v>801</v>
      </c>
      <c r="P99" s="158">
        <f t="shared" si="3"/>
        <v>0</v>
      </c>
    </row>
    <row r="100" spans="1:16">
      <c r="A100" s="158" t="s">
        <v>599</v>
      </c>
      <c r="B100" s="158" t="s">
        <v>54</v>
      </c>
      <c r="C100" s="158" t="s">
        <v>55</v>
      </c>
      <c r="D100" s="407">
        <v>0</v>
      </c>
      <c r="E100" s="408">
        <v>0</v>
      </c>
      <c r="F100" s="408">
        <v>0</v>
      </c>
      <c r="G100" s="408">
        <v>0</v>
      </c>
      <c r="H100" s="408">
        <v>0</v>
      </c>
      <c r="I100" s="408">
        <v>0</v>
      </c>
      <c r="J100" s="408">
        <v>0</v>
      </c>
      <c r="K100" s="408">
        <v>0</v>
      </c>
      <c r="L100" s="408">
        <v>0</v>
      </c>
      <c r="M100" s="158">
        <f t="shared" si="2"/>
        <v>0</v>
      </c>
      <c r="O100" s="158" t="s">
        <v>801</v>
      </c>
      <c r="P100" s="158">
        <f t="shared" si="3"/>
        <v>0</v>
      </c>
    </row>
    <row r="101" spans="1:16">
      <c r="A101" s="158" t="s">
        <v>594</v>
      </c>
      <c r="B101" s="158" t="s">
        <v>482</v>
      </c>
      <c r="C101" s="158" t="s">
        <v>483</v>
      </c>
      <c r="D101" s="407">
        <v>0</v>
      </c>
      <c r="E101" s="408">
        <v>0</v>
      </c>
      <c r="F101" s="408">
        <v>0</v>
      </c>
      <c r="G101" s="408">
        <v>0</v>
      </c>
      <c r="H101" s="408">
        <v>0</v>
      </c>
      <c r="I101" s="408">
        <v>0</v>
      </c>
      <c r="J101" s="408">
        <v>0</v>
      </c>
      <c r="K101" s="408">
        <v>0</v>
      </c>
      <c r="L101" s="408">
        <v>0</v>
      </c>
      <c r="M101" s="158">
        <f t="shared" si="2"/>
        <v>0</v>
      </c>
      <c r="O101" s="158" t="s">
        <v>801</v>
      </c>
      <c r="P101" s="158">
        <f t="shared" si="3"/>
        <v>0</v>
      </c>
    </row>
    <row r="102" spans="1:16">
      <c r="A102" s="158" t="s">
        <v>603</v>
      </c>
      <c r="B102" s="158" t="s">
        <v>291</v>
      </c>
      <c r="C102" s="158" t="s">
        <v>292</v>
      </c>
      <c r="D102" s="407">
        <v>0</v>
      </c>
      <c r="E102" s="408">
        <v>0</v>
      </c>
      <c r="F102" s="408">
        <v>0</v>
      </c>
      <c r="G102" s="408">
        <v>0</v>
      </c>
      <c r="H102" s="408">
        <v>0</v>
      </c>
      <c r="I102" s="408">
        <v>0</v>
      </c>
      <c r="J102" s="408">
        <v>0</v>
      </c>
      <c r="K102" s="408">
        <v>0</v>
      </c>
      <c r="L102" s="408">
        <v>0</v>
      </c>
      <c r="M102" s="158">
        <f t="shared" si="2"/>
        <v>0</v>
      </c>
      <c r="O102" s="158" t="s">
        <v>801</v>
      </c>
      <c r="P102" s="158">
        <f t="shared" si="3"/>
        <v>0</v>
      </c>
    </row>
    <row r="103" spans="1:16">
      <c r="A103" s="158" t="s">
        <v>605</v>
      </c>
      <c r="B103" s="158" t="s">
        <v>561</v>
      </c>
      <c r="C103" s="158" t="s">
        <v>562</v>
      </c>
      <c r="D103" s="407">
        <v>240</v>
      </c>
      <c r="E103" s="408">
        <v>237</v>
      </c>
      <c r="F103" s="408">
        <v>240</v>
      </c>
      <c r="G103" s="408">
        <v>231</v>
      </c>
      <c r="H103" s="408">
        <v>233</v>
      </c>
      <c r="I103" s="408">
        <v>227</v>
      </c>
      <c r="J103" s="408">
        <v>234</v>
      </c>
      <c r="K103" s="408">
        <v>231</v>
      </c>
      <c r="L103" s="408">
        <v>232</v>
      </c>
      <c r="M103" s="158">
        <f t="shared" si="2"/>
        <v>233.13</v>
      </c>
      <c r="O103" s="158" t="s">
        <v>621</v>
      </c>
      <c r="P103" s="158">
        <f t="shared" si="3"/>
        <v>1</v>
      </c>
    </row>
    <row r="104" spans="1:16">
      <c r="A104" s="158" t="s">
        <v>597</v>
      </c>
      <c r="B104" s="158" t="s">
        <v>181</v>
      </c>
      <c r="C104" s="158" t="s">
        <v>182</v>
      </c>
      <c r="D104" s="407">
        <v>3346</v>
      </c>
      <c r="E104" s="408">
        <v>3393</v>
      </c>
      <c r="F104" s="408">
        <v>3405</v>
      </c>
      <c r="G104" s="408">
        <v>3430</v>
      </c>
      <c r="H104" s="408">
        <v>3431</v>
      </c>
      <c r="I104" s="408">
        <v>3448</v>
      </c>
      <c r="J104" s="408">
        <v>3447</v>
      </c>
      <c r="K104" s="408">
        <v>3450</v>
      </c>
      <c r="L104" s="408">
        <v>3471</v>
      </c>
      <c r="M104" s="158">
        <f t="shared" si="2"/>
        <v>3434.38</v>
      </c>
      <c r="O104" s="158" t="s">
        <v>621</v>
      </c>
      <c r="P104" s="158">
        <f t="shared" si="3"/>
        <v>1</v>
      </c>
    </row>
    <row r="105" spans="1:16">
      <c r="A105" s="158" t="s">
        <v>599</v>
      </c>
      <c r="B105" s="158" t="s">
        <v>51</v>
      </c>
      <c r="C105" s="158" t="s">
        <v>52</v>
      </c>
      <c r="D105" s="407">
        <v>22</v>
      </c>
      <c r="E105" s="408">
        <v>25</v>
      </c>
      <c r="F105" s="408">
        <v>26</v>
      </c>
      <c r="G105" s="408">
        <v>26</v>
      </c>
      <c r="H105" s="408">
        <v>27</v>
      </c>
      <c r="I105" s="408">
        <v>26</v>
      </c>
      <c r="J105" s="408">
        <v>27</v>
      </c>
      <c r="K105" s="408">
        <v>27</v>
      </c>
      <c r="L105" s="408">
        <v>27</v>
      </c>
      <c r="M105" s="158">
        <f t="shared" si="2"/>
        <v>26.38</v>
      </c>
      <c r="O105" s="158" t="s">
        <v>621</v>
      </c>
      <c r="P105" s="158">
        <f t="shared" si="3"/>
        <v>1</v>
      </c>
    </row>
    <row r="106" spans="1:16">
      <c r="A106" s="158" t="s">
        <v>594</v>
      </c>
      <c r="B106" s="158" t="s">
        <v>307</v>
      </c>
      <c r="C106" s="158" t="s">
        <v>308</v>
      </c>
      <c r="D106" s="407">
        <v>0</v>
      </c>
      <c r="E106" s="408">
        <v>0</v>
      </c>
      <c r="F106" s="408">
        <v>0</v>
      </c>
      <c r="G106" s="408">
        <v>0</v>
      </c>
      <c r="H106" s="408">
        <v>0</v>
      </c>
      <c r="I106" s="408">
        <v>0</v>
      </c>
      <c r="J106" s="408">
        <v>0</v>
      </c>
      <c r="K106" s="408">
        <v>0</v>
      </c>
      <c r="L106" s="408">
        <v>0</v>
      </c>
      <c r="M106" s="158">
        <f t="shared" si="2"/>
        <v>0</v>
      </c>
      <c r="O106" s="158" t="s">
        <v>801</v>
      </c>
      <c r="P106" s="158">
        <f t="shared" si="3"/>
        <v>0</v>
      </c>
    </row>
    <row r="107" spans="1:16">
      <c r="A107" s="158" t="s">
        <v>594</v>
      </c>
      <c r="B107" s="158" t="s">
        <v>134</v>
      </c>
      <c r="C107" s="158" t="s">
        <v>135</v>
      </c>
      <c r="D107" s="407">
        <v>41</v>
      </c>
      <c r="E107" s="408">
        <v>40</v>
      </c>
      <c r="F107" s="408">
        <v>40</v>
      </c>
      <c r="G107" s="408">
        <v>40</v>
      </c>
      <c r="H107" s="408">
        <v>39</v>
      </c>
      <c r="I107" s="408">
        <v>44</v>
      </c>
      <c r="J107" s="408">
        <v>45</v>
      </c>
      <c r="K107" s="408">
        <v>44</v>
      </c>
      <c r="L107" s="408">
        <v>46</v>
      </c>
      <c r="M107" s="158">
        <f t="shared" si="2"/>
        <v>42.25</v>
      </c>
      <c r="O107" s="158" t="s">
        <v>621</v>
      </c>
      <c r="P107" s="158">
        <f t="shared" si="3"/>
        <v>1</v>
      </c>
    </row>
    <row r="108" spans="1:16">
      <c r="A108" s="158" t="s">
        <v>603</v>
      </c>
      <c r="B108" s="158" t="s">
        <v>100</v>
      </c>
      <c r="C108" s="158" t="s">
        <v>101</v>
      </c>
      <c r="D108" s="407">
        <v>0</v>
      </c>
      <c r="E108" s="408">
        <v>0</v>
      </c>
      <c r="F108" s="408">
        <v>0</v>
      </c>
      <c r="G108" s="408">
        <v>0</v>
      </c>
      <c r="H108" s="408">
        <v>0</v>
      </c>
      <c r="I108" s="408">
        <v>0</v>
      </c>
      <c r="J108" s="408">
        <v>0</v>
      </c>
      <c r="K108" s="408">
        <v>0</v>
      </c>
      <c r="L108" s="408">
        <v>0</v>
      </c>
      <c r="M108" s="158">
        <f t="shared" si="2"/>
        <v>0</v>
      </c>
      <c r="O108" s="158" t="s">
        <v>801</v>
      </c>
      <c r="P108" s="158">
        <f t="shared" si="3"/>
        <v>0</v>
      </c>
    </row>
    <row r="109" spans="1:16">
      <c r="A109" s="158" t="s">
        <v>595</v>
      </c>
      <c r="B109" s="158" t="s">
        <v>407</v>
      </c>
      <c r="C109" s="158" t="s">
        <v>408</v>
      </c>
      <c r="D109" s="407">
        <v>0</v>
      </c>
      <c r="E109" s="408">
        <v>0</v>
      </c>
      <c r="F109" s="408">
        <v>0</v>
      </c>
      <c r="G109" s="408">
        <v>0</v>
      </c>
      <c r="H109" s="408">
        <v>2</v>
      </c>
      <c r="I109" s="408">
        <v>0</v>
      </c>
      <c r="J109" s="408">
        <v>2</v>
      </c>
      <c r="K109" s="408">
        <v>0</v>
      </c>
      <c r="L109" s="408">
        <v>0</v>
      </c>
      <c r="M109" s="158">
        <f t="shared" si="2"/>
        <v>0.5</v>
      </c>
      <c r="O109" s="158" t="s">
        <v>801</v>
      </c>
      <c r="P109" s="158">
        <f t="shared" si="3"/>
        <v>1</v>
      </c>
    </row>
    <row r="110" spans="1:16">
      <c r="A110" s="158" t="s">
        <v>597</v>
      </c>
      <c r="B110" s="158" t="s">
        <v>201</v>
      </c>
      <c r="C110" s="158" t="s">
        <v>202</v>
      </c>
      <c r="D110" s="407">
        <v>545</v>
      </c>
      <c r="E110" s="408">
        <v>611</v>
      </c>
      <c r="F110" s="408">
        <v>614</v>
      </c>
      <c r="G110" s="408">
        <v>622</v>
      </c>
      <c r="H110" s="408">
        <v>620</v>
      </c>
      <c r="I110" s="408">
        <v>628</v>
      </c>
      <c r="J110" s="408">
        <v>629</v>
      </c>
      <c r="K110" s="408">
        <v>636</v>
      </c>
      <c r="L110" s="408">
        <v>637</v>
      </c>
      <c r="M110" s="158">
        <f t="shared" si="2"/>
        <v>624.63</v>
      </c>
      <c r="O110" s="158" t="s">
        <v>621</v>
      </c>
      <c r="P110" s="158">
        <f t="shared" si="3"/>
        <v>1</v>
      </c>
    </row>
    <row r="111" spans="1:16">
      <c r="A111" s="158" t="s">
        <v>596</v>
      </c>
      <c r="B111" s="158" t="s">
        <v>110</v>
      </c>
      <c r="C111" s="158" t="s">
        <v>111</v>
      </c>
      <c r="D111" s="407">
        <v>0</v>
      </c>
      <c r="E111" s="408">
        <v>0</v>
      </c>
      <c r="F111" s="408">
        <v>0</v>
      </c>
      <c r="G111" s="408">
        <v>0</v>
      </c>
      <c r="H111" s="408">
        <v>0</v>
      </c>
      <c r="I111" s="408">
        <v>0</v>
      </c>
      <c r="J111" s="408">
        <v>0</v>
      </c>
      <c r="K111" s="408">
        <v>0</v>
      </c>
      <c r="L111" s="408">
        <v>0</v>
      </c>
      <c r="M111" s="158">
        <f t="shared" si="2"/>
        <v>0</v>
      </c>
      <c r="O111" s="158" t="s">
        <v>801</v>
      </c>
      <c r="P111" s="158">
        <f t="shared" si="3"/>
        <v>0</v>
      </c>
    </row>
    <row r="112" spans="1:16">
      <c r="A112" s="158" t="s">
        <v>599</v>
      </c>
      <c r="B112" s="158" t="s">
        <v>76</v>
      </c>
      <c r="C112" s="158" t="s">
        <v>77</v>
      </c>
      <c r="D112" s="407">
        <v>0</v>
      </c>
      <c r="E112" s="408">
        <v>0</v>
      </c>
      <c r="F112" s="408">
        <v>0</v>
      </c>
      <c r="G112" s="408">
        <v>0</v>
      </c>
      <c r="H112" s="408">
        <v>0</v>
      </c>
      <c r="I112" s="408">
        <v>0</v>
      </c>
      <c r="J112" s="408">
        <v>0</v>
      </c>
      <c r="K112" s="408">
        <v>0</v>
      </c>
      <c r="L112" s="408">
        <v>0</v>
      </c>
      <c r="M112" s="158">
        <f t="shared" si="2"/>
        <v>0</v>
      </c>
      <c r="O112" s="158" t="s">
        <v>801</v>
      </c>
      <c r="P112" s="158">
        <f t="shared" si="3"/>
        <v>0</v>
      </c>
    </row>
    <row r="113" spans="1:16">
      <c r="A113" s="158" t="s">
        <v>603</v>
      </c>
      <c r="B113" s="158" t="s">
        <v>94</v>
      </c>
      <c r="C113" s="158" t="s">
        <v>95</v>
      </c>
      <c r="D113" s="407">
        <v>0</v>
      </c>
      <c r="E113" s="408">
        <v>0</v>
      </c>
      <c r="F113" s="408">
        <v>0</v>
      </c>
      <c r="G113" s="408">
        <v>0</v>
      </c>
      <c r="H113" s="408">
        <v>0</v>
      </c>
      <c r="I113" s="408">
        <v>0</v>
      </c>
      <c r="J113" s="408">
        <v>0</v>
      </c>
      <c r="K113" s="408">
        <v>0</v>
      </c>
      <c r="L113" s="408">
        <v>0</v>
      </c>
      <c r="M113" s="158">
        <f t="shared" si="2"/>
        <v>0</v>
      </c>
      <c r="O113" s="158" t="s">
        <v>801</v>
      </c>
      <c r="P113" s="158">
        <f t="shared" si="3"/>
        <v>0</v>
      </c>
    </row>
    <row r="114" spans="1:16">
      <c r="A114" s="158" t="s">
        <v>599</v>
      </c>
      <c r="B114" s="158" t="s">
        <v>80</v>
      </c>
      <c r="C114" s="158" t="s">
        <v>81</v>
      </c>
      <c r="D114" s="407">
        <v>169</v>
      </c>
      <c r="E114" s="408">
        <v>186</v>
      </c>
      <c r="F114" s="408">
        <v>194</v>
      </c>
      <c r="G114" s="408">
        <v>193</v>
      </c>
      <c r="H114" s="408">
        <v>195</v>
      </c>
      <c r="I114" s="408">
        <v>197</v>
      </c>
      <c r="J114" s="408">
        <v>194</v>
      </c>
      <c r="K114" s="408">
        <v>197</v>
      </c>
      <c r="L114" s="408">
        <v>189</v>
      </c>
      <c r="M114" s="158">
        <f t="shared" si="2"/>
        <v>193.13</v>
      </c>
      <c r="O114" s="158" t="s">
        <v>621</v>
      </c>
      <c r="P114" s="158">
        <f t="shared" si="3"/>
        <v>1</v>
      </c>
    </row>
    <row r="115" spans="1:16">
      <c r="A115" s="158" t="s">
        <v>596</v>
      </c>
      <c r="B115" s="158" t="s">
        <v>14</v>
      </c>
      <c r="C115" s="158" t="s">
        <v>15</v>
      </c>
      <c r="D115" s="407">
        <v>1700</v>
      </c>
      <c r="E115" s="408">
        <v>1748</v>
      </c>
      <c r="F115" s="408">
        <v>1754</v>
      </c>
      <c r="G115" s="408">
        <v>1742</v>
      </c>
      <c r="H115" s="408">
        <v>1727</v>
      </c>
      <c r="I115" s="408">
        <v>1740</v>
      </c>
      <c r="J115" s="408">
        <v>1743</v>
      </c>
      <c r="K115" s="408">
        <v>1743</v>
      </c>
      <c r="L115" s="408">
        <v>1773</v>
      </c>
      <c r="M115" s="158">
        <f t="shared" si="2"/>
        <v>1746.25</v>
      </c>
      <c r="O115" s="158" t="s">
        <v>621</v>
      </c>
      <c r="P115" s="158">
        <f t="shared" si="3"/>
        <v>1</v>
      </c>
    </row>
    <row r="116" spans="1:16">
      <c r="A116" s="158" t="s">
        <v>597</v>
      </c>
      <c r="B116" s="158" t="s">
        <v>207</v>
      </c>
      <c r="C116" s="158" t="s">
        <v>208</v>
      </c>
      <c r="D116" s="407">
        <v>3361</v>
      </c>
      <c r="E116" s="408">
        <v>3945</v>
      </c>
      <c r="F116" s="408">
        <v>3976</v>
      </c>
      <c r="G116" s="408">
        <v>3987</v>
      </c>
      <c r="H116" s="408">
        <v>4001</v>
      </c>
      <c r="I116" s="408">
        <v>4031</v>
      </c>
      <c r="J116" s="408">
        <v>4069</v>
      </c>
      <c r="K116" s="408">
        <v>4052</v>
      </c>
      <c r="L116" s="408">
        <v>4066</v>
      </c>
      <c r="M116" s="158">
        <f t="shared" si="2"/>
        <v>4015.88</v>
      </c>
      <c r="O116" s="158" t="s">
        <v>621</v>
      </c>
      <c r="P116" s="158">
        <f t="shared" si="3"/>
        <v>1</v>
      </c>
    </row>
    <row r="117" spans="1:16">
      <c r="A117" s="158" t="s">
        <v>603</v>
      </c>
      <c r="B117" s="158" t="s">
        <v>470</v>
      </c>
      <c r="C117" s="158" t="s">
        <v>471</v>
      </c>
      <c r="D117" s="407">
        <v>0</v>
      </c>
      <c r="E117" s="408">
        <v>0</v>
      </c>
      <c r="F117" s="408">
        <v>0</v>
      </c>
      <c r="G117" s="408">
        <v>0</v>
      </c>
      <c r="H117" s="408">
        <v>0</v>
      </c>
      <c r="I117" s="408">
        <v>0</v>
      </c>
      <c r="J117" s="408">
        <v>0</v>
      </c>
      <c r="K117" s="408">
        <v>0</v>
      </c>
      <c r="L117" s="408">
        <v>0</v>
      </c>
      <c r="M117" s="158">
        <f t="shared" si="2"/>
        <v>0</v>
      </c>
      <c r="O117" s="158" t="s">
        <v>801</v>
      </c>
      <c r="P117" s="158">
        <f t="shared" si="3"/>
        <v>0</v>
      </c>
    </row>
    <row r="118" spans="1:16">
      <c r="A118" s="158" t="s">
        <v>596</v>
      </c>
      <c r="B118" s="158" t="s">
        <v>18</v>
      </c>
      <c r="C118" s="158" t="s">
        <v>608</v>
      </c>
      <c r="D118" s="407">
        <v>187</v>
      </c>
      <c r="E118" s="408">
        <v>206</v>
      </c>
      <c r="F118" s="408">
        <v>208</v>
      </c>
      <c r="G118" s="408">
        <v>214</v>
      </c>
      <c r="H118" s="408">
        <v>214</v>
      </c>
      <c r="I118" s="408">
        <v>210</v>
      </c>
      <c r="J118" s="408">
        <v>208</v>
      </c>
      <c r="K118" s="408">
        <v>209</v>
      </c>
      <c r="L118" s="408">
        <v>214</v>
      </c>
      <c r="M118" s="158">
        <f t="shared" si="2"/>
        <v>210.38</v>
      </c>
      <c r="O118" s="158" t="s">
        <v>621</v>
      </c>
      <c r="P118" s="158">
        <f t="shared" si="3"/>
        <v>1</v>
      </c>
    </row>
    <row r="119" spans="1:16">
      <c r="A119" s="158" t="s">
        <v>605</v>
      </c>
      <c r="B119" s="158" t="s">
        <v>228</v>
      </c>
      <c r="C119" s="158" t="s">
        <v>229</v>
      </c>
      <c r="D119" s="407">
        <v>38</v>
      </c>
      <c r="E119" s="408">
        <v>38</v>
      </c>
      <c r="F119" s="408">
        <v>40</v>
      </c>
      <c r="G119" s="408">
        <v>39</v>
      </c>
      <c r="H119" s="408">
        <v>39</v>
      </c>
      <c r="I119" s="408">
        <v>39</v>
      </c>
      <c r="J119" s="408">
        <v>37</v>
      </c>
      <c r="K119" s="408">
        <v>36</v>
      </c>
      <c r="L119" s="408">
        <v>35</v>
      </c>
      <c r="M119" s="158">
        <f t="shared" si="2"/>
        <v>37.880000000000003</v>
      </c>
      <c r="O119" s="158" t="s">
        <v>621</v>
      </c>
      <c r="P119" s="158">
        <f t="shared" si="3"/>
        <v>1</v>
      </c>
    </row>
    <row r="120" spans="1:16">
      <c r="A120" s="158" t="s">
        <v>599</v>
      </c>
      <c r="B120" s="158" t="s">
        <v>242</v>
      </c>
      <c r="C120" s="158" t="s">
        <v>243</v>
      </c>
      <c r="D120" s="407">
        <v>0</v>
      </c>
      <c r="E120" s="408">
        <v>0</v>
      </c>
      <c r="F120" s="408">
        <v>0</v>
      </c>
      <c r="G120" s="408">
        <v>0</v>
      </c>
      <c r="H120" s="408">
        <v>0</v>
      </c>
      <c r="I120" s="408">
        <v>0</v>
      </c>
      <c r="J120" s="408">
        <v>0</v>
      </c>
      <c r="K120" s="408">
        <v>0</v>
      </c>
      <c r="L120" s="408">
        <v>0</v>
      </c>
      <c r="M120" s="158">
        <f t="shared" si="2"/>
        <v>0</v>
      </c>
      <c r="O120" s="158" t="s">
        <v>801</v>
      </c>
      <c r="P120" s="158">
        <f t="shared" si="3"/>
        <v>0</v>
      </c>
    </row>
    <row r="121" spans="1:16">
      <c r="A121" s="158" t="s">
        <v>595</v>
      </c>
      <c r="B121" s="158" t="s">
        <v>382</v>
      </c>
      <c r="C121" s="158" t="s">
        <v>383</v>
      </c>
      <c r="D121" s="407">
        <v>11</v>
      </c>
      <c r="E121" s="408">
        <v>12</v>
      </c>
      <c r="F121" s="408">
        <v>13</v>
      </c>
      <c r="G121" s="408">
        <v>14</v>
      </c>
      <c r="H121" s="408">
        <v>12</v>
      </c>
      <c r="I121" s="408">
        <v>11</v>
      </c>
      <c r="J121" s="408">
        <v>7</v>
      </c>
      <c r="K121" s="408">
        <v>7</v>
      </c>
      <c r="L121" s="408">
        <v>7</v>
      </c>
      <c r="M121" s="158">
        <f t="shared" si="2"/>
        <v>10.38</v>
      </c>
      <c r="O121" s="158" t="s">
        <v>621</v>
      </c>
      <c r="P121" s="158">
        <f t="shared" si="3"/>
        <v>1</v>
      </c>
    </row>
    <row r="122" spans="1:16">
      <c r="A122" s="158" t="s">
        <v>599</v>
      </c>
      <c r="B122" s="158" t="s">
        <v>53</v>
      </c>
      <c r="C122" s="158" t="s">
        <v>609</v>
      </c>
      <c r="D122" s="407">
        <v>11</v>
      </c>
      <c r="E122" s="408">
        <v>22</v>
      </c>
      <c r="F122" s="408">
        <v>21</v>
      </c>
      <c r="G122" s="408">
        <v>20</v>
      </c>
      <c r="H122" s="408">
        <v>18</v>
      </c>
      <c r="I122" s="408">
        <v>19</v>
      </c>
      <c r="J122" s="408">
        <v>19</v>
      </c>
      <c r="K122" s="408">
        <v>17</v>
      </c>
      <c r="L122" s="408">
        <v>19</v>
      </c>
      <c r="M122" s="158">
        <f t="shared" si="2"/>
        <v>19.38</v>
      </c>
      <c r="O122" s="158" t="s">
        <v>621</v>
      </c>
      <c r="P122" s="158">
        <f t="shared" si="3"/>
        <v>1</v>
      </c>
    </row>
    <row r="123" spans="1:16">
      <c r="A123" s="158" t="s">
        <v>603</v>
      </c>
      <c r="B123" s="158" t="s">
        <v>518</v>
      </c>
      <c r="C123" s="158" t="s">
        <v>645</v>
      </c>
      <c r="D123" s="407">
        <v>0</v>
      </c>
      <c r="E123" s="408">
        <v>0</v>
      </c>
      <c r="F123" s="408">
        <v>0</v>
      </c>
      <c r="G123" s="408">
        <v>0</v>
      </c>
      <c r="H123" s="408">
        <v>0</v>
      </c>
      <c r="I123" s="408">
        <v>0</v>
      </c>
      <c r="J123" s="408">
        <v>0</v>
      </c>
      <c r="K123" s="408">
        <v>0</v>
      </c>
      <c r="L123" s="408">
        <v>0</v>
      </c>
      <c r="M123" s="158">
        <f t="shared" si="2"/>
        <v>0</v>
      </c>
      <c r="O123" s="158" t="s">
        <v>801</v>
      </c>
      <c r="P123" s="158">
        <f t="shared" si="3"/>
        <v>0</v>
      </c>
    </row>
    <row r="124" spans="1:16">
      <c r="A124" s="158" t="s">
        <v>601</v>
      </c>
      <c r="B124" s="158" t="s">
        <v>31</v>
      </c>
      <c r="C124" s="158" t="s">
        <v>32</v>
      </c>
      <c r="D124" s="407">
        <v>242</v>
      </c>
      <c r="E124" s="408">
        <v>312</v>
      </c>
      <c r="F124" s="408">
        <v>317</v>
      </c>
      <c r="G124" s="408">
        <v>308</v>
      </c>
      <c r="H124" s="408">
        <v>304</v>
      </c>
      <c r="I124" s="408">
        <v>303</v>
      </c>
      <c r="J124" s="408">
        <v>303</v>
      </c>
      <c r="K124" s="408">
        <v>300</v>
      </c>
      <c r="L124" s="408">
        <v>299</v>
      </c>
      <c r="M124" s="158">
        <f t="shared" si="2"/>
        <v>305.75</v>
      </c>
      <c r="O124" s="158" t="s">
        <v>621</v>
      </c>
      <c r="P124" s="158">
        <f t="shared" si="3"/>
        <v>1</v>
      </c>
    </row>
    <row r="125" spans="1:16">
      <c r="A125" s="158" t="s">
        <v>595</v>
      </c>
      <c r="B125" s="158" t="s">
        <v>397</v>
      </c>
      <c r="C125" s="158" t="s">
        <v>398</v>
      </c>
      <c r="D125" s="407">
        <v>204</v>
      </c>
      <c r="E125" s="408">
        <v>205</v>
      </c>
      <c r="F125" s="408">
        <v>236</v>
      </c>
      <c r="G125" s="408">
        <v>237</v>
      </c>
      <c r="H125" s="408">
        <v>248</v>
      </c>
      <c r="I125" s="408">
        <v>253</v>
      </c>
      <c r="J125" s="408">
        <v>266</v>
      </c>
      <c r="K125" s="408">
        <v>271</v>
      </c>
      <c r="L125" s="408">
        <v>268</v>
      </c>
      <c r="M125" s="158">
        <f t="shared" si="2"/>
        <v>248</v>
      </c>
      <c r="O125" s="158" t="s">
        <v>621</v>
      </c>
      <c r="P125" s="158">
        <f t="shared" si="3"/>
        <v>1</v>
      </c>
    </row>
    <row r="126" spans="1:16">
      <c r="A126" s="158" t="s">
        <v>597</v>
      </c>
      <c r="B126" s="158" t="s">
        <v>205</v>
      </c>
      <c r="C126" s="158" t="s">
        <v>206</v>
      </c>
      <c r="D126" s="407">
        <v>1047</v>
      </c>
      <c r="E126" s="408">
        <v>1236</v>
      </c>
      <c r="F126" s="408">
        <v>1256</v>
      </c>
      <c r="G126" s="408">
        <v>1273</v>
      </c>
      <c r="H126" s="408">
        <v>1275</v>
      </c>
      <c r="I126" s="408">
        <v>1294</v>
      </c>
      <c r="J126" s="408">
        <v>1309</v>
      </c>
      <c r="K126" s="408">
        <v>1305</v>
      </c>
      <c r="L126" s="408">
        <v>1318</v>
      </c>
      <c r="M126" s="158">
        <f t="shared" si="2"/>
        <v>1283.25</v>
      </c>
      <c r="O126" s="158" t="s">
        <v>621</v>
      </c>
      <c r="P126" s="158">
        <f t="shared" si="3"/>
        <v>1</v>
      </c>
    </row>
    <row r="127" spans="1:16">
      <c r="A127" s="158" t="s">
        <v>595</v>
      </c>
      <c r="B127" s="158" t="s">
        <v>413</v>
      </c>
      <c r="C127" s="158" t="s">
        <v>414</v>
      </c>
      <c r="D127" s="407">
        <v>66</v>
      </c>
      <c r="E127" s="408">
        <v>71</v>
      </c>
      <c r="F127" s="408">
        <v>67</v>
      </c>
      <c r="G127" s="408">
        <v>64</v>
      </c>
      <c r="H127" s="408">
        <v>63</v>
      </c>
      <c r="I127" s="408">
        <v>65</v>
      </c>
      <c r="J127" s="408">
        <v>65</v>
      </c>
      <c r="K127" s="408">
        <v>64</v>
      </c>
      <c r="L127" s="408">
        <v>64</v>
      </c>
      <c r="M127" s="158">
        <f t="shared" si="2"/>
        <v>65.38</v>
      </c>
      <c r="O127" s="158" t="s">
        <v>621</v>
      </c>
      <c r="P127" s="158">
        <f t="shared" si="3"/>
        <v>1</v>
      </c>
    </row>
    <row r="128" spans="1:16">
      <c r="A128" s="158" t="s">
        <v>603</v>
      </c>
      <c r="B128" s="158" t="s">
        <v>519</v>
      </c>
      <c r="C128" s="158" t="s">
        <v>520</v>
      </c>
      <c r="D128" s="407">
        <v>0</v>
      </c>
      <c r="E128" s="408">
        <v>0</v>
      </c>
      <c r="F128" s="408">
        <v>0</v>
      </c>
      <c r="G128" s="408">
        <v>0</v>
      </c>
      <c r="H128" s="408">
        <v>0</v>
      </c>
      <c r="I128" s="408">
        <v>0</v>
      </c>
      <c r="J128" s="408">
        <v>0</v>
      </c>
      <c r="K128" s="408">
        <v>0</v>
      </c>
      <c r="L128" s="408">
        <v>0</v>
      </c>
      <c r="M128" s="158">
        <f t="shared" si="2"/>
        <v>0</v>
      </c>
      <c r="O128" s="158" t="s">
        <v>801</v>
      </c>
      <c r="P128" s="158">
        <f t="shared" si="3"/>
        <v>0</v>
      </c>
    </row>
    <row r="129" spans="1:16">
      <c r="A129" s="158" t="s">
        <v>603</v>
      </c>
      <c r="B129" s="158" t="s">
        <v>441</v>
      </c>
      <c r="C129" s="158" t="s">
        <v>442</v>
      </c>
      <c r="D129" s="407">
        <v>0</v>
      </c>
      <c r="E129" s="408">
        <v>0</v>
      </c>
      <c r="F129" s="408">
        <v>0</v>
      </c>
      <c r="G129" s="408">
        <v>0</v>
      </c>
      <c r="H129" s="408">
        <v>0</v>
      </c>
      <c r="I129" s="408">
        <v>0</v>
      </c>
      <c r="J129" s="408">
        <v>0</v>
      </c>
      <c r="K129" s="408">
        <v>0</v>
      </c>
      <c r="L129" s="408">
        <v>0</v>
      </c>
      <c r="M129" s="158">
        <f t="shared" si="2"/>
        <v>0</v>
      </c>
      <c r="O129" s="158" t="s">
        <v>801</v>
      </c>
      <c r="P129" s="158">
        <f t="shared" si="3"/>
        <v>0</v>
      </c>
    </row>
    <row r="130" spans="1:16">
      <c r="A130" s="158" t="s">
        <v>603</v>
      </c>
      <c r="B130" s="158" t="s">
        <v>6</v>
      </c>
      <c r="C130" s="158" t="s">
        <v>7</v>
      </c>
      <c r="D130" s="407">
        <v>23</v>
      </c>
      <c r="E130" s="408">
        <v>22</v>
      </c>
      <c r="F130" s="408">
        <v>19</v>
      </c>
      <c r="G130" s="408">
        <v>24</v>
      </c>
      <c r="H130" s="408">
        <v>24</v>
      </c>
      <c r="I130" s="408">
        <v>29</v>
      </c>
      <c r="J130" s="408">
        <v>29</v>
      </c>
      <c r="K130" s="408">
        <v>28</v>
      </c>
      <c r="L130" s="408">
        <v>28</v>
      </c>
      <c r="M130" s="158">
        <f t="shared" si="2"/>
        <v>25.38</v>
      </c>
      <c r="O130" s="158" t="s">
        <v>621</v>
      </c>
      <c r="P130" s="158">
        <f t="shared" si="3"/>
        <v>1</v>
      </c>
    </row>
    <row r="131" spans="1:16">
      <c r="A131" s="158" t="s">
        <v>599</v>
      </c>
      <c r="B131" s="158" t="s">
        <v>70</v>
      </c>
      <c r="C131" s="158" t="s">
        <v>71</v>
      </c>
      <c r="D131" s="407">
        <v>259</v>
      </c>
      <c r="E131" s="408">
        <v>301</v>
      </c>
      <c r="F131" s="408">
        <v>307</v>
      </c>
      <c r="G131" s="408">
        <v>313</v>
      </c>
      <c r="H131" s="408">
        <v>311</v>
      </c>
      <c r="I131" s="408">
        <v>311</v>
      </c>
      <c r="J131" s="408">
        <v>309</v>
      </c>
      <c r="K131" s="408">
        <v>310</v>
      </c>
      <c r="L131" s="408">
        <v>309</v>
      </c>
      <c r="M131" s="158">
        <f t="shared" si="2"/>
        <v>308.88</v>
      </c>
      <c r="O131" s="158" t="s">
        <v>621</v>
      </c>
      <c r="P131" s="158">
        <f t="shared" si="3"/>
        <v>1</v>
      </c>
    </row>
    <row r="132" spans="1:16">
      <c r="A132" s="158" t="s">
        <v>603</v>
      </c>
      <c r="B132" s="158" t="s">
        <v>458</v>
      </c>
      <c r="C132" s="158" t="s">
        <v>459</v>
      </c>
      <c r="D132" s="407">
        <v>0</v>
      </c>
      <c r="E132" s="408">
        <v>0</v>
      </c>
      <c r="F132" s="408">
        <v>0</v>
      </c>
      <c r="G132" s="408">
        <v>0</v>
      </c>
      <c r="H132" s="408">
        <v>0</v>
      </c>
      <c r="I132" s="408">
        <v>0</v>
      </c>
      <c r="J132" s="408">
        <v>0</v>
      </c>
      <c r="K132" s="408">
        <v>0</v>
      </c>
      <c r="L132" s="408">
        <v>0</v>
      </c>
      <c r="M132" s="158">
        <f t="shared" si="2"/>
        <v>0</v>
      </c>
      <c r="O132" s="158" t="s">
        <v>801</v>
      </c>
      <c r="P132" s="158">
        <f t="shared" si="3"/>
        <v>0</v>
      </c>
    </row>
    <row r="133" spans="1:16">
      <c r="A133" s="158" t="s">
        <v>595</v>
      </c>
      <c r="B133" s="158" t="s">
        <v>373</v>
      </c>
      <c r="C133" s="158" t="s">
        <v>374</v>
      </c>
      <c r="D133" s="407">
        <v>3</v>
      </c>
      <c r="E133" s="408">
        <v>5</v>
      </c>
      <c r="F133" s="408">
        <v>3</v>
      </c>
      <c r="G133" s="408">
        <v>3</v>
      </c>
      <c r="H133" s="408">
        <v>3</v>
      </c>
      <c r="I133" s="408">
        <v>3</v>
      </c>
      <c r="J133" s="408">
        <v>3</v>
      </c>
      <c r="K133" s="408">
        <v>3</v>
      </c>
      <c r="L133" s="408">
        <v>4</v>
      </c>
      <c r="M133" s="158">
        <f t="shared" si="2"/>
        <v>3.38</v>
      </c>
      <c r="O133" s="158" t="s">
        <v>621</v>
      </c>
      <c r="P133" s="158">
        <f t="shared" si="3"/>
        <v>1</v>
      </c>
    </row>
    <row r="134" spans="1:16">
      <c r="A134" s="158" t="s">
        <v>599</v>
      </c>
      <c r="B134" s="158" t="s">
        <v>250</v>
      </c>
      <c r="C134" s="158" t="s">
        <v>251</v>
      </c>
      <c r="D134" s="407">
        <v>0</v>
      </c>
      <c r="E134" s="408">
        <v>0</v>
      </c>
      <c r="F134" s="408">
        <v>0</v>
      </c>
      <c r="G134" s="408">
        <v>0</v>
      </c>
      <c r="H134" s="408">
        <v>0</v>
      </c>
      <c r="I134" s="408">
        <v>0</v>
      </c>
      <c r="J134" s="408">
        <v>0</v>
      </c>
      <c r="K134" s="408">
        <v>0</v>
      </c>
      <c r="L134" s="408">
        <v>0</v>
      </c>
      <c r="M134" s="158">
        <f t="shared" si="2"/>
        <v>0</v>
      </c>
      <c r="O134" s="158" t="s">
        <v>801</v>
      </c>
      <c r="P134" s="158">
        <f t="shared" si="3"/>
        <v>0</v>
      </c>
    </row>
    <row r="135" spans="1:16">
      <c r="A135" s="158" t="s">
        <v>595</v>
      </c>
      <c r="B135" s="158" t="s">
        <v>510</v>
      </c>
      <c r="C135" s="158" t="s">
        <v>511</v>
      </c>
      <c r="D135" s="407">
        <v>199</v>
      </c>
      <c r="E135" s="408">
        <v>242</v>
      </c>
      <c r="F135" s="408">
        <v>234</v>
      </c>
      <c r="G135" s="408">
        <v>229</v>
      </c>
      <c r="H135" s="408">
        <v>230</v>
      </c>
      <c r="I135" s="408">
        <v>232</v>
      </c>
      <c r="J135" s="408">
        <v>237</v>
      </c>
      <c r="K135" s="408">
        <v>239</v>
      </c>
      <c r="L135" s="408">
        <v>241</v>
      </c>
      <c r="M135" s="158">
        <f t="shared" si="2"/>
        <v>235.5</v>
      </c>
      <c r="O135" s="158" t="s">
        <v>621</v>
      </c>
      <c r="P135" s="158">
        <f t="shared" si="3"/>
        <v>1</v>
      </c>
    </row>
    <row r="136" spans="1:16">
      <c r="A136" s="158" t="s">
        <v>605</v>
      </c>
      <c r="B136" s="158" t="s">
        <v>553</v>
      </c>
      <c r="C136" s="158" t="s">
        <v>554</v>
      </c>
      <c r="D136" s="407">
        <v>311</v>
      </c>
      <c r="E136" s="408">
        <v>385</v>
      </c>
      <c r="F136" s="408">
        <v>375</v>
      </c>
      <c r="G136" s="408">
        <v>367</v>
      </c>
      <c r="H136" s="408">
        <v>360</v>
      </c>
      <c r="I136" s="408">
        <v>345</v>
      </c>
      <c r="J136" s="408">
        <v>361</v>
      </c>
      <c r="K136" s="408">
        <v>365</v>
      </c>
      <c r="L136" s="408">
        <v>361</v>
      </c>
      <c r="M136" s="158">
        <f t="shared" si="2"/>
        <v>364.88</v>
      </c>
      <c r="O136" s="158" t="s">
        <v>621</v>
      </c>
      <c r="P136" s="158">
        <f t="shared" si="3"/>
        <v>1</v>
      </c>
    </row>
    <row r="137" spans="1:16">
      <c r="A137" s="158" t="s">
        <v>601</v>
      </c>
      <c r="B137" s="158" t="s">
        <v>90</v>
      </c>
      <c r="C137" s="158" t="s">
        <v>91</v>
      </c>
      <c r="D137" s="407">
        <v>1</v>
      </c>
      <c r="E137" s="408">
        <v>0</v>
      </c>
      <c r="F137" s="408">
        <v>0</v>
      </c>
      <c r="G137" s="408">
        <v>0</v>
      </c>
      <c r="H137" s="408">
        <v>0</v>
      </c>
      <c r="I137" s="408">
        <v>0</v>
      </c>
      <c r="J137" s="408">
        <v>0</v>
      </c>
      <c r="K137" s="408">
        <v>0</v>
      </c>
      <c r="L137" s="408">
        <v>0</v>
      </c>
      <c r="M137" s="158">
        <f t="shared" ref="M137:M200" si="4">ROUND(SUM(E137:L137)/8,2)</f>
        <v>0</v>
      </c>
      <c r="O137" s="158" t="s">
        <v>621</v>
      </c>
      <c r="P137" s="158">
        <f t="shared" ref="P137:P200" si="5">IF(M137&gt;0,1,0)</f>
        <v>0</v>
      </c>
    </row>
    <row r="138" spans="1:16">
      <c r="A138" s="158" t="s">
        <v>601</v>
      </c>
      <c r="B138" s="158" t="s">
        <v>25</v>
      </c>
      <c r="C138" s="158" t="s">
        <v>26</v>
      </c>
      <c r="D138" s="407">
        <v>179</v>
      </c>
      <c r="E138" s="408">
        <v>203</v>
      </c>
      <c r="F138" s="408">
        <v>202</v>
      </c>
      <c r="G138" s="408">
        <v>200</v>
      </c>
      <c r="H138" s="408">
        <v>200</v>
      </c>
      <c r="I138" s="408">
        <v>196</v>
      </c>
      <c r="J138" s="408">
        <v>196</v>
      </c>
      <c r="K138" s="408">
        <v>197</v>
      </c>
      <c r="L138" s="408">
        <v>196</v>
      </c>
      <c r="M138" s="158">
        <f t="shared" si="4"/>
        <v>198.75</v>
      </c>
      <c r="O138" s="158" t="s">
        <v>621</v>
      </c>
      <c r="P138" s="158">
        <f t="shared" si="5"/>
        <v>1</v>
      </c>
    </row>
    <row r="139" spans="1:16">
      <c r="A139" s="158" t="s">
        <v>594</v>
      </c>
      <c r="B139" s="158" t="s">
        <v>301</v>
      </c>
      <c r="C139" s="158" t="s">
        <v>302</v>
      </c>
      <c r="D139" s="407">
        <v>0</v>
      </c>
      <c r="E139" s="408">
        <v>0</v>
      </c>
      <c r="F139" s="408">
        <v>0</v>
      </c>
      <c r="G139" s="408">
        <v>0</v>
      </c>
      <c r="H139" s="408">
        <v>0</v>
      </c>
      <c r="I139" s="408">
        <v>0</v>
      </c>
      <c r="J139" s="408">
        <v>0</v>
      </c>
      <c r="K139" s="408">
        <v>0</v>
      </c>
      <c r="L139" s="408">
        <v>0</v>
      </c>
      <c r="M139" s="158">
        <f t="shared" si="4"/>
        <v>0</v>
      </c>
      <c r="O139" s="158" t="s">
        <v>801</v>
      </c>
      <c r="P139" s="158">
        <f t="shared" si="5"/>
        <v>0</v>
      </c>
    </row>
    <row r="140" spans="1:16">
      <c r="A140" s="158" t="s">
        <v>603</v>
      </c>
      <c r="B140" s="158" t="s">
        <v>466</v>
      </c>
      <c r="C140" s="158" t="s">
        <v>467</v>
      </c>
      <c r="D140" s="407">
        <v>0</v>
      </c>
      <c r="E140" s="408">
        <v>0</v>
      </c>
      <c r="F140" s="408">
        <v>0</v>
      </c>
      <c r="G140" s="408">
        <v>0</v>
      </c>
      <c r="H140" s="408">
        <v>0</v>
      </c>
      <c r="I140" s="408">
        <v>0</v>
      </c>
      <c r="J140" s="408">
        <v>0</v>
      </c>
      <c r="K140" s="408">
        <v>0</v>
      </c>
      <c r="L140" s="408">
        <v>0</v>
      </c>
      <c r="M140" s="158">
        <f t="shared" si="4"/>
        <v>0</v>
      </c>
      <c r="O140" s="158" t="s">
        <v>801</v>
      </c>
      <c r="P140" s="158">
        <f t="shared" si="5"/>
        <v>0</v>
      </c>
    </row>
    <row r="141" spans="1:16">
      <c r="A141" s="158" t="s">
        <v>595</v>
      </c>
      <c r="B141" s="158" t="s">
        <v>405</v>
      </c>
      <c r="C141" s="158" t="s">
        <v>406</v>
      </c>
      <c r="D141" s="407">
        <v>626</v>
      </c>
      <c r="E141" s="408">
        <v>721</v>
      </c>
      <c r="F141" s="408">
        <v>748</v>
      </c>
      <c r="G141" s="408">
        <v>747</v>
      </c>
      <c r="H141" s="408">
        <v>742</v>
      </c>
      <c r="I141" s="408">
        <v>735</v>
      </c>
      <c r="J141" s="408">
        <v>741</v>
      </c>
      <c r="K141" s="408">
        <v>739</v>
      </c>
      <c r="L141" s="408">
        <v>736</v>
      </c>
      <c r="M141" s="158">
        <f t="shared" si="4"/>
        <v>738.63</v>
      </c>
      <c r="O141" s="158" t="s">
        <v>621</v>
      </c>
      <c r="P141" s="158">
        <f t="shared" si="5"/>
        <v>1</v>
      </c>
    </row>
    <row r="142" spans="1:16">
      <c r="A142" s="158" t="s">
        <v>594</v>
      </c>
      <c r="B142" s="158" t="s">
        <v>138</v>
      </c>
      <c r="C142" s="158" t="s">
        <v>656</v>
      </c>
      <c r="D142" s="407">
        <v>0</v>
      </c>
      <c r="E142" s="408">
        <v>0</v>
      </c>
      <c r="F142" s="408">
        <v>0</v>
      </c>
      <c r="G142" s="408">
        <v>0</v>
      </c>
      <c r="H142" s="408">
        <v>0</v>
      </c>
      <c r="I142" s="408">
        <v>0</v>
      </c>
      <c r="J142" s="408">
        <v>0</v>
      </c>
      <c r="K142" s="408">
        <v>0</v>
      </c>
      <c r="L142" s="408">
        <v>0</v>
      </c>
      <c r="M142" s="158">
        <f t="shared" si="4"/>
        <v>0</v>
      </c>
      <c r="O142" s="158" t="s">
        <v>801</v>
      </c>
      <c r="P142" s="158">
        <f t="shared" si="5"/>
        <v>0</v>
      </c>
    </row>
    <row r="143" spans="1:16">
      <c r="A143" s="158" t="s">
        <v>603</v>
      </c>
      <c r="B143" s="158" t="s">
        <v>432</v>
      </c>
      <c r="C143" s="158" t="s">
        <v>433</v>
      </c>
      <c r="D143" s="407">
        <v>122</v>
      </c>
      <c r="E143" s="408">
        <v>134</v>
      </c>
      <c r="F143" s="408">
        <v>133</v>
      </c>
      <c r="G143" s="408">
        <v>139</v>
      </c>
      <c r="H143" s="408">
        <v>141</v>
      </c>
      <c r="I143" s="408">
        <v>143</v>
      </c>
      <c r="J143" s="408">
        <v>148</v>
      </c>
      <c r="K143" s="408">
        <v>152</v>
      </c>
      <c r="L143" s="408">
        <v>152</v>
      </c>
      <c r="M143" s="158">
        <f t="shared" si="4"/>
        <v>142.75</v>
      </c>
      <c r="O143" s="158" t="s">
        <v>621</v>
      </c>
      <c r="P143" s="158">
        <f t="shared" si="5"/>
        <v>1</v>
      </c>
    </row>
    <row r="144" spans="1:16">
      <c r="A144" s="158" t="s">
        <v>603</v>
      </c>
      <c r="B144" s="158" t="s">
        <v>430</v>
      </c>
      <c r="C144" s="158" t="s">
        <v>431</v>
      </c>
      <c r="D144" s="407">
        <v>9</v>
      </c>
      <c r="E144" s="408">
        <v>9</v>
      </c>
      <c r="F144" s="408">
        <v>10</v>
      </c>
      <c r="G144" s="408">
        <v>10</v>
      </c>
      <c r="H144" s="408">
        <v>10</v>
      </c>
      <c r="I144" s="408">
        <v>10</v>
      </c>
      <c r="J144" s="408">
        <v>12</v>
      </c>
      <c r="K144" s="408">
        <v>12</v>
      </c>
      <c r="L144" s="408">
        <v>10</v>
      </c>
      <c r="M144" s="158">
        <f t="shared" si="4"/>
        <v>10.38</v>
      </c>
      <c r="O144" s="158" t="s">
        <v>621</v>
      </c>
      <c r="P144" s="158">
        <f t="shared" si="5"/>
        <v>1</v>
      </c>
    </row>
    <row r="145" spans="1:16">
      <c r="A145" s="158" t="s">
        <v>597</v>
      </c>
      <c r="B145" s="158" t="s">
        <v>179</v>
      </c>
      <c r="C145" s="158" t="s">
        <v>180</v>
      </c>
      <c r="D145" s="407">
        <v>67</v>
      </c>
      <c r="E145" s="408">
        <v>72</v>
      </c>
      <c r="F145" s="408">
        <v>74</v>
      </c>
      <c r="G145" s="408">
        <v>73</v>
      </c>
      <c r="H145" s="408">
        <v>74</v>
      </c>
      <c r="I145" s="408">
        <v>74</v>
      </c>
      <c r="J145" s="408">
        <v>70</v>
      </c>
      <c r="K145" s="408">
        <v>77</v>
      </c>
      <c r="L145" s="408">
        <v>77</v>
      </c>
      <c r="M145" s="158">
        <f t="shared" si="4"/>
        <v>73.88</v>
      </c>
      <c r="O145" s="158" t="s">
        <v>621</v>
      </c>
      <c r="P145" s="158">
        <f t="shared" si="5"/>
        <v>1</v>
      </c>
    </row>
    <row r="146" spans="1:16">
      <c r="A146" s="158" t="s">
        <v>595</v>
      </c>
      <c r="B146" s="158" t="s">
        <v>512</v>
      </c>
      <c r="C146" s="158" t="s">
        <v>513</v>
      </c>
      <c r="D146" s="407">
        <v>90</v>
      </c>
      <c r="E146" s="408">
        <v>104</v>
      </c>
      <c r="F146" s="408">
        <v>106</v>
      </c>
      <c r="G146" s="408">
        <v>108</v>
      </c>
      <c r="H146" s="408">
        <v>107</v>
      </c>
      <c r="I146" s="408">
        <v>106</v>
      </c>
      <c r="J146" s="408">
        <v>105</v>
      </c>
      <c r="K146" s="408">
        <v>107</v>
      </c>
      <c r="L146" s="408">
        <v>110</v>
      </c>
      <c r="M146" s="158">
        <f t="shared" si="4"/>
        <v>106.63</v>
      </c>
      <c r="O146" s="158" t="s">
        <v>621</v>
      </c>
      <c r="P146" s="158">
        <f t="shared" si="5"/>
        <v>1</v>
      </c>
    </row>
    <row r="147" spans="1:16">
      <c r="A147" s="158" t="s">
        <v>601</v>
      </c>
      <c r="B147" s="158" t="s">
        <v>319</v>
      </c>
      <c r="C147" s="158" t="s">
        <v>320</v>
      </c>
      <c r="D147" s="407">
        <v>6</v>
      </c>
      <c r="E147" s="408">
        <v>5</v>
      </c>
      <c r="F147" s="408">
        <v>5</v>
      </c>
      <c r="G147" s="408">
        <v>6</v>
      </c>
      <c r="H147" s="408">
        <v>6</v>
      </c>
      <c r="I147" s="408">
        <v>5</v>
      </c>
      <c r="J147" s="408">
        <v>6</v>
      </c>
      <c r="K147" s="408">
        <v>6</v>
      </c>
      <c r="L147" s="408">
        <v>6</v>
      </c>
      <c r="M147" s="158">
        <f t="shared" si="4"/>
        <v>5.63</v>
      </c>
      <c r="O147" s="158" t="s">
        <v>621</v>
      </c>
      <c r="P147" s="158">
        <f t="shared" si="5"/>
        <v>1</v>
      </c>
    </row>
    <row r="148" spans="1:16">
      <c r="A148" s="158" t="s">
        <v>599</v>
      </c>
      <c r="B148" s="158" t="s">
        <v>391</v>
      </c>
      <c r="C148" s="158" t="s">
        <v>392</v>
      </c>
      <c r="D148" s="407">
        <v>0</v>
      </c>
      <c r="E148" s="408">
        <v>0</v>
      </c>
      <c r="F148" s="408">
        <v>0</v>
      </c>
      <c r="G148" s="408">
        <v>0</v>
      </c>
      <c r="H148" s="408">
        <v>0</v>
      </c>
      <c r="I148" s="408">
        <v>0</v>
      </c>
      <c r="J148" s="408">
        <v>0</v>
      </c>
      <c r="K148" s="408">
        <v>0</v>
      </c>
      <c r="L148" s="408">
        <v>0</v>
      </c>
      <c r="M148" s="158">
        <f t="shared" si="4"/>
        <v>0</v>
      </c>
      <c r="O148" s="158" t="s">
        <v>801</v>
      </c>
      <c r="P148" s="158">
        <f t="shared" si="5"/>
        <v>0</v>
      </c>
    </row>
    <row r="149" spans="1:16">
      <c r="A149" s="158" t="s">
        <v>595</v>
      </c>
      <c r="B149" s="158" t="s">
        <v>409</v>
      </c>
      <c r="C149" s="158" t="s">
        <v>410</v>
      </c>
      <c r="D149" s="407">
        <v>325</v>
      </c>
      <c r="E149" s="408">
        <v>432</v>
      </c>
      <c r="F149" s="408">
        <v>432</v>
      </c>
      <c r="G149" s="408">
        <v>426</v>
      </c>
      <c r="H149" s="408">
        <v>417</v>
      </c>
      <c r="I149" s="408">
        <v>418</v>
      </c>
      <c r="J149" s="408">
        <v>419</v>
      </c>
      <c r="K149" s="408">
        <v>412</v>
      </c>
      <c r="L149" s="408">
        <v>414</v>
      </c>
      <c r="M149" s="158">
        <f t="shared" si="4"/>
        <v>421.25</v>
      </c>
      <c r="O149" s="158" t="s">
        <v>621</v>
      </c>
      <c r="P149" s="158">
        <f t="shared" si="5"/>
        <v>1</v>
      </c>
    </row>
    <row r="150" spans="1:16">
      <c r="A150" s="158" t="s">
        <v>594</v>
      </c>
      <c r="B150" s="158" t="s">
        <v>139</v>
      </c>
      <c r="C150" s="158" t="s">
        <v>140</v>
      </c>
      <c r="D150" s="407">
        <v>15</v>
      </c>
      <c r="E150" s="408">
        <v>15</v>
      </c>
      <c r="F150" s="408">
        <v>14</v>
      </c>
      <c r="G150" s="408">
        <v>16</v>
      </c>
      <c r="H150" s="408">
        <v>20</v>
      </c>
      <c r="I150" s="408">
        <v>20</v>
      </c>
      <c r="J150" s="408">
        <v>17</v>
      </c>
      <c r="K150" s="408">
        <v>18</v>
      </c>
      <c r="L150" s="408">
        <v>18</v>
      </c>
      <c r="M150" s="158">
        <f t="shared" si="4"/>
        <v>17.25</v>
      </c>
      <c r="O150" s="158" t="s">
        <v>621</v>
      </c>
      <c r="P150" s="158">
        <f t="shared" si="5"/>
        <v>1</v>
      </c>
    </row>
    <row r="151" spans="1:16">
      <c r="A151" s="158" t="s">
        <v>594</v>
      </c>
      <c r="B151" s="158" t="s">
        <v>260</v>
      </c>
      <c r="C151" s="158" t="s">
        <v>261</v>
      </c>
      <c r="D151" s="407">
        <v>0</v>
      </c>
      <c r="E151" s="408">
        <v>0</v>
      </c>
      <c r="F151" s="408">
        <v>0</v>
      </c>
      <c r="G151" s="408">
        <v>0</v>
      </c>
      <c r="H151" s="408">
        <v>0</v>
      </c>
      <c r="I151" s="408">
        <v>0</v>
      </c>
      <c r="J151" s="408">
        <v>0</v>
      </c>
      <c r="K151" s="408">
        <v>0</v>
      </c>
      <c r="L151" s="408">
        <v>0</v>
      </c>
      <c r="M151" s="158">
        <f t="shared" si="4"/>
        <v>0</v>
      </c>
      <c r="O151" s="158" t="s">
        <v>801</v>
      </c>
      <c r="P151" s="158">
        <f t="shared" si="5"/>
        <v>0</v>
      </c>
    </row>
    <row r="152" spans="1:16">
      <c r="A152" s="158" t="s">
        <v>601</v>
      </c>
      <c r="B152" s="158" t="s">
        <v>125</v>
      </c>
      <c r="C152" s="158" t="s">
        <v>126</v>
      </c>
      <c r="D152" s="407">
        <v>465</v>
      </c>
      <c r="E152" s="408">
        <v>652</v>
      </c>
      <c r="F152" s="408">
        <v>642</v>
      </c>
      <c r="G152" s="408">
        <v>623</v>
      </c>
      <c r="H152" s="408">
        <v>611</v>
      </c>
      <c r="I152" s="408">
        <v>612</v>
      </c>
      <c r="J152" s="408">
        <v>604</v>
      </c>
      <c r="K152" s="408">
        <v>605</v>
      </c>
      <c r="L152" s="408">
        <v>616</v>
      </c>
      <c r="M152" s="158">
        <f t="shared" si="4"/>
        <v>620.63</v>
      </c>
      <c r="O152" s="158" t="s">
        <v>621</v>
      </c>
      <c r="P152" s="158">
        <f t="shared" si="5"/>
        <v>1</v>
      </c>
    </row>
    <row r="153" spans="1:16">
      <c r="A153" s="158" t="s">
        <v>594</v>
      </c>
      <c r="B153" s="158" t="s">
        <v>258</v>
      </c>
      <c r="C153" s="158" t="s">
        <v>259</v>
      </c>
      <c r="D153" s="407">
        <v>37</v>
      </c>
      <c r="E153" s="408">
        <v>37</v>
      </c>
      <c r="F153" s="408">
        <v>35</v>
      </c>
      <c r="G153" s="408">
        <v>34</v>
      </c>
      <c r="H153" s="408">
        <v>35</v>
      </c>
      <c r="I153" s="408">
        <v>36</v>
      </c>
      <c r="J153" s="408">
        <v>35</v>
      </c>
      <c r="K153" s="408">
        <v>35</v>
      </c>
      <c r="L153" s="408">
        <v>35</v>
      </c>
      <c r="M153" s="158">
        <f t="shared" si="4"/>
        <v>35.25</v>
      </c>
      <c r="O153" s="158" t="s">
        <v>621</v>
      </c>
      <c r="P153" s="158">
        <f t="shared" si="5"/>
        <v>1</v>
      </c>
    </row>
    <row r="154" spans="1:16">
      <c r="A154" s="158" t="s">
        <v>605</v>
      </c>
      <c r="B154" s="158" t="s">
        <v>571</v>
      </c>
      <c r="C154" s="158" t="s">
        <v>572</v>
      </c>
      <c r="D154" s="407">
        <v>119</v>
      </c>
      <c r="E154" s="408">
        <v>121</v>
      </c>
      <c r="F154" s="408">
        <v>122</v>
      </c>
      <c r="G154" s="408">
        <v>123</v>
      </c>
      <c r="H154" s="408">
        <v>124</v>
      </c>
      <c r="I154" s="408">
        <v>121</v>
      </c>
      <c r="J154" s="408">
        <v>121</v>
      </c>
      <c r="K154" s="408">
        <v>124</v>
      </c>
      <c r="L154" s="408">
        <v>124</v>
      </c>
      <c r="M154" s="158">
        <f t="shared" si="4"/>
        <v>122.5</v>
      </c>
      <c r="O154" s="158" t="s">
        <v>621</v>
      </c>
      <c r="P154" s="158">
        <f t="shared" si="5"/>
        <v>1</v>
      </c>
    </row>
    <row r="155" spans="1:16">
      <c r="A155" s="158" t="s">
        <v>595</v>
      </c>
      <c r="B155" s="158" t="s">
        <v>516</v>
      </c>
      <c r="C155" s="158" t="s">
        <v>517</v>
      </c>
      <c r="D155" s="407">
        <v>120</v>
      </c>
      <c r="E155" s="408">
        <v>137</v>
      </c>
      <c r="F155" s="408">
        <v>133</v>
      </c>
      <c r="G155" s="408">
        <v>136</v>
      </c>
      <c r="H155" s="408">
        <v>130</v>
      </c>
      <c r="I155" s="408">
        <v>130</v>
      </c>
      <c r="J155" s="408">
        <v>130</v>
      </c>
      <c r="K155" s="408">
        <v>129</v>
      </c>
      <c r="L155" s="408">
        <v>127</v>
      </c>
      <c r="M155" s="158">
        <f t="shared" si="4"/>
        <v>131.5</v>
      </c>
      <c r="O155" s="158" t="s">
        <v>621</v>
      </c>
      <c r="P155" s="158">
        <f t="shared" si="5"/>
        <v>1</v>
      </c>
    </row>
    <row r="156" spans="1:16">
      <c r="A156" s="158" t="s">
        <v>599</v>
      </c>
      <c r="B156" s="158" t="s">
        <v>389</v>
      </c>
      <c r="C156" s="158" t="s">
        <v>390</v>
      </c>
      <c r="D156" s="407">
        <v>0</v>
      </c>
      <c r="E156" s="408">
        <v>0</v>
      </c>
      <c r="F156" s="408">
        <v>0</v>
      </c>
      <c r="G156" s="408">
        <v>0</v>
      </c>
      <c r="H156" s="408">
        <v>0</v>
      </c>
      <c r="I156" s="408">
        <v>0</v>
      </c>
      <c r="J156" s="408">
        <v>0</v>
      </c>
      <c r="K156" s="408">
        <v>0</v>
      </c>
      <c r="L156" s="408">
        <v>0</v>
      </c>
      <c r="M156" s="158">
        <f t="shared" si="4"/>
        <v>0</v>
      </c>
      <c r="O156" s="158" t="s">
        <v>801</v>
      </c>
      <c r="P156" s="158">
        <f t="shared" si="5"/>
        <v>0</v>
      </c>
    </row>
    <row r="157" spans="1:16">
      <c r="A157" s="158" t="s">
        <v>595</v>
      </c>
      <c r="B157" s="158" t="s">
        <v>386</v>
      </c>
      <c r="C157" s="158" t="s">
        <v>610</v>
      </c>
      <c r="D157" s="407">
        <v>1304</v>
      </c>
      <c r="E157" s="408">
        <v>1458</v>
      </c>
      <c r="F157" s="408">
        <v>1476</v>
      </c>
      <c r="G157" s="408">
        <v>1448</v>
      </c>
      <c r="H157" s="408">
        <v>1435</v>
      </c>
      <c r="I157" s="408">
        <v>1448</v>
      </c>
      <c r="J157" s="408">
        <v>1452</v>
      </c>
      <c r="K157" s="408">
        <v>1458</v>
      </c>
      <c r="L157" s="408">
        <v>1445</v>
      </c>
      <c r="M157" s="158">
        <f t="shared" si="4"/>
        <v>1452.5</v>
      </c>
      <c r="O157" s="158" t="s">
        <v>621</v>
      </c>
      <c r="P157" s="158">
        <f t="shared" si="5"/>
        <v>1</v>
      </c>
    </row>
    <row r="158" spans="1:16">
      <c r="A158" s="158" t="s">
        <v>595</v>
      </c>
      <c r="B158" s="158" t="s">
        <v>399</v>
      </c>
      <c r="C158" s="158" t="s">
        <v>400</v>
      </c>
      <c r="D158" s="407">
        <v>1661</v>
      </c>
      <c r="E158" s="408">
        <v>2121</v>
      </c>
      <c r="F158" s="408">
        <v>2153</v>
      </c>
      <c r="G158" s="408">
        <v>2160</v>
      </c>
      <c r="H158" s="408">
        <v>2167</v>
      </c>
      <c r="I158" s="408">
        <v>2185</v>
      </c>
      <c r="J158" s="408">
        <v>2206</v>
      </c>
      <c r="K158" s="408">
        <v>2224</v>
      </c>
      <c r="L158" s="408">
        <v>2245</v>
      </c>
      <c r="M158" s="158">
        <f t="shared" si="4"/>
        <v>2182.63</v>
      </c>
      <c r="O158" s="158" t="s">
        <v>621</v>
      </c>
      <c r="P158" s="158">
        <f t="shared" si="5"/>
        <v>1</v>
      </c>
    </row>
    <row r="159" spans="1:16">
      <c r="A159" s="158" t="s">
        <v>605</v>
      </c>
      <c r="B159" s="158" t="s">
        <v>545</v>
      </c>
      <c r="C159" s="158" t="s">
        <v>546</v>
      </c>
      <c r="D159" s="407">
        <v>62</v>
      </c>
      <c r="E159" s="408">
        <v>68</v>
      </c>
      <c r="F159" s="408">
        <v>67</v>
      </c>
      <c r="G159" s="408">
        <v>67</v>
      </c>
      <c r="H159" s="408">
        <v>65</v>
      </c>
      <c r="I159" s="408">
        <v>60</v>
      </c>
      <c r="J159" s="408">
        <v>60</v>
      </c>
      <c r="K159" s="408">
        <v>61</v>
      </c>
      <c r="L159" s="408">
        <v>60</v>
      </c>
      <c r="M159" s="158">
        <f t="shared" si="4"/>
        <v>63.5</v>
      </c>
      <c r="O159" s="158" t="s">
        <v>621</v>
      </c>
      <c r="P159" s="158">
        <f t="shared" si="5"/>
        <v>1</v>
      </c>
    </row>
    <row r="160" spans="1:16">
      <c r="A160" s="158" t="s">
        <v>594</v>
      </c>
      <c r="B160" s="158" t="s">
        <v>252</v>
      </c>
      <c r="C160" s="158" t="s">
        <v>253</v>
      </c>
      <c r="D160" s="407">
        <v>1</v>
      </c>
      <c r="E160" s="408">
        <v>1</v>
      </c>
      <c r="F160" s="408">
        <v>1</v>
      </c>
      <c r="G160" s="408">
        <v>1</v>
      </c>
      <c r="H160" s="408">
        <v>1</v>
      </c>
      <c r="I160" s="408">
        <v>1</v>
      </c>
      <c r="J160" s="408">
        <v>1</v>
      </c>
      <c r="K160" s="408">
        <v>2</v>
      </c>
      <c r="L160" s="408">
        <v>2</v>
      </c>
      <c r="M160" s="158">
        <f t="shared" si="4"/>
        <v>1.25</v>
      </c>
      <c r="O160" s="158" t="s">
        <v>801</v>
      </c>
      <c r="P160" s="158">
        <f t="shared" si="5"/>
        <v>1</v>
      </c>
    </row>
    <row r="161" spans="1:16">
      <c r="A161" s="158" t="s">
        <v>599</v>
      </c>
      <c r="B161" s="158" t="s">
        <v>331</v>
      </c>
      <c r="C161" s="158" t="s">
        <v>611</v>
      </c>
      <c r="D161" s="407">
        <v>5</v>
      </c>
      <c r="E161" s="408">
        <v>5</v>
      </c>
      <c r="F161" s="408">
        <v>5</v>
      </c>
      <c r="G161" s="408">
        <v>5</v>
      </c>
      <c r="H161" s="408">
        <v>5</v>
      </c>
      <c r="I161" s="408">
        <v>5</v>
      </c>
      <c r="J161" s="408">
        <v>5</v>
      </c>
      <c r="K161" s="408">
        <v>5</v>
      </c>
      <c r="L161" s="408">
        <v>5</v>
      </c>
      <c r="M161" s="158">
        <f t="shared" si="4"/>
        <v>5</v>
      </c>
      <c r="O161" s="158" t="s">
        <v>621</v>
      </c>
      <c r="P161" s="158">
        <f t="shared" si="5"/>
        <v>1</v>
      </c>
    </row>
    <row r="162" spans="1:16">
      <c r="A162" s="158" t="s">
        <v>601</v>
      </c>
      <c r="B162" s="158" t="s">
        <v>309</v>
      </c>
      <c r="C162" s="158" t="s">
        <v>310</v>
      </c>
      <c r="D162" s="407">
        <v>0</v>
      </c>
      <c r="E162" s="408">
        <v>0</v>
      </c>
      <c r="F162" s="408">
        <v>0</v>
      </c>
      <c r="G162" s="408">
        <v>0</v>
      </c>
      <c r="H162" s="408">
        <v>0</v>
      </c>
      <c r="I162" s="408">
        <v>0</v>
      </c>
      <c r="J162" s="408">
        <v>0</v>
      </c>
      <c r="K162" s="408">
        <v>0</v>
      </c>
      <c r="L162" s="408">
        <v>0</v>
      </c>
      <c r="M162" s="158">
        <f t="shared" si="4"/>
        <v>0</v>
      </c>
      <c r="O162" s="158" t="s">
        <v>801</v>
      </c>
      <c r="P162" s="158">
        <f t="shared" si="5"/>
        <v>0</v>
      </c>
    </row>
    <row r="163" spans="1:16">
      <c r="A163" s="158" t="s">
        <v>603</v>
      </c>
      <c r="B163" s="158" t="s">
        <v>336</v>
      </c>
      <c r="C163" s="158" t="s">
        <v>337</v>
      </c>
      <c r="D163" s="407">
        <v>0</v>
      </c>
      <c r="E163" s="408">
        <v>0</v>
      </c>
      <c r="F163" s="408">
        <v>0</v>
      </c>
      <c r="G163" s="408">
        <v>0</v>
      </c>
      <c r="H163" s="408">
        <v>0</v>
      </c>
      <c r="I163" s="408">
        <v>0</v>
      </c>
      <c r="J163" s="408">
        <v>0</v>
      </c>
      <c r="K163" s="408">
        <v>0</v>
      </c>
      <c r="L163" s="408">
        <v>0</v>
      </c>
      <c r="M163" s="158">
        <f t="shared" si="4"/>
        <v>0</v>
      </c>
      <c r="O163" s="158" t="s">
        <v>801</v>
      </c>
      <c r="P163" s="158">
        <f t="shared" si="5"/>
        <v>0</v>
      </c>
    </row>
    <row r="164" spans="1:16">
      <c r="A164" s="158" t="s">
        <v>603</v>
      </c>
      <c r="B164" s="158" t="s">
        <v>428</v>
      </c>
      <c r="C164" s="158" t="s">
        <v>429</v>
      </c>
      <c r="D164" s="407">
        <v>0</v>
      </c>
      <c r="E164" s="408">
        <v>0</v>
      </c>
      <c r="F164" s="408">
        <v>0</v>
      </c>
      <c r="G164" s="408">
        <v>0</v>
      </c>
      <c r="H164" s="408">
        <v>0</v>
      </c>
      <c r="I164" s="408">
        <v>0</v>
      </c>
      <c r="J164" s="408">
        <v>0</v>
      </c>
      <c r="K164" s="408">
        <v>0</v>
      </c>
      <c r="L164" s="408">
        <v>0</v>
      </c>
      <c r="M164" s="158">
        <f t="shared" si="4"/>
        <v>0</v>
      </c>
      <c r="O164" s="158" t="s">
        <v>801</v>
      </c>
      <c r="P164" s="158">
        <f t="shared" si="5"/>
        <v>0</v>
      </c>
    </row>
    <row r="165" spans="1:16">
      <c r="A165" s="158" t="s">
        <v>595</v>
      </c>
      <c r="B165" s="158" t="s">
        <v>514</v>
      </c>
      <c r="C165" s="158" t="s">
        <v>515</v>
      </c>
      <c r="D165" s="407">
        <v>162</v>
      </c>
      <c r="E165" s="408">
        <v>191</v>
      </c>
      <c r="F165" s="408">
        <v>189</v>
      </c>
      <c r="G165" s="408">
        <v>186</v>
      </c>
      <c r="H165" s="408">
        <v>186</v>
      </c>
      <c r="I165" s="408">
        <v>187</v>
      </c>
      <c r="J165" s="408">
        <v>183</v>
      </c>
      <c r="K165" s="408">
        <v>184</v>
      </c>
      <c r="L165" s="408">
        <v>181</v>
      </c>
      <c r="M165" s="158">
        <f t="shared" si="4"/>
        <v>185.88</v>
      </c>
      <c r="O165" s="158" t="s">
        <v>621</v>
      </c>
      <c r="P165" s="158">
        <f t="shared" si="5"/>
        <v>1</v>
      </c>
    </row>
    <row r="166" spans="1:16">
      <c r="A166" s="158" t="s">
        <v>594</v>
      </c>
      <c r="B166" s="158" t="s">
        <v>136</v>
      </c>
      <c r="C166" s="158" t="s">
        <v>137</v>
      </c>
      <c r="D166" s="407">
        <v>0</v>
      </c>
      <c r="E166" s="408">
        <v>0</v>
      </c>
      <c r="F166" s="408">
        <v>0</v>
      </c>
      <c r="G166" s="408">
        <v>0</v>
      </c>
      <c r="H166" s="408">
        <v>0</v>
      </c>
      <c r="I166" s="408">
        <v>0</v>
      </c>
      <c r="J166" s="408">
        <v>0</v>
      </c>
      <c r="K166" s="408">
        <v>0</v>
      </c>
      <c r="L166" s="408">
        <v>0</v>
      </c>
      <c r="M166" s="158">
        <f t="shared" si="4"/>
        <v>0</v>
      </c>
      <c r="O166" s="158" t="s">
        <v>801</v>
      </c>
      <c r="P166" s="158">
        <f t="shared" si="5"/>
        <v>0</v>
      </c>
    </row>
    <row r="167" spans="1:16">
      <c r="A167" s="158" t="s">
        <v>596</v>
      </c>
      <c r="B167" s="158" t="s">
        <v>106</v>
      </c>
      <c r="C167" s="158" t="s">
        <v>107</v>
      </c>
      <c r="D167" s="407">
        <v>663</v>
      </c>
      <c r="E167" s="408">
        <v>703</v>
      </c>
      <c r="F167" s="408">
        <v>709</v>
      </c>
      <c r="G167" s="408">
        <v>697</v>
      </c>
      <c r="H167" s="408">
        <v>679</v>
      </c>
      <c r="I167" s="408">
        <v>700</v>
      </c>
      <c r="J167" s="408">
        <v>675</v>
      </c>
      <c r="K167" s="408">
        <v>685</v>
      </c>
      <c r="L167" s="408">
        <v>679</v>
      </c>
      <c r="M167" s="158">
        <f t="shared" si="4"/>
        <v>690.88</v>
      </c>
      <c r="O167" s="158" t="s">
        <v>621</v>
      </c>
      <c r="P167" s="158">
        <f t="shared" si="5"/>
        <v>1</v>
      </c>
    </row>
    <row r="168" spans="1:16">
      <c r="A168" s="158" t="s">
        <v>600</v>
      </c>
      <c r="B168" s="158" t="s">
        <v>214</v>
      </c>
      <c r="C168" s="158" t="s">
        <v>215</v>
      </c>
      <c r="D168" s="407">
        <v>155</v>
      </c>
      <c r="E168" s="408">
        <v>185</v>
      </c>
      <c r="F168" s="408">
        <v>177</v>
      </c>
      <c r="G168" s="408">
        <v>182</v>
      </c>
      <c r="H168" s="408">
        <v>180</v>
      </c>
      <c r="I168" s="408">
        <v>183</v>
      </c>
      <c r="J168" s="408">
        <v>186</v>
      </c>
      <c r="K168" s="408">
        <v>182</v>
      </c>
      <c r="L168" s="408">
        <v>183</v>
      </c>
      <c r="M168" s="158">
        <f t="shared" si="4"/>
        <v>182.25</v>
      </c>
      <c r="O168" s="158" t="s">
        <v>621</v>
      </c>
      <c r="P168" s="158">
        <f t="shared" si="5"/>
        <v>1</v>
      </c>
    </row>
    <row r="169" spans="1:16">
      <c r="A169" s="158" t="s">
        <v>600</v>
      </c>
      <c r="B169" s="158" t="s">
        <v>305</v>
      </c>
      <c r="C169" s="158" t="s">
        <v>306</v>
      </c>
      <c r="D169" s="407">
        <v>56</v>
      </c>
      <c r="E169" s="408">
        <v>78</v>
      </c>
      <c r="F169" s="408">
        <v>79</v>
      </c>
      <c r="G169" s="408">
        <v>81</v>
      </c>
      <c r="H169" s="408">
        <v>80</v>
      </c>
      <c r="I169" s="408">
        <v>80</v>
      </c>
      <c r="J169" s="408">
        <v>80</v>
      </c>
      <c r="K169" s="408">
        <v>82</v>
      </c>
      <c r="L169" s="408">
        <v>84</v>
      </c>
      <c r="M169" s="158">
        <f t="shared" si="4"/>
        <v>80.5</v>
      </c>
      <c r="O169" s="158" t="s">
        <v>621</v>
      </c>
      <c r="P169" s="158">
        <f t="shared" si="5"/>
        <v>1</v>
      </c>
    </row>
    <row r="170" spans="1:16">
      <c r="A170" s="158" t="s">
        <v>594</v>
      </c>
      <c r="B170" s="158" t="s">
        <v>334</v>
      </c>
      <c r="C170" s="158" t="s">
        <v>335</v>
      </c>
      <c r="D170" s="407">
        <v>0</v>
      </c>
      <c r="E170" s="408">
        <v>0</v>
      </c>
      <c r="F170" s="408">
        <v>0</v>
      </c>
      <c r="G170" s="408">
        <v>0</v>
      </c>
      <c r="H170" s="408">
        <v>0</v>
      </c>
      <c r="I170" s="408">
        <v>0</v>
      </c>
      <c r="J170" s="408">
        <v>0</v>
      </c>
      <c r="K170" s="408">
        <v>0</v>
      </c>
      <c r="L170" s="408">
        <v>0</v>
      </c>
      <c r="M170" s="158">
        <f t="shared" si="4"/>
        <v>0</v>
      </c>
      <c r="O170" s="158" t="s">
        <v>801</v>
      </c>
      <c r="P170" s="158">
        <f t="shared" si="5"/>
        <v>0</v>
      </c>
    </row>
    <row r="171" spans="1:16">
      <c r="A171" s="158" t="s">
        <v>594</v>
      </c>
      <c r="B171" s="158" t="s">
        <v>474</v>
      </c>
      <c r="C171" s="158" t="s">
        <v>475</v>
      </c>
      <c r="D171" s="407">
        <v>343</v>
      </c>
      <c r="E171" s="408">
        <v>369</v>
      </c>
      <c r="F171" s="408">
        <v>395</v>
      </c>
      <c r="G171" s="408">
        <v>399</v>
      </c>
      <c r="H171" s="408">
        <v>411</v>
      </c>
      <c r="I171" s="408">
        <v>421</v>
      </c>
      <c r="J171" s="408">
        <v>423</v>
      </c>
      <c r="K171" s="408">
        <v>431</v>
      </c>
      <c r="L171" s="408">
        <v>430</v>
      </c>
      <c r="M171" s="158">
        <f t="shared" si="4"/>
        <v>409.88</v>
      </c>
      <c r="O171" s="158" t="s">
        <v>621</v>
      </c>
      <c r="P171" s="158">
        <f t="shared" si="5"/>
        <v>1</v>
      </c>
    </row>
    <row r="172" spans="1:16">
      <c r="A172" s="158" t="s">
        <v>603</v>
      </c>
      <c r="B172" s="158" t="s">
        <v>468</v>
      </c>
      <c r="C172" s="158" t="s">
        <v>469</v>
      </c>
      <c r="D172" s="407">
        <v>0</v>
      </c>
      <c r="E172" s="408">
        <v>0</v>
      </c>
      <c r="F172" s="408">
        <v>0</v>
      </c>
      <c r="G172" s="408">
        <v>0</v>
      </c>
      <c r="H172" s="408">
        <v>0</v>
      </c>
      <c r="I172" s="408">
        <v>0</v>
      </c>
      <c r="J172" s="408">
        <v>0</v>
      </c>
      <c r="K172" s="408">
        <v>0</v>
      </c>
      <c r="L172" s="408">
        <v>0</v>
      </c>
      <c r="M172" s="158">
        <f t="shared" si="4"/>
        <v>0</v>
      </c>
      <c r="O172" s="158" t="s">
        <v>801</v>
      </c>
      <c r="P172" s="158">
        <f t="shared" si="5"/>
        <v>0</v>
      </c>
    </row>
    <row r="173" spans="1:16">
      <c r="A173" s="158" t="s">
        <v>597</v>
      </c>
      <c r="B173" s="158" t="s">
        <v>209</v>
      </c>
      <c r="C173" s="158" t="s">
        <v>210</v>
      </c>
      <c r="D173" s="407">
        <v>849</v>
      </c>
      <c r="E173" s="408">
        <v>873</v>
      </c>
      <c r="F173" s="408">
        <v>888</v>
      </c>
      <c r="G173" s="408">
        <v>889</v>
      </c>
      <c r="H173" s="408">
        <v>888</v>
      </c>
      <c r="I173" s="408">
        <v>897</v>
      </c>
      <c r="J173" s="408">
        <v>898</v>
      </c>
      <c r="K173" s="408">
        <v>897</v>
      </c>
      <c r="L173" s="408">
        <v>901</v>
      </c>
      <c r="M173" s="158">
        <f t="shared" si="4"/>
        <v>891.38</v>
      </c>
      <c r="O173" s="158" t="s">
        <v>621</v>
      </c>
      <c r="P173" s="158">
        <f t="shared" si="5"/>
        <v>1</v>
      </c>
    </row>
    <row r="174" spans="1:16">
      <c r="A174" s="158" t="s">
        <v>595</v>
      </c>
      <c r="B174" s="158" t="s">
        <v>157</v>
      </c>
      <c r="C174" s="158" t="s">
        <v>158</v>
      </c>
      <c r="D174" s="407">
        <v>74</v>
      </c>
      <c r="E174" s="408">
        <v>89</v>
      </c>
      <c r="F174" s="408">
        <v>89</v>
      </c>
      <c r="G174" s="408">
        <v>91</v>
      </c>
      <c r="H174" s="408">
        <v>92</v>
      </c>
      <c r="I174" s="408">
        <v>92</v>
      </c>
      <c r="J174" s="408">
        <v>95</v>
      </c>
      <c r="K174" s="408">
        <v>93</v>
      </c>
      <c r="L174" s="408">
        <v>92</v>
      </c>
      <c r="M174" s="158">
        <f t="shared" si="4"/>
        <v>91.63</v>
      </c>
      <c r="O174" s="158" t="s">
        <v>621</v>
      </c>
      <c r="P174" s="158">
        <f t="shared" si="5"/>
        <v>1</v>
      </c>
    </row>
    <row r="175" spans="1:16">
      <c r="A175" s="158" t="s">
        <v>603</v>
      </c>
      <c r="B175" s="158" t="s">
        <v>541</v>
      </c>
      <c r="C175" s="158" t="s">
        <v>542</v>
      </c>
      <c r="D175" s="407">
        <v>0</v>
      </c>
      <c r="E175" s="408">
        <v>0</v>
      </c>
      <c r="F175" s="408">
        <v>0</v>
      </c>
      <c r="G175" s="408">
        <v>0</v>
      </c>
      <c r="H175" s="408">
        <v>0</v>
      </c>
      <c r="I175" s="408">
        <v>0</v>
      </c>
      <c r="J175" s="408">
        <v>0</v>
      </c>
      <c r="K175" s="408">
        <v>0</v>
      </c>
      <c r="L175" s="408">
        <v>0</v>
      </c>
      <c r="M175" s="158">
        <f t="shared" si="4"/>
        <v>0</v>
      </c>
      <c r="O175" s="158" t="s">
        <v>801</v>
      </c>
      <c r="P175" s="158">
        <f t="shared" si="5"/>
        <v>0</v>
      </c>
    </row>
    <row r="176" spans="1:16">
      <c r="A176" s="158" t="s">
        <v>594</v>
      </c>
      <c r="B176" s="158" t="s">
        <v>155</v>
      </c>
      <c r="C176" s="158" t="s">
        <v>156</v>
      </c>
      <c r="D176" s="407">
        <v>0</v>
      </c>
      <c r="E176" s="408">
        <v>0</v>
      </c>
      <c r="F176" s="408">
        <v>0</v>
      </c>
      <c r="G176" s="408">
        <v>0</v>
      </c>
      <c r="H176" s="408">
        <v>0</v>
      </c>
      <c r="I176" s="408">
        <v>0</v>
      </c>
      <c r="J176" s="408">
        <v>0</v>
      </c>
      <c r="K176" s="408">
        <v>0</v>
      </c>
      <c r="L176" s="408">
        <v>0</v>
      </c>
      <c r="M176" s="158">
        <f t="shared" si="4"/>
        <v>0</v>
      </c>
      <c r="O176" s="158" t="s">
        <v>801</v>
      </c>
      <c r="P176" s="158">
        <f t="shared" si="5"/>
        <v>0</v>
      </c>
    </row>
    <row r="177" spans="1:16">
      <c r="A177" s="158" t="s">
        <v>599</v>
      </c>
      <c r="B177" s="158" t="s">
        <v>325</v>
      </c>
      <c r="C177" s="158" t="s">
        <v>326</v>
      </c>
      <c r="D177" s="407">
        <v>28</v>
      </c>
      <c r="E177" s="408">
        <v>31</v>
      </c>
      <c r="F177" s="408">
        <v>30</v>
      </c>
      <c r="G177" s="408">
        <v>29</v>
      </c>
      <c r="H177" s="408">
        <v>24</v>
      </c>
      <c r="I177" s="408">
        <v>26</v>
      </c>
      <c r="J177" s="408">
        <v>27</v>
      </c>
      <c r="K177" s="408">
        <v>26</v>
      </c>
      <c r="L177" s="408">
        <v>27</v>
      </c>
      <c r="M177" s="158">
        <f t="shared" si="4"/>
        <v>27.5</v>
      </c>
      <c r="O177" s="158" t="s">
        <v>621</v>
      </c>
      <c r="P177" s="158">
        <f t="shared" si="5"/>
        <v>1</v>
      </c>
    </row>
    <row r="178" spans="1:16">
      <c r="A178" s="158" t="s">
        <v>594</v>
      </c>
      <c r="B178" s="158" t="s">
        <v>153</v>
      </c>
      <c r="C178" s="158" t="s">
        <v>154</v>
      </c>
      <c r="D178" s="407">
        <v>37</v>
      </c>
      <c r="E178" s="408">
        <v>47</v>
      </c>
      <c r="F178" s="408">
        <v>46</v>
      </c>
      <c r="G178" s="408">
        <v>44</v>
      </c>
      <c r="H178" s="408">
        <v>43</v>
      </c>
      <c r="I178" s="408">
        <v>43</v>
      </c>
      <c r="J178" s="408">
        <v>43</v>
      </c>
      <c r="K178" s="408">
        <v>38</v>
      </c>
      <c r="L178" s="408">
        <v>34</v>
      </c>
      <c r="M178" s="158">
        <f t="shared" si="4"/>
        <v>42.25</v>
      </c>
      <c r="O178" s="158" t="s">
        <v>621</v>
      </c>
      <c r="P178" s="158">
        <f t="shared" si="5"/>
        <v>1</v>
      </c>
    </row>
    <row r="179" spans="1:16">
      <c r="A179" s="158" t="s">
        <v>603</v>
      </c>
      <c r="B179" s="158" t="s">
        <v>287</v>
      </c>
      <c r="C179" s="158" t="s">
        <v>288</v>
      </c>
      <c r="D179" s="407">
        <v>0</v>
      </c>
      <c r="E179" s="408">
        <v>0</v>
      </c>
      <c r="F179" s="408">
        <v>0</v>
      </c>
      <c r="G179" s="408">
        <v>0</v>
      </c>
      <c r="H179" s="408">
        <v>0</v>
      </c>
      <c r="I179" s="408">
        <v>0</v>
      </c>
      <c r="J179" s="408">
        <v>0</v>
      </c>
      <c r="K179" s="408">
        <v>0</v>
      </c>
      <c r="L179" s="408">
        <v>0</v>
      </c>
      <c r="M179" s="158">
        <f t="shared" si="4"/>
        <v>0</v>
      </c>
      <c r="O179" s="158" t="s">
        <v>801</v>
      </c>
      <c r="P179" s="158">
        <f t="shared" si="5"/>
        <v>0</v>
      </c>
    </row>
    <row r="180" spans="1:16">
      <c r="A180" s="158" t="s">
        <v>601</v>
      </c>
      <c r="B180" s="158" t="s">
        <v>313</v>
      </c>
      <c r="C180" s="158" t="s">
        <v>314</v>
      </c>
      <c r="D180" s="407">
        <v>93</v>
      </c>
      <c r="E180" s="408">
        <v>87</v>
      </c>
      <c r="F180" s="408">
        <v>84</v>
      </c>
      <c r="G180" s="408">
        <v>81</v>
      </c>
      <c r="H180" s="408">
        <v>80</v>
      </c>
      <c r="I180" s="408">
        <v>79</v>
      </c>
      <c r="J180" s="408">
        <v>76</v>
      </c>
      <c r="K180" s="408">
        <v>79</v>
      </c>
      <c r="L180" s="408">
        <v>80</v>
      </c>
      <c r="M180" s="158">
        <f t="shared" si="4"/>
        <v>80.75</v>
      </c>
      <c r="O180" s="158" t="s">
        <v>621</v>
      </c>
      <c r="P180" s="158">
        <f t="shared" si="5"/>
        <v>1</v>
      </c>
    </row>
    <row r="181" spans="1:16">
      <c r="A181" s="158" t="s">
        <v>594</v>
      </c>
      <c r="B181" s="158" t="s">
        <v>478</v>
      </c>
      <c r="C181" s="158" t="s">
        <v>479</v>
      </c>
      <c r="D181" s="407">
        <v>174</v>
      </c>
      <c r="E181" s="408">
        <v>194</v>
      </c>
      <c r="F181" s="408">
        <v>201</v>
      </c>
      <c r="G181" s="408">
        <v>204</v>
      </c>
      <c r="H181" s="408">
        <v>204</v>
      </c>
      <c r="I181" s="408">
        <v>214</v>
      </c>
      <c r="J181" s="408">
        <v>213</v>
      </c>
      <c r="K181" s="408">
        <v>213</v>
      </c>
      <c r="L181" s="408">
        <v>212</v>
      </c>
      <c r="M181" s="158">
        <f t="shared" si="4"/>
        <v>206.88</v>
      </c>
      <c r="O181" s="158" t="s">
        <v>621</v>
      </c>
      <c r="P181" s="158">
        <f t="shared" si="5"/>
        <v>1</v>
      </c>
    </row>
    <row r="182" spans="1:16">
      <c r="A182" s="158" t="s">
        <v>601</v>
      </c>
      <c r="B182" s="158" t="s">
        <v>311</v>
      </c>
      <c r="C182" s="158" t="s">
        <v>312</v>
      </c>
      <c r="D182" s="407">
        <v>50</v>
      </c>
      <c r="E182" s="408">
        <v>73</v>
      </c>
      <c r="F182" s="408">
        <v>73</v>
      </c>
      <c r="G182" s="408">
        <v>73</v>
      </c>
      <c r="H182" s="408">
        <v>73</v>
      </c>
      <c r="I182" s="408">
        <v>76</v>
      </c>
      <c r="J182" s="408">
        <v>75</v>
      </c>
      <c r="K182" s="408">
        <v>77</v>
      </c>
      <c r="L182" s="408">
        <v>78</v>
      </c>
      <c r="M182" s="158">
        <f t="shared" si="4"/>
        <v>74.75</v>
      </c>
      <c r="O182" s="158" t="s">
        <v>621</v>
      </c>
      <c r="P182" s="158">
        <f t="shared" si="5"/>
        <v>1</v>
      </c>
    </row>
    <row r="183" spans="1:16">
      <c r="A183" s="158" t="s">
        <v>594</v>
      </c>
      <c r="B183" s="158" t="s">
        <v>270</v>
      </c>
      <c r="C183" s="158" t="s">
        <v>271</v>
      </c>
      <c r="D183" s="407">
        <v>23</v>
      </c>
      <c r="E183" s="408">
        <v>23</v>
      </c>
      <c r="F183" s="408">
        <v>22</v>
      </c>
      <c r="G183" s="408">
        <v>22</v>
      </c>
      <c r="H183" s="408">
        <v>22</v>
      </c>
      <c r="I183" s="408">
        <v>22</v>
      </c>
      <c r="J183" s="408">
        <v>22</v>
      </c>
      <c r="K183" s="408">
        <v>22</v>
      </c>
      <c r="L183" s="408">
        <v>22</v>
      </c>
      <c r="M183" s="158">
        <f t="shared" si="4"/>
        <v>22.13</v>
      </c>
      <c r="O183" s="158" t="s">
        <v>621</v>
      </c>
      <c r="P183" s="158">
        <f t="shared" si="5"/>
        <v>1</v>
      </c>
    </row>
    <row r="184" spans="1:16">
      <c r="A184" s="158" t="s">
        <v>603</v>
      </c>
      <c r="B184" s="158" t="s">
        <v>448</v>
      </c>
      <c r="C184" s="158" t="s">
        <v>449</v>
      </c>
      <c r="D184" s="407">
        <v>0</v>
      </c>
      <c r="E184" s="408">
        <v>0</v>
      </c>
      <c r="F184" s="408">
        <v>0</v>
      </c>
      <c r="G184" s="408">
        <v>0</v>
      </c>
      <c r="H184" s="408">
        <v>0</v>
      </c>
      <c r="I184" s="408">
        <v>0</v>
      </c>
      <c r="J184" s="408">
        <v>0</v>
      </c>
      <c r="K184" s="408">
        <v>0</v>
      </c>
      <c r="L184" s="408">
        <v>0</v>
      </c>
      <c r="M184" s="158">
        <f t="shared" si="4"/>
        <v>0</v>
      </c>
      <c r="O184" s="158" t="s">
        <v>801</v>
      </c>
      <c r="P184" s="158">
        <f t="shared" si="5"/>
        <v>0</v>
      </c>
    </row>
    <row r="185" spans="1:16">
      <c r="A185" s="158" t="s">
        <v>595</v>
      </c>
      <c r="B185" s="158" t="s">
        <v>372</v>
      </c>
      <c r="C185" s="158" t="s">
        <v>613</v>
      </c>
      <c r="D185" s="407">
        <v>9</v>
      </c>
      <c r="E185" s="408">
        <v>18</v>
      </c>
      <c r="F185" s="408">
        <v>18</v>
      </c>
      <c r="G185" s="408">
        <v>18</v>
      </c>
      <c r="H185" s="408">
        <v>18</v>
      </c>
      <c r="I185" s="408">
        <v>17</v>
      </c>
      <c r="J185" s="408">
        <v>17</v>
      </c>
      <c r="K185" s="408">
        <v>17</v>
      </c>
      <c r="L185" s="408">
        <v>16</v>
      </c>
      <c r="M185" s="158">
        <f t="shared" si="4"/>
        <v>17.38</v>
      </c>
      <c r="O185" s="158" t="s">
        <v>621</v>
      </c>
      <c r="P185" s="158">
        <f t="shared" si="5"/>
        <v>1</v>
      </c>
    </row>
    <row r="186" spans="1:16">
      <c r="A186" s="158" t="s">
        <v>603</v>
      </c>
      <c r="B186" s="158" t="s">
        <v>424</v>
      </c>
      <c r="C186" s="158" t="s">
        <v>425</v>
      </c>
      <c r="D186" s="407">
        <v>0</v>
      </c>
      <c r="E186" s="408">
        <v>0</v>
      </c>
      <c r="F186" s="408">
        <v>0</v>
      </c>
      <c r="G186" s="408">
        <v>0</v>
      </c>
      <c r="H186" s="408">
        <v>0</v>
      </c>
      <c r="I186" s="408">
        <v>0</v>
      </c>
      <c r="J186" s="408">
        <v>0</v>
      </c>
      <c r="K186" s="408">
        <v>0</v>
      </c>
      <c r="L186" s="408">
        <v>0</v>
      </c>
      <c r="M186" s="158">
        <f t="shared" si="4"/>
        <v>0</v>
      </c>
      <c r="O186" s="158" t="s">
        <v>801</v>
      </c>
      <c r="P186" s="158">
        <f t="shared" si="5"/>
        <v>0</v>
      </c>
    </row>
    <row r="187" spans="1:16">
      <c r="A187" s="158" t="s">
        <v>603</v>
      </c>
      <c r="B187" s="158" t="s">
        <v>98</v>
      </c>
      <c r="C187" s="158" t="s">
        <v>99</v>
      </c>
      <c r="D187" s="407">
        <v>0</v>
      </c>
      <c r="E187" s="408">
        <v>0</v>
      </c>
      <c r="F187" s="408">
        <v>0</v>
      </c>
      <c r="G187" s="408">
        <v>0</v>
      </c>
      <c r="H187" s="408">
        <v>0</v>
      </c>
      <c r="I187" s="408">
        <v>0</v>
      </c>
      <c r="J187" s="408">
        <v>0</v>
      </c>
      <c r="K187" s="408">
        <v>0</v>
      </c>
      <c r="L187" s="408">
        <v>0</v>
      </c>
      <c r="M187" s="158">
        <f t="shared" si="4"/>
        <v>0</v>
      </c>
      <c r="O187" s="158" t="s">
        <v>801</v>
      </c>
      <c r="P187" s="158">
        <f t="shared" si="5"/>
        <v>0</v>
      </c>
    </row>
    <row r="188" spans="1:16">
      <c r="A188" s="158" t="s">
        <v>601</v>
      </c>
      <c r="B188" s="158" t="s">
        <v>82</v>
      </c>
      <c r="C188" s="158" t="s">
        <v>83</v>
      </c>
      <c r="D188" s="407">
        <v>81</v>
      </c>
      <c r="E188" s="408">
        <v>100</v>
      </c>
      <c r="F188" s="408">
        <v>101</v>
      </c>
      <c r="G188" s="408">
        <v>91</v>
      </c>
      <c r="H188" s="408">
        <v>89</v>
      </c>
      <c r="I188" s="408">
        <v>102</v>
      </c>
      <c r="J188" s="408">
        <v>103</v>
      </c>
      <c r="K188" s="408">
        <v>101</v>
      </c>
      <c r="L188" s="408">
        <v>102</v>
      </c>
      <c r="M188" s="158">
        <f t="shared" si="4"/>
        <v>98.63</v>
      </c>
      <c r="O188" s="158" t="s">
        <v>621</v>
      </c>
      <c r="P188" s="158">
        <f t="shared" si="5"/>
        <v>1</v>
      </c>
    </row>
    <row r="189" spans="1:16">
      <c r="A189" s="158" t="s">
        <v>601</v>
      </c>
      <c r="B189" s="158" t="s">
        <v>323</v>
      </c>
      <c r="C189" s="158" t="s">
        <v>324</v>
      </c>
      <c r="D189" s="407">
        <v>65</v>
      </c>
      <c r="E189" s="408">
        <v>81</v>
      </c>
      <c r="F189" s="408">
        <v>78</v>
      </c>
      <c r="G189" s="408">
        <v>80</v>
      </c>
      <c r="H189" s="408">
        <v>80</v>
      </c>
      <c r="I189" s="408">
        <v>82</v>
      </c>
      <c r="J189" s="408">
        <v>81</v>
      </c>
      <c r="K189" s="408">
        <v>80</v>
      </c>
      <c r="L189" s="408">
        <v>82</v>
      </c>
      <c r="M189" s="158">
        <f t="shared" si="4"/>
        <v>80.5</v>
      </c>
      <c r="O189" s="158" t="s">
        <v>621</v>
      </c>
      <c r="P189" s="158">
        <f t="shared" si="5"/>
        <v>1</v>
      </c>
    </row>
    <row r="190" spans="1:16">
      <c r="A190" s="158" t="s">
        <v>597</v>
      </c>
      <c r="B190" s="158" t="s">
        <v>355</v>
      </c>
      <c r="C190" s="158" t="s">
        <v>356</v>
      </c>
      <c r="D190" s="407">
        <v>19</v>
      </c>
      <c r="E190" s="408">
        <v>29</v>
      </c>
      <c r="F190" s="408">
        <v>27</v>
      </c>
      <c r="G190" s="408">
        <v>25</v>
      </c>
      <c r="H190" s="408">
        <v>25</v>
      </c>
      <c r="I190" s="408">
        <v>26</v>
      </c>
      <c r="J190" s="408">
        <v>26</v>
      </c>
      <c r="K190" s="408">
        <v>26</v>
      </c>
      <c r="L190" s="408">
        <v>26</v>
      </c>
      <c r="M190" s="158">
        <f t="shared" si="4"/>
        <v>26.25</v>
      </c>
      <c r="O190" s="158" t="s">
        <v>621</v>
      </c>
      <c r="P190" s="158">
        <f t="shared" si="5"/>
        <v>1</v>
      </c>
    </row>
    <row r="191" spans="1:16">
      <c r="A191" s="158" t="s">
        <v>596</v>
      </c>
      <c r="B191" s="158" t="s">
        <v>4</v>
      </c>
      <c r="C191" s="158" t="s">
        <v>5</v>
      </c>
      <c r="D191" s="407">
        <v>1232</v>
      </c>
      <c r="E191" s="408">
        <v>1358</v>
      </c>
      <c r="F191" s="408">
        <v>1352</v>
      </c>
      <c r="G191" s="408">
        <v>1323</v>
      </c>
      <c r="H191" s="408">
        <v>1281</v>
      </c>
      <c r="I191" s="408">
        <v>1299</v>
      </c>
      <c r="J191" s="408">
        <v>1308</v>
      </c>
      <c r="K191" s="408">
        <v>1320</v>
      </c>
      <c r="L191" s="408">
        <v>1296</v>
      </c>
      <c r="M191" s="158">
        <f t="shared" si="4"/>
        <v>1317.13</v>
      </c>
      <c r="O191" s="158" t="s">
        <v>621</v>
      </c>
      <c r="P191" s="158">
        <f t="shared" si="5"/>
        <v>1</v>
      </c>
    </row>
    <row r="192" spans="1:16">
      <c r="A192" s="158" t="s">
        <v>601</v>
      </c>
      <c r="B192" s="158" t="s">
        <v>86</v>
      </c>
      <c r="C192" s="158" t="s">
        <v>87</v>
      </c>
      <c r="D192" s="407">
        <v>15</v>
      </c>
      <c r="E192" s="408">
        <v>15</v>
      </c>
      <c r="F192" s="408">
        <v>13</v>
      </c>
      <c r="G192" s="408">
        <v>13</v>
      </c>
      <c r="H192" s="408">
        <v>12</v>
      </c>
      <c r="I192" s="408">
        <v>12</v>
      </c>
      <c r="J192" s="408">
        <v>12</v>
      </c>
      <c r="K192" s="408">
        <v>12</v>
      </c>
      <c r="L192" s="408">
        <v>12</v>
      </c>
      <c r="M192" s="158">
        <f t="shared" si="4"/>
        <v>12.63</v>
      </c>
      <c r="O192" s="158" t="s">
        <v>621</v>
      </c>
      <c r="P192" s="158">
        <f t="shared" si="5"/>
        <v>1</v>
      </c>
    </row>
    <row r="193" spans="1:16">
      <c r="A193" s="158" t="s">
        <v>603</v>
      </c>
      <c r="B193" s="158" t="s">
        <v>527</v>
      </c>
      <c r="C193" s="158" t="s">
        <v>528</v>
      </c>
      <c r="D193" s="407">
        <v>0</v>
      </c>
      <c r="E193" s="408">
        <v>0</v>
      </c>
      <c r="F193" s="408">
        <v>0</v>
      </c>
      <c r="G193" s="408">
        <v>0</v>
      </c>
      <c r="H193" s="408">
        <v>0</v>
      </c>
      <c r="I193" s="408">
        <v>0</v>
      </c>
      <c r="J193" s="408">
        <v>0</v>
      </c>
      <c r="K193" s="408">
        <v>0</v>
      </c>
      <c r="L193" s="408">
        <v>0</v>
      </c>
      <c r="M193" s="158">
        <f t="shared" si="4"/>
        <v>0</v>
      </c>
      <c r="O193" s="158" t="s">
        <v>801</v>
      </c>
      <c r="P193" s="158">
        <f t="shared" si="5"/>
        <v>0</v>
      </c>
    </row>
    <row r="194" spans="1:16">
      <c r="A194" s="158" t="s">
        <v>596</v>
      </c>
      <c r="B194" s="158" t="s">
        <v>104</v>
      </c>
      <c r="C194" s="158" t="s">
        <v>105</v>
      </c>
      <c r="D194" s="407">
        <v>4700</v>
      </c>
      <c r="E194" s="408">
        <v>4899</v>
      </c>
      <c r="F194" s="408">
        <v>4940</v>
      </c>
      <c r="G194" s="408">
        <v>4924</v>
      </c>
      <c r="H194" s="408">
        <v>4895</v>
      </c>
      <c r="I194" s="408">
        <v>4927</v>
      </c>
      <c r="J194" s="408">
        <v>4918</v>
      </c>
      <c r="K194" s="408">
        <v>4923</v>
      </c>
      <c r="L194" s="408">
        <v>4973</v>
      </c>
      <c r="M194" s="158">
        <f t="shared" si="4"/>
        <v>4924.88</v>
      </c>
      <c r="O194" s="158" t="s">
        <v>621</v>
      </c>
      <c r="P194" s="158">
        <f t="shared" si="5"/>
        <v>1</v>
      </c>
    </row>
    <row r="195" spans="1:16">
      <c r="A195" s="158" t="s">
        <v>601</v>
      </c>
      <c r="B195" s="158" t="s">
        <v>317</v>
      </c>
      <c r="C195" s="158" t="s">
        <v>318</v>
      </c>
      <c r="D195" s="407">
        <v>25</v>
      </c>
      <c r="E195" s="408">
        <v>32</v>
      </c>
      <c r="F195" s="408">
        <v>29</v>
      </c>
      <c r="G195" s="408">
        <v>29</v>
      </c>
      <c r="H195" s="408">
        <v>29</v>
      </c>
      <c r="I195" s="408">
        <v>29</v>
      </c>
      <c r="J195" s="408">
        <v>30</v>
      </c>
      <c r="K195" s="408">
        <v>29</v>
      </c>
      <c r="L195" s="408">
        <v>34</v>
      </c>
      <c r="M195" s="158">
        <f t="shared" si="4"/>
        <v>30.13</v>
      </c>
      <c r="O195" s="158" t="s">
        <v>621</v>
      </c>
      <c r="P195" s="158">
        <f t="shared" si="5"/>
        <v>1</v>
      </c>
    </row>
    <row r="196" spans="1:16">
      <c r="A196" s="158" t="s">
        <v>596</v>
      </c>
      <c r="B196" s="158" t="s">
        <v>16</v>
      </c>
      <c r="C196" s="158" t="s">
        <v>17</v>
      </c>
      <c r="D196" s="407">
        <v>38</v>
      </c>
      <c r="E196" s="408">
        <v>34</v>
      </c>
      <c r="F196" s="408">
        <v>34</v>
      </c>
      <c r="G196" s="408">
        <v>34</v>
      </c>
      <c r="H196" s="408">
        <v>26</v>
      </c>
      <c r="I196" s="408">
        <v>34</v>
      </c>
      <c r="J196" s="408">
        <v>34</v>
      </c>
      <c r="K196" s="408">
        <v>34</v>
      </c>
      <c r="L196" s="408">
        <v>36</v>
      </c>
      <c r="M196" s="158">
        <f t="shared" si="4"/>
        <v>33.25</v>
      </c>
      <c r="O196" s="158" t="s">
        <v>621</v>
      </c>
      <c r="P196" s="158">
        <f t="shared" si="5"/>
        <v>1</v>
      </c>
    </row>
    <row r="197" spans="1:16">
      <c r="A197" s="158" t="s">
        <v>594</v>
      </c>
      <c r="B197" s="158" t="s">
        <v>272</v>
      </c>
      <c r="C197" s="158" t="s">
        <v>273</v>
      </c>
      <c r="D197" s="407">
        <v>0</v>
      </c>
      <c r="E197" s="408">
        <v>0</v>
      </c>
      <c r="F197" s="408">
        <v>0</v>
      </c>
      <c r="G197" s="408">
        <v>0</v>
      </c>
      <c r="H197" s="408">
        <v>0</v>
      </c>
      <c r="I197" s="408">
        <v>0</v>
      </c>
      <c r="J197" s="408">
        <v>0</v>
      </c>
      <c r="K197" s="408">
        <v>0</v>
      </c>
      <c r="L197" s="408">
        <v>0</v>
      </c>
      <c r="M197" s="158">
        <f t="shared" si="4"/>
        <v>0</v>
      </c>
      <c r="O197" s="158" t="s">
        <v>801</v>
      </c>
      <c r="P197" s="158">
        <f t="shared" si="5"/>
        <v>0</v>
      </c>
    </row>
    <row r="198" spans="1:16">
      <c r="A198" s="158" t="s">
        <v>597</v>
      </c>
      <c r="B198" s="158" t="s">
        <v>359</v>
      </c>
      <c r="C198" s="158" t="s">
        <v>360</v>
      </c>
      <c r="D198" s="407">
        <v>40</v>
      </c>
      <c r="E198" s="408">
        <v>47</v>
      </c>
      <c r="F198" s="408">
        <v>50</v>
      </c>
      <c r="G198" s="408">
        <v>48</v>
      </c>
      <c r="H198" s="408">
        <v>50</v>
      </c>
      <c r="I198" s="408">
        <v>50</v>
      </c>
      <c r="J198" s="408">
        <v>50</v>
      </c>
      <c r="K198" s="408">
        <v>50</v>
      </c>
      <c r="L198" s="408">
        <v>53</v>
      </c>
      <c r="M198" s="158">
        <f t="shared" si="4"/>
        <v>49.75</v>
      </c>
      <c r="O198" s="158" t="s">
        <v>621</v>
      </c>
      <c r="P198" s="158">
        <f t="shared" si="5"/>
        <v>1</v>
      </c>
    </row>
    <row r="199" spans="1:16">
      <c r="A199" s="158" t="s">
        <v>594</v>
      </c>
      <c r="B199" s="158" t="s">
        <v>303</v>
      </c>
      <c r="C199" s="158" t="s">
        <v>304</v>
      </c>
      <c r="D199" s="407">
        <v>0</v>
      </c>
      <c r="E199" s="408">
        <v>0</v>
      </c>
      <c r="F199" s="408">
        <v>0</v>
      </c>
      <c r="G199" s="408">
        <v>0</v>
      </c>
      <c r="H199" s="408">
        <v>0</v>
      </c>
      <c r="I199" s="408">
        <v>0</v>
      </c>
      <c r="J199" s="408">
        <v>0</v>
      </c>
      <c r="K199" s="408">
        <v>0</v>
      </c>
      <c r="L199" s="408">
        <v>0</v>
      </c>
      <c r="M199" s="158">
        <f t="shared" si="4"/>
        <v>0</v>
      </c>
      <c r="O199" s="158" t="s">
        <v>801</v>
      </c>
      <c r="P199" s="158">
        <f t="shared" si="5"/>
        <v>0</v>
      </c>
    </row>
    <row r="200" spans="1:16">
      <c r="A200" s="158" t="s">
        <v>596</v>
      </c>
      <c r="B200" s="158" t="s">
        <v>112</v>
      </c>
      <c r="C200" s="158" t="s">
        <v>113</v>
      </c>
      <c r="D200" s="407">
        <v>0</v>
      </c>
      <c r="E200" s="408">
        <v>2</v>
      </c>
      <c r="F200" s="408">
        <v>2</v>
      </c>
      <c r="G200" s="408">
        <v>2</v>
      </c>
      <c r="H200" s="408">
        <v>2</v>
      </c>
      <c r="I200" s="408">
        <v>2</v>
      </c>
      <c r="J200" s="408">
        <v>2</v>
      </c>
      <c r="K200" s="408">
        <v>2</v>
      </c>
      <c r="L200" s="408">
        <v>2</v>
      </c>
      <c r="M200" s="158">
        <f t="shared" si="4"/>
        <v>2</v>
      </c>
      <c r="O200" s="158" t="s">
        <v>621</v>
      </c>
      <c r="P200" s="158">
        <f t="shared" si="5"/>
        <v>1</v>
      </c>
    </row>
    <row r="201" spans="1:16">
      <c r="A201" s="158" t="s">
        <v>600</v>
      </c>
      <c r="B201" s="158" t="s">
        <v>39</v>
      </c>
      <c r="C201" s="158" t="s">
        <v>40</v>
      </c>
      <c r="D201" s="407">
        <v>44</v>
      </c>
      <c r="E201" s="408">
        <v>45</v>
      </c>
      <c r="F201" s="408">
        <v>43</v>
      </c>
      <c r="G201" s="408">
        <v>45</v>
      </c>
      <c r="H201" s="408">
        <v>45</v>
      </c>
      <c r="I201" s="408">
        <v>44</v>
      </c>
      <c r="J201" s="408">
        <v>48</v>
      </c>
      <c r="K201" s="408">
        <v>48</v>
      </c>
      <c r="L201" s="408">
        <v>48</v>
      </c>
      <c r="M201" s="158">
        <f t="shared" ref="M201:M264" si="6">ROUND(SUM(E201:L201)/8,2)</f>
        <v>45.75</v>
      </c>
      <c r="O201" s="158" t="s">
        <v>621</v>
      </c>
      <c r="P201" s="158">
        <f t="shared" ref="P201:P264" si="7">IF(M201&gt;0,1,0)</f>
        <v>1</v>
      </c>
    </row>
    <row r="202" spans="1:16">
      <c r="A202" s="158" t="s">
        <v>600</v>
      </c>
      <c r="B202" s="158" t="s">
        <v>171</v>
      </c>
      <c r="C202" s="158" t="s">
        <v>172</v>
      </c>
      <c r="D202" s="407">
        <v>18</v>
      </c>
      <c r="E202" s="408">
        <v>11</v>
      </c>
      <c r="F202" s="408">
        <v>11</v>
      </c>
      <c r="G202" s="408">
        <v>12</v>
      </c>
      <c r="H202" s="408">
        <v>11</v>
      </c>
      <c r="I202" s="408">
        <v>11</v>
      </c>
      <c r="J202" s="408">
        <v>12</v>
      </c>
      <c r="K202" s="408">
        <v>10</v>
      </c>
      <c r="L202" s="408">
        <v>11</v>
      </c>
      <c r="M202" s="158">
        <f t="shared" si="6"/>
        <v>11.13</v>
      </c>
      <c r="O202" s="158" t="s">
        <v>621</v>
      </c>
      <c r="P202" s="158">
        <f t="shared" si="7"/>
        <v>1</v>
      </c>
    </row>
    <row r="203" spans="1:16">
      <c r="A203" s="158" t="s">
        <v>596</v>
      </c>
      <c r="B203" s="158" t="s">
        <v>502</v>
      </c>
      <c r="C203" s="158" t="s">
        <v>503</v>
      </c>
      <c r="D203" s="407">
        <v>54</v>
      </c>
      <c r="E203" s="408">
        <v>59</v>
      </c>
      <c r="F203" s="408">
        <v>57</v>
      </c>
      <c r="G203" s="408">
        <v>58</v>
      </c>
      <c r="H203" s="408">
        <v>54</v>
      </c>
      <c r="I203" s="408">
        <v>54</v>
      </c>
      <c r="J203" s="408">
        <v>54</v>
      </c>
      <c r="K203" s="408">
        <v>53</v>
      </c>
      <c r="L203" s="408">
        <v>53</v>
      </c>
      <c r="M203" s="158">
        <f t="shared" si="6"/>
        <v>55.25</v>
      </c>
      <c r="O203" s="158" t="s">
        <v>621</v>
      </c>
      <c r="P203" s="158">
        <f t="shared" si="7"/>
        <v>1</v>
      </c>
    </row>
    <row r="204" spans="1:16">
      <c r="A204" s="158" t="s">
        <v>596</v>
      </c>
      <c r="B204" s="158" t="s">
        <v>21</v>
      </c>
      <c r="C204" s="158" t="s">
        <v>22</v>
      </c>
      <c r="D204" s="407">
        <v>543</v>
      </c>
      <c r="E204" s="408">
        <v>571</v>
      </c>
      <c r="F204" s="408">
        <v>568</v>
      </c>
      <c r="G204" s="408">
        <v>574</v>
      </c>
      <c r="H204" s="408">
        <v>573</v>
      </c>
      <c r="I204" s="408">
        <v>574</v>
      </c>
      <c r="J204" s="408">
        <v>580</v>
      </c>
      <c r="K204" s="408">
        <v>579</v>
      </c>
      <c r="L204" s="408">
        <v>572</v>
      </c>
      <c r="M204" s="158">
        <f t="shared" si="6"/>
        <v>573.88</v>
      </c>
      <c r="O204" s="158" t="s">
        <v>621</v>
      </c>
      <c r="P204" s="158">
        <f t="shared" si="7"/>
        <v>1</v>
      </c>
    </row>
    <row r="205" spans="1:16">
      <c r="A205" s="158" t="s">
        <v>603</v>
      </c>
      <c r="B205" s="158" t="s">
        <v>523</v>
      </c>
      <c r="C205" s="158" t="s">
        <v>524</v>
      </c>
      <c r="D205" s="407">
        <v>66</v>
      </c>
      <c r="E205" s="408">
        <v>67</v>
      </c>
      <c r="F205" s="408">
        <v>69</v>
      </c>
      <c r="G205" s="408">
        <v>66</v>
      </c>
      <c r="H205" s="408">
        <v>69</v>
      </c>
      <c r="I205" s="408">
        <v>66</v>
      </c>
      <c r="J205" s="408">
        <v>66</v>
      </c>
      <c r="K205" s="408">
        <v>65</v>
      </c>
      <c r="L205" s="408">
        <v>61</v>
      </c>
      <c r="M205" s="158">
        <f t="shared" si="6"/>
        <v>66.13</v>
      </c>
      <c r="O205" s="158" t="s">
        <v>621</v>
      </c>
      <c r="P205" s="158">
        <f t="shared" si="7"/>
        <v>1</v>
      </c>
    </row>
    <row r="206" spans="1:16">
      <c r="A206" s="158" t="s">
        <v>597</v>
      </c>
      <c r="B206" s="158" t="s">
        <v>343</v>
      </c>
      <c r="C206" s="158" t="s">
        <v>344</v>
      </c>
      <c r="D206" s="407">
        <v>497</v>
      </c>
      <c r="E206" s="408">
        <v>560</v>
      </c>
      <c r="F206" s="408">
        <v>556</v>
      </c>
      <c r="G206" s="408">
        <v>570</v>
      </c>
      <c r="H206" s="408">
        <v>574</v>
      </c>
      <c r="I206" s="408">
        <v>580</v>
      </c>
      <c r="J206" s="408">
        <v>587</v>
      </c>
      <c r="K206" s="408">
        <v>587</v>
      </c>
      <c r="L206" s="408">
        <v>591</v>
      </c>
      <c r="M206" s="158">
        <f t="shared" si="6"/>
        <v>575.63</v>
      </c>
      <c r="O206" s="158" t="s">
        <v>621</v>
      </c>
      <c r="P206" s="158">
        <f t="shared" si="7"/>
        <v>1</v>
      </c>
    </row>
    <row r="207" spans="1:16">
      <c r="A207" s="158" t="s">
        <v>600</v>
      </c>
      <c r="B207" s="158" t="s">
        <v>163</v>
      </c>
      <c r="C207" s="158" t="s">
        <v>164</v>
      </c>
      <c r="D207" s="407">
        <v>0</v>
      </c>
      <c r="E207" s="408">
        <v>0</v>
      </c>
      <c r="F207" s="408">
        <v>0</v>
      </c>
      <c r="G207" s="408">
        <v>0</v>
      </c>
      <c r="H207" s="408">
        <v>0</v>
      </c>
      <c r="I207" s="408">
        <v>0</v>
      </c>
      <c r="J207" s="408">
        <v>0</v>
      </c>
      <c r="K207" s="408">
        <v>0</v>
      </c>
      <c r="L207" s="408">
        <v>0</v>
      </c>
      <c r="M207" s="158">
        <f t="shared" si="6"/>
        <v>0</v>
      </c>
      <c r="O207" s="158" t="s">
        <v>801</v>
      </c>
      <c r="P207" s="158">
        <f t="shared" si="7"/>
        <v>0</v>
      </c>
    </row>
    <row r="208" spans="1:16">
      <c r="A208" s="158" t="s">
        <v>600</v>
      </c>
      <c r="B208" s="158" t="s">
        <v>167</v>
      </c>
      <c r="C208" s="158" t="s">
        <v>168</v>
      </c>
      <c r="D208" s="407">
        <v>0</v>
      </c>
      <c r="E208" s="408">
        <v>0</v>
      </c>
      <c r="F208" s="408">
        <v>0</v>
      </c>
      <c r="G208" s="408">
        <v>0</v>
      </c>
      <c r="H208" s="408">
        <v>0</v>
      </c>
      <c r="I208" s="408">
        <v>0</v>
      </c>
      <c r="J208" s="408">
        <v>0</v>
      </c>
      <c r="K208" s="408">
        <v>0</v>
      </c>
      <c r="L208" s="408">
        <v>0</v>
      </c>
      <c r="M208" s="158">
        <f t="shared" si="6"/>
        <v>0</v>
      </c>
      <c r="O208" s="158" t="s">
        <v>801</v>
      </c>
      <c r="P208" s="158">
        <f t="shared" si="7"/>
        <v>0</v>
      </c>
    </row>
    <row r="209" spans="1:16">
      <c r="A209" s="158" t="s">
        <v>600</v>
      </c>
      <c r="B209" s="158" t="s">
        <v>47</v>
      </c>
      <c r="C209" s="158" t="s">
        <v>48</v>
      </c>
      <c r="D209" s="407">
        <v>109</v>
      </c>
      <c r="E209" s="408">
        <v>107</v>
      </c>
      <c r="F209" s="408">
        <v>107</v>
      </c>
      <c r="G209" s="408">
        <v>108</v>
      </c>
      <c r="H209" s="408">
        <v>109</v>
      </c>
      <c r="I209" s="408">
        <v>108</v>
      </c>
      <c r="J209" s="408">
        <v>107</v>
      </c>
      <c r="K209" s="408">
        <v>108</v>
      </c>
      <c r="L209" s="408">
        <v>105</v>
      </c>
      <c r="M209" s="158">
        <f t="shared" si="6"/>
        <v>107.38</v>
      </c>
      <c r="O209" s="158" t="s">
        <v>621</v>
      </c>
      <c r="P209" s="158">
        <f t="shared" si="7"/>
        <v>1</v>
      </c>
    </row>
    <row r="210" spans="1:16">
      <c r="A210" s="158" t="s">
        <v>594</v>
      </c>
      <c r="B210" s="158" t="s">
        <v>145</v>
      </c>
      <c r="C210" s="158" t="s">
        <v>146</v>
      </c>
      <c r="D210" s="407">
        <v>31</v>
      </c>
      <c r="E210" s="408">
        <v>31</v>
      </c>
      <c r="F210" s="408">
        <v>31</v>
      </c>
      <c r="G210" s="408">
        <v>35</v>
      </c>
      <c r="H210" s="408">
        <v>35</v>
      </c>
      <c r="I210" s="408">
        <v>33</v>
      </c>
      <c r="J210" s="408">
        <v>33</v>
      </c>
      <c r="K210" s="408">
        <v>33</v>
      </c>
      <c r="L210" s="408">
        <v>33</v>
      </c>
      <c r="M210" s="158">
        <f t="shared" si="6"/>
        <v>33</v>
      </c>
      <c r="O210" s="158" t="s">
        <v>621</v>
      </c>
      <c r="P210" s="158">
        <f t="shared" si="7"/>
        <v>1</v>
      </c>
    </row>
    <row r="211" spans="1:16">
      <c r="A211" s="158" t="s">
        <v>601</v>
      </c>
      <c r="B211" s="158" t="s">
        <v>116</v>
      </c>
      <c r="C211" s="158" t="s">
        <v>117</v>
      </c>
      <c r="D211" s="407">
        <v>830</v>
      </c>
      <c r="E211" s="408">
        <v>884</v>
      </c>
      <c r="F211" s="408">
        <v>876</v>
      </c>
      <c r="G211" s="408">
        <v>859</v>
      </c>
      <c r="H211" s="408">
        <v>858</v>
      </c>
      <c r="I211" s="408">
        <v>852</v>
      </c>
      <c r="J211" s="408">
        <v>849</v>
      </c>
      <c r="K211" s="408">
        <v>853</v>
      </c>
      <c r="L211" s="408">
        <v>854</v>
      </c>
      <c r="M211" s="158">
        <f t="shared" si="6"/>
        <v>860.63</v>
      </c>
      <c r="O211" s="158" t="s">
        <v>621</v>
      </c>
      <c r="P211" s="158">
        <f t="shared" si="7"/>
        <v>1</v>
      </c>
    </row>
    <row r="212" spans="1:16">
      <c r="A212" s="158" t="s">
        <v>594</v>
      </c>
      <c r="B212" s="158" t="s">
        <v>480</v>
      </c>
      <c r="C212" s="158" t="s">
        <v>481</v>
      </c>
      <c r="D212" s="407">
        <v>0</v>
      </c>
      <c r="E212" s="408">
        <v>0</v>
      </c>
      <c r="F212" s="408">
        <v>0</v>
      </c>
      <c r="G212" s="408">
        <v>0</v>
      </c>
      <c r="H212" s="408">
        <v>0</v>
      </c>
      <c r="I212" s="408">
        <v>0</v>
      </c>
      <c r="J212" s="408">
        <v>0</v>
      </c>
      <c r="K212" s="408">
        <v>0</v>
      </c>
      <c r="L212" s="408">
        <v>0</v>
      </c>
      <c r="M212" s="158">
        <f t="shared" si="6"/>
        <v>0</v>
      </c>
      <c r="O212" s="158" t="s">
        <v>801</v>
      </c>
      <c r="P212" s="158">
        <f t="shared" si="7"/>
        <v>0</v>
      </c>
    </row>
    <row r="213" spans="1:16">
      <c r="A213" s="158" t="s">
        <v>594</v>
      </c>
      <c r="B213" s="158" t="s">
        <v>327</v>
      </c>
      <c r="C213" s="158" t="s">
        <v>328</v>
      </c>
      <c r="D213" s="407">
        <v>55</v>
      </c>
      <c r="E213" s="408">
        <v>61</v>
      </c>
      <c r="F213" s="408">
        <v>62</v>
      </c>
      <c r="G213" s="408">
        <v>59</v>
      </c>
      <c r="H213" s="408">
        <v>58</v>
      </c>
      <c r="I213" s="408">
        <v>56</v>
      </c>
      <c r="J213" s="408">
        <v>58</v>
      </c>
      <c r="K213" s="408">
        <v>57</v>
      </c>
      <c r="L213" s="408">
        <v>57</v>
      </c>
      <c r="M213" s="158">
        <f t="shared" si="6"/>
        <v>58.5</v>
      </c>
      <c r="O213" s="158" t="s">
        <v>621</v>
      </c>
      <c r="P213" s="158">
        <f t="shared" si="7"/>
        <v>1</v>
      </c>
    </row>
    <row r="214" spans="1:16">
      <c r="A214" s="158" t="s">
        <v>603</v>
      </c>
      <c r="B214" s="158" t="s">
        <v>282</v>
      </c>
      <c r="C214" s="158" t="s">
        <v>665</v>
      </c>
      <c r="D214" s="407">
        <v>0</v>
      </c>
      <c r="E214" s="408">
        <v>0</v>
      </c>
      <c r="F214" s="408">
        <v>0</v>
      </c>
      <c r="G214" s="408">
        <v>0</v>
      </c>
      <c r="H214" s="408">
        <v>0</v>
      </c>
      <c r="I214" s="408">
        <v>0</v>
      </c>
      <c r="J214" s="408">
        <v>0</v>
      </c>
      <c r="K214" s="408">
        <v>0</v>
      </c>
      <c r="L214" s="408">
        <v>0</v>
      </c>
      <c r="M214" s="158">
        <f t="shared" si="6"/>
        <v>0</v>
      </c>
      <c r="O214" s="158" t="s">
        <v>801</v>
      </c>
      <c r="P214" s="158">
        <f t="shared" si="7"/>
        <v>0</v>
      </c>
    </row>
    <row r="215" spans="1:16">
      <c r="A215" s="158" t="s">
        <v>597</v>
      </c>
      <c r="B215" s="158" t="s">
        <v>185</v>
      </c>
      <c r="C215" s="158" t="s">
        <v>186</v>
      </c>
      <c r="D215" s="407">
        <v>1689</v>
      </c>
      <c r="E215" s="408">
        <v>1947</v>
      </c>
      <c r="F215" s="408">
        <v>1984</v>
      </c>
      <c r="G215" s="408">
        <v>2004</v>
      </c>
      <c r="H215" s="408">
        <v>2019</v>
      </c>
      <c r="I215" s="408">
        <v>2044</v>
      </c>
      <c r="J215" s="408">
        <v>2036</v>
      </c>
      <c r="K215" s="408">
        <v>2041</v>
      </c>
      <c r="L215" s="408">
        <v>2041</v>
      </c>
      <c r="M215" s="158">
        <f t="shared" si="6"/>
        <v>2014.5</v>
      </c>
      <c r="O215" s="158" t="s">
        <v>621</v>
      </c>
      <c r="P215" s="158">
        <f t="shared" si="7"/>
        <v>1</v>
      </c>
    </row>
    <row r="216" spans="1:16">
      <c r="A216" s="158" t="s">
        <v>603</v>
      </c>
      <c r="B216" s="158" t="s">
        <v>102</v>
      </c>
      <c r="C216" s="158" t="s">
        <v>103</v>
      </c>
      <c r="D216" s="407">
        <v>0</v>
      </c>
      <c r="E216" s="408">
        <v>0</v>
      </c>
      <c r="F216" s="408">
        <v>0</v>
      </c>
      <c r="G216" s="408">
        <v>0</v>
      </c>
      <c r="H216" s="408">
        <v>0</v>
      </c>
      <c r="I216" s="408">
        <v>0</v>
      </c>
      <c r="J216" s="408">
        <v>0</v>
      </c>
      <c r="K216" s="408">
        <v>0</v>
      </c>
      <c r="L216" s="408">
        <v>0</v>
      </c>
      <c r="M216" s="158">
        <f t="shared" si="6"/>
        <v>0</v>
      </c>
      <c r="O216" s="158" t="s">
        <v>801</v>
      </c>
      <c r="P216" s="158">
        <f t="shared" si="7"/>
        <v>0</v>
      </c>
    </row>
    <row r="217" spans="1:16">
      <c r="A217" s="158" t="s">
        <v>596</v>
      </c>
      <c r="B217" s="158" t="s">
        <v>23</v>
      </c>
      <c r="C217" s="158" t="s">
        <v>24</v>
      </c>
      <c r="D217" s="407">
        <v>176</v>
      </c>
      <c r="E217" s="408">
        <v>228</v>
      </c>
      <c r="F217" s="408">
        <v>231</v>
      </c>
      <c r="G217" s="408">
        <v>237</v>
      </c>
      <c r="H217" s="408">
        <v>241</v>
      </c>
      <c r="I217" s="408">
        <v>247</v>
      </c>
      <c r="J217" s="408">
        <v>247</v>
      </c>
      <c r="K217" s="408">
        <v>247</v>
      </c>
      <c r="L217" s="408">
        <v>235</v>
      </c>
      <c r="M217" s="158">
        <f t="shared" si="6"/>
        <v>239.13</v>
      </c>
      <c r="O217" s="158" t="s">
        <v>621</v>
      </c>
      <c r="P217" s="158">
        <f t="shared" si="7"/>
        <v>1</v>
      </c>
    </row>
    <row r="218" spans="1:16">
      <c r="A218" s="158" t="s">
        <v>599</v>
      </c>
      <c r="B218" s="158" t="s">
        <v>64</v>
      </c>
      <c r="C218" s="158" t="s">
        <v>65</v>
      </c>
      <c r="D218" s="407">
        <v>47</v>
      </c>
      <c r="E218" s="408">
        <v>62</v>
      </c>
      <c r="F218" s="408">
        <v>66</v>
      </c>
      <c r="G218" s="408">
        <v>65</v>
      </c>
      <c r="H218" s="408">
        <v>65</v>
      </c>
      <c r="I218" s="408">
        <v>64</v>
      </c>
      <c r="J218" s="408">
        <v>65</v>
      </c>
      <c r="K218" s="408">
        <v>67</v>
      </c>
      <c r="L218" s="408">
        <v>65</v>
      </c>
      <c r="M218" s="158">
        <f t="shared" si="6"/>
        <v>64.88</v>
      </c>
      <c r="O218" s="158" t="s">
        <v>621</v>
      </c>
      <c r="P218" s="158">
        <f t="shared" si="7"/>
        <v>1</v>
      </c>
    </row>
    <row r="219" spans="1:16">
      <c r="A219" s="158" t="s">
        <v>603</v>
      </c>
      <c r="B219" s="158" t="s">
        <v>8</v>
      </c>
      <c r="C219" s="158" t="s">
        <v>9</v>
      </c>
      <c r="D219" s="407">
        <v>0</v>
      </c>
      <c r="E219" s="408">
        <v>0</v>
      </c>
      <c r="F219" s="408">
        <v>0</v>
      </c>
      <c r="G219" s="408">
        <v>0</v>
      </c>
      <c r="H219" s="408">
        <v>0</v>
      </c>
      <c r="I219" s="408">
        <v>0</v>
      </c>
      <c r="J219" s="408">
        <v>0</v>
      </c>
      <c r="K219" s="408">
        <v>0</v>
      </c>
      <c r="L219" s="408">
        <v>0</v>
      </c>
      <c r="M219" s="158">
        <f t="shared" si="6"/>
        <v>0</v>
      </c>
      <c r="O219" s="158" t="s">
        <v>801</v>
      </c>
      <c r="P219" s="158">
        <f t="shared" si="7"/>
        <v>0</v>
      </c>
    </row>
    <row r="220" spans="1:16">
      <c r="A220" s="158" t="s">
        <v>603</v>
      </c>
      <c r="B220" s="158" t="s">
        <v>446</v>
      </c>
      <c r="C220" s="158" t="s">
        <v>447</v>
      </c>
      <c r="D220" s="407">
        <v>9</v>
      </c>
      <c r="E220" s="408">
        <v>9</v>
      </c>
      <c r="F220" s="408">
        <v>8</v>
      </c>
      <c r="G220" s="408">
        <v>9</v>
      </c>
      <c r="H220" s="408">
        <v>9</v>
      </c>
      <c r="I220" s="408">
        <v>9</v>
      </c>
      <c r="J220" s="408">
        <v>12</v>
      </c>
      <c r="K220" s="408">
        <v>12</v>
      </c>
      <c r="L220" s="408">
        <v>12</v>
      </c>
      <c r="M220" s="158">
        <f t="shared" si="6"/>
        <v>10</v>
      </c>
      <c r="O220" s="158" t="s">
        <v>621</v>
      </c>
      <c r="P220" s="158">
        <f t="shared" si="7"/>
        <v>1</v>
      </c>
    </row>
    <row r="221" spans="1:16">
      <c r="A221" s="158" t="s">
        <v>597</v>
      </c>
      <c r="B221" s="158" t="s">
        <v>193</v>
      </c>
      <c r="C221" s="158" t="s">
        <v>194</v>
      </c>
      <c r="D221" s="407">
        <v>46</v>
      </c>
      <c r="E221" s="408">
        <v>55</v>
      </c>
      <c r="F221" s="408">
        <v>55</v>
      </c>
      <c r="G221" s="408">
        <v>54</v>
      </c>
      <c r="H221" s="408">
        <v>53</v>
      </c>
      <c r="I221" s="408">
        <v>54</v>
      </c>
      <c r="J221" s="408">
        <v>53</v>
      </c>
      <c r="K221" s="408">
        <v>54</v>
      </c>
      <c r="L221" s="408">
        <v>57</v>
      </c>
      <c r="M221" s="158">
        <f t="shared" si="6"/>
        <v>54.38</v>
      </c>
      <c r="O221" s="158" t="s">
        <v>621</v>
      </c>
      <c r="P221" s="158">
        <f t="shared" si="7"/>
        <v>1</v>
      </c>
    </row>
    <row r="222" spans="1:16">
      <c r="A222" s="158" t="s">
        <v>594</v>
      </c>
      <c r="B222" s="158" t="s">
        <v>484</v>
      </c>
      <c r="C222" s="158" t="s">
        <v>485</v>
      </c>
      <c r="D222" s="407">
        <v>93</v>
      </c>
      <c r="E222" s="408">
        <v>102</v>
      </c>
      <c r="F222" s="408">
        <v>102</v>
      </c>
      <c r="G222" s="408">
        <v>100</v>
      </c>
      <c r="H222" s="408">
        <v>100</v>
      </c>
      <c r="I222" s="408">
        <v>102</v>
      </c>
      <c r="J222" s="408">
        <v>104</v>
      </c>
      <c r="K222" s="408">
        <v>103</v>
      </c>
      <c r="L222" s="408">
        <v>101</v>
      </c>
      <c r="M222" s="158">
        <f t="shared" si="6"/>
        <v>101.75</v>
      </c>
      <c r="O222" s="158" t="s">
        <v>621</v>
      </c>
      <c r="P222" s="158">
        <f t="shared" si="7"/>
        <v>1</v>
      </c>
    </row>
    <row r="223" spans="1:16">
      <c r="A223" s="158" t="s">
        <v>599</v>
      </c>
      <c r="B223" s="158" t="s">
        <v>244</v>
      </c>
      <c r="C223" s="158" t="s">
        <v>245</v>
      </c>
      <c r="D223" s="407">
        <v>8</v>
      </c>
      <c r="E223" s="408">
        <v>8</v>
      </c>
      <c r="F223" s="408">
        <v>8</v>
      </c>
      <c r="G223" s="408">
        <v>8</v>
      </c>
      <c r="H223" s="408">
        <v>8</v>
      </c>
      <c r="I223" s="408">
        <v>12</v>
      </c>
      <c r="J223" s="408">
        <v>12</v>
      </c>
      <c r="K223" s="408">
        <v>12</v>
      </c>
      <c r="L223" s="408">
        <v>12</v>
      </c>
      <c r="M223" s="158">
        <f t="shared" si="6"/>
        <v>10</v>
      </c>
      <c r="O223" s="158" t="s">
        <v>621</v>
      </c>
      <c r="P223" s="158">
        <f t="shared" si="7"/>
        <v>1</v>
      </c>
    </row>
    <row r="224" spans="1:16">
      <c r="A224" s="158" t="s">
        <v>603</v>
      </c>
      <c r="B224" s="158" t="s">
        <v>537</v>
      </c>
      <c r="C224" s="158" t="s">
        <v>538</v>
      </c>
      <c r="D224" s="407">
        <v>0</v>
      </c>
      <c r="E224" s="408">
        <v>0</v>
      </c>
      <c r="F224" s="408">
        <v>0</v>
      </c>
      <c r="G224" s="408">
        <v>0</v>
      </c>
      <c r="H224" s="408">
        <v>0</v>
      </c>
      <c r="I224" s="408">
        <v>0</v>
      </c>
      <c r="J224" s="408">
        <v>0</v>
      </c>
      <c r="K224" s="408">
        <v>0</v>
      </c>
      <c r="L224" s="408">
        <v>0</v>
      </c>
      <c r="M224" s="158">
        <f t="shared" si="6"/>
        <v>0</v>
      </c>
      <c r="O224" s="158" t="s">
        <v>801</v>
      </c>
      <c r="P224" s="158">
        <f t="shared" si="7"/>
        <v>0</v>
      </c>
    </row>
    <row r="225" spans="1:16">
      <c r="A225" s="158" t="s">
        <v>605</v>
      </c>
      <c r="B225" s="158" t="s">
        <v>123</v>
      </c>
      <c r="C225" s="158" t="s">
        <v>124</v>
      </c>
      <c r="D225" s="407">
        <v>490</v>
      </c>
      <c r="E225" s="408">
        <v>599</v>
      </c>
      <c r="F225" s="408">
        <v>594</v>
      </c>
      <c r="G225" s="408">
        <v>586</v>
      </c>
      <c r="H225" s="408">
        <v>585</v>
      </c>
      <c r="I225" s="408">
        <v>595</v>
      </c>
      <c r="J225" s="408">
        <v>585</v>
      </c>
      <c r="K225" s="408">
        <v>587</v>
      </c>
      <c r="L225" s="408">
        <v>585</v>
      </c>
      <c r="M225" s="158">
        <f t="shared" si="6"/>
        <v>589.5</v>
      </c>
      <c r="O225" s="158" t="s">
        <v>621</v>
      </c>
      <c r="P225" s="158">
        <f t="shared" si="7"/>
        <v>1</v>
      </c>
    </row>
    <row r="226" spans="1:16">
      <c r="A226" s="158" t="s">
        <v>595</v>
      </c>
      <c r="B226" s="158" t="s">
        <v>375</v>
      </c>
      <c r="C226" s="158" t="s">
        <v>614</v>
      </c>
      <c r="D226" s="407">
        <v>34</v>
      </c>
      <c r="E226" s="408">
        <v>43</v>
      </c>
      <c r="F226" s="408">
        <v>40</v>
      </c>
      <c r="G226" s="408">
        <v>41</v>
      </c>
      <c r="H226" s="408">
        <v>41</v>
      </c>
      <c r="I226" s="408">
        <v>40</v>
      </c>
      <c r="J226" s="408">
        <v>40</v>
      </c>
      <c r="K226" s="408">
        <v>41</v>
      </c>
      <c r="L226" s="408">
        <v>41</v>
      </c>
      <c r="M226" s="158">
        <f t="shared" si="6"/>
        <v>40.880000000000003</v>
      </c>
      <c r="O226" s="158" t="s">
        <v>621</v>
      </c>
      <c r="P226" s="158">
        <f t="shared" si="7"/>
        <v>1</v>
      </c>
    </row>
    <row r="227" spans="1:16">
      <c r="A227" s="158" t="s">
        <v>594</v>
      </c>
      <c r="B227" s="158" t="s">
        <v>149</v>
      </c>
      <c r="C227" s="158" t="s">
        <v>150</v>
      </c>
      <c r="D227" s="407">
        <v>0</v>
      </c>
      <c r="E227" s="408">
        <v>0</v>
      </c>
      <c r="F227" s="408">
        <v>0</v>
      </c>
      <c r="G227" s="408">
        <v>0</v>
      </c>
      <c r="H227" s="408">
        <v>0</v>
      </c>
      <c r="I227" s="408">
        <v>0</v>
      </c>
      <c r="J227" s="408">
        <v>0</v>
      </c>
      <c r="K227" s="408">
        <v>0</v>
      </c>
      <c r="L227" s="408">
        <v>0</v>
      </c>
      <c r="M227" s="158">
        <f t="shared" si="6"/>
        <v>0</v>
      </c>
      <c r="O227" s="158" t="s">
        <v>801</v>
      </c>
      <c r="P227" s="158">
        <f t="shared" si="7"/>
        <v>0</v>
      </c>
    </row>
    <row r="228" spans="1:16">
      <c r="A228" s="158" t="s">
        <v>597</v>
      </c>
      <c r="B228" s="158" t="s">
        <v>173</v>
      </c>
      <c r="C228" s="158" t="s">
        <v>174</v>
      </c>
      <c r="D228" s="407">
        <v>5179</v>
      </c>
      <c r="E228" s="408">
        <v>5373</v>
      </c>
      <c r="F228" s="408">
        <v>5425</v>
      </c>
      <c r="G228" s="408">
        <v>5446</v>
      </c>
      <c r="H228" s="408">
        <v>5427</v>
      </c>
      <c r="I228" s="408">
        <v>5471</v>
      </c>
      <c r="J228" s="408">
        <v>5483</v>
      </c>
      <c r="K228" s="408">
        <v>5472</v>
      </c>
      <c r="L228" s="408">
        <v>5484</v>
      </c>
      <c r="M228" s="158">
        <f t="shared" si="6"/>
        <v>5447.63</v>
      </c>
      <c r="O228" s="158" t="s">
        <v>621</v>
      </c>
      <c r="P228" s="158">
        <f t="shared" si="7"/>
        <v>1</v>
      </c>
    </row>
    <row r="229" spans="1:16">
      <c r="A229" s="158" t="s">
        <v>595</v>
      </c>
      <c r="B229" s="158" t="s">
        <v>379</v>
      </c>
      <c r="C229" s="158" t="s">
        <v>615</v>
      </c>
      <c r="D229" s="407">
        <v>183</v>
      </c>
      <c r="E229" s="408">
        <v>215</v>
      </c>
      <c r="F229" s="408">
        <v>213</v>
      </c>
      <c r="G229" s="408">
        <v>211</v>
      </c>
      <c r="H229" s="408">
        <v>205</v>
      </c>
      <c r="I229" s="408">
        <v>207</v>
      </c>
      <c r="J229" s="408">
        <v>206</v>
      </c>
      <c r="K229" s="408">
        <v>204</v>
      </c>
      <c r="L229" s="408">
        <v>205</v>
      </c>
      <c r="M229" s="158">
        <f t="shared" si="6"/>
        <v>208.25</v>
      </c>
      <c r="O229" s="158" t="s">
        <v>621</v>
      </c>
      <c r="P229" s="158">
        <f t="shared" si="7"/>
        <v>1</v>
      </c>
    </row>
    <row r="230" spans="1:16">
      <c r="A230" s="158" t="s">
        <v>605</v>
      </c>
      <c r="B230" s="158" t="s">
        <v>551</v>
      </c>
      <c r="C230" s="158" t="s">
        <v>552</v>
      </c>
      <c r="D230" s="407">
        <v>158</v>
      </c>
      <c r="E230" s="408">
        <v>200</v>
      </c>
      <c r="F230" s="408">
        <v>207</v>
      </c>
      <c r="G230" s="408">
        <v>205</v>
      </c>
      <c r="H230" s="408">
        <v>205</v>
      </c>
      <c r="I230" s="408">
        <v>201</v>
      </c>
      <c r="J230" s="408">
        <v>202</v>
      </c>
      <c r="K230" s="408">
        <v>201</v>
      </c>
      <c r="L230" s="408">
        <v>201</v>
      </c>
      <c r="M230" s="158">
        <f t="shared" si="6"/>
        <v>202.75</v>
      </c>
      <c r="O230" s="158" t="s">
        <v>621</v>
      </c>
      <c r="P230" s="158">
        <f t="shared" si="7"/>
        <v>1</v>
      </c>
    </row>
    <row r="231" spans="1:16">
      <c r="A231" s="158" t="s">
        <v>603</v>
      </c>
      <c r="B231" s="158" t="s">
        <v>340</v>
      </c>
      <c r="C231" s="158" t="s">
        <v>341</v>
      </c>
      <c r="D231" s="407">
        <v>0</v>
      </c>
      <c r="E231" s="408">
        <v>0</v>
      </c>
      <c r="F231" s="408">
        <v>0</v>
      </c>
      <c r="G231" s="408">
        <v>0</v>
      </c>
      <c r="H231" s="408">
        <v>0</v>
      </c>
      <c r="I231" s="408">
        <v>0</v>
      </c>
      <c r="J231" s="408">
        <v>0</v>
      </c>
      <c r="K231" s="408">
        <v>0</v>
      </c>
      <c r="L231" s="408">
        <v>0</v>
      </c>
      <c r="M231" s="158">
        <f t="shared" si="6"/>
        <v>0</v>
      </c>
      <c r="O231" s="158" t="s">
        <v>801</v>
      </c>
      <c r="P231" s="158">
        <f t="shared" si="7"/>
        <v>0</v>
      </c>
    </row>
    <row r="232" spans="1:16">
      <c r="A232" s="158" t="s">
        <v>600</v>
      </c>
      <c r="B232" s="158" t="s">
        <v>43</v>
      </c>
      <c r="C232" s="158" t="s">
        <v>44</v>
      </c>
      <c r="D232" s="407">
        <v>22</v>
      </c>
      <c r="E232" s="408">
        <v>29</v>
      </c>
      <c r="F232" s="408">
        <v>28</v>
      </c>
      <c r="G232" s="408">
        <v>30</v>
      </c>
      <c r="H232" s="408">
        <v>31</v>
      </c>
      <c r="I232" s="408">
        <v>31</v>
      </c>
      <c r="J232" s="408">
        <v>31</v>
      </c>
      <c r="K232" s="408">
        <v>30</v>
      </c>
      <c r="L232" s="408">
        <v>30</v>
      </c>
      <c r="M232" s="158">
        <f t="shared" si="6"/>
        <v>30</v>
      </c>
      <c r="O232" s="158" t="s">
        <v>621</v>
      </c>
      <c r="P232" s="158">
        <f t="shared" si="7"/>
        <v>1</v>
      </c>
    </row>
    <row r="233" spans="1:16">
      <c r="A233" s="158" t="s">
        <v>595</v>
      </c>
      <c r="B233" s="158" t="s">
        <v>371</v>
      </c>
      <c r="C233" s="158" t="s">
        <v>670</v>
      </c>
      <c r="D233" s="407">
        <v>0</v>
      </c>
      <c r="E233" s="408">
        <v>0</v>
      </c>
      <c r="F233" s="408">
        <v>0</v>
      </c>
      <c r="G233" s="408">
        <v>0</v>
      </c>
      <c r="H233" s="408">
        <v>0</v>
      </c>
      <c r="I233" s="408">
        <v>0</v>
      </c>
      <c r="J233" s="408">
        <v>0</v>
      </c>
      <c r="K233" s="408">
        <v>0</v>
      </c>
      <c r="L233" s="408">
        <v>0</v>
      </c>
      <c r="M233" s="158">
        <f t="shared" si="6"/>
        <v>0</v>
      </c>
      <c r="O233" s="158" t="s">
        <v>801</v>
      </c>
      <c r="P233" s="158">
        <f t="shared" si="7"/>
        <v>0</v>
      </c>
    </row>
    <row r="234" spans="1:16">
      <c r="A234" s="158" t="s">
        <v>594</v>
      </c>
      <c r="B234" s="158" t="s">
        <v>299</v>
      </c>
      <c r="C234" s="158" t="s">
        <v>300</v>
      </c>
      <c r="D234" s="407">
        <v>275</v>
      </c>
      <c r="E234" s="408">
        <v>286</v>
      </c>
      <c r="F234" s="408">
        <v>290</v>
      </c>
      <c r="G234" s="408">
        <v>287</v>
      </c>
      <c r="H234" s="408">
        <v>288</v>
      </c>
      <c r="I234" s="408">
        <v>283</v>
      </c>
      <c r="J234" s="408">
        <v>284</v>
      </c>
      <c r="K234" s="408">
        <v>286</v>
      </c>
      <c r="L234" s="408">
        <v>288</v>
      </c>
      <c r="M234" s="158">
        <f t="shared" si="6"/>
        <v>286.5</v>
      </c>
      <c r="O234" s="158" t="s">
        <v>621</v>
      </c>
      <c r="P234" s="158">
        <f t="shared" si="7"/>
        <v>1</v>
      </c>
    </row>
    <row r="235" spans="1:16">
      <c r="A235" s="158" t="s">
        <v>597</v>
      </c>
      <c r="B235" s="158" t="s">
        <v>203</v>
      </c>
      <c r="C235" s="158" t="s">
        <v>204</v>
      </c>
      <c r="D235" s="407">
        <v>507</v>
      </c>
      <c r="E235" s="408">
        <v>543</v>
      </c>
      <c r="F235" s="408">
        <v>549</v>
      </c>
      <c r="G235" s="408">
        <v>553</v>
      </c>
      <c r="H235" s="408">
        <v>546</v>
      </c>
      <c r="I235" s="408">
        <v>551</v>
      </c>
      <c r="J235" s="408">
        <v>562</v>
      </c>
      <c r="K235" s="408">
        <v>568</v>
      </c>
      <c r="L235" s="408">
        <v>569</v>
      </c>
      <c r="M235" s="158">
        <f t="shared" si="6"/>
        <v>555.13</v>
      </c>
      <c r="O235" s="158" t="s">
        <v>621</v>
      </c>
      <c r="P235" s="158">
        <f t="shared" si="7"/>
        <v>1</v>
      </c>
    </row>
    <row r="236" spans="1:16">
      <c r="A236" s="158" t="s">
        <v>599</v>
      </c>
      <c r="B236" s="158" t="s">
        <v>387</v>
      </c>
      <c r="C236" s="158" t="s">
        <v>388</v>
      </c>
      <c r="D236" s="407">
        <v>0</v>
      </c>
      <c r="E236" s="408">
        <v>0</v>
      </c>
      <c r="F236" s="408">
        <v>0</v>
      </c>
      <c r="G236" s="408">
        <v>0</v>
      </c>
      <c r="H236" s="408">
        <v>0</v>
      </c>
      <c r="I236" s="408">
        <v>0</v>
      </c>
      <c r="J236" s="408">
        <v>0</v>
      </c>
      <c r="K236" s="408">
        <v>0</v>
      </c>
      <c r="L236" s="408">
        <v>0</v>
      </c>
      <c r="M236" s="158">
        <f t="shared" si="6"/>
        <v>0</v>
      </c>
      <c r="O236" s="158" t="s">
        <v>801</v>
      </c>
      <c r="P236" s="158">
        <f t="shared" si="7"/>
        <v>0</v>
      </c>
    </row>
    <row r="237" spans="1:16">
      <c r="A237" s="158" t="s">
        <v>597</v>
      </c>
      <c r="B237" s="158" t="s">
        <v>187</v>
      </c>
      <c r="C237" s="158" t="s">
        <v>188</v>
      </c>
      <c r="D237" s="407">
        <v>0</v>
      </c>
      <c r="E237" s="408">
        <v>0</v>
      </c>
      <c r="F237" s="408">
        <v>0</v>
      </c>
      <c r="G237" s="408">
        <v>0</v>
      </c>
      <c r="H237" s="408">
        <v>0</v>
      </c>
      <c r="I237" s="408">
        <v>0</v>
      </c>
      <c r="J237" s="408">
        <v>0</v>
      </c>
      <c r="K237" s="408">
        <v>0</v>
      </c>
      <c r="L237" s="408">
        <v>0</v>
      </c>
      <c r="M237" s="158">
        <f t="shared" si="6"/>
        <v>0</v>
      </c>
      <c r="O237" s="158" t="s">
        <v>801</v>
      </c>
      <c r="P237" s="158">
        <f t="shared" si="7"/>
        <v>0</v>
      </c>
    </row>
    <row r="238" spans="1:16">
      <c r="A238" s="158" t="s">
        <v>595</v>
      </c>
      <c r="B238" s="158" t="s">
        <v>411</v>
      </c>
      <c r="C238" s="158" t="s">
        <v>412</v>
      </c>
      <c r="D238" s="407">
        <v>182</v>
      </c>
      <c r="E238" s="408">
        <v>243</v>
      </c>
      <c r="F238" s="408">
        <v>244</v>
      </c>
      <c r="G238" s="408">
        <v>244</v>
      </c>
      <c r="H238" s="408">
        <v>247</v>
      </c>
      <c r="I238" s="408">
        <v>246</v>
      </c>
      <c r="J238" s="408">
        <v>246</v>
      </c>
      <c r="K238" s="408">
        <v>246</v>
      </c>
      <c r="L238" s="408">
        <v>244</v>
      </c>
      <c r="M238" s="158">
        <f t="shared" si="6"/>
        <v>245</v>
      </c>
      <c r="O238" s="158" t="s">
        <v>621</v>
      </c>
      <c r="P238" s="158">
        <f t="shared" si="7"/>
        <v>1</v>
      </c>
    </row>
    <row r="239" spans="1:16">
      <c r="A239" s="158" t="s">
        <v>597</v>
      </c>
      <c r="B239" s="158" t="s">
        <v>199</v>
      </c>
      <c r="C239" s="158" t="s">
        <v>200</v>
      </c>
      <c r="D239" s="407">
        <v>91</v>
      </c>
      <c r="E239" s="408">
        <v>110</v>
      </c>
      <c r="F239" s="408">
        <v>110</v>
      </c>
      <c r="G239" s="408">
        <v>112</v>
      </c>
      <c r="H239" s="408">
        <v>106</v>
      </c>
      <c r="I239" s="408">
        <v>104</v>
      </c>
      <c r="J239" s="408">
        <v>102</v>
      </c>
      <c r="K239" s="408">
        <v>100</v>
      </c>
      <c r="L239" s="408">
        <v>100</v>
      </c>
      <c r="M239" s="158">
        <f t="shared" si="6"/>
        <v>105.5</v>
      </c>
      <c r="O239" s="158" t="s">
        <v>621</v>
      </c>
      <c r="P239" s="158">
        <f t="shared" si="7"/>
        <v>1</v>
      </c>
    </row>
    <row r="240" spans="1:16">
      <c r="A240" s="158" t="s">
        <v>601</v>
      </c>
      <c r="B240" s="158" t="s">
        <v>121</v>
      </c>
      <c r="C240" s="158" t="s">
        <v>122</v>
      </c>
      <c r="D240" s="407">
        <v>75</v>
      </c>
      <c r="E240" s="408">
        <v>94</v>
      </c>
      <c r="F240" s="408">
        <v>94</v>
      </c>
      <c r="G240" s="408">
        <v>94</v>
      </c>
      <c r="H240" s="408">
        <v>93</v>
      </c>
      <c r="I240" s="408">
        <v>92</v>
      </c>
      <c r="J240" s="408">
        <v>87</v>
      </c>
      <c r="K240" s="408">
        <v>91</v>
      </c>
      <c r="L240" s="408">
        <v>89</v>
      </c>
      <c r="M240" s="158">
        <f t="shared" si="6"/>
        <v>91.75</v>
      </c>
      <c r="O240" s="158" t="s">
        <v>621</v>
      </c>
      <c r="P240" s="158">
        <f t="shared" si="7"/>
        <v>1</v>
      </c>
    </row>
    <row r="241" spans="1:16">
      <c r="A241" s="158" t="s">
        <v>594</v>
      </c>
      <c r="B241" s="158" t="s">
        <v>329</v>
      </c>
      <c r="C241" s="158" t="s">
        <v>330</v>
      </c>
      <c r="D241" s="407">
        <v>80</v>
      </c>
      <c r="E241" s="408">
        <v>80</v>
      </c>
      <c r="F241" s="408">
        <v>82</v>
      </c>
      <c r="G241" s="408">
        <v>83</v>
      </c>
      <c r="H241" s="408">
        <v>77</v>
      </c>
      <c r="I241" s="408">
        <v>74</v>
      </c>
      <c r="J241" s="408">
        <v>74</v>
      </c>
      <c r="K241" s="408">
        <v>72</v>
      </c>
      <c r="L241" s="408">
        <v>73</v>
      </c>
      <c r="M241" s="158">
        <f t="shared" si="6"/>
        <v>76.88</v>
      </c>
      <c r="O241" s="158" t="s">
        <v>621</v>
      </c>
      <c r="P241" s="158">
        <f t="shared" si="7"/>
        <v>1</v>
      </c>
    </row>
    <row r="242" spans="1:16">
      <c r="A242" s="158" t="s">
        <v>600</v>
      </c>
      <c r="B242" s="158" t="s">
        <v>218</v>
      </c>
      <c r="C242" s="158" t="s">
        <v>219</v>
      </c>
      <c r="D242" s="407">
        <v>62</v>
      </c>
      <c r="E242" s="408">
        <v>76</v>
      </c>
      <c r="F242" s="408">
        <v>76</v>
      </c>
      <c r="G242" s="408">
        <v>74</v>
      </c>
      <c r="H242" s="408">
        <v>81</v>
      </c>
      <c r="I242" s="408">
        <v>79</v>
      </c>
      <c r="J242" s="408">
        <v>80</v>
      </c>
      <c r="K242" s="408">
        <v>81</v>
      </c>
      <c r="L242" s="408">
        <v>82</v>
      </c>
      <c r="M242" s="158">
        <f t="shared" si="6"/>
        <v>78.63</v>
      </c>
      <c r="O242" s="158" t="s">
        <v>621</v>
      </c>
      <c r="P242" s="158">
        <f t="shared" si="7"/>
        <v>1</v>
      </c>
    </row>
    <row r="243" spans="1:16">
      <c r="A243" s="158" t="s">
        <v>595</v>
      </c>
      <c r="B243" s="158" t="s">
        <v>161</v>
      </c>
      <c r="C243" s="158" t="s">
        <v>162</v>
      </c>
      <c r="D243" s="407">
        <v>14</v>
      </c>
      <c r="E243" s="408">
        <v>14</v>
      </c>
      <c r="F243" s="408">
        <v>12</v>
      </c>
      <c r="G243" s="408">
        <v>12</v>
      </c>
      <c r="H243" s="408">
        <v>12</v>
      </c>
      <c r="I243" s="408">
        <v>14</v>
      </c>
      <c r="J243" s="408">
        <v>13</v>
      </c>
      <c r="K243" s="408">
        <v>13</v>
      </c>
      <c r="L243" s="408">
        <v>13</v>
      </c>
      <c r="M243" s="158">
        <f t="shared" si="6"/>
        <v>12.88</v>
      </c>
      <c r="O243" s="158" t="s">
        <v>801</v>
      </c>
      <c r="P243" s="158">
        <f t="shared" si="7"/>
        <v>1</v>
      </c>
    </row>
    <row r="244" spans="1:16">
      <c r="A244" s="158" t="s">
        <v>594</v>
      </c>
      <c r="B244" s="158" t="s">
        <v>295</v>
      </c>
      <c r="C244" s="158" t="s">
        <v>296</v>
      </c>
      <c r="D244" s="407">
        <v>1</v>
      </c>
      <c r="E244" s="408">
        <v>1</v>
      </c>
      <c r="F244" s="408">
        <v>1</v>
      </c>
      <c r="G244" s="408">
        <v>1</v>
      </c>
      <c r="H244" s="408">
        <v>1</v>
      </c>
      <c r="I244" s="408">
        <v>1</v>
      </c>
      <c r="J244" s="408">
        <v>1</v>
      </c>
      <c r="K244" s="408">
        <v>1</v>
      </c>
      <c r="L244" s="408">
        <v>1</v>
      </c>
      <c r="M244" s="158">
        <f t="shared" si="6"/>
        <v>1</v>
      </c>
      <c r="O244" s="158" t="s">
        <v>801</v>
      </c>
      <c r="P244" s="158">
        <f t="shared" si="7"/>
        <v>1</v>
      </c>
    </row>
    <row r="245" spans="1:16">
      <c r="A245" s="158" t="s">
        <v>603</v>
      </c>
      <c r="B245" s="158" t="s">
        <v>422</v>
      </c>
      <c r="C245" s="158" t="s">
        <v>423</v>
      </c>
      <c r="D245" s="407">
        <v>1090</v>
      </c>
      <c r="E245" s="408">
        <v>1141</v>
      </c>
      <c r="F245" s="408">
        <v>1151</v>
      </c>
      <c r="G245" s="408">
        <v>1155</v>
      </c>
      <c r="H245" s="408">
        <v>1162</v>
      </c>
      <c r="I245" s="408">
        <v>1194</v>
      </c>
      <c r="J245" s="408">
        <v>1192</v>
      </c>
      <c r="K245" s="408">
        <v>1208</v>
      </c>
      <c r="L245" s="408">
        <v>1214</v>
      </c>
      <c r="M245" s="158">
        <f t="shared" si="6"/>
        <v>1177.1300000000001</v>
      </c>
      <c r="O245" s="158" t="s">
        <v>621</v>
      </c>
      <c r="P245" s="158">
        <f t="shared" si="7"/>
        <v>1</v>
      </c>
    </row>
    <row r="246" spans="1:16">
      <c r="A246" s="158" t="s">
        <v>603</v>
      </c>
      <c r="B246" s="158" t="s">
        <v>280</v>
      </c>
      <c r="C246" s="158" t="s">
        <v>281</v>
      </c>
      <c r="D246" s="407">
        <v>0</v>
      </c>
      <c r="E246" s="408">
        <v>0</v>
      </c>
      <c r="F246" s="408">
        <v>0</v>
      </c>
      <c r="G246" s="408">
        <v>0</v>
      </c>
      <c r="H246" s="408">
        <v>0</v>
      </c>
      <c r="I246" s="408">
        <v>0</v>
      </c>
      <c r="J246" s="408">
        <v>0</v>
      </c>
      <c r="K246" s="408">
        <v>0</v>
      </c>
      <c r="L246" s="408">
        <v>0</v>
      </c>
      <c r="M246" s="158">
        <f t="shared" si="6"/>
        <v>0</v>
      </c>
      <c r="O246" s="158" t="s">
        <v>801</v>
      </c>
      <c r="P246" s="158">
        <f t="shared" si="7"/>
        <v>0</v>
      </c>
    </row>
    <row r="247" spans="1:16">
      <c r="A247" s="158" t="s">
        <v>603</v>
      </c>
      <c r="B247" s="158" t="s">
        <v>539</v>
      </c>
      <c r="C247" s="158" t="s">
        <v>540</v>
      </c>
      <c r="D247" s="407">
        <v>0</v>
      </c>
      <c r="E247" s="408">
        <v>0</v>
      </c>
      <c r="F247" s="408">
        <v>0</v>
      </c>
      <c r="G247" s="408">
        <v>0</v>
      </c>
      <c r="H247" s="408">
        <v>0</v>
      </c>
      <c r="I247" s="408">
        <v>0</v>
      </c>
      <c r="J247" s="408">
        <v>0</v>
      </c>
      <c r="K247" s="408">
        <v>0</v>
      </c>
      <c r="L247" s="408">
        <v>0</v>
      </c>
      <c r="M247" s="158">
        <f t="shared" si="6"/>
        <v>0</v>
      </c>
      <c r="O247" s="158" t="s">
        <v>801</v>
      </c>
      <c r="P247" s="158">
        <f t="shared" si="7"/>
        <v>0</v>
      </c>
    </row>
    <row r="248" spans="1:16">
      <c r="A248" s="158" t="s">
        <v>595</v>
      </c>
      <c r="B248" s="158" t="s">
        <v>421</v>
      </c>
      <c r="C248" s="158" t="s">
        <v>616</v>
      </c>
      <c r="D248" s="407">
        <v>68</v>
      </c>
      <c r="E248" s="408">
        <v>79</v>
      </c>
      <c r="F248" s="408">
        <v>82</v>
      </c>
      <c r="G248" s="408">
        <v>82</v>
      </c>
      <c r="H248" s="408">
        <v>82</v>
      </c>
      <c r="I248" s="408">
        <v>82</v>
      </c>
      <c r="J248" s="408">
        <v>83</v>
      </c>
      <c r="K248" s="408">
        <v>83</v>
      </c>
      <c r="L248" s="408">
        <v>87</v>
      </c>
      <c r="M248" s="158">
        <f t="shared" si="6"/>
        <v>82.5</v>
      </c>
      <c r="O248" s="158" t="s">
        <v>621</v>
      </c>
      <c r="P248" s="158">
        <f t="shared" si="7"/>
        <v>1</v>
      </c>
    </row>
    <row r="249" spans="1:16">
      <c r="A249" s="158" t="s">
        <v>596</v>
      </c>
      <c r="B249" s="158" t="s">
        <v>108</v>
      </c>
      <c r="C249" s="158" t="s">
        <v>109</v>
      </c>
      <c r="D249" s="407">
        <v>0</v>
      </c>
      <c r="E249" s="408">
        <v>0</v>
      </c>
      <c r="F249" s="408">
        <v>0</v>
      </c>
      <c r="G249" s="408">
        <v>0</v>
      </c>
      <c r="H249" s="408">
        <v>0</v>
      </c>
      <c r="I249" s="408">
        <v>0</v>
      </c>
      <c r="J249" s="408">
        <v>0</v>
      </c>
      <c r="K249" s="408">
        <v>0</v>
      </c>
      <c r="L249" s="408">
        <v>0</v>
      </c>
      <c r="M249" s="158">
        <f t="shared" si="6"/>
        <v>0</v>
      </c>
      <c r="O249" s="158" t="s">
        <v>801</v>
      </c>
      <c r="P249" s="158">
        <f t="shared" si="7"/>
        <v>0</v>
      </c>
    </row>
    <row r="250" spans="1:16">
      <c r="A250" s="158" t="s">
        <v>596</v>
      </c>
      <c r="B250" s="158" t="s">
        <v>68</v>
      </c>
      <c r="C250" s="158" t="s">
        <v>69</v>
      </c>
      <c r="D250" s="407">
        <v>0</v>
      </c>
      <c r="E250" s="408">
        <v>0</v>
      </c>
      <c r="F250" s="408">
        <v>0</v>
      </c>
      <c r="G250" s="408">
        <v>0</v>
      </c>
      <c r="H250" s="408">
        <v>0</v>
      </c>
      <c r="I250" s="408">
        <v>0</v>
      </c>
      <c r="J250" s="408">
        <v>0</v>
      </c>
      <c r="K250" s="408">
        <v>0</v>
      </c>
      <c r="L250" s="408">
        <v>0</v>
      </c>
      <c r="M250" s="158">
        <f t="shared" si="6"/>
        <v>0</v>
      </c>
      <c r="O250" s="158" t="s">
        <v>801</v>
      </c>
      <c r="P250" s="158">
        <f t="shared" si="7"/>
        <v>0</v>
      </c>
    </row>
    <row r="251" spans="1:16">
      <c r="A251" s="158" t="s">
        <v>601</v>
      </c>
      <c r="B251" s="158" t="s">
        <v>27</v>
      </c>
      <c r="C251" s="158" t="s">
        <v>28</v>
      </c>
      <c r="D251" s="407">
        <v>0</v>
      </c>
      <c r="E251" s="408">
        <v>0</v>
      </c>
      <c r="F251" s="408">
        <v>0</v>
      </c>
      <c r="G251" s="408">
        <v>0</v>
      </c>
      <c r="H251" s="408">
        <v>0</v>
      </c>
      <c r="I251" s="408">
        <v>0</v>
      </c>
      <c r="J251" s="408">
        <v>0</v>
      </c>
      <c r="K251" s="408">
        <v>0</v>
      </c>
      <c r="L251" s="408">
        <v>0</v>
      </c>
      <c r="M251" s="158">
        <f t="shared" si="6"/>
        <v>0</v>
      </c>
      <c r="O251" s="158" t="s">
        <v>801</v>
      </c>
      <c r="P251" s="158">
        <f t="shared" si="7"/>
        <v>0</v>
      </c>
    </row>
    <row r="252" spans="1:16">
      <c r="A252" s="158" t="s">
        <v>597</v>
      </c>
      <c r="B252" s="158" t="s">
        <v>342</v>
      </c>
      <c r="C252" s="158" t="s">
        <v>617</v>
      </c>
      <c r="D252" s="407">
        <v>52</v>
      </c>
      <c r="E252" s="408">
        <v>78</v>
      </c>
      <c r="F252" s="408">
        <v>76</v>
      </c>
      <c r="G252" s="408">
        <v>76</v>
      </c>
      <c r="H252" s="408">
        <v>75</v>
      </c>
      <c r="I252" s="408">
        <v>72</v>
      </c>
      <c r="J252" s="408">
        <v>74</v>
      </c>
      <c r="K252" s="408">
        <v>71</v>
      </c>
      <c r="L252" s="408">
        <v>69</v>
      </c>
      <c r="M252" s="158">
        <f t="shared" si="6"/>
        <v>73.88</v>
      </c>
      <c r="O252" s="158" t="s">
        <v>621</v>
      </c>
      <c r="P252" s="158">
        <f t="shared" si="7"/>
        <v>1</v>
      </c>
    </row>
    <row r="253" spans="1:16">
      <c r="A253" s="158" t="s">
        <v>603</v>
      </c>
      <c r="B253" s="158" t="s">
        <v>531</v>
      </c>
      <c r="C253" s="158" t="s">
        <v>532</v>
      </c>
      <c r="D253" s="407">
        <v>0</v>
      </c>
      <c r="E253" s="408">
        <v>0</v>
      </c>
      <c r="F253" s="408">
        <v>0</v>
      </c>
      <c r="G253" s="408">
        <v>0</v>
      </c>
      <c r="H253" s="408">
        <v>0</v>
      </c>
      <c r="I253" s="408">
        <v>0</v>
      </c>
      <c r="J253" s="408">
        <v>0</v>
      </c>
      <c r="K253" s="408">
        <v>0</v>
      </c>
      <c r="L253" s="408">
        <v>0</v>
      </c>
      <c r="M253" s="158">
        <f t="shared" si="6"/>
        <v>0</v>
      </c>
      <c r="O253" s="158" t="s">
        <v>801</v>
      </c>
      <c r="P253" s="158">
        <f t="shared" si="7"/>
        <v>0</v>
      </c>
    </row>
    <row r="254" spans="1:16">
      <c r="A254" s="158" t="s">
        <v>599</v>
      </c>
      <c r="B254" s="158" t="s">
        <v>393</v>
      </c>
      <c r="C254" s="158" t="s">
        <v>394</v>
      </c>
      <c r="D254" s="407">
        <v>17</v>
      </c>
      <c r="E254" s="408">
        <v>21</v>
      </c>
      <c r="F254" s="408">
        <v>20</v>
      </c>
      <c r="G254" s="408">
        <v>20</v>
      </c>
      <c r="H254" s="408">
        <v>20</v>
      </c>
      <c r="I254" s="408">
        <v>20</v>
      </c>
      <c r="J254" s="408">
        <v>20</v>
      </c>
      <c r="K254" s="408">
        <v>20</v>
      </c>
      <c r="L254" s="408">
        <v>21</v>
      </c>
      <c r="M254" s="158">
        <f t="shared" si="6"/>
        <v>20.25</v>
      </c>
      <c r="O254" s="158" t="s">
        <v>621</v>
      </c>
      <c r="P254" s="158">
        <f t="shared" si="7"/>
        <v>1</v>
      </c>
    </row>
    <row r="255" spans="1:16">
      <c r="A255" s="158" t="s">
        <v>595</v>
      </c>
      <c r="B255" s="158" t="s">
        <v>415</v>
      </c>
      <c r="C255" s="158" t="s">
        <v>416</v>
      </c>
      <c r="D255" s="407">
        <v>104</v>
      </c>
      <c r="E255" s="408">
        <v>104</v>
      </c>
      <c r="F255" s="408">
        <v>103</v>
      </c>
      <c r="G255" s="408">
        <v>103</v>
      </c>
      <c r="H255" s="408">
        <v>110</v>
      </c>
      <c r="I255" s="408">
        <v>106</v>
      </c>
      <c r="J255" s="408">
        <v>100</v>
      </c>
      <c r="K255" s="408">
        <v>105</v>
      </c>
      <c r="L255" s="408">
        <v>103</v>
      </c>
      <c r="M255" s="158">
        <f t="shared" si="6"/>
        <v>104.25</v>
      </c>
      <c r="O255" s="158" t="s">
        <v>621</v>
      </c>
      <c r="P255" s="158">
        <f t="shared" si="7"/>
        <v>1</v>
      </c>
    </row>
    <row r="256" spans="1:16">
      <c r="A256" s="158" t="s">
        <v>603</v>
      </c>
      <c r="B256" s="158" t="s">
        <v>460</v>
      </c>
      <c r="C256" s="158" t="s">
        <v>461</v>
      </c>
      <c r="D256" s="407">
        <v>0</v>
      </c>
      <c r="E256" s="408">
        <v>0</v>
      </c>
      <c r="F256" s="408">
        <v>0</v>
      </c>
      <c r="G256" s="408">
        <v>0</v>
      </c>
      <c r="H256" s="408">
        <v>0</v>
      </c>
      <c r="I256" s="408">
        <v>0</v>
      </c>
      <c r="J256" s="408">
        <v>0</v>
      </c>
      <c r="K256" s="408">
        <v>0</v>
      </c>
      <c r="L256" s="408">
        <v>0</v>
      </c>
      <c r="M256" s="158">
        <f t="shared" si="6"/>
        <v>0</v>
      </c>
      <c r="O256" s="158" t="s">
        <v>801</v>
      </c>
      <c r="P256" s="158">
        <f t="shared" si="7"/>
        <v>0</v>
      </c>
    </row>
    <row r="257" spans="1:16">
      <c r="A257" s="158" t="s">
        <v>597</v>
      </c>
      <c r="B257" s="158" t="s">
        <v>351</v>
      </c>
      <c r="C257" s="158" t="s">
        <v>352</v>
      </c>
      <c r="D257" s="407">
        <v>178</v>
      </c>
      <c r="E257" s="408">
        <v>217</v>
      </c>
      <c r="F257" s="408">
        <v>220</v>
      </c>
      <c r="G257" s="408">
        <v>222</v>
      </c>
      <c r="H257" s="408">
        <v>219</v>
      </c>
      <c r="I257" s="408">
        <v>220</v>
      </c>
      <c r="J257" s="408">
        <v>215</v>
      </c>
      <c r="K257" s="408">
        <v>214</v>
      </c>
      <c r="L257" s="408">
        <v>211</v>
      </c>
      <c r="M257" s="158">
        <f t="shared" si="6"/>
        <v>217.25</v>
      </c>
      <c r="O257" s="158" t="s">
        <v>621</v>
      </c>
      <c r="P257" s="158">
        <f t="shared" si="7"/>
        <v>1</v>
      </c>
    </row>
    <row r="258" spans="1:16">
      <c r="A258" s="158" t="s">
        <v>605</v>
      </c>
      <c r="B258" s="158" t="s">
        <v>557</v>
      </c>
      <c r="C258" s="158" t="s">
        <v>558</v>
      </c>
      <c r="D258" s="407">
        <v>1577</v>
      </c>
      <c r="E258" s="408">
        <v>1689</v>
      </c>
      <c r="F258" s="408">
        <v>1687</v>
      </c>
      <c r="G258" s="408">
        <v>1683</v>
      </c>
      <c r="H258" s="408">
        <v>1678</v>
      </c>
      <c r="I258" s="408">
        <v>1689</v>
      </c>
      <c r="J258" s="408">
        <v>1693</v>
      </c>
      <c r="K258" s="408">
        <v>1682</v>
      </c>
      <c r="L258" s="408">
        <v>1692</v>
      </c>
      <c r="M258" s="158">
        <f t="shared" si="6"/>
        <v>1686.63</v>
      </c>
      <c r="O258" s="158" t="s">
        <v>621</v>
      </c>
      <c r="P258" s="158">
        <f t="shared" si="7"/>
        <v>1</v>
      </c>
    </row>
    <row r="259" spans="1:16">
      <c r="A259" s="158" t="s">
        <v>597</v>
      </c>
      <c r="B259" s="158" t="s">
        <v>345</v>
      </c>
      <c r="C259" s="158" t="s">
        <v>346</v>
      </c>
      <c r="D259" s="407">
        <v>1923</v>
      </c>
      <c r="E259" s="408">
        <v>1970</v>
      </c>
      <c r="F259" s="408">
        <v>1982</v>
      </c>
      <c r="G259" s="408">
        <v>1988</v>
      </c>
      <c r="H259" s="408">
        <v>1985</v>
      </c>
      <c r="I259" s="408">
        <v>1990</v>
      </c>
      <c r="J259" s="408">
        <v>2010</v>
      </c>
      <c r="K259" s="408">
        <v>2112</v>
      </c>
      <c r="L259" s="408">
        <v>2113</v>
      </c>
      <c r="M259" s="158">
        <f t="shared" si="6"/>
        <v>2018.75</v>
      </c>
      <c r="O259" s="158" t="s">
        <v>621</v>
      </c>
      <c r="P259" s="158">
        <f t="shared" si="7"/>
        <v>1</v>
      </c>
    </row>
    <row r="260" spans="1:16">
      <c r="A260" s="158" t="s">
        <v>594</v>
      </c>
      <c r="B260" s="158" t="s">
        <v>143</v>
      </c>
      <c r="C260" s="158" t="s">
        <v>144</v>
      </c>
      <c r="D260" s="407">
        <v>0</v>
      </c>
      <c r="E260" s="408">
        <v>0</v>
      </c>
      <c r="F260" s="408">
        <v>0</v>
      </c>
      <c r="G260" s="408">
        <v>0</v>
      </c>
      <c r="H260" s="408">
        <v>0</v>
      </c>
      <c r="I260" s="408">
        <v>0</v>
      </c>
      <c r="J260" s="408">
        <v>0</v>
      </c>
      <c r="K260" s="408">
        <v>0</v>
      </c>
      <c r="L260" s="408">
        <v>0</v>
      </c>
      <c r="M260" s="158">
        <f t="shared" si="6"/>
        <v>0</v>
      </c>
      <c r="O260" s="158" t="s">
        <v>801</v>
      </c>
      <c r="P260" s="158">
        <f t="shared" si="7"/>
        <v>0</v>
      </c>
    </row>
    <row r="261" spans="1:16">
      <c r="A261" s="158" t="s">
        <v>597</v>
      </c>
      <c r="B261" s="158" t="s">
        <v>197</v>
      </c>
      <c r="C261" s="158" t="s">
        <v>198</v>
      </c>
      <c r="D261" s="407">
        <v>119</v>
      </c>
      <c r="E261" s="408">
        <v>119</v>
      </c>
      <c r="F261" s="408">
        <v>119</v>
      </c>
      <c r="G261" s="408">
        <v>118</v>
      </c>
      <c r="H261" s="408">
        <v>117</v>
      </c>
      <c r="I261" s="408">
        <v>117</v>
      </c>
      <c r="J261" s="408">
        <v>115</v>
      </c>
      <c r="K261" s="408">
        <v>117</v>
      </c>
      <c r="L261" s="408">
        <v>120</v>
      </c>
      <c r="M261" s="158">
        <f t="shared" si="6"/>
        <v>117.75</v>
      </c>
      <c r="O261" s="158" t="s">
        <v>621</v>
      </c>
      <c r="P261" s="158">
        <f t="shared" si="7"/>
        <v>1</v>
      </c>
    </row>
    <row r="262" spans="1:16">
      <c r="A262" s="158" t="s">
        <v>603</v>
      </c>
      <c r="B262" s="158" t="s">
        <v>521</v>
      </c>
      <c r="C262" s="158" t="s">
        <v>522</v>
      </c>
      <c r="D262" s="407">
        <v>0</v>
      </c>
      <c r="E262" s="408">
        <v>0</v>
      </c>
      <c r="F262" s="408">
        <v>0</v>
      </c>
      <c r="G262" s="408">
        <v>0</v>
      </c>
      <c r="H262" s="408">
        <v>0</v>
      </c>
      <c r="I262" s="408">
        <v>0</v>
      </c>
      <c r="J262" s="408">
        <v>0</v>
      </c>
      <c r="K262" s="408">
        <v>0</v>
      </c>
      <c r="L262" s="408">
        <v>0</v>
      </c>
      <c r="M262" s="158">
        <f t="shared" si="6"/>
        <v>0</v>
      </c>
      <c r="O262" s="158" t="s">
        <v>801</v>
      </c>
      <c r="P262" s="158">
        <f t="shared" si="7"/>
        <v>0</v>
      </c>
    </row>
    <row r="263" spans="1:16">
      <c r="A263" s="158" t="s">
        <v>594</v>
      </c>
      <c r="B263" s="158" t="s">
        <v>486</v>
      </c>
      <c r="C263" s="158" t="s">
        <v>487</v>
      </c>
      <c r="D263" s="407">
        <v>14</v>
      </c>
      <c r="E263" s="408">
        <v>17</v>
      </c>
      <c r="F263" s="408">
        <v>15</v>
      </c>
      <c r="G263" s="408">
        <v>13</v>
      </c>
      <c r="H263" s="408">
        <v>13</v>
      </c>
      <c r="I263" s="408">
        <v>13</v>
      </c>
      <c r="J263" s="408">
        <v>13</v>
      </c>
      <c r="K263" s="408">
        <v>13</v>
      </c>
      <c r="L263" s="408">
        <v>13</v>
      </c>
      <c r="M263" s="158">
        <f t="shared" si="6"/>
        <v>13.75</v>
      </c>
      <c r="O263" s="158" t="s">
        <v>621</v>
      </c>
      <c r="P263" s="158">
        <f t="shared" si="7"/>
        <v>1</v>
      </c>
    </row>
    <row r="264" spans="1:16">
      <c r="A264" s="158" t="s">
        <v>605</v>
      </c>
      <c r="B264" s="158" t="s">
        <v>224</v>
      </c>
      <c r="C264" s="158" t="s">
        <v>225</v>
      </c>
      <c r="D264" s="407">
        <v>0</v>
      </c>
      <c r="E264" s="408">
        <v>0</v>
      </c>
      <c r="F264" s="408">
        <v>0</v>
      </c>
      <c r="G264" s="408">
        <v>0</v>
      </c>
      <c r="H264" s="408">
        <v>0</v>
      </c>
      <c r="I264" s="408">
        <v>0</v>
      </c>
      <c r="J264" s="408">
        <v>0</v>
      </c>
      <c r="K264" s="408">
        <v>0</v>
      </c>
      <c r="L264" s="408">
        <v>0</v>
      </c>
      <c r="M264" s="158">
        <f t="shared" si="6"/>
        <v>0</v>
      </c>
      <c r="O264" s="158" t="s">
        <v>801</v>
      </c>
      <c r="P264" s="158">
        <f t="shared" si="7"/>
        <v>0</v>
      </c>
    </row>
    <row r="265" spans="1:16">
      <c r="A265" s="158" t="s">
        <v>594</v>
      </c>
      <c r="B265" s="158" t="s">
        <v>268</v>
      </c>
      <c r="C265" s="158" t="s">
        <v>269</v>
      </c>
      <c r="D265" s="407">
        <v>21</v>
      </c>
      <c r="E265" s="408">
        <v>21</v>
      </c>
      <c r="F265" s="408">
        <v>22</v>
      </c>
      <c r="G265" s="408">
        <v>22</v>
      </c>
      <c r="H265" s="408">
        <v>20</v>
      </c>
      <c r="I265" s="408">
        <v>20</v>
      </c>
      <c r="J265" s="408">
        <v>20</v>
      </c>
      <c r="K265" s="408">
        <v>20</v>
      </c>
      <c r="L265" s="408">
        <v>20</v>
      </c>
      <c r="M265" s="158">
        <f t="shared" ref="M265:M303" si="8">ROUND(SUM(E265:L265)/8,2)</f>
        <v>20.63</v>
      </c>
      <c r="O265" s="158" t="s">
        <v>621</v>
      </c>
      <c r="P265" s="158">
        <f t="shared" ref="P265:P303" si="9">IF(M265&gt;0,1,0)</f>
        <v>1</v>
      </c>
    </row>
    <row r="266" spans="1:16">
      <c r="A266" s="158" t="s">
        <v>601</v>
      </c>
      <c r="B266" s="158" t="s">
        <v>321</v>
      </c>
      <c r="C266" s="158" t="s">
        <v>322</v>
      </c>
      <c r="D266" s="407">
        <v>115</v>
      </c>
      <c r="E266" s="408">
        <v>117</v>
      </c>
      <c r="F266" s="408">
        <v>124</v>
      </c>
      <c r="G266" s="408">
        <v>114</v>
      </c>
      <c r="H266" s="408">
        <v>112</v>
      </c>
      <c r="I266" s="408">
        <v>114</v>
      </c>
      <c r="J266" s="408">
        <v>113</v>
      </c>
      <c r="K266" s="408">
        <v>115</v>
      </c>
      <c r="L266" s="408">
        <v>113</v>
      </c>
      <c r="M266" s="158">
        <f t="shared" si="8"/>
        <v>115.25</v>
      </c>
      <c r="O266" s="158" t="s">
        <v>621</v>
      </c>
      <c r="P266" s="158">
        <f t="shared" si="9"/>
        <v>1</v>
      </c>
    </row>
    <row r="267" spans="1:16">
      <c r="A267" s="158" t="s">
        <v>605</v>
      </c>
      <c r="B267" s="158" t="s">
        <v>559</v>
      </c>
      <c r="C267" s="158" t="s">
        <v>560</v>
      </c>
      <c r="D267" s="407">
        <v>936</v>
      </c>
      <c r="E267" s="408">
        <v>1201</v>
      </c>
      <c r="F267" s="408">
        <v>1208</v>
      </c>
      <c r="G267" s="408">
        <v>1200</v>
      </c>
      <c r="H267" s="408">
        <v>1208</v>
      </c>
      <c r="I267" s="408">
        <v>1197</v>
      </c>
      <c r="J267" s="408">
        <v>1193</v>
      </c>
      <c r="K267" s="408">
        <v>1163</v>
      </c>
      <c r="L267" s="408">
        <v>1211</v>
      </c>
      <c r="M267" s="158">
        <f t="shared" si="8"/>
        <v>1197.6300000000001</v>
      </c>
      <c r="O267" s="158" t="s">
        <v>621</v>
      </c>
      <c r="P267" s="158">
        <f t="shared" si="9"/>
        <v>1</v>
      </c>
    </row>
    <row r="268" spans="1:16">
      <c r="A268" s="158" t="s">
        <v>596</v>
      </c>
      <c r="B268" s="158" t="s">
        <v>496</v>
      </c>
      <c r="C268" s="158" t="s">
        <v>497</v>
      </c>
      <c r="D268" s="407">
        <v>19</v>
      </c>
      <c r="E268" s="408">
        <v>19</v>
      </c>
      <c r="F268" s="408">
        <v>19</v>
      </c>
      <c r="G268" s="408">
        <v>18</v>
      </c>
      <c r="H268" s="408">
        <v>16</v>
      </c>
      <c r="I268" s="408">
        <v>14</v>
      </c>
      <c r="J268" s="408">
        <v>16</v>
      </c>
      <c r="K268" s="408">
        <v>16</v>
      </c>
      <c r="L268" s="408">
        <v>16</v>
      </c>
      <c r="M268" s="158">
        <f t="shared" si="8"/>
        <v>16.75</v>
      </c>
      <c r="O268" s="158" t="s">
        <v>621</v>
      </c>
      <c r="P268" s="158">
        <f t="shared" si="9"/>
        <v>1</v>
      </c>
    </row>
    <row r="269" spans="1:16">
      <c r="A269" s="158" t="s">
        <v>599</v>
      </c>
      <c r="B269" s="158" t="s">
        <v>72</v>
      </c>
      <c r="C269" s="158" t="s">
        <v>73</v>
      </c>
      <c r="D269" s="407">
        <v>0</v>
      </c>
      <c r="E269" s="408">
        <v>0</v>
      </c>
      <c r="F269" s="408">
        <v>0</v>
      </c>
      <c r="G269" s="408">
        <v>0</v>
      </c>
      <c r="H269" s="408">
        <v>0</v>
      </c>
      <c r="I269" s="408">
        <v>0</v>
      </c>
      <c r="J269" s="408">
        <v>0</v>
      </c>
      <c r="K269" s="408">
        <v>0</v>
      </c>
      <c r="L269" s="408">
        <v>0</v>
      </c>
      <c r="M269" s="158">
        <f t="shared" si="8"/>
        <v>0</v>
      </c>
      <c r="O269" s="158" t="s">
        <v>801</v>
      </c>
      <c r="P269" s="158">
        <f t="shared" si="9"/>
        <v>0</v>
      </c>
    </row>
    <row r="270" spans="1:16">
      <c r="A270" s="158" t="s">
        <v>599</v>
      </c>
      <c r="B270" s="158" t="s">
        <v>238</v>
      </c>
      <c r="C270" s="158" t="s">
        <v>239</v>
      </c>
      <c r="D270" s="407">
        <v>0</v>
      </c>
      <c r="E270" s="408">
        <v>0</v>
      </c>
      <c r="F270" s="408">
        <v>0</v>
      </c>
      <c r="G270" s="408">
        <v>0</v>
      </c>
      <c r="H270" s="408">
        <v>0</v>
      </c>
      <c r="I270" s="408">
        <v>0</v>
      </c>
      <c r="J270" s="408">
        <v>0</v>
      </c>
      <c r="K270" s="408">
        <v>0</v>
      </c>
      <c r="L270" s="408">
        <v>0</v>
      </c>
      <c r="M270" s="158">
        <f t="shared" si="8"/>
        <v>0</v>
      </c>
      <c r="O270" s="158" t="s">
        <v>801</v>
      </c>
      <c r="P270" s="158">
        <f t="shared" si="9"/>
        <v>0</v>
      </c>
    </row>
    <row r="271" spans="1:16">
      <c r="A271" s="158" t="s">
        <v>597</v>
      </c>
      <c r="B271" s="158" t="s">
        <v>191</v>
      </c>
      <c r="C271" s="158" t="s">
        <v>192</v>
      </c>
      <c r="D271" s="407">
        <v>764</v>
      </c>
      <c r="E271" s="408">
        <v>982</v>
      </c>
      <c r="F271" s="408">
        <v>980</v>
      </c>
      <c r="G271" s="408">
        <v>991</v>
      </c>
      <c r="H271" s="408">
        <v>993</v>
      </c>
      <c r="I271" s="408">
        <v>985</v>
      </c>
      <c r="J271" s="408">
        <v>994</v>
      </c>
      <c r="K271" s="408">
        <v>990</v>
      </c>
      <c r="L271" s="408">
        <v>985</v>
      </c>
      <c r="M271" s="158">
        <f t="shared" si="8"/>
        <v>987.5</v>
      </c>
      <c r="O271" s="158" t="s">
        <v>621</v>
      </c>
      <c r="P271" s="158">
        <f t="shared" si="9"/>
        <v>1</v>
      </c>
    </row>
    <row r="272" spans="1:16">
      <c r="A272" s="158" t="s">
        <v>594</v>
      </c>
      <c r="B272" s="158" t="s">
        <v>476</v>
      </c>
      <c r="C272" s="158" t="s">
        <v>477</v>
      </c>
      <c r="D272" s="407">
        <v>68</v>
      </c>
      <c r="E272" s="408">
        <v>104</v>
      </c>
      <c r="F272" s="408">
        <v>102</v>
      </c>
      <c r="G272" s="408">
        <v>105</v>
      </c>
      <c r="H272" s="408">
        <v>106</v>
      </c>
      <c r="I272" s="408">
        <v>99</v>
      </c>
      <c r="J272" s="408">
        <v>95</v>
      </c>
      <c r="K272" s="408">
        <v>99</v>
      </c>
      <c r="L272" s="408">
        <v>99</v>
      </c>
      <c r="M272" s="158">
        <f t="shared" si="8"/>
        <v>101.13</v>
      </c>
      <c r="O272" s="158" t="s">
        <v>621</v>
      </c>
      <c r="P272" s="158">
        <f t="shared" si="9"/>
        <v>1</v>
      </c>
    </row>
    <row r="273" spans="1:16">
      <c r="A273" s="158" t="s">
        <v>605</v>
      </c>
      <c r="B273" s="158" t="s">
        <v>543</v>
      </c>
      <c r="C273" s="158" t="s">
        <v>544</v>
      </c>
      <c r="D273" s="407">
        <v>91</v>
      </c>
      <c r="E273" s="408">
        <v>140</v>
      </c>
      <c r="F273" s="408">
        <v>150</v>
      </c>
      <c r="G273" s="408">
        <v>144</v>
      </c>
      <c r="H273" s="408">
        <v>145</v>
      </c>
      <c r="I273" s="408">
        <v>145</v>
      </c>
      <c r="J273" s="408">
        <v>146</v>
      </c>
      <c r="K273" s="408">
        <v>144</v>
      </c>
      <c r="L273" s="408">
        <v>148</v>
      </c>
      <c r="M273" s="158">
        <f t="shared" si="8"/>
        <v>145.25</v>
      </c>
      <c r="O273" s="158" t="s">
        <v>621</v>
      </c>
      <c r="P273" s="158">
        <f t="shared" si="9"/>
        <v>1</v>
      </c>
    </row>
    <row r="274" spans="1:16">
      <c r="A274" s="158" t="s">
        <v>597</v>
      </c>
      <c r="B274" s="158" t="s">
        <v>349</v>
      </c>
      <c r="C274" s="158" t="s">
        <v>350</v>
      </c>
      <c r="D274" s="407">
        <v>79</v>
      </c>
      <c r="E274" s="408">
        <v>104</v>
      </c>
      <c r="F274" s="408">
        <v>107</v>
      </c>
      <c r="G274" s="408">
        <v>107</v>
      </c>
      <c r="H274" s="408">
        <v>106</v>
      </c>
      <c r="I274" s="408">
        <v>111</v>
      </c>
      <c r="J274" s="408">
        <v>115</v>
      </c>
      <c r="K274" s="408">
        <v>114</v>
      </c>
      <c r="L274" s="408">
        <v>115</v>
      </c>
      <c r="M274" s="158">
        <f t="shared" si="8"/>
        <v>109.88</v>
      </c>
      <c r="O274" s="158" t="s">
        <v>621</v>
      </c>
      <c r="P274" s="158">
        <f t="shared" si="9"/>
        <v>1</v>
      </c>
    </row>
    <row r="275" spans="1:16">
      <c r="A275" s="158" t="s">
        <v>603</v>
      </c>
      <c r="B275" s="158" t="s">
        <v>454</v>
      </c>
      <c r="C275" s="158" t="s">
        <v>455</v>
      </c>
      <c r="D275" s="407">
        <v>0</v>
      </c>
      <c r="E275" s="408">
        <v>0</v>
      </c>
      <c r="F275" s="408">
        <v>0</v>
      </c>
      <c r="G275" s="408">
        <v>0</v>
      </c>
      <c r="H275" s="408">
        <v>0</v>
      </c>
      <c r="I275" s="408">
        <v>0</v>
      </c>
      <c r="J275" s="408">
        <v>0</v>
      </c>
      <c r="K275" s="408">
        <v>0</v>
      </c>
      <c r="L275" s="408">
        <v>0</v>
      </c>
      <c r="M275" s="158">
        <f t="shared" si="8"/>
        <v>0</v>
      </c>
      <c r="O275" s="158" t="s">
        <v>801</v>
      </c>
      <c r="P275" s="158">
        <f t="shared" si="9"/>
        <v>0</v>
      </c>
    </row>
    <row r="276" spans="1:16">
      <c r="A276" s="158" t="s">
        <v>599</v>
      </c>
      <c r="B276" s="158" t="s">
        <v>49</v>
      </c>
      <c r="C276" s="158" t="s">
        <v>50</v>
      </c>
      <c r="D276" s="407">
        <v>1708</v>
      </c>
      <c r="E276" s="408">
        <v>1857</v>
      </c>
      <c r="F276" s="408">
        <v>1861</v>
      </c>
      <c r="G276" s="408">
        <v>1867</v>
      </c>
      <c r="H276" s="408">
        <v>1865</v>
      </c>
      <c r="I276" s="408">
        <v>1877</v>
      </c>
      <c r="J276" s="408">
        <v>1870</v>
      </c>
      <c r="K276" s="408">
        <v>1862</v>
      </c>
      <c r="L276" s="408">
        <v>1860</v>
      </c>
      <c r="M276" s="158">
        <f t="shared" si="8"/>
        <v>1864.88</v>
      </c>
      <c r="O276" s="158" t="s">
        <v>621</v>
      </c>
      <c r="P276" s="158">
        <f t="shared" si="9"/>
        <v>1</v>
      </c>
    </row>
    <row r="277" spans="1:16">
      <c r="A277" s="158" t="s">
        <v>597</v>
      </c>
      <c r="B277" s="158" t="s">
        <v>183</v>
      </c>
      <c r="C277" s="158" t="s">
        <v>184</v>
      </c>
      <c r="D277" s="407">
        <v>14</v>
      </c>
      <c r="E277" s="408">
        <v>19</v>
      </c>
      <c r="F277" s="408">
        <v>20</v>
      </c>
      <c r="G277" s="408">
        <v>19</v>
      </c>
      <c r="H277" s="408">
        <v>19</v>
      </c>
      <c r="I277" s="408">
        <v>19</v>
      </c>
      <c r="J277" s="408">
        <v>19</v>
      </c>
      <c r="K277" s="408">
        <v>17</v>
      </c>
      <c r="L277" s="408">
        <v>20</v>
      </c>
      <c r="M277" s="158">
        <f t="shared" si="8"/>
        <v>19</v>
      </c>
      <c r="O277" s="158" t="s">
        <v>621</v>
      </c>
      <c r="P277" s="158">
        <f t="shared" si="9"/>
        <v>1</v>
      </c>
    </row>
    <row r="278" spans="1:16">
      <c r="A278" s="158" t="s">
        <v>599</v>
      </c>
      <c r="B278" s="158" t="s">
        <v>488</v>
      </c>
      <c r="C278" s="158" t="s">
        <v>489</v>
      </c>
      <c r="D278" s="407">
        <v>9</v>
      </c>
      <c r="E278" s="408">
        <v>9</v>
      </c>
      <c r="F278" s="408">
        <v>16</v>
      </c>
      <c r="G278" s="408">
        <v>16</v>
      </c>
      <c r="H278" s="408">
        <v>16</v>
      </c>
      <c r="I278" s="408">
        <v>16</v>
      </c>
      <c r="J278" s="408">
        <v>16</v>
      </c>
      <c r="K278" s="408">
        <v>18</v>
      </c>
      <c r="L278" s="408">
        <v>18</v>
      </c>
      <c r="M278" s="158">
        <f t="shared" si="8"/>
        <v>15.63</v>
      </c>
      <c r="O278" s="158" t="s">
        <v>621</v>
      </c>
      <c r="P278" s="158">
        <f t="shared" si="9"/>
        <v>1</v>
      </c>
    </row>
    <row r="279" spans="1:16">
      <c r="A279" s="158" t="s">
        <v>605</v>
      </c>
      <c r="B279" s="158" t="s">
        <v>114</v>
      </c>
      <c r="C279" s="158" t="s">
        <v>115</v>
      </c>
      <c r="D279" s="407">
        <v>1050</v>
      </c>
      <c r="E279" s="408">
        <v>1254</v>
      </c>
      <c r="F279" s="408">
        <v>1216</v>
      </c>
      <c r="G279" s="408">
        <v>1183</v>
      </c>
      <c r="H279" s="408">
        <v>1168</v>
      </c>
      <c r="I279" s="408">
        <v>1198</v>
      </c>
      <c r="J279" s="408">
        <v>1190</v>
      </c>
      <c r="K279" s="408">
        <v>1198</v>
      </c>
      <c r="L279" s="408">
        <v>1197</v>
      </c>
      <c r="M279" s="158">
        <f t="shared" si="8"/>
        <v>1200.5</v>
      </c>
      <c r="O279" s="158" t="s">
        <v>621</v>
      </c>
      <c r="P279" s="158">
        <f t="shared" si="9"/>
        <v>1</v>
      </c>
    </row>
    <row r="280" spans="1:16">
      <c r="A280" s="158" t="s">
        <v>596</v>
      </c>
      <c r="B280" s="158" t="s">
        <v>500</v>
      </c>
      <c r="C280" s="158" t="s">
        <v>501</v>
      </c>
      <c r="D280" s="407">
        <v>0</v>
      </c>
      <c r="E280" s="408">
        <v>0</v>
      </c>
      <c r="F280" s="408">
        <v>0</v>
      </c>
      <c r="G280" s="408">
        <v>0</v>
      </c>
      <c r="H280" s="408">
        <v>0</v>
      </c>
      <c r="I280" s="408">
        <v>0</v>
      </c>
      <c r="J280" s="408">
        <v>0</v>
      </c>
      <c r="K280" s="408">
        <v>0</v>
      </c>
      <c r="L280" s="408">
        <v>0</v>
      </c>
      <c r="M280" s="158">
        <f t="shared" si="8"/>
        <v>0</v>
      </c>
      <c r="O280" s="158" t="s">
        <v>801</v>
      </c>
      <c r="P280" s="158">
        <f t="shared" si="9"/>
        <v>0</v>
      </c>
    </row>
    <row r="281" spans="1:16">
      <c r="A281" s="158" t="s">
        <v>596</v>
      </c>
      <c r="B281" s="158" t="s">
        <v>492</v>
      </c>
      <c r="C281" s="158" t="s">
        <v>493</v>
      </c>
      <c r="D281" s="407">
        <v>862</v>
      </c>
      <c r="E281" s="408">
        <v>779</v>
      </c>
      <c r="F281" s="408">
        <v>773</v>
      </c>
      <c r="G281" s="408">
        <v>771</v>
      </c>
      <c r="H281" s="408">
        <v>770</v>
      </c>
      <c r="I281" s="408">
        <v>768</v>
      </c>
      <c r="J281" s="408">
        <v>774</v>
      </c>
      <c r="K281" s="408">
        <v>776</v>
      </c>
      <c r="L281" s="408">
        <v>779</v>
      </c>
      <c r="M281" s="158">
        <f t="shared" si="8"/>
        <v>773.75</v>
      </c>
      <c r="O281" s="158" t="s">
        <v>621</v>
      </c>
      <c r="P281" s="158">
        <f t="shared" si="9"/>
        <v>1</v>
      </c>
    </row>
    <row r="282" spans="1:16">
      <c r="A282" s="158" t="s">
        <v>605</v>
      </c>
      <c r="B282" s="158" t="s">
        <v>567</v>
      </c>
      <c r="C282" s="158" t="s">
        <v>568</v>
      </c>
      <c r="D282" s="407">
        <v>767</v>
      </c>
      <c r="E282" s="408">
        <v>826</v>
      </c>
      <c r="F282" s="408">
        <v>845</v>
      </c>
      <c r="G282" s="408">
        <v>829</v>
      </c>
      <c r="H282" s="408">
        <v>802</v>
      </c>
      <c r="I282" s="408">
        <v>819</v>
      </c>
      <c r="J282" s="408">
        <v>808</v>
      </c>
      <c r="K282" s="408">
        <v>800</v>
      </c>
      <c r="L282" s="408">
        <v>800</v>
      </c>
      <c r="M282" s="158">
        <f t="shared" si="8"/>
        <v>816.13</v>
      </c>
      <c r="O282" s="158" t="s">
        <v>621</v>
      </c>
      <c r="P282" s="158">
        <f t="shared" si="9"/>
        <v>1</v>
      </c>
    </row>
    <row r="283" spans="1:16">
      <c r="A283" s="158" t="s">
        <v>601</v>
      </c>
      <c r="B283" s="158" t="s">
        <v>118</v>
      </c>
      <c r="C283" s="158" t="s">
        <v>119</v>
      </c>
      <c r="D283" s="407">
        <v>275</v>
      </c>
      <c r="E283" s="408">
        <v>298</v>
      </c>
      <c r="F283" s="408">
        <v>292</v>
      </c>
      <c r="G283" s="408">
        <v>292</v>
      </c>
      <c r="H283" s="408">
        <v>284</v>
      </c>
      <c r="I283" s="408">
        <v>287</v>
      </c>
      <c r="J283" s="408">
        <v>301</v>
      </c>
      <c r="K283" s="408">
        <v>315</v>
      </c>
      <c r="L283" s="408">
        <v>307</v>
      </c>
      <c r="M283" s="158">
        <f t="shared" si="8"/>
        <v>297</v>
      </c>
      <c r="O283" s="158" t="s">
        <v>621</v>
      </c>
      <c r="P283" s="158">
        <f t="shared" si="9"/>
        <v>1</v>
      </c>
    </row>
    <row r="284" spans="1:16">
      <c r="A284" s="158" t="s">
        <v>599</v>
      </c>
      <c r="B284" s="158" t="s">
        <v>56</v>
      </c>
      <c r="C284" s="158" t="s">
        <v>57</v>
      </c>
      <c r="D284" s="407">
        <v>39</v>
      </c>
      <c r="E284" s="408">
        <v>56</v>
      </c>
      <c r="F284" s="408">
        <v>58</v>
      </c>
      <c r="G284" s="408">
        <v>57</v>
      </c>
      <c r="H284" s="408">
        <v>56</v>
      </c>
      <c r="I284" s="408">
        <v>55</v>
      </c>
      <c r="J284" s="408">
        <v>54</v>
      </c>
      <c r="K284" s="408">
        <v>54</v>
      </c>
      <c r="L284" s="408">
        <v>52</v>
      </c>
      <c r="M284" s="158">
        <f t="shared" si="8"/>
        <v>55.25</v>
      </c>
      <c r="O284" s="158" t="s">
        <v>621</v>
      </c>
      <c r="P284" s="158">
        <f t="shared" si="9"/>
        <v>1</v>
      </c>
    </row>
    <row r="285" spans="1:16">
      <c r="A285" s="158" t="s">
        <v>603</v>
      </c>
      <c r="B285" s="158" t="s">
        <v>0</v>
      </c>
      <c r="C285" s="158" t="s">
        <v>1</v>
      </c>
      <c r="D285" s="407">
        <v>0</v>
      </c>
      <c r="E285" s="408">
        <v>0</v>
      </c>
      <c r="F285" s="408">
        <v>0</v>
      </c>
      <c r="G285" s="408">
        <v>0</v>
      </c>
      <c r="H285" s="408">
        <v>0</v>
      </c>
      <c r="I285" s="408">
        <v>0</v>
      </c>
      <c r="J285" s="408">
        <v>0</v>
      </c>
      <c r="K285" s="408">
        <v>0</v>
      </c>
      <c r="L285" s="408">
        <v>0</v>
      </c>
      <c r="M285" s="158">
        <f t="shared" si="8"/>
        <v>0</v>
      </c>
      <c r="O285" s="158" t="s">
        <v>801</v>
      </c>
      <c r="P285" s="158">
        <f t="shared" si="9"/>
        <v>0</v>
      </c>
    </row>
    <row r="286" spans="1:16">
      <c r="A286" s="158" t="s">
        <v>601</v>
      </c>
      <c r="B286" s="158" t="s">
        <v>92</v>
      </c>
      <c r="C286" s="158" t="s">
        <v>93</v>
      </c>
      <c r="D286" s="407">
        <v>13</v>
      </c>
      <c r="E286" s="408">
        <v>12</v>
      </c>
      <c r="F286" s="408">
        <v>14</v>
      </c>
      <c r="G286" s="408">
        <v>13</v>
      </c>
      <c r="H286" s="408">
        <v>13</v>
      </c>
      <c r="I286" s="408">
        <v>13</v>
      </c>
      <c r="J286" s="408">
        <v>13</v>
      </c>
      <c r="K286" s="408">
        <v>16</v>
      </c>
      <c r="L286" s="408">
        <v>17</v>
      </c>
      <c r="M286" s="158">
        <f t="shared" si="8"/>
        <v>13.88</v>
      </c>
      <c r="O286" s="158" t="s">
        <v>621</v>
      </c>
      <c r="P286" s="158">
        <f t="shared" si="9"/>
        <v>1</v>
      </c>
    </row>
    <row r="287" spans="1:16">
      <c r="A287" s="158" t="s">
        <v>603</v>
      </c>
      <c r="B287" s="158" t="s">
        <v>452</v>
      </c>
      <c r="C287" s="158" t="s">
        <v>453</v>
      </c>
      <c r="D287" s="407">
        <v>0</v>
      </c>
      <c r="E287" s="408">
        <v>0</v>
      </c>
      <c r="F287" s="408">
        <v>0</v>
      </c>
      <c r="G287" s="408">
        <v>0</v>
      </c>
      <c r="H287" s="408">
        <v>0</v>
      </c>
      <c r="I287" s="408">
        <v>0</v>
      </c>
      <c r="J287" s="408">
        <v>0</v>
      </c>
      <c r="K287" s="408">
        <v>0</v>
      </c>
      <c r="L287" s="408">
        <v>0</v>
      </c>
      <c r="M287" s="158">
        <f t="shared" si="8"/>
        <v>0</v>
      </c>
      <c r="O287" s="158" t="s">
        <v>801</v>
      </c>
      <c r="P287" s="158">
        <f t="shared" si="9"/>
        <v>0</v>
      </c>
    </row>
    <row r="288" spans="1:16">
      <c r="A288" s="158" t="s">
        <v>601</v>
      </c>
      <c r="B288" s="158" t="s">
        <v>37</v>
      </c>
      <c r="C288" s="158" t="s">
        <v>38</v>
      </c>
      <c r="D288" s="407">
        <v>1125</v>
      </c>
      <c r="E288" s="408">
        <v>1541</v>
      </c>
      <c r="F288" s="408">
        <v>1538</v>
      </c>
      <c r="G288" s="408">
        <v>1539</v>
      </c>
      <c r="H288" s="408">
        <v>1531</v>
      </c>
      <c r="I288" s="408">
        <v>1535</v>
      </c>
      <c r="J288" s="408">
        <v>1538</v>
      </c>
      <c r="K288" s="408">
        <v>1540</v>
      </c>
      <c r="L288" s="408">
        <v>1539</v>
      </c>
      <c r="M288" s="158">
        <f t="shared" si="8"/>
        <v>1537.63</v>
      </c>
      <c r="O288" s="158" t="s">
        <v>621</v>
      </c>
      <c r="P288" s="158">
        <f t="shared" si="9"/>
        <v>1</v>
      </c>
    </row>
    <row r="289" spans="1:16">
      <c r="A289" s="158" t="s">
        <v>603</v>
      </c>
      <c r="B289" s="158" t="s">
        <v>443</v>
      </c>
      <c r="C289" s="158" t="s">
        <v>618</v>
      </c>
      <c r="D289" s="407">
        <v>97</v>
      </c>
      <c r="E289" s="408">
        <v>95</v>
      </c>
      <c r="F289" s="408">
        <v>87</v>
      </c>
      <c r="G289" s="408">
        <v>95</v>
      </c>
      <c r="H289" s="408">
        <v>90</v>
      </c>
      <c r="I289" s="408">
        <v>91</v>
      </c>
      <c r="J289" s="408">
        <v>91</v>
      </c>
      <c r="K289" s="408">
        <v>92</v>
      </c>
      <c r="L289" s="408">
        <v>88</v>
      </c>
      <c r="M289" s="158">
        <f t="shared" si="8"/>
        <v>91.13</v>
      </c>
      <c r="O289" s="158" t="s">
        <v>621</v>
      </c>
      <c r="P289" s="158">
        <f t="shared" si="9"/>
        <v>1</v>
      </c>
    </row>
    <row r="290" spans="1:16">
      <c r="A290" s="158" t="s">
        <v>605</v>
      </c>
      <c r="B290" s="158" t="s">
        <v>569</v>
      </c>
      <c r="C290" s="158" t="s">
        <v>570</v>
      </c>
      <c r="D290" s="407">
        <v>49</v>
      </c>
      <c r="E290" s="408">
        <v>56</v>
      </c>
      <c r="F290" s="408">
        <v>55</v>
      </c>
      <c r="G290" s="408">
        <v>67</v>
      </c>
      <c r="H290" s="408">
        <v>68</v>
      </c>
      <c r="I290" s="408">
        <v>68</v>
      </c>
      <c r="J290" s="408">
        <v>68</v>
      </c>
      <c r="K290" s="408">
        <v>68</v>
      </c>
      <c r="L290" s="408">
        <v>69</v>
      </c>
      <c r="M290" s="158">
        <f t="shared" si="8"/>
        <v>64.88</v>
      </c>
      <c r="O290" s="158" t="s">
        <v>621</v>
      </c>
      <c r="P290" s="158">
        <f t="shared" si="9"/>
        <v>1</v>
      </c>
    </row>
    <row r="291" spans="1:16">
      <c r="A291" s="158" t="s">
        <v>594</v>
      </c>
      <c r="B291" s="158" t="s">
        <v>276</v>
      </c>
      <c r="C291" s="158" t="s">
        <v>277</v>
      </c>
      <c r="D291" s="407">
        <v>0</v>
      </c>
      <c r="E291" s="408">
        <v>0</v>
      </c>
      <c r="F291" s="408">
        <v>0</v>
      </c>
      <c r="G291" s="408">
        <v>0</v>
      </c>
      <c r="H291" s="408">
        <v>0</v>
      </c>
      <c r="I291" s="408">
        <v>0</v>
      </c>
      <c r="J291" s="408">
        <v>0</v>
      </c>
      <c r="K291" s="408">
        <v>0</v>
      </c>
      <c r="L291" s="408">
        <v>0</v>
      </c>
      <c r="M291" s="158">
        <f t="shared" si="8"/>
        <v>0</v>
      </c>
      <c r="O291" s="158" t="s">
        <v>801</v>
      </c>
      <c r="P291" s="158">
        <f t="shared" si="9"/>
        <v>0</v>
      </c>
    </row>
    <row r="292" spans="1:16">
      <c r="A292" s="158" t="s">
        <v>597</v>
      </c>
      <c r="B292" s="158" t="s">
        <v>367</v>
      </c>
      <c r="C292" s="158" t="s">
        <v>368</v>
      </c>
      <c r="D292" s="407">
        <v>27</v>
      </c>
      <c r="E292" s="408">
        <v>33</v>
      </c>
      <c r="F292" s="408">
        <v>32</v>
      </c>
      <c r="G292" s="408">
        <v>33</v>
      </c>
      <c r="H292" s="408">
        <v>35</v>
      </c>
      <c r="I292" s="408">
        <v>33</v>
      </c>
      <c r="J292" s="408">
        <v>34</v>
      </c>
      <c r="K292" s="408">
        <v>35</v>
      </c>
      <c r="L292" s="408">
        <v>34</v>
      </c>
      <c r="M292" s="158">
        <f t="shared" si="8"/>
        <v>33.630000000000003</v>
      </c>
      <c r="O292" s="158" t="s">
        <v>621</v>
      </c>
      <c r="P292" s="158">
        <f t="shared" si="9"/>
        <v>1</v>
      </c>
    </row>
    <row r="293" spans="1:16">
      <c r="A293" s="158" t="s">
        <v>599</v>
      </c>
      <c r="B293" s="158" t="s">
        <v>248</v>
      </c>
      <c r="C293" s="158" t="s">
        <v>249</v>
      </c>
      <c r="D293" s="407">
        <v>189</v>
      </c>
      <c r="E293" s="408">
        <v>191</v>
      </c>
      <c r="F293" s="408">
        <v>187</v>
      </c>
      <c r="G293" s="408">
        <v>188</v>
      </c>
      <c r="H293" s="408">
        <v>189</v>
      </c>
      <c r="I293" s="408">
        <v>186</v>
      </c>
      <c r="J293" s="408">
        <v>187</v>
      </c>
      <c r="K293" s="408">
        <v>185</v>
      </c>
      <c r="L293" s="408">
        <v>189</v>
      </c>
      <c r="M293" s="158">
        <f t="shared" si="8"/>
        <v>187.75</v>
      </c>
      <c r="O293" s="158" t="s">
        <v>621</v>
      </c>
      <c r="P293" s="158">
        <f t="shared" si="9"/>
        <v>1</v>
      </c>
    </row>
    <row r="294" spans="1:16">
      <c r="A294" s="158" t="s">
        <v>603</v>
      </c>
      <c r="B294" s="158" t="s">
        <v>289</v>
      </c>
      <c r="C294" s="158" t="s">
        <v>290</v>
      </c>
      <c r="D294" s="407">
        <v>0</v>
      </c>
      <c r="E294" s="408">
        <v>0</v>
      </c>
      <c r="F294" s="408">
        <v>0</v>
      </c>
      <c r="G294" s="408">
        <v>0</v>
      </c>
      <c r="H294" s="408">
        <v>0</v>
      </c>
      <c r="I294" s="408">
        <v>0</v>
      </c>
      <c r="J294" s="408">
        <v>0</v>
      </c>
      <c r="K294" s="408">
        <v>0</v>
      </c>
      <c r="L294" s="408">
        <v>0</v>
      </c>
      <c r="M294" s="158">
        <f t="shared" si="8"/>
        <v>0</v>
      </c>
      <c r="O294" s="158" t="s">
        <v>801</v>
      </c>
      <c r="P294" s="158">
        <f t="shared" si="9"/>
        <v>0</v>
      </c>
    </row>
    <row r="295" spans="1:16">
      <c r="A295" s="158" t="s">
        <v>594</v>
      </c>
      <c r="B295" s="158" t="s">
        <v>332</v>
      </c>
      <c r="C295" s="158" t="s">
        <v>333</v>
      </c>
      <c r="D295" s="407">
        <v>11</v>
      </c>
      <c r="E295" s="408">
        <v>11</v>
      </c>
      <c r="F295" s="408">
        <v>15</v>
      </c>
      <c r="G295" s="408">
        <v>15</v>
      </c>
      <c r="H295" s="408">
        <v>15</v>
      </c>
      <c r="I295" s="408">
        <v>13</v>
      </c>
      <c r="J295" s="408">
        <v>13</v>
      </c>
      <c r="K295" s="408">
        <v>13</v>
      </c>
      <c r="L295" s="408">
        <v>13</v>
      </c>
      <c r="M295" s="158">
        <f t="shared" si="8"/>
        <v>13.5</v>
      </c>
      <c r="O295" s="158" t="s">
        <v>801</v>
      </c>
      <c r="P295" s="158">
        <f t="shared" si="9"/>
        <v>1</v>
      </c>
    </row>
    <row r="296" spans="1:16">
      <c r="A296" s="158" t="s">
        <v>601</v>
      </c>
      <c r="B296" s="158" t="s">
        <v>129</v>
      </c>
      <c r="C296" s="158" t="s">
        <v>130</v>
      </c>
      <c r="D296" s="407">
        <v>0</v>
      </c>
      <c r="E296" s="408">
        <v>0</v>
      </c>
      <c r="F296" s="408">
        <v>0</v>
      </c>
      <c r="G296" s="408">
        <v>0</v>
      </c>
      <c r="H296" s="408">
        <v>0</v>
      </c>
      <c r="I296" s="408">
        <v>0</v>
      </c>
      <c r="J296" s="408">
        <v>0</v>
      </c>
      <c r="K296" s="408">
        <v>0</v>
      </c>
      <c r="L296" s="408">
        <v>0</v>
      </c>
      <c r="M296" s="158">
        <f t="shared" si="8"/>
        <v>0</v>
      </c>
      <c r="O296" s="158" t="s">
        <v>801</v>
      </c>
      <c r="P296" s="158">
        <f t="shared" si="9"/>
        <v>0</v>
      </c>
    </row>
    <row r="297" spans="1:16">
      <c r="A297" s="158" t="s">
        <v>594</v>
      </c>
      <c r="B297" s="158" t="s">
        <v>264</v>
      </c>
      <c r="C297" s="158" t="s">
        <v>265</v>
      </c>
      <c r="D297" s="407">
        <v>58</v>
      </c>
      <c r="E297" s="408">
        <v>69</v>
      </c>
      <c r="F297" s="408">
        <v>75</v>
      </c>
      <c r="G297" s="408">
        <v>61</v>
      </c>
      <c r="H297" s="408">
        <v>60</v>
      </c>
      <c r="I297" s="408">
        <v>62</v>
      </c>
      <c r="J297" s="408">
        <v>63</v>
      </c>
      <c r="K297" s="408">
        <v>63</v>
      </c>
      <c r="L297" s="408">
        <v>63</v>
      </c>
      <c r="M297" s="158">
        <f t="shared" si="8"/>
        <v>64.5</v>
      </c>
      <c r="O297" s="158" t="s">
        <v>621</v>
      </c>
      <c r="P297" s="158">
        <f t="shared" si="9"/>
        <v>1</v>
      </c>
    </row>
    <row r="298" spans="1:16">
      <c r="A298" s="158" t="s">
        <v>594</v>
      </c>
      <c r="B298" s="158" t="s">
        <v>151</v>
      </c>
      <c r="C298" s="158" t="s">
        <v>152</v>
      </c>
      <c r="D298" s="407">
        <v>0</v>
      </c>
      <c r="E298" s="408">
        <v>0</v>
      </c>
      <c r="F298" s="408">
        <v>0</v>
      </c>
      <c r="G298" s="408">
        <v>0</v>
      </c>
      <c r="H298" s="408">
        <v>0</v>
      </c>
      <c r="I298" s="408">
        <v>0</v>
      </c>
      <c r="J298" s="408">
        <v>0</v>
      </c>
      <c r="K298" s="408">
        <v>0</v>
      </c>
      <c r="L298" s="408">
        <v>0</v>
      </c>
      <c r="M298" s="158">
        <f t="shared" si="8"/>
        <v>0</v>
      </c>
      <c r="O298" s="158" t="s">
        <v>801</v>
      </c>
      <c r="P298" s="158">
        <f t="shared" si="9"/>
        <v>0</v>
      </c>
    </row>
    <row r="299" spans="1:16">
      <c r="A299" s="158" t="s">
        <v>599</v>
      </c>
      <c r="B299" s="158" t="s">
        <v>232</v>
      </c>
      <c r="C299" s="158" t="s">
        <v>233</v>
      </c>
      <c r="D299" s="407">
        <v>0</v>
      </c>
      <c r="E299" s="408">
        <v>0</v>
      </c>
      <c r="F299" s="408">
        <v>0</v>
      </c>
      <c r="G299" s="408">
        <v>0</v>
      </c>
      <c r="H299" s="408">
        <v>0</v>
      </c>
      <c r="I299" s="408">
        <v>0</v>
      </c>
      <c r="J299" s="408">
        <v>0</v>
      </c>
      <c r="K299" s="408">
        <v>0</v>
      </c>
      <c r="L299" s="408">
        <v>0</v>
      </c>
      <c r="M299" s="158">
        <f t="shared" si="8"/>
        <v>0</v>
      </c>
      <c r="O299" s="158" t="s">
        <v>801</v>
      </c>
      <c r="P299" s="158">
        <f t="shared" si="9"/>
        <v>0</v>
      </c>
    </row>
    <row r="300" spans="1:16">
      <c r="A300" s="158" t="s">
        <v>599</v>
      </c>
      <c r="B300" s="158" t="s">
        <v>78</v>
      </c>
      <c r="C300" s="158" t="s">
        <v>79</v>
      </c>
      <c r="D300" s="407">
        <v>113</v>
      </c>
      <c r="E300" s="408">
        <v>109</v>
      </c>
      <c r="F300" s="408">
        <v>108</v>
      </c>
      <c r="G300" s="408">
        <v>107</v>
      </c>
      <c r="H300" s="408">
        <v>106</v>
      </c>
      <c r="I300" s="408">
        <v>106</v>
      </c>
      <c r="J300" s="408">
        <v>107</v>
      </c>
      <c r="K300" s="408">
        <v>107</v>
      </c>
      <c r="L300" s="408">
        <v>107</v>
      </c>
      <c r="M300" s="158">
        <f t="shared" si="8"/>
        <v>107.13</v>
      </c>
      <c r="O300" s="158" t="s">
        <v>621</v>
      </c>
      <c r="P300" s="158">
        <f t="shared" si="9"/>
        <v>1</v>
      </c>
    </row>
    <row r="301" spans="1:16">
      <c r="A301" s="158" t="s">
        <v>605</v>
      </c>
      <c r="B301" s="158" t="s">
        <v>547</v>
      </c>
      <c r="C301" s="158" t="s">
        <v>548</v>
      </c>
      <c r="D301" s="407">
        <v>3185</v>
      </c>
      <c r="E301" s="408">
        <v>3673</v>
      </c>
      <c r="F301" s="408">
        <v>3826</v>
      </c>
      <c r="G301" s="408">
        <v>3890</v>
      </c>
      <c r="H301" s="408">
        <v>3920</v>
      </c>
      <c r="I301" s="408">
        <v>3933</v>
      </c>
      <c r="J301" s="408">
        <v>3900</v>
      </c>
      <c r="K301" s="408">
        <v>3907</v>
      </c>
      <c r="L301" s="408">
        <v>3894</v>
      </c>
      <c r="M301" s="158">
        <f t="shared" si="8"/>
        <v>3867.88</v>
      </c>
      <c r="O301" s="158" t="s">
        <v>621</v>
      </c>
      <c r="P301" s="158">
        <f t="shared" si="9"/>
        <v>1</v>
      </c>
    </row>
    <row r="302" spans="1:16">
      <c r="A302" s="158" t="s">
        <v>594</v>
      </c>
      <c r="B302" s="158" t="s">
        <v>472</v>
      </c>
      <c r="C302" s="158" t="s">
        <v>619</v>
      </c>
      <c r="D302" s="407">
        <v>49</v>
      </c>
      <c r="E302" s="408">
        <v>62</v>
      </c>
      <c r="F302" s="408">
        <v>63</v>
      </c>
      <c r="G302" s="408">
        <v>63</v>
      </c>
      <c r="H302" s="408">
        <v>61</v>
      </c>
      <c r="I302" s="408">
        <v>62</v>
      </c>
      <c r="J302" s="408">
        <v>61</v>
      </c>
      <c r="K302" s="408">
        <v>60</v>
      </c>
      <c r="L302" s="408">
        <v>59</v>
      </c>
      <c r="M302" s="158">
        <f t="shared" si="8"/>
        <v>61.38</v>
      </c>
      <c r="O302" s="158" t="s">
        <v>621</v>
      </c>
      <c r="P302" s="158">
        <f t="shared" si="9"/>
        <v>1</v>
      </c>
    </row>
    <row r="303" spans="1:16">
      <c r="A303" s="158" t="s">
        <v>605</v>
      </c>
      <c r="B303" s="158" t="s">
        <v>565</v>
      </c>
      <c r="C303" s="158" t="s">
        <v>566</v>
      </c>
      <c r="D303" s="407">
        <v>148</v>
      </c>
      <c r="E303" s="408">
        <v>154</v>
      </c>
      <c r="F303" s="408">
        <v>159</v>
      </c>
      <c r="G303" s="408">
        <v>160</v>
      </c>
      <c r="H303" s="408">
        <v>161</v>
      </c>
      <c r="I303" s="408">
        <v>166</v>
      </c>
      <c r="J303" s="408">
        <v>160</v>
      </c>
      <c r="K303" s="408">
        <v>157</v>
      </c>
      <c r="L303" s="408">
        <v>153</v>
      </c>
      <c r="M303" s="158">
        <f t="shared" si="8"/>
        <v>158.75</v>
      </c>
      <c r="O303" s="158" t="s">
        <v>621</v>
      </c>
      <c r="P303" s="158">
        <f t="shared" si="9"/>
        <v>1</v>
      </c>
    </row>
    <row r="304" spans="1:16">
      <c r="A304" s="158" t="s">
        <v>830</v>
      </c>
      <c r="D304" s="456">
        <f>SUM(D9:D303)</f>
        <v>73734</v>
      </c>
      <c r="E304" s="456">
        <f t="shared" ref="E304:J304" si="10">SUM(E9:E303)</f>
        <v>83983</v>
      </c>
      <c r="F304" s="456">
        <f t="shared" si="10"/>
        <v>84696</v>
      </c>
      <c r="G304" s="456">
        <f t="shared" si="10"/>
        <v>84696</v>
      </c>
      <c r="H304" s="456">
        <f t="shared" si="10"/>
        <v>84495</v>
      </c>
      <c r="I304" s="456">
        <f t="shared" si="10"/>
        <v>85018</v>
      </c>
      <c r="J304" s="456">
        <f t="shared" si="10"/>
        <v>85081</v>
      </c>
      <c r="K304" s="456">
        <f>SUM(K9:K303)</f>
        <v>85303</v>
      </c>
      <c r="L304" s="456">
        <f>SUM(L9:L303)</f>
        <v>85552</v>
      </c>
      <c r="M304" s="63">
        <f>SUM(M9:M303)</f>
        <v>84853.489999999962</v>
      </c>
      <c r="O304" s="456"/>
    </row>
    <row r="305" spans="5:12">
      <c r="E305" s="456"/>
      <c r="F305" s="456"/>
      <c r="G305" s="456"/>
      <c r="H305" s="456"/>
      <c r="I305" s="456"/>
      <c r="J305" s="456"/>
      <c r="K305" s="456"/>
      <c r="L305" s="456"/>
    </row>
  </sheetData>
  <pageMargins left="0.5" right="0.5" top="0.75" bottom="0.8" header="0.5" footer="0.5"/>
  <pageSetup scale="64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"/>
  <dimension ref="A1:K195"/>
  <sheetViews>
    <sheetView zoomScaleNormal="100" workbookViewId="0">
      <selection activeCell="E2" sqref="E2"/>
    </sheetView>
  </sheetViews>
  <sheetFormatPr defaultColWidth="14.140625" defaultRowHeight="15"/>
  <cols>
    <col min="1" max="1" width="4.42578125" style="374" bestFit="1" customWidth="1"/>
    <col min="2" max="2" width="7.140625" style="374" bestFit="1" customWidth="1"/>
    <col min="3" max="3" width="8.5703125" style="444" customWidth="1"/>
    <col min="4" max="4" width="30.5703125" style="378" customWidth="1"/>
    <col min="5" max="5" width="11.5703125" style="381" customWidth="1"/>
    <col min="6" max="6" width="7.42578125" style="445" customWidth="1"/>
    <col min="7" max="7" width="10.5703125" style="445" customWidth="1"/>
    <col min="8" max="8" width="14" style="446" customWidth="1"/>
    <col min="9" max="9" width="20.42578125" style="377" customWidth="1"/>
    <col min="10" max="10" width="14.140625" style="374" customWidth="1"/>
    <col min="11" max="11" width="15.42578125" style="374" customWidth="1"/>
    <col min="12" max="16384" width="14.140625" style="374"/>
  </cols>
  <sheetData>
    <row r="1" spans="1:11" ht="60">
      <c r="A1" s="378" t="s">
        <v>591</v>
      </c>
      <c r="B1" s="411" t="s">
        <v>592</v>
      </c>
      <c r="C1" s="412" t="s">
        <v>831</v>
      </c>
      <c r="D1" s="411" t="s">
        <v>593</v>
      </c>
      <c r="E1" s="413" t="s">
        <v>832</v>
      </c>
      <c r="F1" s="414" t="s">
        <v>833</v>
      </c>
      <c r="G1" s="413" t="s">
        <v>834</v>
      </c>
      <c r="H1" s="415" t="s">
        <v>835</v>
      </c>
      <c r="I1" s="416" t="s">
        <v>836</v>
      </c>
      <c r="J1" s="378" t="s">
        <v>837</v>
      </c>
      <c r="K1" s="417">
        <v>16488896</v>
      </c>
    </row>
    <row r="2" spans="1:11">
      <c r="A2" s="374" t="s">
        <v>594</v>
      </c>
      <c r="B2" s="418" t="s">
        <v>132</v>
      </c>
      <c r="C2" s="419"/>
      <c r="D2" s="411" t="s">
        <v>133</v>
      </c>
      <c r="E2" s="420">
        <v>261</v>
      </c>
      <c r="F2" s="421"/>
      <c r="G2" s="421"/>
      <c r="H2" s="422">
        <f t="shared" ref="H2:H65" si="0">SUM(E2:G2)</f>
        <v>261</v>
      </c>
      <c r="I2" s="423" t="s">
        <v>838</v>
      </c>
      <c r="J2" s="378" t="s">
        <v>805</v>
      </c>
      <c r="K2" s="417">
        <f>K1*0.05</f>
        <v>824444.8</v>
      </c>
    </row>
    <row r="3" spans="1:11">
      <c r="A3" s="374" t="s">
        <v>595</v>
      </c>
      <c r="B3" s="418" t="s">
        <v>380</v>
      </c>
      <c r="C3" s="419">
        <v>189</v>
      </c>
      <c r="D3" s="424" t="s">
        <v>381</v>
      </c>
      <c r="E3" s="420">
        <v>52</v>
      </c>
      <c r="F3" s="421"/>
      <c r="G3" s="421"/>
      <c r="H3" s="422">
        <f t="shared" si="0"/>
        <v>52</v>
      </c>
      <c r="I3" s="423" t="s">
        <v>838</v>
      </c>
      <c r="J3" s="378" t="s">
        <v>741</v>
      </c>
      <c r="K3" s="417">
        <v>337000</v>
      </c>
    </row>
    <row r="4" spans="1:11">
      <c r="A4" s="374" t="s">
        <v>595</v>
      </c>
      <c r="B4" s="418" t="s">
        <v>403</v>
      </c>
      <c r="C4" s="419"/>
      <c r="D4" s="411" t="s">
        <v>404</v>
      </c>
      <c r="E4" s="420">
        <v>176</v>
      </c>
      <c r="F4" s="421"/>
      <c r="G4" s="421"/>
      <c r="H4" s="422">
        <f t="shared" si="0"/>
        <v>176</v>
      </c>
      <c r="I4" s="423" t="s">
        <v>838</v>
      </c>
      <c r="J4" s="378" t="s">
        <v>769</v>
      </c>
      <c r="K4" s="378">
        <f>K1-K2-K3</f>
        <v>15327451.199999999</v>
      </c>
    </row>
    <row r="5" spans="1:11">
      <c r="A5" s="374" t="s">
        <v>597</v>
      </c>
      <c r="B5" s="418" t="s">
        <v>195</v>
      </c>
      <c r="C5" s="419"/>
      <c r="D5" s="425" t="s">
        <v>196</v>
      </c>
      <c r="E5" s="420">
        <v>1699</v>
      </c>
      <c r="F5" s="421"/>
      <c r="G5" s="421"/>
      <c r="H5" s="422">
        <f t="shared" si="0"/>
        <v>1699</v>
      </c>
      <c r="I5" s="423" t="s">
        <v>838</v>
      </c>
    </row>
    <row r="6" spans="1:11">
      <c r="A6" s="374" t="s">
        <v>597</v>
      </c>
      <c r="B6" s="418" t="s">
        <v>213</v>
      </c>
      <c r="C6" s="419">
        <v>189</v>
      </c>
      <c r="D6" s="426" t="s">
        <v>598</v>
      </c>
      <c r="E6" s="420">
        <v>28</v>
      </c>
      <c r="F6" s="421"/>
      <c r="G6" s="421"/>
      <c r="H6" s="422">
        <f t="shared" si="0"/>
        <v>28</v>
      </c>
      <c r="I6" s="423" t="s">
        <v>838</v>
      </c>
    </row>
    <row r="7" spans="1:11">
      <c r="A7" s="374" t="s">
        <v>599</v>
      </c>
      <c r="B7" s="418" t="s">
        <v>62</v>
      </c>
      <c r="C7" s="419"/>
      <c r="D7" s="425" t="s">
        <v>63</v>
      </c>
      <c r="E7" s="420">
        <v>648</v>
      </c>
      <c r="F7" s="421"/>
      <c r="G7" s="421"/>
      <c r="H7" s="422">
        <f t="shared" si="0"/>
        <v>648</v>
      </c>
      <c r="I7" s="423" t="s">
        <v>838</v>
      </c>
    </row>
    <row r="8" spans="1:11">
      <c r="A8" s="374" t="s">
        <v>597</v>
      </c>
      <c r="B8" s="418" t="s">
        <v>189</v>
      </c>
      <c r="C8" s="419"/>
      <c r="D8" s="411" t="s">
        <v>190</v>
      </c>
      <c r="E8" s="420">
        <v>1608</v>
      </c>
      <c r="F8" s="421"/>
      <c r="G8" s="421"/>
      <c r="H8" s="422">
        <f t="shared" si="0"/>
        <v>1608</v>
      </c>
      <c r="I8" s="423" t="s">
        <v>838</v>
      </c>
    </row>
    <row r="9" spans="1:11">
      <c r="A9" s="374" t="s">
        <v>595</v>
      </c>
      <c r="B9" s="418" t="s">
        <v>504</v>
      </c>
      <c r="C9" s="419"/>
      <c r="D9" s="411" t="s">
        <v>505</v>
      </c>
      <c r="E9" s="420">
        <v>567</v>
      </c>
      <c r="F9" s="421"/>
      <c r="G9" s="421"/>
      <c r="H9" s="422">
        <f t="shared" si="0"/>
        <v>567</v>
      </c>
      <c r="I9" s="423" t="s">
        <v>838</v>
      </c>
    </row>
    <row r="10" spans="1:11">
      <c r="A10" s="374" t="s">
        <v>597</v>
      </c>
      <c r="B10" s="418" t="s">
        <v>363</v>
      </c>
      <c r="C10" s="419"/>
      <c r="D10" s="411" t="s">
        <v>364</v>
      </c>
      <c r="E10" s="420">
        <v>257</v>
      </c>
      <c r="F10" s="421"/>
      <c r="G10" s="421"/>
      <c r="H10" s="422">
        <f t="shared" si="0"/>
        <v>257</v>
      </c>
      <c r="I10" s="423" t="s">
        <v>838</v>
      </c>
    </row>
    <row r="11" spans="1:11">
      <c r="A11" s="374" t="s">
        <v>595</v>
      </c>
      <c r="B11" s="418" t="s">
        <v>508</v>
      </c>
      <c r="C11" s="419"/>
      <c r="D11" s="411" t="s">
        <v>509</v>
      </c>
      <c r="E11" s="420">
        <v>95</v>
      </c>
      <c r="F11" s="421"/>
      <c r="G11" s="421"/>
      <c r="H11" s="422">
        <f t="shared" si="0"/>
        <v>95</v>
      </c>
      <c r="I11" s="423" t="s">
        <v>838</v>
      </c>
    </row>
    <row r="12" spans="1:11">
      <c r="A12" s="374" t="s">
        <v>600</v>
      </c>
      <c r="B12" s="418" t="s">
        <v>211</v>
      </c>
      <c r="C12" s="419"/>
      <c r="D12" s="411" t="s">
        <v>212</v>
      </c>
      <c r="E12" s="420">
        <v>129</v>
      </c>
      <c r="F12" s="421"/>
      <c r="G12" s="421"/>
      <c r="H12" s="422">
        <f t="shared" si="0"/>
        <v>129</v>
      </c>
      <c r="I12" s="423" t="s">
        <v>838</v>
      </c>
    </row>
    <row r="13" spans="1:11">
      <c r="A13" s="374" t="s">
        <v>601</v>
      </c>
      <c r="B13" s="418" t="s">
        <v>315</v>
      </c>
      <c r="C13" s="419"/>
      <c r="D13" s="427" t="s">
        <v>316</v>
      </c>
      <c r="E13" s="420">
        <v>328</v>
      </c>
      <c r="F13" s="421"/>
      <c r="G13" s="421"/>
      <c r="H13" s="422">
        <f t="shared" si="0"/>
        <v>328</v>
      </c>
      <c r="I13" s="423" t="s">
        <v>838</v>
      </c>
    </row>
    <row r="14" spans="1:11">
      <c r="A14" s="374" t="s">
        <v>601</v>
      </c>
      <c r="B14" s="418" t="s">
        <v>84</v>
      </c>
      <c r="C14" s="419"/>
      <c r="D14" s="411" t="s">
        <v>85</v>
      </c>
      <c r="E14" s="420">
        <v>353</v>
      </c>
      <c r="F14" s="421"/>
      <c r="G14" s="421"/>
      <c r="H14" s="422">
        <f t="shared" si="0"/>
        <v>353</v>
      </c>
      <c r="I14" s="423" t="s">
        <v>838</v>
      </c>
    </row>
    <row r="15" spans="1:11">
      <c r="A15" s="374" t="s">
        <v>595</v>
      </c>
      <c r="B15" s="418" t="s">
        <v>378</v>
      </c>
      <c r="C15" s="419"/>
      <c r="D15" s="411" t="s">
        <v>602</v>
      </c>
      <c r="E15" s="420">
        <v>579</v>
      </c>
      <c r="F15" s="421"/>
      <c r="G15" s="421"/>
      <c r="H15" s="422">
        <f t="shared" si="0"/>
        <v>579</v>
      </c>
      <c r="I15" s="423" t="s">
        <v>838</v>
      </c>
    </row>
    <row r="16" spans="1:11">
      <c r="A16" s="374" t="s">
        <v>599</v>
      </c>
      <c r="B16" s="418" t="s">
        <v>60</v>
      </c>
      <c r="C16" s="419"/>
      <c r="D16" s="411" t="s">
        <v>61</v>
      </c>
      <c r="E16" s="420">
        <v>90</v>
      </c>
      <c r="F16" s="421"/>
      <c r="G16" s="421"/>
      <c r="H16" s="422">
        <f t="shared" si="0"/>
        <v>90</v>
      </c>
      <c r="I16" s="423" t="s">
        <v>838</v>
      </c>
    </row>
    <row r="17" spans="1:9">
      <c r="A17" s="374" t="s">
        <v>600</v>
      </c>
      <c r="B17" s="418" t="s">
        <v>45</v>
      </c>
      <c r="C17" s="419"/>
      <c r="D17" s="411" t="s">
        <v>46</v>
      </c>
      <c r="E17" s="420">
        <v>94</v>
      </c>
      <c r="F17" s="421"/>
      <c r="G17" s="421">
        <v>62</v>
      </c>
      <c r="H17" s="422">
        <f t="shared" si="0"/>
        <v>156</v>
      </c>
      <c r="I17" s="423" t="s">
        <v>838</v>
      </c>
    </row>
    <row r="18" spans="1:9">
      <c r="A18" s="374" t="s">
        <v>601</v>
      </c>
      <c r="B18" s="418" t="s">
        <v>35</v>
      </c>
      <c r="C18" s="419"/>
      <c r="D18" s="411" t="s">
        <v>36</v>
      </c>
      <c r="E18" s="420">
        <v>149</v>
      </c>
      <c r="F18" s="421"/>
      <c r="G18" s="421"/>
      <c r="H18" s="422">
        <f t="shared" si="0"/>
        <v>149</v>
      </c>
      <c r="I18" s="423" t="s">
        <v>838</v>
      </c>
    </row>
    <row r="19" spans="1:9">
      <c r="A19" s="374" t="s">
        <v>601</v>
      </c>
      <c r="B19" s="418" t="s">
        <v>33</v>
      </c>
      <c r="C19" s="419"/>
      <c r="D19" s="411" t="s">
        <v>34</v>
      </c>
      <c r="E19" s="420">
        <v>178</v>
      </c>
      <c r="F19" s="421"/>
      <c r="G19" s="421"/>
      <c r="H19" s="422">
        <f t="shared" si="0"/>
        <v>178</v>
      </c>
      <c r="I19" s="423" t="s">
        <v>838</v>
      </c>
    </row>
    <row r="20" spans="1:9">
      <c r="A20" s="374" t="s">
        <v>599</v>
      </c>
      <c r="B20" s="418" t="s">
        <v>74</v>
      </c>
      <c r="C20" s="419">
        <v>189</v>
      </c>
      <c r="D20" s="424" t="s">
        <v>75</v>
      </c>
      <c r="E20" s="420">
        <v>35</v>
      </c>
      <c r="F20" s="421"/>
      <c r="G20" s="421"/>
      <c r="H20" s="422">
        <f t="shared" si="0"/>
        <v>35</v>
      </c>
      <c r="I20" s="423" t="s">
        <v>838</v>
      </c>
    </row>
    <row r="21" spans="1:9">
      <c r="A21" s="374" t="s">
        <v>600</v>
      </c>
      <c r="B21" s="418" t="s">
        <v>216</v>
      </c>
      <c r="C21" s="419"/>
      <c r="D21" s="411" t="s">
        <v>217</v>
      </c>
      <c r="E21" s="420">
        <v>206</v>
      </c>
      <c r="F21" s="421">
        <v>0</v>
      </c>
      <c r="G21" s="421"/>
      <c r="H21" s="422">
        <f t="shared" si="0"/>
        <v>206</v>
      </c>
      <c r="I21" s="423" t="s">
        <v>838</v>
      </c>
    </row>
    <row r="22" spans="1:9">
      <c r="A22" s="374" t="s">
        <v>603</v>
      </c>
      <c r="B22" s="418" t="s">
        <v>434</v>
      </c>
      <c r="C22" s="419"/>
      <c r="D22" s="411" t="s">
        <v>435</v>
      </c>
      <c r="E22" s="420">
        <v>213</v>
      </c>
      <c r="F22" s="421"/>
      <c r="G22" s="421"/>
      <c r="H22" s="422">
        <f t="shared" si="0"/>
        <v>213</v>
      </c>
      <c r="I22" s="423" t="s">
        <v>838</v>
      </c>
    </row>
    <row r="23" spans="1:9">
      <c r="A23" s="374" t="s">
        <v>594</v>
      </c>
      <c r="B23" s="418" t="s">
        <v>278</v>
      </c>
      <c r="C23" s="419"/>
      <c r="D23" s="411" t="s">
        <v>279</v>
      </c>
      <c r="E23" s="420">
        <v>261</v>
      </c>
      <c r="F23" s="421"/>
      <c r="G23" s="421"/>
      <c r="H23" s="422">
        <f t="shared" si="0"/>
        <v>261</v>
      </c>
      <c r="I23" s="423" t="s">
        <v>838</v>
      </c>
    </row>
    <row r="24" spans="1:9">
      <c r="A24" s="374" t="s">
        <v>594</v>
      </c>
      <c r="B24" s="418" t="s">
        <v>274</v>
      </c>
      <c r="C24" s="419"/>
      <c r="D24" s="411" t="s">
        <v>275</v>
      </c>
      <c r="E24" s="420">
        <v>70</v>
      </c>
      <c r="F24" s="421"/>
      <c r="G24" s="421"/>
      <c r="H24" s="422">
        <f t="shared" si="0"/>
        <v>70</v>
      </c>
      <c r="I24" s="423" t="s">
        <v>838</v>
      </c>
    </row>
    <row r="25" spans="1:9">
      <c r="A25" s="374" t="s">
        <v>603</v>
      </c>
      <c r="B25" s="428" t="s">
        <v>438</v>
      </c>
      <c r="C25" s="429"/>
      <c r="D25" s="425" t="s">
        <v>439</v>
      </c>
      <c r="E25" s="420">
        <v>77</v>
      </c>
      <c r="F25" s="421"/>
      <c r="G25" s="421"/>
      <c r="H25" s="422">
        <f t="shared" si="0"/>
        <v>77</v>
      </c>
      <c r="I25" s="430" t="s">
        <v>838</v>
      </c>
    </row>
    <row r="26" spans="1:9">
      <c r="A26" s="374" t="s">
        <v>603</v>
      </c>
      <c r="B26" s="418" t="s">
        <v>450</v>
      </c>
      <c r="C26" s="419"/>
      <c r="D26" s="411" t="s">
        <v>451</v>
      </c>
      <c r="E26" s="420">
        <v>2</v>
      </c>
      <c r="F26" s="421"/>
      <c r="G26" s="421"/>
      <c r="H26" s="422">
        <f t="shared" si="0"/>
        <v>2</v>
      </c>
      <c r="I26" s="423" t="s">
        <v>839</v>
      </c>
    </row>
    <row r="27" spans="1:9">
      <c r="A27" s="374" t="s">
        <v>600</v>
      </c>
      <c r="B27" s="418" t="s">
        <v>169</v>
      </c>
      <c r="C27" s="419">
        <v>189</v>
      </c>
      <c r="D27" s="424" t="s">
        <v>170</v>
      </c>
      <c r="E27" s="420">
        <v>13</v>
      </c>
      <c r="F27" s="421"/>
      <c r="G27" s="421"/>
      <c r="H27" s="422">
        <f t="shared" si="0"/>
        <v>13</v>
      </c>
      <c r="I27" s="423" t="s">
        <v>838</v>
      </c>
    </row>
    <row r="28" spans="1:9">
      <c r="A28" s="374" t="s">
        <v>596</v>
      </c>
      <c r="B28" s="418" t="s">
        <v>10</v>
      </c>
      <c r="C28" s="419">
        <v>123</v>
      </c>
      <c r="D28" s="431" t="s">
        <v>840</v>
      </c>
      <c r="E28" s="420">
        <v>24</v>
      </c>
      <c r="F28" s="421"/>
      <c r="G28" s="421"/>
      <c r="H28" s="422">
        <f t="shared" si="0"/>
        <v>24</v>
      </c>
      <c r="I28" s="423" t="s">
        <v>838</v>
      </c>
    </row>
    <row r="29" spans="1:9">
      <c r="A29" s="374" t="s">
        <v>605</v>
      </c>
      <c r="B29" s="418" t="s">
        <v>230</v>
      </c>
      <c r="C29" s="419">
        <v>105</v>
      </c>
      <c r="D29" s="432" t="s">
        <v>841</v>
      </c>
      <c r="E29" s="420">
        <v>15</v>
      </c>
      <c r="F29" s="421"/>
      <c r="G29" s="421"/>
      <c r="H29" s="422">
        <f t="shared" si="0"/>
        <v>15</v>
      </c>
      <c r="I29" s="423" t="s">
        <v>838</v>
      </c>
    </row>
    <row r="30" spans="1:9">
      <c r="A30" s="374" t="s">
        <v>597</v>
      </c>
      <c r="B30" s="418" t="s">
        <v>357</v>
      </c>
      <c r="C30" s="419"/>
      <c r="D30" s="411" t="s">
        <v>358</v>
      </c>
      <c r="E30" s="420">
        <v>1132</v>
      </c>
      <c r="F30" s="421"/>
      <c r="G30" s="421"/>
      <c r="H30" s="422">
        <f t="shared" si="0"/>
        <v>1132</v>
      </c>
      <c r="I30" s="423" t="s">
        <v>838</v>
      </c>
    </row>
    <row r="31" spans="1:9">
      <c r="A31" s="374" t="s">
        <v>596</v>
      </c>
      <c r="B31" s="418" t="s">
        <v>494</v>
      </c>
      <c r="C31" s="419"/>
      <c r="D31" s="411" t="s">
        <v>495</v>
      </c>
      <c r="E31" s="420">
        <v>152</v>
      </c>
      <c r="F31" s="421"/>
      <c r="G31" s="421"/>
      <c r="H31" s="422">
        <f t="shared" si="0"/>
        <v>152</v>
      </c>
      <c r="I31" s="423" t="s">
        <v>838</v>
      </c>
    </row>
    <row r="32" spans="1:9">
      <c r="A32" s="374" t="s">
        <v>596</v>
      </c>
      <c r="B32" s="418" t="s">
        <v>498</v>
      </c>
      <c r="C32" s="419"/>
      <c r="D32" s="411" t="s">
        <v>499</v>
      </c>
      <c r="E32" s="420">
        <v>73</v>
      </c>
      <c r="F32" s="421"/>
      <c r="G32" s="421"/>
      <c r="H32" s="422">
        <f t="shared" si="0"/>
        <v>73</v>
      </c>
      <c r="I32" s="423" t="s">
        <v>838</v>
      </c>
    </row>
    <row r="33" spans="1:9">
      <c r="A33" s="374" t="s">
        <v>603</v>
      </c>
      <c r="B33" s="418" t="s">
        <v>456</v>
      </c>
      <c r="C33" s="419"/>
      <c r="D33" s="411" t="s">
        <v>457</v>
      </c>
      <c r="E33" s="420">
        <v>45</v>
      </c>
      <c r="F33" s="421"/>
      <c r="G33" s="421"/>
      <c r="H33" s="422">
        <f t="shared" si="0"/>
        <v>45</v>
      </c>
      <c r="I33" s="423" t="s">
        <v>839</v>
      </c>
    </row>
    <row r="34" spans="1:9">
      <c r="A34" s="374" t="s">
        <v>595</v>
      </c>
      <c r="B34" s="418" t="s">
        <v>376</v>
      </c>
      <c r="C34" s="419">
        <v>189</v>
      </c>
      <c r="D34" s="424" t="s">
        <v>377</v>
      </c>
      <c r="E34" s="420">
        <v>1</v>
      </c>
      <c r="F34" s="421"/>
      <c r="G34" s="421"/>
      <c r="H34" s="422">
        <f t="shared" si="0"/>
        <v>1</v>
      </c>
      <c r="I34" s="423" t="s">
        <v>838</v>
      </c>
    </row>
    <row r="35" spans="1:9">
      <c r="A35" s="374" t="s">
        <v>595</v>
      </c>
      <c r="B35" s="418" t="s">
        <v>384</v>
      </c>
      <c r="C35" s="419">
        <v>189</v>
      </c>
      <c r="D35" s="424" t="s">
        <v>385</v>
      </c>
      <c r="E35" s="420">
        <v>21</v>
      </c>
      <c r="F35" s="421"/>
      <c r="G35" s="421"/>
      <c r="H35" s="422">
        <f t="shared" si="0"/>
        <v>21</v>
      </c>
      <c r="I35" s="423" t="s">
        <v>838</v>
      </c>
    </row>
    <row r="36" spans="1:9">
      <c r="A36" s="374" t="s">
        <v>595</v>
      </c>
      <c r="B36" s="418" t="s">
        <v>159</v>
      </c>
      <c r="C36" s="419">
        <v>189</v>
      </c>
      <c r="D36" s="424" t="s">
        <v>160</v>
      </c>
      <c r="E36" s="420">
        <v>25</v>
      </c>
      <c r="F36" s="421"/>
      <c r="G36" s="421"/>
      <c r="H36" s="422">
        <f t="shared" si="0"/>
        <v>25</v>
      </c>
      <c r="I36" s="423" t="s">
        <v>838</v>
      </c>
    </row>
    <row r="37" spans="1:9">
      <c r="A37" s="374" t="s">
        <v>603</v>
      </c>
      <c r="B37" s="418" t="s">
        <v>444</v>
      </c>
      <c r="C37" s="419"/>
      <c r="D37" s="411" t="s">
        <v>445</v>
      </c>
      <c r="E37" s="420">
        <v>4</v>
      </c>
      <c r="F37" s="421"/>
      <c r="G37" s="421"/>
      <c r="H37" s="422">
        <f t="shared" si="0"/>
        <v>4</v>
      </c>
      <c r="I37" s="423" t="s">
        <v>839</v>
      </c>
    </row>
    <row r="38" spans="1:9">
      <c r="A38" s="374" t="s">
        <v>597</v>
      </c>
      <c r="B38" s="418" t="s">
        <v>353</v>
      </c>
      <c r="C38" s="419">
        <v>189</v>
      </c>
      <c r="D38" s="424" t="s">
        <v>354</v>
      </c>
      <c r="E38" s="420">
        <v>9</v>
      </c>
      <c r="F38" s="421"/>
      <c r="G38" s="421"/>
      <c r="H38" s="422">
        <f t="shared" si="0"/>
        <v>9</v>
      </c>
      <c r="I38" s="423" t="s">
        <v>838</v>
      </c>
    </row>
    <row r="39" spans="1:9">
      <c r="A39" s="374" t="s">
        <v>603</v>
      </c>
      <c r="B39" s="418" t="s">
        <v>440</v>
      </c>
      <c r="C39" s="419"/>
      <c r="D39" s="411" t="s">
        <v>606</v>
      </c>
      <c r="E39" s="420">
        <v>110</v>
      </c>
      <c r="F39" s="421"/>
      <c r="G39" s="421"/>
      <c r="H39" s="422">
        <f t="shared" si="0"/>
        <v>110</v>
      </c>
      <c r="I39" s="423" t="s">
        <v>838</v>
      </c>
    </row>
    <row r="40" spans="1:9">
      <c r="A40" s="374" t="s">
        <v>605</v>
      </c>
      <c r="B40" s="418" t="s">
        <v>549</v>
      </c>
      <c r="C40" s="419"/>
      <c r="D40" s="425" t="s">
        <v>550</v>
      </c>
      <c r="E40" s="420">
        <v>231</v>
      </c>
      <c r="F40" s="421"/>
      <c r="G40" s="421"/>
      <c r="H40" s="422">
        <f t="shared" si="0"/>
        <v>231</v>
      </c>
      <c r="I40" s="423" t="s">
        <v>838</v>
      </c>
    </row>
    <row r="41" spans="1:9">
      <c r="A41" s="374" t="s">
        <v>601</v>
      </c>
      <c r="B41" s="418" t="s">
        <v>88</v>
      </c>
      <c r="C41" s="419"/>
      <c r="D41" s="411" t="s">
        <v>89</v>
      </c>
      <c r="E41" s="420">
        <v>819</v>
      </c>
      <c r="F41" s="421"/>
      <c r="G41" s="421"/>
      <c r="H41" s="422">
        <f t="shared" si="0"/>
        <v>819</v>
      </c>
      <c r="I41" s="423" t="s">
        <v>838</v>
      </c>
    </row>
    <row r="42" spans="1:9">
      <c r="A42" s="374" t="s">
        <v>605</v>
      </c>
      <c r="B42" s="418" t="s">
        <v>222</v>
      </c>
      <c r="C42" s="419">
        <v>105</v>
      </c>
      <c r="D42" s="432" t="s">
        <v>842</v>
      </c>
      <c r="E42" s="420">
        <v>6</v>
      </c>
      <c r="F42" s="421"/>
      <c r="G42" s="421"/>
      <c r="H42" s="422">
        <f t="shared" si="0"/>
        <v>6</v>
      </c>
      <c r="I42" s="423" t="s">
        <v>838</v>
      </c>
    </row>
    <row r="43" spans="1:9">
      <c r="A43" s="374" t="s">
        <v>597</v>
      </c>
      <c r="B43" s="418" t="s">
        <v>365</v>
      </c>
      <c r="C43" s="419">
        <v>189</v>
      </c>
      <c r="D43" s="424" t="s">
        <v>366</v>
      </c>
      <c r="E43" s="420">
        <v>13</v>
      </c>
      <c r="F43" s="421"/>
      <c r="G43" s="421"/>
      <c r="H43" s="422">
        <f t="shared" si="0"/>
        <v>13</v>
      </c>
      <c r="I43" s="423" t="s">
        <v>838</v>
      </c>
    </row>
    <row r="44" spans="1:9">
      <c r="A44" s="374" t="s">
        <v>595</v>
      </c>
      <c r="B44" s="418" t="s">
        <v>401</v>
      </c>
      <c r="C44" s="419"/>
      <c r="D44" s="411" t="s">
        <v>402</v>
      </c>
      <c r="E44" s="420">
        <v>1912</v>
      </c>
      <c r="F44" s="421">
        <v>13</v>
      </c>
      <c r="G44" s="421">
        <v>0</v>
      </c>
      <c r="H44" s="422">
        <f t="shared" si="0"/>
        <v>1925</v>
      </c>
      <c r="I44" s="423" t="s">
        <v>838</v>
      </c>
    </row>
    <row r="45" spans="1:9">
      <c r="A45" s="374" t="s">
        <v>605</v>
      </c>
      <c r="B45" s="418" t="s">
        <v>226</v>
      </c>
      <c r="C45" s="419"/>
      <c r="D45" s="425" t="s">
        <v>227</v>
      </c>
      <c r="E45" s="420">
        <v>175</v>
      </c>
      <c r="F45" s="421"/>
      <c r="G45" s="421"/>
      <c r="H45" s="422">
        <f t="shared" si="0"/>
        <v>175</v>
      </c>
      <c r="I45" s="423" t="s">
        <v>838</v>
      </c>
    </row>
    <row r="46" spans="1:9">
      <c r="A46" s="374" t="s">
        <v>594</v>
      </c>
      <c r="B46" s="418" t="s">
        <v>141</v>
      </c>
      <c r="C46" s="419"/>
      <c r="D46" s="425" t="s">
        <v>142</v>
      </c>
      <c r="E46" s="420">
        <v>74</v>
      </c>
      <c r="F46" s="421"/>
      <c r="G46" s="421"/>
      <c r="H46" s="422">
        <f t="shared" si="0"/>
        <v>74</v>
      </c>
      <c r="I46" s="423" t="s">
        <v>838</v>
      </c>
    </row>
    <row r="47" spans="1:9">
      <c r="A47" s="374" t="s">
        <v>601</v>
      </c>
      <c r="B47" s="418" t="s">
        <v>29</v>
      </c>
      <c r="C47" s="419"/>
      <c r="D47" s="411" t="s">
        <v>30</v>
      </c>
      <c r="E47" s="420">
        <v>42</v>
      </c>
      <c r="F47" s="421"/>
      <c r="G47" s="421"/>
      <c r="H47" s="422">
        <f t="shared" si="0"/>
        <v>42</v>
      </c>
      <c r="I47" s="423" t="s">
        <v>785</v>
      </c>
    </row>
    <row r="48" spans="1:9">
      <c r="A48" s="374" t="s">
        <v>597</v>
      </c>
      <c r="B48" s="418" t="s">
        <v>177</v>
      </c>
      <c r="C48" s="419"/>
      <c r="D48" s="425" t="s">
        <v>178</v>
      </c>
      <c r="E48" s="420">
        <v>144</v>
      </c>
      <c r="F48" s="421"/>
      <c r="G48" s="421"/>
      <c r="H48" s="422">
        <f t="shared" si="0"/>
        <v>144</v>
      </c>
      <c r="I48" s="423" t="s">
        <v>838</v>
      </c>
    </row>
    <row r="49" spans="1:9">
      <c r="A49" s="374" t="s">
        <v>601</v>
      </c>
      <c r="B49" s="418" t="s">
        <v>127</v>
      </c>
      <c r="C49" s="419"/>
      <c r="D49" s="411" t="s">
        <v>128</v>
      </c>
      <c r="E49" s="420">
        <v>161</v>
      </c>
      <c r="F49" s="421"/>
      <c r="G49" s="421"/>
      <c r="H49" s="422">
        <f t="shared" si="0"/>
        <v>161</v>
      </c>
      <c r="I49" s="423" t="s">
        <v>838</v>
      </c>
    </row>
    <row r="50" spans="1:9">
      <c r="A50" s="374" t="s">
        <v>595</v>
      </c>
      <c r="B50" s="418" t="s">
        <v>395</v>
      </c>
      <c r="C50" s="419"/>
      <c r="D50" s="411" t="s">
        <v>396</v>
      </c>
      <c r="E50" s="420">
        <v>1705</v>
      </c>
      <c r="F50" s="421"/>
      <c r="G50" s="421"/>
      <c r="H50" s="422">
        <f t="shared" si="0"/>
        <v>1705</v>
      </c>
      <c r="I50" s="423" t="s">
        <v>838</v>
      </c>
    </row>
    <row r="51" spans="1:9">
      <c r="A51" s="374" t="s">
        <v>599</v>
      </c>
      <c r="B51" s="418" t="s">
        <v>58</v>
      </c>
      <c r="C51" s="419"/>
      <c r="D51" s="411" t="s">
        <v>59</v>
      </c>
      <c r="E51" s="420">
        <v>2073</v>
      </c>
      <c r="F51" s="421"/>
      <c r="G51" s="421"/>
      <c r="H51" s="422">
        <f t="shared" si="0"/>
        <v>2073</v>
      </c>
      <c r="I51" s="423" t="s">
        <v>838</v>
      </c>
    </row>
    <row r="52" spans="1:9">
      <c r="A52" s="374" t="s">
        <v>597</v>
      </c>
      <c r="B52" s="418" t="s">
        <v>175</v>
      </c>
      <c r="C52" s="419"/>
      <c r="D52" s="411" t="s">
        <v>176</v>
      </c>
      <c r="E52" s="420">
        <v>2682</v>
      </c>
      <c r="F52" s="421"/>
      <c r="G52" s="421"/>
      <c r="H52" s="422">
        <f t="shared" si="0"/>
        <v>2682</v>
      </c>
      <c r="I52" s="423" t="s">
        <v>838</v>
      </c>
    </row>
    <row r="53" spans="1:9">
      <c r="A53" s="374" t="s">
        <v>595</v>
      </c>
      <c r="B53" s="418" t="s">
        <v>506</v>
      </c>
      <c r="C53" s="419"/>
      <c r="D53" s="411" t="s">
        <v>507</v>
      </c>
      <c r="E53" s="420">
        <v>226</v>
      </c>
      <c r="F53" s="421"/>
      <c r="G53" s="421"/>
      <c r="H53" s="422">
        <f t="shared" si="0"/>
        <v>226</v>
      </c>
      <c r="I53" s="423" t="s">
        <v>838</v>
      </c>
    </row>
    <row r="54" spans="1:9">
      <c r="A54" s="374" t="s">
        <v>597</v>
      </c>
      <c r="B54" s="418" t="s">
        <v>369</v>
      </c>
      <c r="C54" s="419"/>
      <c r="D54" s="411" t="s">
        <v>370</v>
      </c>
      <c r="E54" s="420">
        <v>334</v>
      </c>
      <c r="F54" s="421">
        <v>0</v>
      </c>
      <c r="G54" s="421">
        <v>0</v>
      </c>
      <c r="H54" s="422">
        <f t="shared" si="0"/>
        <v>334</v>
      </c>
      <c r="I54" s="423" t="s">
        <v>838</v>
      </c>
    </row>
    <row r="55" spans="1:9">
      <c r="A55" s="374" t="s">
        <v>596</v>
      </c>
      <c r="B55" s="418" t="s">
        <v>19</v>
      </c>
      <c r="C55" s="419"/>
      <c r="D55" s="411" t="s">
        <v>20</v>
      </c>
      <c r="E55" s="420">
        <v>117</v>
      </c>
      <c r="F55" s="421"/>
      <c r="G55" s="421"/>
      <c r="H55" s="422">
        <f t="shared" si="0"/>
        <v>117</v>
      </c>
      <c r="I55" s="423" t="s">
        <v>838</v>
      </c>
    </row>
    <row r="56" spans="1:9">
      <c r="A56" s="374" t="s">
        <v>597</v>
      </c>
      <c r="B56" s="418" t="s">
        <v>361</v>
      </c>
      <c r="C56" s="419"/>
      <c r="D56" s="411" t="s">
        <v>362</v>
      </c>
      <c r="E56" s="420">
        <v>515</v>
      </c>
      <c r="F56" s="421"/>
      <c r="G56" s="421"/>
      <c r="H56" s="422">
        <f t="shared" si="0"/>
        <v>515</v>
      </c>
      <c r="I56" s="423" t="s">
        <v>838</v>
      </c>
    </row>
    <row r="57" spans="1:9">
      <c r="A57" s="374" t="s">
        <v>605</v>
      </c>
      <c r="B57" s="418" t="s">
        <v>246</v>
      </c>
      <c r="C57" s="419">
        <v>105</v>
      </c>
      <c r="D57" s="432" t="s">
        <v>843</v>
      </c>
      <c r="E57" s="420">
        <v>36</v>
      </c>
      <c r="F57" s="421"/>
      <c r="G57" s="421"/>
      <c r="H57" s="422">
        <f t="shared" si="0"/>
        <v>36</v>
      </c>
      <c r="I57" s="423" t="s">
        <v>838</v>
      </c>
    </row>
    <row r="58" spans="1:9">
      <c r="A58" s="374" t="s">
        <v>605</v>
      </c>
      <c r="B58" s="418" t="s">
        <v>555</v>
      </c>
      <c r="C58" s="419"/>
      <c r="D58" s="425" t="s">
        <v>556</v>
      </c>
      <c r="E58" s="420">
        <v>975</v>
      </c>
      <c r="F58" s="421"/>
      <c r="G58" s="421"/>
      <c r="H58" s="422">
        <f t="shared" si="0"/>
        <v>975</v>
      </c>
      <c r="I58" s="423" t="s">
        <v>838</v>
      </c>
    </row>
    <row r="59" spans="1:9">
      <c r="A59" s="374" t="s">
        <v>605</v>
      </c>
      <c r="B59" s="418" t="s">
        <v>563</v>
      </c>
      <c r="C59" s="419"/>
      <c r="D59" s="425" t="s">
        <v>564</v>
      </c>
      <c r="E59" s="420">
        <v>543</v>
      </c>
      <c r="F59" s="421">
        <v>0</v>
      </c>
      <c r="G59" s="421">
        <v>24</v>
      </c>
      <c r="H59" s="422">
        <f t="shared" si="0"/>
        <v>567</v>
      </c>
      <c r="I59" s="423" t="s">
        <v>838</v>
      </c>
    </row>
    <row r="60" spans="1:9">
      <c r="A60" s="374" t="s">
        <v>595</v>
      </c>
      <c r="B60" s="418" t="s">
        <v>419</v>
      </c>
      <c r="C60" s="419">
        <v>189</v>
      </c>
      <c r="D60" s="424" t="s">
        <v>420</v>
      </c>
      <c r="E60" s="420">
        <v>24</v>
      </c>
      <c r="F60" s="421"/>
      <c r="G60" s="421"/>
      <c r="H60" s="422">
        <f t="shared" si="0"/>
        <v>24</v>
      </c>
      <c r="I60" s="423" t="s">
        <v>838</v>
      </c>
    </row>
    <row r="61" spans="1:9">
      <c r="A61" s="374" t="s">
        <v>605</v>
      </c>
      <c r="B61" s="418" t="s">
        <v>561</v>
      </c>
      <c r="C61" s="419"/>
      <c r="D61" s="411" t="s">
        <v>562</v>
      </c>
      <c r="E61" s="420">
        <v>220</v>
      </c>
      <c r="F61" s="421"/>
      <c r="G61" s="421"/>
      <c r="H61" s="422">
        <f t="shared" si="0"/>
        <v>220</v>
      </c>
      <c r="I61" s="423" t="s">
        <v>838</v>
      </c>
    </row>
    <row r="62" spans="1:9">
      <c r="A62" s="374" t="s">
        <v>597</v>
      </c>
      <c r="B62" s="418" t="s">
        <v>181</v>
      </c>
      <c r="C62" s="419"/>
      <c r="D62" s="411" t="s">
        <v>182</v>
      </c>
      <c r="E62" s="420">
        <v>3429</v>
      </c>
      <c r="F62" s="421">
        <v>35</v>
      </c>
      <c r="G62" s="421">
        <v>0</v>
      </c>
      <c r="H62" s="422">
        <f t="shared" si="0"/>
        <v>3464</v>
      </c>
      <c r="I62" s="423" t="s">
        <v>838</v>
      </c>
    </row>
    <row r="63" spans="1:9">
      <c r="A63" s="374" t="s">
        <v>599</v>
      </c>
      <c r="B63" s="418" t="s">
        <v>51</v>
      </c>
      <c r="C63" s="419">
        <v>189</v>
      </c>
      <c r="D63" s="424" t="s">
        <v>52</v>
      </c>
      <c r="E63" s="420">
        <v>21</v>
      </c>
      <c r="F63" s="421"/>
      <c r="G63" s="421"/>
      <c r="H63" s="422">
        <f t="shared" si="0"/>
        <v>21</v>
      </c>
      <c r="I63" s="423" t="s">
        <v>838</v>
      </c>
    </row>
    <row r="64" spans="1:9">
      <c r="A64" s="374" t="s">
        <v>594</v>
      </c>
      <c r="B64" s="418" t="s">
        <v>134</v>
      </c>
      <c r="C64" s="419">
        <v>189</v>
      </c>
      <c r="D64" s="424" t="s">
        <v>844</v>
      </c>
      <c r="E64" s="420">
        <v>44</v>
      </c>
      <c r="F64" s="421"/>
      <c r="G64" s="421"/>
      <c r="H64" s="422">
        <f t="shared" si="0"/>
        <v>44</v>
      </c>
      <c r="I64" s="423" t="s">
        <v>781</v>
      </c>
    </row>
    <row r="65" spans="1:9">
      <c r="A65" s="374" t="s">
        <v>597</v>
      </c>
      <c r="B65" s="418" t="s">
        <v>201</v>
      </c>
      <c r="C65" s="419"/>
      <c r="D65" s="411" t="s">
        <v>202</v>
      </c>
      <c r="E65" s="420">
        <v>603</v>
      </c>
      <c r="F65" s="421"/>
      <c r="G65" s="421"/>
      <c r="H65" s="422">
        <f t="shared" si="0"/>
        <v>603</v>
      </c>
      <c r="I65" s="423" t="s">
        <v>838</v>
      </c>
    </row>
    <row r="66" spans="1:9">
      <c r="A66" s="374" t="s">
        <v>599</v>
      </c>
      <c r="B66" s="418" t="s">
        <v>80</v>
      </c>
      <c r="C66" s="419"/>
      <c r="D66" s="411" t="s">
        <v>81</v>
      </c>
      <c r="E66" s="420">
        <v>181</v>
      </c>
      <c r="F66" s="421"/>
      <c r="G66" s="421"/>
      <c r="H66" s="422">
        <f t="shared" ref="H66:H129" si="1">SUM(E66:G66)</f>
        <v>181</v>
      </c>
      <c r="I66" s="423" t="s">
        <v>838</v>
      </c>
    </row>
    <row r="67" spans="1:9">
      <c r="A67" s="374" t="s">
        <v>596</v>
      </c>
      <c r="B67" s="418" t="s">
        <v>14</v>
      </c>
      <c r="C67" s="419"/>
      <c r="D67" s="411" t="s">
        <v>15</v>
      </c>
      <c r="E67" s="420">
        <v>1614</v>
      </c>
      <c r="F67" s="421"/>
      <c r="G67" s="421"/>
      <c r="H67" s="422">
        <f t="shared" si="1"/>
        <v>1614</v>
      </c>
      <c r="I67" s="423" t="s">
        <v>838</v>
      </c>
    </row>
    <row r="68" spans="1:9">
      <c r="A68" s="374" t="s">
        <v>597</v>
      </c>
      <c r="B68" s="418" t="s">
        <v>207</v>
      </c>
      <c r="C68" s="419"/>
      <c r="D68" s="411" t="s">
        <v>208</v>
      </c>
      <c r="E68" s="420">
        <v>3936</v>
      </c>
      <c r="F68" s="421">
        <v>0</v>
      </c>
      <c r="G68" s="421">
        <v>27</v>
      </c>
      <c r="H68" s="422">
        <f t="shared" si="1"/>
        <v>3963</v>
      </c>
      <c r="I68" s="423" t="s">
        <v>838</v>
      </c>
    </row>
    <row r="69" spans="1:9">
      <c r="A69" s="374" t="s">
        <v>596</v>
      </c>
      <c r="B69" s="418" t="s">
        <v>18</v>
      </c>
      <c r="C69" s="419"/>
      <c r="D69" s="411" t="s">
        <v>608</v>
      </c>
      <c r="E69" s="420">
        <v>212</v>
      </c>
      <c r="F69" s="421"/>
      <c r="G69" s="421"/>
      <c r="H69" s="422">
        <f t="shared" si="1"/>
        <v>212</v>
      </c>
      <c r="I69" s="423" t="s">
        <v>838</v>
      </c>
    </row>
    <row r="70" spans="1:9">
      <c r="A70" s="374" t="s">
        <v>605</v>
      </c>
      <c r="B70" s="418" t="s">
        <v>228</v>
      </c>
      <c r="C70" s="419">
        <v>105</v>
      </c>
      <c r="D70" s="432" t="s">
        <v>845</v>
      </c>
      <c r="E70" s="420">
        <v>40</v>
      </c>
      <c r="F70" s="421"/>
      <c r="G70" s="421"/>
      <c r="H70" s="422">
        <f t="shared" si="1"/>
        <v>40</v>
      </c>
      <c r="I70" s="423" t="s">
        <v>838</v>
      </c>
    </row>
    <row r="71" spans="1:9">
      <c r="A71" s="374" t="s">
        <v>595</v>
      </c>
      <c r="B71" s="418" t="s">
        <v>382</v>
      </c>
      <c r="C71" s="419">
        <v>189</v>
      </c>
      <c r="D71" s="424" t="s">
        <v>383</v>
      </c>
      <c r="E71" s="420">
        <v>11</v>
      </c>
      <c r="F71" s="421"/>
      <c r="G71" s="421"/>
      <c r="H71" s="422">
        <f t="shared" si="1"/>
        <v>11</v>
      </c>
      <c r="I71" s="423" t="s">
        <v>838</v>
      </c>
    </row>
    <row r="72" spans="1:9">
      <c r="A72" s="374" t="s">
        <v>599</v>
      </c>
      <c r="B72" s="418" t="s">
        <v>53</v>
      </c>
      <c r="C72" s="419">
        <v>189</v>
      </c>
      <c r="D72" s="424" t="s">
        <v>609</v>
      </c>
      <c r="E72" s="420">
        <v>17</v>
      </c>
      <c r="F72" s="421"/>
      <c r="G72" s="421"/>
      <c r="H72" s="422">
        <f t="shared" si="1"/>
        <v>17</v>
      </c>
      <c r="I72" s="423" t="s">
        <v>838</v>
      </c>
    </row>
    <row r="73" spans="1:9">
      <c r="A73" s="374" t="s">
        <v>601</v>
      </c>
      <c r="B73" s="418" t="s">
        <v>31</v>
      </c>
      <c r="C73" s="419"/>
      <c r="D73" s="411" t="s">
        <v>32</v>
      </c>
      <c r="E73" s="420">
        <v>277</v>
      </c>
      <c r="F73" s="421"/>
      <c r="G73" s="421"/>
      <c r="H73" s="422">
        <f t="shared" si="1"/>
        <v>277</v>
      </c>
      <c r="I73" s="423" t="s">
        <v>838</v>
      </c>
    </row>
    <row r="74" spans="1:9">
      <c r="A74" s="374" t="s">
        <v>595</v>
      </c>
      <c r="B74" s="418" t="s">
        <v>397</v>
      </c>
      <c r="C74" s="419"/>
      <c r="D74" s="411" t="s">
        <v>398</v>
      </c>
      <c r="E74" s="420">
        <v>221</v>
      </c>
      <c r="F74" s="421">
        <v>0</v>
      </c>
      <c r="G74" s="421">
        <v>0</v>
      </c>
      <c r="H74" s="422">
        <f t="shared" si="1"/>
        <v>221</v>
      </c>
      <c r="I74" s="423" t="s">
        <v>838</v>
      </c>
    </row>
    <row r="75" spans="1:9">
      <c r="A75" s="374" t="s">
        <v>597</v>
      </c>
      <c r="B75" s="418" t="s">
        <v>205</v>
      </c>
      <c r="C75" s="419"/>
      <c r="D75" s="411" t="s">
        <v>206</v>
      </c>
      <c r="E75" s="420">
        <v>1235</v>
      </c>
      <c r="F75" s="421"/>
      <c r="G75" s="421"/>
      <c r="H75" s="422">
        <f t="shared" si="1"/>
        <v>1235</v>
      </c>
      <c r="I75" s="423" t="s">
        <v>838</v>
      </c>
    </row>
    <row r="76" spans="1:9">
      <c r="A76" s="374" t="s">
        <v>595</v>
      </c>
      <c r="B76" s="418" t="s">
        <v>413</v>
      </c>
      <c r="C76" s="419"/>
      <c r="D76" s="411" t="s">
        <v>414</v>
      </c>
      <c r="E76" s="420">
        <v>69</v>
      </c>
      <c r="F76" s="421"/>
      <c r="G76" s="421"/>
      <c r="H76" s="422">
        <f t="shared" si="1"/>
        <v>69</v>
      </c>
      <c r="I76" s="423" t="s">
        <v>838</v>
      </c>
    </row>
    <row r="77" spans="1:9">
      <c r="A77" s="374" t="s">
        <v>603</v>
      </c>
      <c r="B77" s="418" t="s">
        <v>6</v>
      </c>
      <c r="C77" s="419"/>
      <c r="D77" s="411" t="s">
        <v>7</v>
      </c>
      <c r="E77" s="420">
        <v>23</v>
      </c>
      <c r="F77" s="421"/>
      <c r="G77" s="421"/>
      <c r="H77" s="422">
        <f t="shared" si="1"/>
        <v>23</v>
      </c>
      <c r="I77" s="423" t="s">
        <v>839</v>
      </c>
    </row>
    <row r="78" spans="1:9">
      <c r="A78" s="374" t="s">
        <v>599</v>
      </c>
      <c r="B78" s="418" t="s">
        <v>70</v>
      </c>
      <c r="C78" s="419"/>
      <c r="D78" s="425" t="s">
        <v>71</v>
      </c>
      <c r="E78" s="420">
        <v>314</v>
      </c>
      <c r="F78" s="421">
        <v>5</v>
      </c>
      <c r="G78" s="421">
        <v>0</v>
      </c>
      <c r="H78" s="422">
        <f t="shared" si="1"/>
        <v>319</v>
      </c>
      <c r="I78" s="423" t="s">
        <v>838</v>
      </c>
    </row>
    <row r="79" spans="1:9">
      <c r="A79" s="374" t="s">
        <v>595</v>
      </c>
      <c r="B79" s="418" t="s">
        <v>373</v>
      </c>
      <c r="C79" s="419">
        <v>189</v>
      </c>
      <c r="D79" s="424" t="s">
        <v>374</v>
      </c>
      <c r="E79" s="420">
        <v>6</v>
      </c>
      <c r="F79" s="421"/>
      <c r="G79" s="421"/>
      <c r="H79" s="422">
        <f t="shared" si="1"/>
        <v>6</v>
      </c>
      <c r="I79" s="423" t="s">
        <v>838</v>
      </c>
    </row>
    <row r="80" spans="1:9">
      <c r="A80" s="374" t="s">
        <v>595</v>
      </c>
      <c r="B80" s="418" t="s">
        <v>510</v>
      </c>
      <c r="C80" s="419"/>
      <c r="D80" s="411" t="s">
        <v>511</v>
      </c>
      <c r="E80" s="420">
        <v>231</v>
      </c>
      <c r="F80" s="421"/>
      <c r="G80" s="421"/>
      <c r="H80" s="422">
        <f t="shared" si="1"/>
        <v>231</v>
      </c>
      <c r="I80" s="423" t="s">
        <v>838</v>
      </c>
    </row>
    <row r="81" spans="1:9">
      <c r="A81" s="374" t="s">
        <v>605</v>
      </c>
      <c r="B81" s="418" t="s">
        <v>553</v>
      </c>
      <c r="C81" s="419"/>
      <c r="D81" s="425" t="s">
        <v>554</v>
      </c>
      <c r="E81" s="420">
        <v>363</v>
      </c>
      <c r="F81" s="421">
        <v>0</v>
      </c>
      <c r="G81" s="421">
        <v>0</v>
      </c>
      <c r="H81" s="422">
        <f t="shared" si="1"/>
        <v>363</v>
      </c>
      <c r="I81" s="423" t="s">
        <v>838</v>
      </c>
    </row>
    <row r="82" spans="1:9">
      <c r="A82" s="374" t="s">
        <v>601</v>
      </c>
      <c r="B82" s="418" t="s">
        <v>90</v>
      </c>
      <c r="C82" s="419"/>
      <c r="D82" s="411" t="s">
        <v>91</v>
      </c>
      <c r="E82" s="420">
        <v>2</v>
      </c>
      <c r="F82" s="421"/>
      <c r="G82" s="421"/>
      <c r="H82" s="422">
        <f t="shared" si="1"/>
        <v>2</v>
      </c>
      <c r="I82" s="423" t="s">
        <v>839</v>
      </c>
    </row>
    <row r="83" spans="1:9">
      <c r="A83" s="374" t="s">
        <v>601</v>
      </c>
      <c r="B83" s="418" t="s">
        <v>25</v>
      </c>
      <c r="C83" s="419"/>
      <c r="D83" s="411" t="s">
        <v>26</v>
      </c>
      <c r="E83" s="420">
        <v>212</v>
      </c>
      <c r="F83" s="421"/>
      <c r="G83" s="421"/>
      <c r="H83" s="422">
        <f t="shared" si="1"/>
        <v>212</v>
      </c>
      <c r="I83" s="423" t="s">
        <v>838</v>
      </c>
    </row>
    <row r="84" spans="1:9">
      <c r="A84" s="374" t="s">
        <v>595</v>
      </c>
      <c r="B84" s="418" t="s">
        <v>405</v>
      </c>
      <c r="C84" s="419"/>
      <c r="D84" s="425" t="s">
        <v>406</v>
      </c>
      <c r="E84" s="420">
        <v>714</v>
      </c>
      <c r="F84" s="421"/>
      <c r="G84" s="421"/>
      <c r="H84" s="422">
        <f t="shared" si="1"/>
        <v>714</v>
      </c>
      <c r="I84" s="423" t="s">
        <v>838</v>
      </c>
    </row>
    <row r="85" spans="1:9">
      <c r="A85" s="374" t="s">
        <v>603</v>
      </c>
      <c r="B85" s="418" t="s">
        <v>432</v>
      </c>
      <c r="C85" s="419"/>
      <c r="D85" s="425" t="s">
        <v>433</v>
      </c>
      <c r="E85" s="420">
        <v>140</v>
      </c>
      <c r="F85" s="421"/>
      <c r="G85" s="421"/>
      <c r="H85" s="422">
        <f t="shared" si="1"/>
        <v>140</v>
      </c>
      <c r="I85" s="423" t="s">
        <v>838</v>
      </c>
    </row>
    <row r="86" spans="1:9">
      <c r="A86" s="374" t="s">
        <v>603</v>
      </c>
      <c r="B86" s="418" t="s">
        <v>430</v>
      </c>
      <c r="C86" s="419"/>
      <c r="D86" s="411" t="s">
        <v>431</v>
      </c>
      <c r="E86" s="420">
        <v>14</v>
      </c>
      <c r="F86" s="421"/>
      <c r="G86" s="421"/>
      <c r="H86" s="422">
        <f t="shared" si="1"/>
        <v>14</v>
      </c>
      <c r="I86" s="423" t="s">
        <v>785</v>
      </c>
    </row>
    <row r="87" spans="1:9">
      <c r="A87" s="374" t="s">
        <v>597</v>
      </c>
      <c r="B87" s="418" t="s">
        <v>179</v>
      </c>
      <c r="C87" s="419"/>
      <c r="D87" s="411" t="s">
        <v>180</v>
      </c>
      <c r="E87" s="420">
        <v>74</v>
      </c>
      <c r="F87" s="421"/>
      <c r="G87" s="421"/>
      <c r="H87" s="422">
        <f t="shared" si="1"/>
        <v>74</v>
      </c>
      <c r="I87" s="423" t="s">
        <v>838</v>
      </c>
    </row>
    <row r="88" spans="1:9">
      <c r="A88" s="374" t="s">
        <v>595</v>
      </c>
      <c r="B88" s="418" t="s">
        <v>512</v>
      </c>
      <c r="C88" s="419"/>
      <c r="D88" s="411" t="s">
        <v>513</v>
      </c>
      <c r="E88" s="420">
        <v>129</v>
      </c>
      <c r="F88" s="421"/>
      <c r="G88" s="421"/>
      <c r="H88" s="422">
        <f t="shared" si="1"/>
        <v>129</v>
      </c>
      <c r="I88" s="423" t="s">
        <v>838</v>
      </c>
    </row>
    <row r="89" spans="1:9">
      <c r="A89" s="374" t="s">
        <v>601</v>
      </c>
      <c r="B89" s="418" t="s">
        <v>319</v>
      </c>
      <c r="C89" s="419"/>
      <c r="D89" s="411" t="s">
        <v>320</v>
      </c>
      <c r="E89" s="420">
        <v>14</v>
      </c>
      <c r="F89" s="421"/>
      <c r="G89" s="421"/>
      <c r="H89" s="422">
        <f t="shared" si="1"/>
        <v>14</v>
      </c>
      <c r="I89" s="423" t="s">
        <v>839</v>
      </c>
    </row>
    <row r="90" spans="1:9">
      <c r="A90" s="374" t="s">
        <v>595</v>
      </c>
      <c r="B90" s="418" t="s">
        <v>409</v>
      </c>
      <c r="C90" s="419"/>
      <c r="D90" s="411" t="s">
        <v>410</v>
      </c>
      <c r="E90" s="420">
        <v>417</v>
      </c>
      <c r="F90" s="421"/>
      <c r="G90" s="421"/>
      <c r="H90" s="422">
        <f t="shared" si="1"/>
        <v>417</v>
      </c>
      <c r="I90" s="423" t="s">
        <v>838</v>
      </c>
    </row>
    <row r="91" spans="1:9">
      <c r="A91" s="374" t="s">
        <v>594</v>
      </c>
      <c r="B91" s="418" t="s">
        <v>139</v>
      </c>
      <c r="C91" s="419">
        <v>189</v>
      </c>
      <c r="D91" s="424" t="s">
        <v>140</v>
      </c>
      <c r="E91" s="420">
        <v>18</v>
      </c>
      <c r="F91" s="421"/>
      <c r="G91" s="421"/>
      <c r="H91" s="422">
        <f t="shared" si="1"/>
        <v>18</v>
      </c>
      <c r="I91" s="423" t="s">
        <v>838</v>
      </c>
    </row>
    <row r="92" spans="1:9">
      <c r="A92" s="374" t="s">
        <v>601</v>
      </c>
      <c r="B92" s="418" t="s">
        <v>125</v>
      </c>
      <c r="C92" s="419"/>
      <c r="D92" s="425" t="s">
        <v>126</v>
      </c>
      <c r="E92" s="420">
        <v>588</v>
      </c>
      <c r="F92" s="421"/>
      <c r="G92" s="421"/>
      <c r="H92" s="422">
        <f t="shared" si="1"/>
        <v>588</v>
      </c>
      <c r="I92" s="423" t="s">
        <v>838</v>
      </c>
    </row>
    <row r="93" spans="1:9">
      <c r="A93" s="374" t="s">
        <v>594</v>
      </c>
      <c r="B93" s="418" t="s">
        <v>258</v>
      </c>
      <c r="C93" s="419">
        <v>189</v>
      </c>
      <c r="D93" s="424" t="s">
        <v>259</v>
      </c>
      <c r="E93" s="420">
        <v>42</v>
      </c>
      <c r="F93" s="421"/>
      <c r="G93" s="421"/>
      <c r="H93" s="422">
        <f t="shared" si="1"/>
        <v>42</v>
      </c>
      <c r="I93" s="433" t="s">
        <v>838</v>
      </c>
    </row>
    <row r="94" spans="1:9">
      <c r="A94" s="374" t="s">
        <v>605</v>
      </c>
      <c r="B94" s="418" t="s">
        <v>571</v>
      </c>
      <c r="C94" s="419"/>
      <c r="D94" s="425" t="s">
        <v>572</v>
      </c>
      <c r="E94" s="420">
        <v>113</v>
      </c>
      <c r="F94" s="421"/>
      <c r="G94" s="421"/>
      <c r="H94" s="422">
        <f t="shared" si="1"/>
        <v>113</v>
      </c>
      <c r="I94" s="423" t="s">
        <v>838</v>
      </c>
    </row>
    <row r="95" spans="1:9">
      <c r="A95" s="374" t="s">
        <v>595</v>
      </c>
      <c r="B95" s="418" t="s">
        <v>516</v>
      </c>
      <c r="C95" s="419"/>
      <c r="D95" s="425" t="s">
        <v>517</v>
      </c>
      <c r="E95" s="420">
        <v>159</v>
      </c>
      <c r="F95" s="421"/>
      <c r="G95" s="421"/>
      <c r="H95" s="422">
        <f t="shared" si="1"/>
        <v>159</v>
      </c>
      <c r="I95" s="423" t="s">
        <v>838</v>
      </c>
    </row>
    <row r="96" spans="1:9">
      <c r="A96" s="374" t="s">
        <v>595</v>
      </c>
      <c r="B96" s="418" t="s">
        <v>386</v>
      </c>
      <c r="C96" s="419"/>
      <c r="D96" s="411" t="s">
        <v>610</v>
      </c>
      <c r="E96" s="420">
        <v>1413</v>
      </c>
      <c r="F96" s="421"/>
      <c r="G96" s="421"/>
      <c r="H96" s="422">
        <f t="shared" si="1"/>
        <v>1413</v>
      </c>
      <c r="I96" s="423" t="s">
        <v>838</v>
      </c>
    </row>
    <row r="97" spans="1:9">
      <c r="A97" s="374" t="s">
        <v>595</v>
      </c>
      <c r="B97" s="418" t="s">
        <v>399</v>
      </c>
      <c r="C97" s="419"/>
      <c r="D97" s="411" t="s">
        <v>400</v>
      </c>
      <c r="E97" s="420">
        <v>2256</v>
      </c>
      <c r="F97" s="421"/>
      <c r="G97" s="421"/>
      <c r="H97" s="422">
        <f t="shared" si="1"/>
        <v>2256</v>
      </c>
      <c r="I97" s="423" t="s">
        <v>838</v>
      </c>
    </row>
    <row r="98" spans="1:9">
      <c r="A98" s="374" t="s">
        <v>605</v>
      </c>
      <c r="B98" s="418" t="s">
        <v>545</v>
      </c>
      <c r="C98" s="419">
        <v>105</v>
      </c>
      <c r="D98" s="411" t="s">
        <v>846</v>
      </c>
      <c r="E98" s="420">
        <v>66</v>
      </c>
      <c r="F98" s="421"/>
      <c r="G98" s="421"/>
      <c r="H98" s="422">
        <f t="shared" si="1"/>
        <v>66</v>
      </c>
      <c r="I98" s="423" t="s">
        <v>838</v>
      </c>
    </row>
    <row r="99" spans="1:9">
      <c r="A99" s="374" t="s">
        <v>594</v>
      </c>
      <c r="B99" s="418" t="s">
        <v>252</v>
      </c>
      <c r="C99" s="419">
        <v>189</v>
      </c>
      <c r="D99" s="424" t="s">
        <v>253</v>
      </c>
      <c r="E99" s="420">
        <v>0</v>
      </c>
      <c r="F99" s="421"/>
      <c r="G99" s="421"/>
      <c r="H99" s="422">
        <f t="shared" si="1"/>
        <v>0</v>
      </c>
      <c r="I99" s="423" t="s">
        <v>838</v>
      </c>
    </row>
    <row r="100" spans="1:9">
      <c r="A100" s="374" t="s">
        <v>599</v>
      </c>
      <c r="B100" s="418" t="s">
        <v>331</v>
      </c>
      <c r="C100" s="419">
        <v>189</v>
      </c>
      <c r="D100" s="424" t="s">
        <v>611</v>
      </c>
      <c r="E100" s="420">
        <v>6</v>
      </c>
      <c r="F100" s="421"/>
      <c r="G100" s="421"/>
      <c r="H100" s="422">
        <f t="shared" si="1"/>
        <v>6</v>
      </c>
      <c r="I100" s="423" t="s">
        <v>838</v>
      </c>
    </row>
    <row r="101" spans="1:9">
      <c r="A101" s="374" t="s">
        <v>595</v>
      </c>
      <c r="B101" s="418" t="s">
        <v>514</v>
      </c>
      <c r="C101" s="419"/>
      <c r="D101" s="411" t="s">
        <v>515</v>
      </c>
      <c r="E101" s="420">
        <v>173</v>
      </c>
      <c r="F101" s="421"/>
      <c r="G101" s="421"/>
      <c r="H101" s="422">
        <f t="shared" si="1"/>
        <v>173</v>
      </c>
      <c r="I101" s="423" t="s">
        <v>838</v>
      </c>
    </row>
    <row r="102" spans="1:9">
      <c r="A102" s="374" t="s">
        <v>596</v>
      </c>
      <c r="B102" s="418" t="s">
        <v>106</v>
      </c>
      <c r="C102" s="419"/>
      <c r="D102" s="411" t="s">
        <v>107</v>
      </c>
      <c r="E102" s="420">
        <v>671</v>
      </c>
      <c r="F102" s="421"/>
      <c r="G102" s="421"/>
      <c r="H102" s="422">
        <f t="shared" si="1"/>
        <v>671</v>
      </c>
      <c r="I102" s="423" t="s">
        <v>838</v>
      </c>
    </row>
    <row r="103" spans="1:9">
      <c r="A103" s="374" t="s">
        <v>600</v>
      </c>
      <c r="B103" s="418" t="s">
        <v>214</v>
      </c>
      <c r="C103" s="419"/>
      <c r="D103" s="411" t="s">
        <v>215</v>
      </c>
      <c r="E103" s="420">
        <v>207</v>
      </c>
      <c r="F103" s="421"/>
      <c r="G103" s="421">
        <v>3</v>
      </c>
      <c r="H103" s="422">
        <f t="shared" si="1"/>
        <v>210</v>
      </c>
      <c r="I103" s="423" t="s">
        <v>838</v>
      </c>
    </row>
    <row r="104" spans="1:9">
      <c r="A104" s="374" t="s">
        <v>600</v>
      </c>
      <c r="B104" s="418" t="s">
        <v>305</v>
      </c>
      <c r="C104" s="419"/>
      <c r="D104" s="411" t="s">
        <v>306</v>
      </c>
      <c r="E104" s="420">
        <v>77</v>
      </c>
      <c r="F104" s="421"/>
      <c r="G104" s="421"/>
      <c r="H104" s="422">
        <f t="shared" si="1"/>
        <v>77</v>
      </c>
      <c r="I104" s="423" t="s">
        <v>838</v>
      </c>
    </row>
    <row r="105" spans="1:9">
      <c r="A105" s="374" t="s">
        <v>594</v>
      </c>
      <c r="B105" s="418" t="s">
        <v>474</v>
      </c>
      <c r="C105" s="419"/>
      <c r="D105" s="411" t="s">
        <v>475</v>
      </c>
      <c r="E105" s="420">
        <v>364</v>
      </c>
      <c r="F105" s="421"/>
      <c r="G105" s="421"/>
      <c r="H105" s="422">
        <f t="shared" si="1"/>
        <v>364</v>
      </c>
      <c r="I105" s="423" t="s">
        <v>838</v>
      </c>
    </row>
    <row r="106" spans="1:9">
      <c r="A106" s="374" t="s">
        <v>597</v>
      </c>
      <c r="B106" s="418" t="s">
        <v>209</v>
      </c>
      <c r="C106" s="419"/>
      <c r="D106" s="411" t="s">
        <v>210</v>
      </c>
      <c r="E106" s="420">
        <v>895</v>
      </c>
      <c r="F106" s="421"/>
      <c r="G106" s="421"/>
      <c r="H106" s="422">
        <f t="shared" si="1"/>
        <v>895</v>
      </c>
      <c r="I106" s="423" t="s">
        <v>838</v>
      </c>
    </row>
    <row r="107" spans="1:9">
      <c r="A107" s="374" t="s">
        <v>595</v>
      </c>
      <c r="B107" s="418" t="s">
        <v>157</v>
      </c>
      <c r="C107" s="419"/>
      <c r="D107" s="411" t="s">
        <v>158</v>
      </c>
      <c r="E107" s="420">
        <v>125</v>
      </c>
      <c r="F107" s="421"/>
      <c r="G107" s="421"/>
      <c r="H107" s="422">
        <f t="shared" si="1"/>
        <v>125</v>
      </c>
      <c r="I107" s="423" t="s">
        <v>838</v>
      </c>
    </row>
    <row r="108" spans="1:9">
      <c r="A108" s="374" t="s">
        <v>599</v>
      </c>
      <c r="B108" s="418" t="s">
        <v>325</v>
      </c>
      <c r="C108" s="419" t="s">
        <v>847</v>
      </c>
      <c r="D108" s="434" t="s">
        <v>848</v>
      </c>
      <c r="E108" s="420">
        <v>35</v>
      </c>
      <c r="F108" s="421"/>
      <c r="G108" s="421"/>
      <c r="H108" s="422">
        <f t="shared" si="1"/>
        <v>35</v>
      </c>
      <c r="I108" s="423" t="s">
        <v>838</v>
      </c>
    </row>
    <row r="109" spans="1:9">
      <c r="A109" s="374" t="s">
        <v>594</v>
      </c>
      <c r="B109" s="418" t="s">
        <v>153</v>
      </c>
      <c r="C109" s="419">
        <v>189</v>
      </c>
      <c r="D109" s="424" t="s">
        <v>154</v>
      </c>
      <c r="E109" s="420">
        <v>40</v>
      </c>
      <c r="F109" s="421"/>
      <c r="G109" s="421"/>
      <c r="H109" s="422">
        <f t="shared" si="1"/>
        <v>40</v>
      </c>
      <c r="I109" s="423" t="s">
        <v>838</v>
      </c>
    </row>
    <row r="110" spans="1:9">
      <c r="A110" s="374" t="s">
        <v>601</v>
      </c>
      <c r="B110" s="418" t="s">
        <v>313</v>
      </c>
      <c r="C110" s="419"/>
      <c r="D110" s="411" t="s">
        <v>314</v>
      </c>
      <c r="E110" s="420">
        <v>76</v>
      </c>
      <c r="F110" s="421"/>
      <c r="G110" s="421"/>
      <c r="H110" s="422">
        <f t="shared" si="1"/>
        <v>76</v>
      </c>
      <c r="I110" s="423" t="s">
        <v>838</v>
      </c>
    </row>
    <row r="111" spans="1:9">
      <c r="A111" s="374" t="s">
        <v>594</v>
      </c>
      <c r="B111" s="418" t="s">
        <v>478</v>
      </c>
      <c r="C111" s="419"/>
      <c r="D111" s="411" t="s">
        <v>479</v>
      </c>
      <c r="E111" s="420">
        <v>197</v>
      </c>
      <c r="F111" s="421"/>
      <c r="G111" s="421"/>
      <c r="H111" s="422">
        <f t="shared" si="1"/>
        <v>197</v>
      </c>
      <c r="I111" s="423" t="s">
        <v>838</v>
      </c>
    </row>
    <row r="112" spans="1:9">
      <c r="A112" s="374" t="s">
        <v>601</v>
      </c>
      <c r="B112" s="418" t="s">
        <v>311</v>
      </c>
      <c r="C112" s="419" t="s">
        <v>612</v>
      </c>
      <c r="D112" s="435" t="s">
        <v>849</v>
      </c>
      <c r="E112" s="420">
        <v>78</v>
      </c>
      <c r="F112" s="421"/>
      <c r="G112" s="421"/>
      <c r="H112" s="422">
        <f t="shared" si="1"/>
        <v>78</v>
      </c>
      <c r="I112" s="423" t="s">
        <v>838</v>
      </c>
    </row>
    <row r="113" spans="1:9">
      <c r="A113" s="374" t="s">
        <v>594</v>
      </c>
      <c r="B113" s="418" t="s">
        <v>270</v>
      </c>
      <c r="C113" s="419">
        <v>189</v>
      </c>
      <c r="D113" s="424" t="s">
        <v>271</v>
      </c>
      <c r="E113" s="420">
        <v>16</v>
      </c>
      <c r="F113" s="421"/>
      <c r="G113" s="421"/>
      <c r="H113" s="422">
        <f t="shared" si="1"/>
        <v>16</v>
      </c>
      <c r="I113" s="423" t="s">
        <v>838</v>
      </c>
    </row>
    <row r="114" spans="1:9">
      <c r="A114" s="374" t="s">
        <v>595</v>
      </c>
      <c r="B114" s="418" t="s">
        <v>372</v>
      </c>
      <c r="C114" s="419">
        <v>189</v>
      </c>
      <c r="D114" s="424" t="s">
        <v>613</v>
      </c>
      <c r="E114" s="420">
        <v>9</v>
      </c>
      <c r="F114" s="421"/>
      <c r="G114" s="421"/>
      <c r="H114" s="422">
        <f t="shared" si="1"/>
        <v>9</v>
      </c>
      <c r="I114" s="423" t="s">
        <v>838</v>
      </c>
    </row>
    <row r="115" spans="1:9">
      <c r="A115" s="374" t="s">
        <v>601</v>
      </c>
      <c r="B115" s="418" t="s">
        <v>82</v>
      </c>
      <c r="C115" s="419"/>
      <c r="D115" s="411" t="s">
        <v>83</v>
      </c>
      <c r="E115" s="420">
        <v>89</v>
      </c>
      <c r="F115" s="421"/>
      <c r="G115" s="421"/>
      <c r="H115" s="422">
        <f t="shared" si="1"/>
        <v>89</v>
      </c>
      <c r="I115" s="423" t="s">
        <v>838</v>
      </c>
    </row>
    <row r="116" spans="1:9">
      <c r="A116" s="374" t="s">
        <v>601</v>
      </c>
      <c r="B116" s="418" t="s">
        <v>323</v>
      </c>
      <c r="C116" s="419"/>
      <c r="D116" s="411" t="s">
        <v>324</v>
      </c>
      <c r="E116" s="420">
        <v>74</v>
      </c>
      <c r="F116" s="421"/>
      <c r="G116" s="421"/>
      <c r="H116" s="422">
        <f t="shared" si="1"/>
        <v>74</v>
      </c>
      <c r="I116" s="423" t="s">
        <v>838</v>
      </c>
    </row>
    <row r="117" spans="1:9">
      <c r="A117" s="374" t="s">
        <v>597</v>
      </c>
      <c r="B117" s="418" t="s">
        <v>355</v>
      </c>
      <c r="C117" s="419">
        <v>189</v>
      </c>
      <c r="D117" s="424" t="s">
        <v>356</v>
      </c>
      <c r="E117" s="420">
        <v>27</v>
      </c>
      <c r="F117" s="421"/>
      <c r="G117" s="421"/>
      <c r="H117" s="422">
        <f t="shared" si="1"/>
        <v>27</v>
      </c>
      <c r="I117" s="423" t="s">
        <v>838</v>
      </c>
    </row>
    <row r="118" spans="1:9">
      <c r="A118" s="374" t="s">
        <v>596</v>
      </c>
      <c r="B118" s="418" t="s">
        <v>4</v>
      </c>
      <c r="C118" s="419"/>
      <c r="D118" s="411" t="s">
        <v>5</v>
      </c>
      <c r="E118" s="420">
        <v>1311</v>
      </c>
      <c r="F118" s="421"/>
      <c r="G118" s="421"/>
      <c r="H118" s="422">
        <f t="shared" si="1"/>
        <v>1311</v>
      </c>
      <c r="I118" s="423" t="s">
        <v>838</v>
      </c>
    </row>
    <row r="119" spans="1:9">
      <c r="A119" s="374" t="s">
        <v>601</v>
      </c>
      <c r="B119" s="418" t="s">
        <v>86</v>
      </c>
      <c r="C119" s="419"/>
      <c r="D119" s="411" t="s">
        <v>87</v>
      </c>
      <c r="E119" s="420">
        <v>20</v>
      </c>
      <c r="F119" s="421"/>
      <c r="G119" s="421"/>
      <c r="H119" s="422">
        <f t="shared" si="1"/>
        <v>20</v>
      </c>
      <c r="I119" s="423" t="s">
        <v>838</v>
      </c>
    </row>
    <row r="120" spans="1:9">
      <c r="A120" s="374" t="s">
        <v>596</v>
      </c>
      <c r="B120" s="418" t="s">
        <v>104</v>
      </c>
      <c r="C120" s="419"/>
      <c r="D120" s="411" t="s">
        <v>105</v>
      </c>
      <c r="E120" s="420">
        <v>4776</v>
      </c>
      <c r="F120" s="421"/>
      <c r="G120" s="421">
        <v>13</v>
      </c>
      <c r="H120" s="422">
        <f t="shared" si="1"/>
        <v>4789</v>
      </c>
      <c r="I120" s="423" t="s">
        <v>838</v>
      </c>
    </row>
    <row r="121" spans="1:9">
      <c r="A121" s="374" t="s">
        <v>601</v>
      </c>
      <c r="B121" s="418" t="s">
        <v>317</v>
      </c>
      <c r="C121" s="419" t="s">
        <v>612</v>
      </c>
      <c r="D121" s="435" t="s">
        <v>850</v>
      </c>
      <c r="E121" s="420">
        <v>31</v>
      </c>
      <c r="F121" s="421"/>
      <c r="G121" s="421"/>
      <c r="H121" s="422">
        <f t="shared" si="1"/>
        <v>31</v>
      </c>
      <c r="I121" s="423" t="s">
        <v>838</v>
      </c>
    </row>
    <row r="122" spans="1:9">
      <c r="A122" s="374" t="s">
        <v>596</v>
      </c>
      <c r="B122" s="418" t="s">
        <v>16</v>
      </c>
      <c r="C122" s="419">
        <v>123</v>
      </c>
      <c r="D122" s="431" t="s">
        <v>851</v>
      </c>
      <c r="E122" s="420">
        <v>33</v>
      </c>
      <c r="F122" s="421"/>
      <c r="G122" s="421"/>
      <c r="H122" s="422">
        <f t="shared" si="1"/>
        <v>33</v>
      </c>
      <c r="I122" s="423" t="s">
        <v>838</v>
      </c>
    </row>
    <row r="123" spans="1:9">
      <c r="A123" s="374" t="s">
        <v>597</v>
      </c>
      <c r="B123" s="418" t="s">
        <v>359</v>
      </c>
      <c r="C123" s="419"/>
      <c r="D123" s="411" t="s">
        <v>360</v>
      </c>
      <c r="E123" s="420">
        <v>65</v>
      </c>
      <c r="F123" s="421"/>
      <c r="G123" s="421"/>
      <c r="H123" s="422">
        <f t="shared" si="1"/>
        <v>65</v>
      </c>
      <c r="I123" s="423" t="s">
        <v>838</v>
      </c>
    </row>
    <row r="124" spans="1:9">
      <c r="A124" s="374" t="s">
        <v>596</v>
      </c>
      <c r="B124" s="418" t="s">
        <v>112</v>
      </c>
      <c r="C124" s="419"/>
      <c r="D124" s="411" t="s">
        <v>113</v>
      </c>
      <c r="E124" s="420">
        <v>4</v>
      </c>
      <c r="F124" s="421"/>
      <c r="G124" s="421"/>
      <c r="H124" s="422">
        <f t="shared" si="1"/>
        <v>4</v>
      </c>
      <c r="I124" s="423" t="s">
        <v>839</v>
      </c>
    </row>
    <row r="125" spans="1:9">
      <c r="A125" s="374" t="s">
        <v>600</v>
      </c>
      <c r="B125" s="418" t="s">
        <v>39</v>
      </c>
      <c r="C125" s="419">
        <v>189</v>
      </c>
      <c r="D125" s="424" t="s">
        <v>40</v>
      </c>
      <c r="E125" s="420">
        <v>49</v>
      </c>
      <c r="F125" s="421"/>
      <c r="G125" s="421"/>
      <c r="H125" s="422">
        <f t="shared" si="1"/>
        <v>49</v>
      </c>
      <c r="I125" s="423" t="s">
        <v>838</v>
      </c>
    </row>
    <row r="126" spans="1:9">
      <c r="A126" s="374" t="s">
        <v>600</v>
      </c>
      <c r="B126" s="418" t="s">
        <v>171</v>
      </c>
      <c r="C126" s="419">
        <v>189</v>
      </c>
      <c r="D126" s="424" t="s">
        <v>172</v>
      </c>
      <c r="E126" s="420">
        <v>16</v>
      </c>
      <c r="F126" s="421"/>
      <c r="G126" s="421"/>
      <c r="H126" s="422">
        <f t="shared" si="1"/>
        <v>16</v>
      </c>
      <c r="I126" s="423" t="s">
        <v>838</v>
      </c>
    </row>
    <row r="127" spans="1:9">
      <c r="A127" s="374" t="s">
        <v>596</v>
      </c>
      <c r="B127" s="418" t="s">
        <v>502</v>
      </c>
      <c r="C127" s="419"/>
      <c r="D127" s="411" t="s">
        <v>503</v>
      </c>
      <c r="E127" s="420">
        <v>73</v>
      </c>
      <c r="F127" s="421"/>
      <c r="G127" s="421"/>
      <c r="H127" s="422">
        <f t="shared" si="1"/>
        <v>73</v>
      </c>
      <c r="I127" s="423" t="s">
        <v>838</v>
      </c>
    </row>
    <row r="128" spans="1:9">
      <c r="A128" s="374" t="s">
        <v>596</v>
      </c>
      <c r="B128" s="418" t="s">
        <v>21</v>
      </c>
      <c r="C128" s="419"/>
      <c r="D128" s="411" t="s">
        <v>22</v>
      </c>
      <c r="E128" s="420">
        <v>525</v>
      </c>
      <c r="F128" s="421"/>
      <c r="G128" s="421"/>
      <c r="H128" s="422">
        <f t="shared" si="1"/>
        <v>525</v>
      </c>
      <c r="I128" s="423" t="s">
        <v>838</v>
      </c>
    </row>
    <row r="129" spans="1:9">
      <c r="A129" s="374" t="s">
        <v>603</v>
      </c>
      <c r="B129" s="418" t="s">
        <v>523</v>
      </c>
      <c r="C129" s="419"/>
      <c r="D129" s="411" t="s">
        <v>524</v>
      </c>
      <c r="E129" s="420">
        <v>68</v>
      </c>
      <c r="F129" s="421"/>
      <c r="G129" s="421"/>
      <c r="H129" s="422">
        <f t="shared" si="1"/>
        <v>68</v>
      </c>
      <c r="I129" s="423" t="s">
        <v>838</v>
      </c>
    </row>
    <row r="130" spans="1:9">
      <c r="A130" s="374" t="s">
        <v>597</v>
      </c>
      <c r="B130" s="418" t="s">
        <v>343</v>
      </c>
      <c r="C130" s="419"/>
      <c r="D130" s="411" t="s">
        <v>344</v>
      </c>
      <c r="E130" s="420">
        <v>578</v>
      </c>
      <c r="F130" s="421">
        <v>0</v>
      </c>
      <c r="G130" s="436">
        <v>0</v>
      </c>
      <c r="H130" s="422">
        <f t="shared" ref="H130:H193" si="2">SUM(E130:G130)</f>
        <v>578</v>
      </c>
      <c r="I130" s="423" t="s">
        <v>838</v>
      </c>
    </row>
    <row r="131" spans="1:9">
      <c r="A131" s="374" t="s">
        <v>600</v>
      </c>
      <c r="B131" s="418" t="s">
        <v>47</v>
      </c>
      <c r="C131" s="419"/>
      <c r="D131" s="411" t="s">
        <v>48</v>
      </c>
      <c r="E131" s="420">
        <v>109</v>
      </c>
      <c r="F131" s="421"/>
      <c r="G131" s="421"/>
      <c r="H131" s="422">
        <f t="shared" si="2"/>
        <v>109</v>
      </c>
      <c r="I131" s="423" t="s">
        <v>838</v>
      </c>
    </row>
    <row r="132" spans="1:9">
      <c r="A132" s="374" t="s">
        <v>594</v>
      </c>
      <c r="B132" s="418" t="s">
        <v>145</v>
      </c>
      <c r="C132" s="419">
        <v>189</v>
      </c>
      <c r="D132" s="437" t="s">
        <v>852</v>
      </c>
      <c r="E132" s="420">
        <v>39</v>
      </c>
      <c r="F132" s="421"/>
      <c r="G132" s="421"/>
      <c r="H132" s="422">
        <f t="shared" si="2"/>
        <v>39</v>
      </c>
      <c r="I132" s="423" t="s">
        <v>781</v>
      </c>
    </row>
    <row r="133" spans="1:9">
      <c r="A133" s="374" t="s">
        <v>601</v>
      </c>
      <c r="B133" s="418" t="s">
        <v>116</v>
      </c>
      <c r="C133" s="419"/>
      <c r="D133" s="411" t="s">
        <v>117</v>
      </c>
      <c r="E133" s="420">
        <v>835</v>
      </c>
      <c r="F133" s="421">
        <v>1</v>
      </c>
      <c r="G133" s="421"/>
      <c r="H133" s="422">
        <f t="shared" si="2"/>
        <v>836</v>
      </c>
      <c r="I133" s="423" t="s">
        <v>838</v>
      </c>
    </row>
    <row r="134" spans="1:9">
      <c r="A134" s="374" t="s">
        <v>594</v>
      </c>
      <c r="B134" s="418" t="s">
        <v>327</v>
      </c>
      <c r="C134" s="419" t="s">
        <v>847</v>
      </c>
      <c r="D134" s="434" t="s">
        <v>853</v>
      </c>
      <c r="E134" s="420">
        <v>65</v>
      </c>
      <c r="F134" s="421"/>
      <c r="G134" s="421"/>
      <c r="H134" s="422">
        <f t="shared" si="2"/>
        <v>65</v>
      </c>
      <c r="I134" s="423" t="s">
        <v>838</v>
      </c>
    </row>
    <row r="135" spans="1:9">
      <c r="A135" s="374" t="s">
        <v>597</v>
      </c>
      <c r="B135" s="418" t="s">
        <v>185</v>
      </c>
      <c r="C135" s="419"/>
      <c r="D135" s="411" t="s">
        <v>186</v>
      </c>
      <c r="E135" s="420">
        <v>2041</v>
      </c>
      <c r="F135" s="421"/>
      <c r="G135" s="421"/>
      <c r="H135" s="422">
        <f t="shared" si="2"/>
        <v>2041</v>
      </c>
      <c r="I135" s="423" t="s">
        <v>838</v>
      </c>
    </row>
    <row r="136" spans="1:9">
      <c r="A136" s="374" t="s">
        <v>596</v>
      </c>
      <c r="B136" s="418" t="s">
        <v>23</v>
      </c>
      <c r="C136" s="419"/>
      <c r="D136" s="411" t="s">
        <v>24</v>
      </c>
      <c r="E136" s="420">
        <v>237</v>
      </c>
      <c r="F136" s="421"/>
      <c r="G136" s="421"/>
      <c r="H136" s="422">
        <f t="shared" si="2"/>
        <v>237</v>
      </c>
      <c r="I136" s="423" t="s">
        <v>838</v>
      </c>
    </row>
    <row r="137" spans="1:9">
      <c r="A137" s="374" t="s">
        <v>599</v>
      </c>
      <c r="B137" s="418" t="s">
        <v>64</v>
      </c>
      <c r="C137" s="419" t="s">
        <v>854</v>
      </c>
      <c r="D137" s="438" t="s">
        <v>855</v>
      </c>
      <c r="E137" s="420">
        <v>68</v>
      </c>
      <c r="F137" s="421"/>
      <c r="G137" s="421"/>
      <c r="H137" s="422">
        <f t="shared" si="2"/>
        <v>68</v>
      </c>
      <c r="I137" s="423" t="s">
        <v>838</v>
      </c>
    </row>
    <row r="138" spans="1:9">
      <c r="A138" s="374" t="s">
        <v>603</v>
      </c>
      <c r="B138" s="418" t="s">
        <v>446</v>
      </c>
      <c r="C138" s="419"/>
      <c r="D138" s="411" t="s">
        <v>447</v>
      </c>
      <c r="E138" s="420">
        <v>6</v>
      </c>
      <c r="F138" s="421"/>
      <c r="G138" s="421"/>
      <c r="H138" s="422">
        <f t="shared" si="2"/>
        <v>6</v>
      </c>
      <c r="I138" s="423" t="s">
        <v>839</v>
      </c>
    </row>
    <row r="139" spans="1:9">
      <c r="A139" s="374" t="s">
        <v>597</v>
      </c>
      <c r="B139" s="418" t="s">
        <v>193</v>
      </c>
      <c r="C139" s="419"/>
      <c r="D139" s="411" t="s">
        <v>194</v>
      </c>
      <c r="E139" s="420">
        <v>58</v>
      </c>
      <c r="F139" s="421"/>
      <c r="G139" s="421"/>
      <c r="H139" s="422">
        <f t="shared" si="2"/>
        <v>58</v>
      </c>
      <c r="I139" s="423" t="s">
        <v>838</v>
      </c>
    </row>
    <row r="140" spans="1:9">
      <c r="A140" s="374" t="s">
        <v>594</v>
      </c>
      <c r="B140" s="418" t="s">
        <v>484</v>
      </c>
      <c r="C140" s="419"/>
      <c r="D140" s="411" t="s">
        <v>485</v>
      </c>
      <c r="E140" s="420">
        <v>110</v>
      </c>
      <c r="F140" s="421"/>
      <c r="G140" s="421">
        <v>21</v>
      </c>
      <c r="H140" s="422">
        <f t="shared" si="2"/>
        <v>131</v>
      </c>
      <c r="I140" s="423" t="s">
        <v>838</v>
      </c>
    </row>
    <row r="141" spans="1:9">
      <c r="A141" s="374" t="s">
        <v>599</v>
      </c>
      <c r="B141" s="418" t="s">
        <v>244</v>
      </c>
      <c r="C141" s="419">
        <v>189</v>
      </c>
      <c r="D141" s="424" t="s">
        <v>245</v>
      </c>
      <c r="E141" s="420">
        <v>13</v>
      </c>
      <c r="F141" s="421"/>
      <c r="G141" s="421"/>
      <c r="H141" s="422">
        <f t="shared" si="2"/>
        <v>13</v>
      </c>
      <c r="I141" s="423" t="s">
        <v>838</v>
      </c>
    </row>
    <row r="142" spans="1:9">
      <c r="A142" s="374" t="s">
        <v>605</v>
      </c>
      <c r="B142" s="418" t="s">
        <v>123</v>
      </c>
      <c r="C142" s="419"/>
      <c r="D142" s="411" t="s">
        <v>124</v>
      </c>
      <c r="E142" s="420">
        <v>557</v>
      </c>
      <c r="F142" s="421">
        <v>0</v>
      </c>
      <c r="G142" s="421">
        <v>0</v>
      </c>
      <c r="H142" s="422">
        <f t="shared" si="2"/>
        <v>557</v>
      </c>
      <c r="I142" s="423" t="s">
        <v>838</v>
      </c>
    </row>
    <row r="143" spans="1:9">
      <c r="A143" s="374" t="s">
        <v>595</v>
      </c>
      <c r="B143" s="418" t="s">
        <v>375</v>
      </c>
      <c r="C143" s="419">
        <v>189</v>
      </c>
      <c r="D143" s="424" t="s">
        <v>614</v>
      </c>
      <c r="E143" s="420">
        <v>30</v>
      </c>
      <c r="F143" s="421"/>
      <c r="G143" s="421"/>
      <c r="H143" s="422">
        <f t="shared" si="2"/>
        <v>30</v>
      </c>
      <c r="I143" s="423" t="s">
        <v>838</v>
      </c>
    </row>
    <row r="144" spans="1:9">
      <c r="A144" s="374" t="s">
        <v>597</v>
      </c>
      <c r="B144" s="418" t="s">
        <v>173</v>
      </c>
      <c r="C144" s="419"/>
      <c r="D144" s="411" t="s">
        <v>174</v>
      </c>
      <c r="E144" s="420">
        <v>5341</v>
      </c>
      <c r="F144" s="421"/>
      <c r="G144" s="421"/>
      <c r="H144" s="422">
        <f t="shared" si="2"/>
        <v>5341</v>
      </c>
      <c r="I144" s="423" t="s">
        <v>838</v>
      </c>
    </row>
    <row r="145" spans="1:9">
      <c r="A145" s="374" t="s">
        <v>595</v>
      </c>
      <c r="B145" s="418" t="s">
        <v>379</v>
      </c>
      <c r="C145" s="419"/>
      <c r="D145" s="411" t="s">
        <v>615</v>
      </c>
      <c r="E145" s="420">
        <v>226</v>
      </c>
      <c r="F145" s="421"/>
      <c r="G145" s="421"/>
      <c r="H145" s="422">
        <f t="shared" si="2"/>
        <v>226</v>
      </c>
      <c r="I145" s="423" t="s">
        <v>838</v>
      </c>
    </row>
    <row r="146" spans="1:9">
      <c r="A146" s="374" t="s">
        <v>605</v>
      </c>
      <c r="B146" s="418" t="s">
        <v>551</v>
      </c>
      <c r="C146" s="419"/>
      <c r="D146" s="411" t="s">
        <v>552</v>
      </c>
      <c r="E146" s="420">
        <v>174</v>
      </c>
      <c r="F146" s="421"/>
      <c r="G146" s="421"/>
      <c r="H146" s="422">
        <f t="shared" si="2"/>
        <v>174</v>
      </c>
      <c r="I146" s="423" t="s">
        <v>838</v>
      </c>
    </row>
    <row r="147" spans="1:9">
      <c r="A147" s="374" t="s">
        <v>600</v>
      </c>
      <c r="B147" s="418" t="s">
        <v>43</v>
      </c>
      <c r="C147" s="419">
        <v>189</v>
      </c>
      <c r="D147" s="424" t="s">
        <v>44</v>
      </c>
      <c r="E147" s="420">
        <v>39</v>
      </c>
      <c r="F147" s="421"/>
      <c r="G147" s="421"/>
      <c r="H147" s="422">
        <f t="shared" si="2"/>
        <v>39</v>
      </c>
      <c r="I147" s="423" t="s">
        <v>838</v>
      </c>
    </row>
    <row r="148" spans="1:9">
      <c r="A148" s="374" t="s">
        <v>594</v>
      </c>
      <c r="B148" s="418" t="s">
        <v>299</v>
      </c>
      <c r="C148" s="419"/>
      <c r="D148" s="411" t="s">
        <v>300</v>
      </c>
      <c r="E148" s="420">
        <v>273</v>
      </c>
      <c r="F148" s="421"/>
      <c r="G148" s="421"/>
      <c r="H148" s="422">
        <f t="shared" si="2"/>
        <v>273</v>
      </c>
      <c r="I148" s="423" t="s">
        <v>838</v>
      </c>
    </row>
    <row r="149" spans="1:9">
      <c r="A149" s="374" t="s">
        <v>597</v>
      </c>
      <c r="B149" s="418" t="s">
        <v>203</v>
      </c>
      <c r="C149" s="419"/>
      <c r="D149" s="411" t="s">
        <v>204</v>
      </c>
      <c r="E149" s="420">
        <v>563</v>
      </c>
      <c r="F149" s="421"/>
      <c r="G149" s="421"/>
      <c r="H149" s="422">
        <f t="shared" si="2"/>
        <v>563</v>
      </c>
      <c r="I149" s="423" t="s">
        <v>838</v>
      </c>
    </row>
    <row r="150" spans="1:9">
      <c r="A150" s="374" t="s">
        <v>595</v>
      </c>
      <c r="B150" s="418" t="s">
        <v>411</v>
      </c>
      <c r="C150" s="419"/>
      <c r="D150" s="411" t="s">
        <v>412</v>
      </c>
      <c r="E150" s="420">
        <v>231</v>
      </c>
      <c r="F150" s="421"/>
      <c r="G150" s="421"/>
      <c r="H150" s="422">
        <f t="shared" si="2"/>
        <v>231</v>
      </c>
      <c r="I150" s="423" t="s">
        <v>838</v>
      </c>
    </row>
    <row r="151" spans="1:9">
      <c r="A151" s="374" t="s">
        <v>597</v>
      </c>
      <c r="B151" s="418" t="s">
        <v>199</v>
      </c>
      <c r="C151" s="419"/>
      <c r="D151" s="411" t="s">
        <v>200</v>
      </c>
      <c r="E151" s="420">
        <v>90</v>
      </c>
      <c r="F151" s="421"/>
      <c r="G151" s="421"/>
      <c r="H151" s="422">
        <f t="shared" si="2"/>
        <v>90</v>
      </c>
      <c r="I151" s="423" t="s">
        <v>838</v>
      </c>
    </row>
    <row r="152" spans="1:9">
      <c r="A152" s="374" t="s">
        <v>601</v>
      </c>
      <c r="B152" s="418" t="s">
        <v>121</v>
      </c>
      <c r="C152" s="419"/>
      <c r="D152" s="411" t="s">
        <v>122</v>
      </c>
      <c r="E152" s="420">
        <v>93</v>
      </c>
      <c r="F152" s="421"/>
      <c r="G152" s="421"/>
      <c r="H152" s="422">
        <f t="shared" si="2"/>
        <v>93</v>
      </c>
      <c r="I152" s="423" t="s">
        <v>838</v>
      </c>
    </row>
    <row r="153" spans="1:9">
      <c r="A153" s="374" t="s">
        <v>594</v>
      </c>
      <c r="B153" s="418" t="s">
        <v>329</v>
      </c>
      <c r="C153" s="419"/>
      <c r="D153" s="411" t="s">
        <v>330</v>
      </c>
      <c r="E153" s="420">
        <v>85</v>
      </c>
      <c r="F153" s="421"/>
      <c r="G153" s="421"/>
      <c r="H153" s="422">
        <f t="shared" si="2"/>
        <v>85</v>
      </c>
      <c r="I153" s="423" t="s">
        <v>838</v>
      </c>
    </row>
    <row r="154" spans="1:9">
      <c r="A154" s="374" t="s">
        <v>600</v>
      </c>
      <c r="B154" s="418" t="s">
        <v>218</v>
      </c>
      <c r="C154" s="419"/>
      <c r="D154" s="411" t="s">
        <v>219</v>
      </c>
      <c r="E154" s="420">
        <v>63</v>
      </c>
      <c r="F154" s="421">
        <v>0</v>
      </c>
      <c r="G154" s="421">
        <v>0</v>
      </c>
      <c r="H154" s="422">
        <f t="shared" si="2"/>
        <v>63</v>
      </c>
      <c r="I154" s="423" t="s">
        <v>838</v>
      </c>
    </row>
    <row r="155" spans="1:9">
      <c r="A155" s="374" t="s">
        <v>595</v>
      </c>
      <c r="B155" s="418" t="s">
        <v>161</v>
      </c>
      <c r="C155" s="419">
        <v>189</v>
      </c>
      <c r="D155" s="424" t="s">
        <v>162</v>
      </c>
      <c r="E155" s="420">
        <v>10</v>
      </c>
      <c r="F155" s="421"/>
      <c r="G155" s="421"/>
      <c r="H155" s="422">
        <f t="shared" si="2"/>
        <v>10</v>
      </c>
      <c r="I155" s="423" t="s">
        <v>838</v>
      </c>
    </row>
    <row r="156" spans="1:9">
      <c r="A156" s="374" t="s">
        <v>594</v>
      </c>
      <c r="B156" s="418" t="s">
        <v>295</v>
      </c>
      <c r="C156" s="419">
        <v>189</v>
      </c>
      <c r="D156" s="424" t="s">
        <v>296</v>
      </c>
      <c r="E156" s="420">
        <v>3</v>
      </c>
      <c r="F156" s="421"/>
      <c r="G156" s="421"/>
      <c r="H156" s="422">
        <f t="shared" si="2"/>
        <v>3</v>
      </c>
      <c r="I156" s="423" t="s">
        <v>838</v>
      </c>
    </row>
    <row r="157" spans="1:9">
      <c r="A157" s="374" t="s">
        <v>603</v>
      </c>
      <c r="B157" s="418" t="s">
        <v>422</v>
      </c>
      <c r="C157" s="419"/>
      <c r="D157" s="411" t="s">
        <v>423</v>
      </c>
      <c r="E157" s="420">
        <v>1087</v>
      </c>
      <c r="F157" s="421"/>
      <c r="G157" s="421"/>
      <c r="H157" s="422">
        <f t="shared" si="2"/>
        <v>1087</v>
      </c>
      <c r="I157" s="423" t="s">
        <v>838</v>
      </c>
    </row>
    <row r="158" spans="1:9">
      <c r="A158" s="374" t="s">
        <v>595</v>
      </c>
      <c r="B158" s="418" t="s">
        <v>421</v>
      </c>
      <c r="C158" s="419"/>
      <c r="D158" s="411" t="s">
        <v>616</v>
      </c>
      <c r="E158" s="420">
        <v>76</v>
      </c>
      <c r="F158" s="421"/>
      <c r="G158" s="421"/>
      <c r="H158" s="422">
        <f t="shared" si="2"/>
        <v>76</v>
      </c>
      <c r="I158" s="423" t="s">
        <v>838</v>
      </c>
    </row>
    <row r="159" spans="1:9">
      <c r="A159" s="374" t="s">
        <v>597</v>
      </c>
      <c r="B159" s="418" t="s">
        <v>342</v>
      </c>
      <c r="C159" s="419"/>
      <c r="D159" s="411" t="s">
        <v>617</v>
      </c>
      <c r="E159" s="420">
        <v>75</v>
      </c>
      <c r="F159" s="421"/>
      <c r="G159" s="421"/>
      <c r="H159" s="422">
        <f t="shared" si="2"/>
        <v>75</v>
      </c>
      <c r="I159" s="423" t="s">
        <v>838</v>
      </c>
    </row>
    <row r="160" spans="1:9">
      <c r="A160" s="374" t="s">
        <v>599</v>
      </c>
      <c r="B160" s="418" t="s">
        <v>393</v>
      </c>
      <c r="C160" s="419">
        <v>189</v>
      </c>
      <c r="D160" s="424" t="s">
        <v>394</v>
      </c>
      <c r="E160" s="420">
        <v>21</v>
      </c>
      <c r="F160" s="421"/>
      <c r="G160" s="421"/>
      <c r="H160" s="422">
        <f t="shared" si="2"/>
        <v>21</v>
      </c>
      <c r="I160" s="423" t="s">
        <v>838</v>
      </c>
    </row>
    <row r="161" spans="1:9">
      <c r="A161" s="374" t="s">
        <v>595</v>
      </c>
      <c r="B161" s="418" t="s">
        <v>415</v>
      </c>
      <c r="C161" s="419"/>
      <c r="D161" s="411" t="s">
        <v>416</v>
      </c>
      <c r="E161" s="420">
        <v>102</v>
      </c>
      <c r="F161" s="421"/>
      <c r="G161" s="421"/>
      <c r="H161" s="422">
        <f t="shared" si="2"/>
        <v>102</v>
      </c>
      <c r="I161" s="423" t="s">
        <v>838</v>
      </c>
    </row>
    <row r="162" spans="1:9">
      <c r="A162" s="374" t="s">
        <v>597</v>
      </c>
      <c r="B162" s="418" t="s">
        <v>351</v>
      </c>
      <c r="C162" s="419"/>
      <c r="D162" s="411" t="s">
        <v>352</v>
      </c>
      <c r="E162" s="420">
        <v>207</v>
      </c>
      <c r="F162" s="421"/>
      <c r="G162" s="421"/>
      <c r="H162" s="422">
        <f t="shared" si="2"/>
        <v>207</v>
      </c>
      <c r="I162" s="423" t="s">
        <v>838</v>
      </c>
    </row>
    <row r="163" spans="1:9">
      <c r="A163" s="374" t="s">
        <v>605</v>
      </c>
      <c r="B163" s="418" t="s">
        <v>557</v>
      </c>
      <c r="C163" s="419"/>
      <c r="D163" s="411" t="s">
        <v>558</v>
      </c>
      <c r="E163" s="420">
        <v>1664</v>
      </c>
      <c r="F163" s="421">
        <v>0</v>
      </c>
      <c r="G163" s="421">
        <v>0</v>
      </c>
      <c r="H163" s="422">
        <f t="shared" si="2"/>
        <v>1664</v>
      </c>
      <c r="I163" s="423" t="s">
        <v>838</v>
      </c>
    </row>
    <row r="164" spans="1:9">
      <c r="A164" s="374" t="s">
        <v>597</v>
      </c>
      <c r="B164" s="418" t="s">
        <v>345</v>
      </c>
      <c r="C164" s="419"/>
      <c r="D164" s="411" t="s">
        <v>346</v>
      </c>
      <c r="E164" s="420">
        <v>1866</v>
      </c>
      <c r="F164" s="421">
        <v>0</v>
      </c>
      <c r="G164" s="421">
        <v>0</v>
      </c>
      <c r="H164" s="422">
        <f t="shared" si="2"/>
        <v>1866</v>
      </c>
      <c r="I164" s="423" t="s">
        <v>838</v>
      </c>
    </row>
    <row r="165" spans="1:9">
      <c r="A165" s="374" t="s">
        <v>597</v>
      </c>
      <c r="B165" s="418" t="s">
        <v>197</v>
      </c>
      <c r="C165" s="419"/>
      <c r="D165" s="411" t="s">
        <v>198</v>
      </c>
      <c r="E165" s="420">
        <v>157</v>
      </c>
      <c r="F165" s="421"/>
      <c r="G165" s="421"/>
      <c r="H165" s="422">
        <f t="shared" si="2"/>
        <v>157</v>
      </c>
      <c r="I165" s="423" t="s">
        <v>838</v>
      </c>
    </row>
    <row r="166" spans="1:9" ht="15.75" customHeight="1">
      <c r="A166" s="374" t="s">
        <v>594</v>
      </c>
      <c r="B166" s="418" t="s">
        <v>486</v>
      </c>
      <c r="C166" s="419">
        <v>189</v>
      </c>
      <c r="D166" s="424" t="s">
        <v>487</v>
      </c>
      <c r="E166" s="420">
        <v>14</v>
      </c>
      <c r="F166" s="421"/>
      <c r="G166" s="421"/>
      <c r="H166" s="422">
        <f t="shared" si="2"/>
        <v>14</v>
      </c>
      <c r="I166" s="423" t="s">
        <v>838</v>
      </c>
    </row>
    <row r="167" spans="1:9">
      <c r="A167" s="374" t="s">
        <v>594</v>
      </c>
      <c r="B167" s="418" t="s">
        <v>268</v>
      </c>
      <c r="C167" s="419">
        <v>189</v>
      </c>
      <c r="D167" s="424" t="s">
        <v>269</v>
      </c>
      <c r="E167" s="420">
        <v>21</v>
      </c>
      <c r="F167" s="421"/>
      <c r="G167" s="421"/>
      <c r="H167" s="422">
        <f t="shared" si="2"/>
        <v>21</v>
      </c>
      <c r="I167" s="423" t="s">
        <v>838</v>
      </c>
    </row>
    <row r="168" spans="1:9">
      <c r="A168" s="374" t="s">
        <v>601</v>
      </c>
      <c r="B168" s="418" t="s">
        <v>321</v>
      </c>
      <c r="C168" s="419" t="s">
        <v>856</v>
      </c>
      <c r="D168" s="435" t="s">
        <v>857</v>
      </c>
      <c r="E168" s="420">
        <v>93</v>
      </c>
      <c r="F168" s="421"/>
      <c r="G168" s="421"/>
      <c r="H168" s="422">
        <f t="shared" si="2"/>
        <v>93</v>
      </c>
      <c r="I168" s="423" t="s">
        <v>838</v>
      </c>
    </row>
    <row r="169" spans="1:9" ht="15.75" customHeight="1">
      <c r="A169" s="374" t="s">
        <v>605</v>
      </c>
      <c r="B169" s="418" t="s">
        <v>559</v>
      </c>
      <c r="C169" s="419"/>
      <c r="D169" s="411" t="s">
        <v>560</v>
      </c>
      <c r="E169" s="420">
        <v>1146</v>
      </c>
      <c r="F169" s="421">
        <v>0</v>
      </c>
      <c r="G169" s="421">
        <v>227</v>
      </c>
      <c r="H169" s="422">
        <f t="shared" si="2"/>
        <v>1373</v>
      </c>
      <c r="I169" s="423" t="s">
        <v>838</v>
      </c>
    </row>
    <row r="170" spans="1:9">
      <c r="A170" s="374" t="s">
        <v>596</v>
      </c>
      <c r="B170" s="418" t="s">
        <v>496</v>
      </c>
      <c r="C170" s="419">
        <v>123</v>
      </c>
      <c r="D170" s="431" t="s">
        <v>858</v>
      </c>
      <c r="E170" s="420">
        <v>24</v>
      </c>
      <c r="F170" s="421"/>
      <c r="G170" s="421"/>
      <c r="H170" s="422">
        <f t="shared" si="2"/>
        <v>24</v>
      </c>
      <c r="I170" s="423" t="s">
        <v>838</v>
      </c>
    </row>
    <row r="171" spans="1:9" ht="15.75" customHeight="1">
      <c r="A171" s="374" t="s">
        <v>597</v>
      </c>
      <c r="B171" s="418" t="s">
        <v>191</v>
      </c>
      <c r="C171" s="419"/>
      <c r="D171" s="411" t="s">
        <v>192</v>
      </c>
      <c r="E171" s="420">
        <v>984</v>
      </c>
      <c r="F171" s="421"/>
      <c r="G171" s="421"/>
      <c r="H171" s="422">
        <f t="shared" si="2"/>
        <v>984</v>
      </c>
      <c r="I171" s="423" t="s">
        <v>838</v>
      </c>
    </row>
    <row r="172" spans="1:9">
      <c r="A172" s="374" t="s">
        <v>594</v>
      </c>
      <c r="B172" s="418" t="s">
        <v>476</v>
      </c>
      <c r="C172" s="419"/>
      <c r="D172" s="411" t="s">
        <v>477</v>
      </c>
      <c r="E172" s="420">
        <v>96</v>
      </c>
      <c r="F172" s="421"/>
      <c r="G172" s="421"/>
      <c r="H172" s="422">
        <f t="shared" si="2"/>
        <v>96</v>
      </c>
      <c r="I172" s="423" t="s">
        <v>838</v>
      </c>
    </row>
    <row r="173" spans="1:9">
      <c r="A173" s="374" t="s">
        <v>605</v>
      </c>
      <c r="B173" s="418" t="s">
        <v>543</v>
      </c>
      <c r="C173" s="419"/>
      <c r="D173" s="432" t="s">
        <v>544</v>
      </c>
      <c r="E173" s="420">
        <v>125</v>
      </c>
      <c r="F173" s="421"/>
      <c r="G173" s="421"/>
      <c r="H173" s="422">
        <f t="shared" si="2"/>
        <v>125</v>
      </c>
      <c r="I173" s="439" t="s">
        <v>838</v>
      </c>
    </row>
    <row r="174" spans="1:9">
      <c r="A174" s="374" t="s">
        <v>597</v>
      </c>
      <c r="B174" s="418" t="s">
        <v>349</v>
      </c>
      <c r="C174" s="419"/>
      <c r="D174" s="411" t="s">
        <v>350</v>
      </c>
      <c r="E174" s="420">
        <v>109</v>
      </c>
      <c r="F174" s="421"/>
      <c r="G174" s="436"/>
      <c r="H174" s="422">
        <f t="shared" si="2"/>
        <v>109</v>
      </c>
      <c r="I174" s="423" t="s">
        <v>838</v>
      </c>
    </row>
    <row r="175" spans="1:9">
      <c r="A175" s="374" t="s">
        <v>599</v>
      </c>
      <c r="B175" s="418" t="s">
        <v>49</v>
      </c>
      <c r="C175" s="419"/>
      <c r="D175" s="411" t="s">
        <v>50</v>
      </c>
      <c r="E175" s="420">
        <v>1862</v>
      </c>
      <c r="F175" s="421"/>
      <c r="G175" s="421"/>
      <c r="H175" s="422">
        <f t="shared" si="2"/>
        <v>1862</v>
      </c>
      <c r="I175" s="423" t="s">
        <v>838</v>
      </c>
    </row>
    <row r="176" spans="1:9">
      <c r="A176" s="374" t="s">
        <v>597</v>
      </c>
      <c r="B176" s="418" t="s">
        <v>183</v>
      </c>
      <c r="C176" s="419">
        <v>189</v>
      </c>
      <c r="D176" s="424" t="s">
        <v>184</v>
      </c>
      <c r="E176" s="420">
        <v>21</v>
      </c>
      <c r="F176" s="421"/>
      <c r="G176" s="421"/>
      <c r="H176" s="422">
        <f t="shared" si="2"/>
        <v>21</v>
      </c>
      <c r="I176" s="423" t="s">
        <v>838</v>
      </c>
    </row>
    <row r="177" spans="1:9">
      <c r="A177" s="374" t="s">
        <v>599</v>
      </c>
      <c r="B177" s="418" t="s">
        <v>488</v>
      </c>
      <c r="C177" s="419">
        <v>189</v>
      </c>
      <c r="D177" s="424" t="s">
        <v>489</v>
      </c>
      <c r="E177" s="420">
        <v>4</v>
      </c>
      <c r="F177" s="421"/>
      <c r="G177" s="421"/>
      <c r="H177" s="422">
        <f t="shared" si="2"/>
        <v>4</v>
      </c>
      <c r="I177" s="423" t="s">
        <v>838</v>
      </c>
    </row>
    <row r="178" spans="1:9">
      <c r="A178" s="374" t="s">
        <v>605</v>
      </c>
      <c r="B178" s="418" t="s">
        <v>114</v>
      </c>
      <c r="C178" s="419"/>
      <c r="D178" s="411" t="s">
        <v>115</v>
      </c>
      <c r="E178" s="420">
        <v>1154</v>
      </c>
      <c r="F178" s="421"/>
      <c r="G178" s="421"/>
      <c r="H178" s="422">
        <f t="shared" si="2"/>
        <v>1154</v>
      </c>
      <c r="I178" s="423" t="s">
        <v>838</v>
      </c>
    </row>
    <row r="179" spans="1:9">
      <c r="A179" s="374" t="s">
        <v>596</v>
      </c>
      <c r="B179" s="418" t="s">
        <v>492</v>
      </c>
      <c r="C179" s="419"/>
      <c r="D179" s="411" t="s">
        <v>493</v>
      </c>
      <c r="E179" s="420">
        <v>771</v>
      </c>
      <c r="F179" s="421"/>
      <c r="G179" s="421"/>
      <c r="H179" s="422">
        <f t="shared" si="2"/>
        <v>771</v>
      </c>
      <c r="I179" s="423" t="s">
        <v>838</v>
      </c>
    </row>
    <row r="180" spans="1:9">
      <c r="A180" s="374" t="s">
        <v>605</v>
      </c>
      <c r="B180" s="418" t="s">
        <v>567</v>
      </c>
      <c r="C180" s="419"/>
      <c r="D180" s="411" t="s">
        <v>568</v>
      </c>
      <c r="E180" s="420">
        <v>818</v>
      </c>
      <c r="F180" s="421"/>
      <c r="G180" s="421">
        <v>187</v>
      </c>
      <c r="H180" s="422">
        <f t="shared" si="2"/>
        <v>1005</v>
      </c>
      <c r="I180" s="423" t="s">
        <v>838</v>
      </c>
    </row>
    <row r="181" spans="1:9">
      <c r="A181" s="374" t="s">
        <v>601</v>
      </c>
      <c r="B181" s="418" t="s">
        <v>118</v>
      </c>
      <c r="C181" s="419"/>
      <c r="D181" s="411" t="s">
        <v>119</v>
      </c>
      <c r="E181" s="420">
        <v>293</v>
      </c>
      <c r="F181" s="421"/>
      <c r="G181" s="421"/>
      <c r="H181" s="422">
        <f t="shared" si="2"/>
        <v>293</v>
      </c>
      <c r="I181" s="423" t="s">
        <v>838</v>
      </c>
    </row>
    <row r="182" spans="1:9">
      <c r="A182" s="374" t="s">
        <v>599</v>
      </c>
      <c r="B182" s="418" t="s">
        <v>56</v>
      </c>
      <c r="C182" s="419" t="s">
        <v>854</v>
      </c>
      <c r="D182" s="438" t="s">
        <v>859</v>
      </c>
      <c r="E182" s="420">
        <v>45</v>
      </c>
      <c r="F182" s="421"/>
      <c r="G182" s="421"/>
      <c r="H182" s="422">
        <f t="shared" si="2"/>
        <v>45</v>
      </c>
      <c r="I182" s="423" t="s">
        <v>838</v>
      </c>
    </row>
    <row r="183" spans="1:9">
      <c r="A183" s="374" t="s">
        <v>601</v>
      </c>
      <c r="B183" s="418" t="s">
        <v>92</v>
      </c>
      <c r="C183" s="419"/>
      <c r="D183" s="411" t="s">
        <v>93</v>
      </c>
      <c r="E183" s="420">
        <v>23</v>
      </c>
      <c r="F183" s="421"/>
      <c r="G183" s="421"/>
      <c r="H183" s="422">
        <f t="shared" si="2"/>
        <v>23</v>
      </c>
      <c r="I183" s="423" t="s">
        <v>839</v>
      </c>
    </row>
    <row r="184" spans="1:9">
      <c r="A184" s="374" t="s">
        <v>601</v>
      </c>
      <c r="B184" s="418" t="s">
        <v>37</v>
      </c>
      <c r="C184" s="419"/>
      <c r="D184" s="411" t="s">
        <v>38</v>
      </c>
      <c r="E184" s="420">
        <v>1465</v>
      </c>
      <c r="F184" s="421"/>
      <c r="G184" s="421"/>
      <c r="H184" s="422">
        <f t="shared" si="2"/>
        <v>1465</v>
      </c>
      <c r="I184" s="423" t="s">
        <v>838</v>
      </c>
    </row>
    <row r="185" spans="1:9">
      <c r="A185" s="374" t="s">
        <v>603</v>
      </c>
      <c r="B185" s="418" t="s">
        <v>443</v>
      </c>
      <c r="C185" s="419"/>
      <c r="D185" s="411" t="s">
        <v>618</v>
      </c>
      <c r="E185" s="420">
        <v>90</v>
      </c>
      <c r="F185" s="421"/>
      <c r="G185" s="421"/>
      <c r="H185" s="422">
        <f t="shared" si="2"/>
        <v>90</v>
      </c>
      <c r="I185" s="423" t="s">
        <v>838</v>
      </c>
    </row>
    <row r="186" spans="1:9">
      <c r="A186" s="374" t="s">
        <v>605</v>
      </c>
      <c r="B186" s="418" t="s">
        <v>569</v>
      </c>
      <c r="C186" s="419">
        <v>105</v>
      </c>
      <c r="D186" s="432" t="s">
        <v>860</v>
      </c>
      <c r="E186" s="420">
        <v>56</v>
      </c>
      <c r="F186" s="421"/>
      <c r="G186" s="421"/>
      <c r="H186" s="422">
        <f t="shared" si="2"/>
        <v>56</v>
      </c>
      <c r="I186" s="423" t="s">
        <v>838</v>
      </c>
    </row>
    <row r="187" spans="1:9">
      <c r="A187" s="374" t="s">
        <v>597</v>
      </c>
      <c r="B187" s="418" t="s">
        <v>367</v>
      </c>
      <c r="C187" s="419"/>
      <c r="D187" s="411" t="s">
        <v>861</v>
      </c>
      <c r="E187" s="420">
        <v>34</v>
      </c>
      <c r="F187" s="421"/>
      <c r="G187" s="421"/>
      <c r="H187" s="422">
        <f t="shared" si="2"/>
        <v>34</v>
      </c>
      <c r="I187" s="423" t="s">
        <v>838</v>
      </c>
    </row>
    <row r="188" spans="1:9">
      <c r="A188" s="374" t="s">
        <v>599</v>
      </c>
      <c r="B188" s="418" t="s">
        <v>248</v>
      </c>
      <c r="C188" s="419"/>
      <c r="D188" s="411" t="s">
        <v>249</v>
      </c>
      <c r="E188" s="420">
        <v>190</v>
      </c>
      <c r="F188" s="421">
        <v>0</v>
      </c>
      <c r="G188" s="421"/>
      <c r="H188" s="422">
        <f t="shared" si="2"/>
        <v>190</v>
      </c>
      <c r="I188" s="423" t="s">
        <v>838</v>
      </c>
    </row>
    <row r="189" spans="1:9">
      <c r="A189" s="374" t="s">
        <v>594</v>
      </c>
      <c r="B189" s="418" t="s">
        <v>332</v>
      </c>
      <c r="C189" s="419">
        <v>189</v>
      </c>
      <c r="D189" s="424" t="s">
        <v>333</v>
      </c>
      <c r="E189" s="420">
        <v>14</v>
      </c>
      <c r="F189" s="421"/>
      <c r="G189" s="421"/>
      <c r="H189" s="422">
        <f t="shared" si="2"/>
        <v>14</v>
      </c>
      <c r="I189" s="423" t="s">
        <v>838</v>
      </c>
    </row>
    <row r="190" spans="1:9">
      <c r="A190" s="374" t="s">
        <v>594</v>
      </c>
      <c r="B190" s="418" t="s">
        <v>264</v>
      </c>
      <c r="C190" s="419"/>
      <c r="D190" s="411" t="s">
        <v>265</v>
      </c>
      <c r="E190" s="420">
        <v>71</v>
      </c>
      <c r="F190" s="421"/>
      <c r="G190" s="421"/>
      <c r="H190" s="422">
        <f t="shared" si="2"/>
        <v>71</v>
      </c>
      <c r="I190" s="423" t="s">
        <v>838</v>
      </c>
    </row>
    <row r="191" spans="1:9">
      <c r="A191" s="374" t="s">
        <v>599</v>
      </c>
      <c r="B191" s="418" t="s">
        <v>78</v>
      </c>
      <c r="C191" s="419"/>
      <c r="D191" s="411" t="s">
        <v>79</v>
      </c>
      <c r="E191" s="420">
        <v>99</v>
      </c>
      <c r="F191" s="421"/>
      <c r="G191" s="421"/>
      <c r="H191" s="422">
        <f t="shared" si="2"/>
        <v>99</v>
      </c>
      <c r="I191" s="423" t="s">
        <v>838</v>
      </c>
    </row>
    <row r="192" spans="1:9" ht="15.75" customHeight="1">
      <c r="A192" s="374" t="s">
        <v>605</v>
      </c>
      <c r="B192" s="418" t="s">
        <v>547</v>
      </c>
      <c r="C192" s="419"/>
      <c r="D192" s="411" t="s">
        <v>548</v>
      </c>
      <c r="E192" s="420">
        <v>3769</v>
      </c>
      <c r="F192" s="421"/>
      <c r="G192" s="421"/>
      <c r="H192" s="422">
        <f t="shared" si="2"/>
        <v>3769</v>
      </c>
      <c r="I192" s="433" t="s">
        <v>838</v>
      </c>
    </row>
    <row r="193" spans="1:9">
      <c r="A193" s="374" t="s">
        <v>594</v>
      </c>
      <c r="B193" s="440" t="s">
        <v>472</v>
      </c>
      <c r="C193" s="441"/>
      <c r="D193" s="411" t="s">
        <v>619</v>
      </c>
      <c r="E193" s="420">
        <v>47</v>
      </c>
      <c r="F193" s="421"/>
      <c r="G193" s="421"/>
      <c r="H193" s="422">
        <f t="shared" si="2"/>
        <v>47</v>
      </c>
      <c r="I193" s="423" t="s">
        <v>838</v>
      </c>
    </row>
    <row r="194" spans="1:9">
      <c r="A194" s="418" t="s">
        <v>605</v>
      </c>
      <c r="B194" s="418" t="s">
        <v>565</v>
      </c>
      <c r="C194" s="419"/>
      <c r="D194" s="411" t="s">
        <v>566</v>
      </c>
      <c r="E194" s="420">
        <v>148</v>
      </c>
      <c r="F194" s="421"/>
      <c r="G194" s="421"/>
      <c r="H194" s="422">
        <f>SUM(E194:G194)</f>
        <v>148</v>
      </c>
      <c r="I194" s="423" t="s">
        <v>838</v>
      </c>
    </row>
    <row r="195" spans="1:9">
      <c r="A195" s="418"/>
      <c r="B195" s="418"/>
      <c r="C195" s="442"/>
      <c r="D195" s="411"/>
      <c r="E195" s="443">
        <f>SUM(E2:E194)</f>
        <v>82932</v>
      </c>
      <c r="F195" s="421">
        <f>SUM(F2:F194)</f>
        <v>54</v>
      </c>
      <c r="G195" s="421">
        <f>SUM(G2:G194)</f>
        <v>564</v>
      </c>
      <c r="H195" s="422">
        <f>SUM(E195:G195)</f>
        <v>83550</v>
      </c>
      <c r="I195" s="423"/>
    </row>
  </sheetData>
  <pageMargins left="0.7" right="0.7" top="0.75" bottom="0.75" header="0.3" footer="0.3"/>
  <pageSetup orientation="portrait" r:id="rId1"/>
  <headerFooter>
    <oddHeader>&amp;C&amp;"-,Bold"&amp;16Title III Districts for SY 2009-2010</oddHeader>
    <oddFooter>&amp;C7/24/2009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transitionEvaluation="1" codeName="Sheet11">
    <pageSetUpPr fitToPage="1"/>
  </sheetPr>
  <dimension ref="A4:O305"/>
  <sheetViews>
    <sheetView showZeros="0" defaultGridColor="0" topLeftCell="A153" colorId="22" zoomScale="75" workbookViewId="0">
      <selection activeCell="E2" sqref="E2"/>
    </sheetView>
  </sheetViews>
  <sheetFormatPr defaultColWidth="16.42578125" defaultRowHeight="15"/>
  <cols>
    <col min="1" max="1" width="6.140625" style="403" customWidth="1"/>
    <col min="2" max="2" width="9.42578125" style="403" customWidth="1"/>
    <col min="3" max="3" width="24.140625" style="403" customWidth="1"/>
    <col min="4" max="11" width="10" style="403" customWidth="1"/>
    <col min="12" max="12" width="17.5703125" style="403" customWidth="1"/>
    <col min="13" max="13" width="6.140625" style="403" customWidth="1"/>
    <col min="14" max="14" width="8.5703125" style="403" customWidth="1"/>
    <col min="15" max="16384" width="16.42578125" style="403"/>
  </cols>
  <sheetData>
    <row r="4" spans="1:15">
      <c r="A4" s="403" t="s">
        <v>818</v>
      </c>
    </row>
    <row r="5" spans="1:15">
      <c r="A5" s="403" t="str">
        <f>"Districts Reporting Bilingual Enrollment = "&amp;O7</f>
        <v>Districts Reporting Bilingual Enrollment = 193</v>
      </c>
    </row>
    <row r="6" spans="1:15">
      <c r="L6" s="404" t="s">
        <v>740</v>
      </c>
      <c r="M6" s="403" t="s">
        <v>819</v>
      </c>
    </row>
    <row r="7" spans="1:15">
      <c r="A7" s="403" t="s">
        <v>591</v>
      </c>
      <c r="B7" s="403" t="s">
        <v>592</v>
      </c>
      <c r="C7" s="403" t="s">
        <v>593</v>
      </c>
      <c r="D7" s="405" t="s">
        <v>820</v>
      </c>
      <c r="E7" s="405" t="s">
        <v>821</v>
      </c>
      <c r="F7" s="405" t="s">
        <v>822</v>
      </c>
      <c r="G7" s="405" t="s">
        <v>823</v>
      </c>
      <c r="H7" s="405" t="s">
        <v>824</v>
      </c>
      <c r="I7" s="405" t="s">
        <v>825</v>
      </c>
      <c r="J7" s="405" t="s">
        <v>826</v>
      </c>
      <c r="K7" s="405" t="s">
        <v>827</v>
      </c>
      <c r="L7" s="404" t="s">
        <v>828</v>
      </c>
      <c r="M7" s="403" t="s">
        <v>829</v>
      </c>
      <c r="O7" s="403" t="str">
        <f>FIXED(SUM(O9:O303),0,TRUE)</f>
        <v>193</v>
      </c>
    </row>
    <row r="9" spans="1:15">
      <c r="A9" s="403" t="s">
        <v>594</v>
      </c>
      <c r="B9" s="403" t="s">
        <v>132</v>
      </c>
      <c r="C9" s="403" t="s">
        <v>133</v>
      </c>
      <c r="D9" s="406">
        <v>270</v>
      </c>
      <c r="E9" s="406">
        <v>267</v>
      </c>
      <c r="F9" s="406">
        <v>264</v>
      </c>
      <c r="G9" s="406">
        <v>264</v>
      </c>
      <c r="H9" s="406">
        <v>262</v>
      </c>
      <c r="I9" s="406">
        <v>257</v>
      </c>
      <c r="J9" s="406">
        <v>259</v>
      </c>
      <c r="K9" s="406">
        <v>248</v>
      </c>
      <c r="L9" s="403">
        <f t="shared" ref="L9:L72" si="0">ROUND(SUM(D9:K9)/8,2)</f>
        <v>261.38</v>
      </c>
      <c r="N9" s="403" t="s">
        <v>621</v>
      </c>
      <c r="O9" s="403">
        <f t="shared" ref="O9:O72" si="1">IF(L9&gt;0,1,0)</f>
        <v>1</v>
      </c>
    </row>
    <row r="10" spans="1:15">
      <c r="A10" s="403" t="s">
        <v>594</v>
      </c>
      <c r="B10" s="403" t="s">
        <v>262</v>
      </c>
      <c r="C10" s="403" t="s">
        <v>263</v>
      </c>
      <c r="D10" s="407">
        <v>0</v>
      </c>
      <c r="E10" s="407">
        <v>0</v>
      </c>
      <c r="F10" s="407">
        <v>0</v>
      </c>
      <c r="G10" s="408">
        <v>0</v>
      </c>
      <c r="H10" s="408">
        <v>0</v>
      </c>
      <c r="I10" s="408">
        <v>0</v>
      </c>
      <c r="J10" s="408">
        <v>0</v>
      </c>
      <c r="K10" s="408">
        <v>0</v>
      </c>
      <c r="L10" s="403">
        <f t="shared" si="0"/>
        <v>0</v>
      </c>
      <c r="N10" s="403" t="s">
        <v>801</v>
      </c>
      <c r="O10" s="403">
        <f t="shared" si="1"/>
        <v>0</v>
      </c>
    </row>
    <row r="11" spans="1:15">
      <c r="A11" s="403" t="s">
        <v>603</v>
      </c>
      <c r="B11" s="403" t="s">
        <v>283</v>
      </c>
      <c r="C11" s="403" t="s">
        <v>284</v>
      </c>
      <c r="D11" s="407">
        <v>0</v>
      </c>
      <c r="E11" s="407">
        <v>0</v>
      </c>
      <c r="F11" s="407">
        <v>0</v>
      </c>
      <c r="G11" s="408">
        <v>0</v>
      </c>
      <c r="H11" s="408">
        <v>0</v>
      </c>
      <c r="I11" s="408">
        <v>0</v>
      </c>
      <c r="J11" s="408">
        <v>0</v>
      </c>
      <c r="K11" s="408">
        <v>0</v>
      </c>
      <c r="L11" s="403">
        <f t="shared" si="0"/>
        <v>0</v>
      </c>
      <c r="N11" s="403" t="s">
        <v>801</v>
      </c>
      <c r="O11" s="403">
        <f t="shared" si="1"/>
        <v>0</v>
      </c>
    </row>
    <row r="12" spans="1:15">
      <c r="A12" s="403" t="s">
        <v>595</v>
      </c>
      <c r="B12" s="403" t="s">
        <v>380</v>
      </c>
      <c r="C12" s="403" t="s">
        <v>381</v>
      </c>
      <c r="D12" s="407">
        <v>49</v>
      </c>
      <c r="E12" s="407">
        <v>48</v>
      </c>
      <c r="F12" s="407">
        <v>52</v>
      </c>
      <c r="G12" s="408">
        <v>50</v>
      </c>
      <c r="H12" s="408">
        <v>53</v>
      </c>
      <c r="I12" s="408">
        <v>55</v>
      </c>
      <c r="J12" s="408">
        <v>54</v>
      </c>
      <c r="K12" s="408">
        <v>54</v>
      </c>
      <c r="L12" s="403">
        <f t="shared" si="0"/>
        <v>51.88</v>
      </c>
      <c r="N12" s="403" t="s">
        <v>621</v>
      </c>
      <c r="O12" s="403">
        <f t="shared" si="1"/>
        <v>1</v>
      </c>
    </row>
    <row r="13" spans="1:15">
      <c r="A13" s="403" t="s">
        <v>595</v>
      </c>
      <c r="B13" s="403" t="s">
        <v>403</v>
      </c>
      <c r="C13" s="403" t="s">
        <v>404</v>
      </c>
      <c r="D13" s="407">
        <v>170</v>
      </c>
      <c r="E13" s="407">
        <v>172</v>
      </c>
      <c r="F13" s="407">
        <v>172</v>
      </c>
      <c r="G13" s="408">
        <v>175</v>
      </c>
      <c r="H13" s="408">
        <v>176</v>
      </c>
      <c r="I13" s="408">
        <v>179</v>
      </c>
      <c r="J13" s="408">
        <v>180</v>
      </c>
      <c r="K13" s="408">
        <v>180</v>
      </c>
      <c r="L13" s="403">
        <f t="shared" si="0"/>
        <v>175.5</v>
      </c>
      <c r="N13" s="403" t="s">
        <v>621</v>
      </c>
      <c r="O13" s="403">
        <f t="shared" si="1"/>
        <v>1</v>
      </c>
    </row>
    <row r="14" spans="1:15">
      <c r="A14" s="403" t="s">
        <v>596</v>
      </c>
      <c r="B14" s="403" t="s">
        <v>12</v>
      </c>
      <c r="C14" s="403" t="s">
        <v>13</v>
      </c>
      <c r="D14" s="407">
        <v>0</v>
      </c>
      <c r="E14" s="407">
        <v>0</v>
      </c>
      <c r="F14" s="407">
        <v>0</v>
      </c>
      <c r="G14" s="408">
        <v>0</v>
      </c>
      <c r="H14" s="408">
        <v>0</v>
      </c>
      <c r="I14" s="408">
        <v>0</v>
      </c>
      <c r="J14" s="408">
        <v>0</v>
      </c>
      <c r="K14" s="408">
        <v>0</v>
      </c>
      <c r="L14" s="403">
        <f t="shared" si="0"/>
        <v>0</v>
      </c>
      <c r="N14" s="403" t="s">
        <v>801</v>
      </c>
      <c r="O14" s="403">
        <f t="shared" si="1"/>
        <v>0</v>
      </c>
    </row>
    <row r="15" spans="1:15">
      <c r="A15" s="403" t="s">
        <v>597</v>
      </c>
      <c r="B15" s="403" t="s">
        <v>195</v>
      </c>
      <c r="C15" s="403" t="s">
        <v>196</v>
      </c>
      <c r="D15" s="407">
        <v>1682</v>
      </c>
      <c r="E15" s="407">
        <v>1690</v>
      </c>
      <c r="F15" s="407">
        <v>1690</v>
      </c>
      <c r="G15" s="408">
        <v>1679</v>
      </c>
      <c r="H15" s="408">
        <v>1707</v>
      </c>
      <c r="I15" s="408">
        <v>1705</v>
      </c>
      <c r="J15" s="408">
        <v>1724</v>
      </c>
      <c r="K15" s="408">
        <v>1711</v>
      </c>
      <c r="L15" s="403">
        <f t="shared" si="0"/>
        <v>1698.5</v>
      </c>
      <c r="N15" s="403" t="s">
        <v>621</v>
      </c>
      <c r="O15" s="403">
        <f t="shared" si="1"/>
        <v>1</v>
      </c>
    </row>
    <row r="16" spans="1:15">
      <c r="A16" s="403" t="s">
        <v>597</v>
      </c>
      <c r="B16" s="403" t="s">
        <v>213</v>
      </c>
      <c r="C16" s="403" t="s">
        <v>598</v>
      </c>
      <c r="D16" s="407">
        <v>30</v>
      </c>
      <c r="E16" s="407">
        <v>29</v>
      </c>
      <c r="F16" s="407">
        <v>30</v>
      </c>
      <c r="G16" s="408">
        <v>30</v>
      </c>
      <c r="H16" s="408">
        <v>30</v>
      </c>
      <c r="I16" s="408">
        <v>25</v>
      </c>
      <c r="J16" s="408">
        <v>24</v>
      </c>
      <c r="K16" s="408">
        <v>28</v>
      </c>
      <c r="L16" s="403">
        <f t="shared" si="0"/>
        <v>28.25</v>
      </c>
      <c r="N16" s="403" t="s">
        <v>621</v>
      </c>
      <c r="O16" s="403">
        <f t="shared" si="1"/>
        <v>1</v>
      </c>
    </row>
    <row r="17" spans="1:15">
      <c r="A17" s="403" t="s">
        <v>599</v>
      </c>
      <c r="B17" s="403" t="s">
        <v>62</v>
      </c>
      <c r="C17" s="403" t="s">
        <v>63</v>
      </c>
      <c r="D17" s="407">
        <v>652</v>
      </c>
      <c r="E17" s="407">
        <v>646</v>
      </c>
      <c r="F17" s="407">
        <v>651</v>
      </c>
      <c r="G17" s="408">
        <v>651</v>
      </c>
      <c r="H17" s="408">
        <v>643</v>
      </c>
      <c r="I17" s="408">
        <v>643</v>
      </c>
      <c r="J17" s="408">
        <v>649</v>
      </c>
      <c r="K17" s="408">
        <v>647</v>
      </c>
      <c r="L17" s="403">
        <f t="shared" si="0"/>
        <v>647.75</v>
      </c>
      <c r="N17" s="403" t="s">
        <v>621</v>
      </c>
      <c r="O17" s="403">
        <f t="shared" si="1"/>
        <v>1</v>
      </c>
    </row>
    <row r="18" spans="1:15">
      <c r="A18" s="403" t="s">
        <v>597</v>
      </c>
      <c r="B18" s="403" t="s">
        <v>189</v>
      </c>
      <c r="C18" s="403" t="s">
        <v>190</v>
      </c>
      <c r="D18" s="407">
        <v>1572</v>
      </c>
      <c r="E18" s="407">
        <v>1602</v>
      </c>
      <c r="F18" s="407">
        <v>1603</v>
      </c>
      <c r="G18" s="408">
        <v>1602</v>
      </c>
      <c r="H18" s="408">
        <v>1627</v>
      </c>
      <c r="I18" s="408">
        <v>1626</v>
      </c>
      <c r="J18" s="408">
        <v>1614</v>
      </c>
      <c r="K18" s="408">
        <v>1615</v>
      </c>
      <c r="L18" s="403">
        <f t="shared" si="0"/>
        <v>1607.63</v>
      </c>
      <c r="N18" s="403" t="s">
        <v>621</v>
      </c>
      <c r="O18" s="403">
        <f t="shared" si="1"/>
        <v>1</v>
      </c>
    </row>
    <row r="19" spans="1:15">
      <c r="A19" s="403" t="s">
        <v>595</v>
      </c>
      <c r="B19" s="403" t="s">
        <v>504</v>
      </c>
      <c r="C19" s="403" t="s">
        <v>505</v>
      </c>
      <c r="D19" s="407">
        <v>561</v>
      </c>
      <c r="E19" s="407">
        <v>561</v>
      </c>
      <c r="F19" s="407">
        <v>564</v>
      </c>
      <c r="G19" s="408">
        <v>566</v>
      </c>
      <c r="H19" s="408">
        <v>564</v>
      </c>
      <c r="I19" s="408">
        <v>572</v>
      </c>
      <c r="J19" s="408">
        <v>571</v>
      </c>
      <c r="K19" s="408">
        <v>574</v>
      </c>
      <c r="L19" s="403">
        <f t="shared" si="0"/>
        <v>566.63</v>
      </c>
      <c r="N19" s="403" t="s">
        <v>621</v>
      </c>
      <c r="O19" s="403">
        <f t="shared" si="1"/>
        <v>1</v>
      </c>
    </row>
    <row r="20" spans="1:15">
      <c r="A20" s="403" t="s">
        <v>603</v>
      </c>
      <c r="B20" s="403" t="s">
        <v>2</v>
      </c>
      <c r="C20" s="403" t="s">
        <v>3</v>
      </c>
      <c r="D20" s="407">
        <v>0</v>
      </c>
      <c r="E20" s="407">
        <v>0</v>
      </c>
      <c r="F20" s="407">
        <v>0</v>
      </c>
      <c r="G20" s="408">
        <v>0</v>
      </c>
      <c r="H20" s="408">
        <v>0</v>
      </c>
      <c r="I20" s="408">
        <v>0</v>
      </c>
      <c r="J20" s="408">
        <v>0</v>
      </c>
      <c r="K20" s="408">
        <v>0</v>
      </c>
      <c r="L20" s="403">
        <f t="shared" si="0"/>
        <v>0</v>
      </c>
      <c r="N20" s="403" t="s">
        <v>801</v>
      </c>
      <c r="O20" s="403">
        <f t="shared" si="1"/>
        <v>0</v>
      </c>
    </row>
    <row r="21" spans="1:15">
      <c r="A21" s="403" t="s">
        <v>597</v>
      </c>
      <c r="B21" s="403" t="s">
        <v>363</v>
      </c>
      <c r="C21" s="403" t="s">
        <v>364</v>
      </c>
      <c r="D21" s="407">
        <v>241</v>
      </c>
      <c r="E21" s="407">
        <v>253</v>
      </c>
      <c r="F21" s="407">
        <v>239</v>
      </c>
      <c r="G21" s="408">
        <v>261</v>
      </c>
      <c r="H21" s="408">
        <v>259</v>
      </c>
      <c r="I21" s="408">
        <v>265</v>
      </c>
      <c r="J21" s="408">
        <v>269</v>
      </c>
      <c r="K21" s="408">
        <v>269</v>
      </c>
      <c r="L21" s="403">
        <f t="shared" si="0"/>
        <v>257</v>
      </c>
      <c r="N21" s="403" t="s">
        <v>621</v>
      </c>
      <c r="O21" s="403">
        <f t="shared" si="1"/>
        <v>1</v>
      </c>
    </row>
    <row r="22" spans="1:15">
      <c r="A22" s="403" t="s">
        <v>605</v>
      </c>
      <c r="B22" s="403" t="s">
        <v>234</v>
      </c>
      <c r="C22" s="403" t="s">
        <v>235</v>
      </c>
      <c r="D22" s="407">
        <v>0</v>
      </c>
      <c r="E22" s="407">
        <v>0</v>
      </c>
      <c r="F22" s="407">
        <v>0</v>
      </c>
      <c r="G22" s="408">
        <v>0</v>
      </c>
      <c r="H22" s="408">
        <v>0</v>
      </c>
      <c r="I22" s="408">
        <v>0</v>
      </c>
      <c r="J22" s="408">
        <v>0</v>
      </c>
      <c r="K22" s="408">
        <v>0</v>
      </c>
      <c r="L22" s="403">
        <f t="shared" si="0"/>
        <v>0</v>
      </c>
      <c r="N22" s="403" t="s">
        <v>801</v>
      </c>
      <c r="O22" s="403">
        <f t="shared" si="1"/>
        <v>0</v>
      </c>
    </row>
    <row r="23" spans="1:15">
      <c r="A23" s="403" t="s">
        <v>595</v>
      </c>
      <c r="B23" s="403" t="s">
        <v>508</v>
      </c>
      <c r="C23" s="403" t="s">
        <v>509</v>
      </c>
      <c r="D23" s="407">
        <v>97</v>
      </c>
      <c r="E23" s="407">
        <v>99</v>
      </c>
      <c r="F23" s="407">
        <v>98</v>
      </c>
      <c r="G23" s="408">
        <v>96</v>
      </c>
      <c r="H23" s="408">
        <v>92</v>
      </c>
      <c r="I23" s="408">
        <v>91</v>
      </c>
      <c r="J23" s="408">
        <v>94</v>
      </c>
      <c r="K23" s="408">
        <v>94</v>
      </c>
      <c r="L23" s="403">
        <f t="shared" si="0"/>
        <v>95.13</v>
      </c>
      <c r="N23" s="403" t="s">
        <v>621</v>
      </c>
      <c r="O23" s="403">
        <f t="shared" si="1"/>
        <v>1</v>
      </c>
    </row>
    <row r="24" spans="1:15">
      <c r="A24" s="403" t="s">
        <v>594</v>
      </c>
      <c r="B24" s="403" t="s">
        <v>266</v>
      </c>
      <c r="C24" s="403" t="s">
        <v>267</v>
      </c>
      <c r="D24" s="407">
        <v>0</v>
      </c>
      <c r="E24" s="407">
        <v>0</v>
      </c>
      <c r="F24" s="407">
        <v>0</v>
      </c>
      <c r="G24" s="408">
        <v>0</v>
      </c>
      <c r="H24" s="408">
        <v>0</v>
      </c>
      <c r="I24" s="408">
        <v>0</v>
      </c>
      <c r="J24" s="408">
        <v>0</v>
      </c>
      <c r="K24" s="408">
        <v>0</v>
      </c>
      <c r="L24" s="403">
        <f t="shared" si="0"/>
        <v>0</v>
      </c>
      <c r="N24" s="403" t="s">
        <v>801</v>
      </c>
      <c r="O24" s="403">
        <f t="shared" si="1"/>
        <v>0</v>
      </c>
    </row>
    <row r="25" spans="1:15">
      <c r="A25" s="403" t="s">
        <v>600</v>
      </c>
      <c r="B25" s="403" t="s">
        <v>211</v>
      </c>
      <c r="C25" s="403" t="s">
        <v>212</v>
      </c>
      <c r="D25" s="407">
        <v>131</v>
      </c>
      <c r="E25" s="407">
        <v>133</v>
      </c>
      <c r="F25" s="407">
        <v>128</v>
      </c>
      <c r="G25" s="408">
        <v>123</v>
      </c>
      <c r="H25" s="408">
        <v>128</v>
      </c>
      <c r="I25" s="408">
        <v>131</v>
      </c>
      <c r="J25" s="408">
        <v>131</v>
      </c>
      <c r="K25" s="408">
        <v>129</v>
      </c>
      <c r="L25" s="403">
        <f t="shared" si="0"/>
        <v>129.25</v>
      </c>
      <c r="N25" s="403" t="s">
        <v>621</v>
      </c>
      <c r="O25" s="403">
        <f t="shared" si="1"/>
        <v>1</v>
      </c>
    </row>
    <row r="26" spans="1:15">
      <c r="A26" s="403" t="s">
        <v>601</v>
      </c>
      <c r="B26" s="403" t="s">
        <v>315</v>
      </c>
      <c r="C26" s="403" t="s">
        <v>316</v>
      </c>
      <c r="D26" s="407">
        <v>322</v>
      </c>
      <c r="E26" s="407">
        <v>317</v>
      </c>
      <c r="F26" s="407">
        <v>315</v>
      </c>
      <c r="G26" s="408">
        <v>317</v>
      </c>
      <c r="H26" s="408">
        <v>332</v>
      </c>
      <c r="I26" s="408">
        <v>336</v>
      </c>
      <c r="J26" s="408">
        <v>339</v>
      </c>
      <c r="K26" s="408">
        <v>346</v>
      </c>
      <c r="L26" s="403">
        <f t="shared" si="0"/>
        <v>328</v>
      </c>
      <c r="N26" s="403" t="s">
        <v>621</v>
      </c>
      <c r="O26" s="403">
        <f t="shared" si="1"/>
        <v>1</v>
      </c>
    </row>
    <row r="27" spans="1:15">
      <c r="A27" s="403" t="s">
        <v>601</v>
      </c>
      <c r="B27" s="403" t="s">
        <v>84</v>
      </c>
      <c r="C27" s="403" t="s">
        <v>85</v>
      </c>
      <c r="D27" s="407">
        <v>396</v>
      </c>
      <c r="E27" s="407">
        <v>386</v>
      </c>
      <c r="F27" s="407">
        <v>336</v>
      </c>
      <c r="G27" s="408">
        <v>334</v>
      </c>
      <c r="H27" s="408">
        <v>337</v>
      </c>
      <c r="I27" s="408">
        <v>343</v>
      </c>
      <c r="J27" s="408">
        <v>342</v>
      </c>
      <c r="K27" s="408">
        <v>351</v>
      </c>
      <c r="L27" s="403">
        <f t="shared" si="0"/>
        <v>353.13</v>
      </c>
      <c r="N27" s="403" t="s">
        <v>621</v>
      </c>
      <c r="O27" s="403">
        <f t="shared" si="1"/>
        <v>1</v>
      </c>
    </row>
    <row r="28" spans="1:15">
      <c r="A28" s="403" t="s">
        <v>600</v>
      </c>
      <c r="B28" s="403" t="s">
        <v>165</v>
      </c>
      <c r="C28" s="403" t="s">
        <v>166</v>
      </c>
      <c r="D28" s="407">
        <v>0</v>
      </c>
      <c r="E28" s="407">
        <v>0</v>
      </c>
      <c r="F28" s="407">
        <v>0</v>
      </c>
      <c r="G28" s="408">
        <v>0</v>
      </c>
      <c r="H28" s="408">
        <v>0</v>
      </c>
      <c r="I28" s="408">
        <v>0</v>
      </c>
      <c r="J28" s="408">
        <v>0</v>
      </c>
      <c r="K28" s="408">
        <v>0</v>
      </c>
      <c r="L28" s="403">
        <f t="shared" si="0"/>
        <v>0</v>
      </c>
      <c r="N28" s="403" t="s">
        <v>801</v>
      </c>
      <c r="O28" s="403">
        <f t="shared" si="1"/>
        <v>0</v>
      </c>
    </row>
    <row r="29" spans="1:15">
      <c r="A29" s="403" t="s">
        <v>595</v>
      </c>
      <c r="B29" s="403" t="s">
        <v>378</v>
      </c>
      <c r="C29" s="403" t="s">
        <v>602</v>
      </c>
      <c r="D29" s="407">
        <v>624</v>
      </c>
      <c r="E29" s="407">
        <v>595</v>
      </c>
      <c r="F29" s="407">
        <v>569</v>
      </c>
      <c r="G29" s="408">
        <v>566</v>
      </c>
      <c r="H29" s="408">
        <v>582</v>
      </c>
      <c r="I29" s="408">
        <v>569</v>
      </c>
      <c r="J29" s="408">
        <v>568</v>
      </c>
      <c r="K29" s="408">
        <v>562</v>
      </c>
      <c r="L29" s="403">
        <f t="shared" si="0"/>
        <v>579.38</v>
      </c>
      <c r="N29" s="403" t="s">
        <v>621</v>
      </c>
      <c r="O29" s="403">
        <f t="shared" si="1"/>
        <v>1</v>
      </c>
    </row>
    <row r="30" spans="1:15">
      <c r="A30" s="403" t="s">
        <v>599</v>
      </c>
      <c r="B30" s="403" t="s">
        <v>60</v>
      </c>
      <c r="C30" s="403" t="s">
        <v>61</v>
      </c>
      <c r="D30" s="407">
        <v>93</v>
      </c>
      <c r="E30" s="407">
        <v>94</v>
      </c>
      <c r="F30" s="407">
        <v>91</v>
      </c>
      <c r="G30" s="408">
        <v>90</v>
      </c>
      <c r="H30" s="408">
        <v>90</v>
      </c>
      <c r="I30" s="408">
        <v>88</v>
      </c>
      <c r="J30" s="408">
        <v>88</v>
      </c>
      <c r="K30" s="408">
        <v>86</v>
      </c>
      <c r="L30" s="403">
        <f t="shared" si="0"/>
        <v>90</v>
      </c>
      <c r="N30" s="403" t="s">
        <v>621</v>
      </c>
      <c r="O30" s="403">
        <f t="shared" si="1"/>
        <v>1</v>
      </c>
    </row>
    <row r="31" spans="1:15">
      <c r="A31" s="403" t="s">
        <v>600</v>
      </c>
      <c r="B31" s="403" t="s">
        <v>45</v>
      </c>
      <c r="C31" s="403" t="s">
        <v>46</v>
      </c>
      <c r="D31" s="407">
        <v>96</v>
      </c>
      <c r="E31" s="407">
        <v>95</v>
      </c>
      <c r="F31" s="407">
        <v>95</v>
      </c>
      <c r="G31" s="408">
        <v>95</v>
      </c>
      <c r="H31" s="408">
        <v>96</v>
      </c>
      <c r="I31" s="408">
        <v>92</v>
      </c>
      <c r="J31" s="408">
        <v>93</v>
      </c>
      <c r="K31" s="408">
        <v>93</v>
      </c>
      <c r="L31" s="403">
        <f t="shared" si="0"/>
        <v>94.38</v>
      </c>
      <c r="N31" s="403" t="s">
        <v>621</v>
      </c>
      <c r="O31" s="403">
        <f t="shared" si="1"/>
        <v>1</v>
      </c>
    </row>
    <row r="32" spans="1:15">
      <c r="A32" s="403" t="s">
        <v>597</v>
      </c>
      <c r="B32" s="403" t="s">
        <v>347</v>
      </c>
      <c r="C32" s="403" t="s">
        <v>348</v>
      </c>
      <c r="D32" s="407">
        <v>0</v>
      </c>
      <c r="E32" s="407">
        <v>0</v>
      </c>
      <c r="F32" s="407">
        <v>0</v>
      </c>
      <c r="G32" s="408">
        <v>0</v>
      </c>
      <c r="H32" s="408">
        <v>0</v>
      </c>
      <c r="I32" s="408">
        <v>0</v>
      </c>
      <c r="J32" s="408">
        <v>0</v>
      </c>
      <c r="K32" s="408">
        <v>0</v>
      </c>
      <c r="L32" s="403">
        <f t="shared" si="0"/>
        <v>0</v>
      </c>
      <c r="N32" s="403" t="s">
        <v>801</v>
      </c>
      <c r="O32" s="403">
        <f t="shared" si="1"/>
        <v>0</v>
      </c>
    </row>
    <row r="33" spans="1:15">
      <c r="A33" s="403" t="s">
        <v>601</v>
      </c>
      <c r="B33" s="403" t="s">
        <v>35</v>
      </c>
      <c r="C33" s="403" t="s">
        <v>36</v>
      </c>
      <c r="D33" s="407">
        <v>147</v>
      </c>
      <c r="E33" s="407">
        <v>147</v>
      </c>
      <c r="F33" s="407">
        <v>147</v>
      </c>
      <c r="G33" s="408">
        <v>149</v>
      </c>
      <c r="H33" s="408">
        <v>148</v>
      </c>
      <c r="I33" s="408">
        <v>151</v>
      </c>
      <c r="J33" s="408">
        <v>152</v>
      </c>
      <c r="K33" s="408">
        <v>151</v>
      </c>
      <c r="L33" s="403">
        <f t="shared" si="0"/>
        <v>149</v>
      </c>
      <c r="N33" s="403" t="s">
        <v>621</v>
      </c>
      <c r="O33" s="403">
        <f t="shared" si="1"/>
        <v>1</v>
      </c>
    </row>
    <row r="34" spans="1:15">
      <c r="A34" s="403" t="s">
        <v>601</v>
      </c>
      <c r="B34" s="403" t="s">
        <v>33</v>
      </c>
      <c r="C34" s="403" t="s">
        <v>34</v>
      </c>
      <c r="D34" s="407">
        <v>183</v>
      </c>
      <c r="E34" s="407">
        <v>180</v>
      </c>
      <c r="F34" s="407">
        <v>178</v>
      </c>
      <c r="G34" s="408">
        <v>173</v>
      </c>
      <c r="H34" s="408">
        <v>176</v>
      </c>
      <c r="I34" s="408">
        <v>176</v>
      </c>
      <c r="J34" s="408">
        <v>179</v>
      </c>
      <c r="K34" s="408">
        <v>182</v>
      </c>
      <c r="L34" s="403">
        <f t="shared" si="0"/>
        <v>178.38</v>
      </c>
      <c r="N34" s="403" t="s">
        <v>621</v>
      </c>
      <c r="O34" s="403">
        <f t="shared" si="1"/>
        <v>1</v>
      </c>
    </row>
    <row r="35" spans="1:15">
      <c r="A35" s="403" t="s">
        <v>599</v>
      </c>
      <c r="B35" s="403" t="s">
        <v>74</v>
      </c>
      <c r="C35" s="403" t="s">
        <v>75</v>
      </c>
      <c r="D35" s="407">
        <v>34</v>
      </c>
      <c r="E35" s="407">
        <v>35</v>
      </c>
      <c r="F35" s="407">
        <v>36</v>
      </c>
      <c r="G35" s="408">
        <v>34</v>
      </c>
      <c r="H35" s="408">
        <v>35</v>
      </c>
      <c r="I35" s="408">
        <v>34</v>
      </c>
      <c r="J35" s="408">
        <v>34</v>
      </c>
      <c r="K35" s="408">
        <v>35</v>
      </c>
      <c r="L35" s="403">
        <f t="shared" si="0"/>
        <v>34.630000000000003</v>
      </c>
      <c r="N35" s="403" t="s">
        <v>621</v>
      </c>
      <c r="O35" s="403">
        <f t="shared" si="1"/>
        <v>1</v>
      </c>
    </row>
    <row r="36" spans="1:15">
      <c r="A36" s="403" t="s">
        <v>599</v>
      </c>
      <c r="B36" s="403" t="s">
        <v>236</v>
      </c>
      <c r="C36" s="403" t="s">
        <v>237</v>
      </c>
      <c r="D36" s="407">
        <v>0</v>
      </c>
      <c r="E36" s="407">
        <v>0</v>
      </c>
      <c r="F36" s="407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3">
        <f t="shared" si="0"/>
        <v>0</v>
      </c>
      <c r="N36" s="403" t="s">
        <v>801</v>
      </c>
      <c r="O36" s="403">
        <f t="shared" si="1"/>
        <v>0</v>
      </c>
    </row>
    <row r="37" spans="1:15">
      <c r="A37" s="403" t="s">
        <v>600</v>
      </c>
      <c r="B37" s="403" t="s">
        <v>216</v>
      </c>
      <c r="C37" s="403" t="s">
        <v>217</v>
      </c>
      <c r="D37" s="407">
        <v>183</v>
      </c>
      <c r="E37" s="407">
        <v>193</v>
      </c>
      <c r="F37" s="407">
        <v>200</v>
      </c>
      <c r="G37" s="408">
        <v>203</v>
      </c>
      <c r="H37" s="408">
        <v>205</v>
      </c>
      <c r="I37" s="408">
        <v>219</v>
      </c>
      <c r="J37" s="408">
        <v>221</v>
      </c>
      <c r="K37" s="408">
        <v>223</v>
      </c>
      <c r="L37" s="403">
        <f t="shared" si="0"/>
        <v>205.88</v>
      </c>
      <c r="N37" s="403" t="s">
        <v>621</v>
      </c>
      <c r="O37" s="403">
        <f t="shared" si="1"/>
        <v>1</v>
      </c>
    </row>
    <row r="38" spans="1:15">
      <c r="A38" s="403" t="s">
        <v>603</v>
      </c>
      <c r="B38" s="403" t="s">
        <v>434</v>
      </c>
      <c r="C38" s="403" t="s">
        <v>435</v>
      </c>
      <c r="D38" s="407">
        <v>210</v>
      </c>
      <c r="E38" s="407">
        <v>212</v>
      </c>
      <c r="F38" s="407">
        <v>213</v>
      </c>
      <c r="G38" s="408">
        <v>212</v>
      </c>
      <c r="H38" s="408">
        <v>211</v>
      </c>
      <c r="I38" s="408">
        <v>212</v>
      </c>
      <c r="J38" s="408">
        <v>217</v>
      </c>
      <c r="K38" s="408">
        <v>214</v>
      </c>
      <c r="L38" s="403">
        <f t="shared" si="0"/>
        <v>212.63</v>
      </c>
      <c r="N38" s="403" t="s">
        <v>621</v>
      </c>
      <c r="O38" s="403">
        <f t="shared" si="1"/>
        <v>1</v>
      </c>
    </row>
    <row r="39" spans="1:15">
      <c r="A39" s="403" t="s">
        <v>594</v>
      </c>
      <c r="B39" s="403" t="s">
        <v>278</v>
      </c>
      <c r="C39" s="403" t="s">
        <v>279</v>
      </c>
      <c r="D39" s="407">
        <v>264</v>
      </c>
      <c r="E39" s="407">
        <v>264</v>
      </c>
      <c r="F39" s="407">
        <v>264</v>
      </c>
      <c r="G39" s="408">
        <v>258</v>
      </c>
      <c r="H39" s="408">
        <v>263</v>
      </c>
      <c r="I39" s="408">
        <v>256</v>
      </c>
      <c r="J39" s="408">
        <v>260</v>
      </c>
      <c r="K39" s="408">
        <v>258</v>
      </c>
      <c r="L39" s="403">
        <f t="shared" si="0"/>
        <v>260.88</v>
      </c>
      <c r="N39" s="403" t="s">
        <v>621</v>
      </c>
      <c r="O39" s="403">
        <f t="shared" si="1"/>
        <v>1</v>
      </c>
    </row>
    <row r="40" spans="1:15">
      <c r="A40" s="403" t="s">
        <v>594</v>
      </c>
      <c r="B40" s="403" t="s">
        <v>274</v>
      </c>
      <c r="C40" s="403" t="s">
        <v>275</v>
      </c>
      <c r="D40" s="407">
        <v>63</v>
      </c>
      <c r="E40" s="407">
        <v>72</v>
      </c>
      <c r="F40" s="407">
        <v>73</v>
      </c>
      <c r="G40" s="408">
        <v>74</v>
      </c>
      <c r="H40" s="408">
        <v>73</v>
      </c>
      <c r="I40" s="408">
        <v>70</v>
      </c>
      <c r="J40" s="408">
        <v>68</v>
      </c>
      <c r="K40" s="408">
        <v>68</v>
      </c>
      <c r="L40" s="403">
        <f t="shared" si="0"/>
        <v>70.13</v>
      </c>
      <c r="N40" s="403" t="s">
        <v>621</v>
      </c>
      <c r="O40" s="403">
        <f t="shared" si="1"/>
        <v>1</v>
      </c>
    </row>
    <row r="41" spans="1:15">
      <c r="A41" s="403" t="s">
        <v>603</v>
      </c>
      <c r="B41" s="403" t="s">
        <v>438</v>
      </c>
      <c r="C41" s="403" t="s">
        <v>439</v>
      </c>
      <c r="D41" s="407">
        <v>77</v>
      </c>
      <c r="E41" s="407">
        <v>77</v>
      </c>
      <c r="F41" s="407">
        <v>77</v>
      </c>
      <c r="G41" s="408">
        <v>78</v>
      </c>
      <c r="H41" s="408">
        <v>77</v>
      </c>
      <c r="I41" s="408">
        <v>78</v>
      </c>
      <c r="J41" s="408">
        <v>77</v>
      </c>
      <c r="K41" s="408">
        <v>75</v>
      </c>
      <c r="L41" s="403">
        <f t="shared" si="0"/>
        <v>77</v>
      </c>
      <c r="N41" s="403" t="s">
        <v>621</v>
      </c>
      <c r="O41" s="403">
        <f t="shared" si="1"/>
        <v>1</v>
      </c>
    </row>
    <row r="42" spans="1:15">
      <c r="A42" s="403" t="s">
        <v>603</v>
      </c>
      <c r="B42" s="403" t="s">
        <v>450</v>
      </c>
      <c r="C42" s="403" t="s">
        <v>451</v>
      </c>
      <c r="D42" s="407">
        <v>2</v>
      </c>
      <c r="E42" s="407">
        <v>2</v>
      </c>
      <c r="F42" s="407">
        <v>2</v>
      </c>
      <c r="G42" s="408">
        <v>2</v>
      </c>
      <c r="H42" s="408">
        <v>2</v>
      </c>
      <c r="I42" s="408">
        <v>2</v>
      </c>
      <c r="J42" s="408">
        <v>2</v>
      </c>
      <c r="K42" s="408">
        <v>2</v>
      </c>
      <c r="L42" s="403">
        <f t="shared" si="0"/>
        <v>2</v>
      </c>
      <c r="N42" s="403" t="s">
        <v>621</v>
      </c>
      <c r="O42" s="403">
        <f t="shared" si="1"/>
        <v>1</v>
      </c>
    </row>
    <row r="43" spans="1:15">
      <c r="A43" s="403" t="s">
        <v>600</v>
      </c>
      <c r="B43" s="403" t="s">
        <v>169</v>
      </c>
      <c r="C43" s="403" t="s">
        <v>170</v>
      </c>
      <c r="D43" s="407">
        <v>13</v>
      </c>
      <c r="E43" s="407">
        <v>13</v>
      </c>
      <c r="F43" s="407">
        <v>14</v>
      </c>
      <c r="G43" s="408">
        <v>13</v>
      </c>
      <c r="H43" s="408">
        <v>13</v>
      </c>
      <c r="I43" s="408">
        <v>11</v>
      </c>
      <c r="J43" s="408">
        <v>12</v>
      </c>
      <c r="K43" s="408">
        <v>13</v>
      </c>
      <c r="L43" s="403">
        <f t="shared" si="0"/>
        <v>12.75</v>
      </c>
      <c r="N43" s="403" t="s">
        <v>621</v>
      </c>
      <c r="O43" s="403">
        <f t="shared" si="1"/>
        <v>1</v>
      </c>
    </row>
    <row r="44" spans="1:15">
      <c r="A44" s="403" t="s">
        <v>596</v>
      </c>
      <c r="B44" s="403" t="s">
        <v>10</v>
      </c>
      <c r="C44" s="403" t="s">
        <v>11</v>
      </c>
      <c r="D44" s="407">
        <v>21</v>
      </c>
      <c r="E44" s="407">
        <v>21</v>
      </c>
      <c r="F44" s="407">
        <v>23</v>
      </c>
      <c r="G44" s="408">
        <v>24</v>
      </c>
      <c r="H44" s="408">
        <v>24</v>
      </c>
      <c r="I44" s="408">
        <v>25</v>
      </c>
      <c r="J44" s="408">
        <v>25</v>
      </c>
      <c r="K44" s="408">
        <v>25</v>
      </c>
      <c r="L44" s="403">
        <f t="shared" si="0"/>
        <v>23.5</v>
      </c>
      <c r="N44" s="403" t="s">
        <v>621</v>
      </c>
      <c r="O44" s="403">
        <f t="shared" si="1"/>
        <v>1</v>
      </c>
    </row>
    <row r="45" spans="1:15">
      <c r="A45" s="403" t="s">
        <v>605</v>
      </c>
      <c r="B45" s="403" t="s">
        <v>230</v>
      </c>
      <c r="C45" s="403" t="s">
        <v>231</v>
      </c>
      <c r="D45" s="407">
        <v>13</v>
      </c>
      <c r="E45" s="407">
        <v>12</v>
      </c>
      <c r="F45" s="407">
        <v>13</v>
      </c>
      <c r="G45" s="408">
        <v>13</v>
      </c>
      <c r="H45" s="408">
        <v>18</v>
      </c>
      <c r="I45" s="408">
        <v>18</v>
      </c>
      <c r="J45" s="408">
        <v>16</v>
      </c>
      <c r="K45" s="408">
        <v>18</v>
      </c>
      <c r="L45" s="403">
        <f t="shared" si="0"/>
        <v>15.13</v>
      </c>
      <c r="N45" s="403" t="s">
        <v>621</v>
      </c>
      <c r="O45" s="403">
        <f t="shared" si="1"/>
        <v>1</v>
      </c>
    </row>
    <row r="46" spans="1:15">
      <c r="A46" s="403" t="s">
        <v>597</v>
      </c>
      <c r="B46" s="403" t="s">
        <v>357</v>
      </c>
      <c r="C46" s="403" t="s">
        <v>358</v>
      </c>
      <c r="D46" s="407">
        <v>1128</v>
      </c>
      <c r="E46" s="407">
        <v>1134</v>
      </c>
      <c r="F46" s="407">
        <v>1134</v>
      </c>
      <c r="G46" s="408">
        <v>1115</v>
      </c>
      <c r="H46" s="408">
        <v>1124</v>
      </c>
      <c r="I46" s="408">
        <v>1139</v>
      </c>
      <c r="J46" s="408">
        <v>1139</v>
      </c>
      <c r="K46" s="408">
        <v>1141</v>
      </c>
      <c r="L46" s="403">
        <f t="shared" si="0"/>
        <v>1131.75</v>
      </c>
      <c r="N46" s="403" t="s">
        <v>621</v>
      </c>
      <c r="O46" s="403">
        <f t="shared" si="1"/>
        <v>1</v>
      </c>
    </row>
    <row r="47" spans="1:15">
      <c r="A47" s="403" t="s">
        <v>603</v>
      </c>
      <c r="B47" s="403" t="s">
        <v>525</v>
      </c>
      <c r="C47" s="403" t="s">
        <v>526</v>
      </c>
      <c r="D47" s="407">
        <v>0</v>
      </c>
      <c r="E47" s="407">
        <v>0</v>
      </c>
      <c r="F47" s="407">
        <v>0</v>
      </c>
      <c r="G47" s="408">
        <v>0</v>
      </c>
      <c r="H47" s="408">
        <v>0</v>
      </c>
      <c r="I47" s="408">
        <v>0</v>
      </c>
      <c r="J47" s="408">
        <v>0</v>
      </c>
      <c r="K47" s="408">
        <v>0</v>
      </c>
      <c r="L47" s="403">
        <f t="shared" si="0"/>
        <v>0</v>
      </c>
      <c r="N47" s="403" t="s">
        <v>801</v>
      </c>
      <c r="O47" s="403">
        <f t="shared" si="1"/>
        <v>0</v>
      </c>
    </row>
    <row r="48" spans="1:15">
      <c r="A48" s="403" t="s">
        <v>596</v>
      </c>
      <c r="B48" s="403" t="s">
        <v>494</v>
      </c>
      <c r="C48" s="403" t="s">
        <v>495</v>
      </c>
      <c r="D48" s="407">
        <v>147</v>
      </c>
      <c r="E48" s="407">
        <v>153</v>
      </c>
      <c r="F48" s="407">
        <v>155</v>
      </c>
      <c r="G48" s="408">
        <v>156</v>
      </c>
      <c r="H48" s="408">
        <v>153</v>
      </c>
      <c r="I48" s="408">
        <v>151</v>
      </c>
      <c r="J48" s="408">
        <v>151</v>
      </c>
      <c r="K48" s="408">
        <v>151</v>
      </c>
      <c r="L48" s="403">
        <f t="shared" si="0"/>
        <v>152.13</v>
      </c>
      <c r="N48" s="403" t="s">
        <v>621</v>
      </c>
      <c r="O48" s="403">
        <f t="shared" si="1"/>
        <v>1</v>
      </c>
    </row>
    <row r="49" spans="1:15">
      <c r="A49" s="403" t="s">
        <v>603</v>
      </c>
      <c r="B49" s="403" t="s">
        <v>533</v>
      </c>
      <c r="C49" s="403" t="s">
        <v>534</v>
      </c>
      <c r="D49" s="407">
        <v>0</v>
      </c>
      <c r="E49" s="407">
        <v>0</v>
      </c>
      <c r="F49" s="407">
        <v>0</v>
      </c>
      <c r="G49" s="408">
        <v>0</v>
      </c>
      <c r="H49" s="408">
        <v>0</v>
      </c>
      <c r="I49" s="408">
        <v>0</v>
      </c>
      <c r="J49" s="408">
        <v>0</v>
      </c>
      <c r="K49" s="408">
        <v>0</v>
      </c>
      <c r="L49" s="403">
        <f t="shared" si="0"/>
        <v>0</v>
      </c>
      <c r="N49" s="403" t="s">
        <v>801</v>
      </c>
      <c r="O49" s="403">
        <f t="shared" si="1"/>
        <v>0</v>
      </c>
    </row>
    <row r="50" spans="1:15">
      <c r="A50" s="403" t="s">
        <v>603</v>
      </c>
      <c r="B50" s="403" t="s">
        <v>464</v>
      </c>
      <c r="C50" s="403" t="s">
        <v>465</v>
      </c>
      <c r="D50" s="407">
        <v>0</v>
      </c>
      <c r="E50" s="407">
        <v>0</v>
      </c>
      <c r="F50" s="407">
        <v>0</v>
      </c>
      <c r="G50" s="408">
        <v>0</v>
      </c>
      <c r="H50" s="408">
        <v>0</v>
      </c>
      <c r="I50" s="408">
        <v>0</v>
      </c>
      <c r="J50" s="408">
        <v>0</v>
      </c>
      <c r="K50" s="408">
        <v>0</v>
      </c>
      <c r="L50" s="403">
        <f t="shared" si="0"/>
        <v>0</v>
      </c>
      <c r="N50" s="403" t="s">
        <v>801</v>
      </c>
      <c r="O50" s="403">
        <f t="shared" si="1"/>
        <v>0</v>
      </c>
    </row>
    <row r="51" spans="1:15">
      <c r="A51" s="403" t="s">
        <v>596</v>
      </c>
      <c r="B51" s="403" t="s">
        <v>498</v>
      </c>
      <c r="C51" s="403" t="s">
        <v>499</v>
      </c>
      <c r="D51" s="407">
        <v>78</v>
      </c>
      <c r="E51" s="407">
        <v>74</v>
      </c>
      <c r="F51" s="407">
        <v>74</v>
      </c>
      <c r="G51" s="408">
        <v>77</v>
      </c>
      <c r="H51" s="408">
        <v>72</v>
      </c>
      <c r="I51" s="408">
        <v>73</v>
      </c>
      <c r="J51" s="408">
        <v>69</v>
      </c>
      <c r="K51" s="408">
        <v>69</v>
      </c>
      <c r="L51" s="403">
        <f t="shared" si="0"/>
        <v>73.25</v>
      </c>
      <c r="N51" s="403" t="s">
        <v>621</v>
      </c>
      <c r="O51" s="403">
        <f t="shared" si="1"/>
        <v>1</v>
      </c>
    </row>
    <row r="52" spans="1:15">
      <c r="A52" s="403" t="s">
        <v>603</v>
      </c>
      <c r="B52" s="403" t="s">
        <v>456</v>
      </c>
      <c r="C52" s="403" t="s">
        <v>457</v>
      </c>
      <c r="D52" s="407">
        <v>45</v>
      </c>
      <c r="E52" s="407">
        <v>44</v>
      </c>
      <c r="F52" s="407">
        <v>45</v>
      </c>
      <c r="G52" s="408">
        <v>44</v>
      </c>
      <c r="H52" s="408">
        <v>44</v>
      </c>
      <c r="I52" s="408">
        <v>44</v>
      </c>
      <c r="J52" s="408">
        <v>45</v>
      </c>
      <c r="K52" s="408">
        <v>45</v>
      </c>
      <c r="L52" s="403">
        <f t="shared" si="0"/>
        <v>44.5</v>
      </c>
      <c r="N52" s="403" t="s">
        <v>621</v>
      </c>
      <c r="O52" s="403">
        <f t="shared" si="1"/>
        <v>1</v>
      </c>
    </row>
    <row r="53" spans="1:15">
      <c r="A53" s="403" t="s">
        <v>595</v>
      </c>
      <c r="B53" s="403" t="s">
        <v>376</v>
      </c>
      <c r="C53" s="403" t="s">
        <v>377</v>
      </c>
      <c r="D53" s="407">
        <v>0</v>
      </c>
      <c r="E53" s="407">
        <v>0</v>
      </c>
      <c r="F53" s="407">
        <v>0</v>
      </c>
      <c r="G53" s="408">
        <v>2</v>
      </c>
      <c r="H53" s="408">
        <v>2</v>
      </c>
      <c r="I53" s="408">
        <v>2</v>
      </c>
      <c r="J53" s="408">
        <v>2</v>
      </c>
      <c r="K53" s="408">
        <v>2</v>
      </c>
      <c r="L53" s="403">
        <f t="shared" si="0"/>
        <v>1.25</v>
      </c>
      <c r="N53" s="403" t="s">
        <v>801</v>
      </c>
      <c r="O53" s="403">
        <f t="shared" si="1"/>
        <v>1</v>
      </c>
    </row>
    <row r="54" spans="1:15">
      <c r="A54" s="403" t="s">
        <v>595</v>
      </c>
      <c r="B54" s="403" t="s">
        <v>384</v>
      </c>
      <c r="C54" s="403" t="s">
        <v>385</v>
      </c>
      <c r="D54" s="407">
        <v>34</v>
      </c>
      <c r="E54" s="407">
        <v>22</v>
      </c>
      <c r="F54" s="407">
        <v>22</v>
      </c>
      <c r="G54" s="408">
        <v>20</v>
      </c>
      <c r="H54" s="408">
        <v>20</v>
      </c>
      <c r="I54" s="408">
        <v>14</v>
      </c>
      <c r="J54" s="408">
        <v>17</v>
      </c>
      <c r="K54" s="408">
        <v>19</v>
      </c>
      <c r="L54" s="403">
        <f t="shared" si="0"/>
        <v>21</v>
      </c>
      <c r="N54" s="403" t="s">
        <v>621</v>
      </c>
      <c r="O54" s="403">
        <f t="shared" si="1"/>
        <v>1</v>
      </c>
    </row>
    <row r="55" spans="1:15">
      <c r="A55" s="403" t="s">
        <v>594</v>
      </c>
      <c r="B55" s="403" t="s">
        <v>147</v>
      </c>
      <c r="C55" s="403" t="s">
        <v>148</v>
      </c>
      <c r="D55" s="407">
        <v>0</v>
      </c>
      <c r="E55" s="407">
        <v>0</v>
      </c>
      <c r="F55" s="407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3">
        <f t="shared" si="0"/>
        <v>0</v>
      </c>
      <c r="N55" s="403" t="s">
        <v>801</v>
      </c>
      <c r="O55" s="403">
        <f t="shared" si="1"/>
        <v>0</v>
      </c>
    </row>
    <row r="56" spans="1:15">
      <c r="A56" s="403" t="s">
        <v>601</v>
      </c>
      <c r="B56" s="403" t="s">
        <v>120</v>
      </c>
      <c r="C56" s="403" t="s">
        <v>654</v>
      </c>
      <c r="D56" s="407">
        <v>0</v>
      </c>
      <c r="E56" s="407">
        <v>0</v>
      </c>
      <c r="F56" s="407">
        <v>0</v>
      </c>
      <c r="G56" s="408">
        <v>0</v>
      </c>
      <c r="H56" s="408">
        <v>0</v>
      </c>
      <c r="I56" s="408">
        <v>0</v>
      </c>
      <c r="J56" s="408">
        <v>0</v>
      </c>
      <c r="K56" s="408">
        <v>0</v>
      </c>
      <c r="L56" s="403">
        <f t="shared" si="0"/>
        <v>0</v>
      </c>
      <c r="N56" s="403" t="s">
        <v>801</v>
      </c>
      <c r="O56" s="403">
        <f t="shared" si="1"/>
        <v>0</v>
      </c>
    </row>
    <row r="57" spans="1:15">
      <c r="A57" s="403" t="s">
        <v>595</v>
      </c>
      <c r="B57" s="403" t="s">
        <v>159</v>
      </c>
      <c r="C57" s="403" t="s">
        <v>160</v>
      </c>
      <c r="D57" s="407">
        <v>24</v>
      </c>
      <c r="E57" s="407">
        <v>24</v>
      </c>
      <c r="F57" s="407">
        <v>24</v>
      </c>
      <c r="G57" s="408">
        <v>23</v>
      </c>
      <c r="H57" s="408">
        <v>25</v>
      </c>
      <c r="I57" s="408">
        <v>25</v>
      </c>
      <c r="J57" s="408">
        <v>24</v>
      </c>
      <c r="K57" s="408">
        <v>27</v>
      </c>
      <c r="L57" s="403">
        <f t="shared" si="0"/>
        <v>24.5</v>
      </c>
      <c r="N57" s="403" t="s">
        <v>621</v>
      </c>
      <c r="O57" s="403">
        <f t="shared" si="1"/>
        <v>1</v>
      </c>
    </row>
    <row r="58" spans="1:15">
      <c r="A58" s="403" t="s">
        <v>600</v>
      </c>
      <c r="B58" s="403" t="s">
        <v>41</v>
      </c>
      <c r="C58" s="403" t="s">
        <v>42</v>
      </c>
      <c r="D58" s="407">
        <v>0</v>
      </c>
      <c r="E58" s="407">
        <v>0</v>
      </c>
      <c r="F58" s="407">
        <v>0</v>
      </c>
      <c r="G58" s="408">
        <v>0</v>
      </c>
      <c r="H58" s="408">
        <v>0</v>
      </c>
      <c r="I58" s="408">
        <v>0</v>
      </c>
      <c r="J58" s="408">
        <v>0</v>
      </c>
      <c r="K58" s="408">
        <v>0</v>
      </c>
      <c r="L58" s="403">
        <f t="shared" si="0"/>
        <v>0</v>
      </c>
      <c r="N58" s="403" t="s">
        <v>801</v>
      </c>
      <c r="O58" s="403">
        <f t="shared" si="1"/>
        <v>0</v>
      </c>
    </row>
    <row r="59" spans="1:15">
      <c r="A59" s="403" t="s">
        <v>603</v>
      </c>
      <c r="B59" s="403" t="s">
        <v>285</v>
      </c>
      <c r="C59" s="403" t="s">
        <v>286</v>
      </c>
      <c r="D59" s="407">
        <v>0</v>
      </c>
      <c r="E59" s="407">
        <v>0</v>
      </c>
      <c r="F59" s="407">
        <v>0</v>
      </c>
      <c r="G59" s="408">
        <v>0</v>
      </c>
      <c r="H59" s="408">
        <v>0</v>
      </c>
      <c r="I59" s="408">
        <v>0</v>
      </c>
      <c r="J59" s="408">
        <v>0</v>
      </c>
      <c r="K59" s="408">
        <v>0</v>
      </c>
      <c r="L59" s="403">
        <f t="shared" si="0"/>
        <v>0</v>
      </c>
      <c r="N59" s="403" t="s">
        <v>801</v>
      </c>
      <c r="O59" s="403">
        <f t="shared" si="1"/>
        <v>0</v>
      </c>
    </row>
    <row r="60" spans="1:15">
      <c r="A60" s="403" t="s">
        <v>603</v>
      </c>
      <c r="B60" s="403" t="s">
        <v>96</v>
      </c>
      <c r="C60" s="403" t="s">
        <v>97</v>
      </c>
      <c r="D60" s="407">
        <v>0</v>
      </c>
      <c r="E60" s="407">
        <v>0</v>
      </c>
      <c r="F60" s="407">
        <v>0</v>
      </c>
      <c r="G60" s="408">
        <v>0</v>
      </c>
      <c r="H60" s="408">
        <v>0</v>
      </c>
      <c r="I60" s="408">
        <v>0</v>
      </c>
      <c r="J60" s="408">
        <v>0</v>
      </c>
      <c r="K60" s="408">
        <v>0</v>
      </c>
      <c r="L60" s="403">
        <f t="shared" si="0"/>
        <v>0</v>
      </c>
      <c r="N60" s="403" t="s">
        <v>801</v>
      </c>
      <c r="O60" s="403">
        <f t="shared" si="1"/>
        <v>0</v>
      </c>
    </row>
    <row r="61" spans="1:15">
      <c r="A61" s="403" t="s">
        <v>603</v>
      </c>
      <c r="B61" s="403" t="s">
        <v>338</v>
      </c>
      <c r="C61" s="403" t="s">
        <v>339</v>
      </c>
      <c r="D61" s="407">
        <v>0</v>
      </c>
      <c r="E61" s="407">
        <v>0</v>
      </c>
      <c r="F61" s="407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3">
        <f t="shared" si="0"/>
        <v>0</v>
      </c>
      <c r="N61" s="403" t="s">
        <v>801</v>
      </c>
      <c r="O61" s="403">
        <f t="shared" si="1"/>
        <v>0</v>
      </c>
    </row>
    <row r="62" spans="1:15">
      <c r="A62" s="403" t="s">
        <v>605</v>
      </c>
      <c r="B62" s="403" t="s">
        <v>220</v>
      </c>
      <c r="C62" s="403" t="s">
        <v>221</v>
      </c>
      <c r="D62" s="407">
        <v>0</v>
      </c>
      <c r="E62" s="407">
        <v>0</v>
      </c>
      <c r="F62" s="407">
        <v>0</v>
      </c>
      <c r="G62" s="408">
        <v>0</v>
      </c>
      <c r="H62" s="408">
        <v>0</v>
      </c>
      <c r="I62" s="408">
        <v>0</v>
      </c>
      <c r="J62" s="408">
        <v>0</v>
      </c>
      <c r="K62" s="408">
        <v>0</v>
      </c>
      <c r="L62" s="403">
        <f t="shared" si="0"/>
        <v>0</v>
      </c>
      <c r="N62" s="403" t="s">
        <v>801</v>
      </c>
      <c r="O62" s="403">
        <f t="shared" si="1"/>
        <v>0</v>
      </c>
    </row>
    <row r="63" spans="1:15">
      <c r="A63" s="403" t="s">
        <v>595</v>
      </c>
      <c r="B63" s="403" t="s">
        <v>417</v>
      </c>
      <c r="C63" s="403" t="s">
        <v>418</v>
      </c>
      <c r="D63" s="407">
        <v>0</v>
      </c>
      <c r="E63" s="407">
        <v>0</v>
      </c>
      <c r="F63" s="407">
        <v>0</v>
      </c>
      <c r="G63" s="408">
        <v>0</v>
      </c>
      <c r="H63" s="408">
        <v>0</v>
      </c>
      <c r="I63" s="408">
        <v>0</v>
      </c>
      <c r="J63" s="408">
        <v>0</v>
      </c>
      <c r="K63" s="408">
        <v>0</v>
      </c>
      <c r="L63" s="403">
        <f t="shared" si="0"/>
        <v>0</v>
      </c>
      <c r="N63" s="403" t="s">
        <v>801</v>
      </c>
      <c r="O63" s="403">
        <f t="shared" si="1"/>
        <v>0</v>
      </c>
    </row>
    <row r="64" spans="1:15">
      <c r="A64" s="403" t="s">
        <v>603</v>
      </c>
      <c r="B64" s="403" t="s">
        <v>293</v>
      </c>
      <c r="C64" s="403" t="s">
        <v>294</v>
      </c>
      <c r="D64" s="407">
        <v>0</v>
      </c>
      <c r="E64" s="407">
        <v>0</v>
      </c>
      <c r="F64" s="407">
        <v>0</v>
      </c>
      <c r="G64" s="408">
        <v>0</v>
      </c>
      <c r="H64" s="408">
        <v>0</v>
      </c>
      <c r="I64" s="408">
        <v>0</v>
      </c>
      <c r="J64" s="408">
        <v>0</v>
      </c>
      <c r="K64" s="408">
        <v>0</v>
      </c>
      <c r="L64" s="403">
        <f t="shared" si="0"/>
        <v>0</v>
      </c>
      <c r="N64" s="403" t="s">
        <v>801</v>
      </c>
      <c r="O64" s="403">
        <f t="shared" si="1"/>
        <v>0</v>
      </c>
    </row>
    <row r="65" spans="1:15">
      <c r="A65" s="403" t="s">
        <v>596</v>
      </c>
      <c r="B65" s="403" t="s">
        <v>66</v>
      </c>
      <c r="C65" s="403" t="s">
        <v>67</v>
      </c>
      <c r="D65" s="407">
        <v>0</v>
      </c>
      <c r="E65" s="407">
        <v>0</v>
      </c>
      <c r="F65" s="407">
        <v>0</v>
      </c>
      <c r="G65" s="408">
        <v>0</v>
      </c>
      <c r="H65" s="408">
        <v>0</v>
      </c>
      <c r="I65" s="408">
        <v>0</v>
      </c>
      <c r="J65" s="408">
        <v>0</v>
      </c>
      <c r="K65" s="408">
        <v>0</v>
      </c>
      <c r="L65" s="403">
        <f t="shared" si="0"/>
        <v>0</v>
      </c>
      <c r="N65" s="403" t="s">
        <v>801</v>
      </c>
      <c r="O65" s="403">
        <f t="shared" si="1"/>
        <v>0</v>
      </c>
    </row>
    <row r="66" spans="1:15">
      <c r="A66" s="403" t="s">
        <v>603</v>
      </c>
      <c r="B66" s="403" t="s">
        <v>444</v>
      </c>
      <c r="C66" s="403" t="s">
        <v>445</v>
      </c>
      <c r="D66" s="407">
        <v>4</v>
      </c>
      <c r="E66" s="407">
        <v>4</v>
      </c>
      <c r="F66" s="407">
        <v>4</v>
      </c>
      <c r="G66" s="408">
        <v>4</v>
      </c>
      <c r="H66" s="408">
        <v>4</v>
      </c>
      <c r="I66" s="408">
        <v>4</v>
      </c>
      <c r="J66" s="408">
        <v>4</v>
      </c>
      <c r="K66" s="408">
        <v>4</v>
      </c>
      <c r="L66" s="403">
        <f t="shared" si="0"/>
        <v>4</v>
      </c>
      <c r="N66" s="403" t="s">
        <v>621</v>
      </c>
      <c r="O66" s="403">
        <f t="shared" si="1"/>
        <v>1</v>
      </c>
    </row>
    <row r="67" spans="1:15">
      <c r="A67" s="403" t="s">
        <v>597</v>
      </c>
      <c r="B67" s="403" t="s">
        <v>353</v>
      </c>
      <c r="C67" s="403" t="s">
        <v>354</v>
      </c>
      <c r="D67" s="407">
        <v>10</v>
      </c>
      <c r="E67" s="407">
        <v>11</v>
      </c>
      <c r="F67" s="407">
        <v>9</v>
      </c>
      <c r="G67" s="408">
        <v>8</v>
      </c>
      <c r="H67" s="408">
        <v>8</v>
      </c>
      <c r="I67" s="408">
        <v>8</v>
      </c>
      <c r="J67" s="408">
        <v>9</v>
      </c>
      <c r="K67" s="408">
        <v>9</v>
      </c>
      <c r="L67" s="403">
        <f t="shared" si="0"/>
        <v>9</v>
      </c>
      <c r="N67" s="403" t="s">
        <v>621</v>
      </c>
      <c r="O67" s="403">
        <f t="shared" si="1"/>
        <v>1</v>
      </c>
    </row>
    <row r="68" spans="1:15">
      <c r="A68" s="403" t="s">
        <v>596</v>
      </c>
      <c r="B68" s="403" t="s">
        <v>490</v>
      </c>
      <c r="C68" s="403" t="s">
        <v>491</v>
      </c>
      <c r="D68" s="407">
        <v>0</v>
      </c>
      <c r="E68" s="407">
        <v>0</v>
      </c>
      <c r="F68" s="407">
        <v>0</v>
      </c>
      <c r="G68" s="408">
        <v>0</v>
      </c>
      <c r="H68" s="408">
        <v>0</v>
      </c>
      <c r="I68" s="408">
        <v>0</v>
      </c>
      <c r="J68" s="408">
        <v>0</v>
      </c>
      <c r="K68" s="408">
        <v>0</v>
      </c>
      <c r="L68" s="403">
        <f t="shared" si="0"/>
        <v>0</v>
      </c>
      <c r="N68" s="403" t="s">
        <v>801</v>
      </c>
      <c r="O68" s="403">
        <f t="shared" si="1"/>
        <v>0</v>
      </c>
    </row>
    <row r="69" spans="1:15">
      <c r="A69" s="403" t="s">
        <v>603</v>
      </c>
      <c r="B69" s="403" t="s">
        <v>440</v>
      </c>
      <c r="C69" s="403" t="s">
        <v>606</v>
      </c>
      <c r="D69" s="407">
        <v>118</v>
      </c>
      <c r="E69" s="407">
        <v>113</v>
      </c>
      <c r="F69" s="407">
        <v>110</v>
      </c>
      <c r="G69" s="408">
        <v>110</v>
      </c>
      <c r="H69" s="408">
        <v>110</v>
      </c>
      <c r="I69" s="408">
        <v>108</v>
      </c>
      <c r="J69" s="408">
        <v>107</v>
      </c>
      <c r="K69" s="408">
        <v>107</v>
      </c>
      <c r="L69" s="403">
        <f t="shared" si="0"/>
        <v>110.38</v>
      </c>
      <c r="N69" s="403" t="s">
        <v>621</v>
      </c>
      <c r="O69" s="403">
        <f t="shared" si="1"/>
        <v>1</v>
      </c>
    </row>
    <row r="70" spans="1:15">
      <c r="A70" s="403" t="s">
        <v>605</v>
      </c>
      <c r="B70" s="403" t="s">
        <v>549</v>
      </c>
      <c r="C70" s="403" t="s">
        <v>550</v>
      </c>
      <c r="D70" s="407">
        <v>240</v>
      </c>
      <c r="E70" s="407">
        <v>233</v>
      </c>
      <c r="F70" s="407">
        <v>230</v>
      </c>
      <c r="G70" s="408">
        <v>228</v>
      </c>
      <c r="H70" s="408">
        <v>227</v>
      </c>
      <c r="I70" s="408">
        <v>225</v>
      </c>
      <c r="J70" s="408">
        <v>232</v>
      </c>
      <c r="K70" s="408">
        <v>235</v>
      </c>
      <c r="L70" s="403">
        <f t="shared" si="0"/>
        <v>231.25</v>
      </c>
      <c r="N70" s="403" t="s">
        <v>621</v>
      </c>
      <c r="O70" s="403">
        <f t="shared" si="1"/>
        <v>1</v>
      </c>
    </row>
    <row r="71" spans="1:15">
      <c r="A71" s="403" t="s">
        <v>601</v>
      </c>
      <c r="B71" s="403" t="s">
        <v>88</v>
      </c>
      <c r="C71" s="403" t="s">
        <v>89</v>
      </c>
      <c r="D71" s="407">
        <v>818</v>
      </c>
      <c r="E71" s="407">
        <v>822</v>
      </c>
      <c r="F71" s="407">
        <v>818</v>
      </c>
      <c r="G71" s="408">
        <v>806</v>
      </c>
      <c r="H71" s="408">
        <v>822</v>
      </c>
      <c r="I71" s="408">
        <v>817</v>
      </c>
      <c r="J71" s="408">
        <v>823</v>
      </c>
      <c r="K71" s="408">
        <v>827</v>
      </c>
      <c r="L71" s="403">
        <f t="shared" si="0"/>
        <v>819.13</v>
      </c>
      <c r="N71" s="403" t="s">
        <v>621</v>
      </c>
      <c r="O71" s="403">
        <f t="shared" si="1"/>
        <v>1</v>
      </c>
    </row>
    <row r="72" spans="1:15">
      <c r="A72" s="403" t="s">
        <v>605</v>
      </c>
      <c r="B72" s="403" t="s">
        <v>222</v>
      </c>
      <c r="C72" s="403" t="s">
        <v>223</v>
      </c>
      <c r="D72" s="407">
        <v>6</v>
      </c>
      <c r="E72" s="407">
        <v>6</v>
      </c>
      <c r="F72" s="407">
        <v>6</v>
      </c>
      <c r="G72" s="408">
        <v>6</v>
      </c>
      <c r="H72" s="408">
        <v>6</v>
      </c>
      <c r="I72" s="408">
        <v>6</v>
      </c>
      <c r="J72" s="408">
        <v>6</v>
      </c>
      <c r="K72" s="408">
        <v>6</v>
      </c>
      <c r="L72" s="403">
        <f t="shared" si="0"/>
        <v>6</v>
      </c>
      <c r="N72" s="403" t="s">
        <v>621</v>
      </c>
      <c r="O72" s="403">
        <f t="shared" si="1"/>
        <v>1</v>
      </c>
    </row>
    <row r="73" spans="1:15">
      <c r="A73" s="403" t="s">
        <v>597</v>
      </c>
      <c r="B73" s="403" t="s">
        <v>365</v>
      </c>
      <c r="C73" s="403" t="s">
        <v>366</v>
      </c>
      <c r="D73" s="407">
        <v>11</v>
      </c>
      <c r="E73" s="407">
        <v>12</v>
      </c>
      <c r="F73" s="407">
        <v>13</v>
      </c>
      <c r="G73" s="408">
        <v>13</v>
      </c>
      <c r="H73" s="408">
        <v>13</v>
      </c>
      <c r="I73" s="408">
        <v>13</v>
      </c>
      <c r="J73" s="408">
        <v>13</v>
      </c>
      <c r="K73" s="408">
        <v>13</v>
      </c>
      <c r="L73" s="403">
        <f t="shared" ref="L73:L136" si="2">ROUND(SUM(D73:K73)/8,2)</f>
        <v>12.63</v>
      </c>
      <c r="N73" s="403" t="s">
        <v>621</v>
      </c>
      <c r="O73" s="403">
        <f t="shared" ref="O73:O136" si="3">IF(L73&gt;0,1,0)</f>
        <v>1</v>
      </c>
    </row>
    <row r="74" spans="1:15">
      <c r="A74" s="403" t="s">
        <v>595</v>
      </c>
      <c r="B74" s="403" t="s">
        <v>401</v>
      </c>
      <c r="C74" s="403" t="s">
        <v>402</v>
      </c>
      <c r="D74" s="407">
        <v>1892</v>
      </c>
      <c r="E74" s="407">
        <v>1902</v>
      </c>
      <c r="F74" s="407">
        <v>1926</v>
      </c>
      <c r="G74" s="408">
        <v>1923</v>
      </c>
      <c r="H74" s="408">
        <v>1909</v>
      </c>
      <c r="I74" s="408">
        <v>1902</v>
      </c>
      <c r="J74" s="408">
        <v>1918</v>
      </c>
      <c r="K74" s="408">
        <v>1926</v>
      </c>
      <c r="L74" s="403">
        <f t="shared" si="2"/>
        <v>1912.25</v>
      </c>
      <c r="N74" s="403" t="s">
        <v>621</v>
      </c>
      <c r="O74" s="403">
        <f t="shared" si="3"/>
        <v>1</v>
      </c>
    </row>
    <row r="75" spans="1:15">
      <c r="A75" s="403" t="s">
        <v>605</v>
      </c>
      <c r="B75" s="403" t="s">
        <v>226</v>
      </c>
      <c r="C75" s="403" t="s">
        <v>227</v>
      </c>
      <c r="D75" s="407">
        <v>178</v>
      </c>
      <c r="E75" s="407">
        <v>180</v>
      </c>
      <c r="F75" s="407">
        <v>179</v>
      </c>
      <c r="G75" s="408">
        <v>172</v>
      </c>
      <c r="H75" s="408">
        <v>172</v>
      </c>
      <c r="I75" s="408">
        <v>172</v>
      </c>
      <c r="J75" s="408">
        <v>175</v>
      </c>
      <c r="K75" s="408">
        <v>175</v>
      </c>
      <c r="L75" s="403">
        <f t="shared" si="2"/>
        <v>175.38</v>
      </c>
      <c r="N75" s="403" t="s">
        <v>621</v>
      </c>
      <c r="O75" s="403">
        <f t="shared" si="3"/>
        <v>1</v>
      </c>
    </row>
    <row r="76" spans="1:15">
      <c r="A76" s="403" t="s">
        <v>594</v>
      </c>
      <c r="B76" s="403" t="s">
        <v>141</v>
      </c>
      <c r="C76" s="403" t="s">
        <v>142</v>
      </c>
      <c r="D76" s="407">
        <v>73</v>
      </c>
      <c r="E76" s="407">
        <v>73</v>
      </c>
      <c r="F76" s="407">
        <v>73</v>
      </c>
      <c r="G76" s="408">
        <v>73</v>
      </c>
      <c r="H76" s="408">
        <v>73</v>
      </c>
      <c r="I76" s="408">
        <v>73</v>
      </c>
      <c r="J76" s="408">
        <v>76</v>
      </c>
      <c r="K76" s="408">
        <v>75</v>
      </c>
      <c r="L76" s="403">
        <f t="shared" si="2"/>
        <v>73.63</v>
      </c>
      <c r="N76" s="403" t="s">
        <v>621</v>
      </c>
      <c r="O76" s="403">
        <f t="shared" si="3"/>
        <v>1</v>
      </c>
    </row>
    <row r="77" spans="1:15">
      <c r="A77" s="403" t="s">
        <v>603</v>
      </c>
      <c r="B77" s="403" t="s">
        <v>535</v>
      </c>
      <c r="C77" s="403" t="s">
        <v>536</v>
      </c>
      <c r="D77" s="407">
        <v>0</v>
      </c>
      <c r="E77" s="407">
        <v>0</v>
      </c>
      <c r="F77" s="407">
        <v>0</v>
      </c>
      <c r="G77" s="408">
        <v>0</v>
      </c>
      <c r="H77" s="408">
        <v>0</v>
      </c>
      <c r="I77" s="408">
        <v>0</v>
      </c>
      <c r="J77" s="408">
        <v>0</v>
      </c>
      <c r="K77" s="408">
        <v>0</v>
      </c>
      <c r="L77" s="403">
        <f t="shared" si="2"/>
        <v>0</v>
      </c>
      <c r="N77" s="403" t="s">
        <v>801</v>
      </c>
      <c r="O77" s="403">
        <f t="shared" si="3"/>
        <v>0</v>
      </c>
    </row>
    <row r="78" spans="1:15">
      <c r="A78" s="403" t="s">
        <v>601</v>
      </c>
      <c r="B78" s="403" t="s">
        <v>29</v>
      </c>
      <c r="C78" s="403" t="s">
        <v>30</v>
      </c>
      <c r="D78" s="407">
        <v>40</v>
      </c>
      <c r="E78" s="407">
        <v>41</v>
      </c>
      <c r="F78" s="407">
        <v>43</v>
      </c>
      <c r="G78" s="408">
        <v>43</v>
      </c>
      <c r="H78" s="408">
        <v>43</v>
      </c>
      <c r="I78" s="408">
        <v>43</v>
      </c>
      <c r="J78" s="408">
        <v>43</v>
      </c>
      <c r="K78" s="408">
        <v>41</v>
      </c>
      <c r="L78" s="403">
        <f t="shared" si="2"/>
        <v>42.13</v>
      </c>
      <c r="N78" s="403" t="s">
        <v>621</v>
      </c>
      <c r="O78" s="403">
        <f t="shared" si="3"/>
        <v>1</v>
      </c>
    </row>
    <row r="79" spans="1:15">
      <c r="A79" s="403" t="s">
        <v>597</v>
      </c>
      <c r="B79" s="403" t="s">
        <v>177</v>
      </c>
      <c r="C79" s="403" t="s">
        <v>178</v>
      </c>
      <c r="D79" s="407">
        <v>145</v>
      </c>
      <c r="E79" s="407">
        <v>148</v>
      </c>
      <c r="F79" s="407">
        <v>143</v>
      </c>
      <c r="G79" s="408">
        <v>143</v>
      </c>
      <c r="H79" s="408">
        <v>144</v>
      </c>
      <c r="I79" s="408">
        <v>145</v>
      </c>
      <c r="J79" s="408">
        <v>141</v>
      </c>
      <c r="K79" s="408">
        <v>139</v>
      </c>
      <c r="L79" s="403">
        <f t="shared" si="2"/>
        <v>143.5</v>
      </c>
      <c r="N79" s="403" t="s">
        <v>621</v>
      </c>
      <c r="O79" s="403">
        <f t="shared" si="3"/>
        <v>1</v>
      </c>
    </row>
    <row r="80" spans="1:15">
      <c r="A80" s="403" t="s">
        <v>601</v>
      </c>
      <c r="B80" s="403" t="s">
        <v>127</v>
      </c>
      <c r="C80" s="403" t="s">
        <v>128</v>
      </c>
      <c r="D80" s="407">
        <v>157</v>
      </c>
      <c r="E80" s="407">
        <v>160</v>
      </c>
      <c r="F80" s="407">
        <v>160</v>
      </c>
      <c r="G80" s="408">
        <v>163</v>
      </c>
      <c r="H80" s="408">
        <v>163</v>
      </c>
      <c r="I80" s="408">
        <v>162</v>
      </c>
      <c r="J80" s="408">
        <v>160</v>
      </c>
      <c r="K80" s="408">
        <v>162</v>
      </c>
      <c r="L80" s="403">
        <f t="shared" si="2"/>
        <v>160.88</v>
      </c>
      <c r="N80" s="403" t="s">
        <v>621</v>
      </c>
      <c r="O80" s="403">
        <f t="shared" si="3"/>
        <v>1</v>
      </c>
    </row>
    <row r="81" spans="1:15">
      <c r="A81" s="403" t="s">
        <v>594</v>
      </c>
      <c r="B81" s="403" t="s">
        <v>256</v>
      </c>
      <c r="C81" s="403" t="s">
        <v>257</v>
      </c>
      <c r="D81" s="407">
        <v>0</v>
      </c>
      <c r="E81" s="407">
        <v>0</v>
      </c>
      <c r="F81" s="407">
        <v>0</v>
      </c>
      <c r="G81" s="408">
        <v>0</v>
      </c>
      <c r="H81" s="408">
        <v>0</v>
      </c>
      <c r="I81" s="408">
        <v>0</v>
      </c>
      <c r="J81" s="408">
        <v>0</v>
      </c>
      <c r="K81" s="408">
        <v>0</v>
      </c>
      <c r="L81" s="403">
        <f t="shared" si="2"/>
        <v>0</v>
      </c>
      <c r="N81" s="403" t="s">
        <v>801</v>
      </c>
      <c r="O81" s="403">
        <f t="shared" si="3"/>
        <v>0</v>
      </c>
    </row>
    <row r="82" spans="1:15">
      <c r="A82" s="403" t="s">
        <v>595</v>
      </c>
      <c r="B82" s="403" t="s">
        <v>395</v>
      </c>
      <c r="C82" s="403" t="s">
        <v>396</v>
      </c>
      <c r="D82" s="407">
        <v>1691</v>
      </c>
      <c r="E82" s="407">
        <v>1713</v>
      </c>
      <c r="F82" s="407">
        <v>1717</v>
      </c>
      <c r="G82" s="408">
        <v>1712</v>
      </c>
      <c r="H82" s="408">
        <v>1716</v>
      </c>
      <c r="I82" s="408">
        <v>1710</v>
      </c>
      <c r="J82" s="408">
        <v>1700</v>
      </c>
      <c r="K82" s="408">
        <v>1684</v>
      </c>
      <c r="L82" s="403">
        <f t="shared" si="2"/>
        <v>1705.38</v>
      </c>
      <c r="N82" s="403" t="s">
        <v>621</v>
      </c>
      <c r="O82" s="403">
        <f t="shared" si="3"/>
        <v>1</v>
      </c>
    </row>
    <row r="83" spans="1:15">
      <c r="A83" s="403" t="s">
        <v>599</v>
      </c>
      <c r="B83" s="403" t="s">
        <v>58</v>
      </c>
      <c r="C83" s="403" t="s">
        <v>59</v>
      </c>
      <c r="D83" s="407">
        <v>2047</v>
      </c>
      <c r="E83" s="407">
        <v>2063</v>
      </c>
      <c r="F83" s="407">
        <v>2072</v>
      </c>
      <c r="G83" s="408">
        <v>2078</v>
      </c>
      <c r="H83" s="408">
        <v>2082</v>
      </c>
      <c r="I83" s="408">
        <v>2082</v>
      </c>
      <c r="J83" s="408">
        <v>2082</v>
      </c>
      <c r="K83" s="408">
        <v>2076</v>
      </c>
      <c r="L83" s="403">
        <f t="shared" si="2"/>
        <v>2072.75</v>
      </c>
      <c r="N83" s="403" t="s">
        <v>621</v>
      </c>
      <c r="O83" s="403">
        <f t="shared" si="3"/>
        <v>1</v>
      </c>
    </row>
    <row r="84" spans="1:15">
      <c r="A84" s="403" t="s">
        <v>603</v>
      </c>
      <c r="B84" s="403" t="s">
        <v>462</v>
      </c>
      <c r="C84" s="403" t="s">
        <v>463</v>
      </c>
      <c r="D84" s="407">
        <v>0</v>
      </c>
      <c r="E84" s="407">
        <v>0</v>
      </c>
      <c r="F84" s="407">
        <v>0</v>
      </c>
      <c r="G84" s="408">
        <v>0</v>
      </c>
      <c r="H84" s="408">
        <v>0</v>
      </c>
      <c r="I84" s="408">
        <v>0</v>
      </c>
      <c r="J84" s="408">
        <v>0</v>
      </c>
      <c r="K84" s="408">
        <v>0</v>
      </c>
      <c r="L84" s="403">
        <f t="shared" si="2"/>
        <v>0</v>
      </c>
      <c r="N84" s="403" t="s">
        <v>801</v>
      </c>
      <c r="O84" s="403">
        <f t="shared" si="3"/>
        <v>0</v>
      </c>
    </row>
    <row r="85" spans="1:15">
      <c r="A85" s="403" t="s">
        <v>597</v>
      </c>
      <c r="B85" s="403" t="s">
        <v>175</v>
      </c>
      <c r="C85" s="403" t="s">
        <v>176</v>
      </c>
      <c r="D85" s="407">
        <v>2625</v>
      </c>
      <c r="E85" s="407">
        <v>2660</v>
      </c>
      <c r="F85" s="407">
        <v>2701</v>
      </c>
      <c r="G85" s="408">
        <v>2680</v>
      </c>
      <c r="H85" s="408">
        <v>2698</v>
      </c>
      <c r="I85" s="408">
        <v>2697</v>
      </c>
      <c r="J85" s="408">
        <v>2688</v>
      </c>
      <c r="K85" s="408">
        <v>2706</v>
      </c>
      <c r="L85" s="403">
        <f t="shared" si="2"/>
        <v>2681.88</v>
      </c>
      <c r="N85" s="403" t="s">
        <v>621</v>
      </c>
      <c r="O85" s="403">
        <f t="shared" si="3"/>
        <v>1</v>
      </c>
    </row>
    <row r="86" spans="1:15">
      <c r="A86" s="403" t="s">
        <v>595</v>
      </c>
      <c r="B86" s="403" t="s">
        <v>506</v>
      </c>
      <c r="C86" s="403" t="s">
        <v>507</v>
      </c>
      <c r="D86" s="407">
        <v>222</v>
      </c>
      <c r="E86" s="407">
        <v>226</v>
      </c>
      <c r="F86" s="407">
        <v>226</v>
      </c>
      <c r="G86" s="408">
        <v>223</v>
      </c>
      <c r="H86" s="408">
        <v>221</v>
      </c>
      <c r="I86" s="408">
        <v>226</v>
      </c>
      <c r="J86" s="408">
        <v>232</v>
      </c>
      <c r="K86" s="408">
        <v>234</v>
      </c>
      <c r="L86" s="403">
        <f t="shared" si="2"/>
        <v>226.25</v>
      </c>
      <c r="N86" s="403" t="s">
        <v>621</v>
      </c>
      <c r="O86" s="403">
        <f t="shared" si="3"/>
        <v>1</v>
      </c>
    </row>
    <row r="87" spans="1:15">
      <c r="A87" s="403" t="s">
        <v>597</v>
      </c>
      <c r="B87" s="403" t="s">
        <v>369</v>
      </c>
      <c r="C87" s="403" t="s">
        <v>370</v>
      </c>
      <c r="D87" s="407">
        <v>337</v>
      </c>
      <c r="E87" s="407">
        <v>335</v>
      </c>
      <c r="F87" s="407">
        <v>333</v>
      </c>
      <c r="G87" s="408">
        <v>338</v>
      </c>
      <c r="H87" s="408">
        <v>341</v>
      </c>
      <c r="I87" s="408">
        <v>330</v>
      </c>
      <c r="J87" s="408">
        <v>330</v>
      </c>
      <c r="K87" s="408">
        <v>329</v>
      </c>
      <c r="L87" s="403">
        <f t="shared" si="2"/>
        <v>334.13</v>
      </c>
      <c r="N87" s="403" t="s">
        <v>621</v>
      </c>
      <c r="O87" s="403">
        <f t="shared" si="3"/>
        <v>1</v>
      </c>
    </row>
    <row r="88" spans="1:15">
      <c r="A88" s="403" t="s">
        <v>596</v>
      </c>
      <c r="B88" s="403" t="s">
        <v>19</v>
      </c>
      <c r="C88" s="403" t="s">
        <v>20</v>
      </c>
      <c r="D88" s="407">
        <v>112</v>
      </c>
      <c r="E88" s="407">
        <v>115</v>
      </c>
      <c r="F88" s="407">
        <v>113</v>
      </c>
      <c r="G88" s="408">
        <v>119</v>
      </c>
      <c r="H88" s="408">
        <v>115</v>
      </c>
      <c r="I88" s="408">
        <v>117</v>
      </c>
      <c r="J88" s="408">
        <v>120</v>
      </c>
      <c r="K88" s="408">
        <v>123</v>
      </c>
      <c r="L88" s="403">
        <f t="shared" si="2"/>
        <v>116.75</v>
      </c>
      <c r="N88" s="403" t="s">
        <v>621</v>
      </c>
      <c r="O88" s="403">
        <f t="shared" si="3"/>
        <v>1</v>
      </c>
    </row>
    <row r="89" spans="1:15">
      <c r="A89" s="403" t="s">
        <v>597</v>
      </c>
      <c r="B89" s="403" t="s">
        <v>361</v>
      </c>
      <c r="C89" s="403" t="s">
        <v>362</v>
      </c>
      <c r="D89" s="407">
        <v>512</v>
      </c>
      <c r="E89" s="407">
        <v>520</v>
      </c>
      <c r="F89" s="407">
        <v>502</v>
      </c>
      <c r="G89" s="408">
        <v>503</v>
      </c>
      <c r="H89" s="408">
        <v>522</v>
      </c>
      <c r="I89" s="408">
        <v>524</v>
      </c>
      <c r="J89" s="408">
        <v>522</v>
      </c>
      <c r="K89" s="408">
        <v>514</v>
      </c>
      <c r="L89" s="403">
        <f t="shared" si="2"/>
        <v>514.88</v>
      </c>
      <c r="N89" s="403" t="s">
        <v>621</v>
      </c>
      <c r="O89" s="403">
        <f t="shared" si="3"/>
        <v>1</v>
      </c>
    </row>
    <row r="90" spans="1:15">
      <c r="A90" s="403" t="s">
        <v>603</v>
      </c>
      <c r="B90" s="403" t="s">
        <v>436</v>
      </c>
      <c r="C90" s="403" t="s">
        <v>437</v>
      </c>
      <c r="D90" s="407">
        <v>0</v>
      </c>
      <c r="E90" s="407">
        <v>0</v>
      </c>
      <c r="F90" s="407">
        <v>0</v>
      </c>
      <c r="G90" s="408">
        <v>0</v>
      </c>
      <c r="H90" s="408">
        <v>0</v>
      </c>
      <c r="I90" s="408">
        <v>0</v>
      </c>
      <c r="J90" s="408">
        <v>0</v>
      </c>
      <c r="K90" s="408">
        <v>0</v>
      </c>
      <c r="L90" s="403">
        <f t="shared" si="2"/>
        <v>0</v>
      </c>
      <c r="N90" s="403" t="s">
        <v>801</v>
      </c>
      <c r="O90" s="403">
        <f t="shared" si="3"/>
        <v>0</v>
      </c>
    </row>
    <row r="91" spans="1:15">
      <c r="A91" s="403" t="s">
        <v>603</v>
      </c>
      <c r="B91" s="403" t="s">
        <v>529</v>
      </c>
      <c r="C91" s="403" t="s">
        <v>530</v>
      </c>
      <c r="D91" s="407">
        <v>0</v>
      </c>
      <c r="E91" s="407">
        <v>0</v>
      </c>
      <c r="F91" s="407">
        <v>0</v>
      </c>
      <c r="G91" s="408">
        <v>0</v>
      </c>
      <c r="H91" s="408">
        <v>0</v>
      </c>
      <c r="I91" s="408">
        <v>0</v>
      </c>
      <c r="J91" s="408">
        <v>0</v>
      </c>
      <c r="K91" s="408">
        <v>0</v>
      </c>
      <c r="L91" s="403">
        <f t="shared" si="2"/>
        <v>0</v>
      </c>
      <c r="N91" s="403" t="s">
        <v>801</v>
      </c>
      <c r="O91" s="403">
        <f t="shared" si="3"/>
        <v>0</v>
      </c>
    </row>
    <row r="92" spans="1:15">
      <c r="A92" s="403" t="s">
        <v>599</v>
      </c>
      <c r="B92" s="403" t="s">
        <v>240</v>
      </c>
      <c r="C92" s="403" t="s">
        <v>241</v>
      </c>
      <c r="D92" s="407">
        <v>0</v>
      </c>
      <c r="E92" s="407">
        <v>0</v>
      </c>
      <c r="F92" s="407">
        <v>0</v>
      </c>
      <c r="G92" s="408">
        <v>0</v>
      </c>
      <c r="H92" s="408">
        <v>0</v>
      </c>
      <c r="I92" s="408">
        <v>0</v>
      </c>
      <c r="J92" s="408">
        <v>0</v>
      </c>
      <c r="K92" s="408">
        <v>0</v>
      </c>
      <c r="L92" s="403">
        <f t="shared" si="2"/>
        <v>0</v>
      </c>
      <c r="N92" s="403" t="s">
        <v>801</v>
      </c>
      <c r="O92" s="403">
        <f t="shared" si="3"/>
        <v>0</v>
      </c>
    </row>
    <row r="93" spans="1:15">
      <c r="A93" s="403" t="s">
        <v>605</v>
      </c>
      <c r="B93" s="403" t="s">
        <v>246</v>
      </c>
      <c r="C93" s="403" t="s">
        <v>247</v>
      </c>
      <c r="D93" s="407">
        <v>34</v>
      </c>
      <c r="E93" s="407">
        <v>35</v>
      </c>
      <c r="F93" s="407">
        <v>33</v>
      </c>
      <c r="G93" s="408">
        <v>33</v>
      </c>
      <c r="H93" s="408">
        <v>37</v>
      </c>
      <c r="I93" s="408">
        <v>38</v>
      </c>
      <c r="J93" s="408">
        <v>38</v>
      </c>
      <c r="K93" s="408">
        <v>37</v>
      </c>
      <c r="L93" s="403">
        <f t="shared" si="2"/>
        <v>35.630000000000003</v>
      </c>
      <c r="N93" s="403" t="s">
        <v>621</v>
      </c>
      <c r="O93" s="403">
        <f t="shared" si="3"/>
        <v>1</v>
      </c>
    </row>
    <row r="94" spans="1:15">
      <c r="A94" s="403" t="s">
        <v>601</v>
      </c>
      <c r="B94" s="403" t="s">
        <v>131</v>
      </c>
      <c r="C94" s="403" t="s">
        <v>655</v>
      </c>
      <c r="D94" s="407">
        <v>0</v>
      </c>
      <c r="E94" s="407">
        <v>0</v>
      </c>
      <c r="F94" s="407">
        <v>0</v>
      </c>
      <c r="G94" s="408">
        <v>0</v>
      </c>
      <c r="H94" s="408">
        <v>0</v>
      </c>
      <c r="I94" s="408">
        <v>0</v>
      </c>
      <c r="J94" s="408">
        <v>0</v>
      </c>
      <c r="K94" s="408">
        <v>0</v>
      </c>
      <c r="L94" s="403">
        <f t="shared" si="2"/>
        <v>0</v>
      </c>
      <c r="N94" s="403" t="s">
        <v>801</v>
      </c>
      <c r="O94" s="403">
        <f t="shared" si="3"/>
        <v>0</v>
      </c>
    </row>
    <row r="95" spans="1:15">
      <c r="A95" s="403" t="s">
        <v>605</v>
      </c>
      <c r="B95" s="403" t="s">
        <v>555</v>
      </c>
      <c r="C95" s="403" t="s">
        <v>556</v>
      </c>
      <c r="D95" s="407">
        <v>986</v>
      </c>
      <c r="E95" s="407">
        <v>980</v>
      </c>
      <c r="F95" s="407">
        <v>979</v>
      </c>
      <c r="G95" s="408">
        <v>964</v>
      </c>
      <c r="H95" s="408">
        <v>967</v>
      </c>
      <c r="I95" s="408">
        <v>961</v>
      </c>
      <c r="J95" s="408">
        <v>976</v>
      </c>
      <c r="K95" s="408">
        <v>983</v>
      </c>
      <c r="L95" s="403">
        <f t="shared" si="2"/>
        <v>974.5</v>
      </c>
      <c r="N95" s="403" t="s">
        <v>621</v>
      </c>
      <c r="O95" s="403">
        <f t="shared" si="3"/>
        <v>1</v>
      </c>
    </row>
    <row r="96" spans="1:15">
      <c r="A96" s="403" t="s">
        <v>605</v>
      </c>
      <c r="B96" s="403" t="s">
        <v>563</v>
      </c>
      <c r="C96" s="403" t="s">
        <v>564</v>
      </c>
      <c r="D96" s="407">
        <v>546</v>
      </c>
      <c r="E96" s="407">
        <v>549</v>
      </c>
      <c r="F96" s="407">
        <v>531</v>
      </c>
      <c r="G96" s="408">
        <v>533</v>
      </c>
      <c r="H96" s="408">
        <v>544</v>
      </c>
      <c r="I96" s="408">
        <v>551</v>
      </c>
      <c r="J96" s="408">
        <v>543</v>
      </c>
      <c r="K96" s="408">
        <v>547</v>
      </c>
      <c r="L96" s="403">
        <f t="shared" si="2"/>
        <v>543</v>
      </c>
      <c r="N96" s="403" t="s">
        <v>621</v>
      </c>
      <c r="O96" s="403">
        <f t="shared" si="3"/>
        <v>1</v>
      </c>
    </row>
    <row r="97" spans="1:15">
      <c r="A97" s="403" t="s">
        <v>595</v>
      </c>
      <c r="B97" s="403" t="s">
        <v>419</v>
      </c>
      <c r="C97" s="403" t="s">
        <v>420</v>
      </c>
      <c r="D97" s="407">
        <v>25</v>
      </c>
      <c r="E97" s="407">
        <v>24</v>
      </c>
      <c r="F97" s="407">
        <v>24</v>
      </c>
      <c r="G97" s="408">
        <v>24</v>
      </c>
      <c r="H97" s="408">
        <v>21</v>
      </c>
      <c r="I97" s="408">
        <v>23</v>
      </c>
      <c r="J97" s="408">
        <v>23</v>
      </c>
      <c r="K97" s="408">
        <v>24</v>
      </c>
      <c r="L97" s="403">
        <f t="shared" si="2"/>
        <v>23.5</v>
      </c>
      <c r="N97" s="403" t="s">
        <v>621</v>
      </c>
      <c r="O97" s="403">
        <f t="shared" si="3"/>
        <v>1</v>
      </c>
    </row>
    <row r="98" spans="1:15">
      <c r="A98" s="403" t="s">
        <v>594</v>
      </c>
      <c r="B98" s="403" t="s">
        <v>297</v>
      </c>
      <c r="C98" s="403" t="s">
        <v>298</v>
      </c>
      <c r="D98" s="407">
        <v>0</v>
      </c>
      <c r="E98" s="407">
        <v>0</v>
      </c>
      <c r="F98" s="407">
        <v>0</v>
      </c>
      <c r="G98" s="408">
        <v>0</v>
      </c>
      <c r="H98" s="408">
        <v>0</v>
      </c>
      <c r="I98" s="408">
        <v>0</v>
      </c>
      <c r="J98" s="408">
        <v>0</v>
      </c>
      <c r="K98" s="408">
        <v>0</v>
      </c>
      <c r="L98" s="403">
        <f t="shared" si="2"/>
        <v>0</v>
      </c>
      <c r="N98" s="403" t="s">
        <v>801</v>
      </c>
      <c r="O98" s="403">
        <f t="shared" si="3"/>
        <v>0</v>
      </c>
    </row>
    <row r="99" spans="1:15">
      <c r="A99" s="403" t="s">
        <v>603</v>
      </c>
      <c r="B99" s="403" t="s">
        <v>426</v>
      </c>
      <c r="C99" s="403" t="s">
        <v>427</v>
      </c>
      <c r="D99" s="407">
        <v>0</v>
      </c>
      <c r="E99" s="407">
        <v>0</v>
      </c>
      <c r="F99" s="407">
        <v>0</v>
      </c>
      <c r="G99" s="408">
        <v>0</v>
      </c>
      <c r="H99" s="408">
        <v>0</v>
      </c>
      <c r="I99" s="408">
        <v>0</v>
      </c>
      <c r="J99" s="408">
        <v>0</v>
      </c>
      <c r="K99" s="408">
        <v>0</v>
      </c>
      <c r="L99" s="403">
        <f t="shared" si="2"/>
        <v>0</v>
      </c>
      <c r="N99" s="403" t="s">
        <v>801</v>
      </c>
      <c r="O99" s="403">
        <f t="shared" si="3"/>
        <v>0</v>
      </c>
    </row>
    <row r="100" spans="1:15">
      <c r="A100" s="403" t="s">
        <v>599</v>
      </c>
      <c r="B100" s="403" t="s">
        <v>54</v>
      </c>
      <c r="C100" s="403" t="s">
        <v>55</v>
      </c>
      <c r="D100" s="407">
        <v>0</v>
      </c>
      <c r="E100" s="407">
        <v>0</v>
      </c>
      <c r="F100" s="407">
        <v>0</v>
      </c>
      <c r="G100" s="408">
        <v>0</v>
      </c>
      <c r="H100" s="408">
        <v>0</v>
      </c>
      <c r="I100" s="408">
        <v>0</v>
      </c>
      <c r="J100" s="408">
        <v>0</v>
      </c>
      <c r="K100" s="408">
        <v>0</v>
      </c>
      <c r="L100" s="403">
        <f t="shared" si="2"/>
        <v>0</v>
      </c>
      <c r="N100" s="403" t="s">
        <v>801</v>
      </c>
      <c r="O100" s="403">
        <f t="shared" si="3"/>
        <v>0</v>
      </c>
    </row>
    <row r="101" spans="1:15">
      <c r="A101" s="403" t="s">
        <v>594</v>
      </c>
      <c r="B101" s="403" t="s">
        <v>482</v>
      </c>
      <c r="C101" s="403" t="s">
        <v>483</v>
      </c>
      <c r="D101" s="407">
        <v>0</v>
      </c>
      <c r="E101" s="407">
        <v>0</v>
      </c>
      <c r="F101" s="407">
        <v>0</v>
      </c>
      <c r="G101" s="408">
        <v>0</v>
      </c>
      <c r="H101" s="408">
        <v>0</v>
      </c>
      <c r="I101" s="408">
        <v>0</v>
      </c>
      <c r="J101" s="408">
        <v>0</v>
      </c>
      <c r="K101" s="408">
        <v>0</v>
      </c>
      <c r="L101" s="403">
        <f t="shared" si="2"/>
        <v>0</v>
      </c>
      <c r="N101" s="403" t="s">
        <v>801</v>
      </c>
      <c r="O101" s="403">
        <f t="shared" si="3"/>
        <v>0</v>
      </c>
    </row>
    <row r="102" spans="1:15">
      <c r="A102" s="403" t="s">
        <v>603</v>
      </c>
      <c r="B102" s="403" t="s">
        <v>291</v>
      </c>
      <c r="C102" s="403" t="s">
        <v>292</v>
      </c>
      <c r="D102" s="407">
        <v>0</v>
      </c>
      <c r="E102" s="407">
        <v>0</v>
      </c>
      <c r="F102" s="407">
        <v>0</v>
      </c>
      <c r="G102" s="408">
        <v>0</v>
      </c>
      <c r="H102" s="408">
        <v>0</v>
      </c>
      <c r="I102" s="408">
        <v>0</v>
      </c>
      <c r="J102" s="408">
        <v>0</v>
      </c>
      <c r="K102" s="408">
        <v>0</v>
      </c>
      <c r="L102" s="403">
        <f t="shared" si="2"/>
        <v>0</v>
      </c>
      <c r="N102" s="403" t="s">
        <v>801</v>
      </c>
      <c r="O102" s="403">
        <f t="shared" si="3"/>
        <v>0</v>
      </c>
    </row>
    <row r="103" spans="1:15">
      <c r="A103" s="403" t="s">
        <v>605</v>
      </c>
      <c r="B103" s="403" t="s">
        <v>561</v>
      </c>
      <c r="C103" s="403" t="s">
        <v>562</v>
      </c>
      <c r="D103" s="407">
        <v>219</v>
      </c>
      <c r="E103" s="407">
        <v>224</v>
      </c>
      <c r="F103" s="407">
        <v>217</v>
      </c>
      <c r="G103" s="408">
        <v>217</v>
      </c>
      <c r="H103" s="408">
        <v>218</v>
      </c>
      <c r="I103" s="408">
        <v>221</v>
      </c>
      <c r="J103" s="408">
        <v>224</v>
      </c>
      <c r="K103" s="408">
        <v>223</v>
      </c>
      <c r="L103" s="403">
        <f t="shared" si="2"/>
        <v>220.38</v>
      </c>
      <c r="N103" s="403" t="s">
        <v>621</v>
      </c>
      <c r="O103" s="403">
        <f t="shared" si="3"/>
        <v>1</v>
      </c>
    </row>
    <row r="104" spans="1:15">
      <c r="A104" s="403" t="s">
        <v>597</v>
      </c>
      <c r="B104" s="403" t="s">
        <v>181</v>
      </c>
      <c r="C104" s="403" t="s">
        <v>182</v>
      </c>
      <c r="D104" s="407">
        <v>3456</v>
      </c>
      <c r="E104" s="407">
        <v>3439</v>
      </c>
      <c r="F104" s="407">
        <v>3424</v>
      </c>
      <c r="G104" s="408">
        <v>3411</v>
      </c>
      <c r="H104" s="408">
        <v>3420</v>
      </c>
      <c r="I104" s="408">
        <v>3432</v>
      </c>
      <c r="J104" s="408">
        <v>3437</v>
      </c>
      <c r="K104" s="408">
        <v>3410</v>
      </c>
      <c r="L104" s="403">
        <f t="shared" si="2"/>
        <v>3428.63</v>
      </c>
      <c r="N104" s="403" t="s">
        <v>621</v>
      </c>
      <c r="O104" s="403">
        <f t="shared" si="3"/>
        <v>1</v>
      </c>
    </row>
    <row r="105" spans="1:15">
      <c r="A105" s="403" t="s">
        <v>599</v>
      </c>
      <c r="B105" s="403" t="s">
        <v>51</v>
      </c>
      <c r="C105" s="403" t="s">
        <v>52</v>
      </c>
      <c r="D105" s="407">
        <v>15</v>
      </c>
      <c r="E105" s="407">
        <v>15</v>
      </c>
      <c r="F105" s="407">
        <v>23</v>
      </c>
      <c r="G105" s="408">
        <v>25</v>
      </c>
      <c r="H105" s="408">
        <v>24</v>
      </c>
      <c r="I105" s="408">
        <v>24</v>
      </c>
      <c r="J105" s="408">
        <v>22</v>
      </c>
      <c r="K105" s="408">
        <v>22</v>
      </c>
      <c r="L105" s="403">
        <f t="shared" si="2"/>
        <v>21.25</v>
      </c>
      <c r="N105" s="403" t="s">
        <v>621</v>
      </c>
      <c r="O105" s="403">
        <f t="shared" si="3"/>
        <v>1</v>
      </c>
    </row>
    <row r="106" spans="1:15">
      <c r="A106" s="403" t="s">
        <v>594</v>
      </c>
      <c r="B106" s="403" t="s">
        <v>307</v>
      </c>
      <c r="C106" s="403" t="s">
        <v>308</v>
      </c>
      <c r="D106" s="407">
        <v>0</v>
      </c>
      <c r="E106" s="407">
        <v>0</v>
      </c>
      <c r="F106" s="407">
        <v>0</v>
      </c>
      <c r="G106" s="408">
        <v>0</v>
      </c>
      <c r="H106" s="408">
        <v>0</v>
      </c>
      <c r="I106" s="408">
        <v>0</v>
      </c>
      <c r="J106" s="408">
        <v>0</v>
      </c>
      <c r="K106" s="408">
        <v>0</v>
      </c>
      <c r="L106" s="403">
        <f t="shared" si="2"/>
        <v>0</v>
      </c>
      <c r="N106" s="403" t="s">
        <v>801</v>
      </c>
      <c r="O106" s="403">
        <f t="shared" si="3"/>
        <v>0</v>
      </c>
    </row>
    <row r="107" spans="1:15">
      <c r="A107" s="403" t="s">
        <v>594</v>
      </c>
      <c r="B107" s="403" t="s">
        <v>134</v>
      </c>
      <c r="C107" s="403" t="s">
        <v>135</v>
      </c>
      <c r="D107" s="407">
        <v>38</v>
      </c>
      <c r="E107" s="407">
        <v>45</v>
      </c>
      <c r="F107" s="407">
        <v>45</v>
      </c>
      <c r="G107" s="408">
        <v>45</v>
      </c>
      <c r="H107" s="408">
        <v>46</v>
      </c>
      <c r="I107" s="408">
        <v>44</v>
      </c>
      <c r="J107" s="408">
        <v>44</v>
      </c>
      <c r="K107" s="408">
        <v>44</v>
      </c>
      <c r="L107" s="403">
        <f t="shared" si="2"/>
        <v>43.88</v>
      </c>
      <c r="N107" s="403" t="s">
        <v>621</v>
      </c>
      <c r="O107" s="403">
        <f t="shared" si="3"/>
        <v>1</v>
      </c>
    </row>
    <row r="108" spans="1:15">
      <c r="A108" s="403" t="s">
        <v>603</v>
      </c>
      <c r="B108" s="403" t="s">
        <v>100</v>
      </c>
      <c r="C108" s="403" t="s">
        <v>101</v>
      </c>
      <c r="D108" s="407">
        <v>0</v>
      </c>
      <c r="E108" s="407">
        <v>0</v>
      </c>
      <c r="F108" s="407">
        <v>0</v>
      </c>
      <c r="G108" s="408">
        <v>0</v>
      </c>
      <c r="H108" s="408">
        <v>0</v>
      </c>
      <c r="I108" s="408">
        <v>0</v>
      </c>
      <c r="J108" s="408">
        <v>0</v>
      </c>
      <c r="K108" s="408">
        <v>0</v>
      </c>
      <c r="L108" s="403">
        <f t="shared" si="2"/>
        <v>0</v>
      </c>
      <c r="N108" s="403" t="s">
        <v>801</v>
      </c>
      <c r="O108" s="403">
        <f t="shared" si="3"/>
        <v>0</v>
      </c>
    </row>
    <row r="109" spans="1:15">
      <c r="A109" s="403" t="s">
        <v>595</v>
      </c>
      <c r="B109" s="403" t="s">
        <v>407</v>
      </c>
      <c r="C109" s="403" t="s">
        <v>408</v>
      </c>
      <c r="D109" s="407">
        <v>0</v>
      </c>
      <c r="E109" s="407">
        <v>0</v>
      </c>
      <c r="F109" s="407">
        <v>0</v>
      </c>
      <c r="G109" s="408">
        <v>0</v>
      </c>
      <c r="H109" s="408">
        <v>0</v>
      </c>
      <c r="I109" s="408">
        <v>0</v>
      </c>
      <c r="J109" s="408">
        <v>0</v>
      </c>
      <c r="K109" s="408">
        <v>0</v>
      </c>
      <c r="L109" s="403">
        <f t="shared" si="2"/>
        <v>0</v>
      </c>
      <c r="N109" s="403" t="s">
        <v>801</v>
      </c>
      <c r="O109" s="403">
        <f t="shared" si="3"/>
        <v>0</v>
      </c>
    </row>
    <row r="110" spans="1:15">
      <c r="A110" s="403" t="s">
        <v>597</v>
      </c>
      <c r="B110" s="403" t="s">
        <v>201</v>
      </c>
      <c r="C110" s="403" t="s">
        <v>202</v>
      </c>
      <c r="D110" s="407">
        <v>604</v>
      </c>
      <c r="E110" s="407">
        <v>596</v>
      </c>
      <c r="F110" s="407">
        <v>603</v>
      </c>
      <c r="G110" s="408">
        <v>604</v>
      </c>
      <c r="H110" s="408">
        <v>599</v>
      </c>
      <c r="I110" s="408">
        <v>597</v>
      </c>
      <c r="J110" s="408">
        <v>604</v>
      </c>
      <c r="K110" s="408">
        <v>614</v>
      </c>
      <c r="L110" s="403">
        <f t="shared" si="2"/>
        <v>602.63</v>
      </c>
      <c r="N110" s="403" t="s">
        <v>621</v>
      </c>
      <c r="O110" s="403">
        <f t="shared" si="3"/>
        <v>1</v>
      </c>
    </row>
    <row r="111" spans="1:15">
      <c r="A111" s="403" t="s">
        <v>596</v>
      </c>
      <c r="B111" s="403" t="s">
        <v>110</v>
      </c>
      <c r="C111" s="403" t="s">
        <v>111</v>
      </c>
      <c r="D111" s="407">
        <v>0</v>
      </c>
      <c r="E111" s="407">
        <v>0</v>
      </c>
      <c r="F111" s="407">
        <v>0</v>
      </c>
      <c r="G111" s="408">
        <v>0</v>
      </c>
      <c r="H111" s="408">
        <v>0</v>
      </c>
      <c r="I111" s="408">
        <v>0</v>
      </c>
      <c r="J111" s="408">
        <v>0</v>
      </c>
      <c r="K111" s="408">
        <v>0</v>
      </c>
      <c r="L111" s="403">
        <f t="shared" si="2"/>
        <v>0</v>
      </c>
      <c r="N111" s="403" t="s">
        <v>801</v>
      </c>
      <c r="O111" s="403">
        <f t="shared" si="3"/>
        <v>0</v>
      </c>
    </row>
    <row r="112" spans="1:15">
      <c r="A112" s="403" t="s">
        <v>599</v>
      </c>
      <c r="B112" s="403" t="s">
        <v>76</v>
      </c>
      <c r="C112" s="403" t="s">
        <v>77</v>
      </c>
      <c r="D112" s="407">
        <v>0</v>
      </c>
      <c r="E112" s="407">
        <v>0</v>
      </c>
      <c r="F112" s="407">
        <v>0</v>
      </c>
      <c r="G112" s="408">
        <v>0</v>
      </c>
      <c r="H112" s="408">
        <v>0</v>
      </c>
      <c r="I112" s="408">
        <v>0</v>
      </c>
      <c r="J112" s="408">
        <v>0</v>
      </c>
      <c r="K112" s="408">
        <v>0</v>
      </c>
      <c r="L112" s="403">
        <f t="shared" si="2"/>
        <v>0</v>
      </c>
      <c r="N112" s="403" t="s">
        <v>801</v>
      </c>
      <c r="O112" s="403">
        <f t="shared" si="3"/>
        <v>0</v>
      </c>
    </row>
    <row r="113" spans="1:15">
      <c r="A113" s="403" t="s">
        <v>603</v>
      </c>
      <c r="B113" s="403" t="s">
        <v>94</v>
      </c>
      <c r="C113" s="403" t="s">
        <v>95</v>
      </c>
      <c r="D113" s="407">
        <v>0</v>
      </c>
      <c r="E113" s="407">
        <v>0</v>
      </c>
      <c r="F113" s="407">
        <v>0</v>
      </c>
      <c r="G113" s="408">
        <v>0</v>
      </c>
      <c r="H113" s="408">
        <v>0</v>
      </c>
      <c r="I113" s="408">
        <v>0</v>
      </c>
      <c r="J113" s="408">
        <v>0</v>
      </c>
      <c r="K113" s="408">
        <v>0</v>
      </c>
      <c r="L113" s="403">
        <f t="shared" si="2"/>
        <v>0</v>
      </c>
      <c r="N113" s="403" t="s">
        <v>801</v>
      </c>
      <c r="O113" s="403">
        <f t="shared" si="3"/>
        <v>0</v>
      </c>
    </row>
    <row r="114" spans="1:15">
      <c r="A114" s="403" t="s">
        <v>599</v>
      </c>
      <c r="B114" s="403" t="s">
        <v>80</v>
      </c>
      <c r="C114" s="403" t="s">
        <v>81</v>
      </c>
      <c r="D114" s="407">
        <v>181</v>
      </c>
      <c r="E114" s="407">
        <v>182</v>
      </c>
      <c r="F114" s="407">
        <v>184</v>
      </c>
      <c r="G114" s="408">
        <v>182</v>
      </c>
      <c r="H114" s="408">
        <v>181</v>
      </c>
      <c r="I114" s="408">
        <v>180</v>
      </c>
      <c r="J114" s="408">
        <v>180</v>
      </c>
      <c r="K114" s="408">
        <v>180</v>
      </c>
      <c r="L114" s="403">
        <f t="shared" si="2"/>
        <v>181.25</v>
      </c>
      <c r="N114" s="403" t="s">
        <v>621</v>
      </c>
      <c r="O114" s="403">
        <f t="shared" si="3"/>
        <v>1</v>
      </c>
    </row>
    <row r="115" spans="1:15">
      <c r="A115" s="403" t="s">
        <v>596</v>
      </c>
      <c r="B115" s="403" t="s">
        <v>14</v>
      </c>
      <c r="C115" s="403" t="s">
        <v>15</v>
      </c>
      <c r="D115" s="407">
        <v>1564</v>
      </c>
      <c r="E115" s="407">
        <v>1598</v>
      </c>
      <c r="F115" s="407">
        <v>1601</v>
      </c>
      <c r="G115" s="408">
        <v>1609</v>
      </c>
      <c r="H115" s="408">
        <v>1626</v>
      </c>
      <c r="I115" s="408">
        <v>1627</v>
      </c>
      <c r="J115" s="408">
        <v>1635</v>
      </c>
      <c r="K115" s="408">
        <v>1655</v>
      </c>
      <c r="L115" s="403">
        <f t="shared" si="2"/>
        <v>1614.38</v>
      </c>
      <c r="N115" s="403" t="s">
        <v>621</v>
      </c>
      <c r="O115" s="403">
        <f t="shared" si="3"/>
        <v>1</v>
      </c>
    </row>
    <row r="116" spans="1:15">
      <c r="A116" s="403" t="s">
        <v>597</v>
      </c>
      <c r="B116" s="403" t="s">
        <v>207</v>
      </c>
      <c r="C116" s="403" t="s">
        <v>208</v>
      </c>
      <c r="D116" s="407">
        <v>3864</v>
      </c>
      <c r="E116" s="407">
        <v>3935</v>
      </c>
      <c r="F116" s="407">
        <v>3948</v>
      </c>
      <c r="G116" s="408">
        <v>3940</v>
      </c>
      <c r="H116" s="408">
        <v>3935</v>
      </c>
      <c r="I116" s="408">
        <v>3971</v>
      </c>
      <c r="J116" s="408">
        <v>3940</v>
      </c>
      <c r="K116" s="408">
        <v>3956</v>
      </c>
      <c r="L116" s="403">
        <f t="shared" si="2"/>
        <v>3936.13</v>
      </c>
      <c r="N116" s="403" t="s">
        <v>621</v>
      </c>
      <c r="O116" s="403">
        <f t="shared" si="3"/>
        <v>1</v>
      </c>
    </row>
    <row r="117" spans="1:15">
      <c r="A117" s="403" t="s">
        <v>603</v>
      </c>
      <c r="B117" s="403" t="s">
        <v>470</v>
      </c>
      <c r="C117" s="403" t="s">
        <v>471</v>
      </c>
      <c r="D117" s="407">
        <v>0</v>
      </c>
      <c r="E117" s="407">
        <v>0</v>
      </c>
      <c r="F117" s="407">
        <v>0</v>
      </c>
      <c r="G117" s="408">
        <v>0</v>
      </c>
      <c r="H117" s="408">
        <v>0</v>
      </c>
      <c r="I117" s="408">
        <v>0</v>
      </c>
      <c r="J117" s="408">
        <v>0</v>
      </c>
      <c r="K117" s="408">
        <v>0</v>
      </c>
      <c r="L117" s="403">
        <f t="shared" si="2"/>
        <v>0</v>
      </c>
      <c r="N117" s="403" t="s">
        <v>801</v>
      </c>
      <c r="O117" s="403">
        <f t="shared" si="3"/>
        <v>0</v>
      </c>
    </row>
    <row r="118" spans="1:15">
      <c r="A118" s="403" t="s">
        <v>596</v>
      </c>
      <c r="B118" s="403" t="s">
        <v>18</v>
      </c>
      <c r="C118" s="403" t="s">
        <v>608</v>
      </c>
      <c r="D118" s="407">
        <v>202</v>
      </c>
      <c r="E118" s="407">
        <v>207</v>
      </c>
      <c r="F118" s="407">
        <v>209</v>
      </c>
      <c r="G118" s="408">
        <v>213</v>
      </c>
      <c r="H118" s="408">
        <v>215</v>
      </c>
      <c r="I118" s="408">
        <v>215</v>
      </c>
      <c r="J118" s="408">
        <v>215</v>
      </c>
      <c r="K118" s="408">
        <v>218</v>
      </c>
      <c r="L118" s="403">
        <f t="shared" si="2"/>
        <v>211.75</v>
      </c>
      <c r="N118" s="403" t="s">
        <v>621</v>
      </c>
      <c r="O118" s="403">
        <f t="shared" si="3"/>
        <v>1</v>
      </c>
    </row>
    <row r="119" spans="1:15">
      <c r="A119" s="403" t="s">
        <v>605</v>
      </c>
      <c r="B119" s="403" t="s">
        <v>228</v>
      </c>
      <c r="C119" s="403" t="s">
        <v>229</v>
      </c>
      <c r="D119" s="407">
        <v>42</v>
      </c>
      <c r="E119" s="407">
        <v>41</v>
      </c>
      <c r="F119" s="407">
        <v>41</v>
      </c>
      <c r="G119" s="408">
        <v>40</v>
      </c>
      <c r="H119" s="408">
        <v>39</v>
      </c>
      <c r="I119" s="408">
        <v>38</v>
      </c>
      <c r="J119" s="408">
        <v>38</v>
      </c>
      <c r="K119" s="408">
        <v>38</v>
      </c>
      <c r="L119" s="403">
        <f t="shared" si="2"/>
        <v>39.630000000000003</v>
      </c>
      <c r="N119" s="403" t="s">
        <v>621</v>
      </c>
      <c r="O119" s="403">
        <f t="shared" si="3"/>
        <v>1</v>
      </c>
    </row>
    <row r="120" spans="1:15">
      <c r="A120" s="403" t="s">
        <v>599</v>
      </c>
      <c r="B120" s="403" t="s">
        <v>242</v>
      </c>
      <c r="C120" s="403" t="s">
        <v>243</v>
      </c>
      <c r="D120" s="407">
        <v>0</v>
      </c>
      <c r="E120" s="407">
        <v>0</v>
      </c>
      <c r="F120" s="407">
        <v>0</v>
      </c>
      <c r="G120" s="408">
        <v>0</v>
      </c>
      <c r="H120" s="408">
        <v>0</v>
      </c>
      <c r="I120" s="408">
        <v>0</v>
      </c>
      <c r="J120" s="408">
        <v>0</v>
      </c>
      <c r="K120" s="408">
        <v>0</v>
      </c>
      <c r="L120" s="403">
        <f t="shared" si="2"/>
        <v>0</v>
      </c>
      <c r="N120" s="403" t="s">
        <v>801</v>
      </c>
      <c r="O120" s="403">
        <f t="shared" si="3"/>
        <v>0</v>
      </c>
    </row>
    <row r="121" spans="1:15">
      <c r="A121" s="403" t="s">
        <v>595</v>
      </c>
      <c r="B121" s="403" t="s">
        <v>382</v>
      </c>
      <c r="C121" s="403" t="s">
        <v>383</v>
      </c>
      <c r="D121" s="407">
        <v>0</v>
      </c>
      <c r="E121" s="407">
        <v>10</v>
      </c>
      <c r="F121" s="407">
        <v>14</v>
      </c>
      <c r="G121" s="408">
        <v>12</v>
      </c>
      <c r="H121" s="408">
        <v>14</v>
      </c>
      <c r="I121" s="408">
        <v>13</v>
      </c>
      <c r="J121" s="408">
        <v>11</v>
      </c>
      <c r="K121" s="408">
        <v>16</v>
      </c>
      <c r="L121" s="403">
        <f t="shared" si="2"/>
        <v>11.25</v>
      </c>
      <c r="N121" s="403" t="s">
        <v>621</v>
      </c>
      <c r="O121" s="403">
        <f t="shared" si="3"/>
        <v>1</v>
      </c>
    </row>
    <row r="122" spans="1:15">
      <c r="A122" s="403" t="s">
        <v>599</v>
      </c>
      <c r="B122" s="403" t="s">
        <v>53</v>
      </c>
      <c r="C122" s="403" t="s">
        <v>609</v>
      </c>
      <c r="D122" s="407">
        <v>17</v>
      </c>
      <c r="E122" s="407">
        <v>17</v>
      </c>
      <c r="F122" s="407">
        <v>17</v>
      </c>
      <c r="G122" s="408">
        <v>17</v>
      </c>
      <c r="H122" s="408">
        <v>17</v>
      </c>
      <c r="I122" s="408">
        <v>17</v>
      </c>
      <c r="J122" s="408">
        <v>17</v>
      </c>
      <c r="K122" s="408">
        <v>17</v>
      </c>
      <c r="L122" s="403">
        <f t="shared" si="2"/>
        <v>17</v>
      </c>
      <c r="N122" s="403" t="s">
        <v>621</v>
      </c>
      <c r="O122" s="403">
        <f t="shared" si="3"/>
        <v>1</v>
      </c>
    </row>
    <row r="123" spans="1:15">
      <c r="A123" s="403" t="s">
        <v>603</v>
      </c>
      <c r="B123" s="403" t="s">
        <v>518</v>
      </c>
      <c r="C123" s="403" t="s">
        <v>645</v>
      </c>
      <c r="D123" s="407">
        <v>0</v>
      </c>
      <c r="E123" s="407">
        <v>0</v>
      </c>
      <c r="F123" s="407">
        <v>0</v>
      </c>
      <c r="G123" s="408">
        <v>0</v>
      </c>
      <c r="H123" s="408">
        <v>0</v>
      </c>
      <c r="I123" s="408">
        <v>0</v>
      </c>
      <c r="J123" s="408">
        <v>0</v>
      </c>
      <c r="K123" s="408">
        <v>0</v>
      </c>
      <c r="L123" s="403">
        <f t="shared" si="2"/>
        <v>0</v>
      </c>
      <c r="N123" s="403" t="s">
        <v>801</v>
      </c>
      <c r="O123" s="403">
        <f t="shared" si="3"/>
        <v>0</v>
      </c>
    </row>
    <row r="124" spans="1:15">
      <c r="A124" s="403" t="s">
        <v>601</v>
      </c>
      <c r="B124" s="403" t="s">
        <v>31</v>
      </c>
      <c r="C124" s="403" t="s">
        <v>32</v>
      </c>
      <c r="D124" s="407">
        <v>286</v>
      </c>
      <c r="E124" s="407">
        <v>277</v>
      </c>
      <c r="F124" s="407">
        <v>281</v>
      </c>
      <c r="G124" s="408">
        <v>275</v>
      </c>
      <c r="H124" s="408">
        <v>273</v>
      </c>
      <c r="I124" s="408">
        <v>275</v>
      </c>
      <c r="J124" s="408">
        <v>275</v>
      </c>
      <c r="K124" s="408">
        <v>276</v>
      </c>
      <c r="L124" s="403">
        <f t="shared" si="2"/>
        <v>277.25</v>
      </c>
      <c r="N124" s="403" t="s">
        <v>621</v>
      </c>
      <c r="O124" s="403">
        <f t="shared" si="3"/>
        <v>1</v>
      </c>
    </row>
    <row r="125" spans="1:15">
      <c r="A125" s="403" t="s">
        <v>595</v>
      </c>
      <c r="B125" s="403" t="s">
        <v>397</v>
      </c>
      <c r="C125" s="403" t="s">
        <v>398</v>
      </c>
      <c r="D125" s="407">
        <v>161</v>
      </c>
      <c r="E125" s="407">
        <v>157</v>
      </c>
      <c r="F125" s="407">
        <v>219</v>
      </c>
      <c r="G125" s="408">
        <v>256</v>
      </c>
      <c r="H125" s="408">
        <v>249</v>
      </c>
      <c r="I125" s="408">
        <v>245</v>
      </c>
      <c r="J125" s="408">
        <v>240</v>
      </c>
      <c r="K125" s="408">
        <v>237</v>
      </c>
      <c r="L125" s="403">
        <f t="shared" si="2"/>
        <v>220.5</v>
      </c>
      <c r="N125" s="403" t="s">
        <v>621</v>
      </c>
      <c r="O125" s="403">
        <f t="shared" si="3"/>
        <v>1</v>
      </c>
    </row>
    <row r="126" spans="1:15">
      <c r="A126" s="403" t="s">
        <v>597</v>
      </c>
      <c r="B126" s="403" t="s">
        <v>205</v>
      </c>
      <c r="C126" s="403" t="s">
        <v>206</v>
      </c>
      <c r="D126" s="407">
        <v>1154</v>
      </c>
      <c r="E126" s="407">
        <v>1172</v>
      </c>
      <c r="F126" s="407">
        <v>1234</v>
      </c>
      <c r="G126" s="408">
        <v>1236</v>
      </c>
      <c r="H126" s="408">
        <v>1258</v>
      </c>
      <c r="I126" s="408">
        <v>1268</v>
      </c>
      <c r="J126" s="408">
        <v>1282</v>
      </c>
      <c r="K126" s="408">
        <v>1276</v>
      </c>
      <c r="L126" s="403">
        <f t="shared" si="2"/>
        <v>1235</v>
      </c>
      <c r="N126" s="403" t="s">
        <v>621</v>
      </c>
      <c r="O126" s="403">
        <f t="shared" si="3"/>
        <v>1</v>
      </c>
    </row>
    <row r="127" spans="1:15">
      <c r="A127" s="403" t="s">
        <v>595</v>
      </c>
      <c r="B127" s="403" t="s">
        <v>413</v>
      </c>
      <c r="C127" s="403" t="s">
        <v>414</v>
      </c>
      <c r="D127" s="407">
        <v>63</v>
      </c>
      <c r="E127" s="407">
        <v>68</v>
      </c>
      <c r="F127" s="407">
        <v>68</v>
      </c>
      <c r="G127" s="408">
        <v>68</v>
      </c>
      <c r="H127" s="408">
        <v>70</v>
      </c>
      <c r="I127" s="408">
        <v>71</v>
      </c>
      <c r="J127" s="408">
        <v>72</v>
      </c>
      <c r="K127" s="408">
        <v>71</v>
      </c>
      <c r="L127" s="403">
        <f t="shared" si="2"/>
        <v>68.88</v>
      </c>
      <c r="N127" s="403" t="s">
        <v>621</v>
      </c>
      <c r="O127" s="403">
        <f t="shared" si="3"/>
        <v>1</v>
      </c>
    </row>
    <row r="128" spans="1:15">
      <c r="A128" s="403" t="s">
        <v>603</v>
      </c>
      <c r="B128" s="403" t="s">
        <v>519</v>
      </c>
      <c r="C128" s="403" t="s">
        <v>520</v>
      </c>
      <c r="D128" s="407">
        <v>0</v>
      </c>
      <c r="E128" s="407">
        <v>0</v>
      </c>
      <c r="F128" s="407">
        <v>0</v>
      </c>
      <c r="G128" s="408">
        <v>0</v>
      </c>
      <c r="H128" s="408">
        <v>0</v>
      </c>
      <c r="I128" s="408">
        <v>0</v>
      </c>
      <c r="J128" s="408">
        <v>0</v>
      </c>
      <c r="K128" s="408">
        <v>0</v>
      </c>
      <c r="L128" s="403">
        <f t="shared" si="2"/>
        <v>0</v>
      </c>
      <c r="N128" s="403" t="s">
        <v>801</v>
      </c>
      <c r="O128" s="403">
        <f t="shared" si="3"/>
        <v>0</v>
      </c>
    </row>
    <row r="129" spans="1:15">
      <c r="A129" s="403" t="s">
        <v>603</v>
      </c>
      <c r="B129" s="403" t="s">
        <v>441</v>
      </c>
      <c r="C129" s="403" t="s">
        <v>442</v>
      </c>
      <c r="D129" s="407">
        <v>0</v>
      </c>
      <c r="E129" s="407">
        <v>0</v>
      </c>
      <c r="F129" s="407">
        <v>0</v>
      </c>
      <c r="G129" s="408">
        <v>0</v>
      </c>
      <c r="H129" s="408">
        <v>0</v>
      </c>
      <c r="I129" s="408">
        <v>0</v>
      </c>
      <c r="J129" s="408">
        <v>0</v>
      </c>
      <c r="K129" s="408">
        <v>0</v>
      </c>
      <c r="L129" s="403">
        <f t="shared" si="2"/>
        <v>0</v>
      </c>
      <c r="N129" s="403" t="s">
        <v>801</v>
      </c>
      <c r="O129" s="403">
        <f t="shared" si="3"/>
        <v>0</v>
      </c>
    </row>
    <row r="130" spans="1:15">
      <c r="A130" s="403" t="s">
        <v>603</v>
      </c>
      <c r="B130" s="403" t="s">
        <v>6</v>
      </c>
      <c r="C130" s="403" t="s">
        <v>7</v>
      </c>
      <c r="D130" s="407">
        <v>24</v>
      </c>
      <c r="E130" s="407">
        <v>23</v>
      </c>
      <c r="F130" s="407">
        <v>23</v>
      </c>
      <c r="G130" s="408">
        <v>23</v>
      </c>
      <c r="H130" s="408">
        <v>24</v>
      </c>
      <c r="I130" s="408">
        <v>24</v>
      </c>
      <c r="J130" s="408">
        <v>22</v>
      </c>
      <c r="K130" s="408">
        <v>20</v>
      </c>
      <c r="L130" s="403">
        <f t="shared" si="2"/>
        <v>22.88</v>
      </c>
      <c r="N130" s="403" t="s">
        <v>621</v>
      </c>
      <c r="O130" s="403">
        <f t="shared" si="3"/>
        <v>1</v>
      </c>
    </row>
    <row r="131" spans="1:15">
      <c r="A131" s="403" t="s">
        <v>599</v>
      </c>
      <c r="B131" s="403" t="s">
        <v>70</v>
      </c>
      <c r="C131" s="403" t="s">
        <v>71</v>
      </c>
      <c r="D131" s="407">
        <v>315</v>
      </c>
      <c r="E131" s="407">
        <v>316</v>
      </c>
      <c r="F131" s="407">
        <v>322</v>
      </c>
      <c r="G131" s="408">
        <v>311</v>
      </c>
      <c r="H131" s="408">
        <v>314</v>
      </c>
      <c r="I131" s="408">
        <v>314</v>
      </c>
      <c r="J131" s="408">
        <v>313</v>
      </c>
      <c r="K131" s="408">
        <v>307</v>
      </c>
      <c r="L131" s="403">
        <f t="shared" si="2"/>
        <v>314</v>
      </c>
      <c r="N131" s="403" t="s">
        <v>621</v>
      </c>
      <c r="O131" s="403">
        <f t="shared" si="3"/>
        <v>1</v>
      </c>
    </row>
    <row r="132" spans="1:15">
      <c r="A132" s="403" t="s">
        <v>603</v>
      </c>
      <c r="B132" s="403" t="s">
        <v>458</v>
      </c>
      <c r="C132" s="403" t="s">
        <v>459</v>
      </c>
      <c r="D132" s="407">
        <v>0</v>
      </c>
      <c r="E132" s="407">
        <v>0</v>
      </c>
      <c r="F132" s="407">
        <v>0</v>
      </c>
      <c r="G132" s="408">
        <v>0</v>
      </c>
      <c r="H132" s="408">
        <v>0</v>
      </c>
      <c r="I132" s="408">
        <v>0</v>
      </c>
      <c r="J132" s="408">
        <v>0</v>
      </c>
      <c r="K132" s="408">
        <v>0</v>
      </c>
      <c r="L132" s="403">
        <f t="shared" si="2"/>
        <v>0</v>
      </c>
      <c r="N132" s="403" t="s">
        <v>801</v>
      </c>
      <c r="O132" s="403">
        <f t="shared" si="3"/>
        <v>0</v>
      </c>
    </row>
    <row r="133" spans="1:15">
      <c r="A133" s="403" t="s">
        <v>595</v>
      </c>
      <c r="B133" s="403" t="s">
        <v>373</v>
      </c>
      <c r="C133" s="403" t="s">
        <v>374</v>
      </c>
      <c r="D133" s="407">
        <v>7</v>
      </c>
      <c r="E133" s="407">
        <v>6</v>
      </c>
      <c r="F133" s="407">
        <v>6</v>
      </c>
      <c r="G133" s="408">
        <v>6</v>
      </c>
      <c r="H133" s="408">
        <v>6</v>
      </c>
      <c r="I133" s="408">
        <v>6</v>
      </c>
      <c r="J133" s="408">
        <v>6</v>
      </c>
      <c r="K133" s="408">
        <v>6</v>
      </c>
      <c r="L133" s="403">
        <f t="shared" si="2"/>
        <v>6.13</v>
      </c>
      <c r="N133" s="403" t="s">
        <v>621</v>
      </c>
      <c r="O133" s="403">
        <f t="shared" si="3"/>
        <v>1</v>
      </c>
    </row>
    <row r="134" spans="1:15">
      <c r="A134" s="403" t="s">
        <v>599</v>
      </c>
      <c r="B134" s="403" t="s">
        <v>250</v>
      </c>
      <c r="C134" s="403" t="s">
        <v>251</v>
      </c>
      <c r="D134" s="407">
        <v>0</v>
      </c>
      <c r="E134" s="407">
        <v>0</v>
      </c>
      <c r="F134" s="407">
        <v>0</v>
      </c>
      <c r="G134" s="408">
        <v>0</v>
      </c>
      <c r="H134" s="408">
        <v>0</v>
      </c>
      <c r="I134" s="408">
        <v>0</v>
      </c>
      <c r="J134" s="408">
        <v>0</v>
      </c>
      <c r="K134" s="408">
        <v>0</v>
      </c>
      <c r="L134" s="403">
        <f t="shared" si="2"/>
        <v>0</v>
      </c>
      <c r="N134" s="403" t="s">
        <v>801</v>
      </c>
      <c r="O134" s="403">
        <f t="shared" si="3"/>
        <v>0</v>
      </c>
    </row>
    <row r="135" spans="1:15">
      <c r="A135" s="403" t="s">
        <v>595</v>
      </c>
      <c r="B135" s="403" t="s">
        <v>510</v>
      </c>
      <c r="C135" s="403" t="s">
        <v>511</v>
      </c>
      <c r="D135" s="407">
        <v>226</v>
      </c>
      <c r="E135" s="407">
        <v>230</v>
      </c>
      <c r="F135" s="407">
        <v>233</v>
      </c>
      <c r="G135" s="408">
        <v>228</v>
      </c>
      <c r="H135" s="408">
        <v>228</v>
      </c>
      <c r="I135" s="408">
        <v>231</v>
      </c>
      <c r="J135" s="408">
        <v>232</v>
      </c>
      <c r="K135" s="408">
        <v>240</v>
      </c>
      <c r="L135" s="403">
        <f t="shared" si="2"/>
        <v>231</v>
      </c>
      <c r="N135" s="403" t="s">
        <v>621</v>
      </c>
      <c r="O135" s="403">
        <f t="shared" si="3"/>
        <v>1</v>
      </c>
    </row>
    <row r="136" spans="1:15">
      <c r="A136" s="403" t="s">
        <v>605</v>
      </c>
      <c r="B136" s="403" t="s">
        <v>553</v>
      </c>
      <c r="C136" s="403" t="s">
        <v>554</v>
      </c>
      <c r="D136" s="407">
        <v>354</v>
      </c>
      <c r="E136" s="407">
        <v>358</v>
      </c>
      <c r="F136" s="407">
        <v>360</v>
      </c>
      <c r="G136" s="408">
        <v>363</v>
      </c>
      <c r="H136" s="408">
        <v>358</v>
      </c>
      <c r="I136" s="408">
        <v>363</v>
      </c>
      <c r="J136" s="408">
        <v>374</v>
      </c>
      <c r="K136" s="408">
        <v>377</v>
      </c>
      <c r="L136" s="403">
        <f t="shared" si="2"/>
        <v>363.38</v>
      </c>
      <c r="N136" s="403" t="s">
        <v>621</v>
      </c>
      <c r="O136" s="403">
        <f t="shared" si="3"/>
        <v>1</v>
      </c>
    </row>
    <row r="137" spans="1:15">
      <c r="A137" s="403" t="s">
        <v>601</v>
      </c>
      <c r="B137" s="403" t="s">
        <v>90</v>
      </c>
      <c r="C137" s="403" t="s">
        <v>91</v>
      </c>
      <c r="D137" s="407">
        <v>3</v>
      </c>
      <c r="E137" s="407">
        <v>3</v>
      </c>
      <c r="F137" s="407">
        <v>3</v>
      </c>
      <c r="G137" s="408">
        <v>3</v>
      </c>
      <c r="H137" s="408">
        <v>1</v>
      </c>
      <c r="I137" s="408">
        <v>1</v>
      </c>
      <c r="J137" s="408">
        <v>1</v>
      </c>
      <c r="K137" s="408">
        <v>1</v>
      </c>
      <c r="L137" s="403">
        <f t="shared" ref="L137:L200" si="4">ROUND(SUM(D137:K137)/8,2)</f>
        <v>2</v>
      </c>
      <c r="N137" s="403" t="s">
        <v>621</v>
      </c>
      <c r="O137" s="403">
        <f t="shared" ref="O137:O200" si="5">IF(L137&gt;0,1,0)</f>
        <v>1</v>
      </c>
    </row>
    <row r="138" spans="1:15">
      <c r="A138" s="403" t="s">
        <v>601</v>
      </c>
      <c r="B138" s="403" t="s">
        <v>25</v>
      </c>
      <c r="C138" s="403" t="s">
        <v>26</v>
      </c>
      <c r="D138" s="407">
        <v>217</v>
      </c>
      <c r="E138" s="407">
        <v>218</v>
      </c>
      <c r="F138" s="407">
        <v>214</v>
      </c>
      <c r="G138" s="408">
        <v>210</v>
      </c>
      <c r="H138" s="408">
        <v>208</v>
      </c>
      <c r="I138" s="408">
        <v>209</v>
      </c>
      <c r="J138" s="408">
        <v>210</v>
      </c>
      <c r="K138" s="408">
        <v>210</v>
      </c>
      <c r="L138" s="403">
        <f t="shared" si="4"/>
        <v>212</v>
      </c>
      <c r="N138" s="403" t="s">
        <v>621</v>
      </c>
      <c r="O138" s="403">
        <f t="shared" si="5"/>
        <v>1</v>
      </c>
    </row>
    <row r="139" spans="1:15">
      <c r="A139" s="403" t="s">
        <v>594</v>
      </c>
      <c r="B139" s="403" t="s">
        <v>301</v>
      </c>
      <c r="C139" s="403" t="s">
        <v>302</v>
      </c>
      <c r="D139" s="407">
        <v>0</v>
      </c>
      <c r="E139" s="407">
        <v>0</v>
      </c>
      <c r="F139" s="407">
        <v>0</v>
      </c>
      <c r="G139" s="408">
        <v>0</v>
      </c>
      <c r="H139" s="408">
        <v>0</v>
      </c>
      <c r="I139" s="408">
        <v>0</v>
      </c>
      <c r="J139" s="408">
        <v>0</v>
      </c>
      <c r="K139" s="408">
        <v>0</v>
      </c>
      <c r="L139" s="403">
        <f t="shared" si="4"/>
        <v>0</v>
      </c>
      <c r="N139" s="403" t="s">
        <v>801</v>
      </c>
      <c r="O139" s="403">
        <f t="shared" si="5"/>
        <v>0</v>
      </c>
    </row>
    <row r="140" spans="1:15">
      <c r="A140" s="403" t="s">
        <v>603</v>
      </c>
      <c r="B140" s="403" t="s">
        <v>466</v>
      </c>
      <c r="C140" s="403" t="s">
        <v>467</v>
      </c>
      <c r="D140" s="407">
        <v>0</v>
      </c>
      <c r="E140" s="407">
        <v>0</v>
      </c>
      <c r="F140" s="407">
        <v>0</v>
      </c>
      <c r="G140" s="408">
        <v>0</v>
      </c>
      <c r="H140" s="408">
        <v>0</v>
      </c>
      <c r="I140" s="408">
        <v>0</v>
      </c>
      <c r="J140" s="408">
        <v>0</v>
      </c>
      <c r="K140" s="408">
        <v>0</v>
      </c>
      <c r="L140" s="403">
        <f t="shared" si="4"/>
        <v>0</v>
      </c>
      <c r="N140" s="403" t="s">
        <v>801</v>
      </c>
      <c r="O140" s="403">
        <f t="shared" si="5"/>
        <v>0</v>
      </c>
    </row>
    <row r="141" spans="1:15">
      <c r="A141" s="403" t="s">
        <v>595</v>
      </c>
      <c r="B141" s="403" t="s">
        <v>405</v>
      </c>
      <c r="C141" s="403" t="s">
        <v>406</v>
      </c>
      <c r="D141" s="407">
        <v>703</v>
      </c>
      <c r="E141" s="407">
        <v>723</v>
      </c>
      <c r="F141" s="407">
        <v>718</v>
      </c>
      <c r="G141" s="408">
        <v>718</v>
      </c>
      <c r="H141" s="408">
        <v>712</v>
      </c>
      <c r="I141" s="408">
        <v>704</v>
      </c>
      <c r="J141" s="408">
        <v>715</v>
      </c>
      <c r="K141" s="408">
        <v>721</v>
      </c>
      <c r="L141" s="403">
        <f t="shared" si="4"/>
        <v>714.25</v>
      </c>
      <c r="N141" s="403" t="s">
        <v>621</v>
      </c>
      <c r="O141" s="403">
        <f t="shared" si="5"/>
        <v>1</v>
      </c>
    </row>
    <row r="142" spans="1:15">
      <c r="A142" s="403" t="s">
        <v>594</v>
      </c>
      <c r="B142" s="403" t="s">
        <v>138</v>
      </c>
      <c r="C142" s="403" t="s">
        <v>656</v>
      </c>
      <c r="D142" s="407">
        <v>0</v>
      </c>
      <c r="E142" s="407">
        <v>0</v>
      </c>
      <c r="F142" s="407">
        <v>0</v>
      </c>
      <c r="G142" s="408">
        <v>0</v>
      </c>
      <c r="H142" s="408">
        <v>0</v>
      </c>
      <c r="I142" s="408">
        <v>0</v>
      </c>
      <c r="J142" s="408">
        <v>0</v>
      </c>
      <c r="K142" s="408">
        <v>0</v>
      </c>
      <c r="L142" s="403">
        <f t="shared" si="4"/>
        <v>0</v>
      </c>
      <c r="N142" s="403" t="s">
        <v>801</v>
      </c>
      <c r="O142" s="403">
        <f t="shared" si="5"/>
        <v>0</v>
      </c>
    </row>
    <row r="143" spans="1:15">
      <c r="A143" s="403" t="s">
        <v>603</v>
      </c>
      <c r="B143" s="403" t="s">
        <v>432</v>
      </c>
      <c r="C143" s="403" t="s">
        <v>433</v>
      </c>
      <c r="D143" s="407">
        <v>139</v>
      </c>
      <c r="E143" s="407">
        <v>138</v>
      </c>
      <c r="F143" s="407">
        <v>136</v>
      </c>
      <c r="G143" s="408">
        <v>136</v>
      </c>
      <c r="H143" s="408">
        <v>134</v>
      </c>
      <c r="I143" s="408">
        <v>139</v>
      </c>
      <c r="J143" s="408">
        <v>146</v>
      </c>
      <c r="K143" s="408">
        <v>148</v>
      </c>
      <c r="L143" s="403">
        <f t="shared" si="4"/>
        <v>139.5</v>
      </c>
      <c r="N143" s="403" t="s">
        <v>621</v>
      </c>
      <c r="O143" s="403">
        <f t="shared" si="5"/>
        <v>1</v>
      </c>
    </row>
    <row r="144" spans="1:15">
      <c r="A144" s="403" t="s">
        <v>603</v>
      </c>
      <c r="B144" s="403" t="s">
        <v>430</v>
      </c>
      <c r="C144" s="403" t="s">
        <v>431</v>
      </c>
      <c r="D144" s="407">
        <v>14</v>
      </c>
      <c r="E144" s="407">
        <v>15</v>
      </c>
      <c r="F144" s="407">
        <v>15</v>
      </c>
      <c r="G144" s="408">
        <v>15</v>
      </c>
      <c r="H144" s="408">
        <v>13</v>
      </c>
      <c r="I144" s="408">
        <v>13</v>
      </c>
      <c r="J144" s="408">
        <v>13</v>
      </c>
      <c r="K144" s="408">
        <v>13</v>
      </c>
      <c r="L144" s="403">
        <f t="shared" si="4"/>
        <v>13.88</v>
      </c>
      <c r="N144" s="403" t="s">
        <v>621</v>
      </c>
      <c r="O144" s="403">
        <f t="shared" si="5"/>
        <v>1</v>
      </c>
    </row>
    <row r="145" spans="1:15">
      <c r="A145" s="403" t="s">
        <v>597</v>
      </c>
      <c r="B145" s="403" t="s">
        <v>179</v>
      </c>
      <c r="C145" s="403" t="s">
        <v>180</v>
      </c>
      <c r="D145" s="407">
        <v>73</v>
      </c>
      <c r="E145" s="407">
        <v>72</v>
      </c>
      <c r="F145" s="407">
        <v>72</v>
      </c>
      <c r="G145" s="408">
        <v>70</v>
      </c>
      <c r="H145" s="408">
        <v>74</v>
      </c>
      <c r="I145" s="408">
        <v>75</v>
      </c>
      <c r="J145" s="408">
        <v>77</v>
      </c>
      <c r="K145" s="408">
        <v>79</v>
      </c>
      <c r="L145" s="403">
        <f t="shared" si="4"/>
        <v>74</v>
      </c>
      <c r="N145" s="403" t="s">
        <v>621</v>
      </c>
      <c r="O145" s="403">
        <f t="shared" si="5"/>
        <v>1</v>
      </c>
    </row>
    <row r="146" spans="1:15">
      <c r="A146" s="403" t="s">
        <v>595</v>
      </c>
      <c r="B146" s="403" t="s">
        <v>512</v>
      </c>
      <c r="C146" s="403" t="s">
        <v>513</v>
      </c>
      <c r="D146" s="407">
        <v>131</v>
      </c>
      <c r="E146" s="407">
        <v>131</v>
      </c>
      <c r="F146" s="407">
        <v>130</v>
      </c>
      <c r="G146" s="408">
        <v>129</v>
      </c>
      <c r="H146" s="408">
        <v>132</v>
      </c>
      <c r="I146" s="408">
        <v>130</v>
      </c>
      <c r="J146" s="408">
        <v>125</v>
      </c>
      <c r="K146" s="408">
        <v>121</v>
      </c>
      <c r="L146" s="403">
        <f t="shared" si="4"/>
        <v>128.63</v>
      </c>
      <c r="N146" s="403" t="s">
        <v>621</v>
      </c>
      <c r="O146" s="403">
        <f t="shared" si="5"/>
        <v>1</v>
      </c>
    </row>
    <row r="147" spans="1:15">
      <c r="A147" s="403" t="s">
        <v>601</v>
      </c>
      <c r="B147" s="403" t="s">
        <v>319</v>
      </c>
      <c r="C147" s="403" t="s">
        <v>320</v>
      </c>
      <c r="D147" s="407">
        <v>13</v>
      </c>
      <c r="E147" s="407">
        <v>14</v>
      </c>
      <c r="F147" s="407">
        <v>14</v>
      </c>
      <c r="G147" s="408">
        <v>14</v>
      </c>
      <c r="H147" s="408">
        <v>14</v>
      </c>
      <c r="I147" s="408">
        <v>14</v>
      </c>
      <c r="J147" s="408">
        <v>16</v>
      </c>
      <c r="K147" s="408">
        <v>16</v>
      </c>
      <c r="L147" s="403">
        <f t="shared" si="4"/>
        <v>14.38</v>
      </c>
      <c r="N147" s="403" t="s">
        <v>621</v>
      </c>
      <c r="O147" s="403">
        <f t="shared" si="5"/>
        <v>1</v>
      </c>
    </row>
    <row r="148" spans="1:15">
      <c r="A148" s="403" t="s">
        <v>599</v>
      </c>
      <c r="B148" s="403" t="s">
        <v>391</v>
      </c>
      <c r="C148" s="403" t="s">
        <v>392</v>
      </c>
      <c r="D148" s="407">
        <v>0</v>
      </c>
      <c r="E148" s="407">
        <v>0</v>
      </c>
      <c r="F148" s="407">
        <v>0</v>
      </c>
      <c r="G148" s="408">
        <v>0</v>
      </c>
      <c r="H148" s="408">
        <v>0</v>
      </c>
      <c r="I148" s="408">
        <v>0</v>
      </c>
      <c r="J148" s="408">
        <v>0</v>
      </c>
      <c r="K148" s="408">
        <v>0</v>
      </c>
      <c r="L148" s="403">
        <f t="shared" si="4"/>
        <v>0</v>
      </c>
      <c r="N148" s="403" t="s">
        <v>801</v>
      </c>
      <c r="O148" s="403">
        <f t="shared" si="5"/>
        <v>0</v>
      </c>
    </row>
    <row r="149" spans="1:15">
      <c r="A149" s="403" t="s">
        <v>595</v>
      </c>
      <c r="B149" s="403" t="s">
        <v>409</v>
      </c>
      <c r="C149" s="403" t="s">
        <v>410</v>
      </c>
      <c r="D149" s="407">
        <v>417</v>
      </c>
      <c r="E149" s="407">
        <v>418</v>
      </c>
      <c r="F149" s="407">
        <v>419</v>
      </c>
      <c r="G149" s="408">
        <v>422</v>
      </c>
      <c r="H149" s="408">
        <v>417</v>
      </c>
      <c r="I149" s="408">
        <v>418</v>
      </c>
      <c r="J149" s="408">
        <v>417</v>
      </c>
      <c r="K149" s="408">
        <v>411</v>
      </c>
      <c r="L149" s="403">
        <f t="shared" si="4"/>
        <v>417.38</v>
      </c>
      <c r="N149" s="403" t="s">
        <v>621</v>
      </c>
      <c r="O149" s="403">
        <f t="shared" si="5"/>
        <v>1</v>
      </c>
    </row>
    <row r="150" spans="1:15">
      <c r="A150" s="403" t="s">
        <v>594</v>
      </c>
      <c r="B150" s="403" t="s">
        <v>139</v>
      </c>
      <c r="C150" s="403" t="s">
        <v>140</v>
      </c>
      <c r="D150" s="407">
        <v>18</v>
      </c>
      <c r="E150" s="407">
        <v>18</v>
      </c>
      <c r="F150" s="407">
        <v>20</v>
      </c>
      <c r="G150" s="408">
        <v>20</v>
      </c>
      <c r="H150" s="408">
        <v>18</v>
      </c>
      <c r="I150" s="408">
        <v>18</v>
      </c>
      <c r="J150" s="408">
        <v>17</v>
      </c>
      <c r="K150" s="408">
        <v>17</v>
      </c>
      <c r="L150" s="403">
        <f t="shared" si="4"/>
        <v>18.25</v>
      </c>
      <c r="N150" s="403" t="s">
        <v>621</v>
      </c>
      <c r="O150" s="403">
        <f t="shared" si="5"/>
        <v>1</v>
      </c>
    </row>
    <row r="151" spans="1:15">
      <c r="A151" s="403" t="s">
        <v>594</v>
      </c>
      <c r="B151" s="403" t="s">
        <v>260</v>
      </c>
      <c r="C151" s="403" t="s">
        <v>261</v>
      </c>
      <c r="D151" s="407">
        <v>0</v>
      </c>
      <c r="E151" s="407">
        <v>0</v>
      </c>
      <c r="F151" s="407">
        <v>0</v>
      </c>
      <c r="G151" s="408">
        <v>0</v>
      </c>
      <c r="H151" s="408">
        <v>0</v>
      </c>
      <c r="I151" s="408">
        <v>0</v>
      </c>
      <c r="J151" s="408">
        <v>0</v>
      </c>
      <c r="K151" s="408">
        <v>0</v>
      </c>
      <c r="L151" s="403">
        <f t="shared" si="4"/>
        <v>0</v>
      </c>
      <c r="N151" s="403" t="s">
        <v>801</v>
      </c>
      <c r="O151" s="403">
        <f t="shared" si="5"/>
        <v>0</v>
      </c>
    </row>
    <row r="152" spans="1:15">
      <c r="A152" s="403" t="s">
        <v>601</v>
      </c>
      <c r="B152" s="403" t="s">
        <v>125</v>
      </c>
      <c r="C152" s="403" t="s">
        <v>126</v>
      </c>
      <c r="D152" s="407">
        <v>589</v>
      </c>
      <c r="E152" s="407">
        <v>586</v>
      </c>
      <c r="F152" s="407">
        <v>576</v>
      </c>
      <c r="G152" s="408">
        <v>576</v>
      </c>
      <c r="H152" s="408">
        <v>586</v>
      </c>
      <c r="I152" s="408">
        <v>586</v>
      </c>
      <c r="J152" s="408">
        <v>598</v>
      </c>
      <c r="K152" s="408">
        <v>604</v>
      </c>
      <c r="L152" s="403">
        <f t="shared" si="4"/>
        <v>587.63</v>
      </c>
      <c r="N152" s="403" t="s">
        <v>621</v>
      </c>
      <c r="O152" s="403">
        <f t="shared" si="5"/>
        <v>1</v>
      </c>
    </row>
    <row r="153" spans="1:15">
      <c r="A153" s="403" t="s">
        <v>594</v>
      </c>
      <c r="B153" s="403" t="s">
        <v>258</v>
      </c>
      <c r="C153" s="403" t="s">
        <v>259</v>
      </c>
      <c r="D153" s="407">
        <v>36</v>
      </c>
      <c r="E153" s="407">
        <v>36</v>
      </c>
      <c r="F153" s="407">
        <v>45</v>
      </c>
      <c r="G153" s="408">
        <v>45</v>
      </c>
      <c r="H153" s="408">
        <v>44</v>
      </c>
      <c r="I153" s="408">
        <v>44</v>
      </c>
      <c r="J153" s="408">
        <v>45</v>
      </c>
      <c r="K153" s="408">
        <v>44</v>
      </c>
      <c r="L153" s="403">
        <f t="shared" si="4"/>
        <v>42.38</v>
      </c>
      <c r="N153" s="403" t="s">
        <v>621</v>
      </c>
      <c r="O153" s="403">
        <f t="shared" si="5"/>
        <v>1</v>
      </c>
    </row>
    <row r="154" spans="1:15">
      <c r="A154" s="403" t="s">
        <v>605</v>
      </c>
      <c r="B154" s="403" t="s">
        <v>571</v>
      </c>
      <c r="C154" s="403" t="s">
        <v>572</v>
      </c>
      <c r="D154" s="407">
        <v>113</v>
      </c>
      <c r="E154" s="407">
        <v>115</v>
      </c>
      <c r="F154" s="407">
        <v>112</v>
      </c>
      <c r="G154" s="408">
        <v>113</v>
      </c>
      <c r="H154" s="408">
        <v>111</v>
      </c>
      <c r="I154" s="408">
        <v>111</v>
      </c>
      <c r="J154" s="408">
        <v>117</v>
      </c>
      <c r="K154" s="408">
        <v>115</v>
      </c>
      <c r="L154" s="403">
        <f t="shared" si="4"/>
        <v>113.38</v>
      </c>
      <c r="N154" s="403" t="s">
        <v>621</v>
      </c>
      <c r="O154" s="403">
        <f t="shared" si="5"/>
        <v>1</v>
      </c>
    </row>
    <row r="155" spans="1:15">
      <c r="A155" s="403" t="s">
        <v>595</v>
      </c>
      <c r="B155" s="403" t="s">
        <v>516</v>
      </c>
      <c r="C155" s="403" t="s">
        <v>517</v>
      </c>
      <c r="D155" s="407">
        <v>158</v>
      </c>
      <c r="E155" s="407">
        <v>157</v>
      </c>
      <c r="F155" s="407">
        <v>158</v>
      </c>
      <c r="G155" s="408">
        <v>158</v>
      </c>
      <c r="H155" s="408">
        <v>159</v>
      </c>
      <c r="I155" s="408">
        <v>159</v>
      </c>
      <c r="J155" s="408">
        <v>161</v>
      </c>
      <c r="K155" s="408">
        <v>162</v>
      </c>
      <c r="L155" s="403">
        <f t="shared" si="4"/>
        <v>159</v>
      </c>
      <c r="N155" s="403" t="s">
        <v>621</v>
      </c>
      <c r="O155" s="403">
        <f t="shared" si="5"/>
        <v>1</v>
      </c>
    </row>
    <row r="156" spans="1:15">
      <c r="A156" s="403" t="s">
        <v>599</v>
      </c>
      <c r="B156" s="403" t="s">
        <v>389</v>
      </c>
      <c r="C156" s="403" t="s">
        <v>390</v>
      </c>
      <c r="D156" s="407">
        <v>0</v>
      </c>
      <c r="E156" s="407">
        <v>0</v>
      </c>
      <c r="F156" s="407">
        <v>0</v>
      </c>
      <c r="G156" s="408">
        <v>0</v>
      </c>
      <c r="H156" s="408">
        <v>0</v>
      </c>
      <c r="I156" s="408">
        <v>0</v>
      </c>
      <c r="J156" s="408">
        <v>0</v>
      </c>
      <c r="K156" s="408">
        <v>0</v>
      </c>
      <c r="L156" s="403">
        <f t="shared" si="4"/>
        <v>0</v>
      </c>
      <c r="N156" s="403" t="s">
        <v>801</v>
      </c>
      <c r="O156" s="403">
        <f t="shared" si="5"/>
        <v>0</v>
      </c>
    </row>
    <row r="157" spans="1:15">
      <c r="A157" s="403" t="s">
        <v>595</v>
      </c>
      <c r="B157" s="403" t="s">
        <v>386</v>
      </c>
      <c r="C157" s="403" t="s">
        <v>610</v>
      </c>
      <c r="D157" s="407">
        <v>1356</v>
      </c>
      <c r="E157" s="407">
        <v>1433</v>
      </c>
      <c r="F157" s="407">
        <v>1426</v>
      </c>
      <c r="G157" s="408">
        <v>1401</v>
      </c>
      <c r="H157" s="408">
        <v>1391</v>
      </c>
      <c r="I157" s="408">
        <v>1420</v>
      </c>
      <c r="J157" s="408">
        <v>1433</v>
      </c>
      <c r="K157" s="408">
        <v>1446</v>
      </c>
      <c r="L157" s="403">
        <f t="shared" si="4"/>
        <v>1413.25</v>
      </c>
      <c r="N157" s="403" t="s">
        <v>621</v>
      </c>
      <c r="O157" s="403">
        <f t="shared" si="5"/>
        <v>1</v>
      </c>
    </row>
    <row r="158" spans="1:15">
      <c r="A158" s="403" t="s">
        <v>595</v>
      </c>
      <c r="B158" s="403" t="s">
        <v>399</v>
      </c>
      <c r="C158" s="403" t="s">
        <v>400</v>
      </c>
      <c r="D158" s="407">
        <v>2247</v>
      </c>
      <c r="E158" s="407">
        <v>2258</v>
      </c>
      <c r="F158" s="407">
        <v>2271</v>
      </c>
      <c r="G158" s="408">
        <v>2256</v>
      </c>
      <c r="H158" s="408">
        <v>2259</v>
      </c>
      <c r="I158" s="408">
        <v>2263</v>
      </c>
      <c r="J158" s="408">
        <v>2249</v>
      </c>
      <c r="K158" s="408">
        <v>2246</v>
      </c>
      <c r="L158" s="403">
        <f t="shared" si="4"/>
        <v>2256.13</v>
      </c>
      <c r="N158" s="403" t="s">
        <v>621</v>
      </c>
      <c r="O158" s="403">
        <f t="shared" si="5"/>
        <v>1</v>
      </c>
    </row>
    <row r="159" spans="1:15">
      <c r="A159" s="403" t="s">
        <v>605</v>
      </c>
      <c r="B159" s="403" t="s">
        <v>545</v>
      </c>
      <c r="C159" s="403" t="s">
        <v>546</v>
      </c>
      <c r="D159" s="407">
        <v>67</v>
      </c>
      <c r="E159" s="407">
        <v>64</v>
      </c>
      <c r="F159" s="407">
        <v>64</v>
      </c>
      <c r="G159" s="408">
        <v>64</v>
      </c>
      <c r="H159" s="408">
        <v>66</v>
      </c>
      <c r="I159" s="408">
        <v>65</v>
      </c>
      <c r="J159" s="408">
        <v>65</v>
      </c>
      <c r="K159" s="408">
        <v>69</v>
      </c>
      <c r="L159" s="403">
        <f t="shared" si="4"/>
        <v>65.5</v>
      </c>
      <c r="N159" s="403" t="s">
        <v>621</v>
      </c>
      <c r="O159" s="403">
        <f t="shared" si="5"/>
        <v>1</v>
      </c>
    </row>
    <row r="160" spans="1:15">
      <c r="A160" s="403" t="s">
        <v>594</v>
      </c>
      <c r="B160" s="403" t="s">
        <v>252</v>
      </c>
      <c r="C160" s="403" t="s">
        <v>253</v>
      </c>
      <c r="D160" s="407">
        <v>0</v>
      </c>
      <c r="E160" s="407">
        <v>0</v>
      </c>
      <c r="F160" s="407">
        <v>0</v>
      </c>
      <c r="G160" s="408">
        <v>0</v>
      </c>
      <c r="H160" s="408">
        <v>0</v>
      </c>
      <c r="I160" s="408">
        <v>1</v>
      </c>
      <c r="J160" s="408">
        <v>1</v>
      </c>
      <c r="K160" s="408">
        <v>1</v>
      </c>
      <c r="L160" s="403">
        <f t="shared" si="4"/>
        <v>0.38</v>
      </c>
      <c r="N160" s="403" t="s">
        <v>801</v>
      </c>
      <c r="O160" s="403">
        <f t="shared" si="5"/>
        <v>1</v>
      </c>
    </row>
    <row r="161" spans="1:15">
      <c r="A161" s="403" t="s">
        <v>599</v>
      </c>
      <c r="B161" s="403" t="s">
        <v>331</v>
      </c>
      <c r="C161" s="403" t="s">
        <v>611</v>
      </c>
      <c r="D161" s="407">
        <v>6</v>
      </c>
      <c r="E161" s="407">
        <v>6</v>
      </c>
      <c r="F161" s="407">
        <v>6</v>
      </c>
      <c r="G161" s="408">
        <v>6</v>
      </c>
      <c r="H161" s="408">
        <v>6</v>
      </c>
      <c r="I161" s="408">
        <v>5</v>
      </c>
      <c r="J161" s="408">
        <v>6</v>
      </c>
      <c r="K161" s="408">
        <v>6</v>
      </c>
      <c r="L161" s="403">
        <f t="shared" si="4"/>
        <v>5.88</v>
      </c>
      <c r="N161" s="403" t="s">
        <v>621</v>
      </c>
      <c r="O161" s="403">
        <f t="shared" si="5"/>
        <v>1</v>
      </c>
    </row>
    <row r="162" spans="1:15">
      <c r="A162" s="403" t="s">
        <v>601</v>
      </c>
      <c r="B162" s="403" t="s">
        <v>309</v>
      </c>
      <c r="C162" s="403" t="s">
        <v>310</v>
      </c>
      <c r="D162" s="407">
        <v>0</v>
      </c>
      <c r="E162" s="407">
        <v>0</v>
      </c>
      <c r="F162" s="407">
        <v>0</v>
      </c>
      <c r="G162" s="408">
        <v>0</v>
      </c>
      <c r="H162" s="408">
        <v>0</v>
      </c>
      <c r="I162" s="408">
        <v>0</v>
      </c>
      <c r="J162" s="408">
        <v>0</v>
      </c>
      <c r="K162" s="408">
        <v>0</v>
      </c>
      <c r="L162" s="403">
        <f t="shared" si="4"/>
        <v>0</v>
      </c>
      <c r="N162" s="403" t="s">
        <v>801</v>
      </c>
      <c r="O162" s="403">
        <f t="shared" si="5"/>
        <v>0</v>
      </c>
    </row>
    <row r="163" spans="1:15">
      <c r="A163" s="403" t="s">
        <v>603</v>
      </c>
      <c r="B163" s="403" t="s">
        <v>336</v>
      </c>
      <c r="C163" s="403" t="s">
        <v>337</v>
      </c>
      <c r="D163" s="407">
        <v>0</v>
      </c>
      <c r="E163" s="407">
        <v>0</v>
      </c>
      <c r="F163" s="407">
        <v>0</v>
      </c>
      <c r="G163" s="408">
        <v>0</v>
      </c>
      <c r="H163" s="408">
        <v>0</v>
      </c>
      <c r="I163" s="408">
        <v>0</v>
      </c>
      <c r="J163" s="408">
        <v>0</v>
      </c>
      <c r="K163" s="408">
        <v>0</v>
      </c>
      <c r="L163" s="403">
        <f t="shared" si="4"/>
        <v>0</v>
      </c>
      <c r="N163" s="403" t="s">
        <v>801</v>
      </c>
      <c r="O163" s="403">
        <f t="shared" si="5"/>
        <v>0</v>
      </c>
    </row>
    <row r="164" spans="1:15">
      <c r="A164" s="403" t="s">
        <v>603</v>
      </c>
      <c r="B164" s="403" t="s">
        <v>428</v>
      </c>
      <c r="C164" s="403" t="s">
        <v>429</v>
      </c>
      <c r="D164" s="407">
        <v>0</v>
      </c>
      <c r="E164" s="407">
        <v>0</v>
      </c>
      <c r="F164" s="407">
        <v>0</v>
      </c>
      <c r="G164" s="408">
        <v>0</v>
      </c>
      <c r="H164" s="408">
        <v>0</v>
      </c>
      <c r="I164" s="408">
        <v>0</v>
      </c>
      <c r="J164" s="408">
        <v>0</v>
      </c>
      <c r="K164" s="408">
        <v>0</v>
      </c>
      <c r="L164" s="403">
        <f t="shared" si="4"/>
        <v>0</v>
      </c>
      <c r="N164" s="403" t="s">
        <v>801</v>
      </c>
      <c r="O164" s="403">
        <f t="shared" si="5"/>
        <v>0</v>
      </c>
    </row>
    <row r="165" spans="1:15">
      <c r="A165" s="403" t="s">
        <v>595</v>
      </c>
      <c r="B165" s="403" t="s">
        <v>514</v>
      </c>
      <c r="C165" s="403" t="s">
        <v>515</v>
      </c>
      <c r="D165" s="407">
        <v>171</v>
      </c>
      <c r="E165" s="407">
        <v>167</v>
      </c>
      <c r="F165" s="407">
        <v>166</v>
      </c>
      <c r="G165" s="408">
        <v>167</v>
      </c>
      <c r="H165" s="408">
        <v>173</v>
      </c>
      <c r="I165" s="408">
        <v>179</v>
      </c>
      <c r="J165" s="408">
        <v>181</v>
      </c>
      <c r="K165" s="408">
        <v>180</v>
      </c>
      <c r="L165" s="403">
        <f t="shared" si="4"/>
        <v>173</v>
      </c>
      <c r="N165" s="403" t="s">
        <v>621</v>
      </c>
      <c r="O165" s="403">
        <f t="shared" si="5"/>
        <v>1</v>
      </c>
    </row>
    <row r="166" spans="1:15">
      <c r="A166" s="403" t="s">
        <v>594</v>
      </c>
      <c r="B166" s="403" t="s">
        <v>136</v>
      </c>
      <c r="C166" s="403" t="s">
        <v>137</v>
      </c>
      <c r="D166" s="407">
        <v>0</v>
      </c>
      <c r="E166" s="407">
        <v>0</v>
      </c>
      <c r="F166" s="407">
        <v>0</v>
      </c>
      <c r="G166" s="408">
        <v>0</v>
      </c>
      <c r="H166" s="408">
        <v>0</v>
      </c>
      <c r="I166" s="408">
        <v>0</v>
      </c>
      <c r="J166" s="408">
        <v>0</v>
      </c>
      <c r="K166" s="408">
        <v>0</v>
      </c>
      <c r="L166" s="403">
        <f t="shared" si="4"/>
        <v>0</v>
      </c>
      <c r="N166" s="403" t="s">
        <v>801</v>
      </c>
      <c r="O166" s="403">
        <f t="shared" si="5"/>
        <v>0</v>
      </c>
    </row>
    <row r="167" spans="1:15">
      <c r="A167" s="403" t="s">
        <v>596</v>
      </c>
      <c r="B167" s="403" t="s">
        <v>106</v>
      </c>
      <c r="C167" s="403" t="s">
        <v>107</v>
      </c>
      <c r="D167" s="407">
        <v>677</v>
      </c>
      <c r="E167" s="407">
        <v>678</v>
      </c>
      <c r="F167" s="407">
        <v>669</v>
      </c>
      <c r="G167" s="408">
        <v>650</v>
      </c>
      <c r="H167" s="408">
        <v>671</v>
      </c>
      <c r="I167" s="408">
        <v>673</v>
      </c>
      <c r="J167" s="408">
        <v>671</v>
      </c>
      <c r="K167" s="408">
        <v>678</v>
      </c>
      <c r="L167" s="403">
        <f t="shared" si="4"/>
        <v>670.88</v>
      </c>
      <c r="N167" s="403" t="s">
        <v>621</v>
      </c>
      <c r="O167" s="403">
        <f t="shared" si="5"/>
        <v>1</v>
      </c>
    </row>
    <row r="168" spans="1:15">
      <c r="A168" s="403" t="s">
        <v>600</v>
      </c>
      <c r="B168" s="403" t="s">
        <v>214</v>
      </c>
      <c r="C168" s="403" t="s">
        <v>215</v>
      </c>
      <c r="D168" s="407">
        <v>203</v>
      </c>
      <c r="E168" s="407">
        <v>204</v>
      </c>
      <c r="F168" s="407">
        <v>207</v>
      </c>
      <c r="G168" s="408">
        <v>205</v>
      </c>
      <c r="H168" s="408">
        <v>206</v>
      </c>
      <c r="I168" s="408">
        <v>209</v>
      </c>
      <c r="J168" s="408">
        <v>208</v>
      </c>
      <c r="K168" s="408">
        <v>212</v>
      </c>
      <c r="L168" s="403">
        <f t="shared" si="4"/>
        <v>206.75</v>
      </c>
      <c r="N168" s="403" t="s">
        <v>621</v>
      </c>
      <c r="O168" s="403">
        <f t="shared" si="5"/>
        <v>1</v>
      </c>
    </row>
    <row r="169" spans="1:15">
      <c r="A169" s="403" t="s">
        <v>600</v>
      </c>
      <c r="B169" s="403" t="s">
        <v>305</v>
      </c>
      <c r="C169" s="403" t="s">
        <v>306</v>
      </c>
      <c r="D169" s="407">
        <v>78</v>
      </c>
      <c r="E169" s="407">
        <v>79</v>
      </c>
      <c r="F169" s="407">
        <v>77</v>
      </c>
      <c r="G169" s="408">
        <v>78</v>
      </c>
      <c r="H169" s="408">
        <v>76</v>
      </c>
      <c r="I169" s="408">
        <v>77</v>
      </c>
      <c r="J169" s="408">
        <v>76</v>
      </c>
      <c r="K169" s="408">
        <v>77</v>
      </c>
      <c r="L169" s="403">
        <f t="shared" si="4"/>
        <v>77.25</v>
      </c>
      <c r="N169" s="403" t="s">
        <v>621</v>
      </c>
      <c r="O169" s="403">
        <f t="shared" si="5"/>
        <v>1</v>
      </c>
    </row>
    <row r="170" spans="1:15">
      <c r="A170" s="403" t="s">
        <v>594</v>
      </c>
      <c r="B170" s="403" t="s">
        <v>334</v>
      </c>
      <c r="C170" s="403" t="s">
        <v>335</v>
      </c>
      <c r="D170" s="407">
        <v>0</v>
      </c>
      <c r="E170" s="407">
        <v>0</v>
      </c>
      <c r="F170" s="407">
        <v>0</v>
      </c>
      <c r="G170" s="408">
        <v>0</v>
      </c>
      <c r="H170" s="408">
        <v>0</v>
      </c>
      <c r="I170" s="408">
        <v>0</v>
      </c>
      <c r="J170" s="408">
        <v>0</v>
      </c>
      <c r="K170" s="408">
        <v>0</v>
      </c>
      <c r="L170" s="403">
        <f t="shared" si="4"/>
        <v>0</v>
      </c>
      <c r="N170" s="403" t="s">
        <v>801</v>
      </c>
      <c r="O170" s="403">
        <f t="shared" si="5"/>
        <v>0</v>
      </c>
    </row>
    <row r="171" spans="1:15">
      <c r="A171" s="403" t="s">
        <v>594</v>
      </c>
      <c r="B171" s="403" t="s">
        <v>474</v>
      </c>
      <c r="C171" s="403" t="s">
        <v>475</v>
      </c>
      <c r="D171" s="407">
        <v>345</v>
      </c>
      <c r="E171" s="407">
        <v>361</v>
      </c>
      <c r="F171" s="407">
        <v>358</v>
      </c>
      <c r="G171" s="408">
        <v>367</v>
      </c>
      <c r="H171" s="408">
        <v>370</v>
      </c>
      <c r="I171" s="408">
        <v>373</v>
      </c>
      <c r="J171" s="408">
        <v>370</v>
      </c>
      <c r="K171" s="408">
        <v>370</v>
      </c>
      <c r="L171" s="403">
        <f t="shared" si="4"/>
        <v>364.25</v>
      </c>
      <c r="N171" s="403" t="s">
        <v>621</v>
      </c>
      <c r="O171" s="403">
        <f t="shared" si="5"/>
        <v>1</v>
      </c>
    </row>
    <row r="172" spans="1:15">
      <c r="A172" s="403" t="s">
        <v>603</v>
      </c>
      <c r="B172" s="403" t="s">
        <v>468</v>
      </c>
      <c r="C172" s="403" t="s">
        <v>469</v>
      </c>
      <c r="D172" s="407">
        <v>0</v>
      </c>
      <c r="E172" s="407">
        <v>0</v>
      </c>
      <c r="F172" s="407">
        <v>0</v>
      </c>
      <c r="G172" s="408">
        <v>0</v>
      </c>
      <c r="H172" s="408">
        <v>0</v>
      </c>
      <c r="I172" s="408">
        <v>0</v>
      </c>
      <c r="J172" s="408">
        <v>0</v>
      </c>
      <c r="K172" s="408">
        <v>0</v>
      </c>
      <c r="L172" s="403">
        <f t="shared" si="4"/>
        <v>0</v>
      </c>
      <c r="N172" s="403" t="s">
        <v>801</v>
      </c>
      <c r="O172" s="403">
        <f t="shared" si="5"/>
        <v>0</v>
      </c>
    </row>
    <row r="173" spans="1:15">
      <c r="A173" s="403" t="s">
        <v>597</v>
      </c>
      <c r="B173" s="403" t="s">
        <v>209</v>
      </c>
      <c r="C173" s="403" t="s">
        <v>210</v>
      </c>
      <c r="D173" s="407">
        <v>893</v>
      </c>
      <c r="E173" s="407">
        <v>904</v>
      </c>
      <c r="F173" s="407">
        <v>906</v>
      </c>
      <c r="G173" s="408">
        <v>890</v>
      </c>
      <c r="H173" s="408">
        <v>899</v>
      </c>
      <c r="I173" s="408">
        <v>881</v>
      </c>
      <c r="J173" s="408">
        <v>892</v>
      </c>
      <c r="K173" s="408">
        <v>892</v>
      </c>
      <c r="L173" s="403">
        <f t="shared" si="4"/>
        <v>894.63</v>
      </c>
      <c r="N173" s="403" t="s">
        <v>621</v>
      </c>
      <c r="O173" s="403">
        <f t="shared" si="5"/>
        <v>1</v>
      </c>
    </row>
    <row r="174" spans="1:15">
      <c r="A174" s="403" t="s">
        <v>595</v>
      </c>
      <c r="B174" s="403" t="s">
        <v>157</v>
      </c>
      <c r="C174" s="403" t="s">
        <v>158</v>
      </c>
      <c r="D174" s="407">
        <v>128</v>
      </c>
      <c r="E174" s="407">
        <v>128</v>
      </c>
      <c r="F174" s="407">
        <v>124</v>
      </c>
      <c r="G174" s="408">
        <v>124</v>
      </c>
      <c r="H174" s="408">
        <v>124</v>
      </c>
      <c r="I174" s="408">
        <v>125</v>
      </c>
      <c r="J174" s="408">
        <v>123</v>
      </c>
      <c r="K174" s="408">
        <v>123</v>
      </c>
      <c r="L174" s="403">
        <f t="shared" si="4"/>
        <v>124.88</v>
      </c>
      <c r="N174" s="403" t="s">
        <v>621</v>
      </c>
      <c r="O174" s="403">
        <f t="shared" si="5"/>
        <v>1</v>
      </c>
    </row>
    <row r="175" spans="1:15">
      <c r="A175" s="403" t="s">
        <v>603</v>
      </c>
      <c r="B175" s="403" t="s">
        <v>541</v>
      </c>
      <c r="C175" s="403" t="s">
        <v>542</v>
      </c>
      <c r="D175" s="407">
        <v>0</v>
      </c>
      <c r="E175" s="407">
        <v>0</v>
      </c>
      <c r="F175" s="407">
        <v>0</v>
      </c>
      <c r="G175" s="408">
        <v>0</v>
      </c>
      <c r="H175" s="408">
        <v>0</v>
      </c>
      <c r="I175" s="408">
        <v>0</v>
      </c>
      <c r="J175" s="408">
        <v>0</v>
      </c>
      <c r="K175" s="408">
        <v>0</v>
      </c>
      <c r="L175" s="403">
        <f t="shared" si="4"/>
        <v>0</v>
      </c>
      <c r="N175" s="403" t="s">
        <v>801</v>
      </c>
      <c r="O175" s="403">
        <f t="shared" si="5"/>
        <v>0</v>
      </c>
    </row>
    <row r="176" spans="1:15">
      <c r="A176" s="403" t="s">
        <v>594</v>
      </c>
      <c r="B176" s="403" t="s">
        <v>155</v>
      </c>
      <c r="C176" s="403" t="s">
        <v>156</v>
      </c>
      <c r="D176" s="407">
        <v>0</v>
      </c>
      <c r="E176" s="407">
        <v>0</v>
      </c>
      <c r="F176" s="407">
        <v>0</v>
      </c>
      <c r="G176" s="408">
        <v>0</v>
      </c>
      <c r="H176" s="408">
        <v>0</v>
      </c>
      <c r="I176" s="408">
        <v>0</v>
      </c>
      <c r="J176" s="408">
        <v>0</v>
      </c>
      <c r="K176" s="408">
        <v>0</v>
      </c>
      <c r="L176" s="403">
        <f t="shared" si="4"/>
        <v>0</v>
      </c>
      <c r="N176" s="403" t="s">
        <v>801</v>
      </c>
      <c r="O176" s="403">
        <f t="shared" si="5"/>
        <v>0</v>
      </c>
    </row>
    <row r="177" spans="1:15">
      <c r="A177" s="403" t="s">
        <v>599</v>
      </c>
      <c r="B177" s="403" t="s">
        <v>325</v>
      </c>
      <c r="C177" s="403" t="s">
        <v>326</v>
      </c>
      <c r="D177" s="407">
        <v>40</v>
      </c>
      <c r="E177" s="407">
        <v>34</v>
      </c>
      <c r="F177" s="407">
        <v>34</v>
      </c>
      <c r="G177" s="408">
        <v>34</v>
      </c>
      <c r="H177" s="408">
        <v>34</v>
      </c>
      <c r="I177" s="408">
        <v>34</v>
      </c>
      <c r="J177" s="408">
        <v>34</v>
      </c>
      <c r="K177" s="408">
        <v>33</v>
      </c>
      <c r="L177" s="403">
        <f t="shared" si="4"/>
        <v>34.630000000000003</v>
      </c>
      <c r="N177" s="403" t="s">
        <v>621</v>
      </c>
      <c r="O177" s="403">
        <f t="shared" si="5"/>
        <v>1</v>
      </c>
    </row>
    <row r="178" spans="1:15">
      <c r="A178" s="403" t="s">
        <v>594</v>
      </c>
      <c r="B178" s="403" t="s">
        <v>153</v>
      </c>
      <c r="C178" s="403" t="s">
        <v>154</v>
      </c>
      <c r="D178" s="407">
        <v>43</v>
      </c>
      <c r="E178" s="407">
        <v>42</v>
      </c>
      <c r="F178" s="407">
        <v>41</v>
      </c>
      <c r="G178" s="408">
        <v>39</v>
      </c>
      <c r="H178" s="408">
        <v>38</v>
      </c>
      <c r="I178" s="408">
        <v>39</v>
      </c>
      <c r="J178" s="408">
        <v>39</v>
      </c>
      <c r="K178" s="408">
        <v>35</v>
      </c>
      <c r="L178" s="403">
        <f t="shared" si="4"/>
        <v>39.5</v>
      </c>
      <c r="N178" s="403" t="s">
        <v>621</v>
      </c>
      <c r="O178" s="403">
        <f t="shared" si="5"/>
        <v>1</v>
      </c>
    </row>
    <row r="179" spans="1:15">
      <c r="A179" s="403" t="s">
        <v>603</v>
      </c>
      <c r="B179" s="403" t="s">
        <v>287</v>
      </c>
      <c r="C179" s="403" t="s">
        <v>288</v>
      </c>
      <c r="D179" s="407">
        <v>0</v>
      </c>
      <c r="E179" s="407">
        <v>0</v>
      </c>
      <c r="F179" s="407">
        <v>0</v>
      </c>
      <c r="G179" s="408">
        <v>0</v>
      </c>
      <c r="H179" s="408">
        <v>0</v>
      </c>
      <c r="I179" s="408">
        <v>0</v>
      </c>
      <c r="J179" s="408">
        <v>0</v>
      </c>
      <c r="K179" s="408">
        <v>0</v>
      </c>
      <c r="L179" s="403">
        <f t="shared" si="4"/>
        <v>0</v>
      </c>
      <c r="N179" s="403" t="s">
        <v>801</v>
      </c>
      <c r="O179" s="403">
        <f t="shared" si="5"/>
        <v>0</v>
      </c>
    </row>
    <row r="180" spans="1:15">
      <c r="A180" s="403" t="s">
        <v>601</v>
      </c>
      <c r="B180" s="403" t="s">
        <v>313</v>
      </c>
      <c r="C180" s="403" t="s">
        <v>314</v>
      </c>
      <c r="D180" s="407">
        <v>77</v>
      </c>
      <c r="E180" s="407">
        <v>82</v>
      </c>
      <c r="F180" s="407">
        <v>79</v>
      </c>
      <c r="G180" s="408">
        <v>77</v>
      </c>
      <c r="H180" s="408">
        <v>72</v>
      </c>
      <c r="I180" s="408">
        <v>71</v>
      </c>
      <c r="J180" s="408">
        <v>74</v>
      </c>
      <c r="K180" s="408">
        <v>76</v>
      </c>
      <c r="L180" s="403">
        <f t="shared" si="4"/>
        <v>76</v>
      </c>
      <c r="N180" s="403" t="s">
        <v>621</v>
      </c>
      <c r="O180" s="403">
        <f t="shared" si="5"/>
        <v>1</v>
      </c>
    </row>
    <row r="181" spans="1:15">
      <c r="A181" s="403" t="s">
        <v>594</v>
      </c>
      <c r="B181" s="403" t="s">
        <v>478</v>
      </c>
      <c r="C181" s="403" t="s">
        <v>479</v>
      </c>
      <c r="D181" s="407">
        <v>189</v>
      </c>
      <c r="E181" s="407">
        <v>197</v>
      </c>
      <c r="F181" s="407">
        <v>196</v>
      </c>
      <c r="G181" s="408">
        <v>197</v>
      </c>
      <c r="H181" s="408">
        <v>200</v>
      </c>
      <c r="I181" s="408">
        <v>198</v>
      </c>
      <c r="J181" s="408">
        <v>198</v>
      </c>
      <c r="K181" s="408">
        <v>199</v>
      </c>
      <c r="L181" s="403">
        <f t="shared" si="4"/>
        <v>196.75</v>
      </c>
      <c r="N181" s="403" t="s">
        <v>621</v>
      </c>
      <c r="O181" s="403">
        <f t="shared" si="5"/>
        <v>1</v>
      </c>
    </row>
    <row r="182" spans="1:15">
      <c r="A182" s="403" t="s">
        <v>601</v>
      </c>
      <c r="B182" s="403" t="s">
        <v>311</v>
      </c>
      <c r="C182" s="403" t="s">
        <v>312</v>
      </c>
      <c r="D182" s="407">
        <v>76</v>
      </c>
      <c r="E182" s="407">
        <v>77</v>
      </c>
      <c r="F182" s="407">
        <v>72</v>
      </c>
      <c r="G182" s="408">
        <v>79</v>
      </c>
      <c r="H182" s="408">
        <v>78</v>
      </c>
      <c r="I182" s="408">
        <v>80</v>
      </c>
      <c r="J182" s="408">
        <v>82</v>
      </c>
      <c r="K182" s="408">
        <v>80</v>
      </c>
      <c r="L182" s="403">
        <f t="shared" si="4"/>
        <v>78</v>
      </c>
      <c r="N182" s="403" t="s">
        <v>621</v>
      </c>
      <c r="O182" s="403">
        <f t="shared" si="5"/>
        <v>1</v>
      </c>
    </row>
    <row r="183" spans="1:15">
      <c r="A183" s="403" t="s">
        <v>594</v>
      </c>
      <c r="B183" s="403" t="s">
        <v>270</v>
      </c>
      <c r="C183" s="403" t="s">
        <v>271</v>
      </c>
      <c r="D183" s="407">
        <v>15</v>
      </c>
      <c r="E183" s="407">
        <v>17</v>
      </c>
      <c r="F183" s="407">
        <v>17</v>
      </c>
      <c r="G183" s="408">
        <v>16</v>
      </c>
      <c r="H183" s="408">
        <v>15</v>
      </c>
      <c r="I183" s="408">
        <v>15</v>
      </c>
      <c r="J183" s="408">
        <v>15</v>
      </c>
      <c r="K183" s="408">
        <v>15</v>
      </c>
      <c r="L183" s="403">
        <f t="shared" si="4"/>
        <v>15.63</v>
      </c>
      <c r="N183" s="403" t="s">
        <v>621</v>
      </c>
      <c r="O183" s="403">
        <f t="shared" si="5"/>
        <v>1</v>
      </c>
    </row>
    <row r="184" spans="1:15">
      <c r="A184" s="403" t="s">
        <v>603</v>
      </c>
      <c r="B184" s="403" t="s">
        <v>448</v>
      </c>
      <c r="C184" s="403" t="s">
        <v>449</v>
      </c>
      <c r="D184" s="407">
        <v>0</v>
      </c>
      <c r="E184" s="407">
        <v>0</v>
      </c>
      <c r="F184" s="407">
        <v>0</v>
      </c>
      <c r="G184" s="408">
        <v>0</v>
      </c>
      <c r="H184" s="408">
        <v>0</v>
      </c>
      <c r="I184" s="408">
        <v>0</v>
      </c>
      <c r="J184" s="408">
        <v>0</v>
      </c>
      <c r="K184" s="408">
        <v>0</v>
      </c>
      <c r="L184" s="403">
        <f t="shared" si="4"/>
        <v>0</v>
      </c>
      <c r="N184" s="403" t="s">
        <v>801</v>
      </c>
      <c r="O184" s="403">
        <f t="shared" si="5"/>
        <v>0</v>
      </c>
    </row>
    <row r="185" spans="1:15">
      <c r="A185" s="403" t="s">
        <v>595</v>
      </c>
      <c r="B185" s="403" t="s">
        <v>372</v>
      </c>
      <c r="C185" s="403" t="s">
        <v>613</v>
      </c>
      <c r="D185" s="407">
        <v>9</v>
      </c>
      <c r="E185" s="407">
        <v>9</v>
      </c>
      <c r="F185" s="407">
        <v>9</v>
      </c>
      <c r="G185" s="408">
        <v>9</v>
      </c>
      <c r="H185" s="408">
        <v>9</v>
      </c>
      <c r="I185" s="408">
        <v>10</v>
      </c>
      <c r="J185" s="408">
        <v>10</v>
      </c>
      <c r="K185" s="408">
        <v>10</v>
      </c>
      <c r="L185" s="403">
        <f t="shared" si="4"/>
        <v>9.3800000000000008</v>
      </c>
      <c r="N185" s="403" t="s">
        <v>621</v>
      </c>
      <c r="O185" s="403">
        <f t="shared" si="5"/>
        <v>1</v>
      </c>
    </row>
    <row r="186" spans="1:15">
      <c r="A186" s="403" t="s">
        <v>603</v>
      </c>
      <c r="B186" s="403" t="s">
        <v>424</v>
      </c>
      <c r="C186" s="403" t="s">
        <v>425</v>
      </c>
      <c r="D186" s="407">
        <v>0</v>
      </c>
      <c r="E186" s="407">
        <v>0</v>
      </c>
      <c r="F186" s="407">
        <v>0</v>
      </c>
      <c r="G186" s="408">
        <v>0</v>
      </c>
      <c r="H186" s="408">
        <v>0</v>
      </c>
      <c r="I186" s="408">
        <v>0</v>
      </c>
      <c r="J186" s="408">
        <v>0</v>
      </c>
      <c r="K186" s="408">
        <v>0</v>
      </c>
      <c r="L186" s="403">
        <f t="shared" si="4"/>
        <v>0</v>
      </c>
      <c r="N186" s="403" t="s">
        <v>801</v>
      </c>
      <c r="O186" s="403">
        <f t="shared" si="5"/>
        <v>0</v>
      </c>
    </row>
    <row r="187" spans="1:15">
      <c r="A187" s="403" t="s">
        <v>603</v>
      </c>
      <c r="B187" s="403" t="s">
        <v>98</v>
      </c>
      <c r="C187" s="403" t="s">
        <v>99</v>
      </c>
      <c r="D187" s="407">
        <v>0</v>
      </c>
      <c r="E187" s="407">
        <v>0</v>
      </c>
      <c r="F187" s="407">
        <v>0</v>
      </c>
      <c r="G187" s="408">
        <v>0</v>
      </c>
      <c r="H187" s="408">
        <v>0</v>
      </c>
      <c r="I187" s="408">
        <v>0</v>
      </c>
      <c r="J187" s="408">
        <v>0</v>
      </c>
      <c r="K187" s="408">
        <v>0</v>
      </c>
      <c r="L187" s="403">
        <f t="shared" si="4"/>
        <v>0</v>
      </c>
      <c r="N187" s="403" t="s">
        <v>801</v>
      </c>
      <c r="O187" s="403">
        <f t="shared" si="5"/>
        <v>0</v>
      </c>
    </row>
    <row r="188" spans="1:15">
      <c r="A188" s="403" t="s">
        <v>601</v>
      </c>
      <c r="B188" s="403" t="s">
        <v>82</v>
      </c>
      <c r="C188" s="403" t="s">
        <v>83</v>
      </c>
      <c r="D188" s="407">
        <v>98</v>
      </c>
      <c r="E188" s="407">
        <v>96</v>
      </c>
      <c r="F188" s="407">
        <v>84</v>
      </c>
      <c r="G188" s="408">
        <v>80</v>
      </c>
      <c r="H188" s="408">
        <v>86</v>
      </c>
      <c r="I188" s="408">
        <v>88</v>
      </c>
      <c r="J188" s="408">
        <v>90</v>
      </c>
      <c r="K188" s="408">
        <v>90</v>
      </c>
      <c r="L188" s="403">
        <f t="shared" si="4"/>
        <v>89</v>
      </c>
      <c r="N188" s="403" t="s">
        <v>621</v>
      </c>
      <c r="O188" s="403">
        <f t="shared" si="5"/>
        <v>1</v>
      </c>
    </row>
    <row r="189" spans="1:15">
      <c r="A189" s="403" t="s">
        <v>601</v>
      </c>
      <c r="B189" s="403" t="s">
        <v>323</v>
      </c>
      <c r="C189" s="403" t="s">
        <v>324</v>
      </c>
      <c r="D189" s="407">
        <v>65</v>
      </c>
      <c r="E189" s="407">
        <v>77</v>
      </c>
      <c r="F189" s="407">
        <v>71</v>
      </c>
      <c r="G189" s="408">
        <v>72</v>
      </c>
      <c r="H189" s="408">
        <v>72</v>
      </c>
      <c r="I189" s="408">
        <v>74</v>
      </c>
      <c r="J189" s="408">
        <v>80</v>
      </c>
      <c r="K189" s="408">
        <v>80</v>
      </c>
      <c r="L189" s="403">
        <f t="shared" si="4"/>
        <v>73.88</v>
      </c>
      <c r="N189" s="403" t="s">
        <v>621</v>
      </c>
      <c r="O189" s="403">
        <f t="shared" si="5"/>
        <v>1</v>
      </c>
    </row>
    <row r="190" spans="1:15">
      <c r="A190" s="403" t="s">
        <v>597</v>
      </c>
      <c r="B190" s="403" t="s">
        <v>355</v>
      </c>
      <c r="C190" s="403" t="s">
        <v>356</v>
      </c>
      <c r="D190" s="407">
        <v>25</v>
      </c>
      <c r="E190" s="407">
        <v>26</v>
      </c>
      <c r="F190" s="407">
        <v>28</v>
      </c>
      <c r="G190" s="408">
        <v>27</v>
      </c>
      <c r="H190" s="408">
        <v>27</v>
      </c>
      <c r="I190" s="408">
        <v>27</v>
      </c>
      <c r="J190" s="408">
        <v>28</v>
      </c>
      <c r="K190" s="408">
        <v>29</v>
      </c>
      <c r="L190" s="403">
        <f t="shared" si="4"/>
        <v>27.13</v>
      </c>
      <c r="N190" s="403" t="s">
        <v>621</v>
      </c>
      <c r="O190" s="403">
        <f t="shared" si="5"/>
        <v>1</v>
      </c>
    </row>
    <row r="191" spans="1:15">
      <c r="A191" s="403" t="s">
        <v>596</v>
      </c>
      <c r="B191" s="403" t="s">
        <v>4</v>
      </c>
      <c r="C191" s="403" t="s">
        <v>5</v>
      </c>
      <c r="D191" s="407">
        <v>1334</v>
      </c>
      <c r="E191" s="407">
        <v>1332</v>
      </c>
      <c r="F191" s="407">
        <v>1293</v>
      </c>
      <c r="G191" s="408">
        <v>1299</v>
      </c>
      <c r="H191" s="408">
        <v>1298</v>
      </c>
      <c r="I191" s="408">
        <v>1308</v>
      </c>
      <c r="J191" s="408">
        <v>1315</v>
      </c>
      <c r="K191" s="408">
        <v>1307</v>
      </c>
      <c r="L191" s="403">
        <f t="shared" si="4"/>
        <v>1310.75</v>
      </c>
      <c r="N191" s="403" t="s">
        <v>621</v>
      </c>
      <c r="O191" s="403">
        <f t="shared" si="5"/>
        <v>1</v>
      </c>
    </row>
    <row r="192" spans="1:15">
      <c r="A192" s="403" t="s">
        <v>601</v>
      </c>
      <c r="B192" s="403" t="s">
        <v>86</v>
      </c>
      <c r="C192" s="403" t="s">
        <v>87</v>
      </c>
      <c r="D192" s="407">
        <v>18</v>
      </c>
      <c r="E192" s="407">
        <v>19</v>
      </c>
      <c r="F192" s="407">
        <v>17</v>
      </c>
      <c r="G192" s="408">
        <v>19</v>
      </c>
      <c r="H192" s="408">
        <v>21</v>
      </c>
      <c r="I192" s="408">
        <v>20</v>
      </c>
      <c r="J192" s="408">
        <v>21</v>
      </c>
      <c r="K192" s="408">
        <v>21</v>
      </c>
      <c r="L192" s="403">
        <f t="shared" si="4"/>
        <v>19.5</v>
      </c>
      <c r="N192" s="403" t="s">
        <v>621</v>
      </c>
      <c r="O192" s="403">
        <f t="shared" si="5"/>
        <v>1</v>
      </c>
    </row>
    <row r="193" spans="1:15">
      <c r="A193" s="403" t="s">
        <v>603</v>
      </c>
      <c r="B193" s="403" t="s">
        <v>527</v>
      </c>
      <c r="C193" s="403" t="s">
        <v>528</v>
      </c>
      <c r="D193" s="407">
        <v>0</v>
      </c>
      <c r="E193" s="407">
        <v>0</v>
      </c>
      <c r="F193" s="407">
        <v>0</v>
      </c>
      <c r="G193" s="408">
        <v>0</v>
      </c>
      <c r="H193" s="408">
        <v>0</v>
      </c>
      <c r="I193" s="408">
        <v>0</v>
      </c>
      <c r="J193" s="408">
        <v>0</v>
      </c>
      <c r="K193" s="408">
        <v>0</v>
      </c>
      <c r="L193" s="403">
        <f t="shared" si="4"/>
        <v>0</v>
      </c>
      <c r="N193" s="403" t="s">
        <v>801</v>
      </c>
      <c r="O193" s="403">
        <f t="shared" si="5"/>
        <v>0</v>
      </c>
    </row>
    <row r="194" spans="1:15">
      <c r="A194" s="403" t="s">
        <v>596</v>
      </c>
      <c r="B194" s="403" t="s">
        <v>104</v>
      </c>
      <c r="C194" s="403" t="s">
        <v>105</v>
      </c>
      <c r="D194" s="407">
        <v>4751</v>
      </c>
      <c r="E194" s="407">
        <v>4755</v>
      </c>
      <c r="F194" s="407">
        <v>4726</v>
      </c>
      <c r="G194" s="408">
        <v>4740</v>
      </c>
      <c r="H194" s="408">
        <v>4779</v>
      </c>
      <c r="I194" s="408">
        <v>4800</v>
      </c>
      <c r="J194" s="408">
        <v>4814</v>
      </c>
      <c r="K194" s="408">
        <v>4844</v>
      </c>
      <c r="L194" s="403">
        <f t="shared" si="4"/>
        <v>4776.13</v>
      </c>
      <c r="N194" s="403" t="s">
        <v>621</v>
      </c>
      <c r="O194" s="403">
        <f t="shared" si="5"/>
        <v>1</v>
      </c>
    </row>
    <row r="195" spans="1:15">
      <c r="A195" s="403" t="s">
        <v>601</v>
      </c>
      <c r="B195" s="403" t="s">
        <v>317</v>
      </c>
      <c r="C195" s="403" t="s">
        <v>318</v>
      </c>
      <c r="D195" s="407">
        <v>32</v>
      </c>
      <c r="E195" s="407">
        <v>32</v>
      </c>
      <c r="F195" s="407">
        <v>31</v>
      </c>
      <c r="G195" s="408">
        <v>30</v>
      </c>
      <c r="H195" s="408">
        <v>30</v>
      </c>
      <c r="I195" s="408">
        <v>30</v>
      </c>
      <c r="J195" s="408">
        <v>30</v>
      </c>
      <c r="K195" s="408">
        <v>30</v>
      </c>
      <c r="L195" s="403">
        <f t="shared" si="4"/>
        <v>30.63</v>
      </c>
      <c r="N195" s="403" t="s">
        <v>621</v>
      </c>
      <c r="O195" s="403">
        <f t="shared" si="5"/>
        <v>1</v>
      </c>
    </row>
    <row r="196" spans="1:15">
      <c r="A196" s="403" t="s">
        <v>596</v>
      </c>
      <c r="B196" s="403" t="s">
        <v>16</v>
      </c>
      <c r="C196" s="403" t="s">
        <v>17</v>
      </c>
      <c r="D196" s="407">
        <v>34</v>
      </c>
      <c r="E196" s="407">
        <v>34</v>
      </c>
      <c r="F196" s="407">
        <v>33</v>
      </c>
      <c r="G196" s="408">
        <v>31</v>
      </c>
      <c r="H196" s="408">
        <v>33</v>
      </c>
      <c r="I196" s="408">
        <v>33</v>
      </c>
      <c r="J196" s="408">
        <v>33</v>
      </c>
      <c r="K196" s="408">
        <v>33</v>
      </c>
      <c r="L196" s="403">
        <f t="shared" si="4"/>
        <v>33</v>
      </c>
      <c r="N196" s="403" t="s">
        <v>621</v>
      </c>
      <c r="O196" s="403">
        <f t="shared" si="5"/>
        <v>1</v>
      </c>
    </row>
    <row r="197" spans="1:15">
      <c r="A197" s="403" t="s">
        <v>594</v>
      </c>
      <c r="B197" s="403" t="s">
        <v>272</v>
      </c>
      <c r="C197" s="403" t="s">
        <v>273</v>
      </c>
      <c r="D197" s="407">
        <v>0</v>
      </c>
      <c r="E197" s="407">
        <v>0</v>
      </c>
      <c r="F197" s="407">
        <v>0</v>
      </c>
      <c r="G197" s="408">
        <v>0</v>
      </c>
      <c r="H197" s="408">
        <v>0</v>
      </c>
      <c r="I197" s="408">
        <v>0</v>
      </c>
      <c r="J197" s="408">
        <v>0</v>
      </c>
      <c r="K197" s="408">
        <v>0</v>
      </c>
      <c r="L197" s="403">
        <f t="shared" si="4"/>
        <v>0</v>
      </c>
      <c r="N197" s="403" t="s">
        <v>801</v>
      </c>
      <c r="O197" s="403">
        <f t="shared" si="5"/>
        <v>0</v>
      </c>
    </row>
    <row r="198" spans="1:15">
      <c r="A198" s="403" t="s">
        <v>597</v>
      </c>
      <c r="B198" s="403" t="s">
        <v>359</v>
      </c>
      <c r="C198" s="403" t="s">
        <v>360</v>
      </c>
      <c r="D198" s="407">
        <v>59</v>
      </c>
      <c r="E198" s="407">
        <v>63</v>
      </c>
      <c r="F198" s="407">
        <v>64</v>
      </c>
      <c r="G198" s="408">
        <v>66</v>
      </c>
      <c r="H198" s="408">
        <v>66</v>
      </c>
      <c r="I198" s="408">
        <v>67</v>
      </c>
      <c r="J198" s="408">
        <v>66</v>
      </c>
      <c r="K198" s="408">
        <v>66</v>
      </c>
      <c r="L198" s="403">
        <f t="shared" si="4"/>
        <v>64.63</v>
      </c>
      <c r="N198" s="403" t="s">
        <v>621</v>
      </c>
      <c r="O198" s="403">
        <f t="shared" si="5"/>
        <v>1</v>
      </c>
    </row>
    <row r="199" spans="1:15">
      <c r="A199" s="403" t="s">
        <v>594</v>
      </c>
      <c r="B199" s="403" t="s">
        <v>303</v>
      </c>
      <c r="C199" s="403" t="s">
        <v>304</v>
      </c>
      <c r="D199" s="407">
        <v>0</v>
      </c>
      <c r="E199" s="407">
        <v>0</v>
      </c>
      <c r="F199" s="407">
        <v>0</v>
      </c>
      <c r="G199" s="408">
        <v>0</v>
      </c>
      <c r="H199" s="408">
        <v>0</v>
      </c>
      <c r="I199" s="408">
        <v>0</v>
      </c>
      <c r="J199" s="408">
        <v>0</v>
      </c>
      <c r="K199" s="408">
        <v>0</v>
      </c>
      <c r="L199" s="403">
        <f t="shared" si="4"/>
        <v>0</v>
      </c>
      <c r="N199" s="403" t="s">
        <v>801</v>
      </c>
      <c r="O199" s="403">
        <f t="shared" si="5"/>
        <v>0</v>
      </c>
    </row>
    <row r="200" spans="1:15">
      <c r="A200" s="403" t="s">
        <v>596</v>
      </c>
      <c r="B200" s="403" t="s">
        <v>112</v>
      </c>
      <c r="C200" s="403" t="s">
        <v>113</v>
      </c>
      <c r="D200" s="407">
        <v>4</v>
      </c>
      <c r="E200" s="407">
        <v>4</v>
      </c>
      <c r="F200" s="407">
        <v>4</v>
      </c>
      <c r="G200" s="408">
        <v>4</v>
      </c>
      <c r="H200" s="408">
        <v>4</v>
      </c>
      <c r="I200" s="408">
        <v>5</v>
      </c>
      <c r="J200" s="408">
        <v>5</v>
      </c>
      <c r="K200" s="408">
        <v>5</v>
      </c>
      <c r="L200" s="403">
        <f t="shared" si="4"/>
        <v>4.38</v>
      </c>
      <c r="N200" s="403" t="s">
        <v>621</v>
      </c>
      <c r="O200" s="403">
        <f t="shared" si="5"/>
        <v>1</v>
      </c>
    </row>
    <row r="201" spans="1:15">
      <c r="A201" s="403" t="s">
        <v>600</v>
      </c>
      <c r="B201" s="403" t="s">
        <v>39</v>
      </c>
      <c r="C201" s="403" t="s">
        <v>40</v>
      </c>
      <c r="D201" s="407">
        <v>47</v>
      </c>
      <c r="E201" s="407">
        <v>47</v>
      </c>
      <c r="F201" s="407">
        <v>47</v>
      </c>
      <c r="G201" s="408">
        <v>50</v>
      </c>
      <c r="H201" s="408">
        <v>50</v>
      </c>
      <c r="I201" s="408">
        <v>51</v>
      </c>
      <c r="J201" s="408">
        <v>51</v>
      </c>
      <c r="K201" s="408">
        <v>51</v>
      </c>
      <c r="L201" s="403">
        <f t="shared" ref="L201:L264" si="6">ROUND(SUM(D201:K201)/8,2)</f>
        <v>49.25</v>
      </c>
      <c r="N201" s="403" t="s">
        <v>621</v>
      </c>
      <c r="O201" s="403">
        <f t="shared" ref="O201:O264" si="7">IF(L201&gt;0,1,0)</f>
        <v>1</v>
      </c>
    </row>
    <row r="202" spans="1:15">
      <c r="A202" s="403" t="s">
        <v>600</v>
      </c>
      <c r="B202" s="403" t="s">
        <v>171</v>
      </c>
      <c r="C202" s="403" t="s">
        <v>172</v>
      </c>
      <c r="D202" s="407">
        <v>17</v>
      </c>
      <c r="E202" s="407">
        <v>18</v>
      </c>
      <c r="F202" s="407">
        <v>16</v>
      </c>
      <c r="G202" s="408">
        <v>15</v>
      </c>
      <c r="H202" s="408">
        <v>16</v>
      </c>
      <c r="I202" s="408">
        <v>16</v>
      </c>
      <c r="J202" s="408">
        <v>16</v>
      </c>
      <c r="K202" s="408">
        <v>17</v>
      </c>
      <c r="L202" s="403">
        <f t="shared" si="6"/>
        <v>16.38</v>
      </c>
      <c r="N202" s="403" t="s">
        <v>621</v>
      </c>
      <c r="O202" s="403">
        <f t="shared" si="7"/>
        <v>1</v>
      </c>
    </row>
    <row r="203" spans="1:15">
      <c r="A203" s="403" t="s">
        <v>596</v>
      </c>
      <c r="B203" s="403" t="s">
        <v>502</v>
      </c>
      <c r="C203" s="403" t="s">
        <v>503</v>
      </c>
      <c r="D203" s="407">
        <v>72</v>
      </c>
      <c r="E203" s="407">
        <v>72</v>
      </c>
      <c r="F203" s="407">
        <v>72</v>
      </c>
      <c r="G203" s="408">
        <v>72</v>
      </c>
      <c r="H203" s="408">
        <v>72</v>
      </c>
      <c r="I203" s="408">
        <v>75</v>
      </c>
      <c r="J203" s="408">
        <v>74</v>
      </c>
      <c r="K203" s="408">
        <v>74</v>
      </c>
      <c r="L203" s="403">
        <f t="shared" si="6"/>
        <v>72.88</v>
      </c>
      <c r="N203" s="403" t="s">
        <v>621</v>
      </c>
      <c r="O203" s="403">
        <f t="shared" si="7"/>
        <v>1</v>
      </c>
    </row>
    <row r="204" spans="1:15">
      <c r="A204" s="403" t="s">
        <v>596</v>
      </c>
      <c r="B204" s="403" t="s">
        <v>21</v>
      </c>
      <c r="C204" s="403" t="s">
        <v>22</v>
      </c>
      <c r="D204" s="407">
        <v>527</v>
      </c>
      <c r="E204" s="407">
        <v>528</v>
      </c>
      <c r="F204" s="407">
        <v>517</v>
      </c>
      <c r="G204" s="408">
        <v>521</v>
      </c>
      <c r="H204" s="408">
        <v>524</v>
      </c>
      <c r="I204" s="408">
        <v>524</v>
      </c>
      <c r="J204" s="408">
        <v>527</v>
      </c>
      <c r="K204" s="408">
        <v>534</v>
      </c>
      <c r="L204" s="403">
        <f t="shared" si="6"/>
        <v>525.25</v>
      </c>
      <c r="N204" s="403" t="s">
        <v>621</v>
      </c>
      <c r="O204" s="403">
        <f t="shared" si="7"/>
        <v>1</v>
      </c>
    </row>
    <row r="205" spans="1:15">
      <c r="A205" s="403" t="s">
        <v>603</v>
      </c>
      <c r="B205" s="403" t="s">
        <v>523</v>
      </c>
      <c r="C205" s="403" t="s">
        <v>524</v>
      </c>
      <c r="D205" s="407">
        <v>66</v>
      </c>
      <c r="E205" s="407">
        <v>68</v>
      </c>
      <c r="F205" s="407">
        <v>67</v>
      </c>
      <c r="G205" s="408">
        <v>66</v>
      </c>
      <c r="H205" s="408">
        <v>70</v>
      </c>
      <c r="I205" s="408">
        <v>68</v>
      </c>
      <c r="J205" s="408">
        <v>67</v>
      </c>
      <c r="K205" s="408">
        <v>68</v>
      </c>
      <c r="L205" s="403">
        <f t="shared" si="6"/>
        <v>67.5</v>
      </c>
      <c r="N205" s="403" t="s">
        <v>621</v>
      </c>
      <c r="O205" s="403">
        <f t="shared" si="7"/>
        <v>1</v>
      </c>
    </row>
    <row r="206" spans="1:15">
      <c r="A206" s="403" t="s">
        <v>597</v>
      </c>
      <c r="B206" s="403" t="s">
        <v>343</v>
      </c>
      <c r="C206" s="403" t="s">
        <v>344</v>
      </c>
      <c r="D206" s="407">
        <v>567</v>
      </c>
      <c r="E206" s="407">
        <v>567</v>
      </c>
      <c r="F206" s="407">
        <v>571</v>
      </c>
      <c r="G206" s="408">
        <v>572</v>
      </c>
      <c r="H206" s="408">
        <v>583</v>
      </c>
      <c r="I206" s="408">
        <v>589</v>
      </c>
      <c r="J206" s="408">
        <v>582</v>
      </c>
      <c r="K206" s="408">
        <v>589</v>
      </c>
      <c r="L206" s="403">
        <f t="shared" si="6"/>
        <v>577.5</v>
      </c>
      <c r="N206" s="403" t="s">
        <v>621</v>
      </c>
      <c r="O206" s="403">
        <f t="shared" si="7"/>
        <v>1</v>
      </c>
    </row>
    <row r="207" spans="1:15">
      <c r="A207" s="403" t="s">
        <v>600</v>
      </c>
      <c r="B207" s="403" t="s">
        <v>163</v>
      </c>
      <c r="C207" s="403" t="s">
        <v>164</v>
      </c>
      <c r="D207" s="407">
        <v>0</v>
      </c>
      <c r="E207" s="407">
        <v>0</v>
      </c>
      <c r="F207" s="407">
        <v>0</v>
      </c>
      <c r="G207" s="408">
        <v>0</v>
      </c>
      <c r="H207" s="408">
        <v>0</v>
      </c>
      <c r="I207" s="408">
        <v>0</v>
      </c>
      <c r="J207" s="408">
        <v>0</v>
      </c>
      <c r="K207" s="408">
        <v>0</v>
      </c>
      <c r="L207" s="403">
        <f t="shared" si="6"/>
        <v>0</v>
      </c>
      <c r="N207" s="403" t="s">
        <v>801</v>
      </c>
      <c r="O207" s="403">
        <f t="shared" si="7"/>
        <v>0</v>
      </c>
    </row>
    <row r="208" spans="1:15">
      <c r="A208" s="403" t="s">
        <v>600</v>
      </c>
      <c r="B208" s="403" t="s">
        <v>167</v>
      </c>
      <c r="C208" s="403" t="s">
        <v>168</v>
      </c>
      <c r="D208" s="407">
        <v>0</v>
      </c>
      <c r="E208" s="407">
        <v>0</v>
      </c>
      <c r="F208" s="407">
        <v>0</v>
      </c>
      <c r="G208" s="408">
        <v>0</v>
      </c>
      <c r="H208" s="408">
        <v>0</v>
      </c>
      <c r="I208" s="408">
        <v>0</v>
      </c>
      <c r="J208" s="408">
        <v>0</v>
      </c>
      <c r="K208" s="408">
        <v>0</v>
      </c>
      <c r="L208" s="403">
        <f t="shared" si="6"/>
        <v>0</v>
      </c>
      <c r="N208" s="403" t="s">
        <v>801</v>
      </c>
      <c r="O208" s="403">
        <f t="shared" si="7"/>
        <v>0</v>
      </c>
    </row>
    <row r="209" spans="1:15">
      <c r="A209" s="403" t="s">
        <v>600</v>
      </c>
      <c r="B209" s="403" t="s">
        <v>47</v>
      </c>
      <c r="C209" s="403" t="s">
        <v>48</v>
      </c>
      <c r="D209" s="407">
        <v>109</v>
      </c>
      <c r="E209" s="407">
        <v>108</v>
      </c>
      <c r="F209" s="407">
        <v>111</v>
      </c>
      <c r="G209" s="408">
        <v>109</v>
      </c>
      <c r="H209" s="408">
        <v>110</v>
      </c>
      <c r="I209" s="408">
        <v>107</v>
      </c>
      <c r="J209" s="408">
        <v>107</v>
      </c>
      <c r="K209" s="408">
        <v>107</v>
      </c>
      <c r="L209" s="403">
        <f t="shared" si="6"/>
        <v>108.5</v>
      </c>
      <c r="N209" s="403" t="s">
        <v>621</v>
      </c>
      <c r="O209" s="403">
        <f t="shared" si="7"/>
        <v>1</v>
      </c>
    </row>
    <row r="210" spans="1:15">
      <c r="A210" s="403" t="s">
        <v>594</v>
      </c>
      <c r="B210" s="403" t="s">
        <v>145</v>
      </c>
      <c r="C210" s="403" t="s">
        <v>146</v>
      </c>
      <c r="D210" s="407">
        <v>26</v>
      </c>
      <c r="E210" s="407">
        <v>36</v>
      </c>
      <c r="F210" s="407">
        <v>41</v>
      </c>
      <c r="G210" s="408">
        <v>39</v>
      </c>
      <c r="H210" s="408">
        <v>41</v>
      </c>
      <c r="I210" s="408">
        <v>45</v>
      </c>
      <c r="J210" s="408">
        <v>45</v>
      </c>
      <c r="K210" s="408">
        <v>40</v>
      </c>
      <c r="L210" s="403">
        <f t="shared" si="6"/>
        <v>39.130000000000003</v>
      </c>
      <c r="N210" s="403" t="s">
        <v>621</v>
      </c>
      <c r="O210" s="403">
        <f t="shared" si="7"/>
        <v>1</v>
      </c>
    </row>
    <row r="211" spans="1:15">
      <c r="A211" s="403" t="s">
        <v>601</v>
      </c>
      <c r="B211" s="403" t="s">
        <v>116</v>
      </c>
      <c r="C211" s="403" t="s">
        <v>117</v>
      </c>
      <c r="D211" s="407">
        <v>832</v>
      </c>
      <c r="E211" s="407">
        <v>834</v>
      </c>
      <c r="F211" s="407">
        <v>832</v>
      </c>
      <c r="G211" s="408">
        <v>820</v>
      </c>
      <c r="H211" s="408">
        <v>827</v>
      </c>
      <c r="I211" s="408">
        <v>833</v>
      </c>
      <c r="J211" s="408">
        <v>842</v>
      </c>
      <c r="K211" s="408">
        <v>859</v>
      </c>
      <c r="L211" s="403">
        <f t="shared" si="6"/>
        <v>834.88</v>
      </c>
      <c r="N211" s="403" t="s">
        <v>621</v>
      </c>
      <c r="O211" s="403">
        <f t="shared" si="7"/>
        <v>1</v>
      </c>
    </row>
    <row r="212" spans="1:15">
      <c r="A212" s="403" t="s">
        <v>594</v>
      </c>
      <c r="B212" s="403" t="s">
        <v>480</v>
      </c>
      <c r="C212" s="403" t="s">
        <v>481</v>
      </c>
      <c r="D212" s="407">
        <v>0</v>
      </c>
      <c r="E212" s="407">
        <v>0</v>
      </c>
      <c r="F212" s="407">
        <v>0</v>
      </c>
      <c r="G212" s="408">
        <v>0</v>
      </c>
      <c r="H212" s="408">
        <v>0</v>
      </c>
      <c r="I212" s="408">
        <v>0</v>
      </c>
      <c r="J212" s="408">
        <v>0</v>
      </c>
      <c r="K212" s="408">
        <v>0</v>
      </c>
      <c r="L212" s="403">
        <f t="shared" si="6"/>
        <v>0</v>
      </c>
      <c r="N212" s="403" t="s">
        <v>801</v>
      </c>
      <c r="O212" s="403">
        <f t="shared" si="7"/>
        <v>0</v>
      </c>
    </row>
    <row r="213" spans="1:15">
      <c r="A213" s="403" t="s">
        <v>594</v>
      </c>
      <c r="B213" s="403" t="s">
        <v>327</v>
      </c>
      <c r="C213" s="403" t="s">
        <v>328</v>
      </c>
      <c r="D213" s="407">
        <v>66</v>
      </c>
      <c r="E213" s="407">
        <v>66</v>
      </c>
      <c r="F213" s="407">
        <v>64</v>
      </c>
      <c r="G213" s="408">
        <v>64</v>
      </c>
      <c r="H213" s="408">
        <v>64</v>
      </c>
      <c r="I213" s="408">
        <v>64</v>
      </c>
      <c r="J213" s="408">
        <v>64</v>
      </c>
      <c r="K213" s="408">
        <v>67</v>
      </c>
      <c r="L213" s="403">
        <f t="shared" si="6"/>
        <v>64.88</v>
      </c>
      <c r="N213" s="403" t="s">
        <v>621</v>
      </c>
      <c r="O213" s="403">
        <f t="shared" si="7"/>
        <v>1</v>
      </c>
    </row>
    <row r="214" spans="1:15">
      <c r="A214" s="403" t="s">
        <v>603</v>
      </c>
      <c r="B214" s="403" t="s">
        <v>282</v>
      </c>
      <c r="C214" s="403" t="s">
        <v>665</v>
      </c>
      <c r="D214" s="407">
        <v>0</v>
      </c>
      <c r="E214" s="407">
        <v>0</v>
      </c>
      <c r="F214" s="407">
        <v>0</v>
      </c>
      <c r="G214" s="408">
        <v>0</v>
      </c>
      <c r="H214" s="408">
        <v>0</v>
      </c>
      <c r="I214" s="408">
        <v>0</v>
      </c>
      <c r="J214" s="408">
        <v>0</v>
      </c>
      <c r="K214" s="408">
        <v>0</v>
      </c>
      <c r="L214" s="403">
        <f t="shared" si="6"/>
        <v>0</v>
      </c>
      <c r="N214" s="403" t="s">
        <v>801</v>
      </c>
      <c r="O214" s="403">
        <f t="shared" si="7"/>
        <v>0</v>
      </c>
    </row>
    <row r="215" spans="1:15">
      <c r="A215" s="403" t="s">
        <v>597</v>
      </c>
      <c r="B215" s="403" t="s">
        <v>185</v>
      </c>
      <c r="C215" s="403" t="s">
        <v>186</v>
      </c>
      <c r="D215" s="407">
        <v>1985</v>
      </c>
      <c r="E215" s="407">
        <v>2036</v>
      </c>
      <c r="F215" s="407">
        <v>2044</v>
      </c>
      <c r="G215" s="408">
        <v>2062</v>
      </c>
      <c r="H215" s="408">
        <v>2079</v>
      </c>
      <c r="I215" s="408">
        <v>2036</v>
      </c>
      <c r="J215" s="408">
        <v>2043</v>
      </c>
      <c r="K215" s="408">
        <v>2039</v>
      </c>
      <c r="L215" s="403">
        <f t="shared" si="6"/>
        <v>2040.5</v>
      </c>
      <c r="N215" s="403" t="s">
        <v>621</v>
      </c>
      <c r="O215" s="403">
        <f t="shared" si="7"/>
        <v>1</v>
      </c>
    </row>
    <row r="216" spans="1:15">
      <c r="A216" s="403" t="s">
        <v>603</v>
      </c>
      <c r="B216" s="403" t="s">
        <v>102</v>
      </c>
      <c r="C216" s="403" t="s">
        <v>103</v>
      </c>
      <c r="D216" s="407">
        <v>0</v>
      </c>
      <c r="E216" s="407">
        <v>0</v>
      </c>
      <c r="F216" s="407">
        <v>0</v>
      </c>
      <c r="G216" s="408">
        <v>0</v>
      </c>
      <c r="H216" s="408">
        <v>0</v>
      </c>
      <c r="I216" s="408">
        <v>0</v>
      </c>
      <c r="J216" s="408">
        <v>0</v>
      </c>
      <c r="K216" s="408">
        <v>0</v>
      </c>
      <c r="L216" s="403">
        <f t="shared" si="6"/>
        <v>0</v>
      </c>
      <c r="N216" s="403" t="s">
        <v>801</v>
      </c>
      <c r="O216" s="403">
        <f t="shared" si="7"/>
        <v>0</v>
      </c>
    </row>
    <row r="217" spans="1:15">
      <c r="A217" s="403" t="s">
        <v>596</v>
      </c>
      <c r="B217" s="403" t="s">
        <v>23</v>
      </c>
      <c r="C217" s="403" t="s">
        <v>24</v>
      </c>
      <c r="D217" s="407">
        <v>234</v>
      </c>
      <c r="E217" s="407">
        <v>233</v>
      </c>
      <c r="F217" s="407">
        <v>244</v>
      </c>
      <c r="G217" s="408">
        <v>241</v>
      </c>
      <c r="H217" s="408">
        <v>234</v>
      </c>
      <c r="I217" s="408">
        <v>240</v>
      </c>
      <c r="J217" s="408">
        <v>240</v>
      </c>
      <c r="K217" s="408">
        <v>233</v>
      </c>
      <c r="L217" s="403">
        <f t="shared" si="6"/>
        <v>237.38</v>
      </c>
      <c r="N217" s="403" t="s">
        <v>621</v>
      </c>
      <c r="O217" s="403">
        <f t="shared" si="7"/>
        <v>1</v>
      </c>
    </row>
    <row r="218" spans="1:15">
      <c r="A218" s="403" t="s">
        <v>599</v>
      </c>
      <c r="B218" s="403" t="s">
        <v>64</v>
      </c>
      <c r="C218" s="403" t="s">
        <v>65</v>
      </c>
      <c r="D218" s="407">
        <v>69</v>
      </c>
      <c r="E218" s="407">
        <v>69</v>
      </c>
      <c r="F218" s="407">
        <v>67</v>
      </c>
      <c r="G218" s="408">
        <v>67</v>
      </c>
      <c r="H218" s="408">
        <v>64</v>
      </c>
      <c r="I218" s="408">
        <v>71</v>
      </c>
      <c r="J218" s="408">
        <v>70</v>
      </c>
      <c r="K218" s="408">
        <v>70</v>
      </c>
      <c r="L218" s="403">
        <f t="shared" si="6"/>
        <v>68.38</v>
      </c>
      <c r="N218" s="403" t="s">
        <v>621</v>
      </c>
      <c r="O218" s="403">
        <f t="shared" si="7"/>
        <v>1</v>
      </c>
    </row>
    <row r="219" spans="1:15">
      <c r="A219" s="403" t="s">
        <v>603</v>
      </c>
      <c r="B219" s="403" t="s">
        <v>8</v>
      </c>
      <c r="C219" s="403" t="s">
        <v>9</v>
      </c>
      <c r="D219" s="407">
        <v>0</v>
      </c>
      <c r="E219" s="407">
        <v>0</v>
      </c>
      <c r="F219" s="407">
        <v>0</v>
      </c>
      <c r="G219" s="408">
        <v>0</v>
      </c>
      <c r="H219" s="408">
        <v>0</v>
      </c>
      <c r="I219" s="408">
        <v>0</v>
      </c>
      <c r="J219" s="408">
        <v>0</v>
      </c>
      <c r="K219" s="408">
        <v>0</v>
      </c>
      <c r="L219" s="403">
        <f t="shared" si="6"/>
        <v>0</v>
      </c>
      <c r="N219" s="403" t="s">
        <v>801</v>
      </c>
      <c r="O219" s="403">
        <f t="shared" si="7"/>
        <v>0</v>
      </c>
    </row>
    <row r="220" spans="1:15">
      <c r="A220" s="403" t="s">
        <v>603</v>
      </c>
      <c r="B220" s="403" t="s">
        <v>446</v>
      </c>
      <c r="C220" s="403" t="s">
        <v>447</v>
      </c>
      <c r="D220" s="407">
        <v>0</v>
      </c>
      <c r="E220" s="407">
        <v>0</v>
      </c>
      <c r="F220" s="407">
        <v>0</v>
      </c>
      <c r="G220" s="408">
        <v>9</v>
      </c>
      <c r="H220" s="408">
        <v>9</v>
      </c>
      <c r="I220" s="408">
        <v>9</v>
      </c>
      <c r="J220" s="408">
        <v>9</v>
      </c>
      <c r="K220" s="408">
        <v>9</v>
      </c>
      <c r="L220" s="403">
        <f t="shared" si="6"/>
        <v>5.63</v>
      </c>
      <c r="N220" s="403" t="s">
        <v>621</v>
      </c>
      <c r="O220" s="403">
        <f t="shared" si="7"/>
        <v>1</v>
      </c>
    </row>
    <row r="221" spans="1:15">
      <c r="A221" s="403" t="s">
        <v>597</v>
      </c>
      <c r="B221" s="403" t="s">
        <v>193</v>
      </c>
      <c r="C221" s="403" t="s">
        <v>194</v>
      </c>
      <c r="D221" s="407">
        <v>57</v>
      </c>
      <c r="E221" s="407">
        <v>55</v>
      </c>
      <c r="F221" s="407">
        <v>54</v>
      </c>
      <c r="G221" s="408">
        <v>58</v>
      </c>
      <c r="H221" s="408">
        <v>61</v>
      </c>
      <c r="I221" s="408">
        <v>61</v>
      </c>
      <c r="J221" s="408">
        <v>61</v>
      </c>
      <c r="K221" s="408">
        <v>58</v>
      </c>
      <c r="L221" s="403">
        <f t="shared" si="6"/>
        <v>58.13</v>
      </c>
      <c r="N221" s="403" t="s">
        <v>621</v>
      </c>
      <c r="O221" s="403">
        <f t="shared" si="7"/>
        <v>1</v>
      </c>
    </row>
    <row r="222" spans="1:15">
      <c r="A222" s="403" t="s">
        <v>594</v>
      </c>
      <c r="B222" s="403" t="s">
        <v>484</v>
      </c>
      <c r="C222" s="403" t="s">
        <v>485</v>
      </c>
      <c r="D222" s="407">
        <v>118</v>
      </c>
      <c r="E222" s="407">
        <v>116</v>
      </c>
      <c r="F222" s="407">
        <v>113</v>
      </c>
      <c r="G222" s="408">
        <v>111</v>
      </c>
      <c r="H222" s="408">
        <v>109</v>
      </c>
      <c r="I222" s="408">
        <v>107</v>
      </c>
      <c r="J222" s="408">
        <v>105</v>
      </c>
      <c r="K222" s="408">
        <v>102</v>
      </c>
      <c r="L222" s="403">
        <f t="shared" si="6"/>
        <v>110.13</v>
      </c>
      <c r="N222" s="403" t="s">
        <v>621</v>
      </c>
      <c r="O222" s="403">
        <f t="shared" si="7"/>
        <v>1</v>
      </c>
    </row>
    <row r="223" spans="1:15">
      <c r="A223" s="403" t="s">
        <v>599</v>
      </c>
      <c r="B223" s="403" t="s">
        <v>244</v>
      </c>
      <c r="C223" s="403" t="s">
        <v>245</v>
      </c>
      <c r="D223" s="407">
        <v>9</v>
      </c>
      <c r="E223" s="407">
        <v>13</v>
      </c>
      <c r="F223" s="407">
        <v>13</v>
      </c>
      <c r="G223" s="408">
        <v>13</v>
      </c>
      <c r="H223" s="408">
        <v>13</v>
      </c>
      <c r="I223" s="408">
        <v>13</v>
      </c>
      <c r="J223" s="408">
        <v>13</v>
      </c>
      <c r="K223" s="408">
        <v>13</v>
      </c>
      <c r="L223" s="403">
        <f t="shared" si="6"/>
        <v>12.5</v>
      </c>
      <c r="N223" s="403" t="s">
        <v>621</v>
      </c>
      <c r="O223" s="403">
        <f t="shared" si="7"/>
        <v>1</v>
      </c>
    </row>
    <row r="224" spans="1:15">
      <c r="A224" s="403" t="s">
        <v>603</v>
      </c>
      <c r="B224" s="403" t="s">
        <v>537</v>
      </c>
      <c r="C224" s="403" t="s">
        <v>538</v>
      </c>
      <c r="D224" s="407">
        <v>0</v>
      </c>
      <c r="E224" s="407">
        <v>0</v>
      </c>
      <c r="F224" s="407">
        <v>0</v>
      </c>
      <c r="G224" s="408">
        <v>0</v>
      </c>
      <c r="H224" s="408">
        <v>0</v>
      </c>
      <c r="I224" s="408">
        <v>0</v>
      </c>
      <c r="J224" s="408">
        <v>0</v>
      </c>
      <c r="K224" s="408">
        <v>0</v>
      </c>
      <c r="L224" s="403">
        <f t="shared" si="6"/>
        <v>0</v>
      </c>
      <c r="N224" s="403" t="s">
        <v>801</v>
      </c>
      <c r="O224" s="403">
        <f t="shared" si="7"/>
        <v>0</v>
      </c>
    </row>
    <row r="225" spans="1:15">
      <c r="A225" s="403" t="s">
        <v>605</v>
      </c>
      <c r="B225" s="403" t="s">
        <v>123</v>
      </c>
      <c r="C225" s="403" t="s">
        <v>124</v>
      </c>
      <c r="D225" s="407">
        <v>572</v>
      </c>
      <c r="E225" s="407">
        <v>567</v>
      </c>
      <c r="F225" s="407">
        <v>558</v>
      </c>
      <c r="G225" s="408">
        <v>536</v>
      </c>
      <c r="H225" s="408">
        <v>551</v>
      </c>
      <c r="I225" s="408">
        <v>555</v>
      </c>
      <c r="J225" s="408">
        <v>558</v>
      </c>
      <c r="K225" s="408">
        <v>561</v>
      </c>
      <c r="L225" s="403">
        <f t="shared" si="6"/>
        <v>557.25</v>
      </c>
      <c r="N225" s="403" t="s">
        <v>621</v>
      </c>
      <c r="O225" s="403">
        <f t="shared" si="7"/>
        <v>1</v>
      </c>
    </row>
    <row r="226" spans="1:15">
      <c r="A226" s="403" t="s">
        <v>595</v>
      </c>
      <c r="B226" s="403" t="s">
        <v>375</v>
      </c>
      <c r="C226" s="403" t="s">
        <v>614</v>
      </c>
      <c r="D226" s="407">
        <v>27</v>
      </c>
      <c r="E226" s="407">
        <v>31</v>
      </c>
      <c r="F226" s="407">
        <v>29</v>
      </c>
      <c r="G226" s="408">
        <v>29</v>
      </c>
      <c r="H226" s="408">
        <v>29</v>
      </c>
      <c r="I226" s="408">
        <v>33</v>
      </c>
      <c r="J226" s="408">
        <v>33</v>
      </c>
      <c r="K226" s="408">
        <v>32</v>
      </c>
      <c r="L226" s="403">
        <f t="shared" si="6"/>
        <v>30.38</v>
      </c>
      <c r="N226" s="403" t="s">
        <v>621</v>
      </c>
      <c r="O226" s="403">
        <f t="shared" si="7"/>
        <v>1</v>
      </c>
    </row>
    <row r="227" spans="1:15">
      <c r="A227" s="403" t="s">
        <v>594</v>
      </c>
      <c r="B227" s="403" t="s">
        <v>149</v>
      </c>
      <c r="C227" s="403" t="s">
        <v>150</v>
      </c>
      <c r="D227" s="407">
        <v>0</v>
      </c>
      <c r="E227" s="407">
        <v>0</v>
      </c>
      <c r="F227" s="407">
        <v>0</v>
      </c>
      <c r="G227" s="408">
        <v>0</v>
      </c>
      <c r="H227" s="408">
        <v>0</v>
      </c>
      <c r="I227" s="408">
        <v>0</v>
      </c>
      <c r="J227" s="408">
        <v>0</v>
      </c>
      <c r="K227" s="408">
        <v>0</v>
      </c>
      <c r="L227" s="403">
        <f t="shared" si="6"/>
        <v>0</v>
      </c>
      <c r="N227" s="403" t="s">
        <v>801</v>
      </c>
      <c r="O227" s="403">
        <f t="shared" si="7"/>
        <v>0</v>
      </c>
    </row>
    <row r="228" spans="1:15">
      <c r="A228" s="403" t="s">
        <v>597</v>
      </c>
      <c r="B228" s="403" t="s">
        <v>173</v>
      </c>
      <c r="C228" s="403" t="s">
        <v>174</v>
      </c>
      <c r="D228" s="407">
        <v>5248</v>
      </c>
      <c r="E228" s="407">
        <v>5295</v>
      </c>
      <c r="F228" s="407">
        <v>5319</v>
      </c>
      <c r="G228" s="408">
        <v>5329</v>
      </c>
      <c r="H228" s="408">
        <v>5351</v>
      </c>
      <c r="I228" s="408">
        <v>5381</v>
      </c>
      <c r="J228" s="408">
        <v>5396</v>
      </c>
      <c r="K228" s="408">
        <v>5407</v>
      </c>
      <c r="L228" s="403">
        <f t="shared" si="6"/>
        <v>5340.75</v>
      </c>
      <c r="N228" s="403" t="s">
        <v>621</v>
      </c>
      <c r="O228" s="403">
        <f t="shared" si="7"/>
        <v>1</v>
      </c>
    </row>
    <row r="229" spans="1:15">
      <c r="A229" s="403" t="s">
        <v>595</v>
      </c>
      <c r="B229" s="403" t="s">
        <v>379</v>
      </c>
      <c r="C229" s="403" t="s">
        <v>615</v>
      </c>
      <c r="D229" s="407">
        <v>222</v>
      </c>
      <c r="E229" s="407">
        <v>224</v>
      </c>
      <c r="F229" s="407">
        <v>226</v>
      </c>
      <c r="G229" s="408">
        <v>222</v>
      </c>
      <c r="H229" s="408">
        <v>228</v>
      </c>
      <c r="I229" s="408">
        <v>232</v>
      </c>
      <c r="J229" s="408">
        <v>229</v>
      </c>
      <c r="K229" s="408">
        <v>224</v>
      </c>
      <c r="L229" s="403">
        <f t="shared" si="6"/>
        <v>225.88</v>
      </c>
      <c r="N229" s="403" t="s">
        <v>621</v>
      </c>
      <c r="O229" s="403">
        <f t="shared" si="7"/>
        <v>1</v>
      </c>
    </row>
    <row r="230" spans="1:15">
      <c r="A230" s="403" t="s">
        <v>605</v>
      </c>
      <c r="B230" s="403" t="s">
        <v>551</v>
      </c>
      <c r="C230" s="403" t="s">
        <v>552</v>
      </c>
      <c r="D230" s="407">
        <v>180</v>
      </c>
      <c r="E230" s="407">
        <v>178</v>
      </c>
      <c r="F230" s="407">
        <v>174</v>
      </c>
      <c r="G230" s="408">
        <v>170</v>
      </c>
      <c r="H230" s="408">
        <v>168</v>
      </c>
      <c r="I230" s="408">
        <v>172</v>
      </c>
      <c r="J230" s="408">
        <v>173</v>
      </c>
      <c r="K230" s="408">
        <v>178</v>
      </c>
      <c r="L230" s="403">
        <f t="shared" si="6"/>
        <v>174.13</v>
      </c>
      <c r="N230" s="403" t="s">
        <v>621</v>
      </c>
      <c r="O230" s="403">
        <f t="shared" si="7"/>
        <v>1</v>
      </c>
    </row>
    <row r="231" spans="1:15">
      <c r="A231" s="403" t="s">
        <v>603</v>
      </c>
      <c r="B231" s="403" t="s">
        <v>340</v>
      </c>
      <c r="C231" s="403" t="s">
        <v>341</v>
      </c>
      <c r="D231" s="407">
        <v>0</v>
      </c>
      <c r="E231" s="407">
        <v>0</v>
      </c>
      <c r="F231" s="407">
        <v>0</v>
      </c>
      <c r="G231" s="408">
        <v>0</v>
      </c>
      <c r="H231" s="408">
        <v>0</v>
      </c>
      <c r="I231" s="408">
        <v>0</v>
      </c>
      <c r="J231" s="408">
        <v>0</v>
      </c>
      <c r="K231" s="408">
        <v>0</v>
      </c>
      <c r="L231" s="403">
        <f t="shared" si="6"/>
        <v>0</v>
      </c>
      <c r="N231" s="403" t="s">
        <v>801</v>
      </c>
      <c r="O231" s="403">
        <f t="shared" si="7"/>
        <v>0</v>
      </c>
    </row>
    <row r="232" spans="1:15">
      <c r="A232" s="403" t="s">
        <v>600</v>
      </c>
      <c r="B232" s="403" t="s">
        <v>43</v>
      </c>
      <c r="C232" s="403" t="s">
        <v>44</v>
      </c>
      <c r="D232" s="407">
        <v>40</v>
      </c>
      <c r="E232" s="407">
        <v>38</v>
      </c>
      <c r="F232" s="407">
        <v>38</v>
      </c>
      <c r="G232" s="408">
        <v>42</v>
      </c>
      <c r="H232" s="408">
        <v>40</v>
      </c>
      <c r="I232" s="408">
        <v>39</v>
      </c>
      <c r="J232" s="408">
        <v>37</v>
      </c>
      <c r="K232" s="408">
        <v>37</v>
      </c>
      <c r="L232" s="403">
        <f t="shared" si="6"/>
        <v>38.880000000000003</v>
      </c>
      <c r="N232" s="403" t="s">
        <v>621</v>
      </c>
      <c r="O232" s="403">
        <f t="shared" si="7"/>
        <v>1</v>
      </c>
    </row>
    <row r="233" spans="1:15">
      <c r="A233" s="403" t="s">
        <v>595</v>
      </c>
      <c r="B233" s="403" t="s">
        <v>371</v>
      </c>
      <c r="C233" s="403" t="s">
        <v>670</v>
      </c>
      <c r="D233" s="407">
        <v>0</v>
      </c>
      <c r="E233" s="407">
        <v>0</v>
      </c>
      <c r="F233" s="407">
        <v>0</v>
      </c>
      <c r="G233" s="408">
        <v>0</v>
      </c>
      <c r="H233" s="408">
        <v>0</v>
      </c>
      <c r="I233" s="408">
        <v>0</v>
      </c>
      <c r="J233" s="408">
        <v>0</v>
      </c>
      <c r="K233" s="408">
        <v>0</v>
      </c>
      <c r="L233" s="403">
        <f t="shared" si="6"/>
        <v>0</v>
      </c>
      <c r="N233" s="403" t="s">
        <v>801</v>
      </c>
      <c r="O233" s="403">
        <f t="shared" si="7"/>
        <v>0</v>
      </c>
    </row>
    <row r="234" spans="1:15">
      <c r="A234" s="403" t="s">
        <v>594</v>
      </c>
      <c r="B234" s="403" t="s">
        <v>299</v>
      </c>
      <c r="C234" s="403" t="s">
        <v>300</v>
      </c>
      <c r="D234" s="407">
        <v>268</v>
      </c>
      <c r="E234" s="407">
        <v>272</v>
      </c>
      <c r="F234" s="407">
        <v>271</v>
      </c>
      <c r="G234" s="408">
        <v>272</v>
      </c>
      <c r="H234" s="408">
        <v>273</v>
      </c>
      <c r="I234" s="408">
        <v>277</v>
      </c>
      <c r="J234" s="408">
        <v>277</v>
      </c>
      <c r="K234" s="408">
        <v>276</v>
      </c>
      <c r="L234" s="403">
        <f t="shared" si="6"/>
        <v>273.25</v>
      </c>
      <c r="N234" s="403" t="s">
        <v>621</v>
      </c>
      <c r="O234" s="403">
        <f t="shared" si="7"/>
        <v>1</v>
      </c>
    </row>
    <row r="235" spans="1:15">
      <c r="A235" s="403" t="s">
        <v>597</v>
      </c>
      <c r="B235" s="403" t="s">
        <v>203</v>
      </c>
      <c r="C235" s="403" t="s">
        <v>204</v>
      </c>
      <c r="D235" s="407">
        <v>561</v>
      </c>
      <c r="E235" s="407">
        <v>570</v>
      </c>
      <c r="F235" s="407">
        <v>569</v>
      </c>
      <c r="G235" s="408">
        <v>560</v>
      </c>
      <c r="H235" s="408">
        <v>556</v>
      </c>
      <c r="I235" s="408">
        <v>556</v>
      </c>
      <c r="J235" s="408">
        <v>561</v>
      </c>
      <c r="K235" s="408">
        <v>574</v>
      </c>
      <c r="L235" s="403">
        <f t="shared" si="6"/>
        <v>563.38</v>
      </c>
      <c r="N235" s="403" t="s">
        <v>621</v>
      </c>
      <c r="O235" s="403">
        <f t="shared" si="7"/>
        <v>1</v>
      </c>
    </row>
    <row r="236" spans="1:15">
      <c r="A236" s="403" t="s">
        <v>599</v>
      </c>
      <c r="B236" s="403" t="s">
        <v>387</v>
      </c>
      <c r="C236" s="403" t="s">
        <v>388</v>
      </c>
      <c r="D236" s="407">
        <v>0</v>
      </c>
      <c r="E236" s="407">
        <v>0</v>
      </c>
      <c r="F236" s="407">
        <v>0</v>
      </c>
      <c r="G236" s="408">
        <v>0</v>
      </c>
      <c r="H236" s="408">
        <v>0</v>
      </c>
      <c r="I236" s="408">
        <v>0</v>
      </c>
      <c r="J236" s="408">
        <v>0</v>
      </c>
      <c r="K236" s="408">
        <v>0</v>
      </c>
      <c r="L236" s="403">
        <f t="shared" si="6"/>
        <v>0</v>
      </c>
      <c r="N236" s="403" t="s">
        <v>801</v>
      </c>
      <c r="O236" s="403">
        <f t="shared" si="7"/>
        <v>0</v>
      </c>
    </row>
    <row r="237" spans="1:15">
      <c r="A237" s="403" t="s">
        <v>597</v>
      </c>
      <c r="B237" s="403" t="s">
        <v>187</v>
      </c>
      <c r="C237" s="403" t="s">
        <v>188</v>
      </c>
      <c r="D237" s="407">
        <v>0</v>
      </c>
      <c r="E237" s="407">
        <v>0</v>
      </c>
      <c r="F237" s="407">
        <v>0</v>
      </c>
      <c r="G237" s="408">
        <v>0</v>
      </c>
      <c r="H237" s="408">
        <v>0</v>
      </c>
      <c r="I237" s="408">
        <v>0</v>
      </c>
      <c r="J237" s="408">
        <v>0</v>
      </c>
      <c r="K237" s="408">
        <v>0</v>
      </c>
      <c r="L237" s="403">
        <f t="shared" si="6"/>
        <v>0</v>
      </c>
      <c r="N237" s="403" t="s">
        <v>801</v>
      </c>
      <c r="O237" s="403">
        <f t="shared" si="7"/>
        <v>0</v>
      </c>
    </row>
    <row r="238" spans="1:15">
      <c r="A238" s="403" t="s">
        <v>595</v>
      </c>
      <c r="B238" s="403" t="s">
        <v>411</v>
      </c>
      <c r="C238" s="403" t="s">
        <v>412</v>
      </c>
      <c r="D238" s="407">
        <v>226</v>
      </c>
      <c r="E238" s="407">
        <v>230</v>
      </c>
      <c r="F238" s="407">
        <v>232</v>
      </c>
      <c r="G238" s="408">
        <v>230</v>
      </c>
      <c r="H238" s="408">
        <v>232</v>
      </c>
      <c r="I238" s="408">
        <v>236</v>
      </c>
      <c r="J238" s="408">
        <v>233</v>
      </c>
      <c r="K238" s="408">
        <v>231</v>
      </c>
      <c r="L238" s="403">
        <f t="shared" si="6"/>
        <v>231.25</v>
      </c>
      <c r="N238" s="403" t="s">
        <v>621</v>
      </c>
      <c r="O238" s="403">
        <f t="shared" si="7"/>
        <v>1</v>
      </c>
    </row>
    <row r="239" spans="1:15">
      <c r="A239" s="403" t="s">
        <v>597</v>
      </c>
      <c r="B239" s="403" t="s">
        <v>199</v>
      </c>
      <c r="C239" s="403" t="s">
        <v>200</v>
      </c>
      <c r="D239" s="407">
        <v>81</v>
      </c>
      <c r="E239" s="407">
        <v>86</v>
      </c>
      <c r="F239" s="407">
        <v>91</v>
      </c>
      <c r="G239" s="408">
        <v>91</v>
      </c>
      <c r="H239" s="408">
        <v>92</v>
      </c>
      <c r="I239" s="408">
        <v>94</v>
      </c>
      <c r="J239" s="408">
        <v>94</v>
      </c>
      <c r="K239" s="408">
        <v>92</v>
      </c>
      <c r="L239" s="403">
        <f t="shared" si="6"/>
        <v>90.13</v>
      </c>
      <c r="N239" s="403" t="s">
        <v>621</v>
      </c>
      <c r="O239" s="403">
        <f t="shared" si="7"/>
        <v>1</v>
      </c>
    </row>
    <row r="240" spans="1:15">
      <c r="A240" s="403" t="s">
        <v>601</v>
      </c>
      <c r="B240" s="403" t="s">
        <v>121</v>
      </c>
      <c r="C240" s="403" t="s">
        <v>122</v>
      </c>
      <c r="D240" s="407">
        <v>93</v>
      </c>
      <c r="E240" s="407">
        <v>92</v>
      </c>
      <c r="F240" s="407">
        <v>93</v>
      </c>
      <c r="G240" s="408">
        <v>93</v>
      </c>
      <c r="H240" s="408">
        <v>91</v>
      </c>
      <c r="I240" s="408">
        <v>90</v>
      </c>
      <c r="J240" s="408">
        <v>95</v>
      </c>
      <c r="K240" s="408">
        <v>95</v>
      </c>
      <c r="L240" s="403">
        <f t="shared" si="6"/>
        <v>92.75</v>
      </c>
      <c r="N240" s="403" t="s">
        <v>621</v>
      </c>
      <c r="O240" s="403">
        <f t="shared" si="7"/>
        <v>1</v>
      </c>
    </row>
    <row r="241" spans="1:15">
      <c r="A241" s="403" t="s">
        <v>594</v>
      </c>
      <c r="B241" s="403" t="s">
        <v>329</v>
      </c>
      <c r="C241" s="403" t="s">
        <v>330</v>
      </c>
      <c r="D241" s="407">
        <v>87</v>
      </c>
      <c r="E241" s="407">
        <v>86</v>
      </c>
      <c r="F241" s="407">
        <v>84</v>
      </c>
      <c r="G241" s="408">
        <v>84</v>
      </c>
      <c r="H241" s="408">
        <v>85</v>
      </c>
      <c r="I241" s="408">
        <v>84</v>
      </c>
      <c r="J241" s="408">
        <v>84</v>
      </c>
      <c r="K241" s="408">
        <v>85</v>
      </c>
      <c r="L241" s="403">
        <f t="shared" si="6"/>
        <v>84.88</v>
      </c>
      <c r="N241" s="403" t="s">
        <v>621</v>
      </c>
      <c r="O241" s="403">
        <f t="shared" si="7"/>
        <v>1</v>
      </c>
    </row>
    <row r="242" spans="1:15">
      <c r="A242" s="403" t="s">
        <v>600</v>
      </c>
      <c r="B242" s="403" t="s">
        <v>218</v>
      </c>
      <c r="C242" s="403" t="s">
        <v>219</v>
      </c>
      <c r="D242" s="407">
        <v>56</v>
      </c>
      <c r="E242" s="407">
        <v>59</v>
      </c>
      <c r="F242" s="407">
        <v>64</v>
      </c>
      <c r="G242" s="408">
        <v>64</v>
      </c>
      <c r="H242" s="408">
        <v>64</v>
      </c>
      <c r="I242" s="408">
        <v>64</v>
      </c>
      <c r="J242" s="408">
        <v>64</v>
      </c>
      <c r="K242" s="408">
        <v>65</v>
      </c>
      <c r="L242" s="403">
        <f t="shared" si="6"/>
        <v>62.5</v>
      </c>
      <c r="N242" s="403" t="s">
        <v>621</v>
      </c>
      <c r="O242" s="403">
        <f t="shared" si="7"/>
        <v>1</v>
      </c>
    </row>
    <row r="243" spans="1:15">
      <c r="A243" s="403" t="s">
        <v>595</v>
      </c>
      <c r="B243" s="403" t="s">
        <v>161</v>
      </c>
      <c r="C243" s="403" t="s">
        <v>162</v>
      </c>
      <c r="D243" s="407">
        <v>14</v>
      </c>
      <c r="E243" s="407">
        <v>11</v>
      </c>
      <c r="F243" s="407">
        <v>11</v>
      </c>
      <c r="G243" s="408">
        <v>10</v>
      </c>
      <c r="H243" s="408">
        <v>7</v>
      </c>
      <c r="I243" s="408">
        <v>9</v>
      </c>
      <c r="J243" s="408">
        <v>8</v>
      </c>
      <c r="K243" s="408">
        <v>8</v>
      </c>
      <c r="L243" s="403">
        <f t="shared" si="6"/>
        <v>9.75</v>
      </c>
      <c r="N243" s="403" t="s">
        <v>621</v>
      </c>
      <c r="O243" s="403">
        <f t="shared" si="7"/>
        <v>1</v>
      </c>
    </row>
    <row r="244" spans="1:15">
      <c r="A244" s="403" t="s">
        <v>594</v>
      </c>
      <c r="B244" s="403" t="s">
        <v>295</v>
      </c>
      <c r="C244" s="403" t="s">
        <v>296</v>
      </c>
      <c r="D244" s="407">
        <v>3</v>
      </c>
      <c r="E244" s="407">
        <v>3</v>
      </c>
      <c r="F244" s="407">
        <v>3</v>
      </c>
      <c r="G244" s="408">
        <v>3</v>
      </c>
      <c r="H244" s="408">
        <v>3</v>
      </c>
      <c r="I244" s="408">
        <v>3</v>
      </c>
      <c r="J244" s="408">
        <v>3</v>
      </c>
      <c r="K244" s="408">
        <v>3</v>
      </c>
      <c r="L244" s="403">
        <f t="shared" si="6"/>
        <v>3</v>
      </c>
      <c r="N244" s="403" t="s">
        <v>801</v>
      </c>
      <c r="O244" s="403">
        <f t="shared" si="7"/>
        <v>1</v>
      </c>
    </row>
    <row r="245" spans="1:15">
      <c r="A245" s="403" t="s">
        <v>603</v>
      </c>
      <c r="B245" s="403" t="s">
        <v>422</v>
      </c>
      <c r="C245" s="403" t="s">
        <v>423</v>
      </c>
      <c r="D245" s="407">
        <v>1062</v>
      </c>
      <c r="E245" s="407">
        <v>1077</v>
      </c>
      <c r="F245" s="407">
        <v>1085</v>
      </c>
      <c r="G245" s="408">
        <v>1086</v>
      </c>
      <c r="H245" s="408">
        <v>1094</v>
      </c>
      <c r="I245" s="408">
        <v>1095</v>
      </c>
      <c r="J245" s="408">
        <v>1092</v>
      </c>
      <c r="K245" s="408">
        <v>1102</v>
      </c>
      <c r="L245" s="403">
        <f t="shared" si="6"/>
        <v>1086.6300000000001</v>
      </c>
      <c r="N245" s="403" t="s">
        <v>621</v>
      </c>
      <c r="O245" s="403">
        <f t="shared" si="7"/>
        <v>1</v>
      </c>
    </row>
    <row r="246" spans="1:15">
      <c r="A246" s="403" t="s">
        <v>603</v>
      </c>
      <c r="B246" s="403" t="s">
        <v>280</v>
      </c>
      <c r="C246" s="403" t="s">
        <v>281</v>
      </c>
      <c r="D246" s="407">
        <v>0</v>
      </c>
      <c r="E246" s="407">
        <v>0</v>
      </c>
      <c r="F246" s="407">
        <v>0</v>
      </c>
      <c r="G246" s="408">
        <v>0</v>
      </c>
      <c r="H246" s="408">
        <v>0</v>
      </c>
      <c r="I246" s="408">
        <v>0</v>
      </c>
      <c r="J246" s="408">
        <v>0</v>
      </c>
      <c r="K246" s="408">
        <v>0</v>
      </c>
      <c r="L246" s="403">
        <f t="shared" si="6"/>
        <v>0</v>
      </c>
      <c r="N246" s="403" t="s">
        <v>801</v>
      </c>
      <c r="O246" s="403">
        <f t="shared" si="7"/>
        <v>0</v>
      </c>
    </row>
    <row r="247" spans="1:15">
      <c r="A247" s="403" t="s">
        <v>603</v>
      </c>
      <c r="B247" s="403" t="s">
        <v>539</v>
      </c>
      <c r="C247" s="403" t="s">
        <v>540</v>
      </c>
      <c r="D247" s="407">
        <v>0</v>
      </c>
      <c r="E247" s="407">
        <v>0</v>
      </c>
      <c r="F247" s="407">
        <v>0</v>
      </c>
      <c r="G247" s="408">
        <v>0</v>
      </c>
      <c r="H247" s="408">
        <v>0</v>
      </c>
      <c r="I247" s="408">
        <v>0</v>
      </c>
      <c r="J247" s="408">
        <v>0</v>
      </c>
      <c r="K247" s="408">
        <v>0</v>
      </c>
      <c r="L247" s="403">
        <f t="shared" si="6"/>
        <v>0</v>
      </c>
      <c r="N247" s="403" t="s">
        <v>801</v>
      </c>
      <c r="O247" s="403">
        <f t="shared" si="7"/>
        <v>0</v>
      </c>
    </row>
    <row r="248" spans="1:15">
      <c r="A248" s="403" t="s">
        <v>595</v>
      </c>
      <c r="B248" s="403" t="s">
        <v>421</v>
      </c>
      <c r="C248" s="403" t="s">
        <v>616</v>
      </c>
      <c r="D248" s="407">
        <v>76</v>
      </c>
      <c r="E248" s="407">
        <v>74</v>
      </c>
      <c r="F248" s="407">
        <v>74</v>
      </c>
      <c r="G248" s="408">
        <v>74</v>
      </c>
      <c r="H248" s="408">
        <v>77</v>
      </c>
      <c r="I248" s="408">
        <v>78</v>
      </c>
      <c r="J248" s="408">
        <v>79</v>
      </c>
      <c r="K248" s="408">
        <v>78</v>
      </c>
      <c r="L248" s="403">
        <f t="shared" si="6"/>
        <v>76.25</v>
      </c>
      <c r="N248" s="403" t="s">
        <v>621</v>
      </c>
      <c r="O248" s="403">
        <f t="shared" si="7"/>
        <v>1</v>
      </c>
    </row>
    <row r="249" spans="1:15">
      <c r="A249" s="403" t="s">
        <v>596</v>
      </c>
      <c r="B249" s="403" t="s">
        <v>108</v>
      </c>
      <c r="C249" s="403" t="s">
        <v>109</v>
      </c>
      <c r="D249" s="407">
        <v>0</v>
      </c>
      <c r="E249" s="407">
        <v>0</v>
      </c>
      <c r="F249" s="407">
        <v>0</v>
      </c>
      <c r="G249" s="408">
        <v>0</v>
      </c>
      <c r="H249" s="408">
        <v>0</v>
      </c>
      <c r="I249" s="408">
        <v>0</v>
      </c>
      <c r="J249" s="408">
        <v>0</v>
      </c>
      <c r="K249" s="408">
        <v>0</v>
      </c>
      <c r="L249" s="403">
        <f t="shared" si="6"/>
        <v>0</v>
      </c>
      <c r="N249" s="403" t="s">
        <v>801</v>
      </c>
      <c r="O249" s="403">
        <f t="shared" si="7"/>
        <v>0</v>
      </c>
    </row>
    <row r="250" spans="1:15">
      <c r="A250" s="403" t="s">
        <v>596</v>
      </c>
      <c r="B250" s="403" t="s">
        <v>68</v>
      </c>
      <c r="C250" s="403" t="s">
        <v>69</v>
      </c>
      <c r="D250" s="407">
        <v>0</v>
      </c>
      <c r="E250" s="407">
        <v>0</v>
      </c>
      <c r="F250" s="407">
        <v>0</v>
      </c>
      <c r="G250" s="408">
        <v>0</v>
      </c>
      <c r="H250" s="408">
        <v>0</v>
      </c>
      <c r="I250" s="408">
        <v>0</v>
      </c>
      <c r="J250" s="408">
        <v>0</v>
      </c>
      <c r="K250" s="408">
        <v>0</v>
      </c>
      <c r="L250" s="403">
        <f t="shared" si="6"/>
        <v>0</v>
      </c>
      <c r="N250" s="403" t="s">
        <v>801</v>
      </c>
      <c r="O250" s="403">
        <f t="shared" si="7"/>
        <v>0</v>
      </c>
    </row>
    <row r="251" spans="1:15">
      <c r="A251" s="403" t="s">
        <v>601</v>
      </c>
      <c r="B251" s="403" t="s">
        <v>27</v>
      </c>
      <c r="C251" s="403" t="s">
        <v>28</v>
      </c>
      <c r="D251" s="407">
        <v>0</v>
      </c>
      <c r="E251" s="407">
        <v>0</v>
      </c>
      <c r="F251" s="407">
        <v>0</v>
      </c>
      <c r="G251" s="408">
        <v>0</v>
      </c>
      <c r="H251" s="408">
        <v>0</v>
      </c>
      <c r="I251" s="408">
        <v>0</v>
      </c>
      <c r="J251" s="408">
        <v>0</v>
      </c>
      <c r="K251" s="408">
        <v>0</v>
      </c>
      <c r="L251" s="403">
        <f t="shared" si="6"/>
        <v>0</v>
      </c>
      <c r="N251" s="403" t="s">
        <v>801</v>
      </c>
      <c r="O251" s="403">
        <f t="shared" si="7"/>
        <v>0</v>
      </c>
    </row>
    <row r="252" spans="1:15">
      <c r="A252" s="403" t="s">
        <v>597</v>
      </c>
      <c r="B252" s="403" t="s">
        <v>342</v>
      </c>
      <c r="C252" s="403" t="s">
        <v>617</v>
      </c>
      <c r="D252" s="407">
        <v>77</v>
      </c>
      <c r="E252" s="407">
        <v>67</v>
      </c>
      <c r="F252" s="407">
        <v>75</v>
      </c>
      <c r="G252" s="408">
        <v>73</v>
      </c>
      <c r="H252" s="408">
        <v>77</v>
      </c>
      <c r="I252" s="408">
        <v>76</v>
      </c>
      <c r="J252" s="408">
        <v>77</v>
      </c>
      <c r="K252" s="408">
        <v>77</v>
      </c>
      <c r="L252" s="403">
        <f t="shared" si="6"/>
        <v>74.88</v>
      </c>
      <c r="N252" s="403" t="s">
        <v>621</v>
      </c>
      <c r="O252" s="403">
        <f t="shared" si="7"/>
        <v>1</v>
      </c>
    </row>
    <row r="253" spans="1:15">
      <c r="A253" s="403" t="s">
        <v>603</v>
      </c>
      <c r="B253" s="403" t="s">
        <v>531</v>
      </c>
      <c r="C253" s="403" t="s">
        <v>532</v>
      </c>
      <c r="D253" s="407">
        <v>0</v>
      </c>
      <c r="E253" s="407">
        <v>0</v>
      </c>
      <c r="F253" s="407">
        <v>0</v>
      </c>
      <c r="G253" s="408">
        <v>0</v>
      </c>
      <c r="H253" s="408">
        <v>0</v>
      </c>
      <c r="I253" s="408">
        <v>0</v>
      </c>
      <c r="J253" s="408">
        <v>0</v>
      </c>
      <c r="K253" s="408">
        <v>0</v>
      </c>
      <c r="L253" s="403">
        <f t="shared" si="6"/>
        <v>0</v>
      </c>
      <c r="N253" s="403" t="s">
        <v>801</v>
      </c>
      <c r="O253" s="403">
        <f t="shared" si="7"/>
        <v>0</v>
      </c>
    </row>
    <row r="254" spans="1:15">
      <c r="A254" s="403" t="s">
        <v>599</v>
      </c>
      <c r="B254" s="403" t="s">
        <v>393</v>
      </c>
      <c r="C254" s="403" t="s">
        <v>394</v>
      </c>
      <c r="D254" s="407">
        <v>21</v>
      </c>
      <c r="E254" s="407">
        <v>21</v>
      </c>
      <c r="F254" s="407">
        <v>21</v>
      </c>
      <c r="G254" s="408">
        <v>21</v>
      </c>
      <c r="H254" s="408">
        <v>21</v>
      </c>
      <c r="I254" s="408">
        <v>21</v>
      </c>
      <c r="J254" s="408">
        <v>21</v>
      </c>
      <c r="K254" s="408">
        <v>21</v>
      </c>
      <c r="L254" s="403">
        <f t="shared" si="6"/>
        <v>21</v>
      </c>
      <c r="N254" s="403" t="s">
        <v>621</v>
      </c>
      <c r="O254" s="403">
        <f t="shared" si="7"/>
        <v>1</v>
      </c>
    </row>
    <row r="255" spans="1:15">
      <c r="A255" s="403" t="s">
        <v>595</v>
      </c>
      <c r="B255" s="403" t="s">
        <v>415</v>
      </c>
      <c r="C255" s="403" t="s">
        <v>416</v>
      </c>
      <c r="D255" s="407">
        <v>95</v>
      </c>
      <c r="E255" s="407">
        <v>99</v>
      </c>
      <c r="F255" s="407">
        <v>99</v>
      </c>
      <c r="G255" s="408">
        <v>101</v>
      </c>
      <c r="H255" s="408">
        <v>106</v>
      </c>
      <c r="I255" s="408">
        <v>108</v>
      </c>
      <c r="J255" s="408">
        <v>106</v>
      </c>
      <c r="K255" s="408">
        <v>104</v>
      </c>
      <c r="L255" s="403">
        <f t="shared" si="6"/>
        <v>102.25</v>
      </c>
      <c r="N255" s="403" t="s">
        <v>621</v>
      </c>
      <c r="O255" s="403">
        <f t="shared" si="7"/>
        <v>1</v>
      </c>
    </row>
    <row r="256" spans="1:15">
      <c r="A256" s="403" t="s">
        <v>603</v>
      </c>
      <c r="B256" s="403" t="s">
        <v>460</v>
      </c>
      <c r="C256" s="403" t="s">
        <v>461</v>
      </c>
      <c r="D256" s="407">
        <v>0</v>
      </c>
      <c r="E256" s="407">
        <v>0</v>
      </c>
      <c r="F256" s="407">
        <v>0</v>
      </c>
      <c r="G256" s="408">
        <v>0</v>
      </c>
      <c r="H256" s="408">
        <v>0</v>
      </c>
      <c r="I256" s="408">
        <v>0</v>
      </c>
      <c r="J256" s="408">
        <v>0</v>
      </c>
      <c r="K256" s="408">
        <v>0</v>
      </c>
      <c r="L256" s="403">
        <f t="shared" si="6"/>
        <v>0</v>
      </c>
      <c r="N256" s="403" t="s">
        <v>801</v>
      </c>
      <c r="O256" s="403">
        <f t="shared" si="7"/>
        <v>0</v>
      </c>
    </row>
    <row r="257" spans="1:15">
      <c r="A257" s="403" t="s">
        <v>597</v>
      </c>
      <c r="B257" s="403" t="s">
        <v>351</v>
      </c>
      <c r="C257" s="403" t="s">
        <v>352</v>
      </c>
      <c r="D257" s="407">
        <v>206</v>
      </c>
      <c r="E257" s="407">
        <v>209</v>
      </c>
      <c r="F257" s="407">
        <v>213</v>
      </c>
      <c r="G257" s="408">
        <v>212</v>
      </c>
      <c r="H257" s="408">
        <v>205</v>
      </c>
      <c r="I257" s="408">
        <v>203</v>
      </c>
      <c r="J257" s="408">
        <v>203</v>
      </c>
      <c r="K257" s="408">
        <v>204</v>
      </c>
      <c r="L257" s="403">
        <f t="shared" si="6"/>
        <v>206.88</v>
      </c>
      <c r="N257" s="403" t="s">
        <v>621</v>
      </c>
      <c r="O257" s="403">
        <f t="shared" si="7"/>
        <v>1</v>
      </c>
    </row>
    <row r="258" spans="1:15">
      <c r="A258" s="403" t="s">
        <v>605</v>
      </c>
      <c r="B258" s="403" t="s">
        <v>557</v>
      </c>
      <c r="C258" s="403" t="s">
        <v>558</v>
      </c>
      <c r="D258" s="407">
        <v>1652</v>
      </c>
      <c r="E258" s="407">
        <v>1690</v>
      </c>
      <c r="F258" s="407">
        <v>1694</v>
      </c>
      <c r="G258" s="408">
        <v>1676</v>
      </c>
      <c r="H258" s="408">
        <v>1662</v>
      </c>
      <c r="I258" s="408">
        <v>1657</v>
      </c>
      <c r="J258" s="408">
        <v>1638</v>
      </c>
      <c r="K258" s="408">
        <v>1642</v>
      </c>
      <c r="L258" s="403">
        <f t="shared" si="6"/>
        <v>1663.88</v>
      </c>
      <c r="N258" s="403" t="s">
        <v>621</v>
      </c>
      <c r="O258" s="403">
        <f t="shared" si="7"/>
        <v>1</v>
      </c>
    </row>
    <row r="259" spans="1:15">
      <c r="A259" s="403" t="s">
        <v>597</v>
      </c>
      <c r="B259" s="403" t="s">
        <v>345</v>
      </c>
      <c r="C259" s="403" t="s">
        <v>346</v>
      </c>
      <c r="D259" s="407">
        <v>1878</v>
      </c>
      <c r="E259" s="407">
        <v>1884</v>
      </c>
      <c r="F259" s="407">
        <v>1900</v>
      </c>
      <c r="G259" s="408">
        <v>1872</v>
      </c>
      <c r="H259" s="408">
        <v>1847</v>
      </c>
      <c r="I259" s="408">
        <v>1828</v>
      </c>
      <c r="J259" s="408">
        <v>1854</v>
      </c>
      <c r="K259" s="408">
        <v>1866</v>
      </c>
      <c r="L259" s="403">
        <f t="shared" si="6"/>
        <v>1866.13</v>
      </c>
      <c r="N259" s="403" t="s">
        <v>621</v>
      </c>
      <c r="O259" s="403">
        <f t="shared" si="7"/>
        <v>1</v>
      </c>
    </row>
    <row r="260" spans="1:15">
      <c r="A260" s="403" t="s">
        <v>594</v>
      </c>
      <c r="B260" s="403" t="s">
        <v>143</v>
      </c>
      <c r="C260" s="403" t="s">
        <v>144</v>
      </c>
      <c r="D260" s="407">
        <v>0</v>
      </c>
      <c r="E260" s="407">
        <v>0</v>
      </c>
      <c r="F260" s="407">
        <v>0</v>
      </c>
      <c r="G260" s="408">
        <v>0</v>
      </c>
      <c r="H260" s="408">
        <v>0</v>
      </c>
      <c r="I260" s="408">
        <v>0</v>
      </c>
      <c r="J260" s="408">
        <v>0</v>
      </c>
      <c r="K260" s="408">
        <v>0</v>
      </c>
      <c r="L260" s="403">
        <f t="shared" si="6"/>
        <v>0</v>
      </c>
      <c r="N260" s="403" t="s">
        <v>801</v>
      </c>
      <c r="O260" s="403">
        <f t="shared" si="7"/>
        <v>0</v>
      </c>
    </row>
    <row r="261" spans="1:15">
      <c r="A261" s="403" t="s">
        <v>597</v>
      </c>
      <c r="B261" s="403" t="s">
        <v>197</v>
      </c>
      <c r="C261" s="403" t="s">
        <v>198</v>
      </c>
      <c r="D261" s="407">
        <v>157</v>
      </c>
      <c r="E261" s="407">
        <v>160</v>
      </c>
      <c r="F261" s="407">
        <v>159</v>
      </c>
      <c r="G261" s="408">
        <v>162</v>
      </c>
      <c r="H261" s="408">
        <v>161</v>
      </c>
      <c r="I261" s="408">
        <v>156</v>
      </c>
      <c r="J261" s="408">
        <v>153</v>
      </c>
      <c r="K261" s="408">
        <v>148</v>
      </c>
      <c r="L261" s="403">
        <f t="shared" si="6"/>
        <v>157</v>
      </c>
      <c r="N261" s="403" t="s">
        <v>621</v>
      </c>
      <c r="O261" s="403">
        <f t="shared" si="7"/>
        <v>1</v>
      </c>
    </row>
    <row r="262" spans="1:15">
      <c r="A262" s="403" t="s">
        <v>603</v>
      </c>
      <c r="B262" s="403" t="s">
        <v>521</v>
      </c>
      <c r="C262" s="403" t="s">
        <v>522</v>
      </c>
      <c r="D262" s="407">
        <v>0</v>
      </c>
      <c r="E262" s="407">
        <v>0</v>
      </c>
      <c r="F262" s="407">
        <v>0</v>
      </c>
      <c r="G262" s="408">
        <v>0</v>
      </c>
      <c r="H262" s="408">
        <v>0</v>
      </c>
      <c r="I262" s="408">
        <v>0</v>
      </c>
      <c r="J262" s="408">
        <v>0</v>
      </c>
      <c r="K262" s="408">
        <v>0</v>
      </c>
      <c r="L262" s="403">
        <f t="shared" si="6"/>
        <v>0</v>
      </c>
      <c r="N262" s="403" t="s">
        <v>801</v>
      </c>
      <c r="O262" s="403">
        <f t="shared" si="7"/>
        <v>0</v>
      </c>
    </row>
    <row r="263" spans="1:15">
      <c r="A263" s="403" t="s">
        <v>594</v>
      </c>
      <c r="B263" s="403" t="s">
        <v>486</v>
      </c>
      <c r="C263" s="403" t="s">
        <v>487</v>
      </c>
      <c r="D263" s="407">
        <v>15</v>
      </c>
      <c r="E263" s="407">
        <v>15</v>
      </c>
      <c r="F263" s="407">
        <v>12</v>
      </c>
      <c r="G263" s="408">
        <v>12</v>
      </c>
      <c r="H263" s="408">
        <v>13</v>
      </c>
      <c r="I263" s="408">
        <v>14</v>
      </c>
      <c r="J263" s="408">
        <v>14</v>
      </c>
      <c r="K263" s="408">
        <v>14</v>
      </c>
      <c r="L263" s="403">
        <f t="shared" si="6"/>
        <v>13.63</v>
      </c>
      <c r="N263" s="403" t="s">
        <v>621</v>
      </c>
      <c r="O263" s="403">
        <f t="shared" si="7"/>
        <v>1</v>
      </c>
    </row>
    <row r="264" spans="1:15">
      <c r="A264" s="403" t="s">
        <v>605</v>
      </c>
      <c r="B264" s="403" t="s">
        <v>224</v>
      </c>
      <c r="C264" s="403" t="s">
        <v>225</v>
      </c>
      <c r="D264" s="407">
        <v>0</v>
      </c>
      <c r="E264" s="407">
        <v>0</v>
      </c>
      <c r="F264" s="407">
        <v>0</v>
      </c>
      <c r="G264" s="408">
        <v>0</v>
      </c>
      <c r="H264" s="408">
        <v>0</v>
      </c>
      <c r="I264" s="408">
        <v>0</v>
      </c>
      <c r="J264" s="408">
        <v>0</v>
      </c>
      <c r="K264" s="408">
        <v>0</v>
      </c>
      <c r="L264" s="403">
        <f t="shared" si="6"/>
        <v>0</v>
      </c>
      <c r="N264" s="403" t="s">
        <v>621</v>
      </c>
      <c r="O264" s="403">
        <f t="shared" si="7"/>
        <v>0</v>
      </c>
    </row>
    <row r="265" spans="1:15">
      <c r="A265" s="403" t="s">
        <v>594</v>
      </c>
      <c r="B265" s="403" t="s">
        <v>268</v>
      </c>
      <c r="C265" s="403" t="s">
        <v>269</v>
      </c>
      <c r="D265" s="407">
        <v>19</v>
      </c>
      <c r="E265" s="407">
        <v>22</v>
      </c>
      <c r="F265" s="407">
        <v>22</v>
      </c>
      <c r="G265" s="408">
        <v>22</v>
      </c>
      <c r="H265" s="408">
        <v>21</v>
      </c>
      <c r="I265" s="408">
        <v>21</v>
      </c>
      <c r="J265" s="408">
        <v>21</v>
      </c>
      <c r="K265" s="408">
        <v>20</v>
      </c>
      <c r="L265" s="403">
        <f t="shared" ref="L265:L303" si="8">ROUND(SUM(D265:K265)/8,2)</f>
        <v>21</v>
      </c>
      <c r="N265" s="403" t="s">
        <v>621</v>
      </c>
      <c r="O265" s="403">
        <f t="shared" ref="O265:O303" si="9">IF(L265&gt;0,1,0)</f>
        <v>1</v>
      </c>
    </row>
    <row r="266" spans="1:15">
      <c r="A266" s="403" t="s">
        <v>601</v>
      </c>
      <c r="B266" s="403" t="s">
        <v>321</v>
      </c>
      <c r="C266" s="403" t="s">
        <v>322</v>
      </c>
      <c r="D266" s="407">
        <v>92</v>
      </c>
      <c r="E266" s="407">
        <v>96</v>
      </c>
      <c r="F266" s="407">
        <v>96</v>
      </c>
      <c r="G266" s="408">
        <v>96</v>
      </c>
      <c r="H266" s="408">
        <v>94</v>
      </c>
      <c r="I266" s="408">
        <v>94</v>
      </c>
      <c r="J266" s="408">
        <v>90</v>
      </c>
      <c r="K266" s="408">
        <v>89</v>
      </c>
      <c r="L266" s="403">
        <f t="shared" si="8"/>
        <v>93.38</v>
      </c>
      <c r="N266" s="403" t="s">
        <v>621</v>
      </c>
      <c r="O266" s="403">
        <f t="shared" si="9"/>
        <v>1</v>
      </c>
    </row>
    <row r="267" spans="1:15">
      <c r="A267" s="403" t="s">
        <v>605</v>
      </c>
      <c r="B267" s="403" t="s">
        <v>559</v>
      </c>
      <c r="C267" s="403" t="s">
        <v>560</v>
      </c>
      <c r="D267" s="407">
        <v>1131</v>
      </c>
      <c r="E267" s="407">
        <v>1148</v>
      </c>
      <c r="F267" s="407">
        <v>1147</v>
      </c>
      <c r="G267" s="408">
        <v>1134</v>
      </c>
      <c r="H267" s="408">
        <v>1135</v>
      </c>
      <c r="I267" s="408">
        <v>1144</v>
      </c>
      <c r="J267" s="408">
        <v>1161</v>
      </c>
      <c r="K267" s="408">
        <v>1170</v>
      </c>
      <c r="L267" s="403">
        <f t="shared" si="8"/>
        <v>1146.25</v>
      </c>
      <c r="N267" s="403" t="s">
        <v>621</v>
      </c>
      <c r="O267" s="403">
        <f t="shared" si="9"/>
        <v>1</v>
      </c>
    </row>
    <row r="268" spans="1:15">
      <c r="A268" s="403" t="s">
        <v>596</v>
      </c>
      <c r="B268" s="403" t="s">
        <v>496</v>
      </c>
      <c r="C268" s="403" t="s">
        <v>497</v>
      </c>
      <c r="D268" s="407">
        <v>24</v>
      </c>
      <c r="E268" s="407">
        <v>24</v>
      </c>
      <c r="F268" s="407">
        <v>27</v>
      </c>
      <c r="G268" s="408">
        <v>23</v>
      </c>
      <c r="H268" s="408">
        <v>23</v>
      </c>
      <c r="I268" s="408">
        <v>23</v>
      </c>
      <c r="J268" s="408">
        <v>23</v>
      </c>
      <c r="K268" s="408">
        <v>22</v>
      </c>
      <c r="L268" s="403">
        <f t="shared" si="8"/>
        <v>23.63</v>
      </c>
      <c r="N268" s="403" t="s">
        <v>621</v>
      </c>
      <c r="O268" s="403">
        <f t="shared" si="9"/>
        <v>1</v>
      </c>
    </row>
    <row r="269" spans="1:15">
      <c r="A269" s="403" t="s">
        <v>599</v>
      </c>
      <c r="B269" s="403" t="s">
        <v>72</v>
      </c>
      <c r="C269" s="403" t="s">
        <v>73</v>
      </c>
      <c r="D269" s="407">
        <v>0</v>
      </c>
      <c r="E269" s="407">
        <v>0</v>
      </c>
      <c r="F269" s="407">
        <v>0</v>
      </c>
      <c r="G269" s="408">
        <v>0</v>
      </c>
      <c r="H269" s="408">
        <v>0</v>
      </c>
      <c r="I269" s="408">
        <v>0</v>
      </c>
      <c r="J269" s="408">
        <v>0</v>
      </c>
      <c r="K269" s="408">
        <v>0</v>
      </c>
      <c r="L269" s="403">
        <f t="shared" si="8"/>
        <v>0</v>
      </c>
      <c r="N269" s="403" t="s">
        <v>801</v>
      </c>
      <c r="O269" s="403">
        <f t="shared" si="9"/>
        <v>0</v>
      </c>
    </row>
    <row r="270" spans="1:15">
      <c r="A270" s="403" t="s">
        <v>599</v>
      </c>
      <c r="B270" s="403" t="s">
        <v>238</v>
      </c>
      <c r="C270" s="403" t="s">
        <v>239</v>
      </c>
      <c r="D270" s="407">
        <v>0</v>
      </c>
      <c r="E270" s="407">
        <v>0</v>
      </c>
      <c r="F270" s="407">
        <v>0</v>
      </c>
      <c r="G270" s="408">
        <v>0</v>
      </c>
      <c r="H270" s="408">
        <v>0</v>
      </c>
      <c r="I270" s="408">
        <v>0</v>
      </c>
      <c r="J270" s="408">
        <v>0</v>
      </c>
      <c r="K270" s="408">
        <v>0</v>
      </c>
      <c r="L270" s="403">
        <f t="shared" si="8"/>
        <v>0</v>
      </c>
      <c r="N270" s="403" t="s">
        <v>801</v>
      </c>
      <c r="O270" s="403">
        <f t="shared" si="9"/>
        <v>0</v>
      </c>
    </row>
    <row r="271" spans="1:15">
      <c r="A271" s="403" t="s">
        <v>597</v>
      </c>
      <c r="B271" s="403" t="s">
        <v>191</v>
      </c>
      <c r="C271" s="403" t="s">
        <v>192</v>
      </c>
      <c r="D271" s="407">
        <v>972</v>
      </c>
      <c r="E271" s="407">
        <v>974</v>
      </c>
      <c r="F271" s="407">
        <v>970</v>
      </c>
      <c r="G271" s="408">
        <v>971</v>
      </c>
      <c r="H271" s="408">
        <v>984</v>
      </c>
      <c r="I271" s="408">
        <v>991</v>
      </c>
      <c r="J271" s="408">
        <v>1000</v>
      </c>
      <c r="K271" s="408">
        <v>1010</v>
      </c>
      <c r="L271" s="403">
        <f t="shared" si="8"/>
        <v>984</v>
      </c>
      <c r="N271" s="403" t="s">
        <v>621</v>
      </c>
      <c r="O271" s="403">
        <f t="shared" si="9"/>
        <v>1</v>
      </c>
    </row>
    <row r="272" spans="1:15">
      <c r="A272" s="403" t="s">
        <v>594</v>
      </c>
      <c r="B272" s="403" t="s">
        <v>476</v>
      </c>
      <c r="C272" s="403" t="s">
        <v>477</v>
      </c>
      <c r="D272" s="407">
        <v>93</v>
      </c>
      <c r="E272" s="407">
        <v>96</v>
      </c>
      <c r="F272" s="407">
        <v>95</v>
      </c>
      <c r="G272" s="408">
        <v>95</v>
      </c>
      <c r="H272" s="408">
        <v>99</v>
      </c>
      <c r="I272" s="408">
        <v>98</v>
      </c>
      <c r="J272" s="408">
        <v>96</v>
      </c>
      <c r="K272" s="408">
        <v>98</v>
      </c>
      <c r="L272" s="403">
        <f t="shared" si="8"/>
        <v>96.25</v>
      </c>
      <c r="N272" s="403" t="s">
        <v>621</v>
      </c>
      <c r="O272" s="403">
        <f t="shared" si="9"/>
        <v>1</v>
      </c>
    </row>
    <row r="273" spans="1:15">
      <c r="A273" s="403" t="s">
        <v>605</v>
      </c>
      <c r="B273" s="403" t="s">
        <v>543</v>
      </c>
      <c r="C273" s="403" t="s">
        <v>544</v>
      </c>
      <c r="D273" s="407">
        <v>128</v>
      </c>
      <c r="E273" s="407">
        <v>130</v>
      </c>
      <c r="F273" s="407">
        <v>127</v>
      </c>
      <c r="G273" s="408">
        <v>126</v>
      </c>
      <c r="H273" s="408">
        <v>121</v>
      </c>
      <c r="I273" s="408">
        <v>121</v>
      </c>
      <c r="J273" s="408">
        <v>122</v>
      </c>
      <c r="K273" s="408">
        <v>121</v>
      </c>
      <c r="L273" s="403">
        <f t="shared" si="8"/>
        <v>124.5</v>
      </c>
      <c r="N273" s="403" t="s">
        <v>621</v>
      </c>
      <c r="O273" s="403">
        <f t="shared" si="9"/>
        <v>1</v>
      </c>
    </row>
    <row r="274" spans="1:15">
      <c r="A274" s="403" t="s">
        <v>597</v>
      </c>
      <c r="B274" s="403" t="s">
        <v>349</v>
      </c>
      <c r="C274" s="403" t="s">
        <v>350</v>
      </c>
      <c r="D274" s="407">
        <v>113</v>
      </c>
      <c r="E274" s="407">
        <v>110</v>
      </c>
      <c r="F274" s="407">
        <v>107</v>
      </c>
      <c r="G274" s="408">
        <v>106</v>
      </c>
      <c r="H274" s="408">
        <v>105</v>
      </c>
      <c r="I274" s="408">
        <v>104</v>
      </c>
      <c r="J274" s="408">
        <v>114</v>
      </c>
      <c r="K274" s="408">
        <v>110</v>
      </c>
      <c r="L274" s="403">
        <f t="shared" si="8"/>
        <v>108.63</v>
      </c>
      <c r="N274" s="403" t="s">
        <v>621</v>
      </c>
      <c r="O274" s="403">
        <f t="shared" si="9"/>
        <v>1</v>
      </c>
    </row>
    <row r="275" spans="1:15">
      <c r="A275" s="403" t="s">
        <v>603</v>
      </c>
      <c r="B275" s="403" t="s">
        <v>454</v>
      </c>
      <c r="C275" s="403" t="s">
        <v>455</v>
      </c>
      <c r="D275" s="407">
        <v>0</v>
      </c>
      <c r="E275" s="407">
        <v>0</v>
      </c>
      <c r="F275" s="407">
        <v>0</v>
      </c>
      <c r="G275" s="408">
        <v>0</v>
      </c>
      <c r="H275" s="408">
        <v>0</v>
      </c>
      <c r="I275" s="408">
        <v>0</v>
      </c>
      <c r="J275" s="408">
        <v>0</v>
      </c>
      <c r="K275" s="408">
        <v>0</v>
      </c>
      <c r="L275" s="403">
        <f t="shared" si="8"/>
        <v>0</v>
      </c>
      <c r="N275" s="403" t="s">
        <v>801</v>
      </c>
      <c r="O275" s="403">
        <f t="shared" si="9"/>
        <v>0</v>
      </c>
    </row>
    <row r="276" spans="1:15">
      <c r="A276" s="403" t="s">
        <v>599</v>
      </c>
      <c r="B276" s="403" t="s">
        <v>49</v>
      </c>
      <c r="C276" s="403" t="s">
        <v>50</v>
      </c>
      <c r="D276" s="407">
        <v>1860</v>
      </c>
      <c r="E276" s="407">
        <v>1871</v>
      </c>
      <c r="F276" s="407">
        <v>1863</v>
      </c>
      <c r="G276" s="408">
        <v>1868</v>
      </c>
      <c r="H276" s="408">
        <v>1872</v>
      </c>
      <c r="I276" s="408">
        <v>1864</v>
      </c>
      <c r="J276" s="408">
        <v>1851</v>
      </c>
      <c r="K276" s="408">
        <v>1849</v>
      </c>
      <c r="L276" s="403">
        <f t="shared" si="8"/>
        <v>1862.25</v>
      </c>
      <c r="N276" s="403" t="s">
        <v>621</v>
      </c>
      <c r="O276" s="403">
        <f t="shared" si="9"/>
        <v>1</v>
      </c>
    </row>
    <row r="277" spans="1:15">
      <c r="A277" s="403" t="s">
        <v>597</v>
      </c>
      <c r="B277" s="403" t="s">
        <v>183</v>
      </c>
      <c r="C277" s="403" t="s">
        <v>184</v>
      </c>
      <c r="D277" s="407">
        <v>16</v>
      </c>
      <c r="E277" s="407">
        <v>21</v>
      </c>
      <c r="F277" s="407">
        <v>21</v>
      </c>
      <c r="G277" s="408">
        <v>21</v>
      </c>
      <c r="H277" s="408">
        <v>21</v>
      </c>
      <c r="I277" s="408">
        <v>21</v>
      </c>
      <c r="J277" s="408">
        <v>22</v>
      </c>
      <c r="K277" s="408">
        <v>22</v>
      </c>
      <c r="L277" s="403">
        <f t="shared" si="8"/>
        <v>20.63</v>
      </c>
      <c r="N277" s="403" t="s">
        <v>621</v>
      </c>
      <c r="O277" s="403">
        <f t="shared" si="9"/>
        <v>1</v>
      </c>
    </row>
    <row r="278" spans="1:15">
      <c r="A278" s="403" t="s">
        <v>599</v>
      </c>
      <c r="B278" s="403" t="s">
        <v>488</v>
      </c>
      <c r="C278" s="403" t="s">
        <v>489</v>
      </c>
      <c r="D278" s="407">
        <v>0</v>
      </c>
      <c r="E278" s="407">
        <v>0</v>
      </c>
      <c r="F278" s="407">
        <v>0</v>
      </c>
      <c r="G278" s="408">
        <v>0</v>
      </c>
      <c r="H278" s="408">
        <v>0</v>
      </c>
      <c r="I278" s="408">
        <v>9</v>
      </c>
      <c r="J278" s="408">
        <v>11</v>
      </c>
      <c r="K278" s="408">
        <v>11</v>
      </c>
      <c r="L278" s="403">
        <f t="shared" si="8"/>
        <v>3.88</v>
      </c>
      <c r="N278" s="403" t="s">
        <v>621</v>
      </c>
      <c r="O278" s="403">
        <f t="shared" si="9"/>
        <v>1</v>
      </c>
    </row>
    <row r="279" spans="1:15">
      <c r="A279" s="403" t="s">
        <v>605</v>
      </c>
      <c r="B279" s="403" t="s">
        <v>114</v>
      </c>
      <c r="C279" s="403" t="s">
        <v>115</v>
      </c>
      <c r="D279" s="407">
        <v>1193</v>
      </c>
      <c r="E279" s="407">
        <v>1190</v>
      </c>
      <c r="F279" s="407">
        <v>1131</v>
      </c>
      <c r="G279" s="408">
        <v>1132</v>
      </c>
      <c r="H279" s="408">
        <v>1143</v>
      </c>
      <c r="I279" s="408">
        <v>1149</v>
      </c>
      <c r="J279" s="408">
        <v>1148</v>
      </c>
      <c r="K279" s="408">
        <v>1149</v>
      </c>
      <c r="L279" s="403">
        <f t="shared" si="8"/>
        <v>1154.3800000000001</v>
      </c>
      <c r="N279" s="403" t="s">
        <v>621</v>
      </c>
      <c r="O279" s="403">
        <f t="shared" si="9"/>
        <v>1</v>
      </c>
    </row>
    <row r="280" spans="1:15">
      <c r="A280" s="403" t="s">
        <v>596</v>
      </c>
      <c r="B280" s="403" t="s">
        <v>500</v>
      </c>
      <c r="C280" s="403" t="s">
        <v>501</v>
      </c>
      <c r="D280" s="407">
        <v>0</v>
      </c>
      <c r="E280" s="407">
        <v>0</v>
      </c>
      <c r="F280" s="407">
        <v>0</v>
      </c>
      <c r="G280" s="408">
        <v>0</v>
      </c>
      <c r="H280" s="408">
        <v>0</v>
      </c>
      <c r="I280" s="408">
        <v>0</v>
      </c>
      <c r="J280" s="408">
        <v>0</v>
      </c>
      <c r="K280" s="408">
        <v>0</v>
      </c>
      <c r="L280" s="403">
        <f t="shared" si="8"/>
        <v>0</v>
      </c>
      <c r="N280" s="403" t="s">
        <v>801</v>
      </c>
      <c r="O280" s="403">
        <f t="shared" si="9"/>
        <v>0</v>
      </c>
    </row>
    <row r="281" spans="1:15">
      <c r="A281" s="403" t="s">
        <v>596</v>
      </c>
      <c r="B281" s="403" t="s">
        <v>492</v>
      </c>
      <c r="C281" s="403" t="s">
        <v>493</v>
      </c>
      <c r="D281" s="407">
        <v>766</v>
      </c>
      <c r="E281" s="407">
        <v>763</v>
      </c>
      <c r="F281" s="407">
        <v>763</v>
      </c>
      <c r="G281" s="408">
        <v>772</v>
      </c>
      <c r="H281" s="408">
        <v>775</v>
      </c>
      <c r="I281" s="408">
        <v>775</v>
      </c>
      <c r="J281" s="408">
        <v>775</v>
      </c>
      <c r="K281" s="408">
        <v>780</v>
      </c>
      <c r="L281" s="403">
        <f t="shared" si="8"/>
        <v>771.13</v>
      </c>
      <c r="N281" s="403" t="s">
        <v>621</v>
      </c>
      <c r="O281" s="403">
        <f t="shared" si="9"/>
        <v>1</v>
      </c>
    </row>
    <row r="282" spans="1:15">
      <c r="A282" s="403" t="s">
        <v>605</v>
      </c>
      <c r="B282" s="403" t="s">
        <v>567</v>
      </c>
      <c r="C282" s="403" t="s">
        <v>568</v>
      </c>
      <c r="D282" s="407">
        <v>806</v>
      </c>
      <c r="E282" s="407">
        <v>828</v>
      </c>
      <c r="F282" s="407">
        <v>811</v>
      </c>
      <c r="G282" s="408">
        <v>808</v>
      </c>
      <c r="H282" s="408">
        <v>814</v>
      </c>
      <c r="I282" s="408">
        <v>818</v>
      </c>
      <c r="J282" s="408">
        <v>825</v>
      </c>
      <c r="K282" s="408">
        <v>831</v>
      </c>
      <c r="L282" s="403">
        <f t="shared" si="8"/>
        <v>817.63</v>
      </c>
      <c r="N282" s="403" t="s">
        <v>621</v>
      </c>
      <c r="O282" s="403">
        <f t="shared" si="9"/>
        <v>1</v>
      </c>
    </row>
    <row r="283" spans="1:15">
      <c r="A283" s="403" t="s">
        <v>601</v>
      </c>
      <c r="B283" s="403" t="s">
        <v>118</v>
      </c>
      <c r="C283" s="403" t="s">
        <v>119</v>
      </c>
      <c r="D283" s="407">
        <v>299</v>
      </c>
      <c r="E283" s="407">
        <v>293</v>
      </c>
      <c r="F283" s="407">
        <v>283</v>
      </c>
      <c r="G283" s="408">
        <v>283</v>
      </c>
      <c r="H283" s="408">
        <v>291</v>
      </c>
      <c r="I283" s="408">
        <v>292</v>
      </c>
      <c r="J283" s="408">
        <v>307</v>
      </c>
      <c r="K283" s="408">
        <v>299</v>
      </c>
      <c r="L283" s="403">
        <f t="shared" si="8"/>
        <v>293.38</v>
      </c>
      <c r="N283" s="403" t="s">
        <v>621</v>
      </c>
      <c r="O283" s="403">
        <f t="shared" si="9"/>
        <v>1</v>
      </c>
    </row>
    <row r="284" spans="1:15">
      <c r="A284" s="403" t="s">
        <v>599</v>
      </c>
      <c r="B284" s="403" t="s">
        <v>56</v>
      </c>
      <c r="C284" s="403" t="s">
        <v>57</v>
      </c>
      <c r="D284" s="407">
        <v>44</v>
      </c>
      <c r="E284" s="407">
        <v>47</v>
      </c>
      <c r="F284" s="407">
        <v>48</v>
      </c>
      <c r="G284" s="408">
        <v>43</v>
      </c>
      <c r="H284" s="408">
        <v>43</v>
      </c>
      <c r="I284" s="408">
        <v>43</v>
      </c>
      <c r="J284" s="408">
        <v>44</v>
      </c>
      <c r="K284" s="408">
        <v>47</v>
      </c>
      <c r="L284" s="403">
        <f t="shared" si="8"/>
        <v>44.88</v>
      </c>
      <c r="N284" s="403" t="s">
        <v>621</v>
      </c>
      <c r="O284" s="403">
        <f t="shared" si="9"/>
        <v>1</v>
      </c>
    </row>
    <row r="285" spans="1:15">
      <c r="A285" s="403" t="s">
        <v>603</v>
      </c>
      <c r="B285" s="403" t="s">
        <v>0</v>
      </c>
      <c r="C285" s="403" t="s">
        <v>1</v>
      </c>
      <c r="D285" s="407">
        <v>0</v>
      </c>
      <c r="E285" s="407">
        <v>0</v>
      </c>
      <c r="F285" s="407">
        <v>0</v>
      </c>
      <c r="G285" s="408">
        <v>0</v>
      </c>
      <c r="H285" s="408">
        <v>0</v>
      </c>
      <c r="I285" s="408">
        <v>0</v>
      </c>
      <c r="J285" s="408">
        <v>0</v>
      </c>
      <c r="K285" s="408">
        <v>0</v>
      </c>
      <c r="L285" s="403">
        <f t="shared" si="8"/>
        <v>0</v>
      </c>
      <c r="N285" s="403" t="s">
        <v>801</v>
      </c>
      <c r="O285" s="403">
        <f t="shared" si="9"/>
        <v>0</v>
      </c>
    </row>
    <row r="286" spans="1:15">
      <c r="A286" s="403" t="s">
        <v>601</v>
      </c>
      <c r="B286" s="403" t="s">
        <v>92</v>
      </c>
      <c r="C286" s="403" t="s">
        <v>93</v>
      </c>
      <c r="D286" s="407">
        <v>21</v>
      </c>
      <c r="E286" s="407">
        <v>23</v>
      </c>
      <c r="F286" s="407">
        <v>23</v>
      </c>
      <c r="G286" s="408">
        <v>23</v>
      </c>
      <c r="H286" s="408">
        <v>23</v>
      </c>
      <c r="I286" s="408">
        <v>23</v>
      </c>
      <c r="J286" s="408">
        <v>22</v>
      </c>
      <c r="K286" s="408">
        <v>22</v>
      </c>
      <c r="L286" s="403">
        <f t="shared" si="8"/>
        <v>22.5</v>
      </c>
      <c r="N286" s="403" t="s">
        <v>621</v>
      </c>
      <c r="O286" s="403">
        <f t="shared" si="9"/>
        <v>1</v>
      </c>
    </row>
    <row r="287" spans="1:15">
      <c r="A287" s="403" t="s">
        <v>603</v>
      </c>
      <c r="B287" s="403" t="s">
        <v>452</v>
      </c>
      <c r="C287" s="403" t="s">
        <v>453</v>
      </c>
      <c r="D287" s="407">
        <v>0</v>
      </c>
      <c r="E287" s="407">
        <v>0</v>
      </c>
      <c r="F287" s="407">
        <v>0</v>
      </c>
      <c r="G287" s="408">
        <v>0</v>
      </c>
      <c r="H287" s="408">
        <v>0</v>
      </c>
      <c r="I287" s="408">
        <v>0</v>
      </c>
      <c r="J287" s="408">
        <v>0</v>
      </c>
      <c r="K287" s="408">
        <v>0</v>
      </c>
      <c r="L287" s="403">
        <f t="shared" si="8"/>
        <v>0</v>
      </c>
      <c r="N287" s="403" t="s">
        <v>801</v>
      </c>
      <c r="O287" s="403">
        <f t="shared" si="9"/>
        <v>0</v>
      </c>
    </row>
    <row r="288" spans="1:15">
      <c r="A288" s="403" t="s">
        <v>601</v>
      </c>
      <c r="B288" s="403" t="s">
        <v>37</v>
      </c>
      <c r="C288" s="403" t="s">
        <v>38</v>
      </c>
      <c r="D288" s="407">
        <v>1450</v>
      </c>
      <c r="E288" s="407">
        <v>1480</v>
      </c>
      <c r="F288" s="407">
        <v>1457</v>
      </c>
      <c r="G288" s="408">
        <v>1461</v>
      </c>
      <c r="H288" s="408">
        <v>1463</v>
      </c>
      <c r="I288" s="408">
        <v>1472</v>
      </c>
      <c r="J288" s="408">
        <v>1474</v>
      </c>
      <c r="K288" s="408">
        <v>1461</v>
      </c>
      <c r="L288" s="403">
        <f t="shared" si="8"/>
        <v>1464.75</v>
      </c>
      <c r="N288" s="403" t="s">
        <v>621</v>
      </c>
      <c r="O288" s="403">
        <f t="shared" si="9"/>
        <v>1</v>
      </c>
    </row>
    <row r="289" spans="1:15">
      <c r="A289" s="403" t="s">
        <v>603</v>
      </c>
      <c r="B289" s="403" t="s">
        <v>443</v>
      </c>
      <c r="C289" s="403" t="s">
        <v>618</v>
      </c>
      <c r="D289" s="407">
        <v>94</v>
      </c>
      <c r="E289" s="407">
        <v>91</v>
      </c>
      <c r="F289" s="407">
        <v>88</v>
      </c>
      <c r="G289" s="408">
        <v>88</v>
      </c>
      <c r="H289" s="408">
        <v>89</v>
      </c>
      <c r="I289" s="408">
        <v>90</v>
      </c>
      <c r="J289" s="408">
        <v>89</v>
      </c>
      <c r="K289" s="408">
        <v>92</v>
      </c>
      <c r="L289" s="403">
        <f t="shared" si="8"/>
        <v>90.13</v>
      </c>
      <c r="N289" s="403" t="s">
        <v>621</v>
      </c>
      <c r="O289" s="403">
        <f t="shared" si="9"/>
        <v>1</v>
      </c>
    </row>
    <row r="290" spans="1:15">
      <c r="A290" s="403" t="s">
        <v>605</v>
      </c>
      <c r="B290" s="403" t="s">
        <v>569</v>
      </c>
      <c r="C290" s="403" t="s">
        <v>570</v>
      </c>
      <c r="D290" s="407">
        <v>55</v>
      </c>
      <c r="E290" s="407">
        <v>55</v>
      </c>
      <c r="F290" s="407">
        <v>56</v>
      </c>
      <c r="G290" s="408">
        <v>52</v>
      </c>
      <c r="H290" s="408">
        <v>53</v>
      </c>
      <c r="I290" s="408">
        <v>58</v>
      </c>
      <c r="J290" s="408">
        <v>60</v>
      </c>
      <c r="K290" s="408">
        <v>60</v>
      </c>
      <c r="L290" s="403">
        <f t="shared" si="8"/>
        <v>56.13</v>
      </c>
      <c r="N290" s="403" t="s">
        <v>621</v>
      </c>
      <c r="O290" s="403">
        <f t="shared" si="9"/>
        <v>1</v>
      </c>
    </row>
    <row r="291" spans="1:15">
      <c r="A291" s="403" t="s">
        <v>594</v>
      </c>
      <c r="B291" s="403" t="s">
        <v>276</v>
      </c>
      <c r="C291" s="403" t="s">
        <v>277</v>
      </c>
      <c r="D291" s="407">
        <v>0</v>
      </c>
      <c r="E291" s="407">
        <v>0</v>
      </c>
      <c r="F291" s="407">
        <v>0</v>
      </c>
      <c r="G291" s="408">
        <v>0</v>
      </c>
      <c r="H291" s="408">
        <v>0</v>
      </c>
      <c r="I291" s="408">
        <v>0</v>
      </c>
      <c r="J291" s="408">
        <v>0</v>
      </c>
      <c r="K291" s="408">
        <v>0</v>
      </c>
      <c r="L291" s="403">
        <f t="shared" si="8"/>
        <v>0</v>
      </c>
      <c r="N291" s="403" t="s">
        <v>801</v>
      </c>
      <c r="O291" s="403">
        <f t="shared" si="9"/>
        <v>0</v>
      </c>
    </row>
    <row r="292" spans="1:15">
      <c r="A292" s="403" t="s">
        <v>597</v>
      </c>
      <c r="B292" s="403" t="s">
        <v>367</v>
      </c>
      <c r="C292" s="403" t="s">
        <v>368</v>
      </c>
      <c r="D292" s="407">
        <v>33</v>
      </c>
      <c r="E292" s="407">
        <v>34</v>
      </c>
      <c r="F292" s="407">
        <v>34</v>
      </c>
      <c r="G292" s="408">
        <v>34</v>
      </c>
      <c r="H292" s="408">
        <v>33</v>
      </c>
      <c r="I292" s="408">
        <v>34</v>
      </c>
      <c r="J292" s="408">
        <v>34</v>
      </c>
      <c r="K292" s="408">
        <v>35</v>
      </c>
      <c r="L292" s="403">
        <f t="shared" si="8"/>
        <v>33.880000000000003</v>
      </c>
      <c r="N292" s="403" t="s">
        <v>621</v>
      </c>
      <c r="O292" s="403">
        <f t="shared" si="9"/>
        <v>1</v>
      </c>
    </row>
    <row r="293" spans="1:15">
      <c r="A293" s="403" t="s">
        <v>599</v>
      </c>
      <c r="B293" s="403" t="s">
        <v>248</v>
      </c>
      <c r="C293" s="403" t="s">
        <v>249</v>
      </c>
      <c r="D293" s="407">
        <v>196</v>
      </c>
      <c r="E293" s="407">
        <v>191</v>
      </c>
      <c r="F293" s="407">
        <v>189</v>
      </c>
      <c r="G293" s="408">
        <v>185</v>
      </c>
      <c r="H293" s="408">
        <v>184</v>
      </c>
      <c r="I293" s="408">
        <v>187</v>
      </c>
      <c r="J293" s="408">
        <v>192</v>
      </c>
      <c r="K293" s="408">
        <v>192</v>
      </c>
      <c r="L293" s="403">
        <f t="shared" si="8"/>
        <v>189.5</v>
      </c>
      <c r="N293" s="403" t="s">
        <v>621</v>
      </c>
      <c r="O293" s="403">
        <f t="shared" si="9"/>
        <v>1</v>
      </c>
    </row>
    <row r="294" spans="1:15">
      <c r="A294" s="403" t="s">
        <v>603</v>
      </c>
      <c r="B294" s="403" t="s">
        <v>289</v>
      </c>
      <c r="C294" s="403" t="s">
        <v>290</v>
      </c>
      <c r="D294" s="407">
        <v>0</v>
      </c>
      <c r="E294" s="407">
        <v>0</v>
      </c>
      <c r="F294" s="407">
        <v>0</v>
      </c>
      <c r="G294" s="408">
        <v>0</v>
      </c>
      <c r="H294" s="408">
        <v>0</v>
      </c>
      <c r="I294" s="408">
        <v>0</v>
      </c>
      <c r="J294" s="408">
        <v>0</v>
      </c>
      <c r="K294" s="408">
        <v>0</v>
      </c>
      <c r="L294" s="403">
        <f t="shared" si="8"/>
        <v>0</v>
      </c>
      <c r="N294" s="403" t="s">
        <v>801</v>
      </c>
      <c r="O294" s="403">
        <f t="shared" si="9"/>
        <v>0</v>
      </c>
    </row>
    <row r="295" spans="1:15">
      <c r="A295" s="403" t="s">
        <v>594</v>
      </c>
      <c r="B295" s="403" t="s">
        <v>332</v>
      </c>
      <c r="C295" s="403" t="s">
        <v>333</v>
      </c>
      <c r="D295" s="407">
        <v>14</v>
      </c>
      <c r="E295" s="407">
        <v>14</v>
      </c>
      <c r="F295" s="407">
        <v>14</v>
      </c>
      <c r="G295" s="408">
        <v>14</v>
      </c>
      <c r="H295" s="408">
        <v>14</v>
      </c>
      <c r="I295" s="408">
        <v>14</v>
      </c>
      <c r="J295" s="408">
        <v>14</v>
      </c>
      <c r="K295" s="408">
        <v>14</v>
      </c>
      <c r="L295" s="403">
        <f t="shared" si="8"/>
        <v>14</v>
      </c>
      <c r="N295" s="403" t="s">
        <v>801</v>
      </c>
      <c r="O295" s="403">
        <f t="shared" si="9"/>
        <v>1</v>
      </c>
    </row>
    <row r="296" spans="1:15">
      <c r="A296" s="403" t="s">
        <v>601</v>
      </c>
      <c r="B296" s="403" t="s">
        <v>129</v>
      </c>
      <c r="C296" s="403" t="s">
        <v>130</v>
      </c>
      <c r="D296" s="407">
        <v>0</v>
      </c>
      <c r="E296" s="407">
        <v>0</v>
      </c>
      <c r="F296" s="407">
        <v>0</v>
      </c>
      <c r="G296" s="408">
        <v>0</v>
      </c>
      <c r="H296" s="408">
        <v>0</v>
      </c>
      <c r="I296" s="408">
        <v>0</v>
      </c>
      <c r="J296" s="408">
        <v>0</v>
      </c>
      <c r="K296" s="408">
        <v>0</v>
      </c>
      <c r="L296" s="403">
        <f t="shared" si="8"/>
        <v>0</v>
      </c>
      <c r="N296" s="403" t="s">
        <v>801</v>
      </c>
      <c r="O296" s="403">
        <f t="shared" si="9"/>
        <v>0</v>
      </c>
    </row>
    <row r="297" spans="1:15">
      <c r="A297" s="403" t="s">
        <v>594</v>
      </c>
      <c r="B297" s="403" t="s">
        <v>264</v>
      </c>
      <c r="C297" s="403" t="s">
        <v>265</v>
      </c>
      <c r="D297" s="407">
        <v>71</v>
      </c>
      <c r="E297" s="407">
        <v>70</v>
      </c>
      <c r="F297" s="407">
        <v>70</v>
      </c>
      <c r="G297" s="408">
        <v>70</v>
      </c>
      <c r="H297" s="408">
        <v>70</v>
      </c>
      <c r="I297" s="408">
        <v>70</v>
      </c>
      <c r="J297" s="408">
        <v>72</v>
      </c>
      <c r="K297" s="408">
        <v>71</v>
      </c>
      <c r="L297" s="403">
        <f t="shared" si="8"/>
        <v>70.5</v>
      </c>
      <c r="N297" s="403" t="s">
        <v>621</v>
      </c>
      <c r="O297" s="403">
        <f t="shared" si="9"/>
        <v>1</v>
      </c>
    </row>
    <row r="298" spans="1:15">
      <c r="A298" s="403" t="s">
        <v>594</v>
      </c>
      <c r="B298" s="403" t="s">
        <v>151</v>
      </c>
      <c r="C298" s="403" t="s">
        <v>152</v>
      </c>
      <c r="D298" s="407">
        <v>0</v>
      </c>
      <c r="E298" s="407">
        <v>0</v>
      </c>
      <c r="F298" s="407">
        <v>0</v>
      </c>
      <c r="G298" s="408">
        <v>0</v>
      </c>
      <c r="H298" s="408">
        <v>0</v>
      </c>
      <c r="I298" s="408">
        <v>0</v>
      </c>
      <c r="J298" s="408">
        <v>0</v>
      </c>
      <c r="K298" s="408">
        <v>0</v>
      </c>
      <c r="L298" s="403">
        <f t="shared" si="8"/>
        <v>0</v>
      </c>
      <c r="N298" s="403" t="s">
        <v>801</v>
      </c>
      <c r="O298" s="403">
        <f t="shared" si="9"/>
        <v>0</v>
      </c>
    </row>
    <row r="299" spans="1:15">
      <c r="A299" s="403" t="s">
        <v>599</v>
      </c>
      <c r="B299" s="403" t="s">
        <v>232</v>
      </c>
      <c r="C299" s="403" t="s">
        <v>233</v>
      </c>
      <c r="D299" s="407">
        <v>0</v>
      </c>
      <c r="E299" s="407">
        <v>0</v>
      </c>
      <c r="F299" s="407">
        <v>0</v>
      </c>
      <c r="G299" s="408">
        <v>0</v>
      </c>
      <c r="H299" s="408">
        <v>0</v>
      </c>
      <c r="I299" s="408">
        <v>0</v>
      </c>
      <c r="J299" s="408">
        <v>0</v>
      </c>
      <c r="K299" s="408">
        <v>0</v>
      </c>
      <c r="L299" s="403">
        <f t="shared" si="8"/>
        <v>0</v>
      </c>
      <c r="N299" s="403" t="s">
        <v>801</v>
      </c>
      <c r="O299" s="403">
        <f t="shared" si="9"/>
        <v>0</v>
      </c>
    </row>
    <row r="300" spans="1:15">
      <c r="A300" s="403" t="s">
        <v>599</v>
      </c>
      <c r="B300" s="403" t="s">
        <v>78</v>
      </c>
      <c r="C300" s="403" t="s">
        <v>79</v>
      </c>
      <c r="D300" s="407">
        <v>96</v>
      </c>
      <c r="E300" s="407">
        <v>99</v>
      </c>
      <c r="F300" s="407">
        <v>97</v>
      </c>
      <c r="G300" s="408">
        <v>95</v>
      </c>
      <c r="H300" s="408">
        <v>100</v>
      </c>
      <c r="I300" s="408">
        <v>104</v>
      </c>
      <c r="J300" s="408">
        <v>102</v>
      </c>
      <c r="K300" s="408">
        <v>102</v>
      </c>
      <c r="L300" s="403">
        <f t="shared" si="8"/>
        <v>99.38</v>
      </c>
      <c r="N300" s="403" t="s">
        <v>621</v>
      </c>
      <c r="O300" s="403">
        <f t="shared" si="9"/>
        <v>1</v>
      </c>
    </row>
    <row r="301" spans="1:15">
      <c r="A301" s="403" t="s">
        <v>605</v>
      </c>
      <c r="B301" s="403" t="s">
        <v>547</v>
      </c>
      <c r="C301" s="403" t="s">
        <v>548</v>
      </c>
      <c r="D301" s="407">
        <v>3779</v>
      </c>
      <c r="E301" s="407">
        <v>3758</v>
      </c>
      <c r="F301" s="407">
        <v>3756</v>
      </c>
      <c r="G301" s="408">
        <v>3751</v>
      </c>
      <c r="H301" s="408">
        <v>3800</v>
      </c>
      <c r="I301" s="408">
        <v>3770</v>
      </c>
      <c r="J301" s="408">
        <v>3758</v>
      </c>
      <c r="K301" s="408">
        <v>3783</v>
      </c>
      <c r="L301" s="403">
        <f t="shared" si="8"/>
        <v>3769.38</v>
      </c>
      <c r="N301" s="403" t="s">
        <v>621</v>
      </c>
      <c r="O301" s="403">
        <f t="shared" si="9"/>
        <v>1</v>
      </c>
    </row>
    <row r="302" spans="1:15">
      <c r="A302" s="403" t="s">
        <v>594</v>
      </c>
      <c r="B302" s="403" t="s">
        <v>472</v>
      </c>
      <c r="C302" s="403" t="s">
        <v>619</v>
      </c>
      <c r="D302" s="407">
        <v>43</v>
      </c>
      <c r="E302" s="407">
        <v>44</v>
      </c>
      <c r="F302" s="407">
        <v>48</v>
      </c>
      <c r="G302" s="408">
        <v>48</v>
      </c>
      <c r="H302" s="408">
        <v>47</v>
      </c>
      <c r="I302" s="408">
        <v>47</v>
      </c>
      <c r="J302" s="408">
        <v>49</v>
      </c>
      <c r="K302" s="408">
        <v>51</v>
      </c>
      <c r="L302" s="403">
        <f t="shared" si="8"/>
        <v>47.13</v>
      </c>
      <c r="N302" s="403" t="s">
        <v>621</v>
      </c>
      <c r="O302" s="403">
        <f t="shared" si="9"/>
        <v>1</v>
      </c>
    </row>
    <row r="303" spans="1:15">
      <c r="A303" s="403" t="s">
        <v>605</v>
      </c>
      <c r="B303" s="403" t="s">
        <v>565</v>
      </c>
      <c r="C303" s="403" t="s">
        <v>566</v>
      </c>
      <c r="D303" s="407">
        <v>143</v>
      </c>
      <c r="E303" s="407">
        <v>145</v>
      </c>
      <c r="F303" s="407">
        <v>150</v>
      </c>
      <c r="G303" s="408">
        <v>150</v>
      </c>
      <c r="H303" s="408">
        <v>148</v>
      </c>
      <c r="I303" s="408">
        <v>149</v>
      </c>
      <c r="J303" s="408">
        <v>148</v>
      </c>
      <c r="K303" s="408">
        <v>152</v>
      </c>
      <c r="L303" s="403">
        <f t="shared" si="8"/>
        <v>148.13</v>
      </c>
      <c r="N303" s="403" t="s">
        <v>621</v>
      </c>
      <c r="O303" s="403">
        <f t="shared" si="9"/>
        <v>1</v>
      </c>
    </row>
    <row r="304" spans="1:15">
      <c r="A304" s="403" t="s">
        <v>830</v>
      </c>
      <c r="D304" s="409">
        <f t="shared" ref="D304:I304" si="10">SUM(D9:D303)</f>
        <v>82206</v>
      </c>
      <c r="E304" s="409">
        <f t="shared" si="10"/>
        <v>82850</v>
      </c>
      <c r="F304" s="409">
        <f t="shared" si="10"/>
        <v>82773</v>
      </c>
      <c r="G304" s="409">
        <f t="shared" si="10"/>
        <v>82589</v>
      </c>
      <c r="H304" s="409">
        <f t="shared" si="10"/>
        <v>82985</v>
      </c>
      <c r="I304" s="409">
        <f t="shared" si="10"/>
        <v>83136</v>
      </c>
      <c r="J304" s="409">
        <f>SUM(J9:J303)</f>
        <v>83342</v>
      </c>
      <c r="K304" s="409">
        <f>SUM(K9:K303)</f>
        <v>83516</v>
      </c>
      <c r="L304" s="410">
        <f>SUM(L9:L303)</f>
        <v>82925.129999999976</v>
      </c>
      <c r="N304" s="409"/>
    </row>
    <row r="305" spans="4:11">
      <c r="D305" s="409"/>
      <c r="E305" s="409"/>
      <c r="F305" s="409"/>
      <c r="G305" s="409"/>
      <c r="H305" s="409"/>
      <c r="I305" s="409"/>
      <c r="J305" s="409"/>
      <c r="K305" s="409"/>
    </row>
  </sheetData>
  <pageMargins left="0.5" right="0.5" top="0.75" bottom="0.8" header="0.5" footer="0.5"/>
  <pageSetup scale="64" fitToHeight="15" orientation="portrait" r:id="rId1"/>
  <headerFooter alignWithMargins="0">
    <oddFooter>&amp;LOSPI\SAFS&amp;C&amp;D&amp;RPAGE &amp;P</oddFooter>
  </headerFooter>
  <rowBreaks count="1" manualBreakCount="1">
    <brk id="30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2"/>
  <dimension ref="A1:D206"/>
  <sheetViews>
    <sheetView workbookViewId="0">
      <pane ySplit="1" topLeftCell="A2" activePane="bottomLeft" state="frozen"/>
      <selection pane="bottomLeft" activeCell="D24" sqref="D24"/>
    </sheetView>
  </sheetViews>
  <sheetFormatPr defaultColWidth="9.140625" defaultRowHeight="15"/>
  <cols>
    <col min="1" max="1" width="18.42578125" style="374" customWidth="1"/>
    <col min="2" max="2" width="14.85546875" style="374" customWidth="1"/>
    <col min="3" max="3" width="28.42578125" style="374" customWidth="1"/>
    <col min="4" max="4" width="14.85546875" style="374" customWidth="1"/>
    <col min="5" max="5" width="9.140625" style="374"/>
    <col min="6" max="6" width="12.140625" style="374" bestFit="1" customWidth="1"/>
    <col min="7" max="16384" width="9.140625" style="374"/>
  </cols>
  <sheetData>
    <row r="1" spans="1:4" ht="75" customHeight="1">
      <c r="A1" s="909" t="s">
        <v>803</v>
      </c>
      <c r="B1" s="909"/>
    </row>
    <row r="2" spans="1:4">
      <c r="A2" s="374" t="s">
        <v>804</v>
      </c>
      <c r="B2" s="375">
        <v>14841800</v>
      </c>
    </row>
    <row r="3" spans="1:4">
      <c r="A3" s="374" t="s">
        <v>805</v>
      </c>
      <c r="B3" s="375">
        <v>742090</v>
      </c>
    </row>
    <row r="4" spans="1:4">
      <c r="A4" s="374" t="s">
        <v>741</v>
      </c>
      <c r="B4" s="375">
        <v>192000</v>
      </c>
    </row>
    <row r="5" spans="1:4">
      <c r="B5" s="375">
        <v>13907710</v>
      </c>
    </row>
    <row r="6" spans="1:4">
      <c r="A6" s="374" t="s">
        <v>806</v>
      </c>
      <c r="B6" s="376"/>
    </row>
    <row r="7" spans="1:4">
      <c r="A7" s="377">
        <v>82734</v>
      </c>
    </row>
    <row r="8" spans="1:4" ht="30">
      <c r="A8" s="378" t="s">
        <v>591</v>
      </c>
      <c r="B8" s="378" t="s">
        <v>592</v>
      </c>
      <c r="C8" s="378" t="s">
        <v>593</v>
      </c>
      <c r="D8" s="379" t="s">
        <v>807</v>
      </c>
    </row>
    <row r="9" spans="1:4">
      <c r="A9" s="374" t="s">
        <v>594</v>
      </c>
      <c r="B9" s="374" t="s">
        <v>132</v>
      </c>
      <c r="C9" s="374" t="s">
        <v>133</v>
      </c>
      <c r="D9" s="380">
        <v>264</v>
      </c>
    </row>
    <row r="10" spans="1:4">
      <c r="A10" s="374" t="s">
        <v>595</v>
      </c>
      <c r="B10" s="374" t="s">
        <v>380</v>
      </c>
      <c r="C10" s="374" t="s">
        <v>381</v>
      </c>
      <c r="D10" s="380">
        <v>51</v>
      </c>
    </row>
    <row r="11" spans="1:4">
      <c r="A11" s="374" t="s">
        <v>595</v>
      </c>
      <c r="B11" s="374" t="s">
        <v>403</v>
      </c>
      <c r="C11" s="374" t="s">
        <v>404</v>
      </c>
      <c r="D11" s="380">
        <v>174</v>
      </c>
    </row>
    <row r="12" spans="1:4">
      <c r="A12" s="374" t="s">
        <v>597</v>
      </c>
      <c r="B12" s="374" t="s">
        <v>195</v>
      </c>
      <c r="C12" s="374" t="s">
        <v>196</v>
      </c>
      <c r="D12" s="380">
        <v>1692</v>
      </c>
    </row>
    <row r="13" spans="1:4">
      <c r="A13" s="374" t="s">
        <v>597</v>
      </c>
      <c r="B13" s="374" t="s">
        <v>213</v>
      </c>
      <c r="C13" s="374" t="s">
        <v>598</v>
      </c>
      <c r="D13" s="380">
        <v>29</v>
      </c>
    </row>
    <row r="14" spans="1:4">
      <c r="A14" s="374" t="s">
        <v>599</v>
      </c>
      <c r="B14" s="374" t="s">
        <v>62</v>
      </c>
      <c r="C14" s="374" t="s">
        <v>63</v>
      </c>
      <c r="D14" s="380">
        <v>648</v>
      </c>
    </row>
    <row r="15" spans="1:4">
      <c r="A15" s="374" t="s">
        <v>597</v>
      </c>
      <c r="B15" s="374" t="s">
        <v>189</v>
      </c>
      <c r="C15" s="374" t="s">
        <v>190</v>
      </c>
      <c r="D15" s="380">
        <v>1605</v>
      </c>
    </row>
    <row r="16" spans="1:4">
      <c r="A16" s="374" t="s">
        <v>595</v>
      </c>
      <c r="B16" s="374" t="s">
        <v>504</v>
      </c>
      <c r="C16" s="374" t="s">
        <v>505</v>
      </c>
      <c r="D16" s="380">
        <v>565</v>
      </c>
    </row>
    <row r="17" spans="1:4">
      <c r="A17" s="374" t="s">
        <v>597</v>
      </c>
      <c r="B17" s="374" t="s">
        <v>363</v>
      </c>
      <c r="C17" s="374" t="s">
        <v>364</v>
      </c>
      <c r="D17" s="380">
        <v>253</v>
      </c>
    </row>
    <row r="18" spans="1:4">
      <c r="A18" s="374" t="s">
        <v>595</v>
      </c>
      <c r="B18" s="374" t="s">
        <v>508</v>
      </c>
      <c r="C18" s="374" t="s">
        <v>509</v>
      </c>
      <c r="D18" s="380">
        <v>96</v>
      </c>
    </row>
    <row r="19" spans="1:4">
      <c r="A19" s="374" t="s">
        <v>600</v>
      </c>
      <c r="B19" s="374" t="s">
        <v>211</v>
      </c>
      <c r="C19" s="374" t="s">
        <v>212</v>
      </c>
      <c r="D19" s="380">
        <v>129</v>
      </c>
    </row>
    <row r="20" spans="1:4">
      <c r="A20" s="374" t="s">
        <v>601</v>
      </c>
      <c r="B20" s="374" t="s">
        <v>315</v>
      </c>
      <c r="C20" s="374" t="s">
        <v>316</v>
      </c>
      <c r="D20" s="380">
        <v>323</v>
      </c>
    </row>
    <row r="21" spans="1:4">
      <c r="A21" s="374" t="s">
        <v>601</v>
      </c>
      <c r="B21" s="374" t="s">
        <v>84</v>
      </c>
      <c r="C21" s="374" t="s">
        <v>85</v>
      </c>
      <c r="D21" s="380">
        <v>355</v>
      </c>
    </row>
    <row r="22" spans="1:4">
      <c r="A22" s="374" t="s">
        <v>595</v>
      </c>
      <c r="B22" s="374" t="s">
        <v>378</v>
      </c>
      <c r="C22" s="374" t="s">
        <v>602</v>
      </c>
      <c r="D22" s="380">
        <v>584</v>
      </c>
    </row>
    <row r="23" spans="1:4">
      <c r="A23" s="374" t="s">
        <v>599</v>
      </c>
      <c r="B23" s="374" t="s">
        <v>60</v>
      </c>
      <c r="C23" s="374" t="s">
        <v>61</v>
      </c>
      <c r="D23" s="380">
        <v>91</v>
      </c>
    </row>
    <row r="24" spans="1:4">
      <c r="A24" s="374" t="s">
        <v>600</v>
      </c>
      <c r="B24" s="374" t="s">
        <v>45</v>
      </c>
      <c r="C24" s="374" t="s">
        <v>46</v>
      </c>
      <c r="D24" s="380">
        <v>95</v>
      </c>
    </row>
    <row r="25" spans="1:4">
      <c r="A25" s="374" t="s">
        <v>601</v>
      </c>
      <c r="B25" s="374" t="s">
        <v>35</v>
      </c>
      <c r="C25" s="374" t="s">
        <v>36</v>
      </c>
      <c r="D25" s="380">
        <v>148</v>
      </c>
    </row>
    <row r="26" spans="1:4">
      <c r="A26" s="374" t="s">
        <v>601</v>
      </c>
      <c r="B26" s="374" t="s">
        <v>33</v>
      </c>
      <c r="C26" s="374" t="s">
        <v>34</v>
      </c>
      <c r="D26" s="380">
        <v>178</v>
      </c>
    </row>
    <row r="27" spans="1:4">
      <c r="A27" s="374" t="s">
        <v>599</v>
      </c>
      <c r="B27" s="374" t="s">
        <v>74</v>
      </c>
      <c r="C27" s="374" t="s">
        <v>75</v>
      </c>
      <c r="D27" s="380">
        <v>35</v>
      </c>
    </row>
    <row r="28" spans="1:4">
      <c r="A28" s="374" t="s">
        <v>600</v>
      </c>
      <c r="B28" s="374" t="s">
        <v>216</v>
      </c>
      <c r="C28" s="374" t="s">
        <v>217</v>
      </c>
      <c r="D28" s="380">
        <v>201</v>
      </c>
    </row>
    <row r="29" spans="1:4">
      <c r="A29" s="374" t="s">
        <v>603</v>
      </c>
      <c r="B29" s="374" t="s">
        <v>434</v>
      </c>
      <c r="C29" s="374" t="s">
        <v>435</v>
      </c>
      <c r="D29" s="380">
        <v>212</v>
      </c>
    </row>
    <row r="30" spans="1:4">
      <c r="A30" s="374" t="s">
        <v>594</v>
      </c>
      <c r="B30" s="374" t="s">
        <v>278</v>
      </c>
      <c r="C30" s="374" t="s">
        <v>279</v>
      </c>
      <c r="D30" s="380">
        <v>262</v>
      </c>
    </row>
    <row r="31" spans="1:4">
      <c r="A31" s="374" t="s">
        <v>594</v>
      </c>
      <c r="B31" s="374" t="s">
        <v>274</v>
      </c>
      <c r="C31" s="374" t="s">
        <v>275</v>
      </c>
      <c r="D31" s="380">
        <v>71</v>
      </c>
    </row>
    <row r="32" spans="1:4">
      <c r="A32" s="374" t="s">
        <v>603</v>
      </c>
      <c r="B32" s="374" t="s">
        <v>438</v>
      </c>
      <c r="C32" s="374" t="s">
        <v>439</v>
      </c>
      <c r="D32" s="380">
        <v>77</v>
      </c>
    </row>
    <row r="33" spans="1:4">
      <c r="A33" s="374" t="s">
        <v>603</v>
      </c>
      <c r="B33" s="374" t="s">
        <v>450</v>
      </c>
      <c r="C33" s="374" t="s">
        <v>451</v>
      </c>
      <c r="D33" s="380">
        <v>2</v>
      </c>
    </row>
    <row r="34" spans="1:4">
      <c r="A34" s="374" t="s">
        <v>600</v>
      </c>
      <c r="B34" s="374" t="s">
        <v>169</v>
      </c>
      <c r="C34" s="374" t="s">
        <v>170</v>
      </c>
      <c r="D34" s="380">
        <v>13</v>
      </c>
    </row>
    <row r="35" spans="1:4">
      <c r="A35" s="374" t="s">
        <v>596</v>
      </c>
      <c r="B35" s="374" t="s">
        <v>10</v>
      </c>
      <c r="C35" s="374" t="s">
        <v>11</v>
      </c>
      <c r="D35" s="380">
        <v>23</v>
      </c>
    </row>
    <row r="36" spans="1:4">
      <c r="A36" s="374" t="s">
        <v>605</v>
      </c>
      <c r="B36" s="374" t="s">
        <v>230</v>
      </c>
      <c r="C36" s="374" t="s">
        <v>231</v>
      </c>
      <c r="D36" s="380">
        <v>15</v>
      </c>
    </row>
    <row r="37" spans="1:4">
      <c r="A37" s="374" t="s">
        <v>597</v>
      </c>
      <c r="B37" s="374" t="s">
        <v>357</v>
      </c>
      <c r="C37" s="374" t="s">
        <v>358</v>
      </c>
      <c r="D37" s="380">
        <v>1129</v>
      </c>
    </row>
    <row r="38" spans="1:4">
      <c r="A38" s="374" t="s">
        <v>596</v>
      </c>
      <c r="B38" s="374" t="s">
        <v>494</v>
      </c>
      <c r="C38" s="374" t="s">
        <v>495</v>
      </c>
      <c r="D38" s="380">
        <v>153</v>
      </c>
    </row>
    <row r="39" spans="1:4">
      <c r="A39" s="374" t="s">
        <v>596</v>
      </c>
      <c r="B39" s="374" t="s">
        <v>498</v>
      </c>
      <c r="C39" s="374" t="s">
        <v>499</v>
      </c>
      <c r="D39" s="380">
        <v>75</v>
      </c>
    </row>
    <row r="40" spans="1:4">
      <c r="A40" s="374" t="s">
        <v>603</v>
      </c>
      <c r="B40" s="374" t="s">
        <v>456</v>
      </c>
      <c r="C40" s="374" t="s">
        <v>457</v>
      </c>
      <c r="D40" s="380">
        <v>44</v>
      </c>
    </row>
    <row r="41" spans="1:4">
      <c r="A41" s="374" t="s">
        <v>595</v>
      </c>
      <c r="B41" s="374" t="s">
        <v>376</v>
      </c>
      <c r="C41" s="374" t="s">
        <v>377</v>
      </c>
      <c r="D41" s="380">
        <v>1</v>
      </c>
    </row>
    <row r="42" spans="1:4">
      <c r="A42" s="374" t="s">
        <v>595</v>
      </c>
      <c r="B42" s="374" t="s">
        <v>384</v>
      </c>
      <c r="C42" s="374" t="s">
        <v>385</v>
      </c>
      <c r="D42" s="380">
        <v>22</v>
      </c>
    </row>
    <row r="43" spans="1:4">
      <c r="A43" s="374" t="s">
        <v>595</v>
      </c>
      <c r="B43" s="374" t="s">
        <v>159</v>
      </c>
      <c r="C43" s="374" t="s">
        <v>160</v>
      </c>
      <c r="D43" s="380">
        <v>24</v>
      </c>
    </row>
    <row r="44" spans="1:4">
      <c r="A44" s="374" t="s">
        <v>603</v>
      </c>
      <c r="B44" s="374" t="s">
        <v>444</v>
      </c>
      <c r="C44" s="374" t="s">
        <v>445</v>
      </c>
      <c r="D44" s="380">
        <v>4</v>
      </c>
    </row>
    <row r="45" spans="1:4">
      <c r="A45" s="374" t="s">
        <v>597</v>
      </c>
      <c r="B45" s="374" t="s">
        <v>353</v>
      </c>
      <c r="C45" s="374" t="s">
        <v>354</v>
      </c>
      <c r="D45" s="380">
        <v>9</v>
      </c>
    </row>
    <row r="46" spans="1:4">
      <c r="A46" s="374" t="s">
        <v>603</v>
      </c>
      <c r="B46" s="374" t="s">
        <v>440</v>
      </c>
      <c r="C46" s="374" t="s">
        <v>606</v>
      </c>
      <c r="D46" s="380">
        <v>112</v>
      </c>
    </row>
    <row r="47" spans="1:4">
      <c r="A47" s="374" t="s">
        <v>605</v>
      </c>
      <c r="B47" s="374" t="s">
        <v>549</v>
      </c>
      <c r="C47" s="374" t="s">
        <v>550</v>
      </c>
      <c r="D47" s="380">
        <v>231</v>
      </c>
    </row>
    <row r="48" spans="1:4">
      <c r="A48" s="374" t="s">
        <v>601</v>
      </c>
      <c r="B48" s="374" t="s">
        <v>88</v>
      </c>
      <c r="C48" s="374" t="s">
        <v>89</v>
      </c>
      <c r="D48" s="380">
        <v>817</v>
      </c>
    </row>
    <row r="49" spans="1:4">
      <c r="A49" s="374" t="s">
        <v>605</v>
      </c>
      <c r="B49" s="374" t="s">
        <v>222</v>
      </c>
      <c r="C49" s="374" t="s">
        <v>223</v>
      </c>
      <c r="D49" s="380">
        <v>6</v>
      </c>
    </row>
    <row r="50" spans="1:4">
      <c r="A50" s="374" t="s">
        <v>597</v>
      </c>
      <c r="B50" s="374" t="s">
        <v>365</v>
      </c>
      <c r="C50" s="374" t="s">
        <v>366</v>
      </c>
      <c r="D50" s="380">
        <v>13</v>
      </c>
    </row>
    <row r="51" spans="1:4">
      <c r="A51" s="374" t="s">
        <v>595</v>
      </c>
      <c r="B51" s="374" t="s">
        <v>401</v>
      </c>
      <c r="C51" s="374" t="s">
        <v>402</v>
      </c>
      <c r="D51" s="380">
        <v>1892</v>
      </c>
    </row>
    <row r="52" spans="1:4">
      <c r="A52" s="374" t="s">
        <v>605</v>
      </c>
      <c r="B52" s="374" t="s">
        <v>226</v>
      </c>
      <c r="C52" s="374" t="s">
        <v>227</v>
      </c>
      <c r="D52" s="380">
        <v>176</v>
      </c>
    </row>
    <row r="53" spans="1:4">
      <c r="A53" s="374" t="s">
        <v>594</v>
      </c>
      <c r="B53" s="374" t="s">
        <v>141</v>
      </c>
      <c r="C53" s="374" t="s">
        <v>142</v>
      </c>
      <c r="D53" s="380">
        <v>73</v>
      </c>
    </row>
    <row r="54" spans="1:4">
      <c r="A54" s="374" t="s">
        <v>601</v>
      </c>
      <c r="B54" s="374" t="s">
        <v>29</v>
      </c>
      <c r="C54" s="374" t="s">
        <v>30</v>
      </c>
      <c r="D54" s="380">
        <v>42</v>
      </c>
    </row>
    <row r="55" spans="1:4">
      <c r="A55" s="374" t="s">
        <v>597</v>
      </c>
      <c r="B55" s="374" t="s">
        <v>177</v>
      </c>
      <c r="C55" s="374" t="s">
        <v>178</v>
      </c>
      <c r="D55" s="380">
        <v>145</v>
      </c>
    </row>
    <row r="56" spans="1:4">
      <c r="A56" s="374" t="s">
        <v>601</v>
      </c>
      <c r="B56" s="374" t="s">
        <v>127</v>
      </c>
      <c r="C56" s="374" t="s">
        <v>128</v>
      </c>
      <c r="D56" s="380">
        <v>161</v>
      </c>
    </row>
    <row r="57" spans="1:4">
      <c r="A57" s="374" t="s">
        <v>595</v>
      </c>
      <c r="B57" s="374" t="s">
        <v>395</v>
      </c>
      <c r="C57" s="374" t="s">
        <v>396</v>
      </c>
      <c r="D57" s="380">
        <v>1710</v>
      </c>
    </row>
    <row r="58" spans="1:4">
      <c r="A58" s="374" t="s">
        <v>599</v>
      </c>
      <c r="B58" s="374" t="s">
        <v>58</v>
      </c>
      <c r="C58" s="374" t="s">
        <v>59</v>
      </c>
      <c r="D58" s="380">
        <v>2071</v>
      </c>
    </row>
    <row r="59" spans="1:4">
      <c r="A59" s="374" t="s">
        <v>597</v>
      </c>
      <c r="B59" s="374" t="s">
        <v>175</v>
      </c>
      <c r="C59" s="374" t="s">
        <v>176</v>
      </c>
      <c r="D59" s="380">
        <v>2677</v>
      </c>
    </row>
    <row r="60" spans="1:4">
      <c r="A60" s="374" t="s">
        <v>595</v>
      </c>
      <c r="B60" s="374" t="s">
        <v>506</v>
      </c>
      <c r="C60" s="374" t="s">
        <v>507</v>
      </c>
      <c r="D60" s="380">
        <v>224</v>
      </c>
    </row>
    <row r="61" spans="1:4">
      <c r="A61" s="374" t="s">
        <v>597</v>
      </c>
      <c r="B61" s="374" t="s">
        <v>369</v>
      </c>
      <c r="C61" s="374" t="s">
        <v>370</v>
      </c>
      <c r="D61" s="380">
        <v>336</v>
      </c>
    </row>
    <row r="62" spans="1:4">
      <c r="A62" s="374" t="s">
        <v>596</v>
      </c>
      <c r="B62" s="374" t="s">
        <v>19</v>
      </c>
      <c r="C62" s="374" t="s">
        <v>20</v>
      </c>
      <c r="D62" s="380">
        <v>115</v>
      </c>
    </row>
    <row r="63" spans="1:4">
      <c r="A63" s="374" t="s">
        <v>597</v>
      </c>
      <c r="B63" s="374" t="s">
        <v>361</v>
      </c>
      <c r="C63" s="374" t="s">
        <v>362</v>
      </c>
      <c r="D63" s="380">
        <v>514</v>
      </c>
    </row>
    <row r="64" spans="1:4">
      <c r="A64" s="374" t="s">
        <v>605</v>
      </c>
      <c r="B64" s="374" t="s">
        <v>246</v>
      </c>
      <c r="C64" s="374" t="s">
        <v>247</v>
      </c>
      <c r="D64" s="380">
        <v>35</v>
      </c>
    </row>
    <row r="65" spans="1:4">
      <c r="A65" s="374" t="s">
        <v>605</v>
      </c>
      <c r="B65" s="374" t="s">
        <v>555</v>
      </c>
      <c r="C65" s="374" t="s">
        <v>556</v>
      </c>
      <c r="D65" s="380">
        <v>973</v>
      </c>
    </row>
    <row r="66" spans="1:4">
      <c r="A66" s="374" t="s">
        <v>605</v>
      </c>
      <c r="B66" s="374" t="s">
        <v>563</v>
      </c>
      <c r="C66" s="374" t="s">
        <v>564</v>
      </c>
      <c r="D66" s="380">
        <v>542</v>
      </c>
    </row>
    <row r="67" spans="1:4">
      <c r="A67" s="374" t="s">
        <v>595</v>
      </c>
      <c r="B67" s="374" t="s">
        <v>419</v>
      </c>
      <c r="C67" s="374" t="s">
        <v>420</v>
      </c>
      <c r="D67" s="380">
        <v>24</v>
      </c>
    </row>
    <row r="68" spans="1:4">
      <c r="A68" s="374" t="s">
        <v>605</v>
      </c>
      <c r="B68" s="374" t="s">
        <v>561</v>
      </c>
      <c r="C68" s="374" t="s">
        <v>562</v>
      </c>
      <c r="D68" s="380">
        <v>219</v>
      </c>
    </row>
    <row r="69" spans="1:4">
      <c r="A69" s="374" t="s">
        <v>597</v>
      </c>
      <c r="B69" s="374" t="s">
        <v>181</v>
      </c>
      <c r="C69" s="374" t="s">
        <v>182</v>
      </c>
      <c r="D69" s="380">
        <v>3430</v>
      </c>
    </row>
    <row r="70" spans="1:4">
      <c r="A70" s="374" t="s">
        <v>599</v>
      </c>
      <c r="B70" s="374" t="s">
        <v>51</v>
      </c>
      <c r="C70" s="374" t="s">
        <v>52</v>
      </c>
      <c r="D70" s="380">
        <v>21</v>
      </c>
    </row>
    <row r="71" spans="1:4">
      <c r="A71" s="374" t="s">
        <v>594</v>
      </c>
      <c r="B71" s="374" t="s">
        <v>134</v>
      </c>
      <c r="C71" s="374" t="s">
        <v>135</v>
      </c>
      <c r="D71" s="380">
        <v>44</v>
      </c>
    </row>
    <row r="72" spans="1:4">
      <c r="A72" s="374" t="s">
        <v>597</v>
      </c>
      <c r="B72" s="374" t="s">
        <v>201</v>
      </c>
      <c r="C72" s="374" t="s">
        <v>202</v>
      </c>
      <c r="D72" s="380">
        <v>600</v>
      </c>
    </row>
    <row r="73" spans="1:4">
      <c r="A73" s="374" t="s">
        <v>599</v>
      </c>
      <c r="B73" s="374" t="s">
        <v>80</v>
      </c>
      <c r="C73" s="374" t="s">
        <v>81</v>
      </c>
      <c r="D73" s="380">
        <v>182</v>
      </c>
    </row>
    <row r="74" spans="1:4">
      <c r="A74" s="374" t="s">
        <v>596</v>
      </c>
      <c r="B74" s="374" t="s">
        <v>14</v>
      </c>
      <c r="C74" s="374" t="s">
        <v>15</v>
      </c>
      <c r="D74" s="380">
        <v>1604</v>
      </c>
    </row>
    <row r="75" spans="1:4">
      <c r="A75" s="374" t="s">
        <v>597</v>
      </c>
      <c r="B75" s="374" t="s">
        <v>207</v>
      </c>
      <c r="C75" s="374" t="s">
        <v>208</v>
      </c>
      <c r="D75" s="380">
        <v>3931</v>
      </c>
    </row>
    <row r="76" spans="1:4">
      <c r="A76" s="374" t="s">
        <v>596</v>
      </c>
      <c r="B76" s="374" t="s">
        <v>18</v>
      </c>
      <c r="C76" s="374" t="s">
        <v>608</v>
      </c>
      <c r="D76" s="380">
        <v>210</v>
      </c>
    </row>
    <row r="77" spans="1:4">
      <c r="A77" s="374" t="s">
        <v>605</v>
      </c>
      <c r="B77" s="374" t="s">
        <v>228</v>
      </c>
      <c r="C77" s="374" t="s">
        <v>229</v>
      </c>
      <c r="D77" s="380">
        <v>40</v>
      </c>
    </row>
    <row r="78" spans="1:4">
      <c r="A78" s="374" t="s">
        <v>595</v>
      </c>
      <c r="B78" s="374" t="s">
        <v>382</v>
      </c>
      <c r="C78" s="374" t="s">
        <v>383</v>
      </c>
      <c r="D78" s="380">
        <v>11</v>
      </c>
    </row>
    <row r="79" spans="1:4">
      <c r="A79" s="374" t="s">
        <v>599</v>
      </c>
      <c r="B79" s="374" t="s">
        <v>53</v>
      </c>
      <c r="C79" s="374" t="s">
        <v>609</v>
      </c>
      <c r="D79" s="380">
        <v>17</v>
      </c>
    </row>
    <row r="80" spans="1:4">
      <c r="A80" s="374" t="s">
        <v>601</v>
      </c>
      <c r="B80" s="374" t="s">
        <v>31</v>
      </c>
      <c r="C80" s="374" t="s">
        <v>32</v>
      </c>
      <c r="D80" s="380">
        <v>278</v>
      </c>
    </row>
    <row r="81" spans="1:4">
      <c r="A81" s="374" t="s">
        <v>595</v>
      </c>
      <c r="B81" s="374" t="s">
        <v>397</v>
      </c>
      <c r="C81" s="374" t="s">
        <v>398</v>
      </c>
      <c r="D81" s="380">
        <v>215</v>
      </c>
    </row>
    <row r="82" spans="1:4">
      <c r="A82" s="374" t="s">
        <v>597</v>
      </c>
      <c r="B82" s="374" t="s">
        <v>205</v>
      </c>
      <c r="C82" s="374" t="s">
        <v>206</v>
      </c>
      <c r="D82" s="380">
        <v>1220</v>
      </c>
    </row>
    <row r="83" spans="1:4">
      <c r="A83" s="374" t="s">
        <v>595</v>
      </c>
      <c r="B83" s="374" t="s">
        <v>413</v>
      </c>
      <c r="C83" s="374" t="s">
        <v>414</v>
      </c>
      <c r="D83" s="380">
        <v>68</v>
      </c>
    </row>
    <row r="84" spans="1:4">
      <c r="A84" s="374" t="s">
        <v>603</v>
      </c>
      <c r="B84" s="374" t="s">
        <v>6</v>
      </c>
      <c r="C84" s="374" t="s">
        <v>7</v>
      </c>
      <c r="D84" s="380">
        <v>24</v>
      </c>
    </row>
    <row r="85" spans="1:4">
      <c r="A85" s="374" t="s">
        <v>599</v>
      </c>
      <c r="B85" s="374" t="s">
        <v>70</v>
      </c>
      <c r="C85" s="374" t="s">
        <v>71</v>
      </c>
      <c r="D85" s="380">
        <v>315</v>
      </c>
    </row>
    <row r="86" spans="1:4">
      <c r="A86" s="374" t="s">
        <v>595</v>
      </c>
      <c r="B86" s="374" t="s">
        <v>373</v>
      </c>
      <c r="C86" s="374" t="s">
        <v>374</v>
      </c>
      <c r="D86" s="380">
        <v>6</v>
      </c>
    </row>
    <row r="87" spans="1:4">
      <c r="A87" s="374" t="s">
        <v>595</v>
      </c>
      <c r="B87" s="374" t="s">
        <v>510</v>
      </c>
      <c r="C87" s="374" t="s">
        <v>511</v>
      </c>
      <c r="D87" s="380">
        <v>229</v>
      </c>
    </row>
    <row r="88" spans="1:4">
      <c r="A88" s="374" t="s">
        <v>605</v>
      </c>
      <c r="B88" s="374" t="s">
        <v>553</v>
      </c>
      <c r="C88" s="374" t="s">
        <v>554</v>
      </c>
      <c r="D88" s="380">
        <v>359</v>
      </c>
    </row>
    <row r="89" spans="1:4">
      <c r="A89" s="374" t="s">
        <v>601</v>
      </c>
      <c r="B89" s="374" t="s">
        <v>90</v>
      </c>
      <c r="C89" s="374" t="s">
        <v>91</v>
      </c>
      <c r="D89" s="380">
        <v>2</v>
      </c>
    </row>
    <row r="90" spans="1:4">
      <c r="A90" s="374" t="s">
        <v>601</v>
      </c>
      <c r="B90" s="374" t="s">
        <v>25</v>
      </c>
      <c r="C90" s="374" t="s">
        <v>26</v>
      </c>
      <c r="D90" s="380">
        <v>213</v>
      </c>
    </row>
    <row r="91" spans="1:4">
      <c r="A91" s="374" t="s">
        <v>595</v>
      </c>
      <c r="B91" s="374" t="s">
        <v>405</v>
      </c>
      <c r="C91" s="374" t="s">
        <v>406</v>
      </c>
      <c r="D91" s="380">
        <v>713</v>
      </c>
    </row>
    <row r="92" spans="1:4">
      <c r="A92" s="374" t="s">
        <v>603</v>
      </c>
      <c r="B92" s="374" t="s">
        <v>432</v>
      </c>
      <c r="C92" s="374" t="s">
        <v>433</v>
      </c>
      <c r="D92" s="380">
        <v>137</v>
      </c>
    </row>
    <row r="93" spans="1:4">
      <c r="A93" s="374" t="s">
        <v>603</v>
      </c>
      <c r="B93" s="374" t="s">
        <v>430</v>
      </c>
      <c r="C93" s="374" t="s">
        <v>431</v>
      </c>
      <c r="D93" s="380">
        <v>14</v>
      </c>
    </row>
    <row r="94" spans="1:4">
      <c r="A94" s="374" t="s">
        <v>597</v>
      </c>
      <c r="B94" s="374" t="s">
        <v>179</v>
      </c>
      <c r="C94" s="374" t="s">
        <v>180</v>
      </c>
      <c r="D94" s="380">
        <v>73</v>
      </c>
    </row>
    <row r="95" spans="1:4">
      <c r="A95" s="374" t="s">
        <v>595</v>
      </c>
      <c r="B95" s="374" t="s">
        <v>512</v>
      </c>
      <c r="C95" s="374" t="s">
        <v>513</v>
      </c>
      <c r="D95" s="380">
        <v>131</v>
      </c>
    </row>
    <row r="96" spans="1:4">
      <c r="A96" s="374" t="s">
        <v>601</v>
      </c>
      <c r="B96" s="374" t="s">
        <v>319</v>
      </c>
      <c r="C96" s="374" t="s">
        <v>320</v>
      </c>
      <c r="D96" s="380">
        <v>14</v>
      </c>
    </row>
    <row r="97" spans="1:4">
      <c r="A97" s="374" t="s">
        <v>595</v>
      </c>
      <c r="B97" s="374" t="s">
        <v>409</v>
      </c>
      <c r="C97" s="374" t="s">
        <v>410</v>
      </c>
      <c r="D97" s="380">
        <v>417</v>
      </c>
    </row>
    <row r="98" spans="1:4">
      <c r="A98" s="374" t="s">
        <v>594</v>
      </c>
      <c r="B98" s="374" t="s">
        <v>139</v>
      </c>
      <c r="C98" s="374" t="s">
        <v>140</v>
      </c>
      <c r="D98" s="380">
        <v>19</v>
      </c>
    </row>
    <row r="99" spans="1:4">
      <c r="A99" s="374" t="s">
        <v>601</v>
      </c>
      <c r="B99" s="374" t="s">
        <v>125</v>
      </c>
      <c r="C99" s="374" t="s">
        <v>126</v>
      </c>
      <c r="D99" s="380">
        <v>583</v>
      </c>
    </row>
    <row r="100" spans="1:4">
      <c r="A100" s="374" t="s">
        <v>594</v>
      </c>
      <c r="B100" s="374" t="s">
        <v>258</v>
      </c>
      <c r="C100" s="374" t="s">
        <v>259</v>
      </c>
      <c r="D100" s="380">
        <v>42</v>
      </c>
    </row>
    <row r="101" spans="1:4">
      <c r="A101" s="374" t="s">
        <v>605</v>
      </c>
      <c r="B101" s="374" t="s">
        <v>571</v>
      </c>
      <c r="C101" s="374" t="s">
        <v>572</v>
      </c>
      <c r="D101" s="380">
        <v>113</v>
      </c>
    </row>
    <row r="102" spans="1:4">
      <c r="A102" s="374" t="s">
        <v>595</v>
      </c>
      <c r="B102" s="374" t="s">
        <v>516</v>
      </c>
      <c r="C102" s="374" t="s">
        <v>517</v>
      </c>
      <c r="D102" s="380">
        <v>158</v>
      </c>
    </row>
    <row r="103" spans="1:4">
      <c r="A103" s="374" t="s">
        <v>595</v>
      </c>
      <c r="B103" s="374" t="s">
        <v>386</v>
      </c>
      <c r="C103" s="374" t="s">
        <v>610</v>
      </c>
      <c r="D103" s="380">
        <v>1405</v>
      </c>
    </row>
    <row r="104" spans="1:4">
      <c r="A104" s="374" t="s">
        <v>595</v>
      </c>
      <c r="B104" s="374" t="s">
        <v>399</v>
      </c>
      <c r="C104" s="374" t="s">
        <v>400</v>
      </c>
      <c r="D104" s="380">
        <v>2259</v>
      </c>
    </row>
    <row r="105" spans="1:4">
      <c r="A105" s="374" t="s">
        <v>605</v>
      </c>
      <c r="B105" s="374" t="s">
        <v>545</v>
      </c>
      <c r="C105" s="374" t="s">
        <v>546</v>
      </c>
      <c r="D105" s="380">
        <v>65</v>
      </c>
    </row>
    <row r="106" spans="1:4">
      <c r="A106" s="374" t="s">
        <v>594</v>
      </c>
      <c r="B106" s="374" t="s">
        <v>252</v>
      </c>
      <c r="C106" s="374" t="s">
        <v>253</v>
      </c>
      <c r="D106" s="380">
        <v>6</v>
      </c>
    </row>
    <row r="107" spans="1:4">
      <c r="A107" s="374" t="s">
        <v>599</v>
      </c>
      <c r="B107" s="374" t="s">
        <v>331</v>
      </c>
      <c r="C107" s="374" t="s">
        <v>611</v>
      </c>
      <c r="D107" s="380">
        <v>6</v>
      </c>
    </row>
    <row r="108" spans="1:4">
      <c r="A108" s="374" t="s">
        <v>595</v>
      </c>
      <c r="B108" s="374" t="s">
        <v>514</v>
      </c>
      <c r="C108" s="374" t="s">
        <v>515</v>
      </c>
      <c r="D108" s="380">
        <v>171</v>
      </c>
    </row>
    <row r="109" spans="1:4">
      <c r="A109" s="374" t="s">
        <v>596</v>
      </c>
      <c r="B109" s="374" t="s">
        <v>106</v>
      </c>
      <c r="C109" s="374" t="s">
        <v>107</v>
      </c>
      <c r="D109" s="380">
        <v>670</v>
      </c>
    </row>
    <row r="110" spans="1:4">
      <c r="A110" s="374" t="s">
        <v>600</v>
      </c>
      <c r="B110" s="374" t="s">
        <v>214</v>
      </c>
      <c r="C110" s="374" t="s">
        <v>215</v>
      </c>
      <c r="D110" s="380">
        <v>206</v>
      </c>
    </row>
    <row r="111" spans="1:4">
      <c r="A111" s="374" t="s">
        <v>600</v>
      </c>
      <c r="B111" s="374" t="s">
        <v>305</v>
      </c>
      <c r="C111" s="374" t="s">
        <v>306</v>
      </c>
      <c r="D111" s="380">
        <v>78</v>
      </c>
    </row>
    <row r="112" spans="1:4">
      <c r="A112" s="374" t="s">
        <v>594</v>
      </c>
      <c r="B112" s="374" t="s">
        <v>474</v>
      </c>
      <c r="C112" s="374" t="s">
        <v>475</v>
      </c>
      <c r="D112" s="380">
        <v>362</v>
      </c>
    </row>
    <row r="113" spans="1:4">
      <c r="A113" s="374" t="s">
        <v>597</v>
      </c>
      <c r="B113" s="374" t="s">
        <v>209</v>
      </c>
      <c r="C113" s="374" t="s">
        <v>210</v>
      </c>
      <c r="D113" s="380">
        <v>896</v>
      </c>
    </row>
    <row r="114" spans="1:4">
      <c r="A114" s="374" t="s">
        <v>595</v>
      </c>
      <c r="B114" s="374" t="s">
        <v>157</v>
      </c>
      <c r="C114" s="374" t="s">
        <v>158</v>
      </c>
      <c r="D114" s="380">
        <v>126</v>
      </c>
    </row>
    <row r="115" spans="1:4">
      <c r="A115" s="374" t="s">
        <v>599</v>
      </c>
      <c r="B115" s="374" t="s">
        <v>325</v>
      </c>
      <c r="C115" s="374" t="s">
        <v>326</v>
      </c>
      <c r="D115" s="380">
        <v>35</v>
      </c>
    </row>
    <row r="116" spans="1:4">
      <c r="A116" s="374" t="s">
        <v>594</v>
      </c>
      <c r="B116" s="374" t="s">
        <v>153</v>
      </c>
      <c r="C116" s="374" t="s">
        <v>154</v>
      </c>
      <c r="D116" s="380">
        <v>40</v>
      </c>
    </row>
    <row r="117" spans="1:4">
      <c r="A117" s="374" t="s">
        <v>601</v>
      </c>
      <c r="B117" s="374" t="s">
        <v>313</v>
      </c>
      <c r="C117" s="374" t="s">
        <v>314</v>
      </c>
      <c r="D117" s="380">
        <v>76</v>
      </c>
    </row>
    <row r="118" spans="1:4">
      <c r="A118" s="374" t="s">
        <v>594</v>
      </c>
      <c r="B118" s="374" t="s">
        <v>478</v>
      </c>
      <c r="C118" s="374" t="s">
        <v>479</v>
      </c>
      <c r="D118" s="380">
        <v>196</v>
      </c>
    </row>
    <row r="119" spans="1:4">
      <c r="A119" s="374" t="s">
        <v>601</v>
      </c>
      <c r="B119" s="374" t="s">
        <v>311</v>
      </c>
      <c r="C119" s="374" t="s">
        <v>312</v>
      </c>
      <c r="D119" s="380">
        <v>77</v>
      </c>
    </row>
    <row r="120" spans="1:4">
      <c r="A120" s="374" t="s">
        <v>594</v>
      </c>
      <c r="B120" s="374" t="s">
        <v>270</v>
      </c>
      <c r="C120" s="374" t="s">
        <v>271</v>
      </c>
      <c r="D120" s="380">
        <v>16</v>
      </c>
    </row>
    <row r="121" spans="1:4">
      <c r="A121" s="374" t="s">
        <v>595</v>
      </c>
      <c r="B121" s="374" t="s">
        <v>372</v>
      </c>
      <c r="C121" s="374" t="s">
        <v>613</v>
      </c>
      <c r="D121" s="380">
        <v>9</v>
      </c>
    </row>
    <row r="122" spans="1:4">
      <c r="A122" s="374" t="s">
        <v>601</v>
      </c>
      <c r="B122" s="374" t="s">
        <v>82</v>
      </c>
      <c r="C122" s="374" t="s">
        <v>83</v>
      </c>
      <c r="D122" s="380">
        <v>89</v>
      </c>
    </row>
    <row r="123" spans="1:4">
      <c r="A123" s="374" t="s">
        <v>601</v>
      </c>
      <c r="B123" s="374" t="s">
        <v>323</v>
      </c>
      <c r="C123" s="374" t="s">
        <v>324</v>
      </c>
      <c r="D123" s="380">
        <v>72</v>
      </c>
    </row>
    <row r="124" spans="1:4">
      <c r="A124" s="374" t="s">
        <v>597</v>
      </c>
      <c r="B124" s="374" t="s">
        <v>355</v>
      </c>
      <c r="C124" s="374" t="s">
        <v>356</v>
      </c>
      <c r="D124" s="380">
        <v>27</v>
      </c>
    </row>
    <row r="125" spans="1:4">
      <c r="A125" s="374" t="s">
        <v>596</v>
      </c>
      <c r="B125" s="374" t="s">
        <v>4</v>
      </c>
      <c r="C125" s="374" t="s">
        <v>5</v>
      </c>
      <c r="D125" s="380">
        <v>1311</v>
      </c>
    </row>
    <row r="126" spans="1:4">
      <c r="A126" s="374" t="s">
        <v>601</v>
      </c>
      <c r="B126" s="374" t="s">
        <v>86</v>
      </c>
      <c r="C126" s="374" t="s">
        <v>87</v>
      </c>
      <c r="D126" s="380">
        <v>19</v>
      </c>
    </row>
    <row r="127" spans="1:4">
      <c r="A127" s="374" t="s">
        <v>596</v>
      </c>
      <c r="B127" s="374" t="s">
        <v>104</v>
      </c>
      <c r="C127" s="374" t="s">
        <v>105</v>
      </c>
      <c r="D127" s="380">
        <v>4759</v>
      </c>
    </row>
    <row r="128" spans="1:4">
      <c r="A128" s="374" t="s">
        <v>601</v>
      </c>
      <c r="B128" s="374" t="s">
        <v>317</v>
      </c>
      <c r="C128" s="374" t="s">
        <v>318</v>
      </c>
      <c r="D128" s="380">
        <v>31</v>
      </c>
    </row>
    <row r="129" spans="1:4">
      <c r="A129" s="374" t="s">
        <v>596</v>
      </c>
      <c r="B129" s="374" t="s">
        <v>16</v>
      </c>
      <c r="C129" s="374" t="s">
        <v>17</v>
      </c>
      <c r="D129" s="380">
        <v>33</v>
      </c>
    </row>
    <row r="130" spans="1:4">
      <c r="A130" s="374" t="s">
        <v>597</v>
      </c>
      <c r="B130" s="374" t="s">
        <v>359</v>
      </c>
      <c r="C130" s="374" t="s">
        <v>360</v>
      </c>
      <c r="D130" s="380">
        <v>64</v>
      </c>
    </row>
    <row r="131" spans="1:4">
      <c r="A131" s="374" t="s">
        <v>596</v>
      </c>
      <c r="B131" s="374" t="s">
        <v>112</v>
      </c>
      <c r="C131" s="374" t="s">
        <v>113</v>
      </c>
      <c r="D131" s="380">
        <v>4</v>
      </c>
    </row>
    <row r="132" spans="1:4">
      <c r="A132" s="374" t="s">
        <v>600</v>
      </c>
      <c r="B132" s="374" t="s">
        <v>39</v>
      </c>
      <c r="C132" s="374" t="s">
        <v>40</v>
      </c>
      <c r="D132" s="380">
        <v>49</v>
      </c>
    </row>
    <row r="133" spans="1:4">
      <c r="A133" s="374" t="s">
        <v>600</v>
      </c>
      <c r="B133" s="374" t="s">
        <v>171</v>
      </c>
      <c r="C133" s="374" t="s">
        <v>172</v>
      </c>
      <c r="D133" s="380">
        <v>16</v>
      </c>
    </row>
    <row r="134" spans="1:4">
      <c r="A134" s="374" t="s">
        <v>596</v>
      </c>
      <c r="B134" s="374" t="s">
        <v>502</v>
      </c>
      <c r="C134" s="374" t="s">
        <v>503</v>
      </c>
      <c r="D134" s="380">
        <v>73</v>
      </c>
    </row>
    <row r="135" spans="1:4">
      <c r="A135" s="374" t="s">
        <v>596</v>
      </c>
      <c r="B135" s="374" t="s">
        <v>21</v>
      </c>
      <c r="C135" s="374" t="s">
        <v>22</v>
      </c>
      <c r="D135" s="380">
        <v>524</v>
      </c>
    </row>
    <row r="136" spans="1:4">
      <c r="A136" s="374" t="s">
        <v>603</v>
      </c>
      <c r="B136" s="374" t="s">
        <v>523</v>
      </c>
      <c r="C136" s="374" t="s">
        <v>524</v>
      </c>
      <c r="D136" s="380">
        <v>68</v>
      </c>
    </row>
    <row r="137" spans="1:4">
      <c r="A137" s="374" t="s">
        <v>597</v>
      </c>
      <c r="B137" s="374" t="s">
        <v>343</v>
      </c>
      <c r="C137" s="374" t="s">
        <v>344</v>
      </c>
      <c r="D137" s="380">
        <v>575</v>
      </c>
    </row>
    <row r="138" spans="1:4">
      <c r="A138" s="374" t="s">
        <v>600</v>
      </c>
      <c r="B138" s="374" t="s">
        <v>47</v>
      </c>
      <c r="C138" s="374" t="s">
        <v>48</v>
      </c>
      <c r="D138" s="380">
        <v>109</v>
      </c>
    </row>
    <row r="139" spans="1:4">
      <c r="A139" s="374" t="s">
        <v>594</v>
      </c>
      <c r="B139" s="374" t="s">
        <v>145</v>
      </c>
      <c r="C139" s="374" t="s">
        <v>146</v>
      </c>
      <c r="D139" s="380">
        <v>38</v>
      </c>
    </row>
    <row r="140" spans="1:4">
      <c r="A140" s="374" t="s">
        <v>601</v>
      </c>
      <c r="B140" s="374" t="s">
        <v>116</v>
      </c>
      <c r="C140" s="374" t="s">
        <v>117</v>
      </c>
      <c r="D140" s="380">
        <v>830</v>
      </c>
    </row>
    <row r="141" spans="1:4">
      <c r="A141" s="374" t="s">
        <v>594</v>
      </c>
      <c r="B141" s="374" t="s">
        <v>327</v>
      </c>
      <c r="C141" s="374" t="s">
        <v>328</v>
      </c>
      <c r="D141" s="380">
        <v>65</v>
      </c>
    </row>
    <row r="142" spans="1:4">
      <c r="A142" s="374" t="s">
        <v>597</v>
      </c>
      <c r="B142" s="374" t="s">
        <v>185</v>
      </c>
      <c r="C142" s="374" t="s">
        <v>186</v>
      </c>
      <c r="D142" s="380">
        <v>2040</v>
      </c>
    </row>
    <row r="143" spans="1:4">
      <c r="A143" s="374" t="s">
        <v>596</v>
      </c>
      <c r="B143" s="374" t="s">
        <v>23</v>
      </c>
      <c r="C143" s="374" t="s">
        <v>24</v>
      </c>
      <c r="D143" s="380">
        <v>238</v>
      </c>
    </row>
    <row r="144" spans="1:4">
      <c r="A144" s="374" t="s">
        <v>599</v>
      </c>
      <c r="B144" s="374" t="s">
        <v>64</v>
      </c>
      <c r="C144" s="374" t="s">
        <v>65</v>
      </c>
      <c r="D144" s="380">
        <v>68</v>
      </c>
    </row>
    <row r="145" spans="1:4">
      <c r="A145" s="374" t="s">
        <v>603</v>
      </c>
      <c r="B145" s="374" t="s">
        <v>446</v>
      </c>
      <c r="C145" s="374" t="s">
        <v>447</v>
      </c>
      <c r="D145" s="380">
        <v>5</v>
      </c>
    </row>
    <row r="146" spans="1:4">
      <c r="A146" s="374" t="s">
        <v>597</v>
      </c>
      <c r="B146" s="374" t="s">
        <v>193</v>
      </c>
      <c r="C146" s="374" t="s">
        <v>194</v>
      </c>
      <c r="D146" s="380">
        <v>58</v>
      </c>
    </row>
    <row r="147" spans="1:4">
      <c r="A147" s="374" t="s">
        <v>594</v>
      </c>
      <c r="B147" s="374" t="s">
        <v>484</v>
      </c>
      <c r="C147" s="374" t="s">
        <v>485</v>
      </c>
      <c r="D147" s="380">
        <v>112</v>
      </c>
    </row>
    <row r="148" spans="1:4">
      <c r="A148" s="374" t="s">
        <v>599</v>
      </c>
      <c r="B148" s="374" t="s">
        <v>244</v>
      </c>
      <c r="C148" s="374" t="s">
        <v>245</v>
      </c>
      <c r="D148" s="380">
        <v>12</v>
      </c>
    </row>
    <row r="149" spans="1:4">
      <c r="A149" s="374" t="s">
        <v>605</v>
      </c>
      <c r="B149" s="374" t="s">
        <v>123</v>
      </c>
      <c r="C149" s="374" t="s">
        <v>124</v>
      </c>
      <c r="D149" s="380">
        <v>559</v>
      </c>
    </row>
    <row r="150" spans="1:4">
      <c r="A150" s="374" t="s">
        <v>595</v>
      </c>
      <c r="B150" s="374" t="s">
        <v>375</v>
      </c>
      <c r="C150" s="374" t="s">
        <v>614</v>
      </c>
      <c r="D150" s="380">
        <v>30</v>
      </c>
    </row>
    <row r="151" spans="1:4">
      <c r="A151" s="374" t="s">
        <v>597</v>
      </c>
      <c r="B151" s="374" t="s">
        <v>173</v>
      </c>
      <c r="C151" s="374" t="s">
        <v>174</v>
      </c>
      <c r="D151" s="380">
        <v>5298</v>
      </c>
    </row>
    <row r="152" spans="1:4">
      <c r="A152" s="374" t="s">
        <v>595</v>
      </c>
      <c r="B152" s="374" t="s">
        <v>379</v>
      </c>
      <c r="C152" s="374" t="s">
        <v>615</v>
      </c>
      <c r="D152" s="380">
        <v>225</v>
      </c>
    </row>
    <row r="153" spans="1:4">
      <c r="A153" s="374" t="s">
        <v>605</v>
      </c>
      <c r="B153" s="374" t="s">
        <v>551</v>
      </c>
      <c r="C153" s="374" t="s">
        <v>552</v>
      </c>
      <c r="D153" s="380">
        <v>174</v>
      </c>
    </row>
    <row r="154" spans="1:4">
      <c r="A154" s="374" t="s">
        <v>600</v>
      </c>
      <c r="B154" s="374" t="s">
        <v>43</v>
      </c>
      <c r="C154" s="374" t="s">
        <v>44</v>
      </c>
      <c r="D154" s="380">
        <v>40</v>
      </c>
    </row>
    <row r="155" spans="1:4">
      <c r="A155" s="374" t="s">
        <v>594</v>
      </c>
      <c r="B155" s="374" t="s">
        <v>299</v>
      </c>
      <c r="C155" s="374" t="s">
        <v>300</v>
      </c>
      <c r="D155" s="380">
        <v>272</v>
      </c>
    </row>
    <row r="156" spans="1:4">
      <c r="A156" s="374" t="s">
        <v>597</v>
      </c>
      <c r="B156" s="374" t="s">
        <v>203</v>
      </c>
      <c r="C156" s="374" t="s">
        <v>204</v>
      </c>
      <c r="D156" s="380">
        <v>562</v>
      </c>
    </row>
    <row r="157" spans="1:4">
      <c r="A157" s="374" t="s">
        <v>595</v>
      </c>
      <c r="B157" s="374" t="s">
        <v>411</v>
      </c>
      <c r="C157" s="374" t="s">
        <v>412</v>
      </c>
      <c r="D157" s="380">
        <v>230</v>
      </c>
    </row>
    <row r="158" spans="1:4">
      <c r="A158" s="374" t="s">
        <v>597</v>
      </c>
      <c r="B158" s="374" t="s">
        <v>199</v>
      </c>
      <c r="C158" s="374" t="s">
        <v>200</v>
      </c>
      <c r="D158" s="380">
        <v>89</v>
      </c>
    </row>
    <row r="159" spans="1:4">
      <c r="A159" s="374" t="s">
        <v>601</v>
      </c>
      <c r="B159" s="374" t="s">
        <v>121</v>
      </c>
      <c r="C159" s="374" t="s">
        <v>122</v>
      </c>
      <c r="D159" s="380">
        <v>92</v>
      </c>
    </row>
    <row r="160" spans="1:4">
      <c r="A160" s="374" t="s">
        <v>594</v>
      </c>
      <c r="B160" s="374" t="s">
        <v>329</v>
      </c>
      <c r="C160" s="374" t="s">
        <v>330</v>
      </c>
      <c r="D160" s="380">
        <v>85</v>
      </c>
    </row>
    <row r="161" spans="1:4">
      <c r="A161" s="374" t="s">
        <v>600</v>
      </c>
      <c r="B161" s="374" t="s">
        <v>218</v>
      </c>
      <c r="C161" s="374" t="s">
        <v>219</v>
      </c>
      <c r="D161" s="380">
        <v>62</v>
      </c>
    </row>
    <row r="162" spans="1:4">
      <c r="A162" s="374" t="s">
        <v>595</v>
      </c>
      <c r="B162" s="374" t="s">
        <v>161</v>
      </c>
      <c r="C162" s="374" t="s">
        <v>162</v>
      </c>
      <c r="D162" s="380">
        <v>10</v>
      </c>
    </row>
    <row r="163" spans="1:4">
      <c r="A163" s="374" t="s">
        <v>594</v>
      </c>
      <c r="B163" s="374" t="s">
        <v>295</v>
      </c>
      <c r="C163" s="374" t="s">
        <v>296</v>
      </c>
      <c r="D163" s="380">
        <v>3</v>
      </c>
    </row>
    <row r="164" spans="1:4">
      <c r="A164" s="374" t="s">
        <v>603</v>
      </c>
      <c r="B164" s="374" t="s">
        <v>422</v>
      </c>
      <c r="C164" s="374" t="s">
        <v>423</v>
      </c>
      <c r="D164" s="380">
        <v>1083</v>
      </c>
    </row>
    <row r="165" spans="1:4">
      <c r="A165" s="374" t="s">
        <v>595</v>
      </c>
      <c r="B165" s="374" t="s">
        <v>421</v>
      </c>
      <c r="C165" s="374" t="s">
        <v>616</v>
      </c>
      <c r="D165" s="380">
        <v>76</v>
      </c>
    </row>
    <row r="166" spans="1:4">
      <c r="A166" s="374" t="s">
        <v>597</v>
      </c>
      <c r="B166" s="374" t="s">
        <v>342</v>
      </c>
      <c r="C166" s="374" t="s">
        <v>617</v>
      </c>
      <c r="D166" s="380">
        <v>74</v>
      </c>
    </row>
    <row r="167" spans="1:4">
      <c r="A167" s="374" t="s">
        <v>599</v>
      </c>
      <c r="B167" s="374" t="s">
        <v>393</v>
      </c>
      <c r="C167" s="374" t="s">
        <v>394</v>
      </c>
      <c r="D167" s="380">
        <v>21</v>
      </c>
    </row>
    <row r="168" spans="1:4">
      <c r="A168" s="374" t="s">
        <v>595</v>
      </c>
      <c r="B168" s="374" t="s">
        <v>415</v>
      </c>
      <c r="C168" s="374" t="s">
        <v>416</v>
      </c>
      <c r="D168" s="380">
        <v>101</v>
      </c>
    </row>
    <row r="169" spans="1:4">
      <c r="A169" s="374" t="s">
        <v>597</v>
      </c>
      <c r="B169" s="374" t="s">
        <v>351</v>
      </c>
      <c r="C169" s="374" t="s">
        <v>352</v>
      </c>
      <c r="D169" s="380">
        <v>208</v>
      </c>
    </row>
    <row r="170" spans="1:4">
      <c r="A170" s="374" t="s">
        <v>605</v>
      </c>
      <c r="B170" s="374" t="s">
        <v>557</v>
      </c>
      <c r="C170" s="374" t="s">
        <v>558</v>
      </c>
      <c r="D170" s="380">
        <v>1672</v>
      </c>
    </row>
    <row r="171" spans="1:4">
      <c r="A171" s="374" t="s">
        <v>597</v>
      </c>
      <c r="B171" s="374" t="s">
        <v>345</v>
      </c>
      <c r="C171" s="374" t="s">
        <v>346</v>
      </c>
      <c r="D171" s="380">
        <v>1868</v>
      </c>
    </row>
    <row r="172" spans="1:4">
      <c r="A172" s="374" t="s">
        <v>597</v>
      </c>
      <c r="B172" s="374" t="s">
        <v>197</v>
      </c>
      <c r="C172" s="374" t="s">
        <v>198</v>
      </c>
      <c r="D172" s="380">
        <v>156</v>
      </c>
    </row>
    <row r="173" spans="1:4">
      <c r="A173" s="374" t="s">
        <v>594</v>
      </c>
      <c r="B173" s="374" t="s">
        <v>486</v>
      </c>
      <c r="C173" s="374" t="s">
        <v>487</v>
      </c>
      <c r="D173" s="380">
        <v>14</v>
      </c>
    </row>
    <row r="174" spans="1:4">
      <c r="A174" s="374" t="s">
        <v>594</v>
      </c>
      <c r="B174" s="374" t="s">
        <v>268</v>
      </c>
      <c r="C174" s="374" t="s">
        <v>269</v>
      </c>
      <c r="D174" s="380">
        <v>21</v>
      </c>
    </row>
    <row r="175" spans="1:4">
      <c r="A175" s="374" t="s">
        <v>601</v>
      </c>
      <c r="B175" s="374" t="s">
        <v>321</v>
      </c>
      <c r="C175" s="374" t="s">
        <v>322</v>
      </c>
      <c r="D175" s="380">
        <v>95</v>
      </c>
    </row>
    <row r="176" spans="1:4">
      <c r="A176" s="374" t="s">
        <v>605</v>
      </c>
      <c r="B176" s="374" t="s">
        <v>559</v>
      </c>
      <c r="C176" s="374" t="s">
        <v>560</v>
      </c>
      <c r="D176" s="380">
        <v>1140</v>
      </c>
    </row>
    <row r="177" spans="1:4">
      <c r="A177" s="374" t="s">
        <v>596</v>
      </c>
      <c r="B177" s="374" t="s">
        <v>496</v>
      </c>
      <c r="C177" s="374" t="s">
        <v>497</v>
      </c>
      <c r="D177" s="380">
        <v>24</v>
      </c>
    </row>
    <row r="178" spans="1:4">
      <c r="A178" s="374" t="s">
        <v>597</v>
      </c>
      <c r="B178" s="374" t="s">
        <v>191</v>
      </c>
      <c r="C178" s="374" t="s">
        <v>192</v>
      </c>
      <c r="D178" s="380">
        <v>977</v>
      </c>
    </row>
    <row r="179" spans="1:4">
      <c r="A179" s="374" t="s">
        <v>594</v>
      </c>
      <c r="B179" s="374" t="s">
        <v>476</v>
      </c>
      <c r="C179" s="374" t="s">
        <v>477</v>
      </c>
      <c r="D179" s="380">
        <v>96</v>
      </c>
    </row>
    <row r="180" spans="1:4">
      <c r="A180" s="374" t="s">
        <v>605</v>
      </c>
      <c r="B180" s="374" t="s">
        <v>543</v>
      </c>
      <c r="C180" s="374" t="s">
        <v>544</v>
      </c>
      <c r="D180" s="380">
        <v>126</v>
      </c>
    </row>
    <row r="181" spans="1:4">
      <c r="A181" s="374" t="s">
        <v>597</v>
      </c>
      <c r="B181" s="374" t="s">
        <v>349</v>
      </c>
      <c r="C181" s="374" t="s">
        <v>350</v>
      </c>
      <c r="D181" s="380">
        <v>108</v>
      </c>
    </row>
    <row r="182" spans="1:4">
      <c r="A182" s="374" t="s">
        <v>599</v>
      </c>
      <c r="B182" s="374" t="s">
        <v>49</v>
      </c>
      <c r="C182" s="374" t="s">
        <v>50</v>
      </c>
      <c r="D182" s="380">
        <v>1867</v>
      </c>
    </row>
    <row r="183" spans="1:4">
      <c r="A183" s="374" t="s">
        <v>597</v>
      </c>
      <c r="B183" s="374" t="s">
        <v>183</v>
      </c>
      <c r="C183" s="374" t="s">
        <v>184</v>
      </c>
      <c r="D183" s="380">
        <v>20</v>
      </c>
    </row>
    <row r="184" spans="1:4">
      <c r="A184" s="374" t="s">
        <v>599</v>
      </c>
      <c r="B184" s="374" t="s">
        <v>488</v>
      </c>
      <c r="C184" s="374" t="s">
        <v>489</v>
      </c>
      <c r="D184" s="380">
        <v>2</v>
      </c>
    </row>
    <row r="185" spans="1:4">
      <c r="A185" s="374" t="s">
        <v>605</v>
      </c>
      <c r="B185" s="374" t="s">
        <v>114</v>
      </c>
      <c r="C185" s="374" t="s">
        <v>115</v>
      </c>
      <c r="D185" s="380">
        <v>1156</v>
      </c>
    </row>
    <row r="186" spans="1:4">
      <c r="A186" s="374" t="s">
        <v>596</v>
      </c>
      <c r="B186" s="374" t="s">
        <v>492</v>
      </c>
      <c r="C186" s="374" t="s">
        <v>493</v>
      </c>
      <c r="D186" s="380">
        <v>769</v>
      </c>
    </row>
    <row r="187" spans="1:4">
      <c r="A187" s="374" t="s">
        <v>605</v>
      </c>
      <c r="B187" s="374" t="s">
        <v>567</v>
      </c>
      <c r="C187" s="374" t="s">
        <v>568</v>
      </c>
      <c r="D187" s="380">
        <v>814</v>
      </c>
    </row>
    <row r="188" spans="1:4">
      <c r="A188" s="374" t="s">
        <v>601</v>
      </c>
      <c r="B188" s="374" t="s">
        <v>118</v>
      </c>
      <c r="C188" s="374" t="s">
        <v>119</v>
      </c>
      <c r="D188" s="380">
        <v>290</v>
      </c>
    </row>
    <row r="189" spans="1:4">
      <c r="A189" s="374" t="s">
        <v>599</v>
      </c>
      <c r="B189" s="374" t="s">
        <v>56</v>
      </c>
      <c r="C189" s="374" t="s">
        <v>57</v>
      </c>
      <c r="D189" s="380">
        <v>45</v>
      </c>
    </row>
    <row r="190" spans="1:4">
      <c r="A190" s="374" t="s">
        <v>601</v>
      </c>
      <c r="B190" s="374" t="s">
        <v>92</v>
      </c>
      <c r="C190" s="374" t="s">
        <v>93</v>
      </c>
      <c r="D190" s="380">
        <v>29</v>
      </c>
    </row>
    <row r="191" spans="1:4">
      <c r="A191" s="374" t="s">
        <v>601</v>
      </c>
      <c r="B191" s="374" t="s">
        <v>37</v>
      </c>
      <c r="C191" s="374" t="s">
        <v>38</v>
      </c>
      <c r="D191" s="380">
        <v>1464</v>
      </c>
    </row>
    <row r="192" spans="1:4">
      <c r="A192" s="374" t="s">
        <v>603</v>
      </c>
      <c r="B192" s="374" t="s">
        <v>443</v>
      </c>
      <c r="C192" s="374" t="s">
        <v>618</v>
      </c>
      <c r="D192" s="380">
        <v>90</v>
      </c>
    </row>
    <row r="193" spans="1:4">
      <c r="A193" s="374" t="s">
        <v>605</v>
      </c>
      <c r="B193" s="374" t="s">
        <v>569</v>
      </c>
      <c r="C193" s="374" t="s">
        <v>570</v>
      </c>
      <c r="D193" s="380">
        <v>53</v>
      </c>
    </row>
    <row r="194" spans="1:4">
      <c r="A194" s="374" t="s">
        <v>597</v>
      </c>
      <c r="B194" s="374" t="s">
        <v>367</v>
      </c>
      <c r="C194" s="374" t="s">
        <v>368</v>
      </c>
      <c r="D194" s="380">
        <v>34</v>
      </c>
    </row>
    <row r="195" spans="1:4">
      <c r="A195" s="374" t="s">
        <v>599</v>
      </c>
      <c r="B195" s="374" t="s">
        <v>248</v>
      </c>
      <c r="C195" s="374" t="s">
        <v>249</v>
      </c>
      <c r="D195" s="380">
        <v>189</v>
      </c>
    </row>
    <row r="196" spans="1:4">
      <c r="A196" s="374" t="s">
        <v>594</v>
      </c>
      <c r="B196" s="374" t="s">
        <v>332</v>
      </c>
      <c r="C196" s="374" t="s">
        <v>333</v>
      </c>
      <c r="D196" s="380">
        <v>11</v>
      </c>
    </row>
    <row r="197" spans="1:4">
      <c r="A197" s="374" t="s">
        <v>594</v>
      </c>
      <c r="B197" s="374" t="s">
        <v>264</v>
      </c>
      <c r="C197" s="374" t="s">
        <v>265</v>
      </c>
      <c r="D197" s="380">
        <v>70</v>
      </c>
    </row>
    <row r="198" spans="1:4">
      <c r="A198" s="374" t="s">
        <v>599</v>
      </c>
      <c r="B198" s="374" t="s">
        <v>78</v>
      </c>
      <c r="C198" s="374" t="s">
        <v>79</v>
      </c>
      <c r="D198" s="380">
        <v>99</v>
      </c>
    </row>
    <row r="199" spans="1:4">
      <c r="A199" s="374" t="s">
        <v>605</v>
      </c>
      <c r="B199" s="374" t="s">
        <v>547</v>
      </c>
      <c r="C199" s="374" t="s">
        <v>548</v>
      </c>
      <c r="D199" s="380">
        <v>3769</v>
      </c>
    </row>
    <row r="200" spans="1:4">
      <c r="A200" s="374" t="s">
        <v>594</v>
      </c>
      <c r="B200" s="374" t="s">
        <v>472</v>
      </c>
      <c r="C200" s="374" t="s">
        <v>619</v>
      </c>
      <c r="D200" s="380">
        <v>46</v>
      </c>
    </row>
    <row r="201" spans="1:4">
      <c r="A201" s="374" t="s">
        <v>605</v>
      </c>
      <c r="B201" s="374" t="s">
        <v>565</v>
      </c>
      <c r="C201" s="374" t="s">
        <v>566</v>
      </c>
      <c r="D201" s="380">
        <v>148</v>
      </c>
    </row>
    <row r="202" spans="1:4">
      <c r="D202" s="374">
        <f>SUM(D9:D201)</f>
        <v>82737</v>
      </c>
    </row>
    <row r="203" spans="1:4">
      <c r="D203" s="380"/>
    </row>
    <row r="205" spans="1:4">
      <c r="D205" s="380"/>
    </row>
    <row r="206" spans="1:4">
      <c r="D206" s="381"/>
    </row>
  </sheetData>
  <mergeCells count="1">
    <mergeCell ref="A1:B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3"/>
  <dimension ref="A1:J309"/>
  <sheetViews>
    <sheetView topLeftCell="B1" workbookViewId="0">
      <selection activeCell="F2" sqref="F2"/>
    </sheetView>
  </sheetViews>
  <sheetFormatPr defaultColWidth="9.140625" defaultRowHeight="15"/>
  <cols>
    <col min="1" max="1" width="9.140625" style="391"/>
    <col min="2" max="2" width="25.140625" style="391" customWidth="1"/>
    <col min="3" max="3" width="11.42578125" style="470" customWidth="1"/>
    <col min="4" max="4" width="11.42578125" style="471" customWidth="1"/>
    <col min="5" max="16384" width="9.140625" style="391"/>
  </cols>
  <sheetData>
    <row r="1" spans="1:10" ht="30">
      <c r="A1" s="458" t="s">
        <v>709</v>
      </c>
      <c r="B1" s="459" t="s">
        <v>578</v>
      </c>
      <c r="C1" s="460" t="s">
        <v>870</v>
      </c>
      <c r="D1" s="460" t="s">
        <v>745</v>
      </c>
      <c r="F1" s="910" t="s">
        <v>871</v>
      </c>
      <c r="G1" s="910"/>
      <c r="H1" s="910"/>
      <c r="I1" s="910"/>
      <c r="J1" s="910"/>
    </row>
    <row r="2" spans="1:10">
      <c r="A2" s="461" t="s">
        <v>132</v>
      </c>
      <c r="B2" s="462" t="s">
        <v>133</v>
      </c>
      <c r="C2" s="463"/>
      <c r="D2" s="464">
        <v>10</v>
      </c>
    </row>
    <row r="3" spans="1:10">
      <c r="A3" s="461" t="s">
        <v>262</v>
      </c>
      <c r="B3" s="462" t="s">
        <v>263</v>
      </c>
      <c r="C3" s="463"/>
      <c r="D3" s="464"/>
    </row>
    <row r="4" spans="1:10">
      <c r="A4" s="461" t="s">
        <v>283</v>
      </c>
      <c r="B4" s="462" t="s">
        <v>284</v>
      </c>
      <c r="C4" s="463"/>
      <c r="D4" s="464"/>
    </row>
    <row r="5" spans="1:10">
      <c r="A5" s="465" t="s">
        <v>380</v>
      </c>
      <c r="B5" s="466" t="s">
        <v>381</v>
      </c>
      <c r="C5" s="463"/>
      <c r="D5" s="464"/>
    </row>
    <row r="6" spans="1:10">
      <c r="A6" s="461" t="s">
        <v>403</v>
      </c>
      <c r="B6" s="462" t="s">
        <v>404</v>
      </c>
      <c r="C6" s="463"/>
      <c r="D6" s="464"/>
    </row>
    <row r="7" spans="1:10">
      <c r="A7" s="461" t="s">
        <v>12</v>
      </c>
      <c r="B7" s="462" t="s">
        <v>13</v>
      </c>
      <c r="C7" s="463"/>
      <c r="D7" s="464"/>
    </row>
    <row r="8" spans="1:10">
      <c r="A8" s="461" t="s">
        <v>195</v>
      </c>
      <c r="B8" s="462" t="s">
        <v>196</v>
      </c>
      <c r="C8" s="463"/>
      <c r="D8" s="464"/>
    </row>
    <row r="9" spans="1:10">
      <c r="A9" s="461" t="s">
        <v>213</v>
      </c>
      <c r="B9" s="462" t="s">
        <v>598</v>
      </c>
      <c r="C9" s="463"/>
      <c r="D9" s="464"/>
    </row>
    <row r="10" spans="1:10">
      <c r="A10" s="467" t="s">
        <v>666</v>
      </c>
      <c r="B10" s="462" t="s">
        <v>667</v>
      </c>
      <c r="C10" s="463"/>
      <c r="D10" s="464"/>
    </row>
    <row r="11" spans="1:10">
      <c r="A11" s="461" t="s">
        <v>62</v>
      </c>
      <c r="B11" s="462" t="s">
        <v>63</v>
      </c>
      <c r="C11" s="463"/>
      <c r="D11" s="464">
        <v>20</v>
      </c>
    </row>
    <row r="12" spans="1:10">
      <c r="A12" s="461" t="s">
        <v>189</v>
      </c>
      <c r="B12" s="462" t="s">
        <v>190</v>
      </c>
      <c r="C12" s="463"/>
      <c r="D12" s="464"/>
    </row>
    <row r="13" spans="1:10">
      <c r="A13" s="461" t="s">
        <v>504</v>
      </c>
      <c r="B13" s="462" t="s">
        <v>505</v>
      </c>
      <c r="C13" s="463"/>
      <c r="D13" s="464"/>
    </row>
    <row r="14" spans="1:10">
      <c r="A14" s="461" t="s">
        <v>2</v>
      </c>
      <c r="B14" s="462" t="s">
        <v>3</v>
      </c>
      <c r="C14" s="463"/>
      <c r="D14" s="464"/>
    </row>
    <row r="15" spans="1:10">
      <c r="A15" s="461" t="s">
        <v>363</v>
      </c>
      <c r="B15" s="462" t="s">
        <v>364</v>
      </c>
      <c r="C15" s="463"/>
      <c r="D15" s="464"/>
    </row>
    <row r="16" spans="1:10">
      <c r="A16" s="461" t="s">
        <v>234</v>
      </c>
      <c r="B16" s="462" t="s">
        <v>235</v>
      </c>
      <c r="C16" s="463"/>
      <c r="D16" s="464"/>
    </row>
    <row r="17" spans="1:4">
      <c r="A17" s="461" t="s">
        <v>508</v>
      </c>
      <c r="B17" s="462" t="s">
        <v>509</v>
      </c>
      <c r="C17" s="463"/>
      <c r="D17" s="464"/>
    </row>
    <row r="18" spans="1:4">
      <c r="A18" s="461" t="s">
        <v>266</v>
      </c>
      <c r="B18" s="462" t="s">
        <v>267</v>
      </c>
      <c r="C18" s="463"/>
      <c r="D18" s="464"/>
    </row>
    <row r="19" spans="1:4">
      <c r="A19" s="461" t="s">
        <v>211</v>
      </c>
      <c r="B19" s="462" t="s">
        <v>212</v>
      </c>
      <c r="C19" s="463"/>
      <c r="D19" s="464"/>
    </row>
    <row r="20" spans="1:4">
      <c r="A20" s="461" t="s">
        <v>315</v>
      </c>
      <c r="B20" s="462" t="s">
        <v>316</v>
      </c>
      <c r="C20" s="463"/>
      <c r="D20" s="464"/>
    </row>
    <row r="21" spans="1:4">
      <c r="A21" s="461" t="s">
        <v>84</v>
      </c>
      <c r="B21" s="462" t="s">
        <v>85</v>
      </c>
      <c r="C21" s="463"/>
      <c r="D21" s="464"/>
    </row>
    <row r="22" spans="1:4">
      <c r="A22" s="461" t="s">
        <v>165</v>
      </c>
      <c r="B22" s="462" t="s">
        <v>166</v>
      </c>
      <c r="C22" s="463"/>
      <c r="D22" s="464"/>
    </row>
    <row r="23" spans="1:4">
      <c r="A23" s="461" t="s">
        <v>378</v>
      </c>
      <c r="B23" s="462" t="s">
        <v>602</v>
      </c>
      <c r="C23" s="463"/>
      <c r="D23" s="464"/>
    </row>
    <row r="24" spans="1:4">
      <c r="A24" s="461" t="s">
        <v>60</v>
      </c>
      <c r="B24" s="462" t="s">
        <v>61</v>
      </c>
      <c r="C24" s="463"/>
      <c r="D24" s="464"/>
    </row>
    <row r="25" spans="1:4">
      <c r="A25" s="461" t="s">
        <v>45</v>
      </c>
      <c r="B25" s="462" t="s">
        <v>46</v>
      </c>
      <c r="C25" s="463"/>
      <c r="D25" s="464"/>
    </row>
    <row r="26" spans="1:4">
      <c r="A26" s="461" t="s">
        <v>347</v>
      </c>
      <c r="B26" s="462" t="s">
        <v>348</v>
      </c>
      <c r="C26" s="463"/>
      <c r="D26" s="464"/>
    </row>
    <row r="27" spans="1:4">
      <c r="A27" s="461" t="s">
        <v>35</v>
      </c>
      <c r="B27" s="462" t="s">
        <v>36</v>
      </c>
      <c r="C27" s="463"/>
      <c r="D27" s="464"/>
    </row>
    <row r="28" spans="1:4">
      <c r="A28" s="461" t="s">
        <v>33</v>
      </c>
      <c r="B28" s="462" t="s">
        <v>34</v>
      </c>
      <c r="C28" s="463"/>
      <c r="D28" s="464"/>
    </row>
    <row r="29" spans="1:4">
      <c r="A29" s="461" t="s">
        <v>74</v>
      </c>
      <c r="B29" s="462" t="s">
        <v>75</v>
      </c>
      <c r="C29" s="463"/>
      <c r="D29" s="464"/>
    </row>
    <row r="30" spans="1:4">
      <c r="A30" s="461" t="s">
        <v>236</v>
      </c>
      <c r="B30" s="462" t="s">
        <v>237</v>
      </c>
      <c r="C30" s="463"/>
      <c r="D30" s="464"/>
    </row>
    <row r="31" spans="1:4">
      <c r="A31" s="461" t="s">
        <v>216</v>
      </c>
      <c r="B31" s="462" t="s">
        <v>217</v>
      </c>
      <c r="C31" s="463"/>
      <c r="D31" s="464"/>
    </row>
    <row r="32" spans="1:4">
      <c r="A32" s="461" t="s">
        <v>434</v>
      </c>
      <c r="B32" s="462" t="s">
        <v>435</v>
      </c>
      <c r="C32" s="463"/>
      <c r="D32" s="464"/>
    </row>
    <row r="33" spans="1:4">
      <c r="A33" s="461" t="s">
        <v>278</v>
      </c>
      <c r="B33" s="462" t="s">
        <v>279</v>
      </c>
      <c r="C33" s="463"/>
      <c r="D33" s="464"/>
    </row>
    <row r="34" spans="1:4">
      <c r="A34" s="461" t="s">
        <v>274</v>
      </c>
      <c r="B34" s="462" t="s">
        <v>275</v>
      </c>
      <c r="C34" s="463"/>
      <c r="D34" s="464"/>
    </row>
    <row r="35" spans="1:4">
      <c r="A35" s="461" t="s">
        <v>438</v>
      </c>
      <c r="B35" s="462" t="s">
        <v>439</v>
      </c>
      <c r="C35" s="463"/>
      <c r="D35" s="464">
        <v>1</v>
      </c>
    </row>
    <row r="36" spans="1:4">
      <c r="A36" s="461" t="s">
        <v>450</v>
      </c>
      <c r="B36" s="462" t="s">
        <v>451</v>
      </c>
      <c r="C36" s="463"/>
      <c r="D36" s="464"/>
    </row>
    <row r="37" spans="1:4">
      <c r="A37" s="461" t="s">
        <v>169</v>
      </c>
      <c r="B37" s="462" t="s">
        <v>170</v>
      </c>
      <c r="C37" s="463"/>
      <c r="D37" s="464"/>
    </row>
    <row r="38" spans="1:4">
      <c r="A38" s="461" t="s">
        <v>10</v>
      </c>
      <c r="B38" s="462" t="s">
        <v>11</v>
      </c>
      <c r="C38" s="463"/>
      <c r="D38" s="464"/>
    </row>
    <row r="39" spans="1:4">
      <c r="A39" s="461" t="s">
        <v>230</v>
      </c>
      <c r="B39" s="462" t="s">
        <v>231</v>
      </c>
      <c r="C39" s="463"/>
      <c r="D39" s="464"/>
    </row>
    <row r="40" spans="1:4">
      <c r="A40" s="461" t="s">
        <v>357</v>
      </c>
      <c r="B40" s="462" t="s">
        <v>358</v>
      </c>
      <c r="C40" s="463"/>
      <c r="D40" s="464"/>
    </row>
    <row r="41" spans="1:4">
      <c r="A41" s="467" t="s">
        <v>668</v>
      </c>
      <c r="B41" s="462" t="s">
        <v>669</v>
      </c>
      <c r="C41" s="463"/>
      <c r="D41" s="464"/>
    </row>
    <row r="42" spans="1:4">
      <c r="A42" s="461" t="s">
        <v>525</v>
      </c>
      <c r="B42" s="462" t="s">
        <v>526</v>
      </c>
      <c r="C42" s="463"/>
      <c r="D42" s="464"/>
    </row>
    <row r="43" spans="1:4">
      <c r="A43" s="461" t="s">
        <v>494</v>
      </c>
      <c r="B43" s="462" t="s">
        <v>495</v>
      </c>
      <c r="C43" s="463"/>
      <c r="D43" s="464"/>
    </row>
    <row r="44" spans="1:4">
      <c r="A44" s="461" t="s">
        <v>533</v>
      </c>
      <c r="B44" s="462" t="s">
        <v>534</v>
      </c>
      <c r="C44" s="463"/>
      <c r="D44" s="464"/>
    </row>
    <row r="45" spans="1:4">
      <c r="A45" s="461" t="s">
        <v>464</v>
      </c>
      <c r="B45" s="462" t="s">
        <v>465</v>
      </c>
      <c r="C45" s="463"/>
      <c r="D45" s="464"/>
    </row>
    <row r="46" spans="1:4">
      <c r="A46" s="461" t="s">
        <v>498</v>
      </c>
      <c r="B46" s="462" t="s">
        <v>499</v>
      </c>
      <c r="C46" s="463"/>
      <c r="D46" s="464"/>
    </row>
    <row r="47" spans="1:4">
      <c r="A47" s="461" t="s">
        <v>456</v>
      </c>
      <c r="B47" s="462" t="s">
        <v>457</v>
      </c>
      <c r="C47" s="463"/>
      <c r="D47" s="464"/>
    </row>
    <row r="48" spans="1:4">
      <c r="A48" s="461" t="s">
        <v>376</v>
      </c>
      <c r="B48" s="462" t="s">
        <v>377</v>
      </c>
      <c r="C48" s="463"/>
      <c r="D48" s="464"/>
    </row>
    <row r="49" spans="1:4">
      <c r="A49" s="461" t="s">
        <v>384</v>
      </c>
      <c r="B49" s="462" t="s">
        <v>385</v>
      </c>
      <c r="C49" s="463"/>
      <c r="D49" s="464"/>
    </row>
    <row r="50" spans="1:4">
      <c r="A50" s="461" t="s">
        <v>147</v>
      </c>
      <c r="B50" s="462" t="s">
        <v>148</v>
      </c>
      <c r="C50" s="463"/>
      <c r="D50" s="464"/>
    </row>
    <row r="51" spans="1:4">
      <c r="A51" s="461" t="s">
        <v>120</v>
      </c>
      <c r="B51" s="462" t="s">
        <v>654</v>
      </c>
      <c r="C51" s="463"/>
      <c r="D51" s="464"/>
    </row>
    <row r="52" spans="1:4">
      <c r="A52" s="461" t="s">
        <v>159</v>
      </c>
      <c r="B52" s="462" t="s">
        <v>160</v>
      </c>
      <c r="C52" s="463"/>
      <c r="D52" s="464"/>
    </row>
    <row r="53" spans="1:4">
      <c r="A53" s="461" t="s">
        <v>41</v>
      </c>
      <c r="B53" s="462" t="s">
        <v>42</v>
      </c>
      <c r="C53" s="463"/>
      <c r="D53" s="464"/>
    </row>
    <row r="54" spans="1:4">
      <c r="A54" s="461" t="s">
        <v>285</v>
      </c>
      <c r="B54" s="462" t="s">
        <v>286</v>
      </c>
      <c r="C54" s="463"/>
      <c r="D54" s="464"/>
    </row>
    <row r="55" spans="1:4">
      <c r="A55" s="461" t="s">
        <v>96</v>
      </c>
      <c r="B55" s="462" t="s">
        <v>97</v>
      </c>
      <c r="C55" s="463"/>
      <c r="D55" s="464"/>
    </row>
    <row r="56" spans="1:4">
      <c r="A56" s="461" t="s">
        <v>338</v>
      </c>
      <c r="B56" s="462" t="s">
        <v>339</v>
      </c>
      <c r="C56" s="463"/>
      <c r="D56" s="464"/>
    </row>
    <row r="57" spans="1:4">
      <c r="A57" s="461" t="s">
        <v>220</v>
      </c>
      <c r="B57" s="462" t="s">
        <v>221</v>
      </c>
      <c r="C57" s="463"/>
      <c r="D57" s="464"/>
    </row>
    <row r="58" spans="1:4">
      <c r="A58" s="461" t="s">
        <v>417</v>
      </c>
      <c r="B58" s="462" t="s">
        <v>418</v>
      </c>
      <c r="C58" s="463"/>
      <c r="D58" s="464"/>
    </row>
    <row r="59" spans="1:4">
      <c r="A59" s="461" t="s">
        <v>293</v>
      </c>
      <c r="B59" s="462" t="s">
        <v>294</v>
      </c>
      <c r="C59" s="463"/>
      <c r="D59" s="464"/>
    </row>
    <row r="60" spans="1:4">
      <c r="A60" s="461" t="s">
        <v>66</v>
      </c>
      <c r="B60" s="462" t="s">
        <v>67</v>
      </c>
      <c r="C60" s="463"/>
      <c r="D60" s="464"/>
    </row>
    <row r="61" spans="1:4">
      <c r="A61" s="461" t="s">
        <v>444</v>
      </c>
      <c r="B61" s="462" t="s">
        <v>445</v>
      </c>
      <c r="C61" s="463"/>
      <c r="D61" s="464"/>
    </row>
    <row r="62" spans="1:4">
      <c r="A62" s="461" t="s">
        <v>353</v>
      </c>
      <c r="B62" s="462" t="s">
        <v>354</v>
      </c>
      <c r="C62" s="463"/>
      <c r="D62" s="464"/>
    </row>
    <row r="63" spans="1:4">
      <c r="A63" s="461" t="s">
        <v>490</v>
      </c>
      <c r="B63" s="462" t="s">
        <v>491</v>
      </c>
      <c r="C63" s="463"/>
      <c r="D63" s="464"/>
    </row>
    <row r="64" spans="1:4">
      <c r="A64" s="461" t="s">
        <v>440</v>
      </c>
      <c r="B64" s="462" t="s">
        <v>674</v>
      </c>
      <c r="C64" s="463"/>
      <c r="D64" s="464"/>
    </row>
    <row r="65" spans="1:4">
      <c r="A65" s="461" t="s">
        <v>549</v>
      </c>
      <c r="B65" s="462" t="s">
        <v>550</v>
      </c>
      <c r="C65" s="463"/>
      <c r="D65" s="464"/>
    </row>
    <row r="66" spans="1:4">
      <c r="A66" s="461" t="s">
        <v>88</v>
      </c>
      <c r="B66" s="462" t="s">
        <v>89</v>
      </c>
      <c r="C66" s="463"/>
      <c r="D66" s="464"/>
    </row>
    <row r="67" spans="1:4">
      <c r="A67" s="461" t="s">
        <v>222</v>
      </c>
      <c r="B67" s="462" t="s">
        <v>223</v>
      </c>
      <c r="C67" s="463"/>
      <c r="D67" s="464"/>
    </row>
    <row r="68" spans="1:4">
      <c r="A68" s="461" t="s">
        <v>365</v>
      </c>
      <c r="B68" s="462" t="s">
        <v>366</v>
      </c>
      <c r="C68" s="463"/>
      <c r="D68" s="464"/>
    </row>
    <row r="69" spans="1:4">
      <c r="A69" s="461" t="s">
        <v>401</v>
      </c>
      <c r="B69" s="462" t="s">
        <v>402</v>
      </c>
      <c r="C69" s="463"/>
      <c r="D69" s="464">
        <v>9</v>
      </c>
    </row>
    <row r="70" spans="1:4">
      <c r="A70" s="461" t="s">
        <v>226</v>
      </c>
      <c r="B70" s="462" t="s">
        <v>227</v>
      </c>
      <c r="C70" s="463"/>
      <c r="D70" s="464"/>
    </row>
    <row r="71" spans="1:4">
      <c r="A71" s="461" t="s">
        <v>141</v>
      </c>
      <c r="B71" s="462" t="s">
        <v>142</v>
      </c>
      <c r="C71" s="463"/>
      <c r="D71" s="464"/>
    </row>
    <row r="72" spans="1:4">
      <c r="A72" s="461" t="s">
        <v>535</v>
      </c>
      <c r="B72" s="462" t="s">
        <v>536</v>
      </c>
      <c r="C72" s="463"/>
      <c r="D72" s="464"/>
    </row>
    <row r="73" spans="1:4">
      <c r="A73" s="461" t="s">
        <v>29</v>
      </c>
      <c r="B73" s="462" t="s">
        <v>30</v>
      </c>
      <c r="C73" s="463"/>
      <c r="D73" s="464"/>
    </row>
    <row r="74" spans="1:4">
      <c r="A74" s="461" t="s">
        <v>177</v>
      </c>
      <c r="B74" s="462" t="s">
        <v>178</v>
      </c>
      <c r="C74" s="463"/>
      <c r="D74" s="464"/>
    </row>
    <row r="75" spans="1:4">
      <c r="A75" s="461" t="s">
        <v>127</v>
      </c>
      <c r="B75" s="462" t="s">
        <v>128</v>
      </c>
      <c r="C75" s="463"/>
      <c r="D75" s="464"/>
    </row>
    <row r="76" spans="1:4">
      <c r="A76" s="467" t="s">
        <v>676</v>
      </c>
      <c r="B76" s="462" t="s">
        <v>677</v>
      </c>
      <c r="C76" s="463"/>
      <c r="D76" s="464"/>
    </row>
    <row r="77" spans="1:4">
      <c r="A77" s="461" t="s">
        <v>651</v>
      </c>
      <c r="B77" s="462" t="s">
        <v>652</v>
      </c>
      <c r="C77" s="463"/>
      <c r="D77" s="464"/>
    </row>
    <row r="78" spans="1:4">
      <c r="A78" s="461" t="s">
        <v>678</v>
      </c>
      <c r="B78" s="462" t="s">
        <v>679</v>
      </c>
      <c r="C78" s="463"/>
      <c r="D78" s="464"/>
    </row>
    <row r="79" spans="1:4">
      <c r="A79" s="467" t="s">
        <v>663</v>
      </c>
      <c r="B79" s="462" t="s">
        <v>664</v>
      </c>
      <c r="C79" s="463"/>
      <c r="D79" s="464"/>
    </row>
    <row r="80" spans="1:4">
      <c r="A80" s="467" t="s">
        <v>653</v>
      </c>
      <c r="B80" s="462" t="s">
        <v>604</v>
      </c>
      <c r="C80" s="463"/>
      <c r="D80" s="464"/>
    </row>
    <row r="81" spans="1:4">
      <c r="A81" s="461" t="s">
        <v>680</v>
      </c>
      <c r="B81" s="462" t="s">
        <v>604</v>
      </c>
      <c r="C81" s="463"/>
      <c r="D81" s="464"/>
    </row>
    <row r="82" spans="1:4">
      <c r="A82" s="467" t="s">
        <v>649</v>
      </c>
      <c r="B82" s="462" t="s">
        <v>650</v>
      </c>
      <c r="C82" s="463"/>
      <c r="D82" s="464"/>
    </row>
    <row r="83" spans="1:4">
      <c r="A83" s="461" t="s">
        <v>671</v>
      </c>
      <c r="B83" s="462" t="s">
        <v>672</v>
      </c>
      <c r="C83" s="463"/>
      <c r="D83" s="464"/>
    </row>
    <row r="84" spans="1:4">
      <c r="A84" s="461" t="s">
        <v>256</v>
      </c>
      <c r="B84" s="462" t="s">
        <v>257</v>
      </c>
      <c r="C84" s="463"/>
      <c r="D84" s="464"/>
    </row>
    <row r="85" spans="1:4">
      <c r="A85" s="461" t="s">
        <v>395</v>
      </c>
      <c r="B85" s="462" t="s">
        <v>396</v>
      </c>
      <c r="C85" s="463"/>
      <c r="D85" s="464"/>
    </row>
    <row r="86" spans="1:4">
      <c r="A86" s="461" t="s">
        <v>58</v>
      </c>
      <c r="B86" s="462" t="s">
        <v>59</v>
      </c>
      <c r="C86" s="463"/>
      <c r="D86" s="464"/>
    </row>
    <row r="87" spans="1:4">
      <c r="A87" s="461" t="s">
        <v>462</v>
      </c>
      <c r="B87" s="462" t="s">
        <v>463</v>
      </c>
      <c r="C87" s="463"/>
      <c r="D87" s="464"/>
    </row>
    <row r="88" spans="1:4">
      <c r="A88" s="461" t="s">
        <v>175</v>
      </c>
      <c r="B88" s="462" t="s">
        <v>176</v>
      </c>
      <c r="C88" s="463"/>
      <c r="D88" s="464"/>
    </row>
    <row r="89" spans="1:4">
      <c r="A89" s="461" t="s">
        <v>506</v>
      </c>
      <c r="B89" s="462" t="s">
        <v>507</v>
      </c>
      <c r="C89" s="463"/>
      <c r="D89" s="464"/>
    </row>
    <row r="90" spans="1:4">
      <c r="A90" s="461" t="s">
        <v>369</v>
      </c>
      <c r="B90" s="462" t="s">
        <v>370</v>
      </c>
      <c r="C90" s="463"/>
      <c r="D90" s="464"/>
    </row>
    <row r="91" spans="1:4">
      <c r="A91" s="461" t="s">
        <v>19</v>
      </c>
      <c r="B91" s="462" t="s">
        <v>20</v>
      </c>
      <c r="C91" s="463"/>
      <c r="D91" s="464"/>
    </row>
    <row r="92" spans="1:4">
      <c r="A92" s="461" t="s">
        <v>361</v>
      </c>
      <c r="B92" s="462" t="s">
        <v>362</v>
      </c>
      <c r="C92" s="463"/>
      <c r="D92" s="464"/>
    </row>
    <row r="93" spans="1:4">
      <c r="A93" s="461" t="s">
        <v>436</v>
      </c>
      <c r="B93" s="462" t="s">
        <v>437</v>
      </c>
      <c r="C93" s="463"/>
      <c r="D93" s="464"/>
    </row>
    <row r="94" spans="1:4">
      <c r="A94" s="461" t="s">
        <v>529</v>
      </c>
      <c r="B94" s="462" t="s">
        <v>530</v>
      </c>
      <c r="C94" s="463"/>
      <c r="D94" s="464"/>
    </row>
    <row r="95" spans="1:4">
      <c r="A95" s="461" t="s">
        <v>240</v>
      </c>
      <c r="B95" s="462" t="s">
        <v>241</v>
      </c>
      <c r="C95" s="463"/>
      <c r="D95" s="464"/>
    </row>
    <row r="96" spans="1:4">
      <c r="A96" s="461" t="s">
        <v>246</v>
      </c>
      <c r="B96" s="462" t="s">
        <v>247</v>
      </c>
      <c r="C96" s="463"/>
      <c r="D96" s="464"/>
    </row>
    <row r="97" spans="1:4">
      <c r="A97" s="461" t="s">
        <v>131</v>
      </c>
      <c r="B97" s="462" t="s">
        <v>655</v>
      </c>
      <c r="C97" s="463"/>
      <c r="D97" s="464"/>
    </row>
    <row r="98" spans="1:4">
      <c r="A98" s="461" t="s">
        <v>555</v>
      </c>
      <c r="B98" s="462" t="s">
        <v>556</v>
      </c>
      <c r="C98" s="463"/>
      <c r="D98" s="464"/>
    </row>
    <row r="99" spans="1:4">
      <c r="A99" s="461" t="s">
        <v>563</v>
      </c>
      <c r="B99" s="462" t="s">
        <v>564</v>
      </c>
      <c r="C99" s="463">
        <v>19</v>
      </c>
      <c r="D99" s="464"/>
    </row>
    <row r="100" spans="1:4">
      <c r="A100" s="461" t="s">
        <v>419</v>
      </c>
      <c r="B100" s="462" t="s">
        <v>420</v>
      </c>
      <c r="C100" s="463"/>
      <c r="D100" s="464"/>
    </row>
    <row r="101" spans="1:4">
      <c r="A101" s="461" t="s">
        <v>297</v>
      </c>
      <c r="B101" s="462" t="s">
        <v>298</v>
      </c>
      <c r="C101" s="463"/>
      <c r="D101" s="464"/>
    </row>
    <row r="102" spans="1:4">
      <c r="A102" s="461" t="s">
        <v>426</v>
      </c>
      <c r="B102" s="462" t="s">
        <v>427</v>
      </c>
      <c r="C102" s="463"/>
      <c r="D102" s="464"/>
    </row>
    <row r="103" spans="1:4">
      <c r="A103" s="461" t="s">
        <v>54</v>
      </c>
      <c r="B103" s="462" t="s">
        <v>55</v>
      </c>
      <c r="C103" s="463"/>
      <c r="D103" s="464"/>
    </row>
    <row r="104" spans="1:4">
      <c r="A104" s="461" t="s">
        <v>482</v>
      </c>
      <c r="B104" s="462" t="s">
        <v>483</v>
      </c>
      <c r="C104" s="463"/>
      <c r="D104" s="464"/>
    </row>
    <row r="105" spans="1:4">
      <c r="A105" s="461" t="s">
        <v>291</v>
      </c>
      <c r="B105" s="462" t="s">
        <v>292</v>
      </c>
      <c r="C105" s="463"/>
      <c r="D105" s="464"/>
    </row>
    <row r="106" spans="1:4">
      <c r="A106" s="461" t="s">
        <v>561</v>
      </c>
      <c r="B106" s="462" t="s">
        <v>562</v>
      </c>
      <c r="C106" s="463"/>
      <c r="D106" s="464"/>
    </row>
    <row r="107" spans="1:4">
      <c r="A107" s="461" t="s">
        <v>181</v>
      </c>
      <c r="B107" s="462" t="s">
        <v>182</v>
      </c>
      <c r="C107" s="463"/>
      <c r="D107" s="464">
        <v>18</v>
      </c>
    </row>
    <row r="108" spans="1:4">
      <c r="A108" s="461" t="s">
        <v>51</v>
      </c>
      <c r="B108" s="462" t="s">
        <v>52</v>
      </c>
      <c r="C108" s="463"/>
      <c r="D108" s="464"/>
    </row>
    <row r="109" spans="1:4">
      <c r="A109" s="461" t="s">
        <v>307</v>
      </c>
      <c r="B109" s="462" t="s">
        <v>308</v>
      </c>
      <c r="C109" s="463"/>
      <c r="D109" s="464"/>
    </row>
    <row r="110" spans="1:4">
      <c r="A110" s="461" t="s">
        <v>134</v>
      </c>
      <c r="B110" s="462" t="s">
        <v>135</v>
      </c>
      <c r="C110" s="463"/>
      <c r="D110" s="464"/>
    </row>
    <row r="111" spans="1:4">
      <c r="A111" s="461" t="s">
        <v>100</v>
      </c>
      <c r="B111" s="462" t="s">
        <v>101</v>
      </c>
      <c r="C111" s="463"/>
      <c r="D111" s="464"/>
    </row>
    <row r="112" spans="1:4">
      <c r="A112" s="461" t="s">
        <v>407</v>
      </c>
      <c r="B112" s="462" t="s">
        <v>408</v>
      </c>
      <c r="C112" s="463"/>
      <c r="D112" s="464"/>
    </row>
    <row r="113" spans="1:4">
      <c r="A113" s="461" t="s">
        <v>201</v>
      </c>
      <c r="B113" s="462" t="s">
        <v>202</v>
      </c>
      <c r="C113" s="463"/>
      <c r="D113" s="464"/>
    </row>
    <row r="114" spans="1:4">
      <c r="A114" s="461" t="s">
        <v>110</v>
      </c>
      <c r="B114" s="462" t="s">
        <v>111</v>
      </c>
      <c r="C114" s="463"/>
      <c r="D114" s="464"/>
    </row>
    <row r="115" spans="1:4">
      <c r="A115" s="461" t="s">
        <v>76</v>
      </c>
      <c r="B115" s="462" t="s">
        <v>77</v>
      </c>
      <c r="C115" s="463"/>
      <c r="D115" s="464"/>
    </row>
    <row r="116" spans="1:4">
      <c r="A116" s="468" t="s">
        <v>94</v>
      </c>
      <c r="B116" s="462" t="s">
        <v>95</v>
      </c>
      <c r="C116" s="463"/>
      <c r="D116" s="464"/>
    </row>
    <row r="117" spans="1:4">
      <c r="A117" s="461" t="s">
        <v>80</v>
      </c>
      <c r="B117" s="462" t="s">
        <v>81</v>
      </c>
      <c r="C117" s="463"/>
      <c r="D117" s="464"/>
    </row>
    <row r="118" spans="1:4">
      <c r="A118" s="461" t="s">
        <v>14</v>
      </c>
      <c r="B118" s="462" t="s">
        <v>15</v>
      </c>
      <c r="C118" s="463"/>
      <c r="D118" s="464"/>
    </row>
    <row r="119" spans="1:4">
      <c r="A119" s="461" t="s">
        <v>207</v>
      </c>
      <c r="B119" s="462" t="s">
        <v>208</v>
      </c>
      <c r="C119" s="463">
        <v>28</v>
      </c>
      <c r="D119" s="464"/>
    </row>
    <row r="120" spans="1:4">
      <c r="A120" s="461" t="s">
        <v>470</v>
      </c>
      <c r="B120" s="462" t="s">
        <v>471</v>
      </c>
      <c r="C120" s="463"/>
      <c r="D120" s="464"/>
    </row>
    <row r="121" spans="1:4">
      <c r="A121" s="461" t="s">
        <v>18</v>
      </c>
      <c r="B121" s="462" t="s">
        <v>608</v>
      </c>
      <c r="C121" s="463"/>
      <c r="D121" s="464"/>
    </row>
    <row r="122" spans="1:4">
      <c r="A122" s="461" t="s">
        <v>228</v>
      </c>
      <c r="B122" s="462" t="s">
        <v>229</v>
      </c>
      <c r="C122" s="463"/>
      <c r="D122" s="464"/>
    </row>
    <row r="123" spans="1:4">
      <c r="A123" s="461" t="s">
        <v>242</v>
      </c>
      <c r="B123" s="462" t="s">
        <v>243</v>
      </c>
      <c r="C123" s="463"/>
      <c r="D123" s="464"/>
    </row>
    <row r="124" spans="1:4">
      <c r="A124" s="461" t="s">
        <v>382</v>
      </c>
      <c r="B124" s="462" t="s">
        <v>383</v>
      </c>
      <c r="C124" s="463"/>
      <c r="D124" s="464"/>
    </row>
    <row r="125" spans="1:4">
      <c r="A125" s="461" t="s">
        <v>53</v>
      </c>
      <c r="B125" s="462" t="s">
        <v>609</v>
      </c>
      <c r="C125" s="463"/>
      <c r="D125" s="464"/>
    </row>
    <row r="126" spans="1:4">
      <c r="A126" s="461" t="s">
        <v>518</v>
      </c>
      <c r="B126" s="462" t="s">
        <v>645</v>
      </c>
      <c r="C126" s="463"/>
      <c r="D126" s="464"/>
    </row>
    <row r="127" spans="1:4">
      <c r="A127" s="461" t="s">
        <v>31</v>
      </c>
      <c r="B127" s="462" t="s">
        <v>32</v>
      </c>
      <c r="C127" s="463"/>
      <c r="D127" s="464"/>
    </row>
    <row r="128" spans="1:4">
      <c r="A128" s="461" t="s">
        <v>397</v>
      </c>
      <c r="B128" s="462" t="s">
        <v>398</v>
      </c>
      <c r="C128" s="463"/>
      <c r="D128" s="464"/>
    </row>
    <row r="129" spans="1:4">
      <c r="A129" s="467" t="s">
        <v>659</v>
      </c>
      <c r="B129" s="462" t="s">
        <v>660</v>
      </c>
      <c r="C129" s="463"/>
      <c r="D129" s="464"/>
    </row>
    <row r="130" spans="1:4">
      <c r="A130" s="461" t="s">
        <v>205</v>
      </c>
      <c r="B130" s="462" t="s">
        <v>206</v>
      </c>
      <c r="C130" s="463"/>
      <c r="D130" s="464"/>
    </row>
    <row r="131" spans="1:4">
      <c r="A131" s="461" t="s">
        <v>413</v>
      </c>
      <c r="B131" s="462" t="s">
        <v>414</v>
      </c>
      <c r="C131" s="463"/>
      <c r="D131" s="464"/>
    </row>
    <row r="132" spans="1:4">
      <c r="A132" s="461" t="s">
        <v>519</v>
      </c>
      <c r="B132" s="462" t="s">
        <v>520</v>
      </c>
      <c r="C132" s="463"/>
      <c r="D132" s="464"/>
    </row>
    <row r="133" spans="1:4">
      <c r="A133" s="461" t="s">
        <v>441</v>
      </c>
      <c r="B133" s="462" t="s">
        <v>442</v>
      </c>
      <c r="C133" s="463"/>
      <c r="D133" s="464"/>
    </row>
    <row r="134" spans="1:4">
      <c r="A134" s="461" t="s">
        <v>6</v>
      </c>
      <c r="B134" s="462" t="s">
        <v>7</v>
      </c>
      <c r="C134" s="463"/>
      <c r="D134" s="464"/>
    </row>
    <row r="135" spans="1:4">
      <c r="A135" s="461" t="s">
        <v>70</v>
      </c>
      <c r="B135" s="462" t="s">
        <v>71</v>
      </c>
      <c r="C135" s="463"/>
      <c r="D135" s="464"/>
    </row>
    <row r="136" spans="1:4">
      <c r="A136" s="461" t="s">
        <v>458</v>
      </c>
      <c r="B136" s="462" t="s">
        <v>459</v>
      </c>
      <c r="C136" s="463"/>
      <c r="D136" s="464"/>
    </row>
    <row r="137" spans="1:4">
      <c r="A137" s="461" t="s">
        <v>373</v>
      </c>
      <c r="B137" s="462" t="s">
        <v>374</v>
      </c>
      <c r="C137" s="463"/>
      <c r="D137" s="464"/>
    </row>
    <row r="138" spans="1:4">
      <c r="A138" s="461" t="s">
        <v>250</v>
      </c>
      <c r="B138" s="462" t="s">
        <v>251</v>
      </c>
      <c r="C138" s="463"/>
      <c r="D138" s="464"/>
    </row>
    <row r="139" spans="1:4">
      <c r="A139" s="461" t="s">
        <v>510</v>
      </c>
      <c r="B139" s="462" t="s">
        <v>511</v>
      </c>
      <c r="C139" s="463"/>
      <c r="D139" s="464"/>
    </row>
    <row r="140" spans="1:4">
      <c r="A140" s="461" t="s">
        <v>553</v>
      </c>
      <c r="B140" s="462" t="s">
        <v>554</v>
      </c>
      <c r="C140" s="463"/>
      <c r="D140" s="464"/>
    </row>
    <row r="141" spans="1:4">
      <c r="A141" s="461" t="s">
        <v>90</v>
      </c>
      <c r="B141" s="462" t="s">
        <v>91</v>
      </c>
      <c r="C141" s="463"/>
      <c r="D141" s="464"/>
    </row>
    <row r="142" spans="1:4">
      <c r="A142" s="461" t="s">
        <v>25</v>
      </c>
      <c r="B142" s="462" t="s">
        <v>26</v>
      </c>
      <c r="C142" s="463"/>
      <c r="D142" s="464"/>
    </row>
    <row r="143" spans="1:4">
      <c r="A143" s="461" t="s">
        <v>301</v>
      </c>
      <c r="B143" s="462" t="s">
        <v>302</v>
      </c>
      <c r="C143" s="463"/>
      <c r="D143" s="464"/>
    </row>
    <row r="144" spans="1:4">
      <c r="A144" s="461" t="s">
        <v>466</v>
      </c>
      <c r="B144" s="462" t="s">
        <v>467</v>
      </c>
      <c r="C144" s="463"/>
      <c r="D144" s="464"/>
    </row>
    <row r="145" spans="1:4">
      <c r="A145" s="461" t="s">
        <v>405</v>
      </c>
      <c r="B145" s="462" t="s">
        <v>406</v>
      </c>
      <c r="C145" s="463"/>
      <c r="D145" s="464"/>
    </row>
    <row r="146" spans="1:4">
      <c r="A146" s="461" t="s">
        <v>138</v>
      </c>
      <c r="B146" s="462" t="s">
        <v>656</v>
      </c>
      <c r="C146" s="463"/>
      <c r="D146" s="464"/>
    </row>
    <row r="147" spans="1:4">
      <c r="A147" s="461" t="s">
        <v>432</v>
      </c>
      <c r="B147" s="462" t="s">
        <v>433</v>
      </c>
      <c r="C147" s="463"/>
      <c r="D147" s="464"/>
    </row>
    <row r="148" spans="1:4">
      <c r="A148" s="461" t="s">
        <v>430</v>
      </c>
      <c r="B148" s="462" t="s">
        <v>431</v>
      </c>
      <c r="C148" s="463"/>
      <c r="D148" s="464"/>
    </row>
    <row r="149" spans="1:4">
      <c r="A149" s="461" t="s">
        <v>179</v>
      </c>
      <c r="B149" s="462" t="s">
        <v>180</v>
      </c>
      <c r="C149" s="463"/>
      <c r="D149" s="464"/>
    </row>
    <row r="150" spans="1:4">
      <c r="A150" s="461" t="s">
        <v>512</v>
      </c>
      <c r="B150" s="462" t="s">
        <v>513</v>
      </c>
      <c r="C150" s="463"/>
      <c r="D150" s="464"/>
    </row>
    <row r="151" spans="1:4">
      <c r="A151" s="461" t="s">
        <v>319</v>
      </c>
      <c r="B151" s="462" t="s">
        <v>320</v>
      </c>
      <c r="C151" s="463"/>
      <c r="D151" s="464"/>
    </row>
    <row r="152" spans="1:4">
      <c r="A152" s="461" t="s">
        <v>391</v>
      </c>
      <c r="B152" s="462" t="s">
        <v>392</v>
      </c>
      <c r="C152" s="463"/>
      <c r="D152" s="464"/>
    </row>
    <row r="153" spans="1:4">
      <c r="A153" s="461" t="s">
        <v>409</v>
      </c>
      <c r="B153" s="462" t="s">
        <v>410</v>
      </c>
      <c r="C153" s="463"/>
      <c r="D153" s="464"/>
    </row>
    <row r="154" spans="1:4">
      <c r="A154" s="461" t="s">
        <v>139</v>
      </c>
      <c r="B154" s="462" t="s">
        <v>140</v>
      </c>
      <c r="C154" s="463"/>
      <c r="D154" s="464"/>
    </row>
    <row r="155" spans="1:4">
      <c r="A155" s="461" t="s">
        <v>260</v>
      </c>
      <c r="B155" s="462" t="s">
        <v>261</v>
      </c>
      <c r="C155" s="463"/>
      <c r="D155" s="464"/>
    </row>
    <row r="156" spans="1:4">
      <c r="A156" s="461" t="s">
        <v>125</v>
      </c>
      <c r="B156" s="462" t="s">
        <v>126</v>
      </c>
      <c r="C156" s="463"/>
      <c r="D156" s="464"/>
    </row>
    <row r="157" spans="1:4">
      <c r="A157" s="461" t="s">
        <v>258</v>
      </c>
      <c r="B157" s="462" t="s">
        <v>259</v>
      </c>
      <c r="C157" s="463"/>
      <c r="D157" s="464"/>
    </row>
    <row r="158" spans="1:4">
      <c r="A158" s="461" t="s">
        <v>571</v>
      </c>
      <c r="B158" s="462" t="s">
        <v>572</v>
      </c>
      <c r="C158" s="463"/>
      <c r="D158" s="464"/>
    </row>
    <row r="159" spans="1:4">
      <c r="A159" s="461" t="s">
        <v>516</v>
      </c>
      <c r="B159" s="462" t="s">
        <v>517</v>
      </c>
      <c r="C159" s="463"/>
      <c r="D159" s="464"/>
    </row>
    <row r="160" spans="1:4">
      <c r="A160" s="461" t="s">
        <v>389</v>
      </c>
      <c r="B160" s="462" t="s">
        <v>390</v>
      </c>
      <c r="C160" s="463"/>
      <c r="D160" s="464"/>
    </row>
    <row r="161" spans="1:4">
      <c r="A161" s="461" t="s">
        <v>386</v>
      </c>
      <c r="B161" s="462" t="s">
        <v>610</v>
      </c>
      <c r="C161" s="463"/>
      <c r="D161" s="464"/>
    </row>
    <row r="162" spans="1:4">
      <c r="A162" s="461" t="s">
        <v>399</v>
      </c>
      <c r="B162" s="462" t="s">
        <v>400</v>
      </c>
      <c r="C162" s="463"/>
      <c r="D162" s="464"/>
    </row>
    <row r="163" spans="1:4">
      <c r="A163" s="461" t="s">
        <v>545</v>
      </c>
      <c r="B163" s="462" t="s">
        <v>546</v>
      </c>
      <c r="C163" s="463"/>
      <c r="D163" s="464"/>
    </row>
    <row r="164" spans="1:4">
      <c r="A164" s="461" t="s">
        <v>252</v>
      </c>
      <c r="B164" s="462" t="s">
        <v>253</v>
      </c>
      <c r="C164" s="463"/>
      <c r="D164" s="464"/>
    </row>
    <row r="165" spans="1:4">
      <c r="A165" s="461" t="s">
        <v>331</v>
      </c>
      <c r="B165" s="462" t="s">
        <v>611</v>
      </c>
      <c r="C165" s="463"/>
      <c r="D165" s="464"/>
    </row>
    <row r="166" spans="1:4">
      <c r="A166" s="461" t="s">
        <v>309</v>
      </c>
      <c r="B166" s="462" t="s">
        <v>310</v>
      </c>
      <c r="C166" s="463"/>
      <c r="D166" s="464"/>
    </row>
    <row r="167" spans="1:4">
      <c r="A167" s="461" t="s">
        <v>336</v>
      </c>
      <c r="B167" s="462" t="s">
        <v>337</v>
      </c>
      <c r="C167" s="463"/>
      <c r="D167" s="464"/>
    </row>
    <row r="168" spans="1:4">
      <c r="A168" s="461" t="s">
        <v>428</v>
      </c>
      <c r="B168" s="462" t="s">
        <v>429</v>
      </c>
      <c r="C168" s="463"/>
      <c r="D168" s="464"/>
    </row>
    <row r="169" spans="1:4">
      <c r="A169" s="461" t="s">
        <v>514</v>
      </c>
      <c r="B169" s="462" t="s">
        <v>515</v>
      </c>
      <c r="C169" s="463"/>
      <c r="D169" s="464"/>
    </row>
    <row r="170" spans="1:4">
      <c r="A170" s="461" t="s">
        <v>136</v>
      </c>
      <c r="B170" s="462" t="s">
        <v>137</v>
      </c>
      <c r="C170" s="463"/>
      <c r="D170" s="464"/>
    </row>
    <row r="171" spans="1:4">
      <c r="A171" s="461" t="s">
        <v>106</v>
      </c>
      <c r="B171" s="462" t="s">
        <v>107</v>
      </c>
      <c r="C171" s="463"/>
      <c r="D171" s="464"/>
    </row>
    <row r="172" spans="1:4">
      <c r="A172" s="461" t="s">
        <v>214</v>
      </c>
      <c r="B172" s="462" t="s">
        <v>215</v>
      </c>
      <c r="C172" s="463"/>
      <c r="D172" s="464"/>
    </row>
    <row r="173" spans="1:4">
      <c r="A173" s="461" t="s">
        <v>305</v>
      </c>
      <c r="B173" s="462" t="s">
        <v>306</v>
      </c>
      <c r="C173" s="463"/>
      <c r="D173" s="464"/>
    </row>
    <row r="174" spans="1:4">
      <c r="A174" s="461" t="s">
        <v>334</v>
      </c>
      <c r="B174" s="462" t="s">
        <v>335</v>
      </c>
      <c r="C174" s="463"/>
      <c r="D174" s="464"/>
    </row>
    <row r="175" spans="1:4">
      <c r="A175" s="461" t="s">
        <v>474</v>
      </c>
      <c r="B175" s="462" t="s">
        <v>475</v>
      </c>
      <c r="C175" s="463"/>
      <c r="D175" s="464"/>
    </row>
    <row r="176" spans="1:4">
      <c r="A176" s="461" t="s">
        <v>468</v>
      </c>
      <c r="B176" s="462" t="s">
        <v>469</v>
      </c>
      <c r="C176" s="463"/>
      <c r="D176" s="464"/>
    </row>
    <row r="177" spans="1:4">
      <c r="A177" s="461" t="s">
        <v>209</v>
      </c>
      <c r="B177" s="462" t="s">
        <v>210</v>
      </c>
      <c r="C177" s="463"/>
      <c r="D177" s="464"/>
    </row>
    <row r="178" spans="1:4">
      <c r="A178" s="461" t="s">
        <v>157</v>
      </c>
      <c r="B178" s="462" t="s">
        <v>158</v>
      </c>
      <c r="C178" s="463"/>
      <c r="D178" s="464"/>
    </row>
    <row r="179" spans="1:4">
      <c r="A179" s="461" t="s">
        <v>541</v>
      </c>
      <c r="B179" s="462" t="s">
        <v>542</v>
      </c>
      <c r="C179" s="463"/>
      <c r="D179" s="464"/>
    </row>
    <row r="180" spans="1:4">
      <c r="A180" s="461" t="s">
        <v>155</v>
      </c>
      <c r="B180" s="462" t="s">
        <v>156</v>
      </c>
      <c r="C180" s="463"/>
      <c r="D180" s="464"/>
    </row>
    <row r="181" spans="1:4">
      <c r="A181" s="461" t="s">
        <v>325</v>
      </c>
      <c r="B181" s="462" t="s">
        <v>326</v>
      </c>
      <c r="C181" s="463"/>
      <c r="D181" s="464"/>
    </row>
    <row r="182" spans="1:4">
      <c r="A182" s="461" t="s">
        <v>153</v>
      </c>
      <c r="B182" s="462" t="s">
        <v>154</v>
      </c>
      <c r="C182" s="463"/>
      <c r="D182" s="464"/>
    </row>
    <row r="183" spans="1:4">
      <c r="A183" s="461" t="s">
        <v>287</v>
      </c>
      <c r="B183" s="462" t="s">
        <v>288</v>
      </c>
      <c r="C183" s="463"/>
      <c r="D183" s="464"/>
    </row>
    <row r="184" spans="1:4">
      <c r="A184" s="461" t="s">
        <v>313</v>
      </c>
      <c r="B184" s="462" t="s">
        <v>314</v>
      </c>
      <c r="C184" s="463"/>
      <c r="D184" s="464"/>
    </row>
    <row r="185" spans="1:4">
      <c r="A185" s="461" t="s">
        <v>478</v>
      </c>
      <c r="B185" s="462" t="s">
        <v>479</v>
      </c>
      <c r="C185" s="463"/>
      <c r="D185" s="464"/>
    </row>
    <row r="186" spans="1:4">
      <c r="A186" s="461" t="s">
        <v>311</v>
      </c>
      <c r="B186" s="462" t="s">
        <v>312</v>
      </c>
      <c r="C186" s="463"/>
      <c r="D186" s="464"/>
    </row>
    <row r="187" spans="1:4">
      <c r="A187" s="461" t="s">
        <v>270</v>
      </c>
      <c r="B187" s="462" t="s">
        <v>271</v>
      </c>
      <c r="C187" s="463"/>
      <c r="D187" s="464"/>
    </row>
    <row r="188" spans="1:4">
      <c r="A188" s="461" t="s">
        <v>448</v>
      </c>
      <c r="B188" s="462" t="s">
        <v>449</v>
      </c>
      <c r="C188" s="463"/>
      <c r="D188" s="464"/>
    </row>
    <row r="189" spans="1:4">
      <c r="A189" s="461" t="s">
        <v>372</v>
      </c>
      <c r="B189" s="462" t="s">
        <v>613</v>
      </c>
      <c r="C189" s="463"/>
      <c r="D189" s="464"/>
    </row>
    <row r="190" spans="1:4">
      <c r="A190" s="461" t="s">
        <v>424</v>
      </c>
      <c r="B190" s="462" t="s">
        <v>425</v>
      </c>
      <c r="C190" s="463"/>
      <c r="D190" s="464"/>
    </row>
    <row r="191" spans="1:4">
      <c r="A191" s="461" t="s">
        <v>98</v>
      </c>
      <c r="B191" s="462" t="s">
        <v>99</v>
      </c>
      <c r="C191" s="463"/>
      <c r="D191" s="464"/>
    </row>
    <row r="192" spans="1:4">
      <c r="A192" s="461" t="s">
        <v>82</v>
      </c>
      <c r="B192" s="462" t="s">
        <v>83</v>
      </c>
      <c r="C192" s="463"/>
      <c r="D192" s="464"/>
    </row>
    <row r="193" spans="1:4">
      <c r="A193" s="461" t="s">
        <v>323</v>
      </c>
      <c r="B193" s="462" t="s">
        <v>324</v>
      </c>
      <c r="C193" s="463"/>
      <c r="D193" s="464"/>
    </row>
    <row r="194" spans="1:4">
      <c r="A194" s="461" t="s">
        <v>355</v>
      </c>
      <c r="B194" s="462" t="s">
        <v>356</v>
      </c>
      <c r="C194" s="463"/>
      <c r="D194" s="464"/>
    </row>
    <row r="195" spans="1:4">
      <c r="A195" s="461" t="s">
        <v>4</v>
      </c>
      <c r="B195" s="462" t="s">
        <v>5</v>
      </c>
      <c r="C195" s="463"/>
      <c r="D195" s="464"/>
    </row>
    <row r="196" spans="1:4">
      <c r="A196" s="461" t="s">
        <v>86</v>
      </c>
      <c r="B196" s="462" t="s">
        <v>87</v>
      </c>
      <c r="C196" s="463"/>
      <c r="D196" s="464"/>
    </row>
    <row r="197" spans="1:4">
      <c r="A197" s="461" t="s">
        <v>527</v>
      </c>
      <c r="B197" s="462" t="s">
        <v>528</v>
      </c>
      <c r="C197" s="463"/>
      <c r="D197" s="464"/>
    </row>
    <row r="198" spans="1:4">
      <c r="A198" s="461" t="s">
        <v>104</v>
      </c>
      <c r="B198" s="462" t="s">
        <v>105</v>
      </c>
      <c r="C198" s="463"/>
      <c r="D198" s="464"/>
    </row>
    <row r="199" spans="1:4">
      <c r="A199" s="461" t="s">
        <v>317</v>
      </c>
      <c r="B199" s="462" t="s">
        <v>318</v>
      </c>
      <c r="C199" s="463"/>
      <c r="D199" s="464"/>
    </row>
    <row r="200" spans="1:4">
      <c r="A200" s="461" t="s">
        <v>16</v>
      </c>
      <c r="B200" s="462" t="s">
        <v>17</v>
      </c>
      <c r="C200" s="463"/>
      <c r="D200" s="464"/>
    </row>
    <row r="201" spans="1:4">
      <c r="A201" s="461" t="s">
        <v>272</v>
      </c>
      <c r="B201" s="462" t="s">
        <v>273</v>
      </c>
      <c r="C201" s="463"/>
      <c r="D201" s="464"/>
    </row>
    <row r="202" spans="1:4">
      <c r="A202" s="461" t="s">
        <v>359</v>
      </c>
      <c r="B202" s="462" t="s">
        <v>360</v>
      </c>
      <c r="C202" s="463"/>
      <c r="D202" s="464"/>
    </row>
    <row r="203" spans="1:4">
      <c r="A203" s="461" t="s">
        <v>303</v>
      </c>
      <c r="B203" s="462" t="s">
        <v>304</v>
      </c>
      <c r="C203" s="463"/>
      <c r="D203" s="464"/>
    </row>
    <row r="204" spans="1:4">
      <c r="A204" s="461" t="s">
        <v>112</v>
      </c>
      <c r="B204" s="462" t="s">
        <v>113</v>
      </c>
      <c r="C204" s="463"/>
      <c r="D204" s="464"/>
    </row>
    <row r="205" spans="1:4">
      <c r="A205" s="461" t="s">
        <v>39</v>
      </c>
      <c r="B205" s="462" t="s">
        <v>40</v>
      </c>
      <c r="C205" s="463"/>
      <c r="D205" s="464"/>
    </row>
    <row r="206" spans="1:4">
      <c r="A206" s="461" t="s">
        <v>171</v>
      </c>
      <c r="B206" s="462" t="s">
        <v>172</v>
      </c>
      <c r="C206" s="463"/>
      <c r="D206" s="464"/>
    </row>
    <row r="207" spans="1:4">
      <c r="A207" s="461" t="s">
        <v>502</v>
      </c>
      <c r="B207" s="462" t="s">
        <v>503</v>
      </c>
      <c r="C207" s="463"/>
      <c r="D207" s="464"/>
    </row>
    <row r="208" spans="1:4">
      <c r="A208" s="461" t="s">
        <v>21</v>
      </c>
      <c r="B208" s="462" t="s">
        <v>22</v>
      </c>
      <c r="C208" s="463"/>
      <c r="D208" s="464"/>
    </row>
    <row r="209" spans="1:4">
      <c r="A209" s="461" t="s">
        <v>657</v>
      </c>
      <c r="B209" s="462" t="s">
        <v>658</v>
      </c>
      <c r="C209" s="463"/>
      <c r="D209" s="464"/>
    </row>
    <row r="210" spans="1:4">
      <c r="A210" s="461" t="s">
        <v>523</v>
      </c>
      <c r="B210" s="462" t="s">
        <v>524</v>
      </c>
      <c r="C210" s="463"/>
      <c r="D210" s="464"/>
    </row>
    <row r="211" spans="1:4">
      <c r="A211" s="461" t="s">
        <v>343</v>
      </c>
      <c r="B211" s="462" t="s">
        <v>344</v>
      </c>
      <c r="C211" s="463"/>
      <c r="D211" s="464">
        <v>1</v>
      </c>
    </row>
    <row r="212" spans="1:4">
      <c r="A212" s="461" t="s">
        <v>163</v>
      </c>
      <c r="B212" s="462" t="s">
        <v>164</v>
      </c>
      <c r="C212" s="463"/>
      <c r="D212" s="464"/>
    </row>
    <row r="213" spans="1:4">
      <c r="A213" s="461" t="s">
        <v>167</v>
      </c>
      <c r="B213" s="462" t="s">
        <v>168</v>
      </c>
      <c r="C213" s="463"/>
      <c r="D213" s="464"/>
    </row>
    <row r="214" spans="1:4">
      <c r="A214" s="461" t="s">
        <v>47</v>
      </c>
      <c r="B214" s="462" t="s">
        <v>48</v>
      </c>
      <c r="C214" s="463"/>
      <c r="D214" s="464"/>
    </row>
    <row r="215" spans="1:4">
      <c r="A215" s="461" t="s">
        <v>145</v>
      </c>
      <c r="B215" s="462" t="s">
        <v>146</v>
      </c>
      <c r="C215" s="463"/>
      <c r="D215" s="464"/>
    </row>
    <row r="216" spans="1:4">
      <c r="A216" s="461" t="s">
        <v>116</v>
      </c>
      <c r="B216" s="462" t="s">
        <v>117</v>
      </c>
      <c r="C216" s="463"/>
      <c r="D216" s="464"/>
    </row>
    <row r="217" spans="1:4">
      <c r="A217" s="461" t="s">
        <v>480</v>
      </c>
      <c r="B217" s="462" t="s">
        <v>481</v>
      </c>
      <c r="C217" s="463"/>
      <c r="D217" s="464"/>
    </row>
    <row r="218" spans="1:4">
      <c r="A218" s="461" t="s">
        <v>327</v>
      </c>
      <c r="B218" s="462" t="s">
        <v>328</v>
      </c>
      <c r="C218" s="463"/>
      <c r="D218" s="464"/>
    </row>
    <row r="219" spans="1:4">
      <c r="A219" s="461" t="s">
        <v>282</v>
      </c>
      <c r="B219" s="462" t="s">
        <v>665</v>
      </c>
      <c r="C219" s="463"/>
      <c r="D219" s="464"/>
    </row>
    <row r="220" spans="1:4">
      <c r="A220" s="461" t="s">
        <v>185</v>
      </c>
      <c r="B220" s="462" t="s">
        <v>186</v>
      </c>
      <c r="C220" s="463"/>
      <c r="D220" s="464"/>
    </row>
    <row r="221" spans="1:4">
      <c r="A221" s="461" t="s">
        <v>102</v>
      </c>
      <c r="B221" s="462" t="s">
        <v>103</v>
      </c>
      <c r="C221" s="463"/>
      <c r="D221" s="464"/>
    </row>
    <row r="222" spans="1:4">
      <c r="A222" s="461" t="s">
        <v>23</v>
      </c>
      <c r="B222" s="462" t="s">
        <v>24</v>
      </c>
      <c r="C222" s="463"/>
      <c r="D222" s="464"/>
    </row>
    <row r="223" spans="1:4">
      <c r="A223" s="461" t="s">
        <v>64</v>
      </c>
      <c r="B223" s="462" t="s">
        <v>65</v>
      </c>
      <c r="C223" s="463"/>
      <c r="D223" s="464"/>
    </row>
    <row r="224" spans="1:4">
      <c r="A224" s="461" t="s">
        <v>8</v>
      </c>
      <c r="B224" s="462" t="s">
        <v>9</v>
      </c>
      <c r="C224" s="463"/>
      <c r="D224" s="464"/>
    </row>
    <row r="225" spans="1:4">
      <c r="A225" s="461" t="s">
        <v>446</v>
      </c>
      <c r="B225" s="462" t="s">
        <v>447</v>
      </c>
      <c r="C225" s="463"/>
      <c r="D225" s="464"/>
    </row>
    <row r="226" spans="1:4">
      <c r="A226" s="461" t="s">
        <v>193</v>
      </c>
      <c r="B226" s="462" t="s">
        <v>194</v>
      </c>
      <c r="C226" s="463"/>
      <c r="D226" s="464"/>
    </row>
    <row r="227" spans="1:4">
      <c r="A227" s="461" t="s">
        <v>484</v>
      </c>
      <c r="B227" s="462" t="s">
        <v>485</v>
      </c>
      <c r="C227" s="463"/>
      <c r="D227" s="464"/>
    </row>
    <row r="228" spans="1:4">
      <c r="A228" s="461" t="s">
        <v>244</v>
      </c>
      <c r="B228" s="462" t="s">
        <v>245</v>
      </c>
      <c r="C228" s="463"/>
      <c r="D228" s="464"/>
    </row>
    <row r="229" spans="1:4">
      <c r="A229" s="461" t="s">
        <v>537</v>
      </c>
      <c r="B229" s="462" t="s">
        <v>538</v>
      </c>
      <c r="C229" s="463"/>
      <c r="D229" s="464"/>
    </row>
    <row r="230" spans="1:4">
      <c r="A230" s="461" t="s">
        <v>123</v>
      </c>
      <c r="B230" s="462" t="s">
        <v>124</v>
      </c>
      <c r="C230" s="463"/>
      <c r="D230" s="464"/>
    </row>
    <row r="231" spans="1:4">
      <c r="A231" s="461" t="s">
        <v>375</v>
      </c>
      <c r="B231" s="462" t="s">
        <v>614</v>
      </c>
      <c r="C231" s="463"/>
      <c r="D231" s="464"/>
    </row>
    <row r="232" spans="1:4">
      <c r="A232" s="461" t="s">
        <v>149</v>
      </c>
      <c r="B232" s="462" t="s">
        <v>150</v>
      </c>
      <c r="C232" s="463"/>
      <c r="D232" s="464"/>
    </row>
    <row r="233" spans="1:4">
      <c r="A233" s="461" t="s">
        <v>173</v>
      </c>
      <c r="B233" s="462" t="s">
        <v>174</v>
      </c>
      <c r="C233" s="463"/>
      <c r="D233" s="464"/>
    </row>
    <row r="234" spans="1:4">
      <c r="A234" s="461" t="s">
        <v>379</v>
      </c>
      <c r="B234" s="462" t="s">
        <v>615</v>
      </c>
      <c r="C234" s="463"/>
      <c r="D234" s="464"/>
    </row>
    <row r="235" spans="1:4">
      <c r="A235" s="465" t="s">
        <v>551</v>
      </c>
      <c r="B235" s="466" t="s">
        <v>552</v>
      </c>
      <c r="C235" s="463"/>
      <c r="D235" s="464"/>
    </row>
    <row r="236" spans="1:4">
      <c r="A236" s="461" t="s">
        <v>340</v>
      </c>
      <c r="B236" s="462" t="s">
        <v>341</v>
      </c>
      <c r="C236" s="463"/>
      <c r="D236" s="464"/>
    </row>
    <row r="237" spans="1:4">
      <c r="A237" s="461" t="s">
        <v>43</v>
      </c>
      <c r="B237" s="462" t="s">
        <v>44</v>
      </c>
      <c r="C237" s="463"/>
      <c r="D237" s="464"/>
    </row>
    <row r="238" spans="1:4">
      <c r="A238" s="461" t="s">
        <v>371</v>
      </c>
      <c r="B238" s="462" t="s">
        <v>670</v>
      </c>
      <c r="C238" s="463"/>
      <c r="D238" s="464"/>
    </row>
    <row r="239" spans="1:4">
      <c r="A239" s="461" t="s">
        <v>299</v>
      </c>
      <c r="B239" s="462" t="s">
        <v>300</v>
      </c>
      <c r="C239" s="463"/>
      <c r="D239" s="464"/>
    </row>
    <row r="240" spans="1:4">
      <c r="A240" s="461" t="s">
        <v>203</v>
      </c>
      <c r="B240" s="462" t="s">
        <v>204</v>
      </c>
      <c r="C240" s="463"/>
      <c r="D240" s="464"/>
    </row>
    <row r="241" spans="1:4">
      <c r="A241" s="461" t="s">
        <v>387</v>
      </c>
      <c r="B241" s="462" t="s">
        <v>388</v>
      </c>
      <c r="C241" s="463"/>
      <c r="D241" s="464"/>
    </row>
    <row r="242" spans="1:4">
      <c r="A242" s="461" t="s">
        <v>187</v>
      </c>
      <c r="B242" s="462" t="s">
        <v>188</v>
      </c>
      <c r="C242" s="463"/>
      <c r="D242" s="464"/>
    </row>
    <row r="243" spans="1:4">
      <c r="A243" s="461" t="s">
        <v>411</v>
      </c>
      <c r="B243" s="462" t="s">
        <v>412</v>
      </c>
      <c r="C243" s="463"/>
      <c r="D243" s="464"/>
    </row>
    <row r="244" spans="1:4">
      <c r="A244" s="461" t="s">
        <v>199</v>
      </c>
      <c r="B244" s="462" t="s">
        <v>200</v>
      </c>
      <c r="C244" s="463"/>
      <c r="D244" s="464"/>
    </row>
    <row r="245" spans="1:4">
      <c r="A245" s="461" t="s">
        <v>121</v>
      </c>
      <c r="B245" s="462" t="s">
        <v>122</v>
      </c>
      <c r="C245" s="463"/>
      <c r="D245" s="464"/>
    </row>
    <row r="246" spans="1:4">
      <c r="A246" s="461" t="s">
        <v>329</v>
      </c>
      <c r="B246" s="462" t="s">
        <v>330</v>
      </c>
      <c r="C246" s="463"/>
      <c r="D246" s="464"/>
    </row>
    <row r="247" spans="1:4">
      <c r="A247" s="461" t="s">
        <v>218</v>
      </c>
      <c r="B247" s="462" t="s">
        <v>219</v>
      </c>
      <c r="C247" s="463"/>
      <c r="D247" s="464"/>
    </row>
    <row r="248" spans="1:4">
      <c r="A248" s="461" t="s">
        <v>161</v>
      </c>
      <c r="B248" s="462" t="s">
        <v>162</v>
      </c>
      <c r="C248" s="463"/>
      <c r="D248" s="464"/>
    </row>
    <row r="249" spans="1:4">
      <c r="A249" s="461" t="s">
        <v>295</v>
      </c>
      <c r="B249" s="462" t="s">
        <v>296</v>
      </c>
      <c r="C249" s="463"/>
      <c r="D249" s="464"/>
    </row>
    <row r="250" spans="1:4">
      <c r="A250" s="461" t="s">
        <v>422</v>
      </c>
      <c r="B250" s="462" t="s">
        <v>423</v>
      </c>
      <c r="C250" s="463"/>
      <c r="D250" s="464"/>
    </row>
    <row r="251" spans="1:4">
      <c r="A251" s="461" t="s">
        <v>280</v>
      </c>
      <c r="B251" s="462" t="s">
        <v>281</v>
      </c>
      <c r="C251" s="463"/>
      <c r="D251" s="464"/>
    </row>
    <row r="252" spans="1:4">
      <c r="A252" s="461" t="s">
        <v>539</v>
      </c>
      <c r="B252" s="462" t="s">
        <v>540</v>
      </c>
      <c r="C252" s="463"/>
      <c r="D252" s="464"/>
    </row>
    <row r="253" spans="1:4">
      <c r="A253" s="461" t="s">
        <v>421</v>
      </c>
      <c r="B253" s="462" t="s">
        <v>673</v>
      </c>
      <c r="C253" s="463"/>
      <c r="D253" s="464"/>
    </row>
    <row r="254" spans="1:4">
      <c r="A254" s="461" t="s">
        <v>108</v>
      </c>
      <c r="B254" s="462" t="s">
        <v>109</v>
      </c>
      <c r="C254" s="463"/>
      <c r="D254" s="464"/>
    </row>
    <row r="255" spans="1:4">
      <c r="A255" s="461" t="s">
        <v>68</v>
      </c>
      <c r="B255" s="462" t="s">
        <v>69</v>
      </c>
      <c r="C255" s="463"/>
      <c r="D255" s="464"/>
    </row>
    <row r="256" spans="1:4">
      <c r="A256" s="461" t="s">
        <v>27</v>
      </c>
      <c r="B256" s="462" t="s">
        <v>28</v>
      </c>
      <c r="C256" s="463"/>
      <c r="D256" s="464"/>
    </row>
    <row r="257" spans="1:4">
      <c r="A257" s="461" t="s">
        <v>342</v>
      </c>
      <c r="B257" s="462" t="s">
        <v>617</v>
      </c>
      <c r="C257" s="463"/>
      <c r="D257" s="464"/>
    </row>
    <row r="258" spans="1:4">
      <c r="A258" s="461" t="s">
        <v>531</v>
      </c>
      <c r="B258" s="462" t="s">
        <v>532</v>
      </c>
      <c r="C258" s="463"/>
      <c r="D258" s="464"/>
    </row>
    <row r="259" spans="1:4">
      <c r="A259" s="461" t="s">
        <v>393</v>
      </c>
      <c r="B259" s="462" t="s">
        <v>394</v>
      </c>
      <c r="C259" s="463"/>
      <c r="D259" s="464"/>
    </row>
    <row r="260" spans="1:4">
      <c r="A260" s="461" t="s">
        <v>415</v>
      </c>
      <c r="B260" s="462" t="s">
        <v>416</v>
      </c>
      <c r="C260" s="463"/>
      <c r="D260" s="464"/>
    </row>
    <row r="261" spans="1:4">
      <c r="A261" s="461" t="s">
        <v>460</v>
      </c>
      <c r="B261" s="462" t="s">
        <v>461</v>
      </c>
      <c r="C261" s="463"/>
      <c r="D261" s="464"/>
    </row>
    <row r="262" spans="1:4">
      <c r="A262" s="461" t="s">
        <v>351</v>
      </c>
      <c r="B262" s="462" t="s">
        <v>352</v>
      </c>
      <c r="C262" s="463"/>
      <c r="D262" s="464"/>
    </row>
    <row r="263" spans="1:4">
      <c r="A263" s="461" t="s">
        <v>557</v>
      </c>
      <c r="B263" s="462" t="s">
        <v>558</v>
      </c>
      <c r="C263" s="463">
        <v>2</v>
      </c>
      <c r="D263" s="464"/>
    </row>
    <row r="264" spans="1:4">
      <c r="A264" s="467" t="s">
        <v>661</v>
      </c>
      <c r="B264" s="462" t="s">
        <v>662</v>
      </c>
      <c r="C264" s="463"/>
      <c r="D264" s="464"/>
    </row>
    <row r="265" spans="1:4">
      <c r="A265" s="461" t="s">
        <v>345</v>
      </c>
      <c r="B265" s="462" t="s">
        <v>346</v>
      </c>
      <c r="C265" s="463"/>
      <c r="D265" s="464"/>
    </row>
    <row r="266" spans="1:4">
      <c r="A266" s="461" t="s">
        <v>143</v>
      </c>
      <c r="B266" s="462" t="s">
        <v>144</v>
      </c>
      <c r="C266" s="463"/>
      <c r="D266" s="464"/>
    </row>
    <row r="267" spans="1:4">
      <c r="A267" s="461" t="s">
        <v>197</v>
      </c>
      <c r="B267" s="462" t="s">
        <v>198</v>
      </c>
      <c r="C267" s="463"/>
      <c r="D267" s="464"/>
    </row>
    <row r="268" spans="1:4">
      <c r="A268" s="461" t="s">
        <v>521</v>
      </c>
      <c r="B268" s="462" t="s">
        <v>522</v>
      </c>
      <c r="C268" s="463"/>
      <c r="D268" s="464"/>
    </row>
    <row r="269" spans="1:4">
      <c r="A269" s="461" t="s">
        <v>486</v>
      </c>
      <c r="B269" s="462" t="s">
        <v>487</v>
      </c>
      <c r="C269" s="463"/>
      <c r="D269" s="464"/>
    </row>
    <row r="270" spans="1:4">
      <c r="A270" s="461" t="s">
        <v>224</v>
      </c>
      <c r="B270" s="462" t="s">
        <v>225</v>
      </c>
      <c r="C270" s="463"/>
      <c r="D270" s="464"/>
    </row>
    <row r="271" spans="1:4">
      <c r="A271" s="461" t="s">
        <v>268</v>
      </c>
      <c r="B271" s="462" t="s">
        <v>269</v>
      </c>
      <c r="C271" s="463"/>
      <c r="D271" s="464"/>
    </row>
    <row r="272" spans="1:4">
      <c r="A272" s="461" t="s">
        <v>321</v>
      </c>
      <c r="B272" s="462" t="s">
        <v>322</v>
      </c>
      <c r="C272" s="463"/>
      <c r="D272" s="464"/>
    </row>
    <row r="273" spans="1:4">
      <c r="A273" s="461" t="s">
        <v>559</v>
      </c>
      <c r="B273" s="462" t="s">
        <v>560</v>
      </c>
      <c r="C273" s="463">
        <v>213</v>
      </c>
      <c r="D273" s="464"/>
    </row>
    <row r="274" spans="1:4">
      <c r="A274" s="461" t="s">
        <v>496</v>
      </c>
      <c r="B274" s="462" t="s">
        <v>497</v>
      </c>
      <c r="C274" s="463"/>
      <c r="D274" s="464"/>
    </row>
    <row r="275" spans="1:4">
      <c r="A275" s="461" t="s">
        <v>72</v>
      </c>
      <c r="B275" s="462" t="s">
        <v>73</v>
      </c>
      <c r="C275" s="463"/>
      <c r="D275" s="464"/>
    </row>
    <row r="276" spans="1:4">
      <c r="A276" s="461" t="s">
        <v>238</v>
      </c>
      <c r="B276" s="462" t="s">
        <v>239</v>
      </c>
      <c r="C276" s="463"/>
      <c r="D276" s="464"/>
    </row>
    <row r="277" spans="1:4">
      <c r="A277" s="461" t="s">
        <v>191</v>
      </c>
      <c r="B277" s="462" t="s">
        <v>192</v>
      </c>
      <c r="C277" s="463"/>
      <c r="D277" s="464"/>
    </row>
    <row r="278" spans="1:4">
      <c r="A278" s="461" t="s">
        <v>476</v>
      </c>
      <c r="B278" s="462" t="s">
        <v>477</v>
      </c>
      <c r="C278" s="463"/>
      <c r="D278" s="464"/>
    </row>
    <row r="279" spans="1:4">
      <c r="A279" s="461" t="s">
        <v>543</v>
      </c>
      <c r="B279" s="462" t="s">
        <v>544</v>
      </c>
      <c r="C279" s="463"/>
      <c r="D279" s="464"/>
    </row>
    <row r="280" spans="1:4">
      <c r="A280" s="465" t="s">
        <v>349</v>
      </c>
      <c r="B280" s="466" t="s">
        <v>350</v>
      </c>
      <c r="C280" s="463"/>
      <c r="D280" s="464"/>
    </row>
    <row r="281" spans="1:4">
      <c r="A281" s="461" t="s">
        <v>454</v>
      </c>
      <c r="B281" s="462" t="s">
        <v>455</v>
      </c>
      <c r="C281" s="463"/>
      <c r="D281" s="464"/>
    </row>
    <row r="282" spans="1:4">
      <c r="A282" s="461" t="s">
        <v>49</v>
      </c>
      <c r="B282" s="462" t="s">
        <v>50</v>
      </c>
      <c r="C282" s="463"/>
      <c r="D282" s="464"/>
    </row>
    <row r="283" spans="1:4">
      <c r="A283" s="465" t="s">
        <v>183</v>
      </c>
      <c r="B283" s="466" t="s">
        <v>184</v>
      </c>
      <c r="C283" s="463"/>
      <c r="D283" s="464"/>
    </row>
    <row r="284" spans="1:4">
      <c r="A284" s="461" t="s">
        <v>488</v>
      </c>
      <c r="B284" s="462" t="s">
        <v>489</v>
      </c>
      <c r="C284" s="463"/>
      <c r="D284" s="464"/>
    </row>
    <row r="285" spans="1:4">
      <c r="A285" s="461" t="s">
        <v>114</v>
      </c>
      <c r="B285" s="462" t="s">
        <v>115</v>
      </c>
      <c r="C285" s="463"/>
      <c r="D285" s="464"/>
    </row>
    <row r="286" spans="1:4">
      <c r="A286" s="461" t="s">
        <v>500</v>
      </c>
      <c r="B286" s="462" t="s">
        <v>501</v>
      </c>
      <c r="C286" s="463"/>
      <c r="D286" s="464"/>
    </row>
    <row r="287" spans="1:4">
      <c r="A287" s="461" t="s">
        <v>492</v>
      </c>
      <c r="B287" s="462" t="s">
        <v>493</v>
      </c>
      <c r="C287" s="463"/>
      <c r="D287" s="464"/>
    </row>
    <row r="288" spans="1:4">
      <c r="A288" s="461" t="s">
        <v>567</v>
      </c>
      <c r="B288" s="462" t="s">
        <v>568</v>
      </c>
      <c r="C288" s="463">
        <v>112</v>
      </c>
      <c r="D288" s="464"/>
    </row>
    <row r="289" spans="1:4">
      <c r="A289" s="461" t="s">
        <v>118</v>
      </c>
      <c r="B289" s="462" t="s">
        <v>119</v>
      </c>
      <c r="C289" s="463"/>
      <c r="D289" s="464"/>
    </row>
    <row r="290" spans="1:4">
      <c r="A290" s="461" t="s">
        <v>56</v>
      </c>
      <c r="B290" s="462" t="s">
        <v>57</v>
      </c>
      <c r="C290" s="463"/>
      <c r="D290" s="464"/>
    </row>
    <row r="291" spans="1:4">
      <c r="A291" s="461" t="s">
        <v>0</v>
      </c>
      <c r="B291" s="462" t="s">
        <v>1</v>
      </c>
      <c r="C291" s="463"/>
      <c r="D291" s="464"/>
    </row>
    <row r="292" spans="1:4">
      <c r="A292" s="461" t="s">
        <v>92</v>
      </c>
      <c r="B292" s="462" t="s">
        <v>93</v>
      </c>
      <c r="C292" s="463"/>
      <c r="D292" s="464"/>
    </row>
    <row r="293" spans="1:4">
      <c r="A293" s="461" t="s">
        <v>452</v>
      </c>
      <c r="B293" s="462" t="s">
        <v>453</v>
      </c>
      <c r="C293" s="463"/>
      <c r="D293" s="464"/>
    </row>
    <row r="294" spans="1:4">
      <c r="A294" s="461" t="s">
        <v>37</v>
      </c>
      <c r="B294" s="462" t="s">
        <v>38</v>
      </c>
      <c r="C294" s="463"/>
      <c r="D294" s="464"/>
    </row>
    <row r="295" spans="1:4">
      <c r="A295" s="461" t="s">
        <v>443</v>
      </c>
      <c r="B295" s="462" t="s">
        <v>675</v>
      </c>
      <c r="C295" s="463"/>
      <c r="D295" s="464"/>
    </row>
    <row r="296" spans="1:4">
      <c r="A296" s="461" t="s">
        <v>569</v>
      </c>
      <c r="B296" s="462" t="s">
        <v>570</v>
      </c>
      <c r="C296" s="463"/>
      <c r="D296" s="464"/>
    </row>
    <row r="297" spans="1:4">
      <c r="A297" s="461" t="s">
        <v>276</v>
      </c>
      <c r="B297" s="462" t="s">
        <v>277</v>
      </c>
      <c r="C297" s="463"/>
      <c r="D297" s="464"/>
    </row>
    <row r="298" spans="1:4">
      <c r="A298" s="461" t="s">
        <v>367</v>
      </c>
      <c r="B298" s="462" t="s">
        <v>368</v>
      </c>
      <c r="C298" s="463"/>
      <c r="D298" s="464"/>
    </row>
    <row r="299" spans="1:4">
      <c r="A299" s="461" t="s">
        <v>248</v>
      </c>
      <c r="B299" s="462" t="s">
        <v>249</v>
      </c>
      <c r="C299" s="463"/>
      <c r="D299" s="464"/>
    </row>
    <row r="300" spans="1:4">
      <c r="A300" s="461" t="s">
        <v>289</v>
      </c>
      <c r="B300" s="462" t="s">
        <v>290</v>
      </c>
      <c r="C300" s="463"/>
      <c r="D300" s="464"/>
    </row>
    <row r="301" spans="1:4">
      <c r="A301" s="461" t="s">
        <v>332</v>
      </c>
      <c r="B301" s="462" t="s">
        <v>333</v>
      </c>
      <c r="C301" s="463"/>
      <c r="D301" s="464"/>
    </row>
    <row r="302" spans="1:4">
      <c r="A302" s="461" t="s">
        <v>129</v>
      </c>
      <c r="B302" s="462" t="s">
        <v>130</v>
      </c>
      <c r="C302" s="463"/>
      <c r="D302" s="464"/>
    </row>
    <row r="303" spans="1:4">
      <c r="A303" s="461" t="s">
        <v>264</v>
      </c>
      <c r="B303" s="462" t="s">
        <v>265</v>
      </c>
      <c r="C303" s="463"/>
      <c r="D303" s="464"/>
    </row>
    <row r="304" spans="1:4">
      <c r="A304" s="461" t="s">
        <v>151</v>
      </c>
      <c r="B304" s="462" t="s">
        <v>152</v>
      </c>
      <c r="C304" s="463"/>
      <c r="D304" s="464"/>
    </row>
    <row r="305" spans="1:4">
      <c r="A305" s="461" t="s">
        <v>232</v>
      </c>
      <c r="B305" s="462" t="s">
        <v>233</v>
      </c>
      <c r="C305" s="463"/>
      <c r="D305" s="464"/>
    </row>
    <row r="306" spans="1:4">
      <c r="A306" s="461" t="s">
        <v>78</v>
      </c>
      <c r="B306" s="462" t="s">
        <v>79</v>
      </c>
      <c r="C306" s="463"/>
      <c r="D306" s="464"/>
    </row>
    <row r="307" spans="1:4">
      <c r="A307" s="461" t="s">
        <v>547</v>
      </c>
      <c r="B307" s="462" t="s">
        <v>548</v>
      </c>
      <c r="C307" s="469">
        <v>61</v>
      </c>
      <c r="D307" s="464"/>
    </row>
    <row r="308" spans="1:4">
      <c r="A308" s="461" t="s">
        <v>472</v>
      </c>
      <c r="B308" s="462" t="s">
        <v>473</v>
      </c>
      <c r="C308" s="463"/>
      <c r="D308" s="464"/>
    </row>
    <row r="309" spans="1:4">
      <c r="A309" s="461" t="s">
        <v>565</v>
      </c>
      <c r="B309" s="462" t="s">
        <v>566</v>
      </c>
      <c r="C309" s="463"/>
      <c r="D309" s="464"/>
    </row>
  </sheetData>
  <mergeCells count="1">
    <mergeCell ref="F1:J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297"/>
  <sheetViews>
    <sheetView zoomScaleNormal="100" zoomScalePageLayoutView="60" workbookViewId="0">
      <pane ySplit="1" topLeftCell="A2" activePane="bottomLeft" state="frozen"/>
      <selection pane="bottomLeft" activeCell="G48" sqref="G48"/>
    </sheetView>
  </sheetViews>
  <sheetFormatPr defaultColWidth="12.85546875" defaultRowHeight="15"/>
  <cols>
    <col min="1" max="1" width="10.140625" style="561" customWidth="1"/>
    <col min="2" max="2" width="12.42578125" style="561" customWidth="1"/>
    <col min="3" max="3" width="22.5703125" style="561" customWidth="1"/>
    <col min="4" max="4" width="12.5703125" style="561" customWidth="1"/>
    <col min="5" max="5" width="12.85546875" style="561" customWidth="1"/>
    <col min="6" max="6" width="14.5703125" style="561" customWidth="1"/>
    <col min="7" max="7" width="12.85546875" style="561" customWidth="1"/>
    <col min="8" max="8" width="12.85546875" style="575" customWidth="1"/>
    <col min="9" max="9" width="19.140625" style="561" customWidth="1"/>
    <col min="10" max="256" width="12.85546875" style="561"/>
    <col min="257" max="257" width="10.140625" style="561" customWidth="1"/>
    <col min="258" max="258" width="12.42578125" style="561" customWidth="1"/>
    <col min="259" max="259" width="22.5703125" style="561" customWidth="1"/>
    <col min="260" max="260" width="12.5703125" style="561" customWidth="1"/>
    <col min="261" max="261" width="12.85546875" style="561" customWidth="1"/>
    <col min="262" max="262" width="14.5703125" style="561" customWidth="1"/>
    <col min="263" max="264" width="12.85546875" style="561" customWidth="1"/>
    <col min="265" max="265" width="19.140625" style="561" customWidth="1"/>
    <col min="266" max="512" width="12.85546875" style="561"/>
    <col min="513" max="513" width="10.140625" style="561" customWidth="1"/>
    <col min="514" max="514" width="12.42578125" style="561" customWidth="1"/>
    <col min="515" max="515" width="22.5703125" style="561" customWidth="1"/>
    <col min="516" max="516" width="12.5703125" style="561" customWidth="1"/>
    <col min="517" max="517" width="12.85546875" style="561" customWidth="1"/>
    <col min="518" max="518" width="14.5703125" style="561" customWidth="1"/>
    <col min="519" max="520" width="12.85546875" style="561" customWidth="1"/>
    <col min="521" max="521" width="19.140625" style="561" customWidth="1"/>
    <col min="522" max="768" width="12.85546875" style="561"/>
    <col min="769" max="769" width="10.140625" style="561" customWidth="1"/>
    <col min="770" max="770" width="12.42578125" style="561" customWidth="1"/>
    <col min="771" max="771" width="22.5703125" style="561" customWidth="1"/>
    <col min="772" max="772" width="12.5703125" style="561" customWidth="1"/>
    <col min="773" max="773" width="12.85546875" style="561" customWidth="1"/>
    <col min="774" max="774" width="14.5703125" style="561" customWidth="1"/>
    <col min="775" max="776" width="12.85546875" style="561" customWidth="1"/>
    <col min="777" max="777" width="19.140625" style="561" customWidth="1"/>
    <col min="778" max="1024" width="12.85546875" style="561"/>
    <col min="1025" max="1025" width="10.140625" style="561" customWidth="1"/>
    <col min="1026" max="1026" width="12.42578125" style="561" customWidth="1"/>
    <col min="1027" max="1027" width="22.5703125" style="561" customWidth="1"/>
    <col min="1028" max="1028" width="12.5703125" style="561" customWidth="1"/>
    <col min="1029" max="1029" width="12.85546875" style="561" customWidth="1"/>
    <col min="1030" max="1030" width="14.5703125" style="561" customWidth="1"/>
    <col min="1031" max="1032" width="12.85546875" style="561" customWidth="1"/>
    <col min="1033" max="1033" width="19.140625" style="561" customWidth="1"/>
    <col min="1034" max="1280" width="12.85546875" style="561"/>
    <col min="1281" max="1281" width="10.140625" style="561" customWidth="1"/>
    <col min="1282" max="1282" width="12.42578125" style="561" customWidth="1"/>
    <col min="1283" max="1283" width="22.5703125" style="561" customWidth="1"/>
    <col min="1284" max="1284" width="12.5703125" style="561" customWidth="1"/>
    <col min="1285" max="1285" width="12.85546875" style="561" customWidth="1"/>
    <col min="1286" max="1286" width="14.5703125" style="561" customWidth="1"/>
    <col min="1287" max="1288" width="12.85546875" style="561" customWidth="1"/>
    <col min="1289" max="1289" width="19.140625" style="561" customWidth="1"/>
    <col min="1290" max="1536" width="12.85546875" style="561"/>
    <col min="1537" max="1537" width="10.140625" style="561" customWidth="1"/>
    <col min="1538" max="1538" width="12.42578125" style="561" customWidth="1"/>
    <col min="1539" max="1539" width="22.5703125" style="561" customWidth="1"/>
    <col min="1540" max="1540" width="12.5703125" style="561" customWidth="1"/>
    <col min="1541" max="1541" width="12.85546875" style="561" customWidth="1"/>
    <col min="1542" max="1542" width="14.5703125" style="561" customWidth="1"/>
    <col min="1543" max="1544" width="12.85546875" style="561" customWidth="1"/>
    <col min="1545" max="1545" width="19.140625" style="561" customWidth="1"/>
    <col min="1546" max="1792" width="12.85546875" style="561"/>
    <col min="1793" max="1793" width="10.140625" style="561" customWidth="1"/>
    <col min="1794" max="1794" width="12.42578125" style="561" customWidth="1"/>
    <col min="1795" max="1795" width="22.5703125" style="561" customWidth="1"/>
    <col min="1796" max="1796" width="12.5703125" style="561" customWidth="1"/>
    <col min="1797" max="1797" width="12.85546875" style="561" customWidth="1"/>
    <col min="1798" max="1798" width="14.5703125" style="561" customWidth="1"/>
    <col min="1799" max="1800" width="12.85546875" style="561" customWidth="1"/>
    <col min="1801" max="1801" width="19.140625" style="561" customWidth="1"/>
    <col min="1802" max="2048" width="12.85546875" style="561"/>
    <col min="2049" max="2049" width="10.140625" style="561" customWidth="1"/>
    <col min="2050" max="2050" width="12.42578125" style="561" customWidth="1"/>
    <col min="2051" max="2051" width="22.5703125" style="561" customWidth="1"/>
    <col min="2052" max="2052" width="12.5703125" style="561" customWidth="1"/>
    <col min="2053" max="2053" width="12.85546875" style="561" customWidth="1"/>
    <col min="2054" max="2054" width="14.5703125" style="561" customWidth="1"/>
    <col min="2055" max="2056" width="12.85546875" style="561" customWidth="1"/>
    <col min="2057" max="2057" width="19.140625" style="561" customWidth="1"/>
    <col min="2058" max="2304" width="12.85546875" style="561"/>
    <col min="2305" max="2305" width="10.140625" style="561" customWidth="1"/>
    <col min="2306" max="2306" width="12.42578125" style="561" customWidth="1"/>
    <col min="2307" max="2307" width="22.5703125" style="561" customWidth="1"/>
    <col min="2308" max="2308" width="12.5703125" style="561" customWidth="1"/>
    <col min="2309" max="2309" width="12.85546875" style="561" customWidth="1"/>
    <col min="2310" max="2310" width="14.5703125" style="561" customWidth="1"/>
    <col min="2311" max="2312" width="12.85546875" style="561" customWidth="1"/>
    <col min="2313" max="2313" width="19.140625" style="561" customWidth="1"/>
    <col min="2314" max="2560" width="12.85546875" style="561"/>
    <col min="2561" max="2561" width="10.140625" style="561" customWidth="1"/>
    <col min="2562" max="2562" width="12.42578125" style="561" customWidth="1"/>
    <col min="2563" max="2563" width="22.5703125" style="561" customWidth="1"/>
    <col min="2564" max="2564" width="12.5703125" style="561" customWidth="1"/>
    <col min="2565" max="2565" width="12.85546875" style="561" customWidth="1"/>
    <col min="2566" max="2566" width="14.5703125" style="561" customWidth="1"/>
    <col min="2567" max="2568" width="12.85546875" style="561" customWidth="1"/>
    <col min="2569" max="2569" width="19.140625" style="561" customWidth="1"/>
    <col min="2570" max="2816" width="12.85546875" style="561"/>
    <col min="2817" max="2817" width="10.140625" style="561" customWidth="1"/>
    <col min="2818" max="2818" width="12.42578125" style="561" customWidth="1"/>
    <col min="2819" max="2819" width="22.5703125" style="561" customWidth="1"/>
    <col min="2820" max="2820" width="12.5703125" style="561" customWidth="1"/>
    <col min="2821" max="2821" width="12.85546875" style="561" customWidth="1"/>
    <col min="2822" max="2822" width="14.5703125" style="561" customWidth="1"/>
    <col min="2823" max="2824" width="12.85546875" style="561" customWidth="1"/>
    <col min="2825" max="2825" width="19.140625" style="561" customWidth="1"/>
    <col min="2826" max="3072" width="12.85546875" style="561"/>
    <col min="3073" max="3073" width="10.140625" style="561" customWidth="1"/>
    <col min="3074" max="3074" width="12.42578125" style="561" customWidth="1"/>
    <col min="3075" max="3075" width="22.5703125" style="561" customWidth="1"/>
    <col min="3076" max="3076" width="12.5703125" style="561" customWidth="1"/>
    <col min="3077" max="3077" width="12.85546875" style="561" customWidth="1"/>
    <col min="3078" max="3078" width="14.5703125" style="561" customWidth="1"/>
    <col min="3079" max="3080" width="12.85546875" style="561" customWidth="1"/>
    <col min="3081" max="3081" width="19.140625" style="561" customWidth="1"/>
    <col min="3082" max="3328" width="12.85546875" style="561"/>
    <col min="3329" max="3329" width="10.140625" style="561" customWidth="1"/>
    <col min="3330" max="3330" width="12.42578125" style="561" customWidth="1"/>
    <col min="3331" max="3331" width="22.5703125" style="561" customWidth="1"/>
    <col min="3332" max="3332" width="12.5703125" style="561" customWidth="1"/>
    <col min="3333" max="3333" width="12.85546875" style="561" customWidth="1"/>
    <col min="3334" max="3334" width="14.5703125" style="561" customWidth="1"/>
    <col min="3335" max="3336" width="12.85546875" style="561" customWidth="1"/>
    <col min="3337" max="3337" width="19.140625" style="561" customWidth="1"/>
    <col min="3338" max="3584" width="12.85546875" style="561"/>
    <col min="3585" max="3585" width="10.140625" style="561" customWidth="1"/>
    <col min="3586" max="3586" width="12.42578125" style="561" customWidth="1"/>
    <col min="3587" max="3587" width="22.5703125" style="561" customWidth="1"/>
    <col min="3588" max="3588" width="12.5703125" style="561" customWidth="1"/>
    <col min="3589" max="3589" width="12.85546875" style="561" customWidth="1"/>
    <col min="3590" max="3590" width="14.5703125" style="561" customWidth="1"/>
    <col min="3591" max="3592" width="12.85546875" style="561" customWidth="1"/>
    <col min="3593" max="3593" width="19.140625" style="561" customWidth="1"/>
    <col min="3594" max="3840" width="12.85546875" style="561"/>
    <col min="3841" max="3841" width="10.140625" style="561" customWidth="1"/>
    <col min="3842" max="3842" width="12.42578125" style="561" customWidth="1"/>
    <col min="3843" max="3843" width="22.5703125" style="561" customWidth="1"/>
    <col min="3844" max="3844" width="12.5703125" style="561" customWidth="1"/>
    <col min="3845" max="3845" width="12.85546875" style="561" customWidth="1"/>
    <col min="3846" max="3846" width="14.5703125" style="561" customWidth="1"/>
    <col min="3847" max="3848" width="12.85546875" style="561" customWidth="1"/>
    <col min="3849" max="3849" width="19.140625" style="561" customWidth="1"/>
    <col min="3850" max="4096" width="12.85546875" style="561"/>
    <col min="4097" max="4097" width="10.140625" style="561" customWidth="1"/>
    <col min="4098" max="4098" width="12.42578125" style="561" customWidth="1"/>
    <col min="4099" max="4099" width="22.5703125" style="561" customWidth="1"/>
    <col min="4100" max="4100" width="12.5703125" style="561" customWidth="1"/>
    <col min="4101" max="4101" width="12.85546875" style="561" customWidth="1"/>
    <col min="4102" max="4102" width="14.5703125" style="561" customWidth="1"/>
    <col min="4103" max="4104" width="12.85546875" style="561" customWidth="1"/>
    <col min="4105" max="4105" width="19.140625" style="561" customWidth="1"/>
    <col min="4106" max="4352" width="12.85546875" style="561"/>
    <col min="4353" max="4353" width="10.140625" style="561" customWidth="1"/>
    <col min="4354" max="4354" width="12.42578125" style="561" customWidth="1"/>
    <col min="4355" max="4355" width="22.5703125" style="561" customWidth="1"/>
    <col min="4356" max="4356" width="12.5703125" style="561" customWidth="1"/>
    <col min="4357" max="4357" width="12.85546875" style="561" customWidth="1"/>
    <col min="4358" max="4358" width="14.5703125" style="561" customWidth="1"/>
    <col min="4359" max="4360" width="12.85546875" style="561" customWidth="1"/>
    <col min="4361" max="4361" width="19.140625" style="561" customWidth="1"/>
    <col min="4362" max="4608" width="12.85546875" style="561"/>
    <col min="4609" max="4609" width="10.140625" style="561" customWidth="1"/>
    <col min="4610" max="4610" width="12.42578125" style="561" customWidth="1"/>
    <col min="4611" max="4611" width="22.5703125" style="561" customWidth="1"/>
    <col min="4612" max="4612" width="12.5703125" style="561" customWidth="1"/>
    <col min="4613" max="4613" width="12.85546875" style="561" customWidth="1"/>
    <col min="4614" max="4614" width="14.5703125" style="561" customWidth="1"/>
    <col min="4615" max="4616" width="12.85546875" style="561" customWidth="1"/>
    <col min="4617" max="4617" width="19.140625" style="561" customWidth="1"/>
    <col min="4618" max="4864" width="12.85546875" style="561"/>
    <col min="4865" max="4865" width="10.140625" style="561" customWidth="1"/>
    <col min="4866" max="4866" width="12.42578125" style="561" customWidth="1"/>
    <col min="4867" max="4867" width="22.5703125" style="561" customWidth="1"/>
    <col min="4868" max="4868" width="12.5703125" style="561" customWidth="1"/>
    <col min="4869" max="4869" width="12.85546875" style="561" customWidth="1"/>
    <col min="4870" max="4870" width="14.5703125" style="561" customWidth="1"/>
    <col min="4871" max="4872" width="12.85546875" style="561" customWidth="1"/>
    <col min="4873" max="4873" width="19.140625" style="561" customWidth="1"/>
    <col min="4874" max="5120" width="12.85546875" style="561"/>
    <col min="5121" max="5121" width="10.140625" style="561" customWidth="1"/>
    <col min="5122" max="5122" width="12.42578125" style="561" customWidth="1"/>
    <col min="5123" max="5123" width="22.5703125" style="561" customWidth="1"/>
    <col min="5124" max="5124" width="12.5703125" style="561" customWidth="1"/>
    <col min="5125" max="5125" width="12.85546875" style="561" customWidth="1"/>
    <col min="5126" max="5126" width="14.5703125" style="561" customWidth="1"/>
    <col min="5127" max="5128" width="12.85546875" style="561" customWidth="1"/>
    <col min="5129" max="5129" width="19.140625" style="561" customWidth="1"/>
    <col min="5130" max="5376" width="12.85546875" style="561"/>
    <col min="5377" max="5377" width="10.140625" style="561" customWidth="1"/>
    <col min="5378" max="5378" width="12.42578125" style="561" customWidth="1"/>
    <col min="5379" max="5379" width="22.5703125" style="561" customWidth="1"/>
    <col min="5380" max="5380" width="12.5703125" style="561" customWidth="1"/>
    <col min="5381" max="5381" width="12.85546875" style="561" customWidth="1"/>
    <col min="5382" max="5382" width="14.5703125" style="561" customWidth="1"/>
    <col min="5383" max="5384" width="12.85546875" style="561" customWidth="1"/>
    <col min="5385" max="5385" width="19.140625" style="561" customWidth="1"/>
    <col min="5386" max="5632" width="12.85546875" style="561"/>
    <col min="5633" max="5633" width="10.140625" style="561" customWidth="1"/>
    <col min="5634" max="5634" width="12.42578125" style="561" customWidth="1"/>
    <col min="5635" max="5635" width="22.5703125" style="561" customWidth="1"/>
    <col min="5636" max="5636" width="12.5703125" style="561" customWidth="1"/>
    <col min="5637" max="5637" width="12.85546875" style="561" customWidth="1"/>
    <col min="5638" max="5638" width="14.5703125" style="561" customWidth="1"/>
    <col min="5639" max="5640" width="12.85546875" style="561" customWidth="1"/>
    <col min="5641" max="5641" width="19.140625" style="561" customWidth="1"/>
    <col min="5642" max="5888" width="12.85546875" style="561"/>
    <col min="5889" max="5889" width="10.140625" style="561" customWidth="1"/>
    <col min="5890" max="5890" width="12.42578125" style="561" customWidth="1"/>
    <col min="5891" max="5891" width="22.5703125" style="561" customWidth="1"/>
    <col min="5892" max="5892" width="12.5703125" style="561" customWidth="1"/>
    <col min="5893" max="5893" width="12.85546875" style="561" customWidth="1"/>
    <col min="5894" max="5894" width="14.5703125" style="561" customWidth="1"/>
    <col min="5895" max="5896" width="12.85546875" style="561" customWidth="1"/>
    <col min="5897" max="5897" width="19.140625" style="561" customWidth="1"/>
    <col min="5898" max="6144" width="12.85546875" style="561"/>
    <col min="6145" max="6145" width="10.140625" style="561" customWidth="1"/>
    <col min="6146" max="6146" width="12.42578125" style="561" customWidth="1"/>
    <col min="6147" max="6147" width="22.5703125" style="561" customWidth="1"/>
    <col min="6148" max="6148" width="12.5703125" style="561" customWidth="1"/>
    <col min="6149" max="6149" width="12.85546875" style="561" customWidth="1"/>
    <col min="6150" max="6150" width="14.5703125" style="561" customWidth="1"/>
    <col min="6151" max="6152" width="12.85546875" style="561" customWidth="1"/>
    <col min="6153" max="6153" width="19.140625" style="561" customWidth="1"/>
    <col min="6154" max="6400" width="12.85546875" style="561"/>
    <col min="6401" max="6401" width="10.140625" style="561" customWidth="1"/>
    <col min="6402" max="6402" width="12.42578125" style="561" customWidth="1"/>
    <col min="6403" max="6403" width="22.5703125" style="561" customWidth="1"/>
    <col min="6404" max="6404" width="12.5703125" style="561" customWidth="1"/>
    <col min="6405" max="6405" width="12.85546875" style="561" customWidth="1"/>
    <col min="6406" max="6406" width="14.5703125" style="561" customWidth="1"/>
    <col min="6407" max="6408" width="12.85546875" style="561" customWidth="1"/>
    <col min="6409" max="6409" width="19.140625" style="561" customWidth="1"/>
    <col min="6410" max="6656" width="12.85546875" style="561"/>
    <col min="6657" max="6657" width="10.140625" style="561" customWidth="1"/>
    <col min="6658" max="6658" width="12.42578125" style="561" customWidth="1"/>
    <col min="6659" max="6659" width="22.5703125" style="561" customWidth="1"/>
    <col min="6660" max="6660" width="12.5703125" style="561" customWidth="1"/>
    <col min="6661" max="6661" width="12.85546875" style="561" customWidth="1"/>
    <col min="6662" max="6662" width="14.5703125" style="561" customWidth="1"/>
    <col min="6663" max="6664" width="12.85546875" style="561" customWidth="1"/>
    <col min="6665" max="6665" width="19.140625" style="561" customWidth="1"/>
    <col min="6666" max="6912" width="12.85546875" style="561"/>
    <col min="6913" max="6913" width="10.140625" style="561" customWidth="1"/>
    <col min="6914" max="6914" width="12.42578125" style="561" customWidth="1"/>
    <col min="6915" max="6915" width="22.5703125" style="561" customWidth="1"/>
    <col min="6916" max="6916" width="12.5703125" style="561" customWidth="1"/>
    <col min="6917" max="6917" width="12.85546875" style="561" customWidth="1"/>
    <col min="6918" max="6918" width="14.5703125" style="561" customWidth="1"/>
    <col min="6919" max="6920" width="12.85546875" style="561" customWidth="1"/>
    <col min="6921" max="6921" width="19.140625" style="561" customWidth="1"/>
    <col min="6922" max="7168" width="12.85546875" style="561"/>
    <col min="7169" max="7169" width="10.140625" style="561" customWidth="1"/>
    <col min="7170" max="7170" width="12.42578125" style="561" customWidth="1"/>
    <col min="7171" max="7171" width="22.5703125" style="561" customWidth="1"/>
    <col min="7172" max="7172" width="12.5703125" style="561" customWidth="1"/>
    <col min="7173" max="7173" width="12.85546875" style="561" customWidth="1"/>
    <col min="7174" max="7174" width="14.5703125" style="561" customWidth="1"/>
    <col min="7175" max="7176" width="12.85546875" style="561" customWidth="1"/>
    <col min="7177" max="7177" width="19.140625" style="561" customWidth="1"/>
    <col min="7178" max="7424" width="12.85546875" style="561"/>
    <col min="7425" max="7425" width="10.140625" style="561" customWidth="1"/>
    <col min="7426" max="7426" width="12.42578125" style="561" customWidth="1"/>
    <col min="7427" max="7427" width="22.5703125" style="561" customWidth="1"/>
    <col min="7428" max="7428" width="12.5703125" style="561" customWidth="1"/>
    <col min="7429" max="7429" width="12.85546875" style="561" customWidth="1"/>
    <col min="7430" max="7430" width="14.5703125" style="561" customWidth="1"/>
    <col min="7431" max="7432" width="12.85546875" style="561" customWidth="1"/>
    <col min="7433" max="7433" width="19.140625" style="561" customWidth="1"/>
    <col min="7434" max="7680" width="12.85546875" style="561"/>
    <col min="7681" max="7681" width="10.140625" style="561" customWidth="1"/>
    <col min="7682" max="7682" width="12.42578125" style="561" customWidth="1"/>
    <col min="7683" max="7683" width="22.5703125" style="561" customWidth="1"/>
    <col min="7684" max="7684" width="12.5703125" style="561" customWidth="1"/>
    <col min="7685" max="7685" width="12.85546875" style="561" customWidth="1"/>
    <col min="7686" max="7686" width="14.5703125" style="561" customWidth="1"/>
    <col min="7687" max="7688" width="12.85546875" style="561" customWidth="1"/>
    <col min="7689" max="7689" width="19.140625" style="561" customWidth="1"/>
    <col min="7690" max="7936" width="12.85546875" style="561"/>
    <col min="7937" max="7937" width="10.140625" style="561" customWidth="1"/>
    <col min="7938" max="7938" width="12.42578125" style="561" customWidth="1"/>
    <col min="7939" max="7939" width="22.5703125" style="561" customWidth="1"/>
    <col min="7940" max="7940" width="12.5703125" style="561" customWidth="1"/>
    <col min="7941" max="7941" width="12.85546875" style="561" customWidth="1"/>
    <col min="7942" max="7942" width="14.5703125" style="561" customWidth="1"/>
    <col min="7943" max="7944" width="12.85546875" style="561" customWidth="1"/>
    <col min="7945" max="7945" width="19.140625" style="561" customWidth="1"/>
    <col min="7946" max="8192" width="12.85546875" style="561"/>
    <col min="8193" max="8193" width="10.140625" style="561" customWidth="1"/>
    <col min="8194" max="8194" width="12.42578125" style="561" customWidth="1"/>
    <col min="8195" max="8195" width="22.5703125" style="561" customWidth="1"/>
    <col min="8196" max="8196" width="12.5703125" style="561" customWidth="1"/>
    <col min="8197" max="8197" width="12.85546875" style="561" customWidth="1"/>
    <col min="8198" max="8198" width="14.5703125" style="561" customWidth="1"/>
    <col min="8199" max="8200" width="12.85546875" style="561" customWidth="1"/>
    <col min="8201" max="8201" width="19.140625" style="561" customWidth="1"/>
    <col min="8202" max="8448" width="12.85546875" style="561"/>
    <col min="8449" max="8449" width="10.140625" style="561" customWidth="1"/>
    <col min="8450" max="8450" width="12.42578125" style="561" customWidth="1"/>
    <col min="8451" max="8451" width="22.5703125" style="561" customWidth="1"/>
    <col min="8452" max="8452" width="12.5703125" style="561" customWidth="1"/>
    <col min="8453" max="8453" width="12.85546875" style="561" customWidth="1"/>
    <col min="8454" max="8454" width="14.5703125" style="561" customWidth="1"/>
    <col min="8455" max="8456" width="12.85546875" style="561" customWidth="1"/>
    <col min="8457" max="8457" width="19.140625" style="561" customWidth="1"/>
    <col min="8458" max="8704" width="12.85546875" style="561"/>
    <col min="8705" max="8705" width="10.140625" style="561" customWidth="1"/>
    <col min="8706" max="8706" width="12.42578125" style="561" customWidth="1"/>
    <col min="8707" max="8707" width="22.5703125" style="561" customWidth="1"/>
    <col min="8708" max="8708" width="12.5703125" style="561" customWidth="1"/>
    <col min="8709" max="8709" width="12.85546875" style="561" customWidth="1"/>
    <col min="8710" max="8710" width="14.5703125" style="561" customWidth="1"/>
    <col min="8711" max="8712" width="12.85546875" style="561" customWidth="1"/>
    <col min="8713" max="8713" width="19.140625" style="561" customWidth="1"/>
    <col min="8714" max="8960" width="12.85546875" style="561"/>
    <col min="8961" max="8961" width="10.140625" style="561" customWidth="1"/>
    <col min="8962" max="8962" width="12.42578125" style="561" customWidth="1"/>
    <col min="8963" max="8963" width="22.5703125" style="561" customWidth="1"/>
    <col min="8964" max="8964" width="12.5703125" style="561" customWidth="1"/>
    <col min="8965" max="8965" width="12.85546875" style="561" customWidth="1"/>
    <col min="8966" max="8966" width="14.5703125" style="561" customWidth="1"/>
    <col min="8967" max="8968" width="12.85546875" style="561" customWidth="1"/>
    <col min="8969" max="8969" width="19.140625" style="561" customWidth="1"/>
    <col min="8970" max="9216" width="12.85546875" style="561"/>
    <col min="9217" max="9217" width="10.140625" style="561" customWidth="1"/>
    <col min="9218" max="9218" width="12.42578125" style="561" customWidth="1"/>
    <col min="9219" max="9219" width="22.5703125" style="561" customWidth="1"/>
    <col min="9220" max="9220" width="12.5703125" style="561" customWidth="1"/>
    <col min="9221" max="9221" width="12.85546875" style="561" customWidth="1"/>
    <col min="9222" max="9222" width="14.5703125" style="561" customWidth="1"/>
    <col min="9223" max="9224" width="12.85546875" style="561" customWidth="1"/>
    <col min="9225" max="9225" width="19.140625" style="561" customWidth="1"/>
    <col min="9226" max="9472" width="12.85546875" style="561"/>
    <col min="9473" max="9473" width="10.140625" style="561" customWidth="1"/>
    <col min="9474" max="9474" width="12.42578125" style="561" customWidth="1"/>
    <col min="9475" max="9475" width="22.5703125" style="561" customWidth="1"/>
    <col min="9476" max="9476" width="12.5703125" style="561" customWidth="1"/>
    <col min="9477" max="9477" width="12.85546875" style="561" customWidth="1"/>
    <col min="9478" max="9478" width="14.5703125" style="561" customWidth="1"/>
    <col min="9479" max="9480" width="12.85546875" style="561" customWidth="1"/>
    <col min="9481" max="9481" width="19.140625" style="561" customWidth="1"/>
    <col min="9482" max="9728" width="12.85546875" style="561"/>
    <col min="9729" max="9729" width="10.140625" style="561" customWidth="1"/>
    <col min="9730" max="9730" width="12.42578125" style="561" customWidth="1"/>
    <col min="9731" max="9731" width="22.5703125" style="561" customWidth="1"/>
    <col min="9732" max="9732" width="12.5703125" style="561" customWidth="1"/>
    <col min="9733" max="9733" width="12.85546875" style="561" customWidth="1"/>
    <col min="9734" max="9734" width="14.5703125" style="561" customWidth="1"/>
    <col min="9735" max="9736" width="12.85546875" style="561" customWidth="1"/>
    <col min="9737" max="9737" width="19.140625" style="561" customWidth="1"/>
    <col min="9738" max="9984" width="12.85546875" style="561"/>
    <col min="9985" max="9985" width="10.140625" style="561" customWidth="1"/>
    <col min="9986" max="9986" width="12.42578125" style="561" customWidth="1"/>
    <col min="9987" max="9987" width="22.5703125" style="561" customWidth="1"/>
    <col min="9988" max="9988" width="12.5703125" style="561" customWidth="1"/>
    <col min="9989" max="9989" width="12.85546875" style="561" customWidth="1"/>
    <col min="9990" max="9990" width="14.5703125" style="561" customWidth="1"/>
    <col min="9991" max="9992" width="12.85546875" style="561" customWidth="1"/>
    <col min="9993" max="9993" width="19.140625" style="561" customWidth="1"/>
    <col min="9994" max="10240" width="12.85546875" style="561"/>
    <col min="10241" max="10241" width="10.140625" style="561" customWidth="1"/>
    <col min="10242" max="10242" width="12.42578125" style="561" customWidth="1"/>
    <col min="10243" max="10243" width="22.5703125" style="561" customWidth="1"/>
    <col min="10244" max="10244" width="12.5703125" style="561" customWidth="1"/>
    <col min="10245" max="10245" width="12.85546875" style="561" customWidth="1"/>
    <col min="10246" max="10246" width="14.5703125" style="561" customWidth="1"/>
    <col min="10247" max="10248" width="12.85546875" style="561" customWidth="1"/>
    <col min="10249" max="10249" width="19.140625" style="561" customWidth="1"/>
    <col min="10250" max="10496" width="12.85546875" style="561"/>
    <col min="10497" max="10497" width="10.140625" style="561" customWidth="1"/>
    <col min="10498" max="10498" width="12.42578125" style="561" customWidth="1"/>
    <col min="10499" max="10499" width="22.5703125" style="561" customWidth="1"/>
    <col min="10500" max="10500" width="12.5703125" style="561" customWidth="1"/>
    <col min="10501" max="10501" width="12.85546875" style="561" customWidth="1"/>
    <col min="10502" max="10502" width="14.5703125" style="561" customWidth="1"/>
    <col min="10503" max="10504" width="12.85546875" style="561" customWidth="1"/>
    <col min="10505" max="10505" width="19.140625" style="561" customWidth="1"/>
    <col min="10506" max="10752" width="12.85546875" style="561"/>
    <col min="10753" max="10753" width="10.140625" style="561" customWidth="1"/>
    <col min="10754" max="10754" width="12.42578125" style="561" customWidth="1"/>
    <col min="10755" max="10755" width="22.5703125" style="561" customWidth="1"/>
    <col min="10756" max="10756" width="12.5703125" style="561" customWidth="1"/>
    <col min="10757" max="10757" width="12.85546875" style="561" customWidth="1"/>
    <col min="10758" max="10758" width="14.5703125" style="561" customWidth="1"/>
    <col min="10759" max="10760" width="12.85546875" style="561" customWidth="1"/>
    <col min="10761" max="10761" width="19.140625" style="561" customWidth="1"/>
    <col min="10762" max="11008" width="12.85546875" style="561"/>
    <col min="11009" max="11009" width="10.140625" style="561" customWidth="1"/>
    <col min="11010" max="11010" width="12.42578125" style="561" customWidth="1"/>
    <col min="11011" max="11011" width="22.5703125" style="561" customWidth="1"/>
    <col min="11012" max="11012" width="12.5703125" style="561" customWidth="1"/>
    <col min="11013" max="11013" width="12.85546875" style="561" customWidth="1"/>
    <col min="11014" max="11014" width="14.5703125" style="561" customWidth="1"/>
    <col min="11015" max="11016" width="12.85546875" style="561" customWidth="1"/>
    <col min="11017" max="11017" width="19.140625" style="561" customWidth="1"/>
    <col min="11018" max="11264" width="12.85546875" style="561"/>
    <col min="11265" max="11265" width="10.140625" style="561" customWidth="1"/>
    <col min="11266" max="11266" width="12.42578125" style="561" customWidth="1"/>
    <col min="11267" max="11267" width="22.5703125" style="561" customWidth="1"/>
    <col min="11268" max="11268" width="12.5703125" style="561" customWidth="1"/>
    <col min="11269" max="11269" width="12.85546875" style="561" customWidth="1"/>
    <col min="11270" max="11270" width="14.5703125" style="561" customWidth="1"/>
    <col min="11271" max="11272" width="12.85546875" style="561" customWidth="1"/>
    <col min="11273" max="11273" width="19.140625" style="561" customWidth="1"/>
    <col min="11274" max="11520" width="12.85546875" style="561"/>
    <col min="11521" max="11521" width="10.140625" style="561" customWidth="1"/>
    <col min="11522" max="11522" width="12.42578125" style="561" customWidth="1"/>
    <col min="11523" max="11523" width="22.5703125" style="561" customWidth="1"/>
    <col min="11524" max="11524" width="12.5703125" style="561" customWidth="1"/>
    <col min="11525" max="11525" width="12.85546875" style="561" customWidth="1"/>
    <col min="11526" max="11526" width="14.5703125" style="561" customWidth="1"/>
    <col min="11527" max="11528" width="12.85546875" style="561" customWidth="1"/>
    <col min="11529" max="11529" width="19.140625" style="561" customWidth="1"/>
    <col min="11530" max="11776" width="12.85546875" style="561"/>
    <col min="11777" max="11777" width="10.140625" style="561" customWidth="1"/>
    <col min="11778" max="11778" width="12.42578125" style="561" customWidth="1"/>
    <col min="11779" max="11779" width="22.5703125" style="561" customWidth="1"/>
    <col min="11780" max="11780" width="12.5703125" style="561" customWidth="1"/>
    <col min="11781" max="11781" width="12.85546875" style="561" customWidth="1"/>
    <col min="11782" max="11782" width="14.5703125" style="561" customWidth="1"/>
    <col min="11783" max="11784" width="12.85546875" style="561" customWidth="1"/>
    <col min="11785" max="11785" width="19.140625" style="561" customWidth="1"/>
    <col min="11786" max="12032" width="12.85546875" style="561"/>
    <col min="12033" max="12033" width="10.140625" style="561" customWidth="1"/>
    <col min="12034" max="12034" width="12.42578125" style="561" customWidth="1"/>
    <col min="12035" max="12035" width="22.5703125" style="561" customWidth="1"/>
    <col min="12036" max="12036" width="12.5703125" style="561" customWidth="1"/>
    <col min="12037" max="12037" width="12.85546875" style="561" customWidth="1"/>
    <col min="12038" max="12038" width="14.5703125" style="561" customWidth="1"/>
    <col min="12039" max="12040" width="12.85546875" style="561" customWidth="1"/>
    <col min="12041" max="12041" width="19.140625" style="561" customWidth="1"/>
    <col min="12042" max="12288" width="12.85546875" style="561"/>
    <col min="12289" max="12289" width="10.140625" style="561" customWidth="1"/>
    <col min="12290" max="12290" width="12.42578125" style="561" customWidth="1"/>
    <col min="12291" max="12291" width="22.5703125" style="561" customWidth="1"/>
    <col min="12292" max="12292" width="12.5703125" style="561" customWidth="1"/>
    <col min="12293" max="12293" width="12.85546875" style="561" customWidth="1"/>
    <col min="12294" max="12294" width="14.5703125" style="561" customWidth="1"/>
    <col min="12295" max="12296" width="12.85546875" style="561" customWidth="1"/>
    <col min="12297" max="12297" width="19.140625" style="561" customWidth="1"/>
    <col min="12298" max="12544" width="12.85546875" style="561"/>
    <col min="12545" max="12545" width="10.140625" style="561" customWidth="1"/>
    <col min="12546" max="12546" width="12.42578125" style="561" customWidth="1"/>
    <col min="12547" max="12547" width="22.5703125" style="561" customWidth="1"/>
    <col min="12548" max="12548" width="12.5703125" style="561" customWidth="1"/>
    <col min="12549" max="12549" width="12.85546875" style="561" customWidth="1"/>
    <col min="12550" max="12550" width="14.5703125" style="561" customWidth="1"/>
    <col min="12551" max="12552" width="12.85546875" style="561" customWidth="1"/>
    <col min="12553" max="12553" width="19.140625" style="561" customWidth="1"/>
    <col min="12554" max="12800" width="12.85546875" style="561"/>
    <col min="12801" max="12801" width="10.140625" style="561" customWidth="1"/>
    <col min="12802" max="12802" width="12.42578125" style="561" customWidth="1"/>
    <col min="12803" max="12803" width="22.5703125" style="561" customWidth="1"/>
    <col min="12804" max="12804" width="12.5703125" style="561" customWidth="1"/>
    <col min="12805" max="12805" width="12.85546875" style="561" customWidth="1"/>
    <col min="12806" max="12806" width="14.5703125" style="561" customWidth="1"/>
    <col min="12807" max="12808" width="12.85546875" style="561" customWidth="1"/>
    <col min="12809" max="12809" width="19.140625" style="561" customWidth="1"/>
    <col min="12810" max="13056" width="12.85546875" style="561"/>
    <col min="13057" max="13057" width="10.140625" style="561" customWidth="1"/>
    <col min="13058" max="13058" width="12.42578125" style="561" customWidth="1"/>
    <col min="13059" max="13059" width="22.5703125" style="561" customWidth="1"/>
    <col min="13060" max="13060" width="12.5703125" style="561" customWidth="1"/>
    <col min="13061" max="13061" width="12.85546875" style="561" customWidth="1"/>
    <col min="13062" max="13062" width="14.5703125" style="561" customWidth="1"/>
    <col min="13063" max="13064" width="12.85546875" style="561" customWidth="1"/>
    <col min="13065" max="13065" width="19.140625" style="561" customWidth="1"/>
    <col min="13066" max="13312" width="12.85546875" style="561"/>
    <col min="13313" max="13313" width="10.140625" style="561" customWidth="1"/>
    <col min="13314" max="13314" width="12.42578125" style="561" customWidth="1"/>
    <col min="13315" max="13315" width="22.5703125" style="561" customWidth="1"/>
    <col min="13316" max="13316" width="12.5703125" style="561" customWidth="1"/>
    <col min="13317" max="13317" width="12.85546875" style="561" customWidth="1"/>
    <col min="13318" max="13318" width="14.5703125" style="561" customWidth="1"/>
    <col min="13319" max="13320" width="12.85546875" style="561" customWidth="1"/>
    <col min="13321" max="13321" width="19.140625" style="561" customWidth="1"/>
    <col min="13322" max="13568" width="12.85546875" style="561"/>
    <col min="13569" max="13569" width="10.140625" style="561" customWidth="1"/>
    <col min="13570" max="13570" width="12.42578125" style="561" customWidth="1"/>
    <col min="13571" max="13571" width="22.5703125" style="561" customWidth="1"/>
    <col min="13572" max="13572" width="12.5703125" style="561" customWidth="1"/>
    <col min="13573" max="13573" width="12.85546875" style="561" customWidth="1"/>
    <col min="13574" max="13574" width="14.5703125" style="561" customWidth="1"/>
    <col min="13575" max="13576" width="12.85546875" style="561" customWidth="1"/>
    <col min="13577" max="13577" width="19.140625" style="561" customWidth="1"/>
    <col min="13578" max="13824" width="12.85546875" style="561"/>
    <col min="13825" max="13825" width="10.140625" style="561" customWidth="1"/>
    <col min="13826" max="13826" width="12.42578125" style="561" customWidth="1"/>
    <col min="13827" max="13827" width="22.5703125" style="561" customWidth="1"/>
    <col min="13828" max="13828" width="12.5703125" style="561" customWidth="1"/>
    <col min="13829" max="13829" width="12.85546875" style="561" customWidth="1"/>
    <col min="13830" max="13830" width="14.5703125" style="561" customWidth="1"/>
    <col min="13831" max="13832" width="12.85546875" style="561" customWidth="1"/>
    <col min="13833" max="13833" width="19.140625" style="561" customWidth="1"/>
    <col min="13834" max="14080" width="12.85546875" style="561"/>
    <col min="14081" max="14081" width="10.140625" style="561" customWidth="1"/>
    <col min="14082" max="14082" width="12.42578125" style="561" customWidth="1"/>
    <col min="14083" max="14083" width="22.5703125" style="561" customWidth="1"/>
    <col min="14084" max="14084" width="12.5703125" style="561" customWidth="1"/>
    <col min="14085" max="14085" width="12.85546875" style="561" customWidth="1"/>
    <col min="14086" max="14086" width="14.5703125" style="561" customWidth="1"/>
    <col min="14087" max="14088" width="12.85546875" style="561" customWidth="1"/>
    <col min="14089" max="14089" width="19.140625" style="561" customWidth="1"/>
    <col min="14090" max="14336" width="12.85546875" style="561"/>
    <col min="14337" max="14337" width="10.140625" style="561" customWidth="1"/>
    <col min="14338" max="14338" width="12.42578125" style="561" customWidth="1"/>
    <col min="14339" max="14339" width="22.5703125" style="561" customWidth="1"/>
    <col min="14340" max="14340" width="12.5703125" style="561" customWidth="1"/>
    <col min="14341" max="14341" width="12.85546875" style="561" customWidth="1"/>
    <col min="14342" max="14342" width="14.5703125" style="561" customWidth="1"/>
    <col min="14343" max="14344" width="12.85546875" style="561" customWidth="1"/>
    <col min="14345" max="14345" width="19.140625" style="561" customWidth="1"/>
    <col min="14346" max="14592" width="12.85546875" style="561"/>
    <col min="14593" max="14593" width="10.140625" style="561" customWidth="1"/>
    <col min="14594" max="14594" width="12.42578125" style="561" customWidth="1"/>
    <col min="14595" max="14595" width="22.5703125" style="561" customWidth="1"/>
    <col min="14596" max="14596" width="12.5703125" style="561" customWidth="1"/>
    <col min="14597" max="14597" width="12.85546875" style="561" customWidth="1"/>
    <col min="14598" max="14598" width="14.5703125" style="561" customWidth="1"/>
    <col min="14599" max="14600" width="12.85546875" style="561" customWidth="1"/>
    <col min="14601" max="14601" width="19.140625" style="561" customWidth="1"/>
    <col min="14602" max="14848" width="12.85546875" style="561"/>
    <col min="14849" max="14849" width="10.140625" style="561" customWidth="1"/>
    <col min="14850" max="14850" width="12.42578125" style="561" customWidth="1"/>
    <col min="14851" max="14851" width="22.5703125" style="561" customWidth="1"/>
    <col min="14852" max="14852" width="12.5703125" style="561" customWidth="1"/>
    <col min="14853" max="14853" width="12.85546875" style="561" customWidth="1"/>
    <col min="14854" max="14854" width="14.5703125" style="561" customWidth="1"/>
    <col min="14855" max="14856" width="12.85546875" style="561" customWidth="1"/>
    <col min="14857" max="14857" width="19.140625" style="561" customWidth="1"/>
    <col min="14858" max="15104" width="12.85546875" style="561"/>
    <col min="15105" max="15105" width="10.140625" style="561" customWidth="1"/>
    <col min="15106" max="15106" width="12.42578125" style="561" customWidth="1"/>
    <col min="15107" max="15107" width="22.5703125" style="561" customWidth="1"/>
    <col min="15108" max="15108" width="12.5703125" style="561" customWidth="1"/>
    <col min="15109" max="15109" width="12.85546875" style="561" customWidth="1"/>
    <col min="15110" max="15110" width="14.5703125" style="561" customWidth="1"/>
    <col min="15111" max="15112" width="12.85546875" style="561" customWidth="1"/>
    <col min="15113" max="15113" width="19.140625" style="561" customWidth="1"/>
    <col min="15114" max="15360" width="12.85546875" style="561"/>
    <col min="15361" max="15361" width="10.140625" style="561" customWidth="1"/>
    <col min="15362" max="15362" width="12.42578125" style="561" customWidth="1"/>
    <col min="15363" max="15363" width="22.5703125" style="561" customWidth="1"/>
    <col min="15364" max="15364" width="12.5703125" style="561" customWidth="1"/>
    <col min="15365" max="15365" width="12.85546875" style="561" customWidth="1"/>
    <col min="15366" max="15366" width="14.5703125" style="561" customWidth="1"/>
    <col min="15367" max="15368" width="12.85546875" style="561" customWidth="1"/>
    <col min="15369" max="15369" width="19.140625" style="561" customWidth="1"/>
    <col min="15370" max="15616" width="12.85546875" style="561"/>
    <col min="15617" max="15617" width="10.140625" style="561" customWidth="1"/>
    <col min="15618" max="15618" width="12.42578125" style="561" customWidth="1"/>
    <col min="15619" max="15619" width="22.5703125" style="561" customWidth="1"/>
    <col min="15620" max="15620" width="12.5703125" style="561" customWidth="1"/>
    <col min="15621" max="15621" width="12.85546875" style="561" customWidth="1"/>
    <col min="15622" max="15622" width="14.5703125" style="561" customWidth="1"/>
    <col min="15623" max="15624" width="12.85546875" style="561" customWidth="1"/>
    <col min="15625" max="15625" width="19.140625" style="561" customWidth="1"/>
    <col min="15626" max="15872" width="12.85546875" style="561"/>
    <col min="15873" max="15873" width="10.140625" style="561" customWidth="1"/>
    <col min="15874" max="15874" width="12.42578125" style="561" customWidth="1"/>
    <col min="15875" max="15875" width="22.5703125" style="561" customWidth="1"/>
    <col min="15876" max="15876" width="12.5703125" style="561" customWidth="1"/>
    <col min="15877" max="15877" width="12.85546875" style="561" customWidth="1"/>
    <col min="15878" max="15878" width="14.5703125" style="561" customWidth="1"/>
    <col min="15879" max="15880" width="12.85546875" style="561" customWidth="1"/>
    <col min="15881" max="15881" width="19.140625" style="561" customWidth="1"/>
    <col min="15882" max="16128" width="12.85546875" style="561"/>
    <col min="16129" max="16129" width="10.140625" style="561" customWidth="1"/>
    <col min="16130" max="16130" width="12.42578125" style="561" customWidth="1"/>
    <col min="16131" max="16131" width="22.5703125" style="561" customWidth="1"/>
    <col min="16132" max="16132" width="12.5703125" style="561" customWidth="1"/>
    <col min="16133" max="16133" width="12.85546875" style="561" customWidth="1"/>
    <col min="16134" max="16134" width="14.5703125" style="561" customWidth="1"/>
    <col min="16135" max="16136" width="12.85546875" style="561" customWidth="1"/>
    <col min="16137" max="16137" width="19.140625" style="561" customWidth="1"/>
    <col min="16138" max="16384" width="12.85546875" style="561"/>
  </cols>
  <sheetData>
    <row r="1" spans="1:9" s="554" customFormat="1" ht="30">
      <c r="A1" s="546" t="s">
        <v>591</v>
      </c>
      <c r="B1" s="547" t="s">
        <v>709</v>
      </c>
      <c r="C1" s="547" t="s">
        <v>578</v>
      </c>
      <c r="D1" s="548" t="s">
        <v>1261</v>
      </c>
      <c r="E1" s="549" t="s">
        <v>887</v>
      </c>
      <c r="F1" s="550" t="s">
        <v>1262</v>
      </c>
      <c r="G1" s="551" t="s">
        <v>833</v>
      </c>
      <c r="H1" s="552" t="s">
        <v>1263</v>
      </c>
      <c r="I1" s="553" t="s">
        <v>1264</v>
      </c>
    </row>
    <row r="2" spans="1:9">
      <c r="A2" s="555" t="s">
        <v>601</v>
      </c>
      <c r="B2" s="556" t="s">
        <v>319</v>
      </c>
      <c r="C2" s="556" t="s">
        <v>320</v>
      </c>
      <c r="D2" s="557">
        <v>1211</v>
      </c>
      <c r="E2" s="555">
        <v>7</v>
      </c>
      <c r="F2" s="558"/>
      <c r="G2" s="559"/>
      <c r="H2" s="549"/>
      <c r="I2" s="560" t="s">
        <v>1265</v>
      </c>
    </row>
    <row r="3" spans="1:9">
      <c r="A3" s="555" t="s">
        <v>601</v>
      </c>
      <c r="B3" s="556" t="s">
        <v>86</v>
      </c>
      <c r="C3" s="556" t="s">
        <v>87</v>
      </c>
      <c r="D3" s="557">
        <v>2444</v>
      </c>
      <c r="E3" s="555">
        <v>14.13</v>
      </c>
      <c r="F3" s="558"/>
      <c r="G3" s="559"/>
      <c r="H3" s="549"/>
      <c r="I3" s="560" t="s">
        <v>1265</v>
      </c>
    </row>
    <row r="4" spans="1:9">
      <c r="A4" s="555" t="s">
        <v>601</v>
      </c>
      <c r="B4" s="556" t="s">
        <v>317</v>
      </c>
      <c r="C4" s="556" t="s">
        <v>318</v>
      </c>
      <c r="D4" s="557">
        <v>5255</v>
      </c>
      <c r="E4" s="555">
        <v>30.38</v>
      </c>
      <c r="F4" s="558"/>
      <c r="G4" s="559"/>
      <c r="H4" s="549"/>
      <c r="I4" s="560" t="s">
        <v>1265</v>
      </c>
    </row>
    <row r="5" spans="1:9">
      <c r="A5" s="555" t="s">
        <v>601</v>
      </c>
      <c r="B5" s="556" t="s">
        <v>92</v>
      </c>
      <c r="C5" s="556" t="s">
        <v>93</v>
      </c>
      <c r="D5" s="557">
        <v>3093</v>
      </c>
      <c r="E5" s="555">
        <v>17.88</v>
      </c>
      <c r="F5" s="558"/>
      <c r="G5" s="559"/>
      <c r="H5" s="562"/>
      <c r="I5" s="560" t="s">
        <v>1265</v>
      </c>
    </row>
    <row r="6" spans="1:9">
      <c r="A6" s="555" t="s">
        <v>601</v>
      </c>
      <c r="B6" s="556" t="s">
        <v>29</v>
      </c>
      <c r="C6" s="556" t="s">
        <v>30</v>
      </c>
      <c r="D6" s="557">
        <v>8325</v>
      </c>
      <c r="E6" s="555">
        <v>48.13</v>
      </c>
      <c r="F6" s="558"/>
      <c r="G6" s="559"/>
      <c r="H6" s="549"/>
      <c r="I6" s="560" t="s">
        <v>1266</v>
      </c>
    </row>
    <row r="7" spans="1:9">
      <c r="A7" s="555" t="s">
        <v>605</v>
      </c>
      <c r="B7" s="556" t="s">
        <v>230</v>
      </c>
      <c r="C7" s="556" t="s">
        <v>231</v>
      </c>
      <c r="D7" s="557">
        <v>3632</v>
      </c>
      <c r="E7" s="555">
        <v>20</v>
      </c>
      <c r="F7" s="558">
        <v>1</v>
      </c>
      <c r="G7" s="559"/>
      <c r="H7" s="562"/>
      <c r="I7" s="560" t="s">
        <v>681</v>
      </c>
    </row>
    <row r="8" spans="1:9">
      <c r="A8" s="555" t="s">
        <v>605</v>
      </c>
      <c r="B8" s="556" t="s">
        <v>222</v>
      </c>
      <c r="C8" s="556" t="s">
        <v>223</v>
      </c>
      <c r="D8" s="557">
        <v>1038</v>
      </c>
      <c r="E8" s="555">
        <v>6</v>
      </c>
      <c r="F8" s="558"/>
      <c r="G8" s="559"/>
      <c r="H8" s="549"/>
      <c r="I8" s="560" t="s">
        <v>681</v>
      </c>
    </row>
    <row r="9" spans="1:9">
      <c r="A9" s="555" t="s">
        <v>605</v>
      </c>
      <c r="B9" s="556" t="s">
        <v>246</v>
      </c>
      <c r="C9" s="556" t="s">
        <v>247</v>
      </c>
      <c r="D9" s="557">
        <v>5385</v>
      </c>
      <c r="E9" s="555">
        <v>31.13</v>
      </c>
      <c r="F9" s="558"/>
      <c r="G9" s="559"/>
      <c r="H9" s="549"/>
      <c r="I9" s="560" t="s">
        <v>681</v>
      </c>
    </row>
    <row r="10" spans="1:9">
      <c r="A10" s="555" t="s">
        <v>605</v>
      </c>
      <c r="B10" s="556" t="s">
        <v>228</v>
      </c>
      <c r="C10" s="556" t="s">
        <v>229</v>
      </c>
      <c r="D10" s="557">
        <v>9363</v>
      </c>
      <c r="E10" s="555">
        <v>54.13</v>
      </c>
      <c r="F10" s="558"/>
      <c r="G10" s="559"/>
      <c r="H10" s="549"/>
      <c r="I10" s="560" t="s">
        <v>681</v>
      </c>
    </row>
    <row r="11" spans="1:9">
      <c r="A11" s="555" t="s">
        <v>605</v>
      </c>
      <c r="B11" s="556" t="s">
        <v>545</v>
      </c>
      <c r="C11" s="556" t="s">
        <v>546</v>
      </c>
      <c r="D11" s="557">
        <v>12044</v>
      </c>
      <c r="E11" s="555">
        <v>69.63</v>
      </c>
      <c r="F11" s="558"/>
      <c r="G11" s="559"/>
      <c r="H11" s="549"/>
      <c r="I11" s="560" t="s">
        <v>681</v>
      </c>
    </row>
    <row r="12" spans="1:9">
      <c r="A12" s="555" t="s">
        <v>605</v>
      </c>
      <c r="B12" s="556" t="s">
        <v>569</v>
      </c>
      <c r="C12" s="556" t="s">
        <v>570</v>
      </c>
      <c r="D12" s="557">
        <v>17147</v>
      </c>
      <c r="E12" s="555">
        <v>99.13</v>
      </c>
      <c r="F12" s="558"/>
      <c r="G12" s="559"/>
      <c r="H12" s="549"/>
      <c r="I12" s="560" t="s">
        <v>681</v>
      </c>
    </row>
    <row r="13" spans="1:9">
      <c r="A13" s="555" t="s">
        <v>603</v>
      </c>
      <c r="B13" s="556" t="s">
        <v>430</v>
      </c>
      <c r="C13" s="556" t="s">
        <v>431</v>
      </c>
      <c r="D13" s="557">
        <v>1384</v>
      </c>
      <c r="E13" s="555">
        <v>8</v>
      </c>
      <c r="F13" s="558"/>
      <c r="G13" s="559"/>
      <c r="H13" s="549"/>
      <c r="I13" s="560" t="s">
        <v>604</v>
      </c>
    </row>
    <row r="14" spans="1:9">
      <c r="A14" s="555" t="s">
        <v>596</v>
      </c>
      <c r="B14" s="556" t="s">
        <v>16</v>
      </c>
      <c r="C14" s="556" t="s">
        <v>17</v>
      </c>
      <c r="D14" s="557">
        <v>6832</v>
      </c>
      <c r="E14" s="555">
        <v>39.5</v>
      </c>
      <c r="F14" s="558"/>
      <c r="G14" s="559"/>
      <c r="H14" s="549"/>
      <c r="I14" s="560" t="s">
        <v>604</v>
      </c>
    </row>
    <row r="15" spans="1:9">
      <c r="A15" s="555" t="s">
        <v>596</v>
      </c>
      <c r="B15" s="556" t="s">
        <v>502</v>
      </c>
      <c r="C15" s="556" t="s">
        <v>503</v>
      </c>
      <c r="D15" s="557">
        <v>9254</v>
      </c>
      <c r="E15" s="555">
        <v>53.5</v>
      </c>
      <c r="F15" s="558"/>
      <c r="G15" s="559"/>
      <c r="H15" s="549"/>
      <c r="I15" s="560" t="s">
        <v>604</v>
      </c>
    </row>
    <row r="16" spans="1:9">
      <c r="A16" s="555" t="s">
        <v>603</v>
      </c>
      <c r="B16" s="556" t="s">
        <v>282</v>
      </c>
      <c r="C16" s="556" t="s">
        <v>665</v>
      </c>
      <c r="D16" s="557">
        <v>2401</v>
      </c>
      <c r="E16" s="555">
        <v>13.88</v>
      </c>
      <c r="F16" s="558"/>
      <c r="G16" s="559"/>
      <c r="H16" s="549"/>
      <c r="I16" s="560" t="s">
        <v>604</v>
      </c>
    </row>
    <row r="17" spans="1:9">
      <c r="A17" s="555" t="s">
        <v>596</v>
      </c>
      <c r="B17" s="556" t="s">
        <v>496</v>
      </c>
      <c r="C17" s="556" t="s">
        <v>497</v>
      </c>
      <c r="D17" s="557">
        <v>3978</v>
      </c>
      <c r="E17" s="555">
        <v>23</v>
      </c>
      <c r="F17" s="558"/>
      <c r="G17" s="559"/>
      <c r="H17" s="549"/>
      <c r="I17" s="560" t="s">
        <v>604</v>
      </c>
    </row>
    <row r="18" spans="1:9">
      <c r="A18" s="555" t="s">
        <v>594</v>
      </c>
      <c r="B18" s="556" t="s">
        <v>327</v>
      </c>
      <c r="C18" s="556" t="s">
        <v>328</v>
      </c>
      <c r="D18" s="557">
        <v>9795</v>
      </c>
      <c r="E18" s="555">
        <v>56.63</v>
      </c>
      <c r="F18" s="558"/>
      <c r="G18" s="559"/>
      <c r="H18" s="549"/>
      <c r="I18" s="563" t="s">
        <v>712</v>
      </c>
    </row>
    <row r="19" spans="1:9">
      <c r="A19" s="555" t="s">
        <v>599</v>
      </c>
      <c r="B19" s="556" t="s">
        <v>325</v>
      </c>
      <c r="C19" s="556" t="s">
        <v>326</v>
      </c>
      <c r="D19" s="557">
        <v>4973</v>
      </c>
      <c r="E19" s="555">
        <v>28.75</v>
      </c>
      <c r="F19" s="558"/>
      <c r="G19" s="559"/>
      <c r="H19" s="549"/>
      <c r="I19" s="563" t="s">
        <v>1267</v>
      </c>
    </row>
    <row r="20" spans="1:9">
      <c r="A20" s="555" t="s">
        <v>594</v>
      </c>
      <c r="B20" s="556" t="s">
        <v>145</v>
      </c>
      <c r="C20" s="556" t="s">
        <v>146</v>
      </c>
      <c r="D20" s="557">
        <v>5362</v>
      </c>
      <c r="E20" s="555">
        <v>31</v>
      </c>
      <c r="F20" s="558"/>
      <c r="G20" s="559"/>
      <c r="H20" s="549"/>
      <c r="I20" s="560" t="s">
        <v>1268</v>
      </c>
    </row>
    <row r="21" spans="1:9">
      <c r="A21" s="555" t="s">
        <v>595</v>
      </c>
      <c r="B21" s="556" t="s">
        <v>384</v>
      </c>
      <c r="C21" s="556" t="s">
        <v>385</v>
      </c>
      <c r="D21" s="557">
        <v>3741</v>
      </c>
      <c r="E21" s="555">
        <v>21.63</v>
      </c>
      <c r="F21" s="558"/>
      <c r="G21" s="559"/>
      <c r="H21" s="549"/>
      <c r="I21" s="560" t="s">
        <v>607</v>
      </c>
    </row>
    <row r="22" spans="1:9">
      <c r="A22" s="555" t="s">
        <v>595</v>
      </c>
      <c r="B22" s="556" t="s">
        <v>159</v>
      </c>
      <c r="C22" s="556" t="s">
        <v>160</v>
      </c>
      <c r="D22" s="557">
        <v>5904</v>
      </c>
      <c r="E22" s="555">
        <v>34.130000000000003</v>
      </c>
      <c r="F22" s="558"/>
      <c r="G22" s="559"/>
      <c r="H22" s="549"/>
      <c r="I22" s="560" t="s">
        <v>607</v>
      </c>
    </row>
    <row r="23" spans="1:9">
      <c r="A23" s="555" t="s">
        <v>597</v>
      </c>
      <c r="B23" s="556" t="s">
        <v>353</v>
      </c>
      <c r="C23" s="556" t="s">
        <v>354</v>
      </c>
      <c r="D23" s="557">
        <v>3113</v>
      </c>
      <c r="E23" s="555">
        <v>18</v>
      </c>
      <c r="F23" s="558"/>
      <c r="G23" s="559"/>
      <c r="H23" s="549"/>
      <c r="I23" s="560" t="s">
        <v>607</v>
      </c>
    </row>
    <row r="24" spans="1:9">
      <c r="A24" s="555" t="s">
        <v>595</v>
      </c>
      <c r="B24" s="556" t="s">
        <v>419</v>
      </c>
      <c r="C24" s="556" t="s">
        <v>420</v>
      </c>
      <c r="D24" s="557">
        <v>4649</v>
      </c>
      <c r="E24" s="555">
        <v>26.88</v>
      </c>
      <c r="F24" s="558"/>
      <c r="G24" s="559"/>
      <c r="H24" s="549"/>
      <c r="I24" s="560" t="s">
        <v>607</v>
      </c>
    </row>
    <row r="25" spans="1:9">
      <c r="A25" s="555" t="s">
        <v>594</v>
      </c>
      <c r="B25" s="556" t="s">
        <v>258</v>
      </c>
      <c r="C25" s="556" t="s">
        <v>259</v>
      </c>
      <c r="D25" s="557">
        <v>6530</v>
      </c>
      <c r="E25" s="555">
        <v>37.75</v>
      </c>
      <c r="F25" s="558"/>
      <c r="G25" s="559"/>
      <c r="H25" s="549"/>
      <c r="I25" s="564" t="s">
        <v>146</v>
      </c>
    </row>
    <row r="26" spans="1:9">
      <c r="A26" s="555" t="s">
        <v>597</v>
      </c>
      <c r="B26" s="556" t="s">
        <v>355</v>
      </c>
      <c r="C26" s="556" t="s">
        <v>356</v>
      </c>
      <c r="D26" s="557">
        <v>6054</v>
      </c>
      <c r="E26" s="555">
        <v>35</v>
      </c>
      <c r="F26" s="558"/>
      <c r="G26" s="559"/>
      <c r="H26" s="549"/>
      <c r="I26" s="564" t="s">
        <v>146</v>
      </c>
    </row>
    <row r="27" spans="1:9">
      <c r="A27" s="555" t="s">
        <v>600</v>
      </c>
      <c r="B27" s="556" t="s">
        <v>171</v>
      </c>
      <c r="C27" s="556" t="s">
        <v>172</v>
      </c>
      <c r="D27" s="557">
        <v>2012</v>
      </c>
      <c r="E27" s="555">
        <v>11.63</v>
      </c>
      <c r="F27" s="558"/>
      <c r="G27" s="559"/>
      <c r="H27" s="562"/>
      <c r="I27" s="564" t="s">
        <v>146</v>
      </c>
    </row>
    <row r="28" spans="1:9">
      <c r="A28" s="555" t="s">
        <v>594</v>
      </c>
      <c r="B28" s="556" t="s">
        <v>486</v>
      </c>
      <c r="C28" s="556" t="s">
        <v>487</v>
      </c>
      <c r="D28" s="557">
        <v>2228</v>
      </c>
      <c r="E28" s="555">
        <v>12.88</v>
      </c>
      <c r="F28" s="558"/>
      <c r="G28" s="559"/>
      <c r="H28" s="549"/>
      <c r="I28" s="564" t="s">
        <v>146</v>
      </c>
    </row>
    <row r="29" spans="1:9">
      <c r="A29" s="555" t="s">
        <v>597</v>
      </c>
      <c r="B29" s="565" t="s">
        <v>183</v>
      </c>
      <c r="C29" s="565" t="s">
        <v>184</v>
      </c>
      <c r="D29" s="557">
        <v>4520</v>
      </c>
      <c r="E29" s="555">
        <v>26.13</v>
      </c>
      <c r="F29" s="558"/>
      <c r="G29" s="559"/>
      <c r="H29" s="549"/>
      <c r="I29" s="564" t="s">
        <v>146</v>
      </c>
    </row>
    <row r="30" spans="1:9">
      <c r="A30" s="555" t="s">
        <v>599</v>
      </c>
      <c r="B30" s="556" t="s">
        <v>488</v>
      </c>
      <c r="C30" s="556" t="s">
        <v>489</v>
      </c>
      <c r="D30" s="557">
        <v>3871</v>
      </c>
      <c r="E30" s="555">
        <v>22.38</v>
      </c>
      <c r="F30" s="558"/>
      <c r="G30" s="559"/>
      <c r="H30" s="549"/>
      <c r="I30" s="564" t="s">
        <v>146</v>
      </c>
    </row>
    <row r="31" spans="1:9">
      <c r="A31" s="555" t="s">
        <v>595</v>
      </c>
      <c r="B31" s="556" t="s">
        <v>372</v>
      </c>
      <c r="C31" s="556" t="s">
        <v>613</v>
      </c>
      <c r="D31" s="557">
        <v>2768</v>
      </c>
      <c r="E31" s="555">
        <v>16</v>
      </c>
      <c r="F31" s="558"/>
      <c r="G31" s="559"/>
      <c r="H31" s="549"/>
      <c r="I31" s="563" t="s">
        <v>1269</v>
      </c>
    </row>
    <row r="32" spans="1:9">
      <c r="A32" s="555" t="s">
        <v>595</v>
      </c>
      <c r="B32" s="556" t="s">
        <v>375</v>
      </c>
      <c r="C32" s="556" t="s">
        <v>614</v>
      </c>
      <c r="D32" s="557">
        <v>8303</v>
      </c>
      <c r="E32" s="555">
        <v>48</v>
      </c>
      <c r="F32" s="558"/>
      <c r="G32" s="566">
        <v>3</v>
      </c>
      <c r="H32" s="549"/>
      <c r="I32" s="560" t="s">
        <v>1270</v>
      </c>
    </row>
    <row r="33" spans="1:9">
      <c r="A33" s="555" t="s">
        <v>597</v>
      </c>
      <c r="B33" s="556" t="s">
        <v>199</v>
      </c>
      <c r="C33" s="556" t="s">
        <v>200</v>
      </c>
      <c r="D33" s="557">
        <v>20476</v>
      </c>
      <c r="E33" s="555">
        <v>108.38</v>
      </c>
      <c r="F33" s="558">
        <v>10</v>
      </c>
      <c r="G33" s="559"/>
      <c r="H33" s="549"/>
      <c r="I33" s="560" t="s">
        <v>1271</v>
      </c>
    </row>
    <row r="34" spans="1:9">
      <c r="A34" s="555" t="s">
        <v>597</v>
      </c>
      <c r="B34" s="556" t="s">
        <v>359</v>
      </c>
      <c r="C34" s="556" t="s">
        <v>360</v>
      </c>
      <c r="D34" s="557">
        <v>8628</v>
      </c>
      <c r="E34" s="555">
        <v>49.88</v>
      </c>
      <c r="F34" s="558"/>
      <c r="G34" s="559"/>
      <c r="H34" s="549"/>
      <c r="I34" s="563" t="s">
        <v>1272</v>
      </c>
    </row>
    <row r="35" spans="1:9">
      <c r="A35" s="555" t="s">
        <v>599</v>
      </c>
      <c r="B35" s="556" t="s">
        <v>51</v>
      </c>
      <c r="C35" s="556" t="s">
        <v>52</v>
      </c>
      <c r="D35" s="557">
        <v>4151</v>
      </c>
      <c r="E35" s="555">
        <v>24</v>
      </c>
      <c r="F35" s="558"/>
      <c r="G35" s="559"/>
      <c r="H35" s="562"/>
      <c r="I35" s="560" t="s">
        <v>854</v>
      </c>
    </row>
    <row r="36" spans="1:9">
      <c r="A36" s="555" t="s">
        <v>599</v>
      </c>
      <c r="B36" s="556" t="s">
        <v>64</v>
      </c>
      <c r="C36" s="556" t="s">
        <v>65</v>
      </c>
      <c r="D36" s="557">
        <v>11330</v>
      </c>
      <c r="E36" s="555">
        <v>65.5</v>
      </c>
      <c r="F36" s="558"/>
      <c r="G36" s="559"/>
      <c r="H36" s="549"/>
      <c r="I36" s="560" t="s">
        <v>854</v>
      </c>
    </row>
    <row r="37" spans="1:9">
      <c r="A37" s="555" t="s">
        <v>599</v>
      </c>
      <c r="B37" s="556" t="s">
        <v>56</v>
      </c>
      <c r="C37" s="556" t="s">
        <v>57</v>
      </c>
      <c r="D37" s="557">
        <v>9384</v>
      </c>
      <c r="E37" s="555">
        <v>54.25</v>
      </c>
      <c r="F37" s="558"/>
      <c r="G37" s="559"/>
      <c r="H37" s="562"/>
      <c r="I37" s="560" t="s">
        <v>1273</v>
      </c>
    </row>
    <row r="38" spans="1:9">
      <c r="A38" s="555" t="s">
        <v>594</v>
      </c>
      <c r="B38" s="556" t="s">
        <v>132</v>
      </c>
      <c r="C38" s="556" t="s">
        <v>133</v>
      </c>
      <c r="D38" s="557">
        <v>41081</v>
      </c>
      <c r="E38" s="555">
        <v>237.5</v>
      </c>
      <c r="F38" s="558"/>
      <c r="G38" s="566">
        <v>17</v>
      </c>
      <c r="H38" s="567"/>
      <c r="I38" s="560" t="s">
        <v>644</v>
      </c>
    </row>
    <row r="39" spans="1:9">
      <c r="A39" s="555" t="s">
        <v>594</v>
      </c>
      <c r="B39" s="556" t="s">
        <v>262</v>
      </c>
      <c r="C39" s="556" t="s">
        <v>263</v>
      </c>
      <c r="D39" s="557">
        <v>0</v>
      </c>
      <c r="E39" s="555">
        <v>0</v>
      </c>
      <c r="F39" s="558"/>
      <c r="G39" s="559"/>
      <c r="H39" s="562"/>
      <c r="I39" s="560" t="s">
        <v>644</v>
      </c>
    </row>
    <row r="40" spans="1:9">
      <c r="A40" s="555" t="s">
        <v>603</v>
      </c>
      <c r="B40" s="556" t="s">
        <v>283</v>
      </c>
      <c r="C40" s="556" t="s">
        <v>284</v>
      </c>
      <c r="D40" s="557">
        <v>0</v>
      </c>
      <c r="E40" s="555">
        <v>0</v>
      </c>
      <c r="F40" s="558"/>
      <c r="G40" s="559"/>
      <c r="H40" s="562"/>
      <c r="I40" s="560" t="s">
        <v>644</v>
      </c>
    </row>
    <row r="41" spans="1:9">
      <c r="A41" s="555" t="s">
        <v>595</v>
      </c>
      <c r="B41" s="565" t="s">
        <v>380</v>
      </c>
      <c r="C41" s="565" t="s">
        <v>381</v>
      </c>
      <c r="D41" s="557">
        <v>9816</v>
      </c>
      <c r="E41" s="555">
        <v>56.75</v>
      </c>
      <c r="F41" s="558"/>
      <c r="G41" s="559"/>
      <c r="H41" s="562" t="s">
        <v>782</v>
      </c>
      <c r="I41" s="560" t="s">
        <v>644</v>
      </c>
    </row>
    <row r="42" spans="1:9">
      <c r="A42" s="555" t="s">
        <v>595</v>
      </c>
      <c r="B42" s="556" t="s">
        <v>403</v>
      </c>
      <c r="C42" s="556" t="s">
        <v>404</v>
      </c>
      <c r="D42" s="557">
        <v>30443</v>
      </c>
      <c r="E42" s="555">
        <v>176</v>
      </c>
      <c r="F42" s="558"/>
      <c r="G42" s="559"/>
      <c r="H42" s="549"/>
      <c r="I42" s="560" t="s">
        <v>644</v>
      </c>
    </row>
    <row r="43" spans="1:9">
      <c r="A43" s="555" t="s">
        <v>596</v>
      </c>
      <c r="B43" s="556" t="s">
        <v>12</v>
      </c>
      <c r="C43" s="556" t="s">
        <v>13</v>
      </c>
      <c r="D43" s="557">
        <v>0</v>
      </c>
      <c r="E43" s="555">
        <v>0</v>
      </c>
      <c r="F43" s="558"/>
      <c r="G43" s="559"/>
      <c r="H43" s="562"/>
      <c r="I43" s="560" t="s">
        <v>644</v>
      </c>
    </row>
    <row r="44" spans="1:9">
      <c r="A44" s="555" t="s">
        <v>597</v>
      </c>
      <c r="B44" s="556" t="s">
        <v>195</v>
      </c>
      <c r="C44" s="556" t="s">
        <v>196</v>
      </c>
      <c r="D44" s="557">
        <v>315133</v>
      </c>
      <c r="E44" s="555">
        <v>1819.88</v>
      </c>
      <c r="F44" s="558">
        <v>9</v>
      </c>
      <c r="G44" s="559"/>
      <c r="H44" s="562"/>
      <c r="I44" s="560" t="s">
        <v>644</v>
      </c>
    </row>
    <row r="45" spans="1:9">
      <c r="A45" s="555" t="s">
        <v>597</v>
      </c>
      <c r="B45" s="556" t="s">
        <v>213</v>
      </c>
      <c r="C45" s="556" t="s">
        <v>598</v>
      </c>
      <c r="D45" s="557">
        <v>5665</v>
      </c>
      <c r="E45" s="555">
        <v>32.75</v>
      </c>
      <c r="F45" s="558"/>
      <c r="G45" s="559"/>
      <c r="H45" s="562" t="s">
        <v>782</v>
      </c>
      <c r="I45" s="560" t="s">
        <v>644</v>
      </c>
    </row>
    <row r="46" spans="1:9">
      <c r="A46" s="555" t="s">
        <v>599</v>
      </c>
      <c r="B46" s="556" t="s">
        <v>62</v>
      </c>
      <c r="C46" s="556" t="s">
        <v>63</v>
      </c>
      <c r="D46" s="557">
        <v>117600</v>
      </c>
      <c r="E46" s="555">
        <v>679.88</v>
      </c>
      <c r="F46" s="558"/>
      <c r="G46" s="566">
        <v>21</v>
      </c>
      <c r="H46" s="562"/>
      <c r="I46" s="560" t="s">
        <v>644</v>
      </c>
    </row>
    <row r="47" spans="1:9">
      <c r="A47" s="555" t="s">
        <v>597</v>
      </c>
      <c r="B47" s="556" t="s">
        <v>189</v>
      </c>
      <c r="C47" s="556" t="s">
        <v>190</v>
      </c>
      <c r="D47" s="557">
        <v>297576</v>
      </c>
      <c r="E47" s="555">
        <v>1703.38</v>
      </c>
      <c r="F47" s="558">
        <v>16</v>
      </c>
      <c r="G47" s="566">
        <v>18</v>
      </c>
      <c r="H47" s="562"/>
      <c r="I47" s="560" t="s">
        <v>644</v>
      </c>
    </row>
    <row r="48" spans="1:9">
      <c r="A48" s="555" t="s">
        <v>595</v>
      </c>
      <c r="B48" s="556" t="s">
        <v>504</v>
      </c>
      <c r="C48" s="556" t="s">
        <v>505</v>
      </c>
      <c r="D48" s="557">
        <v>106313</v>
      </c>
      <c r="E48" s="555">
        <v>614.63</v>
      </c>
      <c r="F48" s="558"/>
      <c r="G48" s="568">
        <v>1</v>
      </c>
      <c r="H48" s="562"/>
      <c r="I48" s="560" t="s">
        <v>644</v>
      </c>
    </row>
    <row r="49" spans="1:9">
      <c r="A49" s="555" t="s">
        <v>603</v>
      </c>
      <c r="B49" s="556" t="s">
        <v>2</v>
      </c>
      <c r="C49" s="556" t="s">
        <v>3</v>
      </c>
      <c r="D49" s="557">
        <v>0</v>
      </c>
      <c r="E49" s="555">
        <v>0</v>
      </c>
      <c r="F49" s="558"/>
      <c r="G49" s="559"/>
      <c r="H49" s="562"/>
      <c r="I49" s="560" t="s">
        <v>644</v>
      </c>
    </row>
    <row r="50" spans="1:9">
      <c r="A50" s="555" t="s">
        <v>597</v>
      </c>
      <c r="B50" s="556" t="s">
        <v>363</v>
      </c>
      <c r="C50" s="556" t="s">
        <v>364</v>
      </c>
      <c r="D50" s="557">
        <v>46097</v>
      </c>
      <c r="E50" s="555">
        <v>266.5</v>
      </c>
      <c r="F50" s="558"/>
      <c r="G50" s="559"/>
      <c r="H50" s="562"/>
      <c r="I50" s="560" t="s">
        <v>644</v>
      </c>
    </row>
    <row r="51" spans="1:9">
      <c r="A51" s="555" t="s">
        <v>605</v>
      </c>
      <c r="B51" s="556" t="s">
        <v>234</v>
      </c>
      <c r="C51" s="556" t="s">
        <v>235</v>
      </c>
      <c r="D51" s="557">
        <v>0</v>
      </c>
      <c r="E51" s="555">
        <v>0</v>
      </c>
      <c r="F51" s="558"/>
      <c r="G51" s="559"/>
      <c r="H51" s="562"/>
      <c r="I51" s="560" t="s">
        <v>644</v>
      </c>
    </row>
    <row r="52" spans="1:9">
      <c r="A52" s="555" t="s">
        <v>595</v>
      </c>
      <c r="B52" s="556" t="s">
        <v>508</v>
      </c>
      <c r="C52" s="556" t="s">
        <v>509</v>
      </c>
      <c r="D52" s="557">
        <v>15611</v>
      </c>
      <c r="E52" s="555">
        <v>90.25</v>
      </c>
      <c r="F52" s="558"/>
      <c r="G52" s="559"/>
      <c r="H52" s="562"/>
      <c r="I52" s="560" t="s">
        <v>644</v>
      </c>
    </row>
    <row r="53" spans="1:9">
      <c r="A53" s="555" t="s">
        <v>594</v>
      </c>
      <c r="B53" s="556" t="s">
        <v>266</v>
      </c>
      <c r="C53" s="556" t="s">
        <v>267</v>
      </c>
      <c r="D53" s="557">
        <v>0</v>
      </c>
      <c r="E53" s="555">
        <v>0</v>
      </c>
      <c r="F53" s="558"/>
      <c r="G53" s="559"/>
      <c r="H53" s="562"/>
      <c r="I53" s="560" t="s">
        <v>644</v>
      </c>
    </row>
    <row r="54" spans="1:9">
      <c r="A54" s="555" t="s">
        <v>600</v>
      </c>
      <c r="B54" s="556" t="s">
        <v>211</v>
      </c>
      <c r="C54" s="556" t="s">
        <v>212</v>
      </c>
      <c r="D54" s="557">
        <v>21903</v>
      </c>
      <c r="E54" s="555">
        <v>126.63</v>
      </c>
      <c r="F54" s="558"/>
      <c r="G54" s="559"/>
      <c r="H54" s="562"/>
      <c r="I54" s="560" t="s">
        <v>644</v>
      </c>
    </row>
    <row r="55" spans="1:9">
      <c r="A55" s="555" t="s">
        <v>601</v>
      </c>
      <c r="B55" s="556" t="s">
        <v>315</v>
      </c>
      <c r="C55" s="556" t="s">
        <v>316</v>
      </c>
      <c r="D55" s="557">
        <v>67113</v>
      </c>
      <c r="E55" s="555">
        <v>388</v>
      </c>
      <c r="F55" s="558"/>
      <c r="G55" s="559"/>
      <c r="H55" s="562"/>
      <c r="I55" s="560" t="s">
        <v>644</v>
      </c>
    </row>
    <row r="56" spans="1:9">
      <c r="A56" s="555" t="s">
        <v>601</v>
      </c>
      <c r="B56" s="556" t="s">
        <v>84</v>
      </c>
      <c r="C56" s="556" t="s">
        <v>85</v>
      </c>
      <c r="D56" s="557">
        <v>53751</v>
      </c>
      <c r="E56" s="555">
        <v>310.75</v>
      </c>
      <c r="F56" s="558"/>
      <c r="G56" s="559"/>
      <c r="H56" s="562"/>
      <c r="I56" s="560" t="s">
        <v>644</v>
      </c>
    </row>
    <row r="57" spans="1:9">
      <c r="A57" s="555" t="s">
        <v>600</v>
      </c>
      <c r="B57" s="556" t="s">
        <v>165</v>
      </c>
      <c r="C57" s="556" t="s">
        <v>166</v>
      </c>
      <c r="D57" s="557">
        <v>0</v>
      </c>
      <c r="E57" s="555">
        <v>0</v>
      </c>
      <c r="F57" s="558"/>
      <c r="G57" s="559"/>
      <c r="H57" s="562"/>
      <c r="I57" s="560" t="s">
        <v>644</v>
      </c>
    </row>
    <row r="58" spans="1:9">
      <c r="A58" s="555" t="s">
        <v>595</v>
      </c>
      <c r="B58" s="556" t="s">
        <v>378</v>
      </c>
      <c r="C58" s="556" t="s">
        <v>602</v>
      </c>
      <c r="D58" s="557">
        <v>108626</v>
      </c>
      <c r="E58" s="555">
        <v>628</v>
      </c>
      <c r="F58" s="558"/>
      <c r="G58" s="566">
        <v>5</v>
      </c>
      <c r="H58" s="562"/>
      <c r="I58" s="560" t="s">
        <v>644</v>
      </c>
    </row>
    <row r="59" spans="1:9">
      <c r="A59" s="555" t="s">
        <v>599</v>
      </c>
      <c r="B59" s="556" t="s">
        <v>60</v>
      </c>
      <c r="C59" s="556" t="s">
        <v>61</v>
      </c>
      <c r="D59" s="557">
        <v>18617</v>
      </c>
      <c r="E59" s="555">
        <v>107.63</v>
      </c>
      <c r="F59" s="558"/>
      <c r="G59" s="559"/>
      <c r="H59" s="562"/>
      <c r="I59" s="560" t="s">
        <v>644</v>
      </c>
    </row>
    <row r="60" spans="1:9">
      <c r="A60" s="555" t="s">
        <v>600</v>
      </c>
      <c r="B60" s="556" t="s">
        <v>45</v>
      </c>
      <c r="C60" s="556" t="s">
        <v>46</v>
      </c>
      <c r="D60" s="557">
        <v>0</v>
      </c>
      <c r="E60" s="555">
        <v>0</v>
      </c>
      <c r="F60" s="558"/>
      <c r="G60" s="559"/>
      <c r="H60" s="562"/>
      <c r="I60" s="560" t="s">
        <v>644</v>
      </c>
    </row>
    <row r="61" spans="1:9">
      <c r="A61" s="555" t="s">
        <v>597</v>
      </c>
      <c r="B61" s="556" t="s">
        <v>347</v>
      </c>
      <c r="C61" s="556" t="s">
        <v>348</v>
      </c>
      <c r="D61" s="557">
        <v>0</v>
      </c>
      <c r="E61" s="555">
        <v>0</v>
      </c>
      <c r="F61" s="558"/>
      <c r="G61" s="559"/>
      <c r="H61" s="562"/>
      <c r="I61" s="560" t="s">
        <v>644</v>
      </c>
    </row>
    <row r="62" spans="1:9">
      <c r="A62" s="555" t="s">
        <v>601</v>
      </c>
      <c r="B62" s="556" t="s">
        <v>35</v>
      </c>
      <c r="C62" s="556" t="s">
        <v>36</v>
      </c>
      <c r="D62" s="557">
        <v>29492</v>
      </c>
      <c r="E62" s="555">
        <v>170.5</v>
      </c>
      <c r="F62" s="558"/>
      <c r="G62" s="559"/>
      <c r="H62" s="562"/>
      <c r="I62" s="560" t="s">
        <v>644</v>
      </c>
    </row>
    <row r="63" spans="1:9">
      <c r="A63" s="555" t="s">
        <v>601</v>
      </c>
      <c r="B63" s="556" t="s">
        <v>33</v>
      </c>
      <c r="C63" s="556" t="s">
        <v>34</v>
      </c>
      <c r="D63" s="557">
        <v>39005</v>
      </c>
      <c r="E63" s="555">
        <v>215.5</v>
      </c>
      <c r="F63" s="558">
        <v>10</v>
      </c>
      <c r="G63" s="559"/>
      <c r="H63" s="562"/>
      <c r="I63" s="560" t="s">
        <v>644</v>
      </c>
    </row>
    <row r="64" spans="1:9">
      <c r="A64" s="555" t="s">
        <v>599</v>
      </c>
      <c r="B64" s="556" t="s">
        <v>74</v>
      </c>
      <c r="C64" s="556" t="s">
        <v>75</v>
      </c>
      <c r="D64" s="557">
        <v>5103</v>
      </c>
      <c r="E64" s="555">
        <v>29.5</v>
      </c>
      <c r="F64" s="558"/>
      <c r="G64" s="559"/>
      <c r="H64" s="562"/>
      <c r="I64" s="560" t="s">
        <v>644</v>
      </c>
    </row>
    <row r="65" spans="1:9">
      <c r="A65" s="555" t="s">
        <v>599</v>
      </c>
      <c r="B65" s="556" t="s">
        <v>236</v>
      </c>
      <c r="C65" s="556" t="s">
        <v>237</v>
      </c>
      <c r="D65" s="557">
        <v>0</v>
      </c>
      <c r="E65" s="555">
        <v>0</v>
      </c>
      <c r="F65" s="558"/>
      <c r="G65" s="559"/>
      <c r="H65" s="562"/>
      <c r="I65" s="560" t="s">
        <v>644</v>
      </c>
    </row>
    <row r="66" spans="1:9">
      <c r="A66" s="555" t="s">
        <v>600</v>
      </c>
      <c r="B66" s="556" t="s">
        <v>216</v>
      </c>
      <c r="C66" s="556" t="s">
        <v>217</v>
      </c>
      <c r="D66" s="557">
        <v>39956</v>
      </c>
      <c r="E66" s="555">
        <v>231</v>
      </c>
      <c r="F66" s="558"/>
      <c r="G66" s="559"/>
      <c r="H66" s="562"/>
      <c r="I66" s="560" t="s">
        <v>644</v>
      </c>
    </row>
    <row r="67" spans="1:9">
      <c r="A67" s="555" t="s">
        <v>603</v>
      </c>
      <c r="B67" s="556" t="s">
        <v>434</v>
      </c>
      <c r="C67" s="556" t="s">
        <v>435</v>
      </c>
      <c r="D67" s="557">
        <v>41017</v>
      </c>
      <c r="E67" s="555">
        <v>237.13</v>
      </c>
      <c r="F67" s="558"/>
      <c r="G67" s="568">
        <v>2</v>
      </c>
      <c r="H67" s="562"/>
      <c r="I67" s="560" t="s">
        <v>644</v>
      </c>
    </row>
    <row r="68" spans="1:9">
      <c r="A68" s="555" t="s">
        <v>594</v>
      </c>
      <c r="B68" s="556" t="s">
        <v>278</v>
      </c>
      <c r="C68" s="556" t="s">
        <v>279</v>
      </c>
      <c r="D68" s="557">
        <v>53621</v>
      </c>
      <c r="E68" s="555">
        <v>310</v>
      </c>
      <c r="F68" s="558"/>
      <c r="G68" s="559"/>
      <c r="H68" s="562"/>
      <c r="I68" s="560" t="s">
        <v>644</v>
      </c>
    </row>
    <row r="69" spans="1:9">
      <c r="A69" s="555" t="s">
        <v>594</v>
      </c>
      <c r="B69" s="556" t="s">
        <v>274</v>
      </c>
      <c r="C69" s="556" t="s">
        <v>275</v>
      </c>
      <c r="D69" s="557">
        <v>11027</v>
      </c>
      <c r="E69" s="555">
        <v>63.75</v>
      </c>
      <c r="F69" s="558"/>
      <c r="G69" s="559"/>
      <c r="H69" s="562"/>
      <c r="I69" s="560" t="s">
        <v>644</v>
      </c>
    </row>
    <row r="70" spans="1:9">
      <c r="A70" s="555" t="s">
        <v>603</v>
      </c>
      <c r="B70" s="556" t="s">
        <v>438</v>
      </c>
      <c r="C70" s="556" t="s">
        <v>439</v>
      </c>
      <c r="D70" s="557">
        <v>13428</v>
      </c>
      <c r="E70" s="555">
        <v>76.63</v>
      </c>
      <c r="F70" s="558">
        <v>1</v>
      </c>
      <c r="G70" s="559"/>
      <c r="H70" s="562"/>
      <c r="I70" s="560" t="s">
        <v>644</v>
      </c>
    </row>
    <row r="71" spans="1:9">
      <c r="A71" s="555" t="s">
        <v>603</v>
      </c>
      <c r="B71" s="556" t="s">
        <v>450</v>
      </c>
      <c r="C71" s="556" t="s">
        <v>451</v>
      </c>
      <c r="D71" s="557">
        <v>519</v>
      </c>
      <c r="E71" s="555">
        <v>3</v>
      </c>
      <c r="F71" s="558"/>
      <c r="G71" s="559"/>
      <c r="H71" s="562"/>
      <c r="I71" s="560" t="s">
        <v>644</v>
      </c>
    </row>
    <row r="72" spans="1:9">
      <c r="A72" s="555" t="s">
        <v>600</v>
      </c>
      <c r="B72" s="556" t="s">
        <v>169</v>
      </c>
      <c r="C72" s="556" t="s">
        <v>170</v>
      </c>
      <c r="D72" s="557">
        <v>2292</v>
      </c>
      <c r="E72" s="555">
        <v>13.25</v>
      </c>
      <c r="F72" s="558"/>
      <c r="G72" s="559"/>
      <c r="H72" s="562" t="s">
        <v>1274</v>
      </c>
      <c r="I72" s="560" t="s">
        <v>644</v>
      </c>
    </row>
    <row r="73" spans="1:9">
      <c r="A73" s="555" t="s">
        <v>596</v>
      </c>
      <c r="B73" s="556" t="s">
        <v>10</v>
      </c>
      <c r="C73" s="556" t="s">
        <v>11</v>
      </c>
      <c r="D73" s="557">
        <v>3006</v>
      </c>
      <c r="E73" s="555">
        <v>17.38</v>
      </c>
      <c r="F73" s="558"/>
      <c r="G73" s="559"/>
      <c r="H73" s="562" t="s">
        <v>1274</v>
      </c>
      <c r="I73" s="560" t="s">
        <v>644</v>
      </c>
    </row>
    <row r="74" spans="1:9">
      <c r="A74" s="555" t="s">
        <v>597</v>
      </c>
      <c r="B74" s="556" t="s">
        <v>357</v>
      </c>
      <c r="C74" s="556" t="s">
        <v>358</v>
      </c>
      <c r="D74" s="557">
        <v>209252</v>
      </c>
      <c r="E74" s="555">
        <v>1209.75</v>
      </c>
      <c r="F74" s="558"/>
      <c r="G74" s="559"/>
      <c r="H74" s="562"/>
      <c r="I74" s="560" t="s">
        <v>644</v>
      </c>
    </row>
    <row r="75" spans="1:9">
      <c r="A75" s="555" t="s">
        <v>603</v>
      </c>
      <c r="B75" s="556" t="s">
        <v>525</v>
      </c>
      <c r="C75" s="556" t="s">
        <v>526</v>
      </c>
      <c r="D75" s="557">
        <v>0</v>
      </c>
      <c r="E75" s="555">
        <v>0</v>
      </c>
      <c r="F75" s="558"/>
      <c r="G75" s="559"/>
      <c r="H75" s="562"/>
      <c r="I75" s="560" t="s">
        <v>644</v>
      </c>
    </row>
    <row r="76" spans="1:9">
      <c r="A76" s="555" t="s">
        <v>596</v>
      </c>
      <c r="B76" s="556" t="s">
        <v>494</v>
      </c>
      <c r="C76" s="556" t="s">
        <v>495</v>
      </c>
      <c r="D76" s="557">
        <v>29687</v>
      </c>
      <c r="E76" s="555">
        <v>171.63</v>
      </c>
      <c r="F76" s="558"/>
      <c r="G76" s="559"/>
      <c r="H76" s="562"/>
      <c r="I76" s="560" t="s">
        <v>644</v>
      </c>
    </row>
    <row r="77" spans="1:9">
      <c r="A77" s="555" t="s">
        <v>603</v>
      </c>
      <c r="B77" s="556" t="s">
        <v>533</v>
      </c>
      <c r="C77" s="556" t="s">
        <v>534</v>
      </c>
      <c r="D77" s="557">
        <v>0</v>
      </c>
      <c r="E77" s="555">
        <v>0</v>
      </c>
      <c r="F77" s="558"/>
      <c r="G77" s="559"/>
      <c r="H77" s="562"/>
      <c r="I77" s="560" t="s">
        <v>644</v>
      </c>
    </row>
    <row r="78" spans="1:9">
      <c r="A78" s="555" t="s">
        <v>603</v>
      </c>
      <c r="B78" s="556" t="s">
        <v>464</v>
      </c>
      <c r="C78" s="556" t="s">
        <v>465</v>
      </c>
      <c r="D78" s="557">
        <v>0</v>
      </c>
      <c r="E78" s="555">
        <v>0</v>
      </c>
      <c r="F78" s="558"/>
      <c r="G78" s="559"/>
      <c r="H78" s="562"/>
      <c r="I78" s="560" t="s">
        <v>644</v>
      </c>
    </row>
    <row r="79" spans="1:9">
      <c r="A79" s="555" t="s">
        <v>596</v>
      </c>
      <c r="B79" s="556" t="s">
        <v>498</v>
      </c>
      <c r="C79" s="556" t="s">
        <v>499</v>
      </c>
      <c r="D79" s="557">
        <v>15740</v>
      </c>
      <c r="E79" s="555">
        <v>91</v>
      </c>
      <c r="F79" s="558"/>
      <c r="G79" s="559"/>
      <c r="H79" s="562"/>
      <c r="I79" s="560" t="s">
        <v>644</v>
      </c>
    </row>
    <row r="80" spans="1:9">
      <c r="A80" s="555" t="s">
        <v>603</v>
      </c>
      <c r="B80" s="556" t="s">
        <v>456</v>
      </c>
      <c r="C80" s="556" t="s">
        <v>457</v>
      </c>
      <c r="D80" s="557">
        <v>9859</v>
      </c>
      <c r="E80" s="555">
        <v>57</v>
      </c>
      <c r="F80" s="558"/>
      <c r="G80" s="566">
        <v>10</v>
      </c>
      <c r="H80" s="562" t="s">
        <v>782</v>
      </c>
      <c r="I80" s="560" t="s">
        <v>644</v>
      </c>
    </row>
    <row r="81" spans="1:9">
      <c r="A81" s="555" t="s">
        <v>595</v>
      </c>
      <c r="B81" s="556" t="s">
        <v>376</v>
      </c>
      <c r="C81" s="556" t="s">
        <v>377</v>
      </c>
      <c r="D81" s="557">
        <v>0</v>
      </c>
      <c r="E81" s="555">
        <v>0</v>
      </c>
      <c r="F81" s="558"/>
      <c r="G81" s="559"/>
      <c r="H81" s="549"/>
      <c r="I81" s="560" t="s">
        <v>644</v>
      </c>
    </row>
    <row r="82" spans="1:9">
      <c r="A82" s="555" t="s">
        <v>594</v>
      </c>
      <c r="B82" s="556" t="s">
        <v>147</v>
      </c>
      <c r="C82" s="556" t="s">
        <v>148</v>
      </c>
      <c r="D82" s="557">
        <v>0</v>
      </c>
      <c r="E82" s="555">
        <v>0</v>
      </c>
      <c r="F82" s="558"/>
      <c r="G82" s="559"/>
      <c r="H82" s="549"/>
      <c r="I82" s="560" t="s">
        <v>644</v>
      </c>
    </row>
    <row r="83" spans="1:9">
      <c r="A83" s="555" t="s">
        <v>601</v>
      </c>
      <c r="B83" s="556" t="s">
        <v>120</v>
      </c>
      <c r="C83" s="556" t="s">
        <v>654</v>
      </c>
      <c r="D83" s="557">
        <v>0</v>
      </c>
      <c r="E83" s="555">
        <v>0</v>
      </c>
      <c r="F83" s="558"/>
      <c r="G83" s="559"/>
      <c r="H83" s="549"/>
      <c r="I83" s="560" t="s">
        <v>644</v>
      </c>
    </row>
    <row r="84" spans="1:9">
      <c r="A84" s="555" t="s">
        <v>600</v>
      </c>
      <c r="B84" s="556" t="s">
        <v>41</v>
      </c>
      <c r="C84" s="556" t="s">
        <v>42</v>
      </c>
      <c r="D84" s="557">
        <v>0</v>
      </c>
      <c r="E84" s="555">
        <v>0</v>
      </c>
      <c r="F84" s="558"/>
      <c r="G84" s="559"/>
      <c r="H84" s="549"/>
      <c r="I84" s="560" t="s">
        <v>644</v>
      </c>
    </row>
    <row r="85" spans="1:9">
      <c r="A85" s="555" t="s">
        <v>603</v>
      </c>
      <c r="B85" s="556" t="s">
        <v>285</v>
      </c>
      <c r="C85" s="556" t="s">
        <v>286</v>
      </c>
      <c r="D85" s="557">
        <v>0</v>
      </c>
      <c r="E85" s="555">
        <v>0</v>
      </c>
      <c r="F85" s="558"/>
      <c r="G85" s="559"/>
      <c r="H85" s="549"/>
      <c r="I85" s="560" t="s">
        <v>644</v>
      </c>
    </row>
    <row r="86" spans="1:9">
      <c r="A86" s="555" t="s">
        <v>603</v>
      </c>
      <c r="B86" s="556" t="s">
        <v>96</v>
      </c>
      <c r="C86" s="556" t="s">
        <v>97</v>
      </c>
      <c r="D86" s="557">
        <v>0</v>
      </c>
      <c r="E86" s="555">
        <v>0</v>
      </c>
      <c r="F86" s="558"/>
      <c r="G86" s="559"/>
      <c r="H86" s="549"/>
      <c r="I86" s="560" t="s">
        <v>644</v>
      </c>
    </row>
    <row r="87" spans="1:9">
      <c r="A87" s="555" t="s">
        <v>603</v>
      </c>
      <c r="B87" s="556" t="s">
        <v>338</v>
      </c>
      <c r="C87" s="556" t="s">
        <v>339</v>
      </c>
      <c r="D87" s="557">
        <v>0</v>
      </c>
      <c r="E87" s="555">
        <v>0</v>
      </c>
      <c r="F87" s="558"/>
      <c r="G87" s="559"/>
      <c r="H87" s="549"/>
      <c r="I87" s="560" t="s">
        <v>644</v>
      </c>
    </row>
    <row r="88" spans="1:9">
      <c r="A88" s="555" t="s">
        <v>605</v>
      </c>
      <c r="B88" s="556" t="s">
        <v>220</v>
      </c>
      <c r="C88" s="556" t="s">
        <v>221</v>
      </c>
      <c r="D88" s="557">
        <v>0</v>
      </c>
      <c r="E88" s="555">
        <v>0</v>
      </c>
      <c r="F88" s="558"/>
      <c r="G88" s="559"/>
      <c r="H88" s="549"/>
      <c r="I88" s="560" t="s">
        <v>644</v>
      </c>
    </row>
    <row r="89" spans="1:9">
      <c r="A89" s="555" t="s">
        <v>595</v>
      </c>
      <c r="B89" s="556" t="s">
        <v>417</v>
      </c>
      <c r="C89" s="556" t="s">
        <v>418</v>
      </c>
      <c r="D89" s="557">
        <v>0</v>
      </c>
      <c r="E89" s="555">
        <v>0</v>
      </c>
      <c r="F89" s="558"/>
      <c r="G89" s="559"/>
      <c r="H89" s="549"/>
      <c r="I89" s="560" t="s">
        <v>644</v>
      </c>
    </row>
    <row r="90" spans="1:9">
      <c r="A90" s="555" t="s">
        <v>603</v>
      </c>
      <c r="B90" s="556" t="s">
        <v>293</v>
      </c>
      <c r="C90" s="556" t="s">
        <v>294</v>
      </c>
      <c r="D90" s="557">
        <v>0</v>
      </c>
      <c r="E90" s="555">
        <v>0</v>
      </c>
      <c r="F90" s="558"/>
      <c r="G90" s="559"/>
      <c r="H90" s="549"/>
      <c r="I90" s="560" t="s">
        <v>644</v>
      </c>
    </row>
    <row r="91" spans="1:9">
      <c r="A91" s="555" t="s">
        <v>596</v>
      </c>
      <c r="B91" s="556" t="s">
        <v>66</v>
      </c>
      <c r="C91" s="556" t="s">
        <v>67</v>
      </c>
      <c r="D91" s="557">
        <v>0</v>
      </c>
      <c r="E91" s="555">
        <v>0</v>
      </c>
      <c r="F91" s="558"/>
      <c r="G91" s="559"/>
      <c r="H91" s="549"/>
      <c r="I91" s="560" t="s">
        <v>644</v>
      </c>
    </row>
    <row r="92" spans="1:9">
      <c r="A92" s="555" t="s">
        <v>603</v>
      </c>
      <c r="B92" s="556" t="s">
        <v>444</v>
      </c>
      <c r="C92" s="556" t="s">
        <v>445</v>
      </c>
      <c r="D92" s="557">
        <v>801</v>
      </c>
      <c r="E92" s="555">
        <v>4.63</v>
      </c>
      <c r="F92" s="558"/>
      <c r="G92" s="559"/>
      <c r="H92" s="549"/>
      <c r="I92" s="560" t="s">
        <v>644</v>
      </c>
    </row>
    <row r="93" spans="1:9">
      <c r="A93" s="555" t="s">
        <v>596</v>
      </c>
      <c r="B93" s="556" t="s">
        <v>490</v>
      </c>
      <c r="C93" s="556" t="s">
        <v>491</v>
      </c>
      <c r="D93" s="557">
        <v>0</v>
      </c>
      <c r="E93" s="555">
        <v>0</v>
      </c>
      <c r="F93" s="558"/>
      <c r="G93" s="559"/>
      <c r="H93" s="549"/>
      <c r="I93" s="560" t="s">
        <v>644</v>
      </c>
    </row>
    <row r="94" spans="1:9">
      <c r="A94" s="555" t="s">
        <v>603</v>
      </c>
      <c r="B94" s="556" t="s">
        <v>440</v>
      </c>
      <c r="C94" s="556" t="s">
        <v>674</v>
      </c>
      <c r="D94" s="557">
        <v>22054</v>
      </c>
      <c r="E94" s="555">
        <v>127.5</v>
      </c>
      <c r="F94" s="558"/>
      <c r="G94" s="559"/>
      <c r="H94" s="549"/>
      <c r="I94" s="560" t="s">
        <v>644</v>
      </c>
    </row>
    <row r="95" spans="1:9">
      <c r="A95" s="555" t="s">
        <v>605</v>
      </c>
      <c r="B95" s="556" t="s">
        <v>549</v>
      </c>
      <c r="C95" s="556" t="s">
        <v>550</v>
      </c>
      <c r="D95" s="557">
        <v>43136</v>
      </c>
      <c r="E95" s="555">
        <v>249.38</v>
      </c>
      <c r="F95" s="558"/>
      <c r="G95" s="559"/>
      <c r="H95" s="549"/>
      <c r="I95" s="560" t="s">
        <v>644</v>
      </c>
    </row>
    <row r="96" spans="1:9">
      <c r="A96" s="555" t="s">
        <v>601</v>
      </c>
      <c r="B96" s="556" t="s">
        <v>88</v>
      </c>
      <c r="C96" s="556" t="s">
        <v>89</v>
      </c>
      <c r="D96" s="557">
        <v>157815</v>
      </c>
      <c r="E96" s="555">
        <v>912.38</v>
      </c>
      <c r="F96" s="558"/>
      <c r="G96" s="559"/>
      <c r="H96" s="549"/>
      <c r="I96" s="560" t="s">
        <v>644</v>
      </c>
    </row>
    <row r="97" spans="1:9">
      <c r="A97" s="555" t="s">
        <v>597</v>
      </c>
      <c r="B97" s="556" t="s">
        <v>365</v>
      </c>
      <c r="C97" s="556" t="s">
        <v>366</v>
      </c>
      <c r="D97" s="557">
        <v>2119</v>
      </c>
      <c r="E97" s="555">
        <v>12.25</v>
      </c>
      <c r="F97" s="558"/>
      <c r="G97" s="559"/>
      <c r="H97" s="549"/>
      <c r="I97" s="560" t="s">
        <v>644</v>
      </c>
    </row>
    <row r="98" spans="1:9">
      <c r="A98" s="555" t="s">
        <v>595</v>
      </c>
      <c r="B98" s="556" t="s">
        <v>401</v>
      </c>
      <c r="C98" s="556" t="s">
        <v>402</v>
      </c>
      <c r="D98" s="557">
        <v>339239</v>
      </c>
      <c r="E98" s="555">
        <v>1961.25</v>
      </c>
      <c r="F98" s="558"/>
      <c r="G98" s="566">
        <v>4</v>
      </c>
      <c r="H98" s="549"/>
      <c r="I98" s="560" t="s">
        <v>644</v>
      </c>
    </row>
    <row r="99" spans="1:9">
      <c r="A99" s="555" t="s">
        <v>605</v>
      </c>
      <c r="B99" s="556" t="s">
        <v>226</v>
      </c>
      <c r="C99" s="556" t="s">
        <v>227</v>
      </c>
      <c r="D99" s="557">
        <v>36756</v>
      </c>
      <c r="E99" s="555">
        <v>212.5</v>
      </c>
      <c r="F99" s="558"/>
      <c r="G99" s="559"/>
      <c r="H99" s="549"/>
      <c r="I99" s="560" t="s">
        <v>644</v>
      </c>
    </row>
    <row r="100" spans="1:9">
      <c r="A100" s="555" t="s">
        <v>594</v>
      </c>
      <c r="B100" s="556" t="s">
        <v>141</v>
      </c>
      <c r="C100" s="556" t="s">
        <v>142</v>
      </c>
      <c r="D100" s="557">
        <v>16648</v>
      </c>
      <c r="E100" s="555">
        <v>96.25</v>
      </c>
      <c r="F100" s="558"/>
      <c r="G100" s="559"/>
      <c r="H100" s="549"/>
      <c r="I100" s="560" t="s">
        <v>644</v>
      </c>
    </row>
    <row r="101" spans="1:9">
      <c r="A101" s="555" t="s">
        <v>603</v>
      </c>
      <c r="B101" s="556" t="s">
        <v>535</v>
      </c>
      <c r="C101" s="556" t="s">
        <v>536</v>
      </c>
      <c r="D101" s="557">
        <v>0</v>
      </c>
      <c r="E101" s="555">
        <v>0</v>
      </c>
      <c r="F101" s="558"/>
      <c r="G101" s="559"/>
      <c r="H101" s="549"/>
      <c r="I101" s="560" t="s">
        <v>644</v>
      </c>
    </row>
    <row r="102" spans="1:9">
      <c r="A102" s="555" t="s">
        <v>597</v>
      </c>
      <c r="B102" s="556" t="s">
        <v>177</v>
      </c>
      <c r="C102" s="556" t="s">
        <v>178</v>
      </c>
      <c r="D102" s="557">
        <v>30465</v>
      </c>
      <c r="E102" s="555">
        <v>176.13</v>
      </c>
      <c r="F102" s="558"/>
      <c r="G102" s="559"/>
      <c r="H102" s="549"/>
      <c r="I102" s="560" t="s">
        <v>644</v>
      </c>
    </row>
    <row r="103" spans="1:9">
      <c r="A103" s="555" t="s">
        <v>601</v>
      </c>
      <c r="B103" s="556" t="s">
        <v>127</v>
      </c>
      <c r="C103" s="556" t="s">
        <v>128</v>
      </c>
      <c r="D103" s="557">
        <v>32801</v>
      </c>
      <c r="E103" s="555">
        <v>189.63</v>
      </c>
      <c r="F103" s="558"/>
      <c r="G103" s="559"/>
      <c r="H103" s="549"/>
      <c r="I103" s="560" t="s">
        <v>644</v>
      </c>
    </row>
    <row r="104" spans="1:9">
      <c r="A104" s="555" t="s">
        <v>594</v>
      </c>
      <c r="B104" s="556" t="s">
        <v>256</v>
      </c>
      <c r="C104" s="556" t="s">
        <v>257</v>
      </c>
      <c r="D104" s="557">
        <v>0</v>
      </c>
      <c r="E104" s="555">
        <v>0</v>
      </c>
      <c r="F104" s="558"/>
      <c r="G104" s="559"/>
      <c r="H104" s="549"/>
      <c r="I104" s="560" t="s">
        <v>644</v>
      </c>
    </row>
    <row r="105" spans="1:9">
      <c r="A105" s="555" t="s">
        <v>595</v>
      </c>
      <c r="B105" s="556" t="s">
        <v>395</v>
      </c>
      <c r="C105" s="556" t="s">
        <v>396</v>
      </c>
      <c r="D105" s="557">
        <v>304019</v>
      </c>
      <c r="E105" s="555">
        <v>1757.63</v>
      </c>
      <c r="F105" s="558"/>
      <c r="G105" s="566">
        <v>5</v>
      </c>
      <c r="H105" s="549"/>
      <c r="I105" s="560" t="s">
        <v>644</v>
      </c>
    </row>
    <row r="106" spans="1:9">
      <c r="A106" s="555" t="s">
        <v>599</v>
      </c>
      <c r="B106" s="556" t="s">
        <v>58</v>
      </c>
      <c r="C106" s="556" t="s">
        <v>59</v>
      </c>
      <c r="D106" s="557">
        <v>378397</v>
      </c>
      <c r="E106" s="555">
        <v>2187.63</v>
      </c>
      <c r="F106" s="558"/>
      <c r="G106" s="559"/>
      <c r="H106" s="549"/>
      <c r="I106" s="560" t="s">
        <v>644</v>
      </c>
    </row>
    <row r="107" spans="1:9">
      <c r="A107" s="555" t="s">
        <v>603</v>
      </c>
      <c r="B107" s="556" t="s">
        <v>462</v>
      </c>
      <c r="C107" s="556" t="s">
        <v>463</v>
      </c>
      <c r="D107" s="557">
        <v>0</v>
      </c>
      <c r="E107" s="555">
        <v>0</v>
      </c>
      <c r="F107" s="558"/>
      <c r="G107" s="559"/>
      <c r="H107" s="549"/>
      <c r="I107" s="560" t="s">
        <v>644</v>
      </c>
    </row>
    <row r="108" spans="1:9">
      <c r="A108" s="555" t="s">
        <v>597</v>
      </c>
      <c r="B108" s="556" t="s">
        <v>175</v>
      </c>
      <c r="C108" s="556" t="s">
        <v>176</v>
      </c>
      <c r="D108" s="557">
        <v>522265</v>
      </c>
      <c r="E108" s="555">
        <v>3019.38</v>
      </c>
      <c r="F108" s="558"/>
      <c r="G108" s="559"/>
      <c r="H108" s="549"/>
      <c r="I108" s="560" t="s">
        <v>644</v>
      </c>
    </row>
    <row r="109" spans="1:9">
      <c r="A109" s="555" t="s">
        <v>595</v>
      </c>
      <c r="B109" s="556" t="s">
        <v>506</v>
      </c>
      <c r="C109" s="556" t="s">
        <v>507</v>
      </c>
      <c r="D109" s="557">
        <v>39913</v>
      </c>
      <c r="E109" s="555">
        <v>230.75</v>
      </c>
      <c r="F109" s="558"/>
      <c r="G109" s="566">
        <v>5</v>
      </c>
      <c r="H109" s="549"/>
      <c r="I109" s="560" t="s">
        <v>644</v>
      </c>
    </row>
    <row r="110" spans="1:9">
      <c r="A110" s="555" t="s">
        <v>597</v>
      </c>
      <c r="B110" s="556" t="s">
        <v>369</v>
      </c>
      <c r="C110" s="556" t="s">
        <v>370</v>
      </c>
      <c r="D110" s="557">
        <v>62422</v>
      </c>
      <c r="E110" s="555">
        <v>360.88</v>
      </c>
      <c r="F110" s="558"/>
      <c r="G110" s="559"/>
      <c r="H110" s="549"/>
      <c r="I110" s="560" t="s">
        <v>644</v>
      </c>
    </row>
    <row r="111" spans="1:9">
      <c r="A111" s="555" t="s">
        <v>596</v>
      </c>
      <c r="B111" s="556" t="s">
        <v>19</v>
      </c>
      <c r="C111" s="556" t="s">
        <v>20</v>
      </c>
      <c r="D111" s="557">
        <v>22227</v>
      </c>
      <c r="E111" s="555">
        <v>128.5</v>
      </c>
      <c r="F111" s="558"/>
      <c r="G111" s="559"/>
      <c r="H111" s="549"/>
      <c r="I111" s="560" t="s">
        <v>644</v>
      </c>
    </row>
    <row r="112" spans="1:9">
      <c r="A112" s="555" t="s">
        <v>597</v>
      </c>
      <c r="B112" s="556" t="s">
        <v>361</v>
      </c>
      <c r="C112" s="556" t="s">
        <v>362</v>
      </c>
      <c r="D112" s="557">
        <v>100259</v>
      </c>
      <c r="E112" s="555">
        <v>579.63</v>
      </c>
      <c r="F112" s="558"/>
      <c r="G112" s="559"/>
      <c r="H112" s="549"/>
      <c r="I112" s="560" t="s">
        <v>644</v>
      </c>
    </row>
    <row r="113" spans="1:9">
      <c r="A113" s="555" t="s">
        <v>603</v>
      </c>
      <c r="B113" s="556" t="s">
        <v>436</v>
      </c>
      <c r="C113" s="556" t="s">
        <v>437</v>
      </c>
      <c r="D113" s="557">
        <v>0</v>
      </c>
      <c r="E113" s="555">
        <v>0</v>
      </c>
      <c r="F113" s="558"/>
      <c r="G113" s="559"/>
      <c r="H113" s="549"/>
      <c r="I113" s="560" t="s">
        <v>644</v>
      </c>
    </row>
    <row r="114" spans="1:9">
      <c r="A114" s="555" t="s">
        <v>603</v>
      </c>
      <c r="B114" s="556" t="s">
        <v>529</v>
      </c>
      <c r="C114" s="556" t="s">
        <v>530</v>
      </c>
      <c r="D114" s="557">
        <v>0</v>
      </c>
      <c r="E114" s="555">
        <v>0</v>
      </c>
      <c r="F114" s="558"/>
      <c r="G114" s="559"/>
      <c r="H114" s="549"/>
      <c r="I114" s="560" t="s">
        <v>644</v>
      </c>
    </row>
    <row r="115" spans="1:9">
      <c r="A115" s="555" t="s">
        <v>599</v>
      </c>
      <c r="B115" s="556" t="s">
        <v>240</v>
      </c>
      <c r="C115" s="556" t="s">
        <v>241</v>
      </c>
      <c r="D115" s="557">
        <v>0</v>
      </c>
      <c r="E115" s="555">
        <v>0</v>
      </c>
      <c r="F115" s="558"/>
      <c r="G115" s="559"/>
      <c r="H115" s="549"/>
      <c r="I115" s="560" t="s">
        <v>644</v>
      </c>
    </row>
    <row r="116" spans="1:9">
      <c r="A116" s="555" t="s">
        <v>601</v>
      </c>
      <c r="B116" s="556" t="s">
        <v>131</v>
      </c>
      <c r="C116" s="556" t="s">
        <v>655</v>
      </c>
      <c r="D116" s="557">
        <v>0</v>
      </c>
      <c r="E116" s="555">
        <v>0</v>
      </c>
      <c r="F116" s="558"/>
      <c r="G116" s="559"/>
      <c r="H116" s="549"/>
      <c r="I116" s="560" t="s">
        <v>644</v>
      </c>
    </row>
    <row r="117" spans="1:9">
      <c r="A117" s="555" t="s">
        <v>605</v>
      </c>
      <c r="B117" s="556" t="s">
        <v>555</v>
      </c>
      <c r="C117" s="556" t="s">
        <v>556</v>
      </c>
      <c r="D117" s="557">
        <v>196258</v>
      </c>
      <c r="E117" s="555">
        <v>1134.6300000000001</v>
      </c>
      <c r="F117" s="558"/>
      <c r="G117" s="559"/>
      <c r="H117" s="549"/>
      <c r="I117" s="560" t="s">
        <v>644</v>
      </c>
    </row>
    <row r="118" spans="1:9">
      <c r="A118" s="555" t="s">
        <v>605</v>
      </c>
      <c r="B118" s="556" t="s">
        <v>563</v>
      </c>
      <c r="C118" s="556" t="s">
        <v>564</v>
      </c>
      <c r="D118" s="557">
        <v>99372</v>
      </c>
      <c r="E118" s="555">
        <v>554.5</v>
      </c>
      <c r="F118" s="558">
        <v>18</v>
      </c>
      <c r="G118" s="559"/>
      <c r="H118" s="549"/>
      <c r="I118" s="560" t="s">
        <v>644</v>
      </c>
    </row>
    <row r="119" spans="1:9">
      <c r="A119" s="555" t="s">
        <v>594</v>
      </c>
      <c r="B119" s="556" t="s">
        <v>297</v>
      </c>
      <c r="C119" s="556" t="s">
        <v>298</v>
      </c>
      <c r="D119" s="557">
        <v>0</v>
      </c>
      <c r="E119" s="555">
        <v>0</v>
      </c>
      <c r="F119" s="558"/>
      <c r="G119" s="559"/>
      <c r="H119" s="549"/>
      <c r="I119" s="560" t="s">
        <v>644</v>
      </c>
    </row>
    <row r="120" spans="1:9">
      <c r="A120" s="555" t="s">
        <v>603</v>
      </c>
      <c r="B120" s="556" t="s">
        <v>426</v>
      </c>
      <c r="C120" s="556" t="s">
        <v>427</v>
      </c>
      <c r="D120" s="557">
        <v>0</v>
      </c>
      <c r="E120" s="555">
        <v>0</v>
      </c>
      <c r="F120" s="558"/>
      <c r="G120" s="559"/>
      <c r="H120" s="549"/>
      <c r="I120" s="560" t="s">
        <v>644</v>
      </c>
    </row>
    <row r="121" spans="1:9">
      <c r="A121" s="555" t="s">
        <v>599</v>
      </c>
      <c r="B121" s="556" t="s">
        <v>54</v>
      </c>
      <c r="C121" s="556" t="s">
        <v>55</v>
      </c>
      <c r="D121" s="557">
        <v>0</v>
      </c>
      <c r="E121" s="555">
        <v>0</v>
      </c>
      <c r="F121" s="558"/>
      <c r="G121" s="559"/>
      <c r="H121" s="549"/>
      <c r="I121" s="560" t="s">
        <v>644</v>
      </c>
    </row>
    <row r="122" spans="1:9">
      <c r="A122" s="555" t="s">
        <v>594</v>
      </c>
      <c r="B122" s="556" t="s">
        <v>482</v>
      </c>
      <c r="C122" s="556" t="s">
        <v>483</v>
      </c>
      <c r="D122" s="557">
        <v>0</v>
      </c>
      <c r="E122" s="555">
        <v>0</v>
      </c>
      <c r="F122" s="558"/>
      <c r="G122" s="559"/>
      <c r="H122" s="549"/>
      <c r="I122" s="560" t="s">
        <v>644</v>
      </c>
    </row>
    <row r="123" spans="1:9">
      <c r="A123" s="555" t="s">
        <v>603</v>
      </c>
      <c r="B123" s="556" t="s">
        <v>291</v>
      </c>
      <c r="C123" s="556" t="s">
        <v>292</v>
      </c>
      <c r="D123" s="557">
        <v>0</v>
      </c>
      <c r="E123" s="555">
        <v>0</v>
      </c>
      <c r="F123" s="558"/>
      <c r="G123" s="559"/>
      <c r="H123" s="549"/>
      <c r="I123" s="560" t="s">
        <v>644</v>
      </c>
    </row>
    <row r="124" spans="1:9">
      <c r="A124" s="555" t="s">
        <v>605</v>
      </c>
      <c r="B124" s="556" t="s">
        <v>561</v>
      </c>
      <c r="C124" s="556" t="s">
        <v>562</v>
      </c>
      <c r="D124" s="557">
        <v>45924</v>
      </c>
      <c r="E124" s="555">
        <v>265.5</v>
      </c>
      <c r="F124" s="558"/>
      <c r="G124" s="559"/>
      <c r="H124" s="549"/>
      <c r="I124" s="560" t="s">
        <v>644</v>
      </c>
    </row>
    <row r="125" spans="1:9">
      <c r="A125" s="555" t="s">
        <v>597</v>
      </c>
      <c r="B125" s="556" t="s">
        <v>181</v>
      </c>
      <c r="C125" s="556" t="s">
        <v>182</v>
      </c>
      <c r="D125" s="557">
        <v>618544</v>
      </c>
      <c r="E125" s="555">
        <v>3576</v>
      </c>
      <c r="F125" s="558"/>
      <c r="G125" s="566">
        <v>18</v>
      </c>
      <c r="H125" s="549"/>
      <c r="I125" s="560" t="s">
        <v>644</v>
      </c>
    </row>
    <row r="126" spans="1:9">
      <c r="A126" s="555" t="s">
        <v>594</v>
      </c>
      <c r="B126" s="556" t="s">
        <v>307</v>
      </c>
      <c r="C126" s="556" t="s">
        <v>308</v>
      </c>
      <c r="D126" s="557">
        <v>0</v>
      </c>
      <c r="E126" s="555">
        <v>0</v>
      </c>
      <c r="F126" s="558"/>
      <c r="G126" s="559"/>
      <c r="H126" s="562"/>
      <c r="I126" s="560" t="s">
        <v>644</v>
      </c>
    </row>
    <row r="127" spans="1:9">
      <c r="A127" s="555" t="s">
        <v>594</v>
      </c>
      <c r="B127" s="556" t="s">
        <v>134</v>
      </c>
      <c r="C127" s="556" t="s">
        <v>135</v>
      </c>
      <c r="D127" s="557">
        <v>6941</v>
      </c>
      <c r="E127" s="555">
        <v>40.130000000000003</v>
      </c>
      <c r="F127" s="558"/>
      <c r="G127" s="559"/>
      <c r="H127" s="549" t="s">
        <v>782</v>
      </c>
      <c r="I127" s="560" t="s">
        <v>644</v>
      </c>
    </row>
    <row r="128" spans="1:9">
      <c r="A128" s="555" t="s">
        <v>603</v>
      </c>
      <c r="B128" s="556" t="s">
        <v>100</v>
      </c>
      <c r="C128" s="556" t="s">
        <v>101</v>
      </c>
      <c r="D128" s="557">
        <v>0</v>
      </c>
      <c r="E128" s="555">
        <v>0</v>
      </c>
      <c r="F128" s="558"/>
      <c r="G128" s="566">
        <v>33</v>
      </c>
      <c r="H128" s="549"/>
      <c r="I128" s="560" t="s">
        <v>644</v>
      </c>
    </row>
    <row r="129" spans="1:9">
      <c r="A129" s="555" t="s">
        <v>595</v>
      </c>
      <c r="B129" s="556" t="s">
        <v>407</v>
      </c>
      <c r="C129" s="556" t="s">
        <v>408</v>
      </c>
      <c r="D129" s="557">
        <v>0</v>
      </c>
      <c r="E129" s="555">
        <v>0</v>
      </c>
      <c r="F129" s="558"/>
      <c r="G129" s="559"/>
      <c r="H129" s="549"/>
      <c r="I129" s="560" t="s">
        <v>644</v>
      </c>
    </row>
    <row r="130" spans="1:9">
      <c r="A130" s="555" t="s">
        <v>597</v>
      </c>
      <c r="B130" s="556" t="s">
        <v>201</v>
      </c>
      <c r="C130" s="556" t="s">
        <v>202</v>
      </c>
      <c r="D130" s="557">
        <v>118983</v>
      </c>
      <c r="E130" s="555">
        <v>687.88</v>
      </c>
      <c r="F130" s="558"/>
      <c r="G130" s="559"/>
      <c r="H130" s="549"/>
      <c r="I130" s="560" t="s">
        <v>644</v>
      </c>
    </row>
    <row r="131" spans="1:9">
      <c r="A131" s="555" t="s">
        <v>596</v>
      </c>
      <c r="B131" s="556" t="s">
        <v>110</v>
      </c>
      <c r="C131" s="556" t="s">
        <v>111</v>
      </c>
      <c r="D131" s="557">
        <v>0</v>
      </c>
      <c r="E131" s="555">
        <v>0</v>
      </c>
      <c r="F131" s="558"/>
      <c r="G131" s="559"/>
      <c r="H131" s="549"/>
      <c r="I131" s="560" t="s">
        <v>644</v>
      </c>
    </row>
    <row r="132" spans="1:9">
      <c r="A132" s="555" t="s">
        <v>599</v>
      </c>
      <c r="B132" s="556" t="s">
        <v>76</v>
      </c>
      <c r="C132" s="556" t="s">
        <v>77</v>
      </c>
      <c r="D132" s="557">
        <v>0</v>
      </c>
      <c r="E132" s="555">
        <v>0</v>
      </c>
      <c r="F132" s="558"/>
      <c r="G132" s="559"/>
      <c r="H132" s="549"/>
      <c r="I132" s="560" t="s">
        <v>644</v>
      </c>
    </row>
    <row r="133" spans="1:9">
      <c r="A133" s="555" t="s">
        <v>603</v>
      </c>
      <c r="B133" s="569" t="s">
        <v>94</v>
      </c>
      <c r="C133" s="556" t="s">
        <v>95</v>
      </c>
      <c r="D133" s="557">
        <v>0</v>
      </c>
      <c r="E133" s="555">
        <v>0</v>
      </c>
      <c r="F133" s="558"/>
      <c r="G133" s="559"/>
      <c r="H133" s="549"/>
      <c r="I133" s="560" t="s">
        <v>644</v>
      </c>
    </row>
    <row r="134" spans="1:9">
      <c r="A134" s="555" t="s">
        <v>599</v>
      </c>
      <c r="B134" s="556" t="s">
        <v>80</v>
      </c>
      <c r="C134" s="556" t="s">
        <v>81</v>
      </c>
      <c r="D134" s="557">
        <v>35632</v>
      </c>
      <c r="E134" s="555">
        <v>205</v>
      </c>
      <c r="F134" s="558">
        <v>1</v>
      </c>
      <c r="G134" s="559"/>
      <c r="H134" s="549"/>
      <c r="I134" s="560" t="s">
        <v>644</v>
      </c>
    </row>
    <row r="135" spans="1:9">
      <c r="A135" s="555" t="s">
        <v>596</v>
      </c>
      <c r="B135" s="556" t="s">
        <v>14</v>
      </c>
      <c r="C135" s="556" t="s">
        <v>15</v>
      </c>
      <c r="D135" s="557">
        <v>337769</v>
      </c>
      <c r="E135" s="555">
        <v>1952.75</v>
      </c>
      <c r="F135" s="558"/>
      <c r="G135" s="559"/>
      <c r="H135" s="549"/>
      <c r="I135" s="560" t="s">
        <v>644</v>
      </c>
    </row>
    <row r="136" spans="1:9">
      <c r="A136" s="555" t="s">
        <v>597</v>
      </c>
      <c r="B136" s="556" t="s">
        <v>207</v>
      </c>
      <c r="C136" s="556" t="s">
        <v>208</v>
      </c>
      <c r="D136" s="557">
        <v>759409</v>
      </c>
      <c r="E136" s="555">
        <v>4368.38</v>
      </c>
      <c r="F136" s="558">
        <v>22</v>
      </c>
      <c r="G136" s="566">
        <v>8</v>
      </c>
      <c r="H136" s="549"/>
      <c r="I136" s="560" t="s">
        <v>644</v>
      </c>
    </row>
    <row r="137" spans="1:9">
      <c r="A137" s="555" t="s">
        <v>603</v>
      </c>
      <c r="B137" s="556" t="s">
        <v>470</v>
      </c>
      <c r="C137" s="556" t="s">
        <v>471</v>
      </c>
      <c r="D137" s="557">
        <v>0</v>
      </c>
      <c r="E137" s="555">
        <v>0</v>
      </c>
      <c r="F137" s="558"/>
      <c r="G137" s="559"/>
      <c r="H137" s="549"/>
      <c r="I137" s="560" t="s">
        <v>644</v>
      </c>
    </row>
    <row r="138" spans="1:9">
      <c r="A138" s="555" t="s">
        <v>596</v>
      </c>
      <c r="B138" s="556" t="s">
        <v>18</v>
      </c>
      <c r="C138" s="556" t="s">
        <v>608</v>
      </c>
      <c r="D138" s="557">
        <v>36563</v>
      </c>
      <c r="E138" s="555">
        <v>211.38</v>
      </c>
      <c r="F138" s="558"/>
      <c r="G138" s="559"/>
      <c r="H138" s="549"/>
      <c r="I138" s="560" t="s">
        <v>644</v>
      </c>
    </row>
    <row r="139" spans="1:9">
      <c r="A139" s="555" t="s">
        <v>599</v>
      </c>
      <c r="B139" s="556" t="s">
        <v>242</v>
      </c>
      <c r="C139" s="556" t="s">
        <v>243</v>
      </c>
      <c r="D139" s="557">
        <v>0</v>
      </c>
      <c r="E139" s="555">
        <v>0</v>
      </c>
      <c r="F139" s="558"/>
      <c r="G139" s="559"/>
      <c r="H139" s="549"/>
      <c r="I139" s="560" t="s">
        <v>644</v>
      </c>
    </row>
    <row r="140" spans="1:9">
      <c r="A140" s="555" t="s">
        <v>595</v>
      </c>
      <c r="B140" s="556" t="s">
        <v>382</v>
      </c>
      <c r="C140" s="556" t="s">
        <v>383</v>
      </c>
      <c r="D140" s="557">
        <v>1384</v>
      </c>
      <c r="E140" s="555">
        <v>8</v>
      </c>
      <c r="F140" s="558"/>
      <c r="G140" s="559"/>
      <c r="H140" s="549" t="s">
        <v>782</v>
      </c>
      <c r="I140" s="560" t="s">
        <v>644</v>
      </c>
    </row>
    <row r="141" spans="1:9">
      <c r="A141" s="555" t="s">
        <v>599</v>
      </c>
      <c r="B141" s="556" t="s">
        <v>53</v>
      </c>
      <c r="C141" s="556" t="s">
        <v>609</v>
      </c>
      <c r="D141" s="557">
        <v>2768</v>
      </c>
      <c r="E141" s="555">
        <v>16</v>
      </c>
      <c r="F141" s="558"/>
      <c r="G141" s="559"/>
      <c r="H141" s="549" t="s">
        <v>782</v>
      </c>
      <c r="I141" s="560" t="s">
        <v>644</v>
      </c>
    </row>
    <row r="142" spans="1:9">
      <c r="A142" s="555" t="s">
        <v>603</v>
      </c>
      <c r="B142" s="556" t="s">
        <v>518</v>
      </c>
      <c r="C142" s="556" t="s">
        <v>645</v>
      </c>
      <c r="D142" s="557">
        <v>0</v>
      </c>
      <c r="E142" s="555">
        <v>0</v>
      </c>
      <c r="F142" s="558"/>
      <c r="G142" s="559"/>
      <c r="H142" s="549"/>
      <c r="I142" s="560" t="s">
        <v>644</v>
      </c>
    </row>
    <row r="143" spans="1:9">
      <c r="A143" s="555" t="s">
        <v>601</v>
      </c>
      <c r="B143" s="556" t="s">
        <v>31</v>
      </c>
      <c r="C143" s="556" t="s">
        <v>32</v>
      </c>
      <c r="D143" s="557">
        <v>52929</v>
      </c>
      <c r="E143" s="555">
        <v>306</v>
      </c>
      <c r="F143" s="558"/>
      <c r="G143" s="559"/>
      <c r="H143" s="549"/>
      <c r="I143" s="560" t="s">
        <v>644</v>
      </c>
    </row>
    <row r="144" spans="1:9">
      <c r="A144" s="555" t="s">
        <v>595</v>
      </c>
      <c r="B144" s="556" t="s">
        <v>397</v>
      </c>
      <c r="C144" s="556" t="s">
        <v>398</v>
      </c>
      <c r="D144" s="557">
        <v>45254</v>
      </c>
      <c r="E144" s="555">
        <v>261.63</v>
      </c>
      <c r="F144" s="558"/>
      <c r="G144" s="559"/>
      <c r="H144" s="549"/>
      <c r="I144" s="560" t="s">
        <v>644</v>
      </c>
    </row>
    <row r="145" spans="1:9">
      <c r="A145" s="555" t="s">
        <v>597</v>
      </c>
      <c r="B145" s="556" t="s">
        <v>205</v>
      </c>
      <c r="C145" s="556" t="s">
        <v>206</v>
      </c>
      <c r="D145" s="557">
        <v>241295</v>
      </c>
      <c r="E145" s="555">
        <v>1395</v>
      </c>
      <c r="F145" s="558"/>
      <c r="G145" s="559"/>
      <c r="H145" s="549"/>
      <c r="I145" s="560" t="s">
        <v>644</v>
      </c>
    </row>
    <row r="146" spans="1:9">
      <c r="A146" s="555" t="s">
        <v>595</v>
      </c>
      <c r="B146" s="556" t="s">
        <v>413</v>
      </c>
      <c r="C146" s="556" t="s">
        <v>414</v>
      </c>
      <c r="D146" s="557">
        <v>12238</v>
      </c>
      <c r="E146" s="555">
        <v>70.75</v>
      </c>
      <c r="F146" s="558"/>
      <c r="G146" s="559"/>
      <c r="H146" s="549"/>
      <c r="I146" s="560" t="s">
        <v>644</v>
      </c>
    </row>
    <row r="147" spans="1:9">
      <c r="A147" s="555" t="s">
        <v>603</v>
      </c>
      <c r="B147" s="556" t="s">
        <v>519</v>
      </c>
      <c r="C147" s="556" t="s">
        <v>520</v>
      </c>
      <c r="D147" s="557">
        <v>0</v>
      </c>
      <c r="E147" s="555">
        <v>0</v>
      </c>
      <c r="F147" s="558"/>
      <c r="G147" s="559"/>
      <c r="H147" s="549"/>
      <c r="I147" s="560" t="s">
        <v>644</v>
      </c>
    </row>
    <row r="148" spans="1:9">
      <c r="A148" s="555" t="s">
        <v>603</v>
      </c>
      <c r="B148" s="556" t="s">
        <v>441</v>
      </c>
      <c r="C148" s="556" t="s">
        <v>442</v>
      </c>
      <c r="D148" s="557">
        <v>0</v>
      </c>
      <c r="E148" s="555">
        <v>0</v>
      </c>
      <c r="F148" s="558"/>
      <c r="G148" s="559"/>
      <c r="H148" s="549"/>
      <c r="I148" s="560" t="s">
        <v>644</v>
      </c>
    </row>
    <row r="149" spans="1:9">
      <c r="A149" s="555" t="s">
        <v>603</v>
      </c>
      <c r="B149" s="556" t="s">
        <v>6</v>
      </c>
      <c r="C149" s="556" t="s">
        <v>7</v>
      </c>
      <c r="D149" s="557">
        <v>4174</v>
      </c>
      <c r="E149" s="555">
        <v>24.13</v>
      </c>
      <c r="F149" s="558"/>
      <c r="G149" s="559"/>
      <c r="H149" s="549" t="s">
        <v>782</v>
      </c>
      <c r="I149" s="560" t="s">
        <v>644</v>
      </c>
    </row>
    <row r="150" spans="1:9">
      <c r="A150" s="555" t="s">
        <v>599</v>
      </c>
      <c r="B150" s="556" t="s">
        <v>70</v>
      </c>
      <c r="C150" s="556" t="s">
        <v>71</v>
      </c>
      <c r="D150" s="557">
        <v>59092</v>
      </c>
      <c r="E150" s="555">
        <v>341.63</v>
      </c>
      <c r="F150" s="558"/>
      <c r="G150" s="559"/>
      <c r="H150" s="549"/>
      <c r="I150" s="560" t="s">
        <v>644</v>
      </c>
    </row>
    <row r="151" spans="1:9">
      <c r="A151" s="555" t="s">
        <v>603</v>
      </c>
      <c r="B151" s="556" t="s">
        <v>458</v>
      </c>
      <c r="C151" s="556" t="s">
        <v>459</v>
      </c>
      <c r="D151" s="557">
        <v>0</v>
      </c>
      <c r="E151" s="555">
        <v>0</v>
      </c>
      <c r="F151" s="558"/>
      <c r="G151" s="559"/>
      <c r="H151" s="549"/>
      <c r="I151" s="560" t="s">
        <v>644</v>
      </c>
    </row>
    <row r="152" spans="1:9">
      <c r="A152" s="555" t="s">
        <v>595</v>
      </c>
      <c r="B152" s="556" t="s">
        <v>373</v>
      </c>
      <c r="C152" s="556" t="s">
        <v>374</v>
      </c>
      <c r="D152" s="557">
        <v>931</v>
      </c>
      <c r="E152" s="555">
        <v>5.38</v>
      </c>
      <c r="F152" s="558"/>
      <c r="G152" s="559"/>
      <c r="H152" s="549" t="s">
        <v>782</v>
      </c>
      <c r="I152" s="560" t="s">
        <v>644</v>
      </c>
    </row>
    <row r="153" spans="1:9">
      <c r="A153" s="555" t="s">
        <v>599</v>
      </c>
      <c r="B153" s="556" t="s">
        <v>250</v>
      </c>
      <c r="C153" s="556" t="s">
        <v>251</v>
      </c>
      <c r="D153" s="557">
        <v>0</v>
      </c>
      <c r="E153" s="555">
        <v>0</v>
      </c>
      <c r="F153" s="558"/>
      <c r="G153" s="559"/>
      <c r="H153" s="549"/>
      <c r="I153" s="560" t="s">
        <v>644</v>
      </c>
    </row>
    <row r="154" spans="1:9">
      <c r="A154" s="555" t="s">
        <v>595</v>
      </c>
      <c r="B154" s="556" t="s">
        <v>510</v>
      </c>
      <c r="C154" s="556" t="s">
        <v>511</v>
      </c>
      <c r="D154" s="557">
        <v>40022</v>
      </c>
      <c r="E154" s="555">
        <v>231.38</v>
      </c>
      <c r="F154" s="558"/>
      <c r="G154" s="559"/>
      <c r="H154" s="549"/>
      <c r="I154" s="560" t="s">
        <v>644</v>
      </c>
    </row>
    <row r="155" spans="1:9">
      <c r="A155" s="555" t="s">
        <v>605</v>
      </c>
      <c r="B155" s="556" t="s">
        <v>553</v>
      </c>
      <c r="C155" s="556" t="s">
        <v>554</v>
      </c>
      <c r="D155" s="557">
        <v>64518</v>
      </c>
      <c r="E155" s="555">
        <v>373</v>
      </c>
      <c r="F155" s="558"/>
      <c r="G155" s="559"/>
      <c r="H155" s="549"/>
      <c r="I155" s="560" t="s">
        <v>644</v>
      </c>
    </row>
    <row r="156" spans="1:9">
      <c r="A156" s="555" t="s">
        <v>601</v>
      </c>
      <c r="B156" s="556" t="s">
        <v>90</v>
      </c>
      <c r="C156" s="556" t="s">
        <v>91</v>
      </c>
      <c r="D156" s="557">
        <v>0</v>
      </c>
      <c r="E156" s="555">
        <v>0</v>
      </c>
      <c r="F156" s="558"/>
      <c r="G156" s="559"/>
      <c r="H156" s="549"/>
      <c r="I156" s="560" t="s">
        <v>644</v>
      </c>
    </row>
    <row r="157" spans="1:9">
      <c r="A157" s="555" t="s">
        <v>601</v>
      </c>
      <c r="B157" s="556" t="s">
        <v>25</v>
      </c>
      <c r="C157" s="556" t="s">
        <v>26</v>
      </c>
      <c r="D157" s="557">
        <v>34098</v>
      </c>
      <c r="E157" s="555">
        <v>197.13</v>
      </c>
      <c r="F157" s="558"/>
      <c r="G157" s="559"/>
      <c r="H157" s="549"/>
      <c r="I157" s="560" t="s">
        <v>644</v>
      </c>
    </row>
    <row r="158" spans="1:9">
      <c r="A158" s="555" t="s">
        <v>594</v>
      </c>
      <c r="B158" s="556" t="s">
        <v>301</v>
      </c>
      <c r="C158" s="556" t="s">
        <v>302</v>
      </c>
      <c r="D158" s="557">
        <v>0</v>
      </c>
      <c r="E158" s="555">
        <v>0</v>
      </c>
      <c r="F158" s="558"/>
      <c r="G158" s="559"/>
      <c r="H158" s="549"/>
      <c r="I158" s="560" t="s">
        <v>644</v>
      </c>
    </row>
    <row r="159" spans="1:9">
      <c r="A159" s="555" t="s">
        <v>603</v>
      </c>
      <c r="B159" s="556" t="s">
        <v>466</v>
      </c>
      <c r="C159" s="556" t="s">
        <v>467</v>
      </c>
      <c r="D159" s="557">
        <v>0</v>
      </c>
      <c r="E159" s="555">
        <v>0</v>
      </c>
      <c r="F159" s="558"/>
      <c r="G159" s="559"/>
      <c r="H159" s="549"/>
      <c r="I159" s="560" t="s">
        <v>644</v>
      </c>
    </row>
    <row r="160" spans="1:9">
      <c r="A160" s="555" t="s">
        <v>595</v>
      </c>
      <c r="B160" s="556" t="s">
        <v>405</v>
      </c>
      <c r="C160" s="556" t="s">
        <v>406</v>
      </c>
      <c r="D160" s="557">
        <v>129967</v>
      </c>
      <c r="E160" s="555">
        <v>751.38</v>
      </c>
      <c r="F160" s="558"/>
      <c r="G160" s="559"/>
      <c r="H160" s="549"/>
      <c r="I160" s="560" t="s">
        <v>644</v>
      </c>
    </row>
    <row r="161" spans="1:9">
      <c r="A161" s="555" t="s">
        <v>594</v>
      </c>
      <c r="B161" s="556" t="s">
        <v>138</v>
      </c>
      <c r="C161" s="556" t="s">
        <v>656</v>
      </c>
      <c r="D161" s="557">
        <v>0</v>
      </c>
      <c r="E161" s="555">
        <v>0</v>
      </c>
      <c r="F161" s="558"/>
      <c r="G161" s="559"/>
      <c r="H161" s="549"/>
      <c r="I161" s="560" t="s">
        <v>644</v>
      </c>
    </row>
    <row r="162" spans="1:9">
      <c r="A162" s="555" t="s">
        <v>603</v>
      </c>
      <c r="B162" s="556" t="s">
        <v>432</v>
      </c>
      <c r="C162" s="556" t="s">
        <v>433</v>
      </c>
      <c r="D162" s="557">
        <v>32475</v>
      </c>
      <c r="E162" s="555">
        <v>187.75</v>
      </c>
      <c r="F162" s="558"/>
      <c r="G162" s="566">
        <v>8</v>
      </c>
      <c r="H162" s="549"/>
      <c r="I162" s="560" t="s">
        <v>644</v>
      </c>
    </row>
    <row r="163" spans="1:9">
      <c r="A163" s="555" t="s">
        <v>597</v>
      </c>
      <c r="B163" s="556" t="s">
        <v>179</v>
      </c>
      <c r="C163" s="556" t="s">
        <v>180</v>
      </c>
      <c r="D163" s="557">
        <v>11525</v>
      </c>
      <c r="E163" s="555">
        <v>66.63</v>
      </c>
      <c r="F163" s="558"/>
      <c r="G163" s="566">
        <v>25</v>
      </c>
      <c r="H163" s="562"/>
      <c r="I163" s="560" t="s">
        <v>644</v>
      </c>
    </row>
    <row r="164" spans="1:9">
      <c r="A164" s="555" t="s">
        <v>595</v>
      </c>
      <c r="B164" s="556" t="s">
        <v>512</v>
      </c>
      <c r="C164" s="556" t="s">
        <v>513</v>
      </c>
      <c r="D164" s="557">
        <v>21708</v>
      </c>
      <c r="E164" s="555">
        <v>125.5</v>
      </c>
      <c r="F164" s="558"/>
      <c r="G164" s="559"/>
      <c r="H164" s="549"/>
      <c r="I164" s="560" t="s">
        <v>644</v>
      </c>
    </row>
    <row r="165" spans="1:9">
      <c r="A165" s="555" t="s">
        <v>599</v>
      </c>
      <c r="B165" s="556" t="s">
        <v>391</v>
      </c>
      <c r="C165" s="556" t="s">
        <v>392</v>
      </c>
      <c r="D165" s="557">
        <v>0</v>
      </c>
      <c r="E165" s="555">
        <v>0</v>
      </c>
      <c r="F165" s="558"/>
      <c r="G165" s="559"/>
      <c r="H165" s="549"/>
      <c r="I165" s="560" t="s">
        <v>644</v>
      </c>
    </row>
    <row r="166" spans="1:9">
      <c r="A166" s="555" t="s">
        <v>595</v>
      </c>
      <c r="B166" s="556" t="s">
        <v>409</v>
      </c>
      <c r="C166" s="556" t="s">
        <v>410</v>
      </c>
      <c r="D166" s="557">
        <v>77967</v>
      </c>
      <c r="E166" s="555">
        <v>436.75</v>
      </c>
      <c r="F166" s="558">
        <v>14</v>
      </c>
      <c r="G166" s="559"/>
      <c r="H166" s="549"/>
      <c r="I166" s="560" t="s">
        <v>644</v>
      </c>
    </row>
    <row r="167" spans="1:9">
      <c r="A167" s="555" t="s">
        <v>594</v>
      </c>
      <c r="B167" s="556" t="s">
        <v>139</v>
      </c>
      <c r="C167" s="556" t="s">
        <v>140</v>
      </c>
      <c r="D167" s="557">
        <v>3266</v>
      </c>
      <c r="E167" s="555">
        <v>18.88</v>
      </c>
      <c r="F167" s="558"/>
      <c r="G167" s="559"/>
      <c r="H167" s="549" t="s">
        <v>782</v>
      </c>
      <c r="I167" s="560" t="s">
        <v>644</v>
      </c>
    </row>
    <row r="168" spans="1:9">
      <c r="A168" s="555" t="s">
        <v>594</v>
      </c>
      <c r="B168" s="556" t="s">
        <v>260</v>
      </c>
      <c r="C168" s="556" t="s">
        <v>261</v>
      </c>
      <c r="D168" s="557">
        <v>0</v>
      </c>
      <c r="E168" s="555">
        <v>0</v>
      </c>
      <c r="F168" s="558"/>
      <c r="G168" s="559"/>
      <c r="H168" s="549"/>
      <c r="I168" s="560" t="s">
        <v>644</v>
      </c>
    </row>
    <row r="169" spans="1:9">
      <c r="A169" s="555" t="s">
        <v>601</v>
      </c>
      <c r="B169" s="556" t="s">
        <v>125</v>
      </c>
      <c r="C169" s="556" t="s">
        <v>126</v>
      </c>
      <c r="D169" s="557">
        <v>115567</v>
      </c>
      <c r="E169" s="555">
        <v>668.13</v>
      </c>
      <c r="F169" s="558"/>
      <c r="G169" s="559"/>
      <c r="H169" s="549"/>
      <c r="I169" s="560" t="s">
        <v>644</v>
      </c>
    </row>
    <row r="170" spans="1:9">
      <c r="A170" s="555" t="s">
        <v>605</v>
      </c>
      <c r="B170" s="556" t="s">
        <v>571</v>
      </c>
      <c r="C170" s="556" t="s">
        <v>572</v>
      </c>
      <c r="D170" s="557">
        <v>46422</v>
      </c>
      <c r="E170" s="555">
        <v>138.38</v>
      </c>
      <c r="F170" s="558">
        <v>130</v>
      </c>
      <c r="G170" s="559"/>
      <c r="H170" s="549"/>
      <c r="I170" s="560" t="s">
        <v>644</v>
      </c>
    </row>
    <row r="171" spans="1:9">
      <c r="A171" s="555" t="s">
        <v>595</v>
      </c>
      <c r="B171" s="556" t="s">
        <v>516</v>
      </c>
      <c r="C171" s="556" t="s">
        <v>517</v>
      </c>
      <c r="D171" s="557">
        <v>22400</v>
      </c>
      <c r="E171" s="555">
        <v>129.5</v>
      </c>
      <c r="F171" s="558"/>
      <c r="G171" s="559"/>
      <c r="H171" s="562"/>
      <c r="I171" s="560" t="s">
        <v>644</v>
      </c>
    </row>
    <row r="172" spans="1:9">
      <c r="A172" s="555" t="s">
        <v>599</v>
      </c>
      <c r="B172" s="556" t="s">
        <v>389</v>
      </c>
      <c r="C172" s="556" t="s">
        <v>390</v>
      </c>
      <c r="D172" s="557">
        <v>0</v>
      </c>
      <c r="E172" s="555">
        <v>0</v>
      </c>
      <c r="F172" s="558"/>
      <c r="G172" s="559"/>
      <c r="H172" s="549"/>
      <c r="I172" s="560" t="s">
        <v>644</v>
      </c>
    </row>
    <row r="173" spans="1:9">
      <c r="A173" s="555" t="s">
        <v>595</v>
      </c>
      <c r="B173" s="556" t="s">
        <v>386</v>
      </c>
      <c r="C173" s="556" t="s">
        <v>610</v>
      </c>
      <c r="D173" s="557">
        <v>271457</v>
      </c>
      <c r="E173" s="555">
        <v>1569.38</v>
      </c>
      <c r="F173" s="558"/>
      <c r="G173" s="559"/>
      <c r="H173" s="549"/>
      <c r="I173" s="560" t="s">
        <v>644</v>
      </c>
    </row>
    <row r="174" spans="1:9">
      <c r="A174" s="555" t="s">
        <v>595</v>
      </c>
      <c r="B174" s="556" t="s">
        <v>399</v>
      </c>
      <c r="C174" s="556" t="s">
        <v>400</v>
      </c>
      <c r="D174" s="557">
        <v>413141</v>
      </c>
      <c r="E174" s="555">
        <v>2388.5</v>
      </c>
      <c r="F174" s="558"/>
      <c r="G174" s="566">
        <v>4</v>
      </c>
      <c r="H174" s="549"/>
      <c r="I174" s="560" t="s">
        <v>644</v>
      </c>
    </row>
    <row r="175" spans="1:9">
      <c r="A175" s="555" t="s">
        <v>594</v>
      </c>
      <c r="B175" s="556" t="s">
        <v>252</v>
      </c>
      <c r="C175" s="556" t="s">
        <v>253</v>
      </c>
      <c r="D175" s="557">
        <v>346</v>
      </c>
      <c r="E175" s="555">
        <v>2</v>
      </c>
      <c r="F175" s="558"/>
      <c r="G175" s="559"/>
      <c r="H175" s="549"/>
      <c r="I175" s="560" t="s">
        <v>644</v>
      </c>
    </row>
    <row r="176" spans="1:9">
      <c r="A176" s="555" t="s">
        <v>599</v>
      </c>
      <c r="B176" s="556" t="s">
        <v>331</v>
      </c>
      <c r="C176" s="556" t="s">
        <v>611</v>
      </c>
      <c r="D176" s="557">
        <v>865</v>
      </c>
      <c r="E176" s="555">
        <v>5</v>
      </c>
      <c r="F176" s="558"/>
      <c r="G176" s="559"/>
      <c r="H176" s="549"/>
      <c r="I176" s="560" t="s">
        <v>644</v>
      </c>
    </row>
    <row r="177" spans="1:9">
      <c r="A177" s="555" t="s">
        <v>601</v>
      </c>
      <c r="B177" s="556" t="s">
        <v>309</v>
      </c>
      <c r="C177" s="556" t="s">
        <v>310</v>
      </c>
      <c r="D177" s="557">
        <v>0</v>
      </c>
      <c r="E177" s="555">
        <v>0</v>
      </c>
      <c r="F177" s="558"/>
      <c r="G177" s="559"/>
      <c r="H177" s="549"/>
      <c r="I177" s="560" t="s">
        <v>644</v>
      </c>
    </row>
    <row r="178" spans="1:9">
      <c r="A178" s="555" t="s">
        <v>603</v>
      </c>
      <c r="B178" s="556" t="s">
        <v>336</v>
      </c>
      <c r="C178" s="556" t="s">
        <v>337</v>
      </c>
      <c r="D178" s="557">
        <v>0</v>
      </c>
      <c r="E178" s="555">
        <v>0</v>
      </c>
      <c r="F178" s="558"/>
      <c r="G178" s="559"/>
      <c r="H178" s="549"/>
      <c r="I178" s="560" t="s">
        <v>644</v>
      </c>
    </row>
    <row r="179" spans="1:9">
      <c r="A179" s="555" t="s">
        <v>603</v>
      </c>
      <c r="B179" s="556" t="s">
        <v>428</v>
      </c>
      <c r="C179" s="556" t="s">
        <v>429</v>
      </c>
      <c r="D179" s="557">
        <v>0</v>
      </c>
      <c r="E179" s="555">
        <v>0</v>
      </c>
      <c r="F179" s="558"/>
      <c r="G179" s="559"/>
      <c r="H179" s="549"/>
      <c r="I179" s="560" t="s">
        <v>644</v>
      </c>
    </row>
    <row r="180" spans="1:9">
      <c r="A180" s="555" t="s">
        <v>595</v>
      </c>
      <c r="B180" s="556" t="s">
        <v>514</v>
      </c>
      <c r="C180" s="556" t="s">
        <v>515</v>
      </c>
      <c r="D180" s="557">
        <v>30336</v>
      </c>
      <c r="E180" s="555">
        <v>175.38</v>
      </c>
      <c r="F180" s="558"/>
      <c r="G180" s="559"/>
      <c r="H180" s="549"/>
      <c r="I180" s="560" t="s">
        <v>644</v>
      </c>
    </row>
    <row r="181" spans="1:9">
      <c r="A181" s="555" t="s">
        <v>594</v>
      </c>
      <c r="B181" s="556" t="s">
        <v>136</v>
      </c>
      <c r="C181" s="556" t="s">
        <v>137</v>
      </c>
      <c r="D181" s="557">
        <v>0</v>
      </c>
      <c r="E181" s="555">
        <v>0</v>
      </c>
      <c r="F181" s="558"/>
      <c r="G181" s="559"/>
      <c r="H181" s="549"/>
      <c r="I181" s="560" t="s">
        <v>644</v>
      </c>
    </row>
    <row r="182" spans="1:9">
      <c r="A182" s="555" t="s">
        <v>596</v>
      </c>
      <c r="B182" s="556" t="s">
        <v>106</v>
      </c>
      <c r="C182" s="556" t="s">
        <v>107</v>
      </c>
      <c r="D182" s="557">
        <v>124086</v>
      </c>
      <c r="E182" s="555">
        <v>717.38</v>
      </c>
      <c r="F182" s="558"/>
      <c r="G182" s="559"/>
      <c r="H182" s="549"/>
      <c r="I182" s="560" t="s">
        <v>644</v>
      </c>
    </row>
    <row r="183" spans="1:9">
      <c r="A183" s="555" t="s">
        <v>600</v>
      </c>
      <c r="B183" s="556" t="s">
        <v>214</v>
      </c>
      <c r="C183" s="556" t="s">
        <v>215</v>
      </c>
      <c r="D183" s="557">
        <v>32173</v>
      </c>
      <c r="E183" s="555">
        <v>186</v>
      </c>
      <c r="F183" s="558"/>
      <c r="G183" s="559"/>
      <c r="H183" s="549"/>
      <c r="I183" s="560" t="s">
        <v>644</v>
      </c>
    </row>
    <row r="184" spans="1:9">
      <c r="A184" s="555" t="s">
        <v>600</v>
      </c>
      <c r="B184" s="556" t="s">
        <v>305</v>
      </c>
      <c r="C184" s="556" t="s">
        <v>306</v>
      </c>
      <c r="D184" s="557">
        <v>16648</v>
      </c>
      <c r="E184" s="555">
        <v>96.25</v>
      </c>
      <c r="F184" s="558"/>
      <c r="G184" s="559"/>
      <c r="H184" s="549"/>
      <c r="I184" s="560" t="s">
        <v>644</v>
      </c>
    </row>
    <row r="185" spans="1:9">
      <c r="A185" s="555" t="s">
        <v>594</v>
      </c>
      <c r="B185" s="556" t="s">
        <v>334</v>
      </c>
      <c r="C185" s="556" t="s">
        <v>335</v>
      </c>
      <c r="D185" s="557">
        <v>0</v>
      </c>
      <c r="E185" s="555">
        <v>0</v>
      </c>
      <c r="F185" s="558"/>
      <c r="G185" s="559"/>
      <c r="H185" s="549"/>
      <c r="I185" s="560" t="s">
        <v>644</v>
      </c>
    </row>
    <row r="186" spans="1:9">
      <c r="A186" s="555" t="s">
        <v>594</v>
      </c>
      <c r="B186" s="556" t="s">
        <v>474</v>
      </c>
      <c r="C186" s="556" t="s">
        <v>475</v>
      </c>
      <c r="D186" s="557">
        <v>84692</v>
      </c>
      <c r="E186" s="555">
        <v>489.63</v>
      </c>
      <c r="F186" s="558"/>
      <c r="G186" s="559"/>
      <c r="H186" s="549"/>
      <c r="I186" s="560" t="s">
        <v>644</v>
      </c>
    </row>
    <row r="187" spans="1:9">
      <c r="A187" s="555" t="s">
        <v>603</v>
      </c>
      <c r="B187" s="556" t="s">
        <v>468</v>
      </c>
      <c r="C187" s="556" t="s">
        <v>469</v>
      </c>
      <c r="D187" s="557">
        <v>0</v>
      </c>
      <c r="E187" s="555">
        <v>0</v>
      </c>
      <c r="F187" s="558"/>
      <c r="G187" s="559"/>
      <c r="H187" s="549"/>
      <c r="I187" s="560" t="s">
        <v>644</v>
      </c>
    </row>
    <row r="188" spans="1:9">
      <c r="A188" s="555" t="s">
        <v>597</v>
      </c>
      <c r="B188" s="556" t="s">
        <v>209</v>
      </c>
      <c r="C188" s="556" t="s">
        <v>210</v>
      </c>
      <c r="D188" s="557">
        <v>167934</v>
      </c>
      <c r="E188" s="555">
        <v>938.88</v>
      </c>
      <c r="F188" s="558">
        <v>32</v>
      </c>
      <c r="G188" s="559"/>
      <c r="H188" s="549"/>
      <c r="I188" s="560" t="s">
        <v>644</v>
      </c>
    </row>
    <row r="189" spans="1:9">
      <c r="A189" s="555" t="s">
        <v>595</v>
      </c>
      <c r="B189" s="556" t="s">
        <v>157</v>
      </c>
      <c r="C189" s="556" t="s">
        <v>158</v>
      </c>
      <c r="D189" s="557">
        <v>18574</v>
      </c>
      <c r="E189" s="555">
        <v>107.38</v>
      </c>
      <c r="F189" s="558"/>
      <c r="G189" s="566">
        <v>1</v>
      </c>
      <c r="H189" s="549"/>
      <c r="I189" s="560" t="s">
        <v>644</v>
      </c>
    </row>
    <row r="190" spans="1:9">
      <c r="A190" s="555" t="s">
        <v>603</v>
      </c>
      <c r="B190" s="556" t="s">
        <v>541</v>
      </c>
      <c r="C190" s="556" t="s">
        <v>542</v>
      </c>
      <c r="D190" s="557">
        <v>0</v>
      </c>
      <c r="E190" s="555">
        <v>0</v>
      </c>
      <c r="F190" s="558"/>
      <c r="G190" s="559"/>
      <c r="H190" s="549"/>
      <c r="I190" s="560" t="s">
        <v>644</v>
      </c>
    </row>
    <row r="191" spans="1:9">
      <c r="A191" s="555" t="s">
        <v>594</v>
      </c>
      <c r="B191" s="556" t="s">
        <v>155</v>
      </c>
      <c r="C191" s="556" t="s">
        <v>156</v>
      </c>
      <c r="D191" s="557">
        <v>0</v>
      </c>
      <c r="E191" s="555">
        <v>0</v>
      </c>
      <c r="F191" s="558"/>
      <c r="G191" s="559"/>
      <c r="H191" s="549"/>
      <c r="I191" s="560" t="s">
        <v>644</v>
      </c>
    </row>
    <row r="192" spans="1:9">
      <c r="A192" s="555" t="s">
        <v>594</v>
      </c>
      <c r="B192" s="556" t="s">
        <v>153</v>
      </c>
      <c r="C192" s="556" t="s">
        <v>154</v>
      </c>
      <c r="D192" s="557">
        <v>7244</v>
      </c>
      <c r="E192" s="555">
        <v>41.88</v>
      </c>
      <c r="F192" s="558"/>
      <c r="G192" s="559"/>
      <c r="H192" s="549" t="s">
        <v>782</v>
      </c>
      <c r="I192" s="560" t="s">
        <v>644</v>
      </c>
    </row>
    <row r="193" spans="1:9">
      <c r="A193" s="555" t="s">
        <v>603</v>
      </c>
      <c r="B193" s="556" t="s">
        <v>287</v>
      </c>
      <c r="C193" s="556" t="s">
        <v>288</v>
      </c>
      <c r="D193" s="557">
        <v>0</v>
      </c>
      <c r="E193" s="555">
        <v>0</v>
      </c>
      <c r="F193" s="558"/>
      <c r="G193" s="559"/>
      <c r="H193" s="549"/>
      <c r="I193" s="560" t="s">
        <v>644</v>
      </c>
    </row>
    <row r="194" spans="1:9">
      <c r="A194" s="555" t="s">
        <v>601</v>
      </c>
      <c r="B194" s="556" t="s">
        <v>313</v>
      </c>
      <c r="C194" s="556" t="s">
        <v>314</v>
      </c>
      <c r="D194" s="557">
        <v>15763</v>
      </c>
      <c r="E194" s="555">
        <v>91.13</v>
      </c>
      <c r="F194" s="558"/>
      <c r="G194" s="559"/>
      <c r="H194" s="549"/>
      <c r="I194" s="560" t="s">
        <v>644</v>
      </c>
    </row>
    <row r="195" spans="1:9">
      <c r="A195" s="555" t="s">
        <v>594</v>
      </c>
      <c r="B195" s="556" t="s">
        <v>478</v>
      </c>
      <c r="C195" s="556" t="s">
        <v>479</v>
      </c>
      <c r="D195" s="557">
        <v>38638</v>
      </c>
      <c r="E195" s="555">
        <v>223.38</v>
      </c>
      <c r="F195" s="558"/>
      <c r="G195" s="559"/>
      <c r="H195" s="549"/>
      <c r="I195" s="560" t="s">
        <v>644</v>
      </c>
    </row>
    <row r="196" spans="1:9">
      <c r="A196" s="555" t="s">
        <v>601</v>
      </c>
      <c r="B196" s="556" t="s">
        <v>311</v>
      </c>
      <c r="C196" s="556" t="s">
        <v>312</v>
      </c>
      <c r="D196" s="557">
        <v>14033</v>
      </c>
      <c r="E196" s="555">
        <v>81.13</v>
      </c>
      <c r="F196" s="558"/>
      <c r="G196" s="559"/>
      <c r="H196" s="549"/>
      <c r="I196" s="560" t="s">
        <v>644</v>
      </c>
    </row>
    <row r="197" spans="1:9">
      <c r="A197" s="555" t="s">
        <v>594</v>
      </c>
      <c r="B197" s="556" t="s">
        <v>270</v>
      </c>
      <c r="C197" s="556" t="s">
        <v>271</v>
      </c>
      <c r="D197" s="557">
        <v>3849</v>
      </c>
      <c r="E197" s="555">
        <v>22.25</v>
      </c>
      <c r="F197" s="558"/>
      <c r="G197" s="559"/>
      <c r="H197" s="549"/>
      <c r="I197" s="560" t="s">
        <v>644</v>
      </c>
    </row>
    <row r="198" spans="1:9">
      <c r="A198" s="555" t="s">
        <v>603</v>
      </c>
      <c r="B198" s="556" t="s">
        <v>448</v>
      </c>
      <c r="C198" s="556" t="s">
        <v>449</v>
      </c>
      <c r="D198" s="557">
        <v>0</v>
      </c>
      <c r="E198" s="555">
        <v>0</v>
      </c>
      <c r="F198" s="558"/>
      <c r="G198" s="559"/>
      <c r="H198" s="549"/>
      <c r="I198" s="560" t="s">
        <v>644</v>
      </c>
    </row>
    <row r="199" spans="1:9">
      <c r="A199" s="555" t="s">
        <v>603</v>
      </c>
      <c r="B199" s="556" t="s">
        <v>424</v>
      </c>
      <c r="C199" s="556" t="s">
        <v>425</v>
      </c>
      <c r="D199" s="557">
        <v>0</v>
      </c>
      <c r="E199" s="555">
        <v>0</v>
      </c>
      <c r="F199" s="558"/>
      <c r="G199" s="559"/>
      <c r="H199" s="549"/>
      <c r="I199" s="560" t="s">
        <v>644</v>
      </c>
    </row>
    <row r="200" spans="1:9">
      <c r="A200" s="555" t="s">
        <v>603</v>
      </c>
      <c r="B200" s="556" t="s">
        <v>98</v>
      </c>
      <c r="C200" s="556" t="s">
        <v>99</v>
      </c>
      <c r="D200" s="557">
        <v>0</v>
      </c>
      <c r="E200" s="555">
        <v>0</v>
      </c>
      <c r="F200" s="558"/>
      <c r="G200" s="559"/>
      <c r="H200" s="549"/>
      <c r="I200" s="560" t="s">
        <v>644</v>
      </c>
    </row>
    <row r="201" spans="1:9">
      <c r="A201" s="555" t="s">
        <v>601</v>
      </c>
      <c r="B201" s="556" t="s">
        <v>82</v>
      </c>
      <c r="C201" s="556" t="s">
        <v>83</v>
      </c>
      <c r="D201" s="557">
        <v>17989</v>
      </c>
      <c r="E201" s="555">
        <v>104</v>
      </c>
      <c r="F201" s="558"/>
      <c r="G201" s="559"/>
      <c r="H201" s="549"/>
      <c r="I201" s="560" t="s">
        <v>644</v>
      </c>
    </row>
    <row r="202" spans="1:9">
      <c r="A202" s="555" t="s">
        <v>601</v>
      </c>
      <c r="B202" s="556" t="s">
        <v>323</v>
      </c>
      <c r="C202" s="556" t="s">
        <v>324</v>
      </c>
      <c r="D202" s="557">
        <v>14293</v>
      </c>
      <c r="E202" s="555">
        <v>82.63</v>
      </c>
      <c r="F202" s="558"/>
      <c r="G202" s="559"/>
      <c r="H202" s="549"/>
      <c r="I202" s="560" t="s">
        <v>644</v>
      </c>
    </row>
    <row r="203" spans="1:9">
      <c r="A203" s="555" t="s">
        <v>596</v>
      </c>
      <c r="B203" s="556" t="s">
        <v>4</v>
      </c>
      <c r="C203" s="556" t="s">
        <v>5</v>
      </c>
      <c r="D203" s="557">
        <v>237382</v>
      </c>
      <c r="E203" s="555">
        <v>1372.38</v>
      </c>
      <c r="F203" s="558"/>
      <c r="G203" s="559"/>
      <c r="H203" s="549"/>
      <c r="I203" s="560" t="s">
        <v>644</v>
      </c>
    </row>
    <row r="204" spans="1:9">
      <c r="A204" s="555" t="s">
        <v>603</v>
      </c>
      <c r="B204" s="556" t="s">
        <v>527</v>
      </c>
      <c r="C204" s="556" t="s">
        <v>528</v>
      </c>
      <c r="D204" s="557">
        <v>0</v>
      </c>
      <c r="E204" s="555">
        <v>0</v>
      </c>
      <c r="F204" s="558"/>
      <c r="G204" s="559"/>
      <c r="H204" s="549"/>
      <c r="I204" s="560" t="s">
        <v>644</v>
      </c>
    </row>
    <row r="205" spans="1:9">
      <c r="A205" s="555" t="s">
        <v>596</v>
      </c>
      <c r="B205" s="556" t="s">
        <v>104</v>
      </c>
      <c r="C205" s="556" t="s">
        <v>105</v>
      </c>
      <c r="D205" s="557">
        <v>912229</v>
      </c>
      <c r="E205" s="555">
        <v>5273.88</v>
      </c>
      <c r="F205" s="558"/>
      <c r="G205" s="559"/>
      <c r="H205" s="549"/>
      <c r="I205" s="560" t="s">
        <v>644</v>
      </c>
    </row>
    <row r="206" spans="1:9">
      <c r="A206" s="555" t="s">
        <v>594</v>
      </c>
      <c r="B206" s="556" t="s">
        <v>272</v>
      </c>
      <c r="C206" s="556" t="s">
        <v>273</v>
      </c>
      <c r="D206" s="557">
        <v>0</v>
      </c>
      <c r="E206" s="555">
        <v>0</v>
      </c>
      <c r="F206" s="558"/>
      <c r="G206" s="559"/>
      <c r="H206" s="549"/>
      <c r="I206" s="560" t="s">
        <v>644</v>
      </c>
    </row>
    <row r="207" spans="1:9">
      <c r="A207" s="555" t="s">
        <v>594</v>
      </c>
      <c r="B207" s="556" t="s">
        <v>303</v>
      </c>
      <c r="C207" s="556" t="s">
        <v>304</v>
      </c>
      <c r="D207" s="557">
        <v>0</v>
      </c>
      <c r="E207" s="555">
        <v>0</v>
      </c>
      <c r="F207" s="558"/>
      <c r="G207" s="559"/>
      <c r="H207" s="549"/>
      <c r="I207" s="560" t="s">
        <v>644</v>
      </c>
    </row>
    <row r="208" spans="1:9">
      <c r="A208" s="555" t="s">
        <v>596</v>
      </c>
      <c r="B208" s="556" t="s">
        <v>112</v>
      </c>
      <c r="C208" s="556" t="s">
        <v>113</v>
      </c>
      <c r="D208" s="557">
        <v>303</v>
      </c>
      <c r="E208" s="555">
        <v>1.75</v>
      </c>
      <c r="F208" s="558"/>
      <c r="G208" s="559"/>
      <c r="H208" s="549" t="s">
        <v>782</v>
      </c>
      <c r="I208" s="560" t="s">
        <v>644</v>
      </c>
    </row>
    <row r="209" spans="1:9">
      <c r="A209" s="555" t="s">
        <v>600</v>
      </c>
      <c r="B209" s="556" t="s">
        <v>39</v>
      </c>
      <c r="C209" s="556" t="s">
        <v>40</v>
      </c>
      <c r="D209" s="557">
        <v>6812</v>
      </c>
      <c r="E209" s="555">
        <v>39.380000000000003</v>
      </c>
      <c r="F209" s="558"/>
      <c r="G209" s="559"/>
      <c r="H209" s="562" t="s">
        <v>782</v>
      </c>
      <c r="I209" s="560" t="s">
        <v>644</v>
      </c>
    </row>
    <row r="210" spans="1:9">
      <c r="A210" s="555" t="s">
        <v>596</v>
      </c>
      <c r="B210" s="556" t="s">
        <v>21</v>
      </c>
      <c r="C210" s="556" t="s">
        <v>22</v>
      </c>
      <c r="D210" s="557">
        <v>100539</v>
      </c>
      <c r="E210" s="555">
        <v>581.25</v>
      </c>
      <c r="F210" s="558"/>
      <c r="G210" s="559"/>
      <c r="H210" s="549"/>
      <c r="I210" s="560" t="s">
        <v>644</v>
      </c>
    </row>
    <row r="211" spans="1:9">
      <c r="A211" s="555" t="s">
        <v>603</v>
      </c>
      <c r="B211" s="556" t="s">
        <v>523</v>
      </c>
      <c r="C211" s="556" t="s">
        <v>524</v>
      </c>
      <c r="D211" s="557">
        <v>16022</v>
      </c>
      <c r="E211" s="555">
        <v>92.63</v>
      </c>
      <c r="F211" s="558"/>
      <c r="G211" s="559"/>
      <c r="H211" s="549"/>
      <c r="I211" s="560" t="s">
        <v>644</v>
      </c>
    </row>
    <row r="212" spans="1:9">
      <c r="A212" s="555" t="s">
        <v>597</v>
      </c>
      <c r="B212" s="556" t="s">
        <v>343</v>
      </c>
      <c r="C212" s="556" t="s">
        <v>344</v>
      </c>
      <c r="D212" s="557">
        <v>109902</v>
      </c>
      <c r="E212" s="555">
        <v>635.38</v>
      </c>
      <c r="F212" s="558"/>
      <c r="G212" s="559"/>
      <c r="H212" s="549"/>
      <c r="I212" s="560" t="s">
        <v>644</v>
      </c>
    </row>
    <row r="213" spans="1:9">
      <c r="A213" s="555" t="s">
        <v>600</v>
      </c>
      <c r="B213" s="556" t="s">
        <v>163</v>
      </c>
      <c r="C213" s="556" t="s">
        <v>164</v>
      </c>
      <c r="D213" s="557">
        <v>0</v>
      </c>
      <c r="E213" s="555">
        <v>0</v>
      </c>
      <c r="F213" s="558"/>
      <c r="G213" s="559"/>
      <c r="H213" s="549"/>
      <c r="I213" s="560" t="s">
        <v>644</v>
      </c>
    </row>
    <row r="214" spans="1:9">
      <c r="A214" s="555" t="s">
        <v>600</v>
      </c>
      <c r="B214" s="556" t="s">
        <v>167</v>
      </c>
      <c r="C214" s="556" t="s">
        <v>168</v>
      </c>
      <c r="D214" s="557">
        <v>0</v>
      </c>
      <c r="E214" s="555">
        <v>0</v>
      </c>
      <c r="F214" s="558"/>
      <c r="G214" s="559"/>
      <c r="H214" s="549"/>
      <c r="I214" s="560" t="s">
        <v>644</v>
      </c>
    </row>
    <row r="215" spans="1:9">
      <c r="A215" s="555" t="s">
        <v>600</v>
      </c>
      <c r="B215" s="556" t="s">
        <v>47</v>
      </c>
      <c r="C215" s="556" t="s">
        <v>48</v>
      </c>
      <c r="D215" s="557">
        <v>18681</v>
      </c>
      <c r="E215" s="555">
        <v>108</v>
      </c>
      <c r="F215" s="558"/>
      <c r="G215" s="559"/>
      <c r="H215" s="549"/>
      <c r="I215" s="560" t="s">
        <v>644</v>
      </c>
    </row>
    <row r="216" spans="1:9">
      <c r="A216" s="555" t="s">
        <v>601</v>
      </c>
      <c r="B216" s="556" t="s">
        <v>116</v>
      </c>
      <c r="C216" s="556" t="s">
        <v>117</v>
      </c>
      <c r="D216" s="557">
        <v>160128</v>
      </c>
      <c r="E216" s="555">
        <v>925.75</v>
      </c>
      <c r="F216" s="558"/>
      <c r="G216" s="566">
        <v>2</v>
      </c>
      <c r="H216" s="549"/>
      <c r="I216" s="560" t="s">
        <v>644</v>
      </c>
    </row>
    <row r="217" spans="1:9">
      <c r="A217" s="555" t="s">
        <v>594</v>
      </c>
      <c r="B217" s="556" t="s">
        <v>480</v>
      </c>
      <c r="C217" s="556" t="s">
        <v>481</v>
      </c>
      <c r="D217" s="557">
        <v>0</v>
      </c>
      <c r="E217" s="555">
        <v>0</v>
      </c>
      <c r="F217" s="558"/>
      <c r="G217" s="559"/>
      <c r="H217" s="549"/>
      <c r="I217" s="560" t="s">
        <v>644</v>
      </c>
    </row>
    <row r="218" spans="1:9">
      <c r="A218" s="555" t="s">
        <v>597</v>
      </c>
      <c r="B218" s="556" t="s">
        <v>185</v>
      </c>
      <c r="C218" s="556" t="s">
        <v>186</v>
      </c>
      <c r="D218" s="557">
        <v>360191</v>
      </c>
      <c r="E218" s="555">
        <v>2082.38</v>
      </c>
      <c r="F218" s="558"/>
      <c r="G218" s="566">
        <v>10</v>
      </c>
      <c r="H218" s="549"/>
      <c r="I218" s="560" t="s">
        <v>644</v>
      </c>
    </row>
    <row r="219" spans="1:9">
      <c r="A219" s="555" t="s">
        <v>603</v>
      </c>
      <c r="B219" s="556" t="s">
        <v>102</v>
      </c>
      <c r="C219" s="556" t="s">
        <v>103</v>
      </c>
      <c r="D219" s="557">
        <v>0</v>
      </c>
      <c r="E219" s="555">
        <v>0</v>
      </c>
      <c r="F219" s="558"/>
      <c r="G219" s="559"/>
      <c r="H219" s="549"/>
      <c r="I219" s="560" t="s">
        <v>644</v>
      </c>
    </row>
    <row r="220" spans="1:9">
      <c r="A220" s="555" t="s">
        <v>596</v>
      </c>
      <c r="B220" s="556" t="s">
        <v>23</v>
      </c>
      <c r="C220" s="556" t="s">
        <v>24</v>
      </c>
      <c r="D220" s="557">
        <v>47091</v>
      </c>
      <c r="E220" s="555">
        <v>272.25</v>
      </c>
      <c r="F220" s="558"/>
      <c r="G220" s="559"/>
      <c r="H220" s="549"/>
      <c r="I220" s="560" t="s">
        <v>644</v>
      </c>
    </row>
    <row r="221" spans="1:9">
      <c r="A221" s="555" t="s">
        <v>603</v>
      </c>
      <c r="B221" s="556" t="s">
        <v>8</v>
      </c>
      <c r="C221" s="556" t="s">
        <v>9</v>
      </c>
      <c r="D221" s="557">
        <v>0</v>
      </c>
      <c r="E221" s="555">
        <v>0</v>
      </c>
      <c r="F221" s="558"/>
      <c r="G221" s="559"/>
      <c r="H221" s="549"/>
      <c r="I221" s="560" t="s">
        <v>644</v>
      </c>
    </row>
    <row r="222" spans="1:9">
      <c r="A222" s="555" t="s">
        <v>603</v>
      </c>
      <c r="B222" s="556" t="s">
        <v>446</v>
      </c>
      <c r="C222" s="556" t="s">
        <v>447</v>
      </c>
      <c r="D222" s="557">
        <v>1297</v>
      </c>
      <c r="E222" s="555">
        <v>7.5</v>
      </c>
      <c r="F222" s="558"/>
      <c r="G222" s="559"/>
      <c r="H222" s="549"/>
      <c r="I222" s="560" t="s">
        <v>644</v>
      </c>
    </row>
    <row r="223" spans="1:9">
      <c r="A223" s="555" t="s">
        <v>597</v>
      </c>
      <c r="B223" s="556" t="s">
        <v>193</v>
      </c>
      <c r="C223" s="556" t="s">
        <v>194</v>
      </c>
      <c r="D223" s="557">
        <v>10984</v>
      </c>
      <c r="E223" s="555">
        <v>63.5</v>
      </c>
      <c r="F223" s="558"/>
      <c r="G223" s="559"/>
      <c r="H223" s="549"/>
      <c r="I223" s="560" t="s">
        <v>644</v>
      </c>
    </row>
    <row r="224" spans="1:9">
      <c r="A224" s="555" t="s">
        <v>594</v>
      </c>
      <c r="B224" s="556" t="s">
        <v>484</v>
      </c>
      <c r="C224" s="556" t="s">
        <v>485</v>
      </c>
      <c r="D224" s="557">
        <v>20843</v>
      </c>
      <c r="E224" s="555">
        <v>102.5</v>
      </c>
      <c r="F224" s="558">
        <v>18</v>
      </c>
      <c r="G224" s="559"/>
      <c r="H224" s="549"/>
      <c r="I224" s="560" t="s">
        <v>644</v>
      </c>
    </row>
    <row r="225" spans="1:9">
      <c r="A225" s="555" t="s">
        <v>599</v>
      </c>
      <c r="B225" s="556" t="s">
        <v>244</v>
      </c>
      <c r="C225" s="556" t="s">
        <v>245</v>
      </c>
      <c r="D225" s="557">
        <v>2141</v>
      </c>
      <c r="E225" s="555">
        <v>12.38</v>
      </c>
      <c r="F225" s="558"/>
      <c r="G225" s="559"/>
      <c r="H225" s="549" t="s">
        <v>782</v>
      </c>
      <c r="I225" s="560" t="s">
        <v>644</v>
      </c>
    </row>
    <row r="226" spans="1:9">
      <c r="A226" s="555" t="s">
        <v>603</v>
      </c>
      <c r="B226" s="556" t="s">
        <v>537</v>
      </c>
      <c r="C226" s="556" t="s">
        <v>538</v>
      </c>
      <c r="D226" s="557">
        <v>86</v>
      </c>
      <c r="E226" s="555">
        <v>0.5</v>
      </c>
      <c r="F226" s="558"/>
      <c r="G226" s="559"/>
      <c r="H226" s="549"/>
      <c r="I226" s="560" t="s">
        <v>644</v>
      </c>
    </row>
    <row r="227" spans="1:9">
      <c r="A227" s="555" t="s">
        <v>605</v>
      </c>
      <c r="B227" s="556" t="s">
        <v>123</v>
      </c>
      <c r="C227" s="556" t="s">
        <v>124</v>
      </c>
      <c r="D227" s="557">
        <v>108453</v>
      </c>
      <c r="E227" s="555">
        <v>626</v>
      </c>
      <c r="F227" s="558">
        <v>1</v>
      </c>
      <c r="G227" s="559"/>
      <c r="H227" s="549"/>
      <c r="I227" s="560" t="s">
        <v>644</v>
      </c>
    </row>
    <row r="228" spans="1:9">
      <c r="A228" s="555" t="s">
        <v>594</v>
      </c>
      <c r="B228" s="556" t="s">
        <v>149</v>
      </c>
      <c r="C228" s="556" t="s">
        <v>150</v>
      </c>
      <c r="D228" s="557">
        <v>0</v>
      </c>
      <c r="E228" s="555">
        <v>0</v>
      </c>
      <c r="F228" s="558"/>
      <c r="G228" s="559"/>
      <c r="H228" s="549"/>
      <c r="I228" s="560" t="s">
        <v>644</v>
      </c>
    </row>
    <row r="229" spans="1:9">
      <c r="A229" s="555" t="s">
        <v>597</v>
      </c>
      <c r="B229" s="556" t="s">
        <v>173</v>
      </c>
      <c r="C229" s="556" t="s">
        <v>174</v>
      </c>
      <c r="D229" s="557">
        <v>999788</v>
      </c>
      <c r="E229" s="555">
        <v>5599.13</v>
      </c>
      <c r="F229" s="558">
        <v>181</v>
      </c>
      <c r="G229" s="559"/>
      <c r="H229" s="549"/>
      <c r="I229" s="560" t="s">
        <v>644</v>
      </c>
    </row>
    <row r="230" spans="1:9">
      <c r="A230" s="555" t="s">
        <v>595</v>
      </c>
      <c r="B230" s="556" t="s">
        <v>379</v>
      </c>
      <c r="C230" s="556" t="s">
        <v>615</v>
      </c>
      <c r="D230" s="557">
        <v>34919</v>
      </c>
      <c r="E230" s="555">
        <v>201.88</v>
      </c>
      <c r="F230" s="558"/>
      <c r="G230" s="559"/>
      <c r="H230" s="549"/>
      <c r="I230" s="560" t="s">
        <v>644</v>
      </c>
    </row>
    <row r="231" spans="1:9">
      <c r="A231" s="555" t="s">
        <v>605</v>
      </c>
      <c r="B231" s="565" t="s">
        <v>551</v>
      </c>
      <c r="C231" s="565" t="s">
        <v>552</v>
      </c>
      <c r="D231" s="557">
        <v>38552</v>
      </c>
      <c r="E231" s="555">
        <v>222.88</v>
      </c>
      <c r="F231" s="558"/>
      <c r="G231" s="559"/>
      <c r="H231" s="549"/>
      <c r="I231" s="560" t="s">
        <v>644</v>
      </c>
    </row>
    <row r="232" spans="1:9">
      <c r="A232" s="555" t="s">
        <v>603</v>
      </c>
      <c r="B232" s="556" t="s">
        <v>340</v>
      </c>
      <c r="C232" s="556" t="s">
        <v>341</v>
      </c>
      <c r="D232" s="557">
        <v>0</v>
      </c>
      <c r="E232" s="555">
        <v>0</v>
      </c>
      <c r="F232" s="558"/>
      <c r="G232" s="559"/>
      <c r="H232" s="549"/>
      <c r="I232" s="560" t="s">
        <v>644</v>
      </c>
    </row>
    <row r="233" spans="1:9">
      <c r="A233" s="555" t="s">
        <v>600</v>
      </c>
      <c r="B233" s="556" t="s">
        <v>43</v>
      </c>
      <c r="C233" s="556" t="s">
        <v>44</v>
      </c>
      <c r="D233" s="557">
        <v>6466</v>
      </c>
      <c r="E233" s="555">
        <v>37.380000000000003</v>
      </c>
      <c r="F233" s="558"/>
      <c r="G233" s="559"/>
      <c r="H233" s="549" t="s">
        <v>782</v>
      </c>
      <c r="I233" s="560" t="s">
        <v>644</v>
      </c>
    </row>
    <row r="234" spans="1:9">
      <c r="A234" s="555" t="s">
        <v>595</v>
      </c>
      <c r="B234" s="556" t="s">
        <v>371</v>
      </c>
      <c r="C234" s="556" t="s">
        <v>670</v>
      </c>
      <c r="D234" s="557">
        <v>0</v>
      </c>
      <c r="E234" s="555">
        <v>0</v>
      </c>
      <c r="F234" s="558"/>
      <c r="G234" s="559"/>
      <c r="H234" s="549"/>
      <c r="I234" s="560" t="s">
        <v>644</v>
      </c>
    </row>
    <row r="235" spans="1:9">
      <c r="A235" s="555" t="s">
        <v>594</v>
      </c>
      <c r="B235" s="556" t="s">
        <v>299</v>
      </c>
      <c r="C235" s="556" t="s">
        <v>300</v>
      </c>
      <c r="D235" s="557">
        <v>53708</v>
      </c>
      <c r="E235" s="555">
        <v>310.5</v>
      </c>
      <c r="F235" s="558"/>
      <c r="G235" s="559"/>
      <c r="H235" s="549"/>
      <c r="I235" s="560" t="s">
        <v>644</v>
      </c>
    </row>
    <row r="236" spans="1:9">
      <c r="A236" s="555" t="s">
        <v>597</v>
      </c>
      <c r="B236" s="556" t="s">
        <v>203</v>
      </c>
      <c r="C236" s="556" t="s">
        <v>204</v>
      </c>
      <c r="D236" s="557">
        <v>99784</v>
      </c>
      <c r="E236" s="555">
        <v>576.88</v>
      </c>
      <c r="F236" s="558"/>
      <c r="G236" s="566">
        <v>1</v>
      </c>
      <c r="H236" s="549"/>
      <c r="I236" s="560" t="s">
        <v>644</v>
      </c>
    </row>
    <row r="237" spans="1:9">
      <c r="A237" s="555" t="s">
        <v>599</v>
      </c>
      <c r="B237" s="556" t="s">
        <v>387</v>
      </c>
      <c r="C237" s="556" t="s">
        <v>388</v>
      </c>
      <c r="D237" s="557">
        <v>0</v>
      </c>
      <c r="E237" s="555">
        <v>0</v>
      </c>
      <c r="F237" s="558"/>
      <c r="G237" s="559"/>
      <c r="H237" s="549"/>
      <c r="I237" s="560" t="s">
        <v>644</v>
      </c>
    </row>
    <row r="238" spans="1:9">
      <c r="A238" s="555" t="s">
        <v>597</v>
      </c>
      <c r="B238" s="556" t="s">
        <v>187</v>
      </c>
      <c r="C238" s="556" t="s">
        <v>188</v>
      </c>
      <c r="D238" s="557">
        <v>0</v>
      </c>
      <c r="E238" s="555">
        <v>0</v>
      </c>
      <c r="F238" s="558"/>
      <c r="G238" s="559"/>
      <c r="H238" s="549"/>
      <c r="I238" s="560" t="s">
        <v>644</v>
      </c>
    </row>
    <row r="239" spans="1:9">
      <c r="A239" s="555" t="s">
        <v>595</v>
      </c>
      <c r="B239" s="556" t="s">
        <v>411</v>
      </c>
      <c r="C239" s="556" t="s">
        <v>412</v>
      </c>
      <c r="D239" s="557">
        <v>47633</v>
      </c>
      <c r="E239" s="555">
        <v>275.38</v>
      </c>
      <c r="F239" s="558"/>
      <c r="G239" s="559"/>
      <c r="H239" s="549"/>
      <c r="I239" s="560" t="s">
        <v>644</v>
      </c>
    </row>
    <row r="240" spans="1:9">
      <c r="A240" s="555" t="s">
        <v>601</v>
      </c>
      <c r="B240" s="556" t="s">
        <v>121</v>
      </c>
      <c r="C240" s="556" t="s">
        <v>122</v>
      </c>
      <c r="D240" s="557">
        <v>13535</v>
      </c>
      <c r="E240" s="555">
        <v>78.25</v>
      </c>
      <c r="F240" s="558"/>
      <c r="G240" s="566">
        <v>4</v>
      </c>
      <c r="H240" s="549"/>
      <c r="I240" s="560" t="s">
        <v>644</v>
      </c>
    </row>
    <row r="241" spans="1:9">
      <c r="A241" s="555" t="s">
        <v>594</v>
      </c>
      <c r="B241" s="556" t="s">
        <v>329</v>
      </c>
      <c r="C241" s="556" t="s">
        <v>330</v>
      </c>
      <c r="D241" s="557">
        <v>11352</v>
      </c>
      <c r="E241" s="555">
        <v>65.63</v>
      </c>
      <c r="F241" s="558"/>
      <c r="G241" s="559"/>
      <c r="H241" s="549"/>
      <c r="I241" s="560" t="s">
        <v>644</v>
      </c>
    </row>
    <row r="242" spans="1:9">
      <c r="A242" s="555" t="s">
        <v>600</v>
      </c>
      <c r="B242" s="556" t="s">
        <v>218</v>
      </c>
      <c r="C242" s="556" t="s">
        <v>219</v>
      </c>
      <c r="D242" s="557">
        <v>16801</v>
      </c>
      <c r="E242" s="555">
        <v>97.13</v>
      </c>
      <c r="F242" s="558"/>
      <c r="G242" s="559"/>
      <c r="H242" s="549"/>
      <c r="I242" s="560" t="s">
        <v>644</v>
      </c>
    </row>
    <row r="243" spans="1:9">
      <c r="A243" s="555" t="s">
        <v>595</v>
      </c>
      <c r="B243" s="556" t="s">
        <v>161</v>
      </c>
      <c r="C243" s="556" t="s">
        <v>162</v>
      </c>
      <c r="D243" s="557">
        <v>2141</v>
      </c>
      <c r="E243" s="555">
        <v>12.38</v>
      </c>
      <c r="F243" s="558"/>
      <c r="G243" s="559"/>
      <c r="H243" s="549"/>
      <c r="I243" s="560" t="s">
        <v>644</v>
      </c>
    </row>
    <row r="244" spans="1:9">
      <c r="A244" s="555" t="s">
        <v>594</v>
      </c>
      <c r="B244" s="556" t="s">
        <v>295</v>
      </c>
      <c r="C244" s="556" t="s">
        <v>296</v>
      </c>
      <c r="D244" s="557">
        <v>519</v>
      </c>
      <c r="E244" s="555">
        <v>3</v>
      </c>
      <c r="F244" s="558"/>
      <c r="G244" s="559"/>
      <c r="H244" s="549"/>
      <c r="I244" s="560" t="s">
        <v>644</v>
      </c>
    </row>
    <row r="245" spans="1:9">
      <c r="A245" s="555" t="s">
        <v>603</v>
      </c>
      <c r="B245" s="556" t="s">
        <v>422</v>
      </c>
      <c r="C245" s="556" t="s">
        <v>423</v>
      </c>
      <c r="D245" s="557">
        <v>225663</v>
      </c>
      <c r="E245" s="555">
        <v>1304.6300000000001</v>
      </c>
      <c r="F245" s="558"/>
      <c r="G245" s="570">
        <v>20</v>
      </c>
      <c r="H245" s="571"/>
      <c r="I245" s="560" t="s">
        <v>644</v>
      </c>
    </row>
    <row r="246" spans="1:9">
      <c r="A246" s="555" t="s">
        <v>603</v>
      </c>
      <c r="B246" s="556" t="s">
        <v>280</v>
      </c>
      <c r="C246" s="556" t="s">
        <v>281</v>
      </c>
      <c r="D246" s="557">
        <v>0</v>
      </c>
      <c r="E246" s="555">
        <v>0</v>
      </c>
      <c r="F246" s="558"/>
      <c r="G246" s="559"/>
      <c r="H246" s="549"/>
      <c r="I246" s="560" t="s">
        <v>644</v>
      </c>
    </row>
    <row r="247" spans="1:9">
      <c r="A247" s="555" t="s">
        <v>603</v>
      </c>
      <c r="B247" s="556" t="s">
        <v>539</v>
      </c>
      <c r="C247" s="556" t="s">
        <v>540</v>
      </c>
      <c r="D247" s="557">
        <v>0</v>
      </c>
      <c r="E247" s="555">
        <v>0</v>
      </c>
      <c r="F247" s="558"/>
      <c r="G247" s="559"/>
      <c r="H247" s="549"/>
      <c r="I247" s="560" t="s">
        <v>644</v>
      </c>
    </row>
    <row r="248" spans="1:9">
      <c r="A248" s="555" t="s">
        <v>595</v>
      </c>
      <c r="B248" s="556" t="s">
        <v>421</v>
      </c>
      <c r="C248" s="556" t="s">
        <v>673</v>
      </c>
      <c r="D248" s="557">
        <v>15092</v>
      </c>
      <c r="E248" s="555">
        <v>87.25</v>
      </c>
      <c r="F248" s="558"/>
      <c r="G248" s="559"/>
      <c r="H248" s="549"/>
      <c r="I248" s="560" t="s">
        <v>644</v>
      </c>
    </row>
    <row r="249" spans="1:9">
      <c r="A249" s="555" t="s">
        <v>596</v>
      </c>
      <c r="B249" s="556" t="s">
        <v>108</v>
      </c>
      <c r="C249" s="556" t="s">
        <v>109</v>
      </c>
      <c r="D249" s="557">
        <v>0</v>
      </c>
      <c r="E249" s="555">
        <v>0</v>
      </c>
      <c r="F249" s="558"/>
      <c r="G249" s="559"/>
      <c r="H249" s="549"/>
      <c r="I249" s="560" t="s">
        <v>644</v>
      </c>
    </row>
    <row r="250" spans="1:9">
      <c r="A250" s="555" t="s">
        <v>596</v>
      </c>
      <c r="B250" s="556" t="s">
        <v>68</v>
      </c>
      <c r="C250" s="556" t="s">
        <v>69</v>
      </c>
      <c r="D250" s="557">
        <v>0</v>
      </c>
      <c r="E250" s="555">
        <v>0</v>
      </c>
      <c r="F250" s="558"/>
      <c r="G250" s="559"/>
      <c r="H250" s="549"/>
      <c r="I250" s="560" t="s">
        <v>644</v>
      </c>
    </row>
    <row r="251" spans="1:9">
      <c r="A251" s="555" t="s">
        <v>601</v>
      </c>
      <c r="B251" s="556" t="s">
        <v>27</v>
      </c>
      <c r="C251" s="556" t="s">
        <v>28</v>
      </c>
      <c r="D251" s="557">
        <v>0</v>
      </c>
      <c r="E251" s="555">
        <v>0</v>
      </c>
      <c r="F251" s="558"/>
      <c r="G251" s="559"/>
      <c r="H251" s="549"/>
      <c r="I251" s="560" t="s">
        <v>644</v>
      </c>
    </row>
    <row r="252" spans="1:9">
      <c r="A252" s="555" t="s">
        <v>597</v>
      </c>
      <c r="B252" s="556" t="s">
        <v>342</v>
      </c>
      <c r="C252" s="572" t="s">
        <v>617</v>
      </c>
      <c r="D252" s="557">
        <v>11136</v>
      </c>
      <c r="E252" s="555">
        <v>64.38</v>
      </c>
      <c r="F252" s="558"/>
      <c r="G252" s="559"/>
      <c r="H252" s="549"/>
      <c r="I252" s="560" t="s">
        <v>644</v>
      </c>
    </row>
    <row r="253" spans="1:9">
      <c r="A253" s="555" t="s">
        <v>603</v>
      </c>
      <c r="B253" s="556" t="s">
        <v>531</v>
      </c>
      <c r="C253" s="556" t="s">
        <v>532</v>
      </c>
      <c r="D253" s="557">
        <v>0</v>
      </c>
      <c r="E253" s="555">
        <v>0</v>
      </c>
      <c r="F253" s="558"/>
      <c r="G253" s="559"/>
      <c r="H253" s="549"/>
      <c r="I253" s="560" t="s">
        <v>644</v>
      </c>
    </row>
    <row r="254" spans="1:9">
      <c r="A254" s="555" t="s">
        <v>599</v>
      </c>
      <c r="B254" s="556" t="s">
        <v>393</v>
      </c>
      <c r="C254" s="556" t="s">
        <v>394</v>
      </c>
      <c r="D254" s="557">
        <v>4843</v>
      </c>
      <c r="E254" s="555">
        <v>28</v>
      </c>
      <c r="F254" s="558"/>
      <c r="G254" s="559"/>
      <c r="H254" s="549" t="s">
        <v>782</v>
      </c>
      <c r="I254" s="560" t="s">
        <v>644</v>
      </c>
    </row>
    <row r="255" spans="1:9">
      <c r="A255" s="555" t="s">
        <v>595</v>
      </c>
      <c r="B255" s="556" t="s">
        <v>415</v>
      </c>
      <c r="C255" s="556" t="s">
        <v>416</v>
      </c>
      <c r="D255" s="557">
        <v>20021</v>
      </c>
      <c r="E255" s="555">
        <v>115.75</v>
      </c>
      <c r="F255" s="558"/>
      <c r="G255" s="559"/>
      <c r="H255" s="549"/>
      <c r="I255" s="560" t="s">
        <v>644</v>
      </c>
    </row>
    <row r="256" spans="1:9">
      <c r="A256" s="555" t="s">
        <v>603</v>
      </c>
      <c r="B256" s="556" t="s">
        <v>460</v>
      </c>
      <c r="C256" s="556" t="s">
        <v>461</v>
      </c>
      <c r="D256" s="557">
        <v>0</v>
      </c>
      <c r="E256" s="555">
        <v>0</v>
      </c>
      <c r="F256" s="558"/>
      <c r="G256" s="559"/>
      <c r="H256" s="549"/>
      <c r="I256" s="560" t="s">
        <v>644</v>
      </c>
    </row>
    <row r="257" spans="1:9">
      <c r="A257" s="555" t="s">
        <v>597</v>
      </c>
      <c r="B257" s="556" t="s">
        <v>351</v>
      </c>
      <c r="C257" s="556" t="s">
        <v>352</v>
      </c>
      <c r="D257" s="557">
        <v>39936</v>
      </c>
      <c r="E257" s="555">
        <v>230.88</v>
      </c>
      <c r="F257" s="558">
        <v>26</v>
      </c>
      <c r="G257" s="559"/>
      <c r="H257" s="549"/>
      <c r="I257" s="560" t="s">
        <v>644</v>
      </c>
    </row>
    <row r="258" spans="1:9">
      <c r="A258" s="555" t="s">
        <v>605</v>
      </c>
      <c r="B258" s="556" t="s">
        <v>557</v>
      </c>
      <c r="C258" s="556" t="s">
        <v>558</v>
      </c>
      <c r="D258" s="557">
        <v>330677</v>
      </c>
      <c r="E258" s="555">
        <v>1911.75</v>
      </c>
      <c r="F258" s="558"/>
      <c r="G258" s="559"/>
      <c r="H258" s="549"/>
      <c r="I258" s="560" t="s">
        <v>644</v>
      </c>
    </row>
    <row r="259" spans="1:9">
      <c r="A259" s="555" t="s">
        <v>597</v>
      </c>
      <c r="B259" s="556" t="s">
        <v>345</v>
      </c>
      <c r="C259" s="556" t="s">
        <v>346</v>
      </c>
      <c r="D259" s="557">
        <v>381834</v>
      </c>
      <c r="E259" s="555">
        <v>2207.5</v>
      </c>
      <c r="F259" s="558"/>
      <c r="G259" s="566">
        <v>10</v>
      </c>
      <c r="H259" s="549"/>
      <c r="I259" s="560" t="s">
        <v>644</v>
      </c>
    </row>
    <row r="260" spans="1:9">
      <c r="A260" s="555" t="s">
        <v>594</v>
      </c>
      <c r="B260" s="556" t="s">
        <v>143</v>
      </c>
      <c r="C260" s="556" t="s">
        <v>144</v>
      </c>
      <c r="D260" s="557">
        <v>0</v>
      </c>
      <c r="E260" s="555">
        <v>0</v>
      </c>
      <c r="F260" s="558"/>
      <c r="G260" s="559"/>
      <c r="H260" s="549"/>
      <c r="I260" s="560" t="s">
        <v>644</v>
      </c>
    </row>
    <row r="261" spans="1:9">
      <c r="A261" s="555" t="s">
        <v>597</v>
      </c>
      <c r="B261" s="556" t="s">
        <v>197</v>
      </c>
      <c r="C261" s="556" t="s">
        <v>198</v>
      </c>
      <c r="D261" s="557">
        <v>21708</v>
      </c>
      <c r="E261" s="555">
        <v>125.5</v>
      </c>
      <c r="F261" s="558"/>
      <c r="G261" s="559"/>
      <c r="H261" s="549"/>
      <c r="I261" s="560" t="s">
        <v>644</v>
      </c>
    </row>
    <row r="262" spans="1:9">
      <c r="A262" s="555" t="s">
        <v>603</v>
      </c>
      <c r="B262" s="556" t="s">
        <v>521</v>
      </c>
      <c r="C262" s="556" t="s">
        <v>522</v>
      </c>
      <c r="D262" s="557">
        <v>0</v>
      </c>
      <c r="E262" s="555">
        <v>0</v>
      </c>
      <c r="F262" s="558"/>
      <c r="G262" s="559"/>
      <c r="H262" s="549"/>
      <c r="I262" s="560" t="s">
        <v>644</v>
      </c>
    </row>
    <row r="263" spans="1:9">
      <c r="A263" s="555" t="s">
        <v>605</v>
      </c>
      <c r="B263" s="556" t="s">
        <v>224</v>
      </c>
      <c r="C263" s="556" t="s">
        <v>225</v>
      </c>
      <c r="D263" s="557">
        <v>0</v>
      </c>
      <c r="E263" s="555">
        <v>0</v>
      </c>
      <c r="F263" s="558"/>
      <c r="G263" s="559"/>
      <c r="H263" s="549"/>
      <c r="I263" s="560" t="s">
        <v>644</v>
      </c>
    </row>
    <row r="264" spans="1:9">
      <c r="A264" s="555" t="s">
        <v>594</v>
      </c>
      <c r="B264" s="556" t="s">
        <v>268</v>
      </c>
      <c r="C264" s="556" t="s">
        <v>269</v>
      </c>
      <c r="D264" s="557">
        <v>3546</v>
      </c>
      <c r="E264" s="555">
        <v>20.5</v>
      </c>
      <c r="F264" s="558"/>
      <c r="G264" s="559"/>
      <c r="H264" s="549" t="s">
        <v>782</v>
      </c>
      <c r="I264" s="560" t="s">
        <v>644</v>
      </c>
    </row>
    <row r="265" spans="1:9">
      <c r="A265" s="555" t="s">
        <v>601</v>
      </c>
      <c r="B265" s="556" t="s">
        <v>321</v>
      </c>
      <c r="C265" s="556" t="s">
        <v>322</v>
      </c>
      <c r="D265" s="557">
        <v>23201</v>
      </c>
      <c r="E265" s="555">
        <v>134.13</v>
      </c>
      <c r="F265" s="558"/>
      <c r="G265" s="559"/>
      <c r="H265" s="549"/>
      <c r="I265" s="560" t="s">
        <v>644</v>
      </c>
    </row>
    <row r="266" spans="1:9">
      <c r="A266" s="555" t="s">
        <v>605</v>
      </c>
      <c r="B266" s="556" t="s">
        <v>559</v>
      </c>
      <c r="C266" s="556" t="s">
        <v>560</v>
      </c>
      <c r="D266" s="557">
        <v>213339</v>
      </c>
      <c r="E266" s="555">
        <v>1183.3800000000001</v>
      </c>
      <c r="F266" s="558">
        <v>177</v>
      </c>
      <c r="G266" s="559"/>
      <c r="H266" s="549"/>
      <c r="I266" s="560" t="s">
        <v>644</v>
      </c>
    </row>
    <row r="267" spans="1:9">
      <c r="A267" s="555" t="s">
        <v>599</v>
      </c>
      <c r="B267" s="556" t="s">
        <v>72</v>
      </c>
      <c r="C267" s="556" t="s">
        <v>73</v>
      </c>
      <c r="D267" s="557">
        <v>0</v>
      </c>
      <c r="E267" s="555">
        <v>0</v>
      </c>
      <c r="F267" s="558"/>
      <c r="G267" s="559"/>
      <c r="H267" s="549"/>
      <c r="I267" s="560" t="s">
        <v>644</v>
      </c>
    </row>
    <row r="268" spans="1:9">
      <c r="A268" s="555" t="s">
        <v>599</v>
      </c>
      <c r="B268" s="556" t="s">
        <v>238</v>
      </c>
      <c r="C268" s="556" t="s">
        <v>239</v>
      </c>
      <c r="D268" s="557">
        <v>0</v>
      </c>
      <c r="E268" s="555">
        <v>0</v>
      </c>
      <c r="F268" s="558"/>
      <c r="G268" s="559"/>
      <c r="H268" s="549"/>
      <c r="I268" s="560" t="s">
        <v>644</v>
      </c>
    </row>
    <row r="269" spans="1:9">
      <c r="A269" s="555" t="s">
        <v>597</v>
      </c>
      <c r="B269" s="556" t="s">
        <v>191</v>
      </c>
      <c r="C269" s="556" t="s">
        <v>192</v>
      </c>
      <c r="D269" s="557">
        <v>185338</v>
      </c>
      <c r="E269" s="555">
        <v>1071.5</v>
      </c>
      <c r="F269" s="558"/>
      <c r="G269" s="559"/>
      <c r="H269" s="549"/>
      <c r="I269" s="560" t="s">
        <v>644</v>
      </c>
    </row>
    <row r="270" spans="1:9">
      <c r="A270" s="555" t="s">
        <v>594</v>
      </c>
      <c r="B270" s="556" t="s">
        <v>476</v>
      </c>
      <c r="C270" s="556" t="s">
        <v>477</v>
      </c>
      <c r="D270" s="557">
        <v>15957</v>
      </c>
      <c r="E270" s="555">
        <v>92.25</v>
      </c>
      <c r="F270" s="558"/>
      <c r="G270" s="559"/>
      <c r="H270" s="549"/>
      <c r="I270" s="560" t="s">
        <v>644</v>
      </c>
    </row>
    <row r="271" spans="1:9">
      <c r="A271" s="555" t="s">
        <v>605</v>
      </c>
      <c r="B271" s="556" t="s">
        <v>543</v>
      </c>
      <c r="C271" s="556" t="s">
        <v>544</v>
      </c>
      <c r="D271" s="557">
        <v>27070</v>
      </c>
      <c r="E271" s="555">
        <v>156.5</v>
      </c>
      <c r="F271" s="558"/>
      <c r="G271" s="559"/>
      <c r="H271" s="549"/>
      <c r="I271" s="560" t="s">
        <v>644</v>
      </c>
    </row>
    <row r="272" spans="1:9">
      <c r="A272" s="555" t="s">
        <v>597</v>
      </c>
      <c r="B272" s="565" t="s">
        <v>349</v>
      </c>
      <c r="C272" s="565" t="s">
        <v>350</v>
      </c>
      <c r="D272" s="557">
        <v>23005</v>
      </c>
      <c r="E272" s="555">
        <v>133</v>
      </c>
      <c r="F272" s="558"/>
      <c r="G272" s="559"/>
      <c r="H272" s="549"/>
      <c r="I272" s="560" t="s">
        <v>644</v>
      </c>
    </row>
    <row r="273" spans="1:9">
      <c r="A273" s="555" t="s">
        <v>603</v>
      </c>
      <c r="B273" s="556" t="s">
        <v>454</v>
      </c>
      <c r="C273" s="556" t="s">
        <v>455</v>
      </c>
      <c r="D273" s="557">
        <v>0</v>
      </c>
      <c r="E273" s="555">
        <v>0</v>
      </c>
      <c r="F273" s="558"/>
      <c r="G273" s="559"/>
      <c r="H273" s="549"/>
      <c r="I273" s="560" t="s">
        <v>644</v>
      </c>
    </row>
    <row r="274" spans="1:9">
      <c r="A274" s="555" t="s">
        <v>599</v>
      </c>
      <c r="B274" s="556" t="s">
        <v>49</v>
      </c>
      <c r="C274" s="556" t="s">
        <v>50</v>
      </c>
      <c r="D274" s="557">
        <v>354115</v>
      </c>
      <c r="E274" s="555">
        <v>2047.25</v>
      </c>
      <c r="F274" s="558"/>
      <c r="G274" s="559"/>
      <c r="H274" s="549"/>
      <c r="I274" s="560" t="s">
        <v>644</v>
      </c>
    </row>
    <row r="275" spans="1:9">
      <c r="A275" s="555" t="s">
        <v>605</v>
      </c>
      <c r="B275" s="556" t="s">
        <v>114</v>
      </c>
      <c r="C275" s="556" t="s">
        <v>115</v>
      </c>
      <c r="D275" s="557">
        <v>214031</v>
      </c>
      <c r="E275" s="555">
        <v>1237.3800000000001</v>
      </c>
      <c r="F275" s="558"/>
      <c r="G275" s="559"/>
      <c r="H275" s="549"/>
      <c r="I275" s="560" t="s">
        <v>644</v>
      </c>
    </row>
    <row r="276" spans="1:9">
      <c r="A276" s="555" t="s">
        <v>596</v>
      </c>
      <c r="B276" s="556" t="s">
        <v>500</v>
      </c>
      <c r="C276" s="556" t="s">
        <v>501</v>
      </c>
      <c r="D276" s="557">
        <v>0</v>
      </c>
      <c r="E276" s="555">
        <v>0</v>
      </c>
      <c r="F276" s="558"/>
      <c r="G276" s="559"/>
      <c r="H276" s="549"/>
      <c r="I276" s="560" t="s">
        <v>644</v>
      </c>
    </row>
    <row r="277" spans="1:9">
      <c r="A277" s="555" t="s">
        <v>596</v>
      </c>
      <c r="B277" s="556" t="s">
        <v>492</v>
      </c>
      <c r="C277" s="556" t="s">
        <v>493</v>
      </c>
      <c r="D277" s="557">
        <v>139501</v>
      </c>
      <c r="E277" s="555">
        <v>806.5</v>
      </c>
      <c r="F277" s="558"/>
      <c r="G277" s="559"/>
      <c r="H277" s="549"/>
      <c r="I277" s="560" t="s">
        <v>644</v>
      </c>
    </row>
    <row r="278" spans="1:9">
      <c r="A278" s="555" t="s">
        <v>605</v>
      </c>
      <c r="B278" s="556" t="s">
        <v>567</v>
      </c>
      <c r="C278" s="556" t="s">
        <v>568</v>
      </c>
      <c r="D278" s="557">
        <v>189556</v>
      </c>
      <c r="E278" s="555">
        <v>833.88</v>
      </c>
      <c r="F278" s="558">
        <v>281</v>
      </c>
      <c r="G278" s="559"/>
      <c r="H278" s="562"/>
      <c r="I278" s="560" t="s">
        <v>644</v>
      </c>
    </row>
    <row r="279" spans="1:9">
      <c r="A279" s="555" t="s">
        <v>601</v>
      </c>
      <c r="B279" s="556" t="s">
        <v>118</v>
      </c>
      <c r="C279" s="556" t="s">
        <v>119</v>
      </c>
      <c r="D279" s="557">
        <v>59006</v>
      </c>
      <c r="E279" s="555">
        <v>341.13</v>
      </c>
      <c r="F279" s="558"/>
      <c r="G279" s="559"/>
      <c r="H279" s="562"/>
      <c r="I279" s="560" t="s">
        <v>644</v>
      </c>
    </row>
    <row r="280" spans="1:9">
      <c r="A280" s="555" t="s">
        <v>603</v>
      </c>
      <c r="B280" s="556" t="s">
        <v>0</v>
      </c>
      <c r="C280" s="556" t="s">
        <v>1</v>
      </c>
      <c r="D280" s="557">
        <v>0</v>
      </c>
      <c r="E280" s="555">
        <v>0</v>
      </c>
      <c r="F280" s="558"/>
      <c r="G280" s="559"/>
      <c r="H280" s="562"/>
      <c r="I280" s="560" t="s">
        <v>644</v>
      </c>
    </row>
    <row r="281" spans="1:9">
      <c r="A281" s="555" t="s">
        <v>603</v>
      </c>
      <c r="B281" s="556" t="s">
        <v>452</v>
      </c>
      <c r="C281" s="556" t="s">
        <v>453</v>
      </c>
      <c r="D281" s="557">
        <v>0</v>
      </c>
      <c r="E281" s="555">
        <v>0</v>
      </c>
      <c r="F281" s="558"/>
      <c r="G281" s="559"/>
      <c r="H281" s="562"/>
      <c r="I281" s="560" t="s">
        <v>644</v>
      </c>
    </row>
    <row r="282" spans="1:9">
      <c r="A282" s="555" t="s">
        <v>601</v>
      </c>
      <c r="B282" s="556" t="s">
        <v>37</v>
      </c>
      <c r="C282" s="556" t="s">
        <v>38</v>
      </c>
      <c r="D282" s="557">
        <v>272495</v>
      </c>
      <c r="E282" s="555">
        <v>1575.38</v>
      </c>
      <c r="F282" s="558"/>
      <c r="G282" s="566">
        <v>10</v>
      </c>
      <c r="H282" s="562"/>
      <c r="I282" s="560" t="s">
        <v>644</v>
      </c>
    </row>
    <row r="283" spans="1:9">
      <c r="A283" s="555" t="s">
        <v>603</v>
      </c>
      <c r="B283" s="573" t="s">
        <v>443</v>
      </c>
      <c r="C283" s="573" t="s">
        <v>675</v>
      </c>
      <c r="D283" s="557">
        <v>19352</v>
      </c>
      <c r="E283" s="555">
        <v>108.88</v>
      </c>
      <c r="F283" s="558">
        <v>3</v>
      </c>
      <c r="G283" s="559"/>
      <c r="H283" s="549"/>
      <c r="I283" s="560" t="s">
        <v>644</v>
      </c>
    </row>
    <row r="284" spans="1:9">
      <c r="A284" s="555" t="s">
        <v>594</v>
      </c>
      <c r="B284" s="556" t="s">
        <v>276</v>
      </c>
      <c r="C284" s="556" t="s">
        <v>277</v>
      </c>
      <c r="D284" s="557">
        <v>0</v>
      </c>
      <c r="E284" s="555">
        <v>0</v>
      </c>
      <c r="F284" s="558"/>
      <c r="G284" s="559"/>
      <c r="H284" s="549"/>
      <c r="I284" s="560" t="s">
        <v>644</v>
      </c>
    </row>
    <row r="285" spans="1:9">
      <c r="A285" s="555" t="s">
        <v>597</v>
      </c>
      <c r="B285" s="556" t="s">
        <v>367</v>
      </c>
      <c r="C285" s="556" t="s">
        <v>368</v>
      </c>
      <c r="D285" s="557">
        <v>6941</v>
      </c>
      <c r="E285" s="555">
        <v>40.130000000000003</v>
      </c>
      <c r="F285" s="558"/>
      <c r="G285" s="559"/>
      <c r="H285" s="549" t="s">
        <v>782</v>
      </c>
      <c r="I285" s="560" t="s">
        <v>644</v>
      </c>
    </row>
    <row r="286" spans="1:9">
      <c r="A286" s="555" t="s">
        <v>599</v>
      </c>
      <c r="B286" s="556" t="s">
        <v>248</v>
      </c>
      <c r="C286" s="556" t="s">
        <v>249</v>
      </c>
      <c r="D286" s="557">
        <v>32259</v>
      </c>
      <c r="E286" s="555">
        <v>186.5</v>
      </c>
      <c r="F286" s="558"/>
      <c r="G286" s="559"/>
      <c r="H286" s="549"/>
      <c r="I286" s="560" t="s">
        <v>644</v>
      </c>
    </row>
    <row r="287" spans="1:9">
      <c r="A287" s="555" t="s">
        <v>603</v>
      </c>
      <c r="B287" s="556" t="s">
        <v>289</v>
      </c>
      <c r="C287" s="556" t="s">
        <v>290</v>
      </c>
      <c r="D287" s="557">
        <v>0</v>
      </c>
      <c r="E287" s="555">
        <v>0</v>
      </c>
      <c r="F287" s="558"/>
      <c r="G287" s="559"/>
      <c r="H287" s="549"/>
      <c r="I287" s="560" t="s">
        <v>644</v>
      </c>
    </row>
    <row r="288" spans="1:9">
      <c r="A288" s="555" t="s">
        <v>594</v>
      </c>
      <c r="B288" s="556" t="s">
        <v>332</v>
      </c>
      <c r="C288" s="556" t="s">
        <v>333</v>
      </c>
      <c r="D288" s="557">
        <v>1752</v>
      </c>
      <c r="E288" s="555">
        <v>10.130000000000001</v>
      </c>
      <c r="F288" s="558"/>
      <c r="G288" s="559"/>
      <c r="H288" s="549"/>
      <c r="I288" s="560" t="s">
        <v>644</v>
      </c>
    </row>
    <row r="289" spans="1:9">
      <c r="A289" s="555" t="s">
        <v>601</v>
      </c>
      <c r="B289" s="556" t="s">
        <v>129</v>
      </c>
      <c r="C289" s="556" t="s">
        <v>130</v>
      </c>
      <c r="D289" s="557">
        <v>0</v>
      </c>
      <c r="E289" s="555">
        <v>0</v>
      </c>
      <c r="F289" s="558"/>
      <c r="G289" s="559"/>
      <c r="H289" s="549"/>
      <c r="I289" s="560" t="s">
        <v>644</v>
      </c>
    </row>
    <row r="290" spans="1:9">
      <c r="A290" s="555" t="s">
        <v>594</v>
      </c>
      <c r="B290" s="556" t="s">
        <v>264</v>
      </c>
      <c r="C290" s="556" t="s">
        <v>265</v>
      </c>
      <c r="D290" s="557">
        <v>10574</v>
      </c>
      <c r="E290" s="555">
        <v>61.13</v>
      </c>
      <c r="F290" s="558"/>
      <c r="G290" s="559"/>
      <c r="H290" s="549"/>
      <c r="I290" s="560" t="s">
        <v>644</v>
      </c>
    </row>
    <row r="291" spans="1:9">
      <c r="A291" s="555" t="s">
        <v>594</v>
      </c>
      <c r="B291" s="556" t="s">
        <v>151</v>
      </c>
      <c r="C291" s="556" t="s">
        <v>152</v>
      </c>
      <c r="D291" s="557">
        <v>0</v>
      </c>
      <c r="E291" s="555">
        <v>0</v>
      </c>
      <c r="F291" s="558"/>
      <c r="G291" s="559"/>
      <c r="H291" s="549"/>
      <c r="I291" s="560" t="s">
        <v>644</v>
      </c>
    </row>
    <row r="292" spans="1:9">
      <c r="A292" s="555" t="s">
        <v>599</v>
      </c>
      <c r="B292" s="556" t="s">
        <v>232</v>
      </c>
      <c r="C292" s="556" t="s">
        <v>233</v>
      </c>
      <c r="D292" s="557">
        <v>0</v>
      </c>
      <c r="E292" s="555">
        <v>0</v>
      </c>
      <c r="F292" s="558"/>
      <c r="G292" s="559"/>
      <c r="H292" s="549"/>
      <c r="I292" s="560" t="s">
        <v>644</v>
      </c>
    </row>
    <row r="293" spans="1:9">
      <c r="A293" s="555" t="s">
        <v>599</v>
      </c>
      <c r="B293" s="556" t="s">
        <v>78</v>
      </c>
      <c r="C293" s="556" t="s">
        <v>79</v>
      </c>
      <c r="D293" s="557">
        <v>21168</v>
      </c>
      <c r="E293" s="555">
        <v>122.38</v>
      </c>
      <c r="F293" s="558"/>
      <c r="G293" s="559"/>
      <c r="H293" s="549"/>
      <c r="I293" s="560" t="s">
        <v>644</v>
      </c>
    </row>
    <row r="294" spans="1:9">
      <c r="A294" s="555" t="s">
        <v>605</v>
      </c>
      <c r="B294" s="556" t="s">
        <v>547</v>
      </c>
      <c r="C294" s="556" t="s">
        <v>548</v>
      </c>
      <c r="D294" s="557">
        <v>713658</v>
      </c>
      <c r="E294" s="555">
        <v>4088.88</v>
      </c>
      <c r="F294" s="558">
        <v>37</v>
      </c>
      <c r="G294" s="566">
        <v>1</v>
      </c>
      <c r="H294" s="549" t="s">
        <v>782</v>
      </c>
      <c r="I294" s="560" t="s">
        <v>644</v>
      </c>
    </row>
    <row r="295" spans="1:9">
      <c r="A295" s="555" t="s">
        <v>594</v>
      </c>
      <c r="B295" s="556" t="s">
        <v>472</v>
      </c>
      <c r="C295" s="556" t="s">
        <v>473</v>
      </c>
      <c r="D295" s="557">
        <v>13146</v>
      </c>
      <c r="E295" s="555">
        <v>76</v>
      </c>
      <c r="F295" s="558"/>
      <c r="G295" s="559"/>
      <c r="H295" s="549"/>
      <c r="I295" s="560" t="s">
        <v>644</v>
      </c>
    </row>
    <row r="296" spans="1:9">
      <c r="A296" s="555" t="s">
        <v>605</v>
      </c>
      <c r="B296" s="556" t="s">
        <v>565</v>
      </c>
      <c r="C296" s="556" t="s">
        <v>566</v>
      </c>
      <c r="D296" s="557">
        <v>25297</v>
      </c>
      <c r="E296" s="555">
        <v>146.25</v>
      </c>
      <c r="F296" s="558"/>
      <c r="G296" s="559"/>
      <c r="H296" s="549"/>
      <c r="I296" s="560" t="s">
        <v>644</v>
      </c>
    </row>
    <row r="297" spans="1:9">
      <c r="A297" s="574"/>
      <c r="E297" s="574"/>
      <c r="I297" s="560" t="s">
        <v>644</v>
      </c>
    </row>
  </sheetData>
  <autoFilter ref="A1:J297" xr:uid="{00000000-0009-0000-0000-00002D000000}"/>
  <pageMargins left="0.7" right="0.7" top="0.75" bottom="0.75" header="0.3" footer="0.3"/>
  <pageSetup orientation="portrait" r:id="rId1"/>
  <headerFooter>
    <oddFooter>&amp;C8/4/2011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4"/>
  <dimension ref="A1:S267"/>
  <sheetViews>
    <sheetView topLeftCell="D1" workbookViewId="0">
      <pane ySplit="1" topLeftCell="A23" activePane="bottomLeft" state="frozen"/>
      <selection pane="bottomLeft" activeCell="P1" sqref="P1"/>
    </sheetView>
  </sheetViews>
  <sheetFormatPr defaultRowHeight="15"/>
  <cols>
    <col min="1" max="1" width="32.42578125" style="539" bestFit="1" customWidth="1"/>
    <col min="2" max="2" width="7.42578125" style="539" bestFit="1" customWidth="1"/>
    <col min="3" max="3" width="51.85546875" style="539" bestFit="1" customWidth="1"/>
    <col min="4" max="4" width="6.85546875" style="540" bestFit="1" customWidth="1"/>
    <col min="5" max="5" width="9.5703125" style="539" bestFit="1" customWidth="1"/>
    <col min="6" max="6" width="6.42578125" style="539" bestFit="1" customWidth="1"/>
    <col min="7" max="7" width="9.42578125" style="539" customWidth="1"/>
    <col min="8" max="8" width="6.140625" style="539" bestFit="1" customWidth="1"/>
    <col min="9" max="11" width="6.5703125" style="539" bestFit="1" customWidth="1"/>
    <col min="12" max="12" width="7.140625" style="539" bestFit="1" customWidth="1"/>
    <col min="13" max="13" width="7.42578125" style="539" bestFit="1" customWidth="1"/>
    <col min="14" max="14" width="10.42578125" style="539" bestFit="1" customWidth="1"/>
    <col min="15" max="15" width="9.140625" style="539"/>
    <col min="16" max="16" width="27.140625" style="539" customWidth="1"/>
    <col min="17" max="17" width="17" style="539" bestFit="1" customWidth="1"/>
    <col min="18" max="18" width="11.5703125" style="539" customWidth="1"/>
    <col min="19" max="19" width="11.5703125" style="539" bestFit="1" customWidth="1"/>
    <col min="20" max="256" width="9.140625" style="539"/>
    <col min="257" max="257" width="32.42578125" style="539" bestFit="1" customWidth="1"/>
    <col min="258" max="258" width="7.42578125" style="539" bestFit="1" customWidth="1"/>
    <col min="259" max="259" width="51.85546875" style="539" bestFit="1" customWidth="1"/>
    <col min="260" max="260" width="6.85546875" style="539" bestFit="1" customWidth="1"/>
    <col min="261" max="261" width="9.5703125" style="539" bestFit="1" customWidth="1"/>
    <col min="262" max="262" width="6.42578125" style="539" bestFit="1" customWidth="1"/>
    <col min="263" max="263" width="9.42578125" style="539" customWidth="1"/>
    <col min="264" max="264" width="6.140625" style="539" bestFit="1" customWidth="1"/>
    <col min="265" max="267" width="6.5703125" style="539" bestFit="1" customWidth="1"/>
    <col min="268" max="268" width="7.140625" style="539" bestFit="1" customWidth="1"/>
    <col min="269" max="269" width="7.42578125" style="539" bestFit="1" customWidth="1"/>
    <col min="270" max="270" width="10.42578125" style="539" bestFit="1" customWidth="1"/>
    <col min="271" max="512" width="9.140625" style="539"/>
    <col min="513" max="513" width="32.42578125" style="539" bestFit="1" customWidth="1"/>
    <col min="514" max="514" width="7.42578125" style="539" bestFit="1" customWidth="1"/>
    <col min="515" max="515" width="51.85546875" style="539" bestFit="1" customWidth="1"/>
    <col min="516" max="516" width="6.85546875" style="539" bestFit="1" customWidth="1"/>
    <col min="517" max="517" width="9.5703125" style="539" bestFit="1" customWidth="1"/>
    <col min="518" max="518" width="6.42578125" style="539" bestFit="1" customWidth="1"/>
    <col min="519" max="519" width="9.42578125" style="539" customWidth="1"/>
    <col min="520" max="520" width="6.140625" style="539" bestFit="1" customWidth="1"/>
    <col min="521" max="523" width="6.5703125" style="539" bestFit="1" customWidth="1"/>
    <col min="524" max="524" width="7.140625" style="539" bestFit="1" customWidth="1"/>
    <col min="525" max="525" width="7.42578125" style="539" bestFit="1" customWidth="1"/>
    <col min="526" max="526" width="10.42578125" style="539" bestFit="1" customWidth="1"/>
    <col min="527" max="768" width="9.140625" style="539"/>
    <col min="769" max="769" width="32.42578125" style="539" bestFit="1" customWidth="1"/>
    <col min="770" max="770" width="7.42578125" style="539" bestFit="1" customWidth="1"/>
    <col min="771" max="771" width="51.85546875" style="539" bestFit="1" customWidth="1"/>
    <col min="772" max="772" width="6.85546875" style="539" bestFit="1" customWidth="1"/>
    <col min="773" max="773" width="9.5703125" style="539" bestFit="1" customWidth="1"/>
    <col min="774" max="774" width="6.42578125" style="539" bestFit="1" customWidth="1"/>
    <col min="775" max="775" width="9.42578125" style="539" customWidth="1"/>
    <col min="776" max="776" width="6.140625" style="539" bestFit="1" customWidth="1"/>
    <col min="777" max="779" width="6.5703125" style="539" bestFit="1" customWidth="1"/>
    <col min="780" max="780" width="7.140625" style="539" bestFit="1" customWidth="1"/>
    <col min="781" max="781" width="7.42578125" style="539" bestFit="1" customWidth="1"/>
    <col min="782" max="782" width="10.42578125" style="539" bestFit="1" customWidth="1"/>
    <col min="783" max="1024" width="9.140625" style="539"/>
    <col min="1025" max="1025" width="32.42578125" style="539" bestFit="1" customWidth="1"/>
    <col min="1026" max="1026" width="7.42578125" style="539" bestFit="1" customWidth="1"/>
    <col min="1027" max="1027" width="51.85546875" style="539" bestFit="1" customWidth="1"/>
    <col min="1028" max="1028" width="6.85546875" style="539" bestFit="1" customWidth="1"/>
    <col min="1029" max="1029" width="9.5703125" style="539" bestFit="1" customWidth="1"/>
    <col min="1030" max="1030" width="6.42578125" style="539" bestFit="1" customWidth="1"/>
    <col min="1031" max="1031" width="9.42578125" style="539" customWidth="1"/>
    <col min="1032" max="1032" width="6.140625" style="539" bestFit="1" customWidth="1"/>
    <col min="1033" max="1035" width="6.5703125" style="539" bestFit="1" customWidth="1"/>
    <col min="1036" max="1036" width="7.140625" style="539" bestFit="1" customWidth="1"/>
    <col min="1037" max="1037" width="7.42578125" style="539" bestFit="1" customWidth="1"/>
    <col min="1038" max="1038" width="10.42578125" style="539" bestFit="1" customWidth="1"/>
    <col min="1039" max="1280" width="9.140625" style="539"/>
    <col min="1281" max="1281" width="32.42578125" style="539" bestFit="1" customWidth="1"/>
    <col min="1282" max="1282" width="7.42578125" style="539" bestFit="1" customWidth="1"/>
    <col min="1283" max="1283" width="51.85546875" style="539" bestFit="1" customWidth="1"/>
    <col min="1284" max="1284" width="6.85546875" style="539" bestFit="1" customWidth="1"/>
    <col min="1285" max="1285" width="9.5703125" style="539" bestFit="1" customWidth="1"/>
    <col min="1286" max="1286" width="6.42578125" style="539" bestFit="1" customWidth="1"/>
    <col min="1287" max="1287" width="9.42578125" style="539" customWidth="1"/>
    <col min="1288" max="1288" width="6.140625" style="539" bestFit="1" customWidth="1"/>
    <col min="1289" max="1291" width="6.5703125" style="539" bestFit="1" customWidth="1"/>
    <col min="1292" max="1292" width="7.140625" style="539" bestFit="1" customWidth="1"/>
    <col min="1293" max="1293" width="7.42578125" style="539" bestFit="1" customWidth="1"/>
    <col min="1294" max="1294" width="10.42578125" style="539" bestFit="1" customWidth="1"/>
    <col min="1295" max="1536" width="9.140625" style="539"/>
    <col min="1537" max="1537" width="32.42578125" style="539" bestFit="1" customWidth="1"/>
    <col min="1538" max="1538" width="7.42578125" style="539" bestFit="1" customWidth="1"/>
    <col min="1539" max="1539" width="51.85546875" style="539" bestFit="1" customWidth="1"/>
    <col min="1540" max="1540" width="6.85546875" style="539" bestFit="1" customWidth="1"/>
    <col min="1541" max="1541" width="9.5703125" style="539" bestFit="1" customWidth="1"/>
    <col min="1542" max="1542" width="6.42578125" style="539" bestFit="1" customWidth="1"/>
    <col min="1543" max="1543" width="9.42578125" style="539" customWidth="1"/>
    <col min="1544" max="1544" width="6.140625" style="539" bestFit="1" customWidth="1"/>
    <col min="1545" max="1547" width="6.5703125" style="539" bestFit="1" customWidth="1"/>
    <col min="1548" max="1548" width="7.140625" style="539" bestFit="1" customWidth="1"/>
    <col min="1549" max="1549" width="7.42578125" style="539" bestFit="1" customWidth="1"/>
    <col min="1550" max="1550" width="10.42578125" style="539" bestFit="1" customWidth="1"/>
    <col min="1551" max="1792" width="9.140625" style="539"/>
    <col min="1793" max="1793" width="32.42578125" style="539" bestFit="1" customWidth="1"/>
    <col min="1794" max="1794" width="7.42578125" style="539" bestFit="1" customWidth="1"/>
    <col min="1795" max="1795" width="51.85546875" style="539" bestFit="1" customWidth="1"/>
    <col min="1796" max="1796" width="6.85546875" style="539" bestFit="1" customWidth="1"/>
    <col min="1797" max="1797" width="9.5703125" style="539" bestFit="1" customWidth="1"/>
    <col min="1798" max="1798" width="6.42578125" style="539" bestFit="1" customWidth="1"/>
    <col min="1799" max="1799" width="9.42578125" style="539" customWidth="1"/>
    <col min="1800" max="1800" width="6.140625" style="539" bestFit="1" customWidth="1"/>
    <col min="1801" max="1803" width="6.5703125" style="539" bestFit="1" customWidth="1"/>
    <col min="1804" max="1804" width="7.140625" style="539" bestFit="1" customWidth="1"/>
    <col min="1805" max="1805" width="7.42578125" style="539" bestFit="1" customWidth="1"/>
    <col min="1806" max="1806" width="10.42578125" style="539" bestFit="1" customWidth="1"/>
    <col min="1807" max="2048" width="9.140625" style="539"/>
    <col min="2049" max="2049" width="32.42578125" style="539" bestFit="1" customWidth="1"/>
    <col min="2050" max="2050" width="7.42578125" style="539" bestFit="1" customWidth="1"/>
    <col min="2051" max="2051" width="51.85546875" style="539" bestFit="1" customWidth="1"/>
    <col min="2052" max="2052" width="6.85546875" style="539" bestFit="1" customWidth="1"/>
    <col min="2053" max="2053" width="9.5703125" style="539" bestFit="1" customWidth="1"/>
    <col min="2054" max="2054" width="6.42578125" style="539" bestFit="1" customWidth="1"/>
    <col min="2055" max="2055" width="9.42578125" style="539" customWidth="1"/>
    <col min="2056" max="2056" width="6.140625" style="539" bestFit="1" customWidth="1"/>
    <col min="2057" max="2059" width="6.5703125" style="539" bestFit="1" customWidth="1"/>
    <col min="2060" max="2060" width="7.140625" style="539" bestFit="1" customWidth="1"/>
    <col min="2061" max="2061" width="7.42578125" style="539" bestFit="1" customWidth="1"/>
    <col min="2062" max="2062" width="10.42578125" style="539" bestFit="1" customWidth="1"/>
    <col min="2063" max="2304" width="9.140625" style="539"/>
    <col min="2305" max="2305" width="32.42578125" style="539" bestFit="1" customWidth="1"/>
    <col min="2306" max="2306" width="7.42578125" style="539" bestFit="1" customWidth="1"/>
    <col min="2307" max="2307" width="51.85546875" style="539" bestFit="1" customWidth="1"/>
    <col min="2308" max="2308" width="6.85546875" style="539" bestFit="1" customWidth="1"/>
    <col min="2309" max="2309" width="9.5703125" style="539" bestFit="1" customWidth="1"/>
    <col min="2310" max="2310" width="6.42578125" style="539" bestFit="1" customWidth="1"/>
    <col min="2311" max="2311" width="9.42578125" style="539" customWidth="1"/>
    <col min="2312" max="2312" width="6.140625" style="539" bestFit="1" customWidth="1"/>
    <col min="2313" max="2315" width="6.5703125" style="539" bestFit="1" customWidth="1"/>
    <col min="2316" max="2316" width="7.140625" style="539" bestFit="1" customWidth="1"/>
    <col min="2317" max="2317" width="7.42578125" style="539" bestFit="1" customWidth="1"/>
    <col min="2318" max="2318" width="10.42578125" style="539" bestFit="1" customWidth="1"/>
    <col min="2319" max="2560" width="9.140625" style="539"/>
    <col min="2561" max="2561" width="32.42578125" style="539" bestFit="1" customWidth="1"/>
    <col min="2562" max="2562" width="7.42578125" style="539" bestFit="1" customWidth="1"/>
    <col min="2563" max="2563" width="51.85546875" style="539" bestFit="1" customWidth="1"/>
    <col min="2564" max="2564" width="6.85546875" style="539" bestFit="1" customWidth="1"/>
    <col min="2565" max="2565" width="9.5703125" style="539" bestFit="1" customWidth="1"/>
    <col min="2566" max="2566" width="6.42578125" style="539" bestFit="1" customWidth="1"/>
    <col min="2567" max="2567" width="9.42578125" style="539" customWidth="1"/>
    <col min="2568" max="2568" width="6.140625" style="539" bestFit="1" customWidth="1"/>
    <col min="2569" max="2571" width="6.5703125" style="539" bestFit="1" customWidth="1"/>
    <col min="2572" max="2572" width="7.140625" style="539" bestFit="1" customWidth="1"/>
    <col min="2573" max="2573" width="7.42578125" style="539" bestFit="1" customWidth="1"/>
    <col min="2574" max="2574" width="10.42578125" style="539" bestFit="1" customWidth="1"/>
    <col min="2575" max="2816" width="9.140625" style="539"/>
    <col min="2817" max="2817" width="32.42578125" style="539" bestFit="1" customWidth="1"/>
    <col min="2818" max="2818" width="7.42578125" style="539" bestFit="1" customWidth="1"/>
    <col min="2819" max="2819" width="51.85546875" style="539" bestFit="1" customWidth="1"/>
    <col min="2820" max="2820" width="6.85546875" style="539" bestFit="1" customWidth="1"/>
    <col min="2821" max="2821" width="9.5703125" style="539" bestFit="1" customWidth="1"/>
    <col min="2822" max="2822" width="6.42578125" style="539" bestFit="1" customWidth="1"/>
    <col min="2823" max="2823" width="9.42578125" style="539" customWidth="1"/>
    <col min="2824" max="2824" width="6.140625" style="539" bestFit="1" customWidth="1"/>
    <col min="2825" max="2827" width="6.5703125" style="539" bestFit="1" customWidth="1"/>
    <col min="2828" max="2828" width="7.140625" style="539" bestFit="1" customWidth="1"/>
    <col min="2829" max="2829" width="7.42578125" style="539" bestFit="1" customWidth="1"/>
    <col min="2830" max="2830" width="10.42578125" style="539" bestFit="1" customWidth="1"/>
    <col min="2831" max="3072" width="9.140625" style="539"/>
    <col min="3073" max="3073" width="32.42578125" style="539" bestFit="1" customWidth="1"/>
    <col min="3074" max="3074" width="7.42578125" style="539" bestFit="1" customWidth="1"/>
    <col min="3075" max="3075" width="51.85546875" style="539" bestFit="1" customWidth="1"/>
    <col min="3076" max="3076" width="6.85546875" style="539" bestFit="1" customWidth="1"/>
    <col min="3077" max="3077" width="9.5703125" style="539" bestFit="1" customWidth="1"/>
    <col min="3078" max="3078" width="6.42578125" style="539" bestFit="1" customWidth="1"/>
    <col min="3079" max="3079" width="9.42578125" style="539" customWidth="1"/>
    <col min="3080" max="3080" width="6.140625" style="539" bestFit="1" customWidth="1"/>
    <col min="3081" max="3083" width="6.5703125" style="539" bestFit="1" customWidth="1"/>
    <col min="3084" max="3084" width="7.140625" style="539" bestFit="1" customWidth="1"/>
    <col min="3085" max="3085" width="7.42578125" style="539" bestFit="1" customWidth="1"/>
    <col min="3086" max="3086" width="10.42578125" style="539" bestFit="1" customWidth="1"/>
    <col min="3087" max="3328" width="9.140625" style="539"/>
    <col min="3329" max="3329" width="32.42578125" style="539" bestFit="1" customWidth="1"/>
    <col min="3330" max="3330" width="7.42578125" style="539" bestFit="1" customWidth="1"/>
    <col min="3331" max="3331" width="51.85546875" style="539" bestFit="1" customWidth="1"/>
    <col min="3332" max="3332" width="6.85546875" style="539" bestFit="1" customWidth="1"/>
    <col min="3333" max="3333" width="9.5703125" style="539" bestFit="1" customWidth="1"/>
    <col min="3334" max="3334" width="6.42578125" style="539" bestFit="1" customWidth="1"/>
    <col min="3335" max="3335" width="9.42578125" style="539" customWidth="1"/>
    <col min="3336" max="3336" width="6.140625" style="539" bestFit="1" customWidth="1"/>
    <col min="3337" max="3339" width="6.5703125" style="539" bestFit="1" customWidth="1"/>
    <col min="3340" max="3340" width="7.140625" style="539" bestFit="1" customWidth="1"/>
    <col min="3341" max="3341" width="7.42578125" style="539" bestFit="1" customWidth="1"/>
    <col min="3342" max="3342" width="10.42578125" style="539" bestFit="1" customWidth="1"/>
    <col min="3343" max="3584" width="9.140625" style="539"/>
    <col min="3585" max="3585" width="32.42578125" style="539" bestFit="1" customWidth="1"/>
    <col min="3586" max="3586" width="7.42578125" style="539" bestFit="1" customWidth="1"/>
    <col min="3587" max="3587" width="51.85546875" style="539" bestFit="1" customWidth="1"/>
    <col min="3588" max="3588" width="6.85546875" style="539" bestFit="1" customWidth="1"/>
    <col min="3589" max="3589" width="9.5703125" style="539" bestFit="1" customWidth="1"/>
    <col min="3590" max="3590" width="6.42578125" style="539" bestFit="1" customWidth="1"/>
    <col min="3591" max="3591" width="9.42578125" style="539" customWidth="1"/>
    <col min="3592" max="3592" width="6.140625" style="539" bestFit="1" customWidth="1"/>
    <col min="3593" max="3595" width="6.5703125" style="539" bestFit="1" customWidth="1"/>
    <col min="3596" max="3596" width="7.140625" style="539" bestFit="1" customWidth="1"/>
    <col min="3597" max="3597" width="7.42578125" style="539" bestFit="1" customWidth="1"/>
    <col min="3598" max="3598" width="10.42578125" style="539" bestFit="1" customWidth="1"/>
    <col min="3599" max="3840" width="9.140625" style="539"/>
    <col min="3841" max="3841" width="32.42578125" style="539" bestFit="1" customWidth="1"/>
    <col min="3842" max="3842" width="7.42578125" style="539" bestFit="1" customWidth="1"/>
    <col min="3843" max="3843" width="51.85546875" style="539" bestFit="1" customWidth="1"/>
    <col min="3844" max="3844" width="6.85546875" style="539" bestFit="1" customWidth="1"/>
    <col min="3845" max="3845" width="9.5703125" style="539" bestFit="1" customWidth="1"/>
    <col min="3846" max="3846" width="6.42578125" style="539" bestFit="1" customWidth="1"/>
    <col min="3847" max="3847" width="9.42578125" style="539" customWidth="1"/>
    <col min="3848" max="3848" width="6.140625" style="539" bestFit="1" customWidth="1"/>
    <col min="3849" max="3851" width="6.5703125" style="539" bestFit="1" customWidth="1"/>
    <col min="3852" max="3852" width="7.140625" style="539" bestFit="1" customWidth="1"/>
    <col min="3853" max="3853" width="7.42578125" style="539" bestFit="1" customWidth="1"/>
    <col min="3854" max="3854" width="10.42578125" style="539" bestFit="1" customWidth="1"/>
    <col min="3855" max="4096" width="9.140625" style="539"/>
    <col min="4097" max="4097" width="32.42578125" style="539" bestFit="1" customWidth="1"/>
    <col min="4098" max="4098" width="7.42578125" style="539" bestFit="1" customWidth="1"/>
    <col min="4099" max="4099" width="51.85546875" style="539" bestFit="1" customWidth="1"/>
    <col min="4100" max="4100" width="6.85546875" style="539" bestFit="1" customWidth="1"/>
    <col min="4101" max="4101" width="9.5703125" style="539" bestFit="1" customWidth="1"/>
    <col min="4102" max="4102" width="6.42578125" style="539" bestFit="1" customWidth="1"/>
    <col min="4103" max="4103" width="9.42578125" style="539" customWidth="1"/>
    <col min="4104" max="4104" width="6.140625" style="539" bestFit="1" customWidth="1"/>
    <col min="4105" max="4107" width="6.5703125" style="539" bestFit="1" customWidth="1"/>
    <col min="4108" max="4108" width="7.140625" style="539" bestFit="1" customWidth="1"/>
    <col min="4109" max="4109" width="7.42578125" style="539" bestFit="1" customWidth="1"/>
    <col min="4110" max="4110" width="10.42578125" style="539" bestFit="1" customWidth="1"/>
    <col min="4111" max="4352" width="9.140625" style="539"/>
    <col min="4353" max="4353" width="32.42578125" style="539" bestFit="1" customWidth="1"/>
    <col min="4354" max="4354" width="7.42578125" style="539" bestFit="1" customWidth="1"/>
    <col min="4355" max="4355" width="51.85546875" style="539" bestFit="1" customWidth="1"/>
    <col min="4356" max="4356" width="6.85546875" style="539" bestFit="1" customWidth="1"/>
    <col min="4357" max="4357" width="9.5703125" style="539" bestFit="1" customWidth="1"/>
    <col min="4358" max="4358" width="6.42578125" style="539" bestFit="1" customWidth="1"/>
    <col min="4359" max="4359" width="9.42578125" style="539" customWidth="1"/>
    <col min="4360" max="4360" width="6.140625" style="539" bestFit="1" customWidth="1"/>
    <col min="4361" max="4363" width="6.5703125" style="539" bestFit="1" customWidth="1"/>
    <col min="4364" max="4364" width="7.140625" style="539" bestFit="1" customWidth="1"/>
    <col min="4365" max="4365" width="7.42578125" style="539" bestFit="1" customWidth="1"/>
    <col min="4366" max="4366" width="10.42578125" style="539" bestFit="1" customWidth="1"/>
    <col min="4367" max="4608" width="9.140625" style="539"/>
    <col min="4609" max="4609" width="32.42578125" style="539" bestFit="1" customWidth="1"/>
    <col min="4610" max="4610" width="7.42578125" style="539" bestFit="1" customWidth="1"/>
    <col min="4611" max="4611" width="51.85546875" style="539" bestFit="1" customWidth="1"/>
    <col min="4612" max="4612" width="6.85546875" style="539" bestFit="1" customWidth="1"/>
    <col min="4613" max="4613" width="9.5703125" style="539" bestFit="1" customWidth="1"/>
    <col min="4614" max="4614" width="6.42578125" style="539" bestFit="1" customWidth="1"/>
    <col min="4615" max="4615" width="9.42578125" style="539" customWidth="1"/>
    <col min="4616" max="4616" width="6.140625" style="539" bestFit="1" customWidth="1"/>
    <col min="4617" max="4619" width="6.5703125" style="539" bestFit="1" customWidth="1"/>
    <col min="4620" max="4620" width="7.140625" style="539" bestFit="1" customWidth="1"/>
    <col min="4621" max="4621" width="7.42578125" style="539" bestFit="1" customWidth="1"/>
    <col min="4622" max="4622" width="10.42578125" style="539" bestFit="1" customWidth="1"/>
    <col min="4623" max="4864" width="9.140625" style="539"/>
    <col min="4865" max="4865" width="32.42578125" style="539" bestFit="1" customWidth="1"/>
    <col min="4866" max="4866" width="7.42578125" style="539" bestFit="1" customWidth="1"/>
    <col min="4867" max="4867" width="51.85546875" style="539" bestFit="1" customWidth="1"/>
    <col min="4868" max="4868" width="6.85546875" style="539" bestFit="1" customWidth="1"/>
    <col min="4869" max="4869" width="9.5703125" style="539" bestFit="1" customWidth="1"/>
    <col min="4870" max="4870" width="6.42578125" style="539" bestFit="1" customWidth="1"/>
    <col min="4871" max="4871" width="9.42578125" style="539" customWidth="1"/>
    <col min="4872" max="4872" width="6.140625" style="539" bestFit="1" customWidth="1"/>
    <col min="4873" max="4875" width="6.5703125" style="539" bestFit="1" customWidth="1"/>
    <col min="4876" max="4876" width="7.140625" style="539" bestFit="1" customWidth="1"/>
    <col min="4877" max="4877" width="7.42578125" style="539" bestFit="1" customWidth="1"/>
    <col min="4878" max="4878" width="10.42578125" style="539" bestFit="1" customWidth="1"/>
    <col min="4879" max="5120" width="9.140625" style="539"/>
    <col min="5121" max="5121" width="32.42578125" style="539" bestFit="1" customWidth="1"/>
    <col min="5122" max="5122" width="7.42578125" style="539" bestFit="1" customWidth="1"/>
    <col min="5123" max="5123" width="51.85546875" style="539" bestFit="1" customWidth="1"/>
    <col min="5124" max="5124" width="6.85546875" style="539" bestFit="1" customWidth="1"/>
    <col min="5125" max="5125" width="9.5703125" style="539" bestFit="1" customWidth="1"/>
    <col min="5126" max="5126" width="6.42578125" style="539" bestFit="1" customWidth="1"/>
    <col min="5127" max="5127" width="9.42578125" style="539" customWidth="1"/>
    <col min="5128" max="5128" width="6.140625" style="539" bestFit="1" customWidth="1"/>
    <col min="5129" max="5131" width="6.5703125" style="539" bestFit="1" customWidth="1"/>
    <col min="5132" max="5132" width="7.140625" style="539" bestFit="1" customWidth="1"/>
    <col min="5133" max="5133" width="7.42578125" style="539" bestFit="1" customWidth="1"/>
    <col min="5134" max="5134" width="10.42578125" style="539" bestFit="1" customWidth="1"/>
    <col min="5135" max="5376" width="9.140625" style="539"/>
    <col min="5377" max="5377" width="32.42578125" style="539" bestFit="1" customWidth="1"/>
    <col min="5378" max="5378" width="7.42578125" style="539" bestFit="1" customWidth="1"/>
    <col min="5379" max="5379" width="51.85546875" style="539" bestFit="1" customWidth="1"/>
    <col min="5380" max="5380" width="6.85546875" style="539" bestFit="1" customWidth="1"/>
    <col min="5381" max="5381" width="9.5703125" style="539" bestFit="1" customWidth="1"/>
    <col min="5382" max="5382" width="6.42578125" style="539" bestFit="1" customWidth="1"/>
    <col min="5383" max="5383" width="9.42578125" style="539" customWidth="1"/>
    <col min="5384" max="5384" width="6.140625" style="539" bestFit="1" customWidth="1"/>
    <col min="5385" max="5387" width="6.5703125" style="539" bestFit="1" customWidth="1"/>
    <col min="5388" max="5388" width="7.140625" style="539" bestFit="1" customWidth="1"/>
    <col min="5389" max="5389" width="7.42578125" style="539" bestFit="1" customWidth="1"/>
    <col min="5390" max="5390" width="10.42578125" style="539" bestFit="1" customWidth="1"/>
    <col min="5391" max="5632" width="9.140625" style="539"/>
    <col min="5633" max="5633" width="32.42578125" style="539" bestFit="1" customWidth="1"/>
    <col min="5634" max="5634" width="7.42578125" style="539" bestFit="1" customWidth="1"/>
    <col min="5635" max="5635" width="51.85546875" style="539" bestFit="1" customWidth="1"/>
    <col min="5636" max="5636" width="6.85546875" style="539" bestFit="1" customWidth="1"/>
    <col min="5637" max="5637" width="9.5703125" style="539" bestFit="1" customWidth="1"/>
    <col min="5638" max="5638" width="6.42578125" style="539" bestFit="1" customWidth="1"/>
    <col min="5639" max="5639" width="9.42578125" style="539" customWidth="1"/>
    <col min="5640" max="5640" width="6.140625" style="539" bestFit="1" customWidth="1"/>
    <col min="5641" max="5643" width="6.5703125" style="539" bestFit="1" customWidth="1"/>
    <col min="5644" max="5644" width="7.140625" style="539" bestFit="1" customWidth="1"/>
    <col min="5645" max="5645" width="7.42578125" style="539" bestFit="1" customWidth="1"/>
    <col min="5646" max="5646" width="10.42578125" style="539" bestFit="1" customWidth="1"/>
    <col min="5647" max="5888" width="9.140625" style="539"/>
    <col min="5889" max="5889" width="32.42578125" style="539" bestFit="1" customWidth="1"/>
    <col min="5890" max="5890" width="7.42578125" style="539" bestFit="1" customWidth="1"/>
    <col min="5891" max="5891" width="51.85546875" style="539" bestFit="1" customWidth="1"/>
    <col min="5892" max="5892" width="6.85546875" style="539" bestFit="1" customWidth="1"/>
    <col min="5893" max="5893" width="9.5703125" style="539" bestFit="1" customWidth="1"/>
    <col min="5894" max="5894" width="6.42578125" style="539" bestFit="1" customWidth="1"/>
    <col min="5895" max="5895" width="9.42578125" style="539" customWidth="1"/>
    <col min="5896" max="5896" width="6.140625" style="539" bestFit="1" customWidth="1"/>
    <col min="5897" max="5899" width="6.5703125" style="539" bestFit="1" customWidth="1"/>
    <col min="5900" max="5900" width="7.140625" style="539" bestFit="1" customWidth="1"/>
    <col min="5901" max="5901" width="7.42578125" style="539" bestFit="1" customWidth="1"/>
    <col min="5902" max="5902" width="10.42578125" style="539" bestFit="1" customWidth="1"/>
    <col min="5903" max="6144" width="9.140625" style="539"/>
    <col min="6145" max="6145" width="32.42578125" style="539" bestFit="1" customWidth="1"/>
    <col min="6146" max="6146" width="7.42578125" style="539" bestFit="1" customWidth="1"/>
    <col min="6147" max="6147" width="51.85546875" style="539" bestFit="1" customWidth="1"/>
    <col min="6148" max="6148" width="6.85546875" style="539" bestFit="1" customWidth="1"/>
    <col min="6149" max="6149" width="9.5703125" style="539" bestFit="1" customWidth="1"/>
    <col min="6150" max="6150" width="6.42578125" style="539" bestFit="1" customWidth="1"/>
    <col min="6151" max="6151" width="9.42578125" style="539" customWidth="1"/>
    <col min="6152" max="6152" width="6.140625" style="539" bestFit="1" customWidth="1"/>
    <col min="6153" max="6155" width="6.5703125" style="539" bestFit="1" customWidth="1"/>
    <col min="6156" max="6156" width="7.140625" style="539" bestFit="1" customWidth="1"/>
    <col min="6157" max="6157" width="7.42578125" style="539" bestFit="1" customWidth="1"/>
    <col min="6158" max="6158" width="10.42578125" style="539" bestFit="1" customWidth="1"/>
    <col min="6159" max="6400" width="9.140625" style="539"/>
    <col min="6401" max="6401" width="32.42578125" style="539" bestFit="1" customWidth="1"/>
    <col min="6402" max="6402" width="7.42578125" style="539" bestFit="1" customWidth="1"/>
    <col min="6403" max="6403" width="51.85546875" style="539" bestFit="1" customWidth="1"/>
    <col min="6404" max="6404" width="6.85546875" style="539" bestFit="1" customWidth="1"/>
    <col min="6405" max="6405" width="9.5703125" style="539" bestFit="1" customWidth="1"/>
    <col min="6406" max="6406" width="6.42578125" style="539" bestFit="1" customWidth="1"/>
    <col min="6407" max="6407" width="9.42578125" style="539" customWidth="1"/>
    <col min="6408" max="6408" width="6.140625" style="539" bestFit="1" customWidth="1"/>
    <col min="6409" max="6411" width="6.5703125" style="539" bestFit="1" customWidth="1"/>
    <col min="6412" max="6412" width="7.140625" style="539" bestFit="1" customWidth="1"/>
    <col min="6413" max="6413" width="7.42578125" style="539" bestFit="1" customWidth="1"/>
    <col min="6414" max="6414" width="10.42578125" style="539" bestFit="1" customWidth="1"/>
    <col min="6415" max="6656" width="9.140625" style="539"/>
    <col min="6657" max="6657" width="32.42578125" style="539" bestFit="1" customWidth="1"/>
    <col min="6658" max="6658" width="7.42578125" style="539" bestFit="1" customWidth="1"/>
    <col min="6659" max="6659" width="51.85546875" style="539" bestFit="1" customWidth="1"/>
    <col min="6660" max="6660" width="6.85546875" style="539" bestFit="1" customWidth="1"/>
    <col min="6661" max="6661" width="9.5703125" style="539" bestFit="1" customWidth="1"/>
    <col min="6662" max="6662" width="6.42578125" style="539" bestFit="1" customWidth="1"/>
    <col min="6663" max="6663" width="9.42578125" style="539" customWidth="1"/>
    <col min="6664" max="6664" width="6.140625" style="539" bestFit="1" customWidth="1"/>
    <col min="6665" max="6667" width="6.5703125" style="539" bestFit="1" customWidth="1"/>
    <col min="6668" max="6668" width="7.140625" style="539" bestFit="1" customWidth="1"/>
    <col min="6669" max="6669" width="7.42578125" style="539" bestFit="1" customWidth="1"/>
    <col min="6670" max="6670" width="10.42578125" style="539" bestFit="1" customWidth="1"/>
    <col min="6671" max="6912" width="9.140625" style="539"/>
    <col min="6913" max="6913" width="32.42578125" style="539" bestFit="1" customWidth="1"/>
    <col min="6914" max="6914" width="7.42578125" style="539" bestFit="1" customWidth="1"/>
    <col min="6915" max="6915" width="51.85546875" style="539" bestFit="1" customWidth="1"/>
    <col min="6916" max="6916" width="6.85546875" style="539" bestFit="1" customWidth="1"/>
    <col min="6917" max="6917" width="9.5703125" style="539" bestFit="1" customWidth="1"/>
    <col min="6918" max="6918" width="6.42578125" style="539" bestFit="1" customWidth="1"/>
    <col min="6919" max="6919" width="9.42578125" style="539" customWidth="1"/>
    <col min="6920" max="6920" width="6.140625" style="539" bestFit="1" customWidth="1"/>
    <col min="6921" max="6923" width="6.5703125" style="539" bestFit="1" customWidth="1"/>
    <col min="6924" max="6924" width="7.140625" style="539" bestFit="1" customWidth="1"/>
    <col min="6925" max="6925" width="7.42578125" style="539" bestFit="1" customWidth="1"/>
    <col min="6926" max="6926" width="10.42578125" style="539" bestFit="1" customWidth="1"/>
    <col min="6927" max="7168" width="9.140625" style="539"/>
    <col min="7169" max="7169" width="32.42578125" style="539" bestFit="1" customWidth="1"/>
    <col min="7170" max="7170" width="7.42578125" style="539" bestFit="1" customWidth="1"/>
    <col min="7171" max="7171" width="51.85546875" style="539" bestFit="1" customWidth="1"/>
    <col min="7172" max="7172" width="6.85546875" style="539" bestFit="1" customWidth="1"/>
    <col min="7173" max="7173" width="9.5703125" style="539" bestFit="1" customWidth="1"/>
    <col min="7174" max="7174" width="6.42578125" style="539" bestFit="1" customWidth="1"/>
    <col min="7175" max="7175" width="9.42578125" style="539" customWidth="1"/>
    <col min="7176" max="7176" width="6.140625" style="539" bestFit="1" customWidth="1"/>
    <col min="7177" max="7179" width="6.5703125" style="539" bestFit="1" customWidth="1"/>
    <col min="7180" max="7180" width="7.140625" style="539" bestFit="1" customWidth="1"/>
    <col min="7181" max="7181" width="7.42578125" style="539" bestFit="1" customWidth="1"/>
    <col min="7182" max="7182" width="10.42578125" style="539" bestFit="1" customWidth="1"/>
    <col min="7183" max="7424" width="9.140625" style="539"/>
    <col min="7425" max="7425" width="32.42578125" style="539" bestFit="1" customWidth="1"/>
    <col min="7426" max="7426" width="7.42578125" style="539" bestFit="1" customWidth="1"/>
    <col min="7427" max="7427" width="51.85546875" style="539" bestFit="1" customWidth="1"/>
    <col min="7428" max="7428" width="6.85546875" style="539" bestFit="1" customWidth="1"/>
    <col min="7429" max="7429" width="9.5703125" style="539" bestFit="1" customWidth="1"/>
    <col min="7430" max="7430" width="6.42578125" style="539" bestFit="1" customWidth="1"/>
    <col min="7431" max="7431" width="9.42578125" style="539" customWidth="1"/>
    <col min="7432" max="7432" width="6.140625" style="539" bestFit="1" customWidth="1"/>
    <col min="7433" max="7435" width="6.5703125" style="539" bestFit="1" customWidth="1"/>
    <col min="7436" max="7436" width="7.140625" style="539" bestFit="1" customWidth="1"/>
    <col min="7437" max="7437" width="7.42578125" style="539" bestFit="1" customWidth="1"/>
    <col min="7438" max="7438" width="10.42578125" style="539" bestFit="1" customWidth="1"/>
    <col min="7439" max="7680" width="9.140625" style="539"/>
    <col min="7681" max="7681" width="32.42578125" style="539" bestFit="1" customWidth="1"/>
    <col min="7682" max="7682" width="7.42578125" style="539" bestFit="1" customWidth="1"/>
    <col min="7683" max="7683" width="51.85546875" style="539" bestFit="1" customWidth="1"/>
    <col min="7684" max="7684" width="6.85546875" style="539" bestFit="1" customWidth="1"/>
    <col min="7685" max="7685" width="9.5703125" style="539" bestFit="1" customWidth="1"/>
    <col min="7686" max="7686" width="6.42578125" style="539" bestFit="1" customWidth="1"/>
    <col min="7687" max="7687" width="9.42578125" style="539" customWidth="1"/>
    <col min="7688" max="7688" width="6.140625" style="539" bestFit="1" customWidth="1"/>
    <col min="7689" max="7691" width="6.5703125" style="539" bestFit="1" customWidth="1"/>
    <col min="7692" max="7692" width="7.140625" style="539" bestFit="1" customWidth="1"/>
    <col min="7693" max="7693" width="7.42578125" style="539" bestFit="1" customWidth="1"/>
    <col min="7694" max="7694" width="10.42578125" style="539" bestFit="1" customWidth="1"/>
    <col min="7695" max="7936" width="9.140625" style="539"/>
    <col min="7937" max="7937" width="32.42578125" style="539" bestFit="1" customWidth="1"/>
    <col min="7938" max="7938" width="7.42578125" style="539" bestFit="1" customWidth="1"/>
    <col min="7939" max="7939" width="51.85546875" style="539" bestFit="1" customWidth="1"/>
    <col min="7940" max="7940" width="6.85546875" style="539" bestFit="1" customWidth="1"/>
    <col min="7941" max="7941" width="9.5703125" style="539" bestFit="1" customWidth="1"/>
    <col min="7942" max="7942" width="6.42578125" style="539" bestFit="1" customWidth="1"/>
    <col min="7943" max="7943" width="9.42578125" style="539" customWidth="1"/>
    <col min="7944" max="7944" width="6.140625" style="539" bestFit="1" customWidth="1"/>
    <col min="7945" max="7947" width="6.5703125" style="539" bestFit="1" customWidth="1"/>
    <col min="7948" max="7948" width="7.140625" style="539" bestFit="1" customWidth="1"/>
    <col min="7949" max="7949" width="7.42578125" style="539" bestFit="1" customWidth="1"/>
    <col min="7950" max="7950" width="10.42578125" style="539" bestFit="1" customWidth="1"/>
    <col min="7951" max="8192" width="9.140625" style="539"/>
    <col min="8193" max="8193" width="32.42578125" style="539" bestFit="1" customWidth="1"/>
    <col min="8194" max="8194" width="7.42578125" style="539" bestFit="1" customWidth="1"/>
    <col min="8195" max="8195" width="51.85546875" style="539" bestFit="1" customWidth="1"/>
    <col min="8196" max="8196" width="6.85546875" style="539" bestFit="1" customWidth="1"/>
    <col min="8197" max="8197" width="9.5703125" style="539" bestFit="1" customWidth="1"/>
    <col min="8198" max="8198" width="6.42578125" style="539" bestFit="1" customWidth="1"/>
    <col min="8199" max="8199" width="9.42578125" style="539" customWidth="1"/>
    <col min="8200" max="8200" width="6.140625" style="539" bestFit="1" customWidth="1"/>
    <col min="8201" max="8203" width="6.5703125" style="539" bestFit="1" customWidth="1"/>
    <col min="8204" max="8204" width="7.140625" style="539" bestFit="1" customWidth="1"/>
    <col min="8205" max="8205" width="7.42578125" style="539" bestFit="1" customWidth="1"/>
    <col min="8206" max="8206" width="10.42578125" style="539" bestFit="1" customWidth="1"/>
    <col min="8207" max="8448" width="9.140625" style="539"/>
    <col min="8449" max="8449" width="32.42578125" style="539" bestFit="1" customWidth="1"/>
    <col min="8450" max="8450" width="7.42578125" style="539" bestFit="1" customWidth="1"/>
    <col min="8451" max="8451" width="51.85546875" style="539" bestFit="1" customWidth="1"/>
    <col min="8452" max="8452" width="6.85546875" style="539" bestFit="1" customWidth="1"/>
    <col min="8453" max="8453" width="9.5703125" style="539" bestFit="1" customWidth="1"/>
    <col min="8454" max="8454" width="6.42578125" style="539" bestFit="1" customWidth="1"/>
    <col min="8455" max="8455" width="9.42578125" style="539" customWidth="1"/>
    <col min="8456" max="8456" width="6.140625" style="539" bestFit="1" customWidth="1"/>
    <col min="8457" max="8459" width="6.5703125" style="539" bestFit="1" customWidth="1"/>
    <col min="8460" max="8460" width="7.140625" style="539" bestFit="1" customWidth="1"/>
    <col min="8461" max="8461" width="7.42578125" style="539" bestFit="1" customWidth="1"/>
    <col min="8462" max="8462" width="10.42578125" style="539" bestFit="1" customWidth="1"/>
    <col min="8463" max="8704" width="9.140625" style="539"/>
    <col min="8705" max="8705" width="32.42578125" style="539" bestFit="1" customWidth="1"/>
    <col min="8706" max="8706" width="7.42578125" style="539" bestFit="1" customWidth="1"/>
    <col min="8707" max="8707" width="51.85546875" style="539" bestFit="1" customWidth="1"/>
    <col min="8708" max="8708" width="6.85546875" style="539" bestFit="1" customWidth="1"/>
    <col min="8709" max="8709" width="9.5703125" style="539" bestFit="1" customWidth="1"/>
    <col min="8710" max="8710" width="6.42578125" style="539" bestFit="1" customWidth="1"/>
    <col min="8711" max="8711" width="9.42578125" style="539" customWidth="1"/>
    <col min="8712" max="8712" width="6.140625" style="539" bestFit="1" customWidth="1"/>
    <col min="8713" max="8715" width="6.5703125" style="539" bestFit="1" customWidth="1"/>
    <col min="8716" max="8716" width="7.140625" style="539" bestFit="1" customWidth="1"/>
    <col min="8717" max="8717" width="7.42578125" style="539" bestFit="1" customWidth="1"/>
    <col min="8718" max="8718" width="10.42578125" style="539" bestFit="1" customWidth="1"/>
    <col min="8719" max="8960" width="9.140625" style="539"/>
    <col min="8961" max="8961" width="32.42578125" style="539" bestFit="1" customWidth="1"/>
    <col min="8962" max="8962" width="7.42578125" style="539" bestFit="1" customWidth="1"/>
    <col min="8963" max="8963" width="51.85546875" style="539" bestFit="1" customWidth="1"/>
    <col min="8964" max="8964" width="6.85546875" style="539" bestFit="1" customWidth="1"/>
    <col min="8965" max="8965" width="9.5703125" style="539" bestFit="1" customWidth="1"/>
    <col min="8966" max="8966" width="6.42578125" style="539" bestFit="1" customWidth="1"/>
    <col min="8967" max="8967" width="9.42578125" style="539" customWidth="1"/>
    <col min="8968" max="8968" width="6.140625" style="539" bestFit="1" customWidth="1"/>
    <col min="8969" max="8971" width="6.5703125" style="539" bestFit="1" customWidth="1"/>
    <col min="8972" max="8972" width="7.140625" style="539" bestFit="1" customWidth="1"/>
    <col min="8973" max="8973" width="7.42578125" style="539" bestFit="1" customWidth="1"/>
    <col min="8974" max="8974" width="10.42578125" style="539" bestFit="1" customWidth="1"/>
    <col min="8975" max="9216" width="9.140625" style="539"/>
    <col min="9217" max="9217" width="32.42578125" style="539" bestFit="1" customWidth="1"/>
    <col min="9218" max="9218" width="7.42578125" style="539" bestFit="1" customWidth="1"/>
    <col min="9219" max="9219" width="51.85546875" style="539" bestFit="1" customWidth="1"/>
    <col min="9220" max="9220" width="6.85546875" style="539" bestFit="1" customWidth="1"/>
    <col min="9221" max="9221" width="9.5703125" style="539" bestFit="1" customWidth="1"/>
    <col min="9222" max="9222" width="6.42578125" style="539" bestFit="1" customWidth="1"/>
    <col min="9223" max="9223" width="9.42578125" style="539" customWidth="1"/>
    <col min="9224" max="9224" width="6.140625" style="539" bestFit="1" customWidth="1"/>
    <col min="9225" max="9227" width="6.5703125" style="539" bestFit="1" customWidth="1"/>
    <col min="9228" max="9228" width="7.140625" style="539" bestFit="1" customWidth="1"/>
    <col min="9229" max="9229" width="7.42578125" style="539" bestFit="1" customWidth="1"/>
    <col min="9230" max="9230" width="10.42578125" style="539" bestFit="1" customWidth="1"/>
    <col min="9231" max="9472" width="9.140625" style="539"/>
    <col min="9473" max="9473" width="32.42578125" style="539" bestFit="1" customWidth="1"/>
    <col min="9474" max="9474" width="7.42578125" style="539" bestFit="1" customWidth="1"/>
    <col min="9475" max="9475" width="51.85546875" style="539" bestFit="1" customWidth="1"/>
    <col min="9476" max="9476" width="6.85546875" style="539" bestFit="1" customWidth="1"/>
    <col min="9477" max="9477" width="9.5703125" style="539" bestFit="1" customWidth="1"/>
    <col min="9478" max="9478" width="6.42578125" style="539" bestFit="1" customWidth="1"/>
    <col min="9479" max="9479" width="9.42578125" style="539" customWidth="1"/>
    <col min="9480" max="9480" width="6.140625" style="539" bestFit="1" customWidth="1"/>
    <col min="9481" max="9483" width="6.5703125" style="539" bestFit="1" customWidth="1"/>
    <col min="9484" max="9484" width="7.140625" style="539" bestFit="1" customWidth="1"/>
    <col min="9485" max="9485" width="7.42578125" style="539" bestFit="1" customWidth="1"/>
    <col min="9486" max="9486" width="10.42578125" style="539" bestFit="1" customWidth="1"/>
    <col min="9487" max="9728" width="9.140625" style="539"/>
    <col min="9729" max="9729" width="32.42578125" style="539" bestFit="1" customWidth="1"/>
    <col min="9730" max="9730" width="7.42578125" style="539" bestFit="1" customWidth="1"/>
    <col min="9731" max="9731" width="51.85546875" style="539" bestFit="1" customWidth="1"/>
    <col min="9732" max="9732" width="6.85546875" style="539" bestFit="1" customWidth="1"/>
    <col min="9733" max="9733" width="9.5703125" style="539" bestFit="1" customWidth="1"/>
    <col min="9734" max="9734" width="6.42578125" style="539" bestFit="1" customWidth="1"/>
    <col min="9735" max="9735" width="9.42578125" style="539" customWidth="1"/>
    <col min="9736" max="9736" width="6.140625" style="539" bestFit="1" customWidth="1"/>
    <col min="9737" max="9739" width="6.5703125" style="539" bestFit="1" customWidth="1"/>
    <col min="9740" max="9740" width="7.140625" style="539" bestFit="1" customWidth="1"/>
    <col min="9741" max="9741" width="7.42578125" style="539" bestFit="1" customWidth="1"/>
    <col min="9742" max="9742" width="10.42578125" style="539" bestFit="1" customWidth="1"/>
    <col min="9743" max="9984" width="9.140625" style="539"/>
    <col min="9985" max="9985" width="32.42578125" style="539" bestFit="1" customWidth="1"/>
    <col min="9986" max="9986" width="7.42578125" style="539" bestFit="1" customWidth="1"/>
    <col min="9987" max="9987" width="51.85546875" style="539" bestFit="1" customWidth="1"/>
    <col min="9988" max="9988" width="6.85546875" style="539" bestFit="1" customWidth="1"/>
    <col min="9989" max="9989" width="9.5703125" style="539" bestFit="1" customWidth="1"/>
    <col min="9990" max="9990" width="6.42578125" style="539" bestFit="1" customWidth="1"/>
    <col min="9991" max="9991" width="9.42578125" style="539" customWidth="1"/>
    <col min="9992" max="9992" width="6.140625" style="539" bestFit="1" customWidth="1"/>
    <col min="9993" max="9995" width="6.5703125" style="539" bestFit="1" customWidth="1"/>
    <col min="9996" max="9996" width="7.140625" style="539" bestFit="1" customWidth="1"/>
    <col min="9997" max="9997" width="7.42578125" style="539" bestFit="1" customWidth="1"/>
    <col min="9998" max="9998" width="10.42578125" style="539" bestFit="1" customWidth="1"/>
    <col min="9999" max="10240" width="9.140625" style="539"/>
    <col min="10241" max="10241" width="32.42578125" style="539" bestFit="1" customWidth="1"/>
    <col min="10242" max="10242" width="7.42578125" style="539" bestFit="1" customWidth="1"/>
    <col min="10243" max="10243" width="51.85546875" style="539" bestFit="1" customWidth="1"/>
    <col min="10244" max="10244" width="6.85546875" style="539" bestFit="1" customWidth="1"/>
    <col min="10245" max="10245" width="9.5703125" style="539" bestFit="1" customWidth="1"/>
    <col min="10246" max="10246" width="6.42578125" style="539" bestFit="1" customWidth="1"/>
    <col min="10247" max="10247" width="9.42578125" style="539" customWidth="1"/>
    <col min="10248" max="10248" width="6.140625" style="539" bestFit="1" customWidth="1"/>
    <col min="10249" max="10251" width="6.5703125" style="539" bestFit="1" customWidth="1"/>
    <col min="10252" max="10252" width="7.140625" style="539" bestFit="1" customWidth="1"/>
    <col min="10253" max="10253" width="7.42578125" style="539" bestFit="1" customWidth="1"/>
    <col min="10254" max="10254" width="10.42578125" style="539" bestFit="1" customWidth="1"/>
    <col min="10255" max="10496" width="9.140625" style="539"/>
    <col min="10497" max="10497" width="32.42578125" style="539" bestFit="1" customWidth="1"/>
    <col min="10498" max="10498" width="7.42578125" style="539" bestFit="1" customWidth="1"/>
    <col min="10499" max="10499" width="51.85546875" style="539" bestFit="1" customWidth="1"/>
    <col min="10500" max="10500" width="6.85546875" style="539" bestFit="1" customWidth="1"/>
    <col min="10501" max="10501" width="9.5703125" style="539" bestFit="1" customWidth="1"/>
    <col min="10502" max="10502" width="6.42578125" style="539" bestFit="1" customWidth="1"/>
    <col min="10503" max="10503" width="9.42578125" style="539" customWidth="1"/>
    <col min="10504" max="10504" width="6.140625" style="539" bestFit="1" customWidth="1"/>
    <col min="10505" max="10507" width="6.5703125" style="539" bestFit="1" customWidth="1"/>
    <col min="10508" max="10508" width="7.140625" style="539" bestFit="1" customWidth="1"/>
    <col min="10509" max="10509" width="7.42578125" style="539" bestFit="1" customWidth="1"/>
    <col min="10510" max="10510" width="10.42578125" style="539" bestFit="1" customWidth="1"/>
    <col min="10511" max="10752" width="9.140625" style="539"/>
    <col min="10753" max="10753" width="32.42578125" style="539" bestFit="1" customWidth="1"/>
    <col min="10754" max="10754" width="7.42578125" style="539" bestFit="1" customWidth="1"/>
    <col min="10755" max="10755" width="51.85546875" style="539" bestFit="1" customWidth="1"/>
    <col min="10756" max="10756" width="6.85546875" style="539" bestFit="1" customWidth="1"/>
    <col min="10757" max="10757" width="9.5703125" style="539" bestFit="1" customWidth="1"/>
    <col min="10758" max="10758" width="6.42578125" style="539" bestFit="1" customWidth="1"/>
    <col min="10759" max="10759" width="9.42578125" style="539" customWidth="1"/>
    <col min="10760" max="10760" width="6.140625" style="539" bestFit="1" customWidth="1"/>
    <col min="10761" max="10763" width="6.5703125" style="539" bestFit="1" customWidth="1"/>
    <col min="10764" max="10764" width="7.140625" style="539" bestFit="1" customWidth="1"/>
    <col min="10765" max="10765" width="7.42578125" style="539" bestFit="1" customWidth="1"/>
    <col min="10766" max="10766" width="10.42578125" style="539" bestFit="1" customWidth="1"/>
    <col min="10767" max="11008" width="9.140625" style="539"/>
    <col min="11009" max="11009" width="32.42578125" style="539" bestFit="1" customWidth="1"/>
    <col min="11010" max="11010" width="7.42578125" style="539" bestFit="1" customWidth="1"/>
    <col min="11011" max="11011" width="51.85546875" style="539" bestFit="1" customWidth="1"/>
    <col min="11012" max="11012" width="6.85546875" style="539" bestFit="1" customWidth="1"/>
    <col min="11013" max="11013" width="9.5703125" style="539" bestFit="1" customWidth="1"/>
    <col min="11014" max="11014" width="6.42578125" style="539" bestFit="1" customWidth="1"/>
    <col min="11015" max="11015" width="9.42578125" style="539" customWidth="1"/>
    <col min="11016" max="11016" width="6.140625" style="539" bestFit="1" customWidth="1"/>
    <col min="11017" max="11019" width="6.5703125" style="539" bestFit="1" customWidth="1"/>
    <col min="11020" max="11020" width="7.140625" style="539" bestFit="1" customWidth="1"/>
    <col min="11021" max="11021" width="7.42578125" style="539" bestFit="1" customWidth="1"/>
    <col min="11022" max="11022" width="10.42578125" style="539" bestFit="1" customWidth="1"/>
    <col min="11023" max="11264" width="9.140625" style="539"/>
    <col min="11265" max="11265" width="32.42578125" style="539" bestFit="1" customWidth="1"/>
    <col min="11266" max="11266" width="7.42578125" style="539" bestFit="1" customWidth="1"/>
    <col min="11267" max="11267" width="51.85546875" style="539" bestFit="1" customWidth="1"/>
    <col min="11268" max="11268" width="6.85546875" style="539" bestFit="1" customWidth="1"/>
    <col min="11269" max="11269" width="9.5703125" style="539" bestFit="1" customWidth="1"/>
    <col min="11270" max="11270" width="6.42578125" style="539" bestFit="1" customWidth="1"/>
    <col min="11271" max="11271" width="9.42578125" style="539" customWidth="1"/>
    <col min="11272" max="11272" width="6.140625" style="539" bestFit="1" customWidth="1"/>
    <col min="11273" max="11275" width="6.5703125" style="539" bestFit="1" customWidth="1"/>
    <col min="11276" max="11276" width="7.140625" style="539" bestFit="1" customWidth="1"/>
    <col min="11277" max="11277" width="7.42578125" style="539" bestFit="1" customWidth="1"/>
    <col min="11278" max="11278" width="10.42578125" style="539" bestFit="1" customWidth="1"/>
    <col min="11279" max="11520" width="9.140625" style="539"/>
    <col min="11521" max="11521" width="32.42578125" style="539" bestFit="1" customWidth="1"/>
    <col min="11522" max="11522" width="7.42578125" style="539" bestFit="1" customWidth="1"/>
    <col min="11523" max="11523" width="51.85546875" style="539" bestFit="1" customWidth="1"/>
    <col min="11524" max="11524" width="6.85546875" style="539" bestFit="1" customWidth="1"/>
    <col min="11525" max="11525" width="9.5703125" style="539" bestFit="1" customWidth="1"/>
    <col min="11526" max="11526" width="6.42578125" style="539" bestFit="1" customWidth="1"/>
    <col min="11527" max="11527" width="9.42578125" style="539" customWidth="1"/>
    <col min="11528" max="11528" width="6.140625" style="539" bestFit="1" customWidth="1"/>
    <col min="11529" max="11531" width="6.5703125" style="539" bestFit="1" customWidth="1"/>
    <col min="11532" max="11532" width="7.140625" style="539" bestFit="1" customWidth="1"/>
    <col min="11533" max="11533" width="7.42578125" style="539" bestFit="1" customWidth="1"/>
    <col min="11534" max="11534" width="10.42578125" style="539" bestFit="1" customWidth="1"/>
    <col min="11535" max="11776" width="9.140625" style="539"/>
    <col min="11777" max="11777" width="32.42578125" style="539" bestFit="1" customWidth="1"/>
    <col min="11778" max="11778" width="7.42578125" style="539" bestFit="1" customWidth="1"/>
    <col min="11779" max="11779" width="51.85546875" style="539" bestFit="1" customWidth="1"/>
    <col min="11780" max="11780" width="6.85546875" style="539" bestFit="1" customWidth="1"/>
    <col min="11781" max="11781" width="9.5703125" style="539" bestFit="1" customWidth="1"/>
    <col min="11782" max="11782" width="6.42578125" style="539" bestFit="1" customWidth="1"/>
    <col min="11783" max="11783" width="9.42578125" style="539" customWidth="1"/>
    <col min="11784" max="11784" width="6.140625" style="539" bestFit="1" customWidth="1"/>
    <col min="11785" max="11787" width="6.5703125" style="539" bestFit="1" customWidth="1"/>
    <col min="11788" max="11788" width="7.140625" style="539" bestFit="1" customWidth="1"/>
    <col min="11789" max="11789" width="7.42578125" style="539" bestFit="1" customWidth="1"/>
    <col min="11790" max="11790" width="10.42578125" style="539" bestFit="1" customWidth="1"/>
    <col min="11791" max="12032" width="9.140625" style="539"/>
    <col min="12033" max="12033" width="32.42578125" style="539" bestFit="1" customWidth="1"/>
    <col min="12034" max="12034" width="7.42578125" style="539" bestFit="1" customWidth="1"/>
    <col min="12035" max="12035" width="51.85546875" style="539" bestFit="1" customWidth="1"/>
    <col min="12036" max="12036" width="6.85546875" style="539" bestFit="1" customWidth="1"/>
    <col min="12037" max="12037" width="9.5703125" style="539" bestFit="1" customWidth="1"/>
    <col min="12038" max="12038" width="6.42578125" style="539" bestFit="1" customWidth="1"/>
    <col min="12039" max="12039" width="9.42578125" style="539" customWidth="1"/>
    <col min="12040" max="12040" width="6.140625" style="539" bestFit="1" customWidth="1"/>
    <col min="12041" max="12043" width="6.5703125" style="539" bestFit="1" customWidth="1"/>
    <col min="12044" max="12044" width="7.140625" style="539" bestFit="1" customWidth="1"/>
    <col min="12045" max="12045" width="7.42578125" style="539" bestFit="1" customWidth="1"/>
    <col min="12046" max="12046" width="10.42578125" style="539" bestFit="1" customWidth="1"/>
    <col min="12047" max="12288" width="9.140625" style="539"/>
    <col min="12289" max="12289" width="32.42578125" style="539" bestFit="1" customWidth="1"/>
    <col min="12290" max="12290" width="7.42578125" style="539" bestFit="1" customWidth="1"/>
    <col min="12291" max="12291" width="51.85546875" style="539" bestFit="1" customWidth="1"/>
    <col min="12292" max="12292" width="6.85546875" style="539" bestFit="1" customWidth="1"/>
    <col min="12293" max="12293" width="9.5703125" style="539" bestFit="1" customWidth="1"/>
    <col min="12294" max="12294" width="6.42578125" style="539" bestFit="1" customWidth="1"/>
    <col min="12295" max="12295" width="9.42578125" style="539" customWidth="1"/>
    <col min="12296" max="12296" width="6.140625" style="539" bestFit="1" customWidth="1"/>
    <col min="12297" max="12299" width="6.5703125" style="539" bestFit="1" customWidth="1"/>
    <col min="12300" max="12300" width="7.140625" style="539" bestFit="1" customWidth="1"/>
    <col min="12301" max="12301" width="7.42578125" style="539" bestFit="1" customWidth="1"/>
    <col min="12302" max="12302" width="10.42578125" style="539" bestFit="1" customWidth="1"/>
    <col min="12303" max="12544" width="9.140625" style="539"/>
    <col min="12545" max="12545" width="32.42578125" style="539" bestFit="1" customWidth="1"/>
    <col min="12546" max="12546" width="7.42578125" style="539" bestFit="1" customWidth="1"/>
    <col min="12547" max="12547" width="51.85546875" style="539" bestFit="1" customWidth="1"/>
    <col min="12548" max="12548" width="6.85546875" style="539" bestFit="1" customWidth="1"/>
    <col min="12549" max="12549" width="9.5703125" style="539" bestFit="1" customWidth="1"/>
    <col min="12550" max="12550" width="6.42578125" style="539" bestFit="1" customWidth="1"/>
    <col min="12551" max="12551" width="9.42578125" style="539" customWidth="1"/>
    <col min="12552" max="12552" width="6.140625" style="539" bestFit="1" customWidth="1"/>
    <col min="12553" max="12555" width="6.5703125" style="539" bestFit="1" customWidth="1"/>
    <col min="12556" max="12556" width="7.140625" style="539" bestFit="1" customWidth="1"/>
    <col min="12557" max="12557" width="7.42578125" style="539" bestFit="1" customWidth="1"/>
    <col min="12558" max="12558" width="10.42578125" style="539" bestFit="1" customWidth="1"/>
    <col min="12559" max="12800" width="9.140625" style="539"/>
    <col min="12801" max="12801" width="32.42578125" style="539" bestFit="1" customWidth="1"/>
    <col min="12802" max="12802" width="7.42578125" style="539" bestFit="1" customWidth="1"/>
    <col min="12803" max="12803" width="51.85546875" style="539" bestFit="1" customWidth="1"/>
    <col min="12804" max="12804" width="6.85546875" style="539" bestFit="1" customWidth="1"/>
    <col min="12805" max="12805" width="9.5703125" style="539" bestFit="1" customWidth="1"/>
    <col min="12806" max="12806" width="6.42578125" style="539" bestFit="1" customWidth="1"/>
    <col min="12807" max="12807" width="9.42578125" style="539" customWidth="1"/>
    <col min="12808" max="12808" width="6.140625" style="539" bestFit="1" customWidth="1"/>
    <col min="12809" max="12811" width="6.5703125" style="539" bestFit="1" customWidth="1"/>
    <col min="12812" max="12812" width="7.140625" style="539" bestFit="1" customWidth="1"/>
    <col min="12813" max="12813" width="7.42578125" style="539" bestFit="1" customWidth="1"/>
    <col min="12814" max="12814" width="10.42578125" style="539" bestFit="1" customWidth="1"/>
    <col min="12815" max="13056" width="9.140625" style="539"/>
    <col min="13057" max="13057" width="32.42578125" style="539" bestFit="1" customWidth="1"/>
    <col min="13058" max="13058" width="7.42578125" style="539" bestFit="1" customWidth="1"/>
    <col min="13059" max="13059" width="51.85546875" style="539" bestFit="1" customWidth="1"/>
    <col min="13060" max="13060" width="6.85546875" style="539" bestFit="1" customWidth="1"/>
    <col min="13061" max="13061" width="9.5703125" style="539" bestFit="1" customWidth="1"/>
    <col min="13062" max="13062" width="6.42578125" style="539" bestFit="1" customWidth="1"/>
    <col min="13063" max="13063" width="9.42578125" style="539" customWidth="1"/>
    <col min="13064" max="13064" width="6.140625" style="539" bestFit="1" customWidth="1"/>
    <col min="13065" max="13067" width="6.5703125" style="539" bestFit="1" customWidth="1"/>
    <col min="13068" max="13068" width="7.140625" style="539" bestFit="1" customWidth="1"/>
    <col min="13069" max="13069" width="7.42578125" style="539" bestFit="1" customWidth="1"/>
    <col min="13070" max="13070" width="10.42578125" style="539" bestFit="1" customWidth="1"/>
    <col min="13071" max="13312" width="9.140625" style="539"/>
    <col min="13313" max="13313" width="32.42578125" style="539" bestFit="1" customWidth="1"/>
    <col min="13314" max="13314" width="7.42578125" style="539" bestFit="1" customWidth="1"/>
    <col min="13315" max="13315" width="51.85546875" style="539" bestFit="1" customWidth="1"/>
    <col min="13316" max="13316" width="6.85546875" style="539" bestFit="1" customWidth="1"/>
    <col min="13317" max="13317" width="9.5703125" style="539" bestFit="1" customWidth="1"/>
    <col min="13318" max="13318" width="6.42578125" style="539" bestFit="1" customWidth="1"/>
    <col min="13319" max="13319" width="9.42578125" style="539" customWidth="1"/>
    <col min="13320" max="13320" width="6.140625" style="539" bestFit="1" customWidth="1"/>
    <col min="13321" max="13323" width="6.5703125" style="539" bestFit="1" customWidth="1"/>
    <col min="13324" max="13324" width="7.140625" style="539" bestFit="1" customWidth="1"/>
    <col min="13325" max="13325" width="7.42578125" style="539" bestFit="1" customWidth="1"/>
    <col min="13326" max="13326" width="10.42578125" style="539" bestFit="1" customWidth="1"/>
    <col min="13327" max="13568" width="9.140625" style="539"/>
    <col min="13569" max="13569" width="32.42578125" style="539" bestFit="1" customWidth="1"/>
    <col min="13570" max="13570" width="7.42578125" style="539" bestFit="1" customWidth="1"/>
    <col min="13571" max="13571" width="51.85546875" style="539" bestFit="1" customWidth="1"/>
    <col min="13572" max="13572" width="6.85546875" style="539" bestFit="1" customWidth="1"/>
    <col min="13573" max="13573" width="9.5703125" style="539" bestFit="1" customWidth="1"/>
    <col min="13574" max="13574" width="6.42578125" style="539" bestFit="1" customWidth="1"/>
    <col min="13575" max="13575" width="9.42578125" style="539" customWidth="1"/>
    <col min="13576" max="13576" width="6.140625" style="539" bestFit="1" customWidth="1"/>
    <col min="13577" max="13579" width="6.5703125" style="539" bestFit="1" customWidth="1"/>
    <col min="13580" max="13580" width="7.140625" style="539" bestFit="1" customWidth="1"/>
    <col min="13581" max="13581" width="7.42578125" style="539" bestFit="1" customWidth="1"/>
    <col min="13582" max="13582" width="10.42578125" style="539" bestFit="1" customWidth="1"/>
    <col min="13583" max="13824" width="9.140625" style="539"/>
    <col min="13825" max="13825" width="32.42578125" style="539" bestFit="1" customWidth="1"/>
    <col min="13826" max="13826" width="7.42578125" style="539" bestFit="1" customWidth="1"/>
    <col min="13827" max="13827" width="51.85546875" style="539" bestFit="1" customWidth="1"/>
    <col min="13828" max="13828" width="6.85546875" style="539" bestFit="1" customWidth="1"/>
    <col min="13829" max="13829" width="9.5703125" style="539" bestFit="1" customWidth="1"/>
    <col min="13830" max="13830" width="6.42578125" style="539" bestFit="1" customWidth="1"/>
    <col min="13831" max="13831" width="9.42578125" style="539" customWidth="1"/>
    <col min="13832" max="13832" width="6.140625" style="539" bestFit="1" customWidth="1"/>
    <col min="13833" max="13835" width="6.5703125" style="539" bestFit="1" customWidth="1"/>
    <col min="13836" max="13836" width="7.140625" style="539" bestFit="1" customWidth="1"/>
    <col min="13837" max="13837" width="7.42578125" style="539" bestFit="1" customWidth="1"/>
    <col min="13838" max="13838" width="10.42578125" style="539" bestFit="1" customWidth="1"/>
    <col min="13839" max="14080" width="9.140625" style="539"/>
    <col min="14081" max="14081" width="32.42578125" style="539" bestFit="1" customWidth="1"/>
    <col min="14082" max="14082" width="7.42578125" style="539" bestFit="1" customWidth="1"/>
    <col min="14083" max="14083" width="51.85546875" style="539" bestFit="1" customWidth="1"/>
    <col min="14084" max="14084" width="6.85546875" style="539" bestFit="1" customWidth="1"/>
    <col min="14085" max="14085" width="9.5703125" style="539" bestFit="1" customWidth="1"/>
    <col min="14086" max="14086" width="6.42578125" style="539" bestFit="1" customWidth="1"/>
    <col min="14087" max="14087" width="9.42578125" style="539" customWidth="1"/>
    <col min="14088" max="14088" width="6.140625" style="539" bestFit="1" customWidth="1"/>
    <col min="14089" max="14091" width="6.5703125" style="539" bestFit="1" customWidth="1"/>
    <col min="14092" max="14092" width="7.140625" style="539" bestFit="1" customWidth="1"/>
    <col min="14093" max="14093" width="7.42578125" style="539" bestFit="1" customWidth="1"/>
    <col min="14094" max="14094" width="10.42578125" style="539" bestFit="1" customWidth="1"/>
    <col min="14095" max="14336" width="9.140625" style="539"/>
    <col min="14337" max="14337" width="32.42578125" style="539" bestFit="1" customWidth="1"/>
    <col min="14338" max="14338" width="7.42578125" style="539" bestFit="1" customWidth="1"/>
    <col min="14339" max="14339" width="51.85546875" style="539" bestFit="1" customWidth="1"/>
    <col min="14340" max="14340" width="6.85546875" style="539" bestFit="1" customWidth="1"/>
    <col min="14341" max="14341" width="9.5703125" style="539" bestFit="1" customWidth="1"/>
    <col min="14342" max="14342" width="6.42578125" style="539" bestFit="1" customWidth="1"/>
    <col min="14343" max="14343" width="9.42578125" style="539" customWidth="1"/>
    <col min="14344" max="14344" width="6.140625" style="539" bestFit="1" customWidth="1"/>
    <col min="14345" max="14347" width="6.5703125" style="539" bestFit="1" customWidth="1"/>
    <col min="14348" max="14348" width="7.140625" style="539" bestFit="1" customWidth="1"/>
    <col min="14349" max="14349" width="7.42578125" style="539" bestFit="1" customWidth="1"/>
    <col min="14350" max="14350" width="10.42578125" style="539" bestFit="1" customWidth="1"/>
    <col min="14351" max="14592" width="9.140625" style="539"/>
    <col min="14593" max="14593" width="32.42578125" style="539" bestFit="1" customWidth="1"/>
    <col min="14594" max="14594" width="7.42578125" style="539" bestFit="1" customWidth="1"/>
    <col min="14595" max="14595" width="51.85546875" style="539" bestFit="1" customWidth="1"/>
    <col min="14596" max="14596" width="6.85546875" style="539" bestFit="1" customWidth="1"/>
    <col min="14597" max="14597" width="9.5703125" style="539" bestFit="1" customWidth="1"/>
    <col min="14598" max="14598" width="6.42578125" style="539" bestFit="1" customWidth="1"/>
    <col min="14599" max="14599" width="9.42578125" style="539" customWidth="1"/>
    <col min="14600" max="14600" width="6.140625" style="539" bestFit="1" customWidth="1"/>
    <col min="14601" max="14603" width="6.5703125" style="539" bestFit="1" customWidth="1"/>
    <col min="14604" max="14604" width="7.140625" style="539" bestFit="1" customWidth="1"/>
    <col min="14605" max="14605" width="7.42578125" style="539" bestFit="1" customWidth="1"/>
    <col min="14606" max="14606" width="10.42578125" style="539" bestFit="1" customWidth="1"/>
    <col min="14607" max="14848" width="9.140625" style="539"/>
    <col min="14849" max="14849" width="32.42578125" style="539" bestFit="1" customWidth="1"/>
    <col min="14850" max="14850" width="7.42578125" style="539" bestFit="1" customWidth="1"/>
    <col min="14851" max="14851" width="51.85546875" style="539" bestFit="1" customWidth="1"/>
    <col min="14852" max="14852" width="6.85546875" style="539" bestFit="1" customWidth="1"/>
    <col min="14853" max="14853" width="9.5703125" style="539" bestFit="1" customWidth="1"/>
    <col min="14854" max="14854" width="6.42578125" style="539" bestFit="1" customWidth="1"/>
    <col min="14855" max="14855" width="9.42578125" style="539" customWidth="1"/>
    <col min="14856" max="14856" width="6.140625" style="539" bestFit="1" customWidth="1"/>
    <col min="14857" max="14859" width="6.5703125" style="539" bestFit="1" customWidth="1"/>
    <col min="14860" max="14860" width="7.140625" style="539" bestFit="1" customWidth="1"/>
    <col min="14861" max="14861" width="7.42578125" style="539" bestFit="1" customWidth="1"/>
    <col min="14862" max="14862" width="10.42578125" style="539" bestFit="1" customWidth="1"/>
    <col min="14863" max="15104" width="9.140625" style="539"/>
    <col min="15105" max="15105" width="32.42578125" style="539" bestFit="1" customWidth="1"/>
    <col min="15106" max="15106" width="7.42578125" style="539" bestFit="1" customWidth="1"/>
    <col min="15107" max="15107" width="51.85546875" style="539" bestFit="1" customWidth="1"/>
    <col min="15108" max="15108" width="6.85546875" style="539" bestFit="1" customWidth="1"/>
    <col min="15109" max="15109" width="9.5703125" style="539" bestFit="1" customWidth="1"/>
    <col min="15110" max="15110" width="6.42578125" style="539" bestFit="1" customWidth="1"/>
    <col min="15111" max="15111" width="9.42578125" style="539" customWidth="1"/>
    <col min="15112" max="15112" width="6.140625" style="539" bestFit="1" customWidth="1"/>
    <col min="15113" max="15115" width="6.5703125" style="539" bestFit="1" customWidth="1"/>
    <col min="15116" max="15116" width="7.140625" style="539" bestFit="1" customWidth="1"/>
    <col min="15117" max="15117" width="7.42578125" style="539" bestFit="1" customWidth="1"/>
    <col min="15118" max="15118" width="10.42578125" style="539" bestFit="1" customWidth="1"/>
    <col min="15119" max="15360" width="9.140625" style="539"/>
    <col min="15361" max="15361" width="32.42578125" style="539" bestFit="1" customWidth="1"/>
    <col min="15362" max="15362" width="7.42578125" style="539" bestFit="1" customWidth="1"/>
    <col min="15363" max="15363" width="51.85546875" style="539" bestFit="1" customWidth="1"/>
    <col min="15364" max="15364" width="6.85546875" style="539" bestFit="1" customWidth="1"/>
    <col min="15365" max="15365" width="9.5703125" style="539" bestFit="1" customWidth="1"/>
    <col min="15366" max="15366" width="6.42578125" style="539" bestFit="1" customWidth="1"/>
    <col min="15367" max="15367" width="9.42578125" style="539" customWidth="1"/>
    <col min="15368" max="15368" width="6.140625" style="539" bestFit="1" customWidth="1"/>
    <col min="15369" max="15371" width="6.5703125" style="539" bestFit="1" customWidth="1"/>
    <col min="15372" max="15372" width="7.140625" style="539" bestFit="1" customWidth="1"/>
    <col min="15373" max="15373" width="7.42578125" style="539" bestFit="1" customWidth="1"/>
    <col min="15374" max="15374" width="10.42578125" style="539" bestFit="1" customWidth="1"/>
    <col min="15375" max="15616" width="9.140625" style="539"/>
    <col min="15617" max="15617" width="32.42578125" style="539" bestFit="1" customWidth="1"/>
    <col min="15618" max="15618" width="7.42578125" style="539" bestFit="1" customWidth="1"/>
    <col min="15619" max="15619" width="51.85546875" style="539" bestFit="1" customWidth="1"/>
    <col min="15620" max="15620" width="6.85546875" style="539" bestFit="1" customWidth="1"/>
    <col min="15621" max="15621" width="9.5703125" style="539" bestFit="1" customWidth="1"/>
    <col min="15622" max="15622" width="6.42578125" style="539" bestFit="1" customWidth="1"/>
    <col min="15623" max="15623" width="9.42578125" style="539" customWidth="1"/>
    <col min="15624" max="15624" width="6.140625" style="539" bestFit="1" customWidth="1"/>
    <col min="15625" max="15627" width="6.5703125" style="539" bestFit="1" customWidth="1"/>
    <col min="15628" max="15628" width="7.140625" style="539" bestFit="1" customWidth="1"/>
    <col min="15629" max="15629" width="7.42578125" style="539" bestFit="1" customWidth="1"/>
    <col min="15630" max="15630" width="10.42578125" style="539" bestFit="1" customWidth="1"/>
    <col min="15631" max="15872" width="9.140625" style="539"/>
    <col min="15873" max="15873" width="32.42578125" style="539" bestFit="1" customWidth="1"/>
    <col min="15874" max="15874" width="7.42578125" style="539" bestFit="1" customWidth="1"/>
    <col min="15875" max="15875" width="51.85546875" style="539" bestFit="1" customWidth="1"/>
    <col min="15876" max="15876" width="6.85546875" style="539" bestFit="1" customWidth="1"/>
    <col min="15877" max="15877" width="9.5703125" style="539" bestFit="1" customWidth="1"/>
    <col min="15878" max="15878" width="6.42578125" style="539" bestFit="1" customWidth="1"/>
    <col min="15879" max="15879" width="9.42578125" style="539" customWidth="1"/>
    <col min="15880" max="15880" width="6.140625" style="539" bestFit="1" customWidth="1"/>
    <col min="15881" max="15883" width="6.5703125" style="539" bestFit="1" customWidth="1"/>
    <col min="15884" max="15884" width="7.140625" style="539" bestFit="1" customWidth="1"/>
    <col min="15885" max="15885" width="7.42578125" style="539" bestFit="1" customWidth="1"/>
    <col min="15886" max="15886" width="10.42578125" style="539" bestFit="1" customWidth="1"/>
    <col min="15887" max="16128" width="9.140625" style="539"/>
    <col min="16129" max="16129" width="32.42578125" style="539" bestFit="1" customWidth="1"/>
    <col min="16130" max="16130" width="7.42578125" style="539" bestFit="1" customWidth="1"/>
    <col min="16131" max="16131" width="51.85546875" style="539" bestFit="1" customWidth="1"/>
    <col min="16132" max="16132" width="6.85546875" style="539" bestFit="1" customWidth="1"/>
    <col min="16133" max="16133" width="9.5703125" style="539" bestFit="1" customWidth="1"/>
    <col min="16134" max="16134" width="6.42578125" style="539" bestFit="1" customWidth="1"/>
    <col min="16135" max="16135" width="9.42578125" style="539" customWidth="1"/>
    <col min="16136" max="16136" width="6.140625" style="539" bestFit="1" customWidth="1"/>
    <col min="16137" max="16139" width="6.5703125" style="539" bestFit="1" customWidth="1"/>
    <col min="16140" max="16140" width="7.140625" style="539" bestFit="1" customWidth="1"/>
    <col min="16141" max="16141" width="7.42578125" style="539" bestFit="1" customWidth="1"/>
    <col min="16142" max="16142" width="10.42578125" style="539" bestFit="1" customWidth="1"/>
    <col min="16143" max="16384" width="9.140625" style="539"/>
  </cols>
  <sheetData>
    <row r="1" spans="1:19" s="537" customFormat="1" ht="60">
      <c r="A1" s="537" t="s">
        <v>578</v>
      </c>
      <c r="B1" s="537" t="s">
        <v>898</v>
      </c>
      <c r="C1" s="537" t="s">
        <v>899</v>
      </c>
      <c r="D1" s="538" t="s">
        <v>900</v>
      </c>
      <c r="E1" s="537" t="s">
        <v>901</v>
      </c>
      <c r="F1" s="537" t="s">
        <v>902</v>
      </c>
      <c r="G1" s="537" t="s">
        <v>903</v>
      </c>
      <c r="H1" s="537" t="s">
        <v>904</v>
      </c>
      <c r="I1" s="537" t="s">
        <v>905</v>
      </c>
      <c r="J1" s="537" t="s">
        <v>906</v>
      </c>
      <c r="K1" s="537" t="s">
        <v>907</v>
      </c>
      <c r="L1" s="537" t="s">
        <v>908</v>
      </c>
      <c r="M1" s="537" t="s">
        <v>909</v>
      </c>
      <c r="N1" s="537" t="s">
        <v>910</v>
      </c>
      <c r="P1" s="541" t="s">
        <v>1260</v>
      </c>
      <c r="Q1" s="541" t="s">
        <v>1259</v>
      </c>
      <c r="R1"/>
      <c r="S1"/>
    </row>
    <row r="2" spans="1:19">
      <c r="A2" s="539" t="s">
        <v>911</v>
      </c>
      <c r="B2" s="539" t="s">
        <v>132</v>
      </c>
      <c r="C2" s="539" t="s">
        <v>912</v>
      </c>
      <c r="D2" s="540">
        <v>8022</v>
      </c>
      <c r="E2" s="539">
        <v>135</v>
      </c>
      <c r="F2" s="539" t="s">
        <v>913</v>
      </c>
      <c r="G2" s="539" t="s">
        <v>913</v>
      </c>
      <c r="H2" s="539" t="s">
        <v>913</v>
      </c>
      <c r="I2" s="539" t="s">
        <v>913</v>
      </c>
      <c r="J2" s="539" t="s">
        <v>913</v>
      </c>
      <c r="K2" s="539" t="s">
        <v>913</v>
      </c>
      <c r="L2" s="539" t="s">
        <v>913</v>
      </c>
      <c r="M2" s="539" t="s">
        <v>913</v>
      </c>
      <c r="P2" s="541" t="s">
        <v>1257</v>
      </c>
      <c r="Q2" t="s">
        <v>913</v>
      </c>
      <c r="R2"/>
      <c r="S2"/>
    </row>
    <row r="3" spans="1:19">
      <c r="A3" s="539" t="s">
        <v>914</v>
      </c>
      <c r="B3" s="539" t="s">
        <v>403</v>
      </c>
      <c r="C3" s="539" t="s">
        <v>915</v>
      </c>
      <c r="D3" s="540">
        <v>8931</v>
      </c>
      <c r="E3" s="539">
        <v>101</v>
      </c>
      <c r="F3" s="539" t="s">
        <v>913</v>
      </c>
      <c r="I3" s="539" t="s">
        <v>913</v>
      </c>
      <c r="K3" s="539" t="s">
        <v>913</v>
      </c>
      <c r="L3" s="539" t="s">
        <v>913</v>
      </c>
      <c r="N3" s="539" t="s">
        <v>913</v>
      </c>
      <c r="P3" s="489" t="s">
        <v>10</v>
      </c>
      <c r="Q3" s="542">
        <v>96</v>
      </c>
      <c r="R3"/>
      <c r="S3"/>
    </row>
    <row r="4" spans="1:19">
      <c r="A4" s="539" t="s">
        <v>916</v>
      </c>
      <c r="B4" s="539" t="s">
        <v>195</v>
      </c>
      <c r="C4" s="539" t="s">
        <v>917</v>
      </c>
      <c r="D4" s="540" t="s">
        <v>918</v>
      </c>
      <c r="E4" s="539">
        <v>46</v>
      </c>
      <c r="G4" s="539" t="s">
        <v>913</v>
      </c>
      <c r="K4" s="539" t="s">
        <v>913</v>
      </c>
      <c r="P4" s="489" t="s">
        <v>23</v>
      </c>
      <c r="Q4" s="542">
        <v>25</v>
      </c>
      <c r="R4"/>
      <c r="S4"/>
    </row>
    <row r="5" spans="1:19">
      <c r="A5" s="539" t="s">
        <v>916</v>
      </c>
      <c r="B5" s="539" t="s">
        <v>195</v>
      </c>
      <c r="C5" s="539" t="s">
        <v>919</v>
      </c>
      <c r="D5" s="540">
        <v>8098</v>
      </c>
      <c r="E5" s="539">
        <v>195</v>
      </c>
      <c r="F5" s="539" t="s">
        <v>913</v>
      </c>
      <c r="I5" s="539" t="s">
        <v>913</v>
      </c>
      <c r="K5" s="539" t="s">
        <v>913</v>
      </c>
      <c r="P5" s="489" t="s">
        <v>37</v>
      </c>
      <c r="Q5" s="542">
        <v>181</v>
      </c>
      <c r="R5"/>
      <c r="S5"/>
    </row>
    <row r="6" spans="1:19">
      <c r="A6" s="539" t="s">
        <v>916</v>
      </c>
      <c r="B6" s="539" t="s">
        <v>195</v>
      </c>
      <c r="C6" s="539" t="s">
        <v>920</v>
      </c>
      <c r="D6" s="540">
        <v>8622</v>
      </c>
      <c r="E6" s="539">
        <v>209</v>
      </c>
      <c r="F6" s="539" t="s">
        <v>913</v>
      </c>
      <c r="G6" s="539" t="s">
        <v>913</v>
      </c>
      <c r="I6" s="539" t="s">
        <v>913</v>
      </c>
      <c r="J6" s="539" t="s">
        <v>913</v>
      </c>
      <c r="K6" s="539" t="s">
        <v>913</v>
      </c>
      <c r="P6" s="489" t="s">
        <v>60</v>
      </c>
      <c r="Q6" s="542">
        <v>45</v>
      </c>
      <c r="R6"/>
      <c r="S6"/>
    </row>
    <row r="7" spans="1:19">
      <c r="A7" s="539" t="s">
        <v>921</v>
      </c>
      <c r="B7" s="539" t="s">
        <v>213</v>
      </c>
      <c r="C7" s="539" t="s">
        <v>922</v>
      </c>
      <c r="D7" s="540">
        <v>8624</v>
      </c>
      <c r="E7" s="539">
        <v>73</v>
      </c>
      <c r="I7" s="539" t="s">
        <v>913</v>
      </c>
      <c r="K7" s="539" t="s">
        <v>913</v>
      </c>
      <c r="P7" s="489" t="s">
        <v>62</v>
      </c>
      <c r="Q7" s="542">
        <v>326</v>
      </c>
      <c r="R7"/>
      <c r="S7"/>
    </row>
    <row r="8" spans="1:19">
      <c r="A8" s="539" t="s">
        <v>923</v>
      </c>
      <c r="B8" s="539" t="s">
        <v>62</v>
      </c>
      <c r="C8" s="539" t="s">
        <v>924</v>
      </c>
      <c r="D8" s="540">
        <v>8480</v>
      </c>
      <c r="E8" s="539">
        <v>326</v>
      </c>
      <c r="F8" s="539" t="s">
        <v>913</v>
      </c>
      <c r="H8" s="539" t="s">
        <v>913</v>
      </c>
      <c r="I8" s="539" t="s">
        <v>913</v>
      </c>
      <c r="K8" s="539" t="s">
        <v>913</v>
      </c>
      <c r="L8" s="539" t="s">
        <v>913</v>
      </c>
      <c r="M8" s="539" t="s">
        <v>913</v>
      </c>
      <c r="N8" s="539" t="s">
        <v>913</v>
      </c>
      <c r="P8" s="489" t="s">
        <v>116</v>
      </c>
      <c r="Q8" s="542">
        <v>32</v>
      </c>
      <c r="R8"/>
      <c r="S8"/>
    </row>
    <row r="9" spans="1:19">
      <c r="A9" s="539" t="s">
        <v>923</v>
      </c>
      <c r="B9" s="539" t="s">
        <v>62</v>
      </c>
      <c r="C9" s="539" t="s">
        <v>925</v>
      </c>
      <c r="D9" s="540">
        <v>8071</v>
      </c>
      <c r="E9" s="539">
        <v>79</v>
      </c>
      <c r="F9" s="539" t="s">
        <v>913</v>
      </c>
      <c r="I9" s="539" t="s">
        <v>913</v>
      </c>
      <c r="K9" s="539" t="s">
        <v>913</v>
      </c>
      <c r="P9" s="489" t="s">
        <v>129</v>
      </c>
      <c r="Q9" s="542">
        <v>1</v>
      </c>
      <c r="R9"/>
      <c r="S9"/>
    </row>
    <row r="10" spans="1:19">
      <c r="A10" s="539" t="s">
        <v>926</v>
      </c>
      <c r="B10" s="539" t="s">
        <v>189</v>
      </c>
      <c r="C10" s="539" t="s">
        <v>927</v>
      </c>
      <c r="D10" s="540">
        <v>8091</v>
      </c>
      <c r="E10" s="539">
        <v>487</v>
      </c>
      <c r="F10" s="539" t="s">
        <v>913</v>
      </c>
      <c r="I10" s="539" t="s">
        <v>913</v>
      </c>
      <c r="J10" s="539" t="s">
        <v>913</v>
      </c>
      <c r="K10" s="539" t="s">
        <v>913</v>
      </c>
      <c r="L10" s="539" t="s">
        <v>913</v>
      </c>
      <c r="M10" s="539" t="s">
        <v>913</v>
      </c>
      <c r="P10" s="489" t="s">
        <v>132</v>
      </c>
      <c r="Q10" s="542">
        <v>135</v>
      </c>
      <c r="R10"/>
      <c r="S10"/>
    </row>
    <row r="11" spans="1:19">
      <c r="A11" s="539" t="s">
        <v>926</v>
      </c>
      <c r="B11" s="539" t="s">
        <v>189</v>
      </c>
      <c r="C11" s="539" t="s">
        <v>928</v>
      </c>
      <c r="D11" s="540" t="s">
        <v>929</v>
      </c>
      <c r="E11" s="539">
        <v>6</v>
      </c>
      <c r="I11" s="539" t="s">
        <v>913</v>
      </c>
      <c r="J11" s="539" t="s">
        <v>913</v>
      </c>
      <c r="K11" s="539" t="s">
        <v>913</v>
      </c>
      <c r="M11" s="539" t="s">
        <v>913</v>
      </c>
      <c r="N11" s="539" t="s">
        <v>913</v>
      </c>
      <c r="P11" s="489" t="s">
        <v>173</v>
      </c>
      <c r="Q11" s="542">
        <v>3287</v>
      </c>
      <c r="R11"/>
      <c r="S11"/>
    </row>
    <row r="12" spans="1:19">
      <c r="A12" s="539" t="s">
        <v>926</v>
      </c>
      <c r="B12" s="539" t="s">
        <v>189</v>
      </c>
      <c r="C12" s="539" t="s">
        <v>930</v>
      </c>
      <c r="D12" s="540">
        <v>8741</v>
      </c>
      <c r="E12" s="539">
        <v>243</v>
      </c>
      <c r="I12" s="539" t="s">
        <v>913</v>
      </c>
      <c r="P12" s="489" t="s">
        <v>175</v>
      </c>
      <c r="Q12" s="542">
        <v>705</v>
      </c>
      <c r="R12"/>
      <c r="S12"/>
    </row>
    <row r="13" spans="1:19">
      <c r="A13" s="539" t="s">
        <v>926</v>
      </c>
      <c r="B13" s="539" t="s">
        <v>189</v>
      </c>
      <c r="C13" s="539" t="s">
        <v>931</v>
      </c>
      <c r="D13" s="540">
        <v>8035</v>
      </c>
      <c r="E13" s="539">
        <v>394</v>
      </c>
      <c r="I13" s="539" t="s">
        <v>913</v>
      </c>
      <c r="K13" s="539" t="s">
        <v>913</v>
      </c>
      <c r="M13" s="539" t="s">
        <v>913</v>
      </c>
      <c r="P13" s="489" t="s">
        <v>179</v>
      </c>
      <c r="Q13" s="542">
        <v>597</v>
      </c>
      <c r="R13"/>
      <c r="S13"/>
    </row>
    <row r="14" spans="1:19">
      <c r="A14" s="539" t="s">
        <v>926</v>
      </c>
      <c r="B14" s="539" t="s">
        <v>189</v>
      </c>
      <c r="C14" s="539" t="s">
        <v>932</v>
      </c>
      <c r="D14" s="540">
        <v>8563</v>
      </c>
      <c r="E14" s="539">
        <v>188</v>
      </c>
      <c r="F14" s="539" t="s">
        <v>913</v>
      </c>
      <c r="I14" s="539" t="s">
        <v>913</v>
      </c>
      <c r="J14" s="539" t="s">
        <v>913</v>
      </c>
      <c r="K14" s="539" t="s">
        <v>913</v>
      </c>
      <c r="L14" s="539" t="s">
        <v>913</v>
      </c>
      <c r="M14" s="539" t="s">
        <v>913</v>
      </c>
      <c r="P14" s="489" t="s">
        <v>181</v>
      </c>
      <c r="Q14" s="542">
        <v>722</v>
      </c>
      <c r="R14"/>
      <c r="S14"/>
    </row>
    <row r="15" spans="1:19">
      <c r="A15" s="539" t="s">
        <v>926</v>
      </c>
      <c r="B15" s="539" t="s">
        <v>189</v>
      </c>
      <c r="C15" s="539" t="s">
        <v>933</v>
      </c>
      <c r="D15" s="540">
        <v>8093</v>
      </c>
      <c r="E15" s="539">
        <v>364</v>
      </c>
      <c r="I15" s="539" t="s">
        <v>913</v>
      </c>
      <c r="J15" s="539" t="s">
        <v>913</v>
      </c>
      <c r="K15" s="539" t="s">
        <v>913</v>
      </c>
      <c r="M15" s="539" t="s">
        <v>913</v>
      </c>
      <c r="P15" s="489" t="s">
        <v>185</v>
      </c>
      <c r="Q15" s="542">
        <v>511</v>
      </c>
      <c r="R15"/>
      <c r="S15"/>
    </row>
    <row r="16" spans="1:19">
      <c r="A16" s="539" t="s">
        <v>926</v>
      </c>
      <c r="B16" s="539" t="s">
        <v>189</v>
      </c>
      <c r="C16" s="539" t="s">
        <v>934</v>
      </c>
      <c r="D16" s="540">
        <v>8094</v>
      </c>
      <c r="E16" s="539">
        <v>444</v>
      </c>
      <c r="F16" s="539" t="s">
        <v>913</v>
      </c>
      <c r="I16" s="539" t="s">
        <v>913</v>
      </c>
      <c r="J16" s="539" t="s">
        <v>913</v>
      </c>
      <c r="K16" s="539" t="s">
        <v>913</v>
      </c>
      <c r="L16" s="539" t="s">
        <v>913</v>
      </c>
      <c r="P16" s="489" t="s">
        <v>189</v>
      </c>
      <c r="Q16" s="542">
        <v>1673</v>
      </c>
      <c r="R16"/>
      <c r="S16"/>
    </row>
    <row r="17" spans="1:19">
      <c r="A17" s="539" t="s">
        <v>926</v>
      </c>
      <c r="B17" s="539" t="s">
        <v>189</v>
      </c>
      <c r="C17" s="539" t="s">
        <v>935</v>
      </c>
      <c r="D17" s="540">
        <v>1434</v>
      </c>
      <c r="E17" s="539">
        <v>179</v>
      </c>
      <c r="F17" s="539" t="s">
        <v>913</v>
      </c>
      <c r="G17" s="539" t="s">
        <v>913</v>
      </c>
      <c r="I17" s="539" t="s">
        <v>913</v>
      </c>
      <c r="J17" s="539" t="s">
        <v>913</v>
      </c>
      <c r="K17" s="539" t="s">
        <v>913</v>
      </c>
      <c r="L17" s="539" t="s">
        <v>913</v>
      </c>
      <c r="M17" s="539" t="s">
        <v>913</v>
      </c>
      <c r="P17" s="489" t="s">
        <v>201</v>
      </c>
      <c r="Q17" s="542">
        <v>33</v>
      </c>
      <c r="R17"/>
      <c r="S17"/>
    </row>
    <row r="18" spans="1:19">
      <c r="A18" s="539" t="s">
        <v>926</v>
      </c>
      <c r="B18" s="539" t="s">
        <v>189</v>
      </c>
      <c r="C18" s="539" t="s">
        <v>936</v>
      </c>
      <c r="D18" s="540">
        <v>8460</v>
      </c>
      <c r="E18" s="539">
        <v>135</v>
      </c>
      <c r="F18" s="539" t="s">
        <v>913</v>
      </c>
      <c r="H18" s="539" t="s">
        <v>913</v>
      </c>
      <c r="I18" s="539" t="s">
        <v>913</v>
      </c>
      <c r="L18" s="539" t="s">
        <v>913</v>
      </c>
      <c r="P18" s="489" t="s">
        <v>203</v>
      </c>
      <c r="Q18" s="542">
        <v>679</v>
      </c>
      <c r="R18"/>
      <c r="S18"/>
    </row>
    <row r="19" spans="1:19">
      <c r="A19" s="539" t="s">
        <v>926</v>
      </c>
      <c r="B19" s="539" t="s">
        <v>189</v>
      </c>
      <c r="C19" s="539" t="s">
        <v>937</v>
      </c>
      <c r="D19" s="540">
        <v>8560</v>
      </c>
      <c r="E19" s="539">
        <v>240</v>
      </c>
      <c r="F19" s="539" t="s">
        <v>913</v>
      </c>
      <c r="I19" s="539" t="s">
        <v>913</v>
      </c>
      <c r="J19" s="539" t="s">
        <v>913</v>
      </c>
      <c r="K19" s="539" t="s">
        <v>913</v>
      </c>
      <c r="L19" s="539" t="s">
        <v>913</v>
      </c>
      <c r="M19" s="539" t="s">
        <v>913</v>
      </c>
      <c r="P19" s="489" t="s">
        <v>205</v>
      </c>
      <c r="Q19" s="542">
        <v>83</v>
      </c>
      <c r="R19"/>
      <c r="S19"/>
    </row>
    <row r="20" spans="1:19">
      <c r="A20" s="539" t="s">
        <v>938</v>
      </c>
      <c r="B20" s="539" t="s">
        <v>504</v>
      </c>
      <c r="C20" s="539" t="s">
        <v>939</v>
      </c>
      <c r="D20" s="540">
        <v>8215</v>
      </c>
      <c r="E20" s="539">
        <v>245</v>
      </c>
      <c r="F20" s="539" t="s">
        <v>913</v>
      </c>
      <c r="G20" s="539" t="s">
        <v>913</v>
      </c>
      <c r="H20" s="539" t="s">
        <v>913</v>
      </c>
      <c r="I20" s="539" t="s">
        <v>913</v>
      </c>
      <c r="J20" s="539" t="s">
        <v>913</v>
      </c>
      <c r="K20" s="539" t="s">
        <v>913</v>
      </c>
      <c r="L20" s="539" t="s">
        <v>913</v>
      </c>
      <c r="M20" s="539" t="s">
        <v>913</v>
      </c>
      <c r="N20" s="539" t="s">
        <v>913</v>
      </c>
      <c r="P20" s="489" t="s">
        <v>207</v>
      </c>
      <c r="Q20" s="542">
        <v>135</v>
      </c>
      <c r="R20"/>
      <c r="S20"/>
    </row>
    <row r="21" spans="1:19">
      <c r="A21" s="539" t="s">
        <v>938</v>
      </c>
      <c r="B21" s="539" t="s">
        <v>504</v>
      </c>
      <c r="C21" s="539" t="s">
        <v>940</v>
      </c>
      <c r="D21" s="540">
        <v>8216</v>
      </c>
      <c r="E21" s="539">
        <v>175</v>
      </c>
      <c r="I21" s="539" t="s">
        <v>913</v>
      </c>
      <c r="J21" s="539" t="s">
        <v>913</v>
      </c>
      <c r="K21" s="539" t="s">
        <v>913</v>
      </c>
      <c r="P21" s="489" t="s">
        <v>209</v>
      </c>
      <c r="Q21" s="542">
        <v>235</v>
      </c>
      <c r="R21"/>
      <c r="S21"/>
    </row>
    <row r="22" spans="1:19">
      <c r="A22" s="539" t="s">
        <v>938</v>
      </c>
      <c r="B22" s="539" t="s">
        <v>504</v>
      </c>
      <c r="C22" s="539" t="s">
        <v>941</v>
      </c>
      <c r="D22" s="540">
        <v>8390</v>
      </c>
      <c r="E22" s="539">
        <v>49</v>
      </c>
      <c r="I22" s="539" t="s">
        <v>913</v>
      </c>
      <c r="J22" s="539" t="s">
        <v>913</v>
      </c>
      <c r="K22" s="539" t="s">
        <v>913</v>
      </c>
      <c r="P22" s="489" t="s">
        <v>211</v>
      </c>
      <c r="Q22" s="542">
        <v>201</v>
      </c>
      <c r="R22"/>
      <c r="S22"/>
    </row>
    <row r="23" spans="1:19">
      <c r="A23" s="539" t="s">
        <v>938</v>
      </c>
      <c r="B23" s="539" t="s">
        <v>504</v>
      </c>
      <c r="C23" s="539" t="s">
        <v>942</v>
      </c>
      <c r="D23" s="540">
        <v>8074</v>
      </c>
      <c r="E23" s="539">
        <v>27</v>
      </c>
      <c r="I23" s="539" t="s">
        <v>913</v>
      </c>
      <c r="J23" s="539" t="s">
        <v>913</v>
      </c>
      <c r="K23" s="539" t="s">
        <v>913</v>
      </c>
      <c r="P23" s="489" t="s">
        <v>214</v>
      </c>
      <c r="Q23" s="542">
        <v>61</v>
      </c>
      <c r="R23"/>
      <c r="S23"/>
    </row>
    <row r="24" spans="1:19">
      <c r="A24" s="539" t="s">
        <v>938</v>
      </c>
      <c r="B24" s="539" t="s">
        <v>504</v>
      </c>
      <c r="C24" s="539" t="s">
        <v>943</v>
      </c>
      <c r="D24" s="540">
        <v>8936</v>
      </c>
      <c r="E24" s="539">
        <v>105</v>
      </c>
      <c r="F24" s="539" t="s">
        <v>913</v>
      </c>
      <c r="G24" s="539" t="s">
        <v>913</v>
      </c>
      <c r="I24" s="539" t="s">
        <v>913</v>
      </c>
      <c r="J24" s="539" t="s">
        <v>913</v>
      </c>
      <c r="K24" s="539" t="s">
        <v>913</v>
      </c>
      <c r="P24" s="489" t="s">
        <v>218</v>
      </c>
      <c r="Q24" s="542">
        <v>64</v>
      </c>
      <c r="R24"/>
      <c r="S24"/>
    </row>
    <row r="25" spans="1:19">
      <c r="A25" s="539" t="s">
        <v>938</v>
      </c>
      <c r="B25" s="539" t="s">
        <v>504</v>
      </c>
      <c r="C25" s="539" t="s">
        <v>944</v>
      </c>
      <c r="D25" s="540">
        <v>8223</v>
      </c>
      <c r="E25" s="539">
        <v>241</v>
      </c>
      <c r="I25" s="539" t="s">
        <v>913</v>
      </c>
      <c r="J25" s="539" t="s">
        <v>913</v>
      </c>
      <c r="K25" s="539" t="s">
        <v>913</v>
      </c>
      <c r="P25" s="489" t="s">
        <v>343</v>
      </c>
      <c r="Q25" s="542">
        <v>1397</v>
      </c>
      <c r="R25"/>
      <c r="S25"/>
    </row>
    <row r="26" spans="1:19">
      <c r="A26" s="539" t="s">
        <v>938</v>
      </c>
      <c r="B26" s="539" t="s">
        <v>504</v>
      </c>
      <c r="C26" s="539" t="s">
        <v>945</v>
      </c>
      <c r="D26" s="540">
        <v>8869</v>
      </c>
      <c r="E26" s="539">
        <v>159</v>
      </c>
      <c r="F26" s="539" t="s">
        <v>913</v>
      </c>
      <c r="I26" s="539" t="s">
        <v>913</v>
      </c>
      <c r="J26" s="539" t="s">
        <v>913</v>
      </c>
      <c r="P26" s="489" t="s">
        <v>345</v>
      </c>
      <c r="Q26" s="542">
        <v>1294</v>
      </c>
      <c r="R26"/>
      <c r="S26"/>
    </row>
    <row r="27" spans="1:19">
      <c r="A27" s="539" t="s">
        <v>946</v>
      </c>
      <c r="B27" s="539" t="s">
        <v>363</v>
      </c>
      <c r="C27" s="539" t="s">
        <v>947</v>
      </c>
      <c r="D27" s="540">
        <v>8829</v>
      </c>
      <c r="E27" s="539">
        <v>168</v>
      </c>
      <c r="F27" s="539" t="s">
        <v>913</v>
      </c>
      <c r="I27" s="539" t="s">
        <v>913</v>
      </c>
      <c r="J27" s="539" t="s">
        <v>913</v>
      </c>
      <c r="K27" s="539" t="s">
        <v>913</v>
      </c>
      <c r="L27" s="539" t="s">
        <v>913</v>
      </c>
      <c r="M27" s="539" t="s">
        <v>913</v>
      </c>
      <c r="N27" s="539" t="s">
        <v>913</v>
      </c>
      <c r="P27" s="489" t="s">
        <v>357</v>
      </c>
      <c r="Q27" s="542">
        <v>253</v>
      </c>
      <c r="R27"/>
      <c r="S27"/>
    </row>
    <row r="28" spans="1:19">
      <c r="A28" s="539" t="s">
        <v>946</v>
      </c>
      <c r="B28" s="539" t="s">
        <v>363</v>
      </c>
      <c r="C28" s="539" t="s">
        <v>948</v>
      </c>
      <c r="D28" s="540">
        <v>8717</v>
      </c>
      <c r="E28" s="539">
        <v>134</v>
      </c>
      <c r="I28" s="539" t="s">
        <v>913</v>
      </c>
      <c r="J28" s="539" t="s">
        <v>913</v>
      </c>
      <c r="K28" s="539" t="s">
        <v>913</v>
      </c>
      <c r="P28" s="489" t="s">
        <v>361</v>
      </c>
      <c r="Q28" s="542">
        <v>84</v>
      </c>
      <c r="R28"/>
      <c r="S28"/>
    </row>
    <row r="29" spans="1:19">
      <c r="A29" s="539" t="s">
        <v>946</v>
      </c>
      <c r="B29" s="539" t="s">
        <v>363</v>
      </c>
      <c r="C29" s="539" t="s">
        <v>949</v>
      </c>
      <c r="D29" s="540">
        <v>1414</v>
      </c>
      <c r="E29" s="539">
        <v>25</v>
      </c>
      <c r="F29" s="539" t="s">
        <v>913</v>
      </c>
      <c r="P29" s="489" t="s">
        <v>363</v>
      </c>
      <c r="Q29" s="542">
        <v>168</v>
      </c>
      <c r="R29"/>
      <c r="S29"/>
    </row>
    <row r="30" spans="1:19">
      <c r="A30" s="539" t="s">
        <v>950</v>
      </c>
      <c r="B30" s="539" t="s">
        <v>211</v>
      </c>
      <c r="C30" s="539" t="s">
        <v>951</v>
      </c>
      <c r="D30" s="540">
        <v>8219</v>
      </c>
      <c r="E30" s="539">
        <v>19</v>
      </c>
      <c r="F30" s="539" t="s">
        <v>913</v>
      </c>
      <c r="I30" s="539" t="s">
        <v>913</v>
      </c>
      <c r="P30" s="489" t="s">
        <v>369</v>
      </c>
      <c r="Q30" s="542">
        <v>144</v>
      </c>
      <c r="R30"/>
      <c r="S30"/>
    </row>
    <row r="31" spans="1:19">
      <c r="A31" s="539" t="s">
        <v>950</v>
      </c>
      <c r="B31" s="539" t="s">
        <v>211</v>
      </c>
      <c r="C31" s="539" t="s">
        <v>952</v>
      </c>
      <c r="D31" s="540">
        <v>8115</v>
      </c>
      <c r="E31" s="539">
        <v>201</v>
      </c>
      <c r="F31" s="539" t="s">
        <v>913</v>
      </c>
      <c r="G31" s="539" t="s">
        <v>913</v>
      </c>
      <c r="H31" s="539" t="s">
        <v>913</v>
      </c>
      <c r="I31" s="539" t="s">
        <v>913</v>
      </c>
      <c r="J31" s="539" t="s">
        <v>913</v>
      </c>
      <c r="K31" s="539" t="s">
        <v>913</v>
      </c>
      <c r="L31" s="539" t="s">
        <v>913</v>
      </c>
      <c r="M31" s="539" t="s">
        <v>913</v>
      </c>
      <c r="N31" s="539" t="s">
        <v>913</v>
      </c>
      <c r="P31" s="489" t="s">
        <v>386</v>
      </c>
      <c r="Q31" s="542">
        <v>216</v>
      </c>
      <c r="R31"/>
      <c r="S31"/>
    </row>
    <row r="32" spans="1:19">
      <c r="A32" s="539" t="s">
        <v>950</v>
      </c>
      <c r="B32" s="539" t="s">
        <v>211</v>
      </c>
      <c r="C32" s="539" t="s">
        <v>953</v>
      </c>
      <c r="D32" s="540">
        <v>8681</v>
      </c>
      <c r="E32" s="539">
        <v>99</v>
      </c>
      <c r="G32" s="539" t="s">
        <v>913</v>
      </c>
      <c r="I32" s="539" t="s">
        <v>913</v>
      </c>
      <c r="K32" s="539" t="s">
        <v>913</v>
      </c>
      <c r="P32" s="489" t="s">
        <v>395</v>
      </c>
      <c r="Q32" s="542">
        <v>630</v>
      </c>
      <c r="R32"/>
      <c r="S32"/>
    </row>
    <row r="33" spans="1:19">
      <c r="A33" s="539" t="s">
        <v>954</v>
      </c>
      <c r="B33" s="539" t="s">
        <v>60</v>
      </c>
      <c r="C33" s="539" t="s">
        <v>955</v>
      </c>
      <c r="D33" s="540">
        <v>1497</v>
      </c>
      <c r="E33" s="539">
        <v>45</v>
      </c>
      <c r="F33" s="539" t="s">
        <v>913</v>
      </c>
      <c r="G33" s="539" t="s">
        <v>913</v>
      </c>
      <c r="H33" s="539" t="s">
        <v>913</v>
      </c>
      <c r="I33" s="539" t="s">
        <v>913</v>
      </c>
      <c r="J33" s="539" t="s">
        <v>913</v>
      </c>
      <c r="K33" s="539" t="s">
        <v>913</v>
      </c>
      <c r="L33" s="539" t="s">
        <v>913</v>
      </c>
      <c r="M33" s="539" t="s">
        <v>913</v>
      </c>
      <c r="N33" s="539" t="s">
        <v>913</v>
      </c>
      <c r="P33" s="489" t="s">
        <v>399</v>
      </c>
      <c r="Q33" s="542">
        <v>15</v>
      </c>
      <c r="R33"/>
      <c r="S33"/>
    </row>
    <row r="34" spans="1:19">
      <c r="A34" s="539" t="s">
        <v>954</v>
      </c>
      <c r="B34" s="539" t="s">
        <v>60</v>
      </c>
      <c r="C34" s="539" t="s">
        <v>956</v>
      </c>
      <c r="D34" s="540">
        <v>8394</v>
      </c>
      <c r="E34" s="539">
        <v>88</v>
      </c>
      <c r="I34" s="539" t="s">
        <v>913</v>
      </c>
      <c r="J34" s="539" t="s">
        <v>913</v>
      </c>
      <c r="K34" s="539" t="s">
        <v>913</v>
      </c>
      <c r="P34" s="489" t="s">
        <v>401</v>
      </c>
      <c r="Q34" s="542">
        <v>608</v>
      </c>
      <c r="R34"/>
      <c r="S34"/>
    </row>
    <row r="35" spans="1:19">
      <c r="A35" s="539" t="s">
        <v>957</v>
      </c>
      <c r="B35" s="539" t="s">
        <v>216</v>
      </c>
      <c r="C35" s="539" t="s">
        <v>958</v>
      </c>
      <c r="D35" s="540" t="s">
        <v>959</v>
      </c>
      <c r="E35" s="539">
        <v>42</v>
      </c>
      <c r="F35" s="539" t="s">
        <v>913</v>
      </c>
      <c r="I35" s="539" t="s">
        <v>913</v>
      </c>
      <c r="J35" s="539" t="s">
        <v>913</v>
      </c>
      <c r="K35" s="539" t="s">
        <v>913</v>
      </c>
      <c r="P35" s="489" t="s">
        <v>403</v>
      </c>
      <c r="Q35" s="542">
        <v>101</v>
      </c>
      <c r="R35"/>
      <c r="S35"/>
    </row>
    <row r="36" spans="1:19">
      <c r="A36" s="539" t="s">
        <v>957</v>
      </c>
      <c r="B36" s="539" t="s">
        <v>216</v>
      </c>
      <c r="C36" s="539" t="s">
        <v>960</v>
      </c>
      <c r="D36" s="540">
        <v>8367</v>
      </c>
      <c r="E36" s="539">
        <v>242</v>
      </c>
      <c r="F36" s="539" t="s">
        <v>913</v>
      </c>
      <c r="I36" s="539" t="s">
        <v>913</v>
      </c>
      <c r="J36" s="539" t="s">
        <v>913</v>
      </c>
      <c r="K36" s="539" t="s">
        <v>913</v>
      </c>
      <c r="N36" s="539" t="s">
        <v>913</v>
      </c>
      <c r="P36" s="489" t="s">
        <v>409</v>
      </c>
      <c r="Q36" s="542">
        <v>33</v>
      </c>
      <c r="R36"/>
      <c r="S36"/>
    </row>
    <row r="37" spans="1:19">
      <c r="A37" s="539" t="s">
        <v>957</v>
      </c>
      <c r="B37" s="539" t="s">
        <v>216</v>
      </c>
      <c r="C37" s="539" t="s">
        <v>961</v>
      </c>
      <c r="D37" s="540">
        <v>8613</v>
      </c>
      <c r="E37" s="539">
        <v>129</v>
      </c>
      <c r="I37" s="539" t="s">
        <v>913</v>
      </c>
      <c r="P37" s="489" t="s">
        <v>411</v>
      </c>
      <c r="Q37" s="542">
        <v>36</v>
      </c>
      <c r="R37"/>
      <c r="S37"/>
    </row>
    <row r="38" spans="1:19">
      <c r="A38" s="539" t="s">
        <v>962</v>
      </c>
      <c r="B38" s="539" t="s">
        <v>434</v>
      </c>
      <c r="C38" s="539" t="s">
        <v>963</v>
      </c>
      <c r="D38" s="540">
        <v>8635</v>
      </c>
      <c r="E38" s="539">
        <v>19</v>
      </c>
      <c r="I38" s="539" t="s">
        <v>913</v>
      </c>
      <c r="K38" s="539" t="s">
        <v>913</v>
      </c>
      <c r="P38" s="489" t="s">
        <v>422</v>
      </c>
      <c r="Q38" s="542">
        <v>2515</v>
      </c>
      <c r="R38"/>
      <c r="S38"/>
    </row>
    <row r="39" spans="1:19">
      <c r="A39" s="539" t="s">
        <v>962</v>
      </c>
      <c r="B39" s="539" t="s">
        <v>434</v>
      </c>
      <c r="C39" s="539" t="s">
        <v>964</v>
      </c>
      <c r="D39" s="540">
        <v>8205</v>
      </c>
      <c r="E39" s="539">
        <v>192</v>
      </c>
      <c r="F39" s="539" t="s">
        <v>913</v>
      </c>
      <c r="G39" s="539" t="s">
        <v>913</v>
      </c>
      <c r="H39" s="539" t="s">
        <v>913</v>
      </c>
      <c r="I39" s="539" t="s">
        <v>913</v>
      </c>
      <c r="J39" s="539" t="s">
        <v>913</v>
      </c>
      <c r="K39" s="539" t="s">
        <v>913</v>
      </c>
      <c r="L39" s="539" t="s">
        <v>913</v>
      </c>
      <c r="M39" s="539" t="s">
        <v>913</v>
      </c>
      <c r="N39" s="539" t="s">
        <v>913</v>
      </c>
      <c r="P39" s="489" t="s">
        <v>432</v>
      </c>
      <c r="Q39" s="542">
        <v>691</v>
      </c>
      <c r="R39"/>
      <c r="S39"/>
    </row>
    <row r="40" spans="1:19">
      <c r="A40" s="539" t="s">
        <v>962</v>
      </c>
      <c r="B40" s="539" t="s">
        <v>434</v>
      </c>
      <c r="C40" s="539" t="s">
        <v>965</v>
      </c>
      <c r="D40" s="540">
        <v>8201</v>
      </c>
      <c r="E40" s="539">
        <v>220</v>
      </c>
      <c r="F40" s="539" t="s">
        <v>913</v>
      </c>
      <c r="G40" s="539" t="s">
        <v>913</v>
      </c>
      <c r="H40" s="539" t="s">
        <v>913</v>
      </c>
      <c r="I40" s="539" t="s">
        <v>913</v>
      </c>
      <c r="J40" s="539" t="s">
        <v>913</v>
      </c>
      <c r="K40" s="539" t="s">
        <v>913</v>
      </c>
      <c r="L40" s="539" t="s">
        <v>913</v>
      </c>
      <c r="M40" s="539" t="s">
        <v>913</v>
      </c>
      <c r="N40" s="539" t="s">
        <v>913</v>
      </c>
      <c r="P40" s="489" t="s">
        <v>434</v>
      </c>
      <c r="Q40" s="542">
        <v>412</v>
      </c>
      <c r="R40"/>
      <c r="S40"/>
    </row>
    <row r="41" spans="1:19">
      <c r="A41" s="539" t="s">
        <v>962</v>
      </c>
      <c r="B41" s="539" t="s">
        <v>434</v>
      </c>
      <c r="C41" s="539" t="s">
        <v>966</v>
      </c>
      <c r="D41" s="540">
        <v>8360</v>
      </c>
      <c r="E41" s="539">
        <v>174</v>
      </c>
      <c r="I41" s="539" t="s">
        <v>913</v>
      </c>
      <c r="J41" s="539" t="s">
        <v>913</v>
      </c>
      <c r="K41" s="539" t="s">
        <v>913</v>
      </c>
      <c r="P41" s="489" t="s">
        <v>492</v>
      </c>
      <c r="Q41" s="542">
        <v>327</v>
      </c>
      <c r="R41"/>
      <c r="S41"/>
    </row>
    <row r="42" spans="1:19">
      <c r="A42" s="539" t="s">
        <v>967</v>
      </c>
      <c r="B42" s="539" t="s">
        <v>274</v>
      </c>
      <c r="C42" s="539" t="s">
        <v>968</v>
      </c>
      <c r="D42" s="540">
        <v>8120</v>
      </c>
      <c r="E42" s="539">
        <v>97</v>
      </c>
      <c r="F42" s="539" t="s">
        <v>913</v>
      </c>
      <c r="I42" s="539" t="s">
        <v>913</v>
      </c>
      <c r="J42" s="539" t="s">
        <v>913</v>
      </c>
      <c r="P42" s="489" t="s">
        <v>502</v>
      </c>
      <c r="Q42" s="542">
        <v>88</v>
      </c>
      <c r="R42"/>
      <c r="S42"/>
    </row>
    <row r="43" spans="1:19">
      <c r="A43" s="539" t="s">
        <v>969</v>
      </c>
      <c r="B43" s="539" t="s">
        <v>169</v>
      </c>
      <c r="C43" s="539" t="s">
        <v>970</v>
      </c>
      <c r="D43" s="540" t="s">
        <v>971</v>
      </c>
      <c r="E43" s="539">
        <v>80</v>
      </c>
      <c r="F43" s="539" t="s">
        <v>913</v>
      </c>
      <c r="I43" s="539" t="s">
        <v>913</v>
      </c>
      <c r="J43" s="539" t="s">
        <v>913</v>
      </c>
      <c r="M43" s="539" t="s">
        <v>913</v>
      </c>
      <c r="P43" s="489" t="s">
        <v>504</v>
      </c>
      <c r="Q43" s="542">
        <v>245</v>
      </c>
      <c r="R43"/>
      <c r="S43"/>
    </row>
    <row r="44" spans="1:19">
      <c r="A44" s="539" t="s">
        <v>972</v>
      </c>
      <c r="B44" s="539" t="s">
        <v>10</v>
      </c>
      <c r="C44" s="539" t="s">
        <v>919</v>
      </c>
      <c r="D44" s="540">
        <v>8000</v>
      </c>
      <c r="E44" s="539">
        <v>96</v>
      </c>
      <c r="F44" s="539" t="s">
        <v>913</v>
      </c>
      <c r="G44" s="539" t="s">
        <v>913</v>
      </c>
      <c r="H44" s="539" t="s">
        <v>913</v>
      </c>
      <c r="I44" s="539" t="s">
        <v>913</v>
      </c>
      <c r="J44" s="539" t="s">
        <v>913</v>
      </c>
      <c r="K44" s="539" t="s">
        <v>913</v>
      </c>
      <c r="L44" s="539" t="s">
        <v>913</v>
      </c>
      <c r="M44" s="539" t="s">
        <v>913</v>
      </c>
      <c r="N44" s="539" t="s">
        <v>913</v>
      </c>
      <c r="P44" s="489" t="s">
        <v>510</v>
      </c>
      <c r="Q44" s="542">
        <v>934</v>
      </c>
      <c r="R44"/>
      <c r="S44"/>
    </row>
    <row r="45" spans="1:19">
      <c r="A45" s="539" t="s">
        <v>973</v>
      </c>
      <c r="B45" s="539" t="s">
        <v>357</v>
      </c>
      <c r="C45" s="539" t="s">
        <v>974</v>
      </c>
      <c r="D45" s="540">
        <v>8149</v>
      </c>
      <c r="E45" s="539">
        <v>14</v>
      </c>
      <c r="I45" s="539" t="s">
        <v>913</v>
      </c>
      <c r="K45" s="539" t="s">
        <v>913</v>
      </c>
      <c r="P45" s="489" t="s">
        <v>533</v>
      </c>
      <c r="Q45" s="542">
        <v>22</v>
      </c>
      <c r="R45"/>
      <c r="S45"/>
    </row>
    <row r="46" spans="1:19">
      <c r="A46" s="539" t="s">
        <v>973</v>
      </c>
      <c r="B46" s="539" t="s">
        <v>357</v>
      </c>
      <c r="C46" s="539" t="s">
        <v>975</v>
      </c>
      <c r="D46" s="540">
        <v>8148</v>
      </c>
      <c r="E46" s="539">
        <v>214</v>
      </c>
      <c r="F46" s="539" t="s">
        <v>913</v>
      </c>
      <c r="I46" s="539" t="s">
        <v>913</v>
      </c>
      <c r="J46" s="539" t="s">
        <v>913</v>
      </c>
      <c r="K46" s="539" t="s">
        <v>913</v>
      </c>
      <c r="L46" s="539" t="s">
        <v>913</v>
      </c>
      <c r="M46" s="539" t="s">
        <v>913</v>
      </c>
      <c r="P46" s="489" t="s">
        <v>547</v>
      </c>
      <c r="Q46" s="542">
        <v>188</v>
      </c>
      <c r="R46"/>
      <c r="S46"/>
    </row>
    <row r="47" spans="1:19">
      <c r="A47" s="539" t="s">
        <v>973</v>
      </c>
      <c r="B47" s="539" t="s">
        <v>357</v>
      </c>
      <c r="C47" s="539" t="s">
        <v>976</v>
      </c>
      <c r="D47" s="540">
        <v>8260</v>
      </c>
      <c r="E47" s="539">
        <v>39</v>
      </c>
      <c r="F47" s="539" t="s">
        <v>913</v>
      </c>
      <c r="G47" s="539" t="s">
        <v>913</v>
      </c>
      <c r="H47" s="539" t="s">
        <v>913</v>
      </c>
      <c r="I47" s="539" t="s">
        <v>913</v>
      </c>
      <c r="J47" s="539" t="s">
        <v>913</v>
      </c>
      <c r="K47" s="539" t="s">
        <v>913</v>
      </c>
      <c r="L47" s="539" t="s">
        <v>913</v>
      </c>
      <c r="M47" s="539" t="s">
        <v>913</v>
      </c>
      <c r="N47" s="539" t="s">
        <v>913</v>
      </c>
      <c r="P47" s="489" t="s">
        <v>1258</v>
      </c>
      <c r="Q47" s="542">
        <v>20228</v>
      </c>
      <c r="R47"/>
      <c r="S47"/>
    </row>
    <row r="48" spans="1:19">
      <c r="A48" s="539" t="s">
        <v>977</v>
      </c>
      <c r="B48" s="539" t="s">
        <v>533</v>
      </c>
      <c r="C48" s="539" t="s">
        <v>978</v>
      </c>
      <c r="D48" s="540">
        <v>8226</v>
      </c>
      <c r="E48" s="539">
        <v>22</v>
      </c>
      <c r="F48" s="539" t="s">
        <v>913</v>
      </c>
      <c r="G48" s="539" t="s">
        <v>913</v>
      </c>
      <c r="H48" s="539" t="s">
        <v>913</v>
      </c>
      <c r="I48" s="539" t="s">
        <v>913</v>
      </c>
      <c r="J48" s="539" t="s">
        <v>913</v>
      </c>
      <c r="K48" s="539" t="s">
        <v>913</v>
      </c>
      <c r="L48" s="539" t="s">
        <v>913</v>
      </c>
      <c r="M48" s="539" t="s">
        <v>913</v>
      </c>
      <c r="N48" s="539" t="s">
        <v>913</v>
      </c>
      <c r="P48"/>
      <c r="Q48"/>
      <c r="R48"/>
      <c r="S48"/>
    </row>
    <row r="49" spans="1:19">
      <c r="A49" s="539" t="s">
        <v>979</v>
      </c>
      <c r="B49" s="539" t="s">
        <v>456</v>
      </c>
      <c r="C49" s="539" t="s">
        <v>980</v>
      </c>
      <c r="D49" s="540">
        <v>1477</v>
      </c>
      <c r="E49" s="539">
        <v>11</v>
      </c>
      <c r="F49" s="539" t="s">
        <v>913</v>
      </c>
      <c r="I49" s="539" t="s">
        <v>913</v>
      </c>
      <c r="P49"/>
      <c r="Q49"/>
      <c r="R49"/>
      <c r="S49"/>
    </row>
    <row r="50" spans="1:19">
      <c r="A50" s="539" t="s">
        <v>981</v>
      </c>
      <c r="B50" s="539" t="s">
        <v>549</v>
      </c>
      <c r="C50" s="539" t="s">
        <v>982</v>
      </c>
      <c r="D50" s="540">
        <v>8316</v>
      </c>
      <c r="E50" s="539">
        <v>440</v>
      </c>
      <c r="I50" s="539" t="s">
        <v>913</v>
      </c>
      <c r="P50"/>
      <c r="Q50"/>
      <c r="R50"/>
      <c r="S50"/>
    </row>
    <row r="51" spans="1:19">
      <c r="A51" s="539" t="s">
        <v>983</v>
      </c>
      <c r="B51" s="539" t="s">
        <v>401</v>
      </c>
      <c r="C51" s="539" t="s">
        <v>984</v>
      </c>
      <c r="D51" s="540">
        <v>8162</v>
      </c>
      <c r="E51" s="539">
        <v>252</v>
      </c>
      <c r="F51" s="539" t="s">
        <v>913</v>
      </c>
      <c r="G51" s="539" t="s">
        <v>913</v>
      </c>
      <c r="I51" s="539" t="s">
        <v>913</v>
      </c>
      <c r="J51" s="539" t="s">
        <v>913</v>
      </c>
      <c r="K51" s="539" t="s">
        <v>913</v>
      </c>
      <c r="L51" s="539" t="s">
        <v>913</v>
      </c>
      <c r="M51" s="539" t="s">
        <v>913</v>
      </c>
      <c r="P51"/>
      <c r="Q51"/>
      <c r="R51"/>
      <c r="S51"/>
    </row>
    <row r="52" spans="1:19">
      <c r="A52" s="539" t="s">
        <v>983</v>
      </c>
      <c r="B52" s="539" t="s">
        <v>401</v>
      </c>
      <c r="C52" s="539" t="s">
        <v>985</v>
      </c>
      <c r="D52" s="540">
        <v>8168</v>
      </c>
      <c r="E52" s="539">
        <v>111</v>
      </c>
      <c r="F52" s="539" t="s">
        <v>913</v>
      </c>
      <c r="G52" s="539" t="s">
        <v>913</v>
      </c>
      <c r="I52" s="539" t="s">
        <v>913</v>
      </c>
      <c r="J52" s="539" t="s">
        <v>913</v>
      </c>
      <c r="K52" s="539" t="s">
        <v>913</v>
      </c>
      <c r="L52" s="539" t="s">
        <v>913</v>
      </c>
      <c r="M52" s="539" t="s">
        <v>913</v>
      </c>
      <c r="P52"/>
      <c r="Q52"/>
      <c r="R52"/>
      <c r="S52"/>
    </row>
    <row r="53" spans="1:19">
      <c r="A53" s="539" t="s">
        <v>983</v>
      </c>
      <c r="B53" s="539" t="s">
        <v>401</v>
      </c>
      <c r="C53" s="539" t="s">
        <v>986</v>
      </c>
      <c r="D53" s="540">
        <v>8169</v>
      </c>
      <c r="E53" s="539">
        <v>245</v>
      </c>
      <c r="F53" s="539" t="s">
        <v>913</v>
      </c>
      <c r="I53" s="539" t="s">
        <v>913</v>
      </c>
      <c r="J53" s="539" t="s">
        <v>913</v>
      </c>
      <c r="K53" s="539" t="s">
        <v>913</v>
      </c>
      <c r="L53" s="539" t="s">
        <v>913</v>
      </c>
      <c r="P53"/>
      <c r="Q53"/>
      <c r="R53"/>
      <c r="S53"/>
    </row>
    <row r="54" spans="1:19">
      <c r="A54" s="539" t="s">
        <v>987</v>
      </c>
      <c r="B54" s="539" t="s">
        <v>226</v>
      </c>
      <c r="C54" s="539" t="s">
        <v>988</v>
      </c>
      <c r="D54" s="540">
        <v>8941</v>
      </c>
      <c r="E54" s="539">
        <v>100</v>
      </c>
      <c r="I54" s="539" t="s">
        <v>913</v>
      </c>
      <c r="K54" s="539" t="s">
        <v>913</v>
      </c>
      <c r="P54"/>
      <c r="Q54"/>
      <c r="R54"/>
      <c r="S54"/>
    </row>
    <row r="55" spans="1:19">
      <c r="A55" s="539" t="s">
        <v>989</v>
      </c>
      <c r="B55" s="539" t="s">
        <v>127</v>
      </c>
      <c r="C55" s="539" t="s">
        <v>990</v>
      </c>
      <c r="D55" s="540">
        <v>8605</v>
      </c>
      <c r="E55" s="539">
        <v>99</v>
      </c>
      <c r="F55" s="539" t="s">
        <v>913</v>
      </c>
      <c r="G55" s="539" t="s">
        <v>913</v>
      </c>
      <c r="I55" s="539" t="s">
        <v>913</v>
      </c>
      <c r="J55" s="539" t="s">
        <v>913</v>
      </c>
      <c r="K55" s="539" t="s">
        <v>913</v>
      </c>
      <c r="P55"/>
      <c r="Q55"/>
      <c r="R55"/>
      <c r="S55"/>
    </row>
    <row r="56" spans="1:19">
      <c r="A56" s="539" t="s">
        <v>989</v>
      </c>
      <c r="B56" s="539" t="s">
        <v>127</v>
      </c>
      <c r="C56" s="539" t="s">
        <v>991</v>
      </c>
      <c r="D56" s="540">
        <v>8021</v>
      </c>
      <c r="E56" s="539">
        <v>72</v>
      </c>
      <c r="F56" s="539" t="s">
        <v>913</v>
      </c>
      <c r="I56" s="539" t="s">
        <v>913</v>
      </c>
      <c r="P56"/>
      <c r="Q56"/>
      <c r="R56"/>
      <c r="S56"/>
    </row>
    <row r="57" spans="1:19">
      <c r="A57" s="539" t="s">
        <v>992</v>
      </c>
      <c r="B57" s="539" t="s">
        <v>395</v>
      </c>
      <c r="C57" s="539" t="s">
        <v>993</v>
      </c>
      <c r="D57" s="540">
        <v>8883</v>
      </c>
      <c r="E57" s="539">
        <v>532</v>
      </c>
      <c r="I57" s="539" t="s">
        <v>913</v>
      </c>
      <c r="P57"/>
      <c r="Q57"/>
      <c r="R57"/>
      <c r="S57"/>
    </row>
    <row r="58" spans="1:19">
      <c r="A58" s="539" t="s">
        <v>992</v>
      </c>
      <c r="B58" s="539" t="s">
        <v>395</v>
      </c>
      <c r="C58" s="539" t="s">
        <v>994</v>
      </c>
      <c r="D58" s="540">
        <v>8156</v>
      </c>
      <c r="E58" s="539">
        <v>82</v>
      </c>
      <c r="F58" s="539" t="s">
        <v>913</v>
      </c>
      <c r="I58" s="539" t="s">
        <v>913</v>
      </c>
      <c r="J58" s="539" t="s">
        <v>913</v>
      </c>
      <c r="K58" s="539" t="s">
        <v>913</v>
      </c>
      <c r="P58"/>
      <c r="Q58"/>
      <c r="R58"/>
      <c r="S58"/>
    </row>
    <row r="59" spans="1:19">
      <c r="A59" s="539" t="s">
        <v>992</v>
      </c>
      <c r="B59" s="539" t="s">
        <v>395</v>
      </c>
      <c r="C59" s="539" t="s">
        <v>995</v>
      </c>
      <c r="D59" s="540">
        <v>8157</v>
      </c>
      <c r="E59" s="539">
        <v>280</v>
      </c>
      <c r="F59" s="539" t="s">
        <v>913</v>
      </c>
      <c r="I59" s="539" t="s">
        <v>913</v>
      </c>
      <c r="K59" s="539" t="s">
        <v>913</v>
      </c>
      <c r="L59" s="539" t="s">
        <v>913</v>
      </c>
      <c r="P59"/>
      <c r="Q59"/>
      <c r="R59"/>
      <c r="S59"/>
    </row>
    <row r="60" spans="1:19">
      <c r="A60" s="539" t="s">
        <v>992</v>
      </c>
      <c r="B60" s="539" t="s">
        <v>395</v>
      </c>
      <c r="C60" s="539" t="s">
        <v>996</v>
      </c>
      <c r="D60" s="540" t="s">
        <v>997</v>
      </c>
      <c r="E60" s="539">
        <v>0</v>
      </c>
      <c r="F60" s="539" t="s">
        <v>913</v>
      </c>
      <c r="G60" s="539" t="s">
        <v>913</v>
      </c>
      <c r="H60" s="539" t="s">
        <v>913</v>
      </c>
      <c r="I60" s="539" t="s">
        <v>913</v>
      </c>
      <c r="J60" s="539" t="s">
        <v>913</v>
      </c>
      <c r="K60" s="539" t="s">
        <v>913</v>
      </c>
      <c r="L60" s="539" t="s">
        <v>913</v>
      </c>
      <c r="M60" s="539" t="s">
        <v>913</v>
      </c>
      <c r="N60" s="539" t="s">
        <v>913</v>
      </c>
      <c r="P60"/>
      <c r="Q60"/>
      <c r="R60"/>
      <c r="S60"/>
    </row>
    <row r="61" spans="1:19">
      <c r="A61" s="539" t="s">
        <v>992</v>
      </c>
      <c r="B61" s="539" t="s">
        <v>395</v>
      </c>
      <c r="C61" s="539" t="s">
        <v>998</v>
      </c>
      <c r="D61" s="540">
        <v>8159</v>
      </c>
      <c r="E61" s="539">
        <v>350</v>
      </c>
      <c r="F61" s="539" t="s">
        <v>913</v>
      </c>
      <c r="I61" s="539" t="s">
        <v>913</v>
      </c>
      <c r="K61" s="539" t="s">
        <v>913</v>
      </c>
      <c r="L61" s="539" t="s">
        <v>913</v>
      </c>
      <c r="M61" s="539" t="s">
        <v>913</v>
      </c>
      <c r="P61"/>
      <c r="Q61"/>
      <c r="R61"/>
      <c r="S61"/>
    </row>
    <row r="62" spans="1:19">
      <c r="A62" s="539" t="s">
        <v>999</v>
      </c>
      <c r="B62" s="539" t="s">
        <v>58</v>
      </c>
      <c r="C62" s="539" t="s">
        <v>1000</v>
      </c>
      <c r="D62" s="540" t="s">
        <v>1001</v>
      </c>
      <c r="E62" s="539">
        <v>83</v>
      </c>
      <c r="I62" s="539" t="s">
        <v>913</v>
      </c>
      <c r="P62"/>
      <c r="Q62"/>
      <c r="R62"/>
      <c r="S62"/>
    </row>
    <row r="63" spans="1:19">
      <c r="A63" s="539" t="s">
        <v>1002</v>
      </c>
      <c r="B63" s="539" t="s">
        <v>175</v>
      </c>
      <c r="C63" s="539" t="s">
        <v>1003</v>
      </c>
      <c r="D63" s="540">
        <v>8772</v>
      </c>
      <c r="E63" s="539">
        <v>249</v>
      </c>
      <c r="F63" s="539" t="s">
        <v>913</v>
      </c>
      <c r="I63" s="539" t="s">
        <v>913</v>
      </c>
      <c r="J63" s="539" t="s">
        <v>913</v>
      </c>
      <c r="K63" s="539" t="s">
        <v>913</v>
      </c>
      <c r="L63" s="539" t="s">
        <v>913</v>
      </c>
      <c r="M63" s="539" t="s">
        <v>913</v>
      </c>
      <c r="P63"/>
      <c r="Q63"/>
      <c r="R63"/>
      <c r="S63"/>
    </row>
    <row r="64" spans="1:19">
      <c r="A64" s="539" t="s">
        <v>1002</v>
      </c>
      <c r="B64" s="539" t="s">
        <v>175</v>
      </c>
      <c r="C64" s="539" t="s">
        <v>1004</v>
      </c>
      <c r="D64" s="540">
        <v>8456</v>
      </c>
      <c r="E64" s="539">
        <v>99</v>
      </c>
      <c r="J64" s="539" t="s">
        <v>913</v>
      </c>
      <c r="K64" s="539" t="s">
        <v>913</v>
      </c>
      <c r="L64" s="539" t="s">
        <v>913</v>
      </c>
      <c r="N64" s="539" t="s">
        <v>913</v>
      </c>
      <c r="P64"/>
      <c r="Q64"/>
      <c r="R64"/>
      <c r="S64"/>
    </row>
    <row r="65" spans="1:19">
      <c r="A65" s="539" t="s">
        <v>1002</v>
      </c>
      <c r="B65" s="539" t="s">
        <v>175</v>
      </c>
      <c r="C65" s="539" t="s">
        <v>1005</v>
      </c>
      <c r="D65" s="540">
        <v>8535</v>
      </c>
      <c r="E65" s="539">
        <v>134</v>
      </c>
      <c r="F65" s="539" t="s">
        <v>913</v>
      </c>
      <c r="I65" s="539" t="s">
        <v>913</v>
      </c>
      <c r="J65" s="539" t="s">
        <v>913</v>
      </c>
      <c r="K65" s="539" t="s">
        <v>913</v>
      </c>
      <c r="P65"/>
      <c r="Q65"/>
      <c r="R65"/>
      <c r="S65"/>
    </row>
    <row r="66" spans="1:19">
      <c r="A66" s="539" t="s">
        <v>1002</v>
      </c>
      <c r="B66" s="539" t="s">
        <v>175</v>
      </c>
      <c r="C66" s="539" t="s">
        <v>1006</v>
      </c>
      <c r="D66" s="540">
        <v>1474</v>
      </c>
      <c r="E66" s="539">
        <v>27</v>
      </c>
      <c r="G66" s="539" t="s">
        <v>913</v>
      </c>
      <c r="I66" s="539" t="s">
        <v>913</v>
      </c>
      <c r="J66" s="539" t="s">
        <v>913</v>
      </c>
      <c r="K66" s="539" t="s">
        <v>913</v>
      </c>
      <c r="M66" s="539" t="s">
        <v>913</v>
      </c>
      <c r="P66"/>
      <c r="Q66"/>
      <c r="R66"/>
      <c r="S66"/>
    </row>
    <row r="67" spans="1:19">
      <c r="A67" s="539" t="s">
        <v>1002</v>
      </c>
      <c r="B67" s="539" t="s">
        <v>175</v>
      </c>
      <c r="C67" s="539" t="s">
        <v>1007</v>
      </c>
      <c r="D67" s="540">
        <v>8078</v>
      </c>
      <c r="E67" s="539">
        <v>80</v>
      </c>
      <c r="H67" s="539" t="s">
        <v>913</v>
      </c>
      <c r="I67" s="539" t="s">
        <v>913</v>
      </c>
      <c r="J67" s="539" t="s">
        <v>913</v>
      </c>
      <c r="K67" s="539" t="s">
        <v>913</v>
      </c>
      <c r="L67" s="539" t="s">
        <v>913</v>
      </c>
      <c r="M67" s="539" t="s">
        <v>913</v>
      </c>
      <c r="N67" s="539" t="s">
        <v>913</v>
      </c>
      <c r="P67"/>
      <c r="Q67"/>
      <c r="R67"/>
      <c r="S67"/>
    </row>
    <row r="68" spans="1:19">
      <c r="A68" s="539" t="s">
        <v>1002</v>
      </c>
      <c r="B68" s="539" t="s">
        <v>175</v>
      </c>
      <c r="C68" s="539" t="s">
        <v>1008</v>
      </c>
      <c r="D68" s="540">
        <v>8077</v>
      </c>
      <c r="E68" s="539">
        <v>277</v>
      </c>
      <c r="F68" s="539" t="s">
        <v>913</v>
      </c>
      <c r="I68" s="539" t="s">
        <v>913</v>
      </c>
      <c r="J68" s="539" t="s">
        <v>913</v>
      </c>
      <c r="K68" s="539" t="s">
        <v>913</v>
      </c>
      <c r="L68" s="539" t="s">
        <v>913</v>
      </c>
      <c r="P68"/>
      <c r="Q68"/>
      <c r="R68"/>
      <c r="S68"/>
    </row>
    <row r="69" spans="1:19">
      <c r="A69" s="539" t="s">
        <v>1009</v>
      </c>
      <c r="B69" s="539" t="s">
        <v>506</v>
      </c>
      <c r="C69" s="539" t="s">
        <v>1010</v>
      </c>
      <c r="D69" s="540" t="s">
        <v>1011</v>
      </c>
      <c r="E69" s="539">
        <v>20</v>
      </c>
      <c r="F69" s="539" t="s">
        <v>913</v>
      </c>
      <c r="I69" s="539" t="s">
        <v>913</v>
      </c>
      <c r="K69" s="539" t="s">
        <v>913</v>
      </c>
      <c r="P69"/>
      <c r="Q69"/>
      <c r="R69"/>
      <c r="S69"/>
    </row>
    <row r="70" spans="1:19">
      <c r="A70" s="539" t="s">
        <v>1009</v>
      </c>
      <c r="B70" s="539" t="s">
        <v>506</v>
      </c>
      <c r="C70" s="539" t="s">
        <v>1012</v>
      </c>
      <c r="D70" s="540">
        <v>1447</v>
      </c>
      <c r="E70" s="539">
        <v>33</v>
      </c>
      <c r="F70" s="539" t="s">
        <v>913</v>
      </c>
      <c r="I70" s="539" t="s">
        <v>913</v>
      </c>
      <c r="J70" s="539" t="s">
        <v>913</v>
      </c>
      <c r="K70" s="539" t="s">
        <v>913</v>
      </c>
      <c r="M70" s="539" t="s">
        <v>913</v>
      </c>
      <c r="P70"/>
      <c r="Q70"/>
      <c r="R70"/>
      <c r="S70"/>
    </row>
    <row r="71" spans="1:19">
      <c r="A71" s="539" t="s">
        <v>1009</v>
      </c>
      <c r="B71" s="539" t="s">
        <v>506</v>
      </c>
      <c r="C71" s="539" t="s">
        <v>1013</v>
      </c>
      <c r="D71" s="540">
        <v>8917</v>
      </c>
      <c r="E71" s="539">
        <v>61</v>
      </c>
      <c r="I71" s="539" t="s">
        <v>913</v>
      </c>
      <c r="K71" s="539" t="s">
        <v>913</v>
      </c>
      <c r="P71"/>
      <c r="Q71"/>
      <c r="R71"/>
      <c r="S71"/>
    </row>
    <row r="72" spans="1:19">
      <c r="A72" s="539" t="s">
        <v>1014</v>
      </c>
      <c r="B72" s="539" t="s">
        <v>369</v>
      </c>
      <c r="C72" s="539" t="s">
        <v>1015</v>
      </c>
      <c r="D72" s="540">
        <v>8469</v>
      </c>
      <c r="E72" s="539">
        <v>144</v>
      </c>
      <c r="F72" s="539" t="s">
        <v>913</v>
      </c>
      <c r="G72" s="539" t="s">
        <v>913</v>
      </c>
      <c r="H72" s="539" t="s">
        <v>913</v>
      </c>
      <c r="I72" s="539" t="s">
        <v>913</v>
      </c>
      <c r="J72" s="539" t="s">
        <v>913</v>
      </c>
      <c r="K72" s="539" t="s">
        <v>913</v>
      </c>
      <c r="L72" s="539" t="s">
        <v>913</v>
      </c>
      <c r="P72"/>
      <c r="Q72"/>
      <c r="R72"/>
      <c r="S72"/>
    </row>
    <row r="73" spans="1:19">
      <c r="A73" s="539" t="s">
        <v>1016</v>
      </c>
      <c r="B73" s="539" t="s">
        <v>361</v>
      </c>
      <c r="C73" s="539" t="s">
        <v>1017</v>
      </c>
      <c r="D73" s="540">
        <v>8150</v>
      </c>
      <c r="E73" s="539">
        <v>84</v>
      </c>
      <c r="F73" s="539" t="s">
        <v>913</v>
      </c>
      <c r="G73" s="539" t="s">
        <v>913</v>
      </c>
      <c r="I73" s="539" t="s">
        <v>913</v>
      </c>
      <c r="J73" s="539" t="s">
        <v>913</v>
      </c>
      <c r="L73" s="539" t="s">
        <v>913</v>
      </c>
      <c r="P73"/>
      <c r="Q73"/>
      <c r="R73"/>
      <c r="S73"/>
    </row>
    <row r="74" spans="1:19">
      <c r="A74" s="539" t="s">
        <v>1018</v>
      </c>
      <c r="B74" s="539" t="s">
        <v>246</v>
      </c>
      <c r="C74" s="539" t="s">
        <v>1019</v>
      </c>
      <c r="D74" s="540">
        <v>1425</v>
      </c>
      <c r="E74" s="539">
        <v>18</v>
      </c>
      <c r="F74" s="539" t="s">
        <v>913</v>
      </c>
      <c r="I74" s="539" t="s">
        <v>913</v>
      </c>
      <c r="P74"/>
      <c r="Q74"/>
      <c r="R74"/>
      <c r="S74"/>
    </row>
    <row r="75" spans="1:19">
      <c r="A75" s="539" t="s">
        <v>1020</v>
      </c>
      <c r="B75" s="539" t="s">
        <v>181</v>
      </c>
      <c r="C75" s="539" t="s">
        <v>1021</v>
      </c>
      <c r="D75" s="540">
        <v>8396</v>
      </c>
      <c r="E75" s="539">
        <v>38</v>
      </c>
      <c r="F75" s="539" t="s">
        <v>913</v>
      </c>
      <c r="G75" s="539" t="s">
        <v>913</v>
      </c>
      <c r="I75" s="539" t="s">
        <v>913</v>
      </c>
      <c r="J75" s="539" t="s">
        <v>913</v>
      </c>
      <c r="K75" s="539" t="s">
        <v>913</v>
      </c>
      <c r="L75" s="539" t="s">
        <v>913</v>
      </c>
      <c r="M75" s="539" t="s">
        <v>913</v>
      </c>
      <c r="P75"/>
      <c r="Q75"/>
      <c r="R75"/>
      <c r="S75"/>
    </row>
    <row r="76" spans="1:19">
      <c r="A76" s="539" t="s">
        <v>1020</v>
      </c>
      <c r="B76" s="539" t="s">
        <v>181</v>
      </c>
      <c r="C76" s="539" t="s">
        <v>1022</v>
      </c>
      <c r="D76" s="540">
        <v>8082</v>
      </c>
      <c r="E76" s="539">
        <v>919</v>
      </c>
      <c r="F76" s="539" t="s">
        <v>913</v>
      </c>
      <c r="I76" s="539" t="s">
        <v>913</v>
      </c>
      <c r="J76" s="539" t="s">
        <v>913</v>
      </c>
      <c r="K76" s="539" t="s">
        <v>913</v>
      </c>
      <c r="M76" s="539" t="s">
        <v>913</v>
      </c>
      <c r="P76"/>
      <c r="Q76"/>
      <c r="R76"/>
      <c r="S76"/>
    </row>
    <row r="77" spans="1:19">
      <c r="A77" s="539" t="s">
        <v>1020</v>
      </c>
      <c r="B77" s="539" t="s">
        <v>181</v>
      </c>
      <c r="C77" s="539" t="s">
        <v>1023</v>
      </c>
      <c r="D77" s="540">
        <v>1448</v>
      </c>
      <c r="E77" s="539">
        <v>10</v>
      </c>
      <c r="I77" s="539" t="s">
        <v>913</v>
      </c>
      <c r="J77" s="539" t="s">
        <v>913</v>
      </c>
      <c r="K77" s="539" t="s">
        <v>913</v>
      </c>
      <c r="M77" s="539" t="s">
        <v>913</v>
      </c>
      <c r="N77" s="539" t="s">
        <v>913</v>
      </c>
      <c r="P77"/>
      <c r="Q77"/>
      <c r="R77"/>
      <c r="S77"/>
    </row>
    <row r="78" spans="1:19">
      <c r="A78" s="539" t="s">
        <v>1020</v>
      </c>
      <c r="B78" s="539" t="s">
        <v>181</v>
      </c>
      <c r="C78" s="539" t="s">
        <v>1024</v>
      </c>
      <c r="D78" s="540">
        <v>8084</v>
      </c>
      <c r="E78" s="539">
        <v>567</v>
      </c>
      <c r="I78" s="539" t="s">
        <v>913</v>
      </c>
      <c r="P78"/>
      <c r="Q78"/>
      <c r="R78"/>
      <c r="S78"/>
    </row>
    <row r="79" spans="1:19">
      <c r="A79" s="539" t="s">
        <v>1020</v>
      </c>
      <c r="B79" s="539" t="s">
        <v>181</v>
      </c>
      <c r="C79" s="539" t="s">
        <v>1025</v>
      </c>
      <c r="D79" s="540">
        <v>8523</v>
      </c>
      <c r="E79" s="539">
        <v>199</v>
      </c>
      <c r="I79" s="539" t="s">
        <v>913</v>
      </c>
      <c r="N79" s="539" t="s">
        <v>913</v>
      </c>
      <c r="P79"/>
      <c r="Q79"/>
      <c r="R79"/>
      <c r="S79"/>
    </row>
    <row r="80" spans="1:19">
      <c r="A80" s="539" t="s">
        <v>1020</v>
      </c>
      <c r="B80" s="539" t="s">
        <v>181</v>
      </c>
      <c r="C80" s="539" t="s">
        <v>1026</v>
      </c>
      <c r="D80" s="540">
        <v>8086</v>
      </c>
      <c r="E80" s="539">
        <v>209</v>
      </c>
      <c r="F80" s="539" t="s">
        <v>913</v>
      </c>
      <c r="I80" s="539" t="s">
        <v>913</v>
      </c>
      <c r="K80" s="539" t="s">
        <v>913</v>
      </c>
      <c r="L80" s="539" t="s">
        <v>913</v>
      </c>
      <c r="P80"/>
      <c r="Q80"/>
      <c r="R80"/>
      <c r="S80"/>
    </row>
    <row r="81" spans="1:19">
      <c r="A81" s="539" t="s">
        <v>1020</v>
      </c>
      <c r="B81" s="539" t="s">
        <v>181</v>
      </c>
      <c r="C81" s="539" t="s">
        <v>1027</v>
      </c>
      <c r="D81" s="540">
        <v>8087</v>
      </c>
      <c r="E81" s="539">
        <v>475</v>
      </c>
      <c r="F81" s="539" t="s">
        <v>913</v>
      </c>
      <c r="I81" s="539" t="s">
        <v>913</v>
      </c>
      <c r="J81" s="539" t="s">
        <v>913</v>
      </c>
      <c r="K81" s="539" t="s">
        <v>913</v>
      </c>
      <c r="L81" s="539" t="s">
        <v>913</v>
      </c>
      <c r="M81" s="539" t="s">
        <v>913</v>
      </c>
      <c r="N81" s="539" t="s">
        <v>913</v>
      </c>
      <c r="P81"/>
      <c r="Q81"/>
      <c r="R81"/>
      <c r="S81"/>
    </row>
    <row r="82" spans="1:19">
      <c r="A82" s="539" t="s">
        <v>1020</v>
      </c>
      <c r="B82" s="539" t="s">
        <v>181</v>
      </c>
      <c r="C82" s="539" t="s">
        <v>1028</v>
      </c>
      <c r="D82" s="540">
        <v>8646</v>
      </c>
      <c r="E82" s="539">
        <v>224</v>
      </c>
      <c r="F82" s="539" t="s">
        <v>913</v>
      </c>
      <c r="I82" s="539" t="s">
        <v>913</v>
      </c>
      <c r="J82" s="539" t="s">
        <v>913</v>
      </c>
      <c r="K82" s="539" t="s">
        <v>913</v>
      </c>
      <c r="P82"/>
      <c r="Q82"/>
      <c r="R82"/>
      <c r="S82"/>
    </row>
    <row r="83" spans="1:19">
      <c r="A83" s="539" t="s">
        <v>1029</v>
      </c>
      <c r="B83" s="539" t="s">
        <v>201</v>
      </c>
      <c r="C83" s="539" t="s">
        <v>1030</v>
      </c>
      <c r="D83" s="540">
        <v>8479</v>
      </c>
      <c r="E83" s="539">
        <v>48</v>
      </c>
      <c r="I83" s="539" t="s">
        <v>913</v>
      </c>
      <c r="P83"/>
      <c r="Q83"/>
      <c r="R83"/>
      <c r="S83"/>
    </row>
    <row r="84" spans="1:19">
      <c r="A84" s="539" t="s">
        <v>1029</v>
      </c>
      <c r="B84" s="539" t="s">
        <v>201</v>
      </c>
      <c r="C84" s="539" t="s">
        <v>1031</v>
      </c>
      <c r="D84" s="540">
        <v>8815</v>
      </c>
      <c r="E84" s="539">
        <v>33</v>
      </c>
      <c r="F84" s="539" t="s">
        <v>913</v>
      </c>
      <c r="I84" s="539" t="s">
        <v>913</v>
      </c>
      <c r="J84" s="539" t="s">
        <v>913</v>
      </c>
      <c r="L84" s="539" t="s">
        <v>913</v>
      </c>
      <c r="P84"/>
      <c r="Q84"/>
      <c r="R84"/>
      <c r="S84"/>
    </row>
    <row r="85" spans="1:19">
      <c r="A85" s="539" t="s">
        <v>1029</v>
      </c>
      <c r="B85" s="539" t="s">
        <v>201</v>
      </c>
      <c r="C85" s="539" t="s">
        <v>1032</v>
      </c>
      <c r="D85" s="540">
        <v>8282</v>
      </c>
      <c r="E85" s="539">
        <v>307</v>
      </c>
      <c r="I85" s="539" t="s">
        <v>913</v>
      </c>
      <c r="K85" s="539" t="s">
        <v>913</v>
      </c>
    </row>
    <row r="86" spans="1:19">
      <c r="A86" s="539" t="s">
        <v>1033</v>
      </c>
      <c r="B86" s="539" t="s">
        <v>80</v>
      </c>
      <c r="C86" s="539" t="s">
        <v>1034</v>
      </c>
      <c r="D86" s="540">
        <v>8347</v>
      </c>
      <c r="E86" s="539">
        <v>33</v>
      </c>
      <c r="I86" s="539" t="s">
        <v>913</v>
      </c>
      <c r="J86" s="539" t="s">
        <v>913</v>
      </c>
      <c r="K86" s="539" t="s">
        <v>913</v>
      </c>
      <c r="M86" s="539" t="s">
        <v>913</v>
      </c>
    </row>
    <row r="87" spans="1:19">
      <c r="A87" s="539" t="s">
        <v>1033</v>
      </c>
      <c r="B87" s="539" t="s">
        <v>80</v>
      </c>
      <c r="C87" s="539" t="s">
        <v>1035</v>
      </c>
      <c r="D87" s="540">
        <v>8090</v>
      </c>
      <c r="E87" s="539">
        <v>41</v>
      </c>
      <c r="F87" s="539" t="s">
        <v>913</v>
      </c>
      <c r="I87" s="539" t="s">
        <v>913</v>
      </c>
      <c r="J87" s="539" t="s">
        <v>913</v>
      </c>
      <c r="K87" s="539" t="s">
        <v>913</v>
      </c>
      <c r="M87" s="539" t="s">
        <v>913</v>
      </c>
    </row>
    <row r="88" spans="1:19">
      <c r="A88" s="539" t="s">
        <v>1033</v>
      </c>
      <c r="B88" s="539" t="s">
        <v>80</v>
      </c>
      <c r="C88" s="539" t="s">
        <v>1036</v>
      </c>
      <c r="D88" s="540">
        <v>8257</v>
      </c>
      <c r="E88" s="539">
        <v>113</v>
      </c>
      <c r="I88" s="539" t="s">
        <v>913</v>
      </c>
      <c r="J88" s="539" t="s">
        <v>913</v>
      </c>
      <c r="K88" s="539" t="s">
        <v>913</v>
      </c>
      <c r="N88" s="539" t="s">
        <v>913</v>
      </c>
    </row>
    <row r="89" spans="1:19">
      <c r="A89" s="539" t="s">
        <v>1037</v>
      </c>
      <c r="B89" s="539" t="s">
        <v>14</v>
      </c>
      <c r="C89" s="539" t="s">
        <v>1038</v>
      </c>
      <c r="D89" s="540">
        <v>8001</v>
      </c>
      <c r="E89" s="539">
        <v>141</v>
      </c>
      <c r="I89" s="539" t="s">
        <v>913</v>
      </c>
      <c r="J89" s="539" t="s">
        <v>913</v>
      </c>
      <c r="K89" s="539" t="s">
        <v>913</v>
      </c>
      <c r="M89" s="539" t="s">
        <v>913</v>
      </c>
    </row>
    <row r="90" spans="1:19">
      <c r="A90" s="539" t="s">
        <v>1037</v>
      </c>
      <c r="B90" s="539" t="s">
        <v>14</v>
      </c>
      <c r="C90" s="539" t="s">
        <v>1039</v>
      </c>
      <c r="D90" s="540">
        <v>8002</v>
      </c>
      <c r="E90" s="539">
        <v>275</v>
      </c>
      <c r="I90" s="539" t="s">
        <v>913</v>
      </c>
      <c r="K90" s="539" t="s">
        <v>913</v>
      </c>
    </row>
    <row r="91" spans="1:19">
      <c r="A91" s="539" t="s">
        <v>1040</v>
      </c>
      <c r="B91" s="539" t="s">
        <v>207</v>
      </c>
      <c r="C91" s="539" t="s">
        <v>1041</v>
      </c>
      <c r="D91" s="540">
        <v>8242</v>
      </c>
      <c r="E91" s="539">
        <v>118</v>
      </c>
      <c r="F91" s="539" t="s">
        <v>913</v>
      </c>
      <c r="I91" s="539" t="s">
        <v>913</v>
      </c>
    </row>
    <row r="92" spans="1:19">
      <c r="A92" s="539" t="s">
        <v>1040</v>
      </c>
      <c r="B92" s="539" t="s">
        <v>207</v>
      </c>
      <c r="C92" s="539" t="s">
        <v>1042</v>
      </c>
      <c r="D92" s="540">
        <v>8099</v>
      </c>
      <c r="E92" s="539">
        <v>135</v>
      </c>
      <c r="F92" s="539" t="s">
        <v>913</v>
      </c>
      <c r="I92" s="539" t="s">
        <v>913</v>
      </c>
      <c r="K92" s="539" t="s">
        <v>913</v>
      </c>
      <c r="L92" s="539" t="s">
        <v>913</v>
      </c>
    </row>
    <row r="93" spans="1:19">
      <c r="A93" s="539" t="s">
        <v>1043</v>
      </c>
      <c r="B93" s="539" t="s">
        <v>31</v>
      </c>
      <c r="C93" s="539" t="s">
        <v>1044</v>
      </c>
      <c r="D93" s="540">
        <v>8942</v>
      </c>
      <c r="E93" s="539">
        <v>28</v>
      </c>
      <c r="F93" s="539" t="s">
        <v>913</v>
      </c>
      <c r="I93" s="539" t="s">
        <v>913</v>
      </c>
    </row>
    <row r="94" spans="1:19">
      <c r="A94" s="539" t="s">
        <v>1045</v>
      </c>
      <c r="B94" s="539" t="s">
        <v>397</v>
      </c>
      <c r="C94" s="539" t="s">
        <v>1046</v>
      </c>
      <c r="D94" s="540">
        <v>8173</v>
      </c>
      <c r="E94" s="539">
        <v>140</v>
      </c>
      <c r="I94" s="539" t="s">
        <v>913</v>
      </c>
      <c r="K94" s="539" t="s">
        <v>913</v>
      </c>
    </row>
    <row r="95" spans="1:19">
      <c r="A95" s="539" t="s">
        <v>1047</v>
      </c>
      <c r="B95" s="539" t="s">
        <v>205</v>
      </c>
      <c r="C95" s="539" t="s">
        <v>1048</v>
      </c>
      <c r="D95" s="540">
        <v>8572</v>
      </c>
      <c r="E95" s="539">
        <v>805</v>
      </c>
      <c r="I95" s="539" t="s">
        <v>913</v>
      </c>
    </row>
    <row r="96" spans="1:19">
      <c r="A96" s="539" t="s">
        <v>1047</v>
      </c>
      <c r="B96" s="539" t="s">
        <v>205</v>
      </c>
      <c r="C96" s="539" t="s">
        <v>1049</v>
      </c>
      <c r="D96" s="540">
        <v>8713</v>
      </c>
      <c r="E96" s="539">
        <v>24</v>
      </c>
      <c r="F96" s="539" t="s">
        <v>913</v>
      </c>
      <c r="I96" s="539" t="s">
        <v>913</v>
      </c>
    </row>
    <row r="97" spans="1:14">
      <c r="A97" s="539" t="s">
        <v>1047</v>
      </c>
      <c r="B97" s="539" t="s">
        <v>205</v>
      </c>
      <c r="C97" s="539" t="s">
        <v>1050</v>
      </c>
      <c r="D97" s="540">
        <v>8106</v>
      </c>
      <c r="E97" s="539">
        <v>250</v>
      </c>
      <c r="I97" s="539" t="s">
        <v>913</v>
      </c>
      <c r="J97" s="539" t="s">
        <v>913</v>
      </c>
    </row>
    <row r="98" spans="1:14">
      <c r="A98" s="539" t="s">
        <v>1047</v>
      </c>
      <c r="B98" s="539" t="s">
        <v>205</v>
      </c>
      <c r="C98" s="539" t="s">
        <v>1051</v>
      </c>
      <c r="D98" s="540">
        <v>8612</v>
      </c>
      <c r="E98" s="539">
        <v>83</v>
      </c>
      <c r="F98" s="539" t="s">
        <v>913</v>
      </c>
      <c r="G98" s="539" t="s">
        <v>913</v>
      </c>
      <c r="H98" s="539" t="s">
        <v>913</v>
      </c>
      <c r="I98" s="539" t="s">
        <v>913</v>
      </c>
      <c r="J98" s="539" t="s">
        <v>913</v>
      </c>
      <c r="K98" s="539" t="s">
        <v>913</v>
      </c>
      <c r="L98" s="539" t="s">
        <v>913</v>
      </c>
      <c r="M98" s="539" t="s">
        <v>913</v>
      </c>
      <c r="N98" s="539" t="s">
        <v>913</v>
      </c>
    </row>
    <row r="99" spans="1:14">
      <c r="A99" s="539" t="s">
        <v>1047</v>
      </c>
      <c r="B99" s="539" t="s">
        <v>205</v>
      </c>
      <c r="C99" s="539" t="s">
        <v>1052</v>
      </c>
      <c r="D99" s="540">
        <v>8887</v>
      </c>
      <c r="E99" s="539">
        <v>689</v>
      </c>
      <c r="I99" s="539" t="s">
        <v>913</v>
      </c>
      <c r="K99" s="539" t="s">
        <v>913</v>
      </c>
    </row>
    <row r="100" spans="1:14">
      <c r="A100" s="539" t="s">
        <v>1053</v>
      </c>
      <c r="B100" s="539" t="s">
        <v>70</v>
      </c>
      <c r="C100" s="539" t="s">
        <v>1054</v>
      </c>
      <c r="D100" s="540">
        <v>8015</v>
      </c>
      <c r="E100" s="539">
        <v>176</v>
      </c>
      <c r="F100" s="539" t="s">
        <v>913</v>
      </c>
      <c r="I100" s="539" t="s">
        <v>913</v>
      </c>
      <c r="K100" s="539" t="s">
        <v>913</v>
      </c>
    </row>
    <row r="101" spans="1:14">
      <c r="A101" s="539" t="s">
        <v>1053</v>
      </c>
      <c r="B101" s="539" t="s">
        <v>70</v>
      </c>
      <c r="C101" s="539" t="s">
        <v>1055</v>
      </c>
      <c r="D101" s="540">
        <v>8016</v>
      </c>
      <c r="E101" s="539">
        <v>139</v>
      </c>
      <c r="I101" s="539" t="s">
        <v>913</v>
      </c>
      <c r="J101" s="539" t="s">
        <v>913</v>
      </c>
      <c r="K101" s="539" t="s">
        <v>913</v>
      </c>
    </row>
    <row r="102" spans="1:14">
      <c r="A102" s="539" t="s">
        <v>1056</v>
      </c>
      <c r="B102" s="539" t="s">
        <v>510</v>
      </c>
      <c r="C102" s="539" t="s">
        <v>1057</v>
      </c>
      <c r="D102" s="540">
        <v>8587</v>
      </c>
      <c r="E102" s="539">
        <v>112</v>
      </c>
      <c r="F102" s="539" t="s">
        <v>913</v>
      </c>
      <c r="I102" s="539" t="s">
        <v>913</v>
      </c>
      <c r="J102" s="539" t="s">
        <v>913</v>
      </c>
      <c r="M102" s="539" t="s">
        <v>913</v>
      </c>
    </row>
    <row r="103" spans="1:14">
      <c r="A103" s="539" t="s">
        <v>1056</v>
      </c>
      <c r="B103" s="539" t="s">
        <v>510</v>
      </c>
      <c r="C103" s="539" t="s">
        <v>1058</v>
      </c>
      <c r="D103" s="540">
        <v>8221</v>
      </c>
      <c r="E103" s="539">
        <v>94</v>
      </c>
      <c r="I103" s="539" t="s">
        <v>913</v>
      </c>
      <c r="J103" s="539" t="s">
        <v>913</v>
      </c>
      <c r="K103" s="539" t="s">
        <v>913</v>
      </c>
    </row>
    <row r="104" spans="1:14">
      <c r="A104" s="539" t="s">
        <v>1056</v>
      </c>
      <c r="B104" s="539" t="s">
        <v>510</v>
      </c>
      <c r="C104" s="539" t="s">
        <v>1059</v>
      </c>
      <c r="D104" s="540">
        <v>8222</v>
      </c>
      <c r="E104" s="539">
        <v>934</v>
      </c>
      <c r="F104" s="539" t="s">
        <v>913</v>
      </c>
      <c r="I104" s="539" t="s">
        <v>913</v>
      </c>
      <c r="J104" s="539" t="s">
        <v>913</v>
      </c>
      <c r="K104" s="539" t="s">
        <v>913</v>
      </c>
      <c r="L104" s="539" t="s">
        <v>913</v>
      </c>
    </row>
    <row r="105" spans="1:14">
      <c r="A105" s="539" t="s">
        <v>1060</v>
      </c>
      <c r="B105" s="539" t="s">
        <v>405</v>
      </c>
      <c r="C105" s="539" t="s">
        <v>1061</v>
      </c>
      <c r="D105" s="540">
        <v>8429</v>
      </c>
      <c r="E105" s="539">
        <v>290</v>
      </c>
      <c r="I105" s="539" t="s">
        <v>913</v>
      </c>
      <c r="J105" s="539" t="s">
        <v>913</v>
      </c>
      <c r="K105" s="539" t="s">
        <v>913</v>
      </c>
      <c r="M105" s="539" t="s">
        <v>913</v>
      </c>
      <c r="N105" s="539" t="s">
        <v>913</v>
      </c>
    </row>
    <row r="106" spans="1:14">
      <c r="A106" s="539" t="s">
        <v>1062</v>
      </c>
      <c r="B106" s="539" t="s">
        <v>432</v>
      </c>
      <c r="C106" s="539" t="s">
        <v>1063</v>
      </c>
      <c r="D106" s="540">
        <v>8270</v>
      </c>
      <c r="E106" s="539">
        <v>330</v>
      </c>
      <c r="I106" s="539" t="s">
        <v>913</v>
      </c>
      <c r="K106" s="539" t="s">
        <v>913</v>
      </c>
      <c r="L106" s="539" t="s">
        <v>913</v>
      </c>
      <c r="N106" s="539" t="s">
        <v>913</v>
      </c>
    </row>
    <row r="107" spans="1:14">
      <c r="A107" s="539" t="s">
        <v>1062</v>
      </c>
      <c r="B107" s="539" t="s">
        <v>432</v>
      </c>
      <c r="C107" s="539" t="s">
        <v>1064</v>
      </c>
      <c r="D107" s="540">
        <v>1494</v>
      </c>
      <c r="E107" s="539">
        <v>109</v>
      </c>
      <c r="F107" s="539" t="s">
        <v>913</v>
      </c>
      <c r="G107" s="539" t="s">
        <v>913</v>
      </c>
      <c r="I107" s="539" t="s">
        <v>913</v>
      </c>
      <c r="J107" s="539" t="s">
        <v>913</v>
      </c>
      <c r="K107" s="539" t="s">
        <v>913</v>
      </c>
      <c r="L107" s="539" t="s">
        <v>913</v>
      </c>
      <c r="M107" s="539" t="s">
        <v>913</v>
      </c>
    </row>
    <row r="108" spans="1:14">
      <c r="A108" s="539" t="s">
        <v>1062</v>
      </c>
      <c r="B108" s="539" t="s">
        <v>432</v>
      </c>
      <c r="C108" s="539" t="s">
        <v>986</v>
      </c>
      <c r="D108" s="540">
        <v>8200</v>
      </c>
      <c r="E108" s="539">
        <v>252</v>
      </c>
      <c r="F108" s="539" t="s">
        <v>913</v>
      </c>
      <c r="G108" s="539" t="s">
        <v>913</v>
      </c>
      <c r="H108" s="539" t="s">
        <v>913</v>
      </c>
      <c r="I108" s="539" t="s">
        <v>913</v>
      </c>
      <c r="J108" s="539" t="s">
        <v>913</v>
      </c>
      <c r="K108" s="539" t="s">
        <v>913</v>
      </c>
      <c r="L108" s="539" t="s">
        <v>913</v>
      </c>
      <c r="M108" s="539" t="s">
        <v>913</v>
      </c>
      <c r="N108" s="539" t="s">
        <v>913</v>
      </c>
    </row>
    <row r="109" spans="1:14">
      <c r="A109" s="539" t="s">
        <v>1065</v>
      </c>
      <c r="B109" s="539" t="s">
        <v>179</v>
      </c>
      <c r="C109" s="539" t="s">
        <v>1066</v>
      </c>
      <c r="D109" s="540">
        <v>8958</v>
      </c>
      <c r="E109" s="539">
        <v>45</v>
      </c>
      <c r="I109" s="539" t="s">
        <v>913</v>
      </c>
      <c r="K109" s="539" t="s">
        <v>913</v>
      </c>
    </row>
    <row r="110" spans="1:14">
      <c r="A110" s="539" t="s">
        <v>1065</v>
      </c>
      <c r="B110" s="539" t="s">
        <v>179</v>
      </c>
      <c r="C110" s="539" t="s">
        <v>1067</v>
      </c>
      <c r="D110" s="540">
        <v>8279</v>
      </c>
      <c r="E110" s="539">
        <v>298</v>
      </c>
      <c r="I110" s="539" t="s">
        <v>913</v>
      </c>
      <c r="J110" s="539" t="s">
        <v>913</v>
      </c>
      <c r="K110" s="539" t="s">
        <v>913</v>
      </c>
      <c r="L110" s="539" t="s">
        <v>913</v>
      </c>
    </row>
    <row r="111" spans="1:14">
      <c r="A111" s="539" t="s">
        <v>1065</v>
      </c>
      <c r="B111" s="539" t="s">
        <v>179</v>
      </c>
      <c r="C111" s="539" t="s">
        <v>1068</v>
      </c>
      <c r="D111" s="540">
        <v>8569</v>
      </c>
      <c r="E111" s="539">
        <v>80</v>
      </c>
      <c r="I111" s="539" t="s">
        <v>913</v>
      </c>
      <c r="L111" s="539" t="s">
        <v>913</v>
      </c>
    </row>
    <row r="112" spans="1:14">
      <c r="A112" s="539" t="s">
        <v>1065</v>
      </c>
      <c r="B112" s="539" t="s">
        <v>179</v>
      </c>
      <c r="C112" s="539" t="s">
        <v>1069</v>
      </c>
      <c r="D112" s="540">
        <v>8081</v>
      </c>
      <c r="E112" s="539">
        <v>219</v>
      </c>
      <c r="F112" s="539" t="s">
        <v>913</v>
      </c>
      <c r="I112" s="539" t="s">
        <v>913</v>
      </c>
      <c r="L112" s="539" t="s">
        <v>913</v>
      </c>
      <c r="N112" s="539" t="s">
        <v>913</v>
      </c>
    </row>
    <row r="113" spans="1:14">
      <c r="A113" s="539" t="s">
        <v>1070</v>
      </c>
      <c r="B113" s="539" t="s">
        <v>319</v>
      </c>
      <c r="C113" s="539" t="s">
        <v>1071</v>
      </c>
      <c r="D113" s="540">
        <v>8362</v>
      </c>
      <c r="E113" s="539">
        <v>47</v>
      </c>
      <c r="F113" s="539" t="s">
        <v>913</v>
      </c>
      <c r="J113" s="539" t="s">
        <v>913</v>
      </c>
      <c r="M113" s="539" t="s">
        <v>913</v>
      </c>
    </row>
    <row r="114" spans="1:14">
      <c r="A114" s="539" t="s">
        <v>1072</v>
      </c>
      <c r="B114" s="539" t="s">
        <v>409</v>
      </c>
      <c r="C114" s="539" t="s">
        <v>1073</v>
      </c>
      <c r="D114" s="540">
        <v>1464</v>
      </c>
      <c r="E114" s="539">
        <v>33</v>
      </c>
      <c r="F114" s="539" t="s">
        <v>913</v>
      </c>
      <c r="G114" s="539" t="s">
        <v>913</v>
      </c>
      <c r="H114" s="539" t="s">
        <v>913</v>
      </c>
      <c r="I114" s="539" t="s">
        <v>913</v>
      </c>
      <c r="J114" s="539" t="s">
        <v>913</v>
      </c>
      <c r="K114" s="539" t="s">
        <v>913</v>
      </c>
      <c r="L114" s="539" t="s">
        <v>913</v>
      </c>
      <c r="M114" s="539" t="s">
        <v>913</v>
      </c>
      <c r="N114" s="539" t="s">
        <v>913</v>
      </c>
    </row>
    <row r="115" spans="1:14">
      <c r="A115" s="539" t="s">
        <v>1072</v>
      </c>
      <c r="B115" s="539" t="s">
        <v>409</v>
      </c>
      <c r="C115" s="539" t="s">
        <v>1074</v>
      </c>
      <c r="D115" s="540">
        <v>8171</v>
      </c>
      <c r="E115" s="539">
        <v>138</v>
      </c>
      <c r="F115" s="539" t="s">
        <v>913</v>
      </c>
      <c r="I115" s="539" t="s">
        <v>913</v>
      </c>
      <c r="J115" s="539" t="s">
        <v>913</v>
      </c>
      <c r="K115" s="539" t="s">
        <v>913</v>
      </c>
    </row>
    <row r="116" spans="1:14">
      <c r="A116" s="539" t="s">
        <v>1075</v>
      </c>
      <c r="B116" s="539" t="s">
        <v>571</v>
      </c>
      <c r="C116" s="539" t="s">
        <v>1076</v>
      </c>
      <c r="D116" s="540">
        <v>8694</v>
      </c>
      <c r="E116" s="539">
        <v>43</v>
      </c>
      <c r="F116" s="539" t="s">
        <v>913</v>
      </c>
      <c r="I116" s="539" t="s">
        <v>913</v>
      </c>
      <c r="J116" s="539" t="s">
        <v>913</v>
      </c>
      <c r="K116" s="539" t="s">
        <v>913</v>
      </c>
    </row>
    <row r="117" spans="1:14">
      <c r="A117" s="539" t="s">
        <v>1077</v>
      </c>
      <c r="B117" s="539" t="s">
        <v>386</v>
      </c>
      <c r="C117" s="539" t="s">
        <v>1078</v>
      </c>
      <c r="D117" s="540">
        <v>8153</v>
      </c>
      <c r="E117" s="539">
        <v>216</v>
      </c>
      <c r="F117" s="539" t="s">
        <v>913</v>
      </c>
      <c r="G117" s="539" t="s">
        <v>913</v>
      </c>
      <c r="H117" s="539" t="s">
        <v>913</v>
      </c>
      <c r="I117" s="539" t="s">
        <v>913</v>
      </c>
      <c r="J117" s="539" t="s">
        <v>913</v>
      </c>
      <c r="K117" s="539" t="s">
        <v>913</v>
      </c>
      <c r="L117" s="539" t="s">
        <v>913</v>
      </c>
      <c r="M117" s="539" t="s">
        <v>913</v>
      </c>
    </row>
    <row r="118" spans="1:14">
      <c r="A118" s="539" t="s">
        <v>1077</v>
      </c>
      <c r="B118" s="539" t="s">
        <v>386</v>
      </c>
      <c r="C118" s="539" t="s">
        <v>1079</v>
      </c>
      <c r="D118" s="540">
        <v>8154</v>
      </c>
      <c r="E118" s="539">
        <v>293</v>
      </c>
      <c r="F118" s="539" t="s">
        <v>913</v>
      </c>
      <c r="I118" s="539" t="s">
        <v>913</v>
      </c>
      <c r="J118" s="539" t="s">
        <v>913</v>
      </c>
      <c r="K118" s="539" t="s">
        <v>913</v>
      </c>
      <c r="N118" s="539" t="s">
        <v>913</v>
      </c>
    </row>
    <row r="119" spans="1:14">
      <c r="A119" s="539" t="s">
        <v>1080</v>
      </c>
      <c r="B119" s="539" t="s">
        <v>399</v>
      </c>
      <c r="C119" s="539" t="s">
        <v>1081</v>
      </c>
      <c r="D119" s="540">
        <v>8409</v>
      </c>
      <c r="E119" s="539">
        <v>15</v>
      </c>
      <c r="F119" s="539" t="s">
        <v>913</v>
      </c>
      <c r="G119" s="539" t="s">
        <v>913</v>
      </c>
      <c r="I119" s="539" t="s">
        <v>913</v>
      </c>
      <c r="J119" s="539" t="s">
        <v>913</v>
      </c>
      <c r="K119" s="539" t="s">
        <v>913</v>
      </c>
      <c r="L119" s="539" t="s">
        <v>913</v>
      </c>
      <c r="M119" s="539" t="s">
        <v>913</v>
      </c>
    </row>
    <row r="120" spans="1:14">
      <c r="A120" s="539" t="s">
        <v>1080</v>
      </c>
      <c r="B120" s="539" t="s">
        <v>399</v>
      </c>
      <c r="C120" s="539" t="s">
        <v>1082</v>
      </c>
      <c r="D120" s="540">
        <v>1411</v>
      </c>
      <c r="E120" s="539">
        <v>17</v>
      </c>
      <c r="F120" s="539" t="s">
        <v>913</v>
      </c>
      <c r="I120" s="539" t="s">
        <v>913</v>
      </c>
      <c r="J120" s="539" t="s">
        <v>913</v>
      </c>
    </row>
    <row r="121" spans="1:14">
      <c r="A121" s="539" t="s">
        <v>1080</v>
      </c>
      <c r="B121" s="539" t="s">
        <v>399</v>
      </c>
      <c r="C121" s="539" t="s">
        <v>1083</v>
      </c>
      <c r="D121" s="540">
        <v>8111</v>
      </c>
      <c r="E121" s="539">
        <v>742</v>
      </c>
      <c r="I121" s="539" t="s">
        <v>913</v>
      </c>
      <c r="J121" s="539" t="s">
        <v>913</v>
      </c>
      <c r="K121" s="539" t="s">
        <v>913</v>
      </c>
    </row>
    <row r="122" spans="1:14">
      <c r="A122" s="539" t="s">
        <v>1084</v>
      </c>
      <c r="B122" s="539" t="s">
        <v>214</v>
      </c>
      <c r="C122" s="539" t="s">
        <v>1085</v>
      </c>
      <c r="D122" s="540">
        <v>8341</v>
      </c>
      <c r="E122" s="539">
        <v>136</v>
      </c>
      <c r="F122" s="539" t="s">
        <v>913</v>
      </c>
      <c r="I122" s="539" t="s">
        <v>913</v>
      </c>
      <c r="K122" s="539" t="s">
        <v>913</v>
      </c>
      <c r="M122" s="539" t="s">
        <v>913</v>
      </c>
    </row>
    <row r="123" spans="1:14">
      <c r="A123" s="539" t="s">
        <v>1084</v>
      </c>
      <c r="B123" s="539" t="s">
        <v>214</v>
      </c>
      <c r="C123" s="539" t="s">
        <v>1086</v>
      </c>
      <c r="D123" s="540">
        <v>8816</v>
      </c>
      <c r="E123" s="539">
        <v>61</v>
      </c>
      <c r="F123" s="539" t="s">
        <v>913</v>
      </c>
      <c r="G123" s="539" t="s">
        <v>913</v>
      </c>
      <c r="H123" s="539" t="s">
        <v>913</v>
      </c>
      <c r="I123" s="539" t="s">
        <v>913</v>
      </c>
      <c r="L123" s="539" t="s">
        <v>913</v>
      </c>
      <c r="N123" s="539" t="s">
        <v>913</v>
      </c>
    </row>
    <row r="124" spans="1:14">
      <c r="A124" s="539" t="s">
        <v>1087</v>
      </c>
      <c r="B124" s="539" t="s">
        <v>474</v>
      </c>
      <c r="C124" s="539" t="s">
        <v>1088</v>
      </c>
      <c r="D124" s="540">
        <v>8311</v>
      </c>
      <c r="E124" s="539">
        <v>220</v>
      </c>
      <c r="F124" s="539" t="s">
        <v>913</v>
      </c>
      <c r="I124" s="539" t="s">
        <v>913</v>
      </c>
      <c r="J124" s="539" t="s">
        <v>913</v>
      </c>
      <c r="K124" s="539" t="s">
        <v>913</v>
      </c>
      <c r="N124" s="539" t="s">
        <v>913</v>
      </c>
    </row>
    <row r="125" spans="1:14">
      <c r="A125" s="539" t="s">
        <v>1087</v>
      </c>
      <c r="B125" s="539" t="s">
        <v>474</v>
      </c>
      <c r="C125" s="539" t="s">
        <v>1089</v>
      </c>
      <c r="D125" s="540">
        <v>8482</v>
      </c>
      <c r="E125" s="539">
        <v>85</v>
      </c>
      <c r="F125" s="539" t="s">
        <v>913</v>
      </c>
      <c r="G125" s="539" t="s">
        <v>913</v>
      </c>
      <c r="I125" s="539" t="s">
        <v>913</v>
      </c>
      <c r="J125" s="539" t="s">
        <v>913</v>
      </c>
      <c r="K125" s="539" t="s">
        <v>913</v>
      </c>
      <c r="M125" s="539" t="s">
        <v>913</v>
      </c>
    </row>
    <row r="126" spans="1:14">
      <c r="A126" s="539" t="s">
        <v>1087</v>
      </c>
      <c r="B126" s="539" t="s">
        <v>474</v>
      </c>
      <c r="C126" s="539" t="s">
        <v>919</v>
      </c>
      <c r="D126" s="540">
        <v>8340</v>
      </c>
      <c r="E126" s="539">
        <v>69</v>
      </c>
      <c r="F126" s="539" t="s">
        <v>913</v>
      </c>
      <c r="I126" s="539" t="s">
        <v>913</v>
      </c>
      <c r="J126" s="539" t="s">
        <v>913</v>
      </c>
      <c r="K126" s="539" t="s">
        <v>913</v>
      </c>
    </row>
    <row r="127" spans="1:14">
      <c r="A127" s="539" t="s">
        <v>1087</v>
      </c>
      <c r="B127" s="539" t="s">
        <v>474</v>
      </c>
      <c r="C127" s="539" t="s">
        <v>1090</v>
      </c>
      <c r="D127" s="540">
        <v>8174</v>
      </c>
      <c r="E127" s="539">
        <v>196</v>
      </c>
      <c r="I127" s="539" t="s">
        <v>913</v>
      </c>
      <c r="J127" s="539" t="s">
        <v>913</v>
      </c>
      <c r="K127" s="539" t="s">
        <v>913</v>
      </c>
      <c r="N127" s="539" t="s">
        <v>913</v>
      </c>
    </row>
    <row r="128" spans="1:14">
      <c r="A128" s="539" t="s">
        <v>1091</v>
      </c>
      <c r="B128" s="539" t="s">
        <v>209</v>
      </c>
      <c r="C128" s="539" t="s">
        <v>1092</v>
      </c>
      <c r="D128" s="540">
        <v>8875</v>
      </c>
      <c r="E128" s="539">
        <v>184</v>
      </c>
      <c r="F128" s="539" t="s">
        <v>913</v>
      </c>
      <c r="I128" s="539" t="s">
        <v>913</v>
      </c>
      <c r="J128" s="539" t="s">
        <v>913</v>
      </c>
      <c r="K128" s="539" t="s">
        <v>913</v>
      </c>
      <c r="L128" s="539" t="s">
        <v>913</v>
      </c>
      <c r="M128" s="539" t="s">
        <v>913</v>
      </c>
    </row>
    <row r="129" spans="1:14">
      <c r="A129" s="539" t="s">
        <v>1091</v>
      </c>
      <c r="B129" s="539" t="s">
        <v>209</v>
      </c>
      <c r="C129" s="539" t="s">
        <v>1093</v>
      </c>
      <c r="D129" s="540">
        <v>8561</v>
      </c>
      <c r="E129" s="539">
        <v>143</v>
      </c>
      <c r="I129" s="539" t="s">
        <v>913</v>
      </c>
      <c r="K129" s="539" t="s">
        <v>913</v>
      </c>
    </row>
    <row r="130" spans="1:14">
      <c r="A130" s="539" t="s">
        <v>1091</v>
      </c>
      <c r="B130" s="539" t="s">
        <v>209</v>
      </c>
      <c r="C130" s="539" t="s">
        <v>1094</v>
      </c>
      <c r="D130" s="540">
        <v>8113</v>
      </c>
      <c r="E130" s="539">
        <v>235</v>
      </c>
      <c r="F130" s="539" t="s">
        <v>913</v>
      </c>
      <c r="G130" s="539" t="s">
        <v>913</v>
      </c>
      <c r="J130" s="539" t="s">
        <v>913</v>
      </c>
      <c r="K130" s="539" t="s">
        <v>913</v>
      </c>
      <c r="M130" s="539" t="s">
        <v>913</v>
      </c>
    </row>
    <row r="131" spans="1:14">
      <c r="A131" s="539" t="s">
        <v>1091</v>
      </c>
      <c r="B131" s="539" t="s">
        <v>209</v>
      </c>
      <c r="C131" s="539" t="s">
        <v>1095</v>
      </c>
      <c r="D131" s="540">
        <v>8372</v>
      </c>
      <c r="E131" s="539">
        <v>51</v>
      </c>
      <c r="F131" s="539" t="s">
        <v>913</v>
      </c>
      <c r="G131" s="539" t="s">
        <v>913</v>
      </c>
      <c r="H131" s="539" t="s">
        <v>913</v>
      </c>
      <c r="I131" s="539" t="s">
        <v>913</v>
      </c>
      <c r="J131" s="539" t="s">
        <v>913</v>
      </c>
      <c r="K131" s="539" t="s">
        <v>913</v>
      </c>
      <c r="L131" s="539" t="s">
        <v>913</v>
      </c>
      <c r="M131" s="539" t="s">
        <v>913</v>
      </c>
      <c r="N131" s="539" t="s">
        <v>913</v>
      </c>
    </row>
    <row r="132" spans="1:14">
      <c r="A132" s="539" t="s">
        <v>1096</v>
      </c>
      <c r="B132" s="539" t="s">
        <v>157</v>
      </c>
      <c r="C132" s="539" t="s">
        <v>1097</v>
      </c>
      <c r="D132" s="540">
        <v>8026</v>
      </c>
      <c r="E132" s="539">
        <v>150</v>
      </c>
      <c r="F132" s="539" t="s">
        <v>913</v>
      </c>
      <c r="I132" s="539" t="s">
        <v>913</v>
      </c>
    </row>
    <row r="133" spans="1:14">
      <c r="A133" s="539" t="s">
        <v>1098</v>
      </c>
      <c r="B133" s="539" t="s">
        <v>287</v>
      </c>
      <c r="C133" s="539" t="s">
        <v>1099</v>
      </c>
      <c r="D133" s="540">
        <v>8395</v>
      </c>
      <c r="E133" s="539">
        <v>15</v>
      </c>
      <c r="I133" s="539" t="s">
        <v>913</v>
      </c>
    </row>
    <row r="134" spans="1:14">
      <c r="A134" s="539" t="s">
        <v>1098</v>
      </c>
      <c r="B134" s="539" t="s">
        <v>287</v>
      </c>
      <c r="C134" s="539" t="s">
        <v>1100</v>
      </c>
      <c r="D134" s="540">
        <v>8595</v>
      </c>
      <c r="E134" s="539">
        <v>1</v>
      </c>
      <c r="F134" s="539" t="s">
        <v>913</v>
      </c>
      <c r="I134" s="539" t="s">
        <v>913</v>
      </c>
      <c r="K134" s="539" t="s">
        <v>913</v>
      </c>
    </row>
    <row r="135" spans="1:14">
      <c r="A135" s="539" t="s">
        <v>1101</v>
      </c>
      <c r="B135" s="539" t="s">
        <v>478</v>
      </c>
      <c r="C135" s="539" t="s">
        <v>1102</v>
      </c>
      <c r="D135" s="540">
        <v>8948</v>
      </c>
      <c r="E135" s="539">
        <v>107</v>
      </c>
      <c r="I135" s="539" t="s">
        <v>913</v>
      </c>
    </row>
    <row r="136" spans="1:14">
      <c r="A136" s="539" t="s">
        <v>1101</v>
      </c>
      <c r="B136" s="539" t="s">
        <v>478</v>
      </c>
      <c r="C136" s="539" t="s">
        <v>1103</v>
      </c>
      <c r="D136" s="540">
        <v>8317</v>
      </c>
      <c r="E136" s="539">
        <v>21</v>
      </c>
      <c r="I136" s="539" t="s">
        <v>913</v>
      </c>
    </row>
    <row r="137" spans="1:14">
      <c r="A137" s="539" t="s">
        <v>1101</v>
      </c>
      <c r="B137" s="539" t="s">
        <v>478</v>
      </c>
      <c r="C137" s="539" t="s">
        <v>1104</v>
      </c>
      <c r="D137" s="540">
        <v>8210</v>
      </c>
      <c r="E137" s="539">
        <v>265</v>
      </c>
      <c r="F137" s="539" t="s">
        <v>913</v>
      </c>
      <c r="I137" s="539" t="s">
        <v>913</v>
      </c>
      <c r="J137" s="539" t="s">
        <v>913</v>
      </c>
      <c r="K137" s="539" t="s">
        <v>913</v>
      </c>
      <c r="M137" s="539" t="s">
        <v>913</v>
      </c>
    </row>
    <row r="138" spans="1:14">
      <c r="A138" s="539" t="s">
        <v>1105</v>
      </c>
      <c r="B138" s="539" t="s">
        <v>372</v>
      </c>
      <c r="C138" s="539" t="s">
        <v>1106</v>
      </c>
      <c r="D138" s="540">
        <v>8557</v>
      </c>
      <c r="E138" s="539">
        <v>81</v>
      </c>
      <c r="F138" s="539" t="s">
        <v>913</v>
      </c>
    </row>
    <row r="139" spans="1:14">
      <c r="A139" s="539" t="s">
        <v>1107</v>
      </c>
      <c r="B139" s="539" t="s">
        <v>424</v>
      </c>
      <c r="C139" s="539" t="s">
        <v>1108</v>
      </c>
      <c r="D139" s="540">
        <v>8687</v>
      </c>
      <c r="E139" s="539">
        <v>52</v>
      </c>
      <c r="I139" s="539" t="s">
        <v>913</v>
      </c>
      <c r="K139" s="539" t="s">
        <v>913</v>
      </c>
    </row>
    <row r="140" spans="1:14">
      <c r="A140" s="539" t="s">
        <v>1109</v>
      </c>
      <c r="B140" s="539" t="s">
        <v>104</v>
      </c>
      <c r="C140" s="539" t="s">
        <v>1110</v>
      </c>
      <c r="D140" s="540">
        <v>8018</v>
      </c>
      <c r="E140" s="539">
        <v>192</v>
      </c>
      <c r="F140" s="539" t="s">
        <v>913</v>
      </c>
      <c r="I140" s="539" t="s">
        <v>913</v>
      </c>
      <c r="J140" s="539" t="s">
        <v>913</v>
      </c>
    </row>
    <row r="141" spans="1:14">
      <c r="A141" s="539" t="s">
        <v>1109</v>
      </c>
      <c r="B141" s="539" t="s">
        <v>104</v>
      </c>
      <c r="C141" s="539" t="s">
        <v>1111</v>
      </c>
      <c r="D141" s="540">
        <v>8309</v>
      </c>
      <c r="E141" s="539">
        <v>155</v>
      </c>
      <c r="F141" s="539" t="s">
        <v>913</v>
      </c>
      <c r="I141" s="539" t="s">
        <v>913</v>
      </c>
      <c r="K141" s="539" t="s">
        <v>913</v>
      </c>
      <c r="M141" s="539" t="s">
        <v>913</v>
      </c>
    </row>
    <row r="142" spans="1:14">
      <c r="A142" s="539" t="s">
        <v>1112</v>
      </c>
      <c r="B142" s="539" t="s">
        <v>359</v>
      </c>
      <c r="C142" s="539" t="s">
        <v>1113</v>
      </c>
      <c r="D142" s="540">
        <v>8389</v>
      </c>
      <c r="E142" s="539">
        <v>71</v>
      </c>
      <c r="F142" s="539" t="s">
        <v>913</v>
      </c>
      <c r="G142" s="539" t="s">
        <v>913</v>
      </c>
      <c r="I142" s="539" t="s">
        <v>913</v>
      </c>
      <c r="J142" s="539" t="s">
        <v>913</v>
      </c>
      <c r="K142" s="539" t="s">
        <v>913</v>
      </c>
      <c r="M142" s="539" t="s">
        <v>913</v>
      </c>
    </row>
    <row r="143" spans="1:14">
      <c r="A143" s="539" t="s">
        <v>1112</v>
      </c>
      <c r="B143" s="539" t="s">
        <v>359</v>
      </c>
      <c r="C143" s="539" t="s">
        <v>1114</v>
      </c>
      <c r="D143" s="540">
        <v>1423</v>
      </c>
      <c r="E143" s="539">
        <v>30</v>
      </c>
      <c r="I143" s="539" t="s">
        <v>913</v>
      </c>
      <c r="J143" s="539" t="s">
        <v>913</v>
      </c>
      <c r="K143" s="539" t="s">
        <v>913</v>
      </c>
      <c r="M143" s="539" t="s">
        <v>913</v>
      </c>
    </row>
    <row r="144" spans="1:14">
      <c r="A144" s="539" t="s">
        <v>1112</v>
      </c>
      <c r="B144" s="539" t="s">
        <v>359</v>
      </c>
      <c r="C144" s="539" t="s">
        <v>1115</v>
      </c>
      <c r="D144" s="540">
        <v>8667</v>
      </c>
      <c r="E144" s="539">
        <v>83</v>
      </c>
      <c r="I144" s="539" t="s">
        <v>913</v>
      </c>
      <c r="J144" s="539" t="s">
        <v>913</v>
      </c>
      <c r="K144" s="539" t="s">
        <v>913</v>
      </c>
    </row>
    <row r="145" spans="1:14">
      <c r="A145" s="539" t="s">
        <v>1112</v>
      </c>
      <c r="B145" s="539" t="s">
        <v>359</v>
      </c>
      <c r="C145" s="539" t="s">
        <v>1116</v>
      </c>
      <c r="D145" s="540">
        <v>8998</v>
      </c>
      <c r="E145" s="539">
        <v>308</v>
      </c>
      <c r="I145" s="539" t="s">
        <v>913</v>
      </c>
      <c r="J145" s="539" t="s">
        <v>913</v>
      </c>
      <c r="K145" s="539" t="s">
        <v>913</v>
      </c>
    </row>
    <row r="146" spans="1:14">
      <c r="A146" s="539" t="s">
        <v>1112</v>
      </c>
      <c r="B146" s="539" t="s">
        <v>359</v>
      </c>
      <c r="C146" s="539" t="s">
        <v>1117</v>
      </c>
      <c r="D146" s="540">
        <v>8161</v>
      </c>
      <c r="E146" s="539">
        <v>128</v>
      </c>
      <c r="I146" s="539" t="s">
        <v>913</v>
      </c>
    </row>
    <row r="147" spans="1:14">
      <c r="A147" s="539" t="s">
        <v>1118</v>
      </c>
      <c r="B147" s="539" t="s">
        <v>39</v>
      </c>
      <c r="C147" s="539" t="s">
        <v>1119</v>
      </c>
      <c r="D147" s="540">
        <v>8302</v>
      </c>
      <c r="E147" s="539">
        <v>92</v>
      </c>
      <c r="F147" s="539" t="s">
        <v>913</v>
      </c>
      <c r="I147" s="539" t="s">
        <v>913</v>
      </c>
      <c r="J147" s="539" t="s">
        <v>913</v>
      </c>
      <c r="K147" s="539" t="s">
        <v>913</v>
      </c>
    </row>
    <row r="148" spans="1:14">
      <c r="A148" s="539" t="s">
        <v>1118</v>
      </c>
      <c r="B148" s="539" t="s">
        <v>39</v>
      </c>
      <c r="C148" s="539" t="s">
        <v>1120</v>
      </c>
      <c r="D148" s="540">
        <v>8006</v>
      </c>
      <c r="E148" s="539">
        <v>107</v>
      </c>
      <c r="F148" s="539" t="s">
        <v>913</v>
      </c>
      <c r="I148" s="539" t="s">
        <v>913</v>
      </c>
      <c r="K148" s="539" t="s">
        <v>913</v>
      </c>
    </row>
    <row r="149" spans="1:14">
      <c r="A149" s="539" t="s">
        <v>1121</v>
      </c>
      <c r="B149" s="539" t="s">
        <v>171</v>
      </c>
      <c r="C149" s="539" t="s">
        <v>1122</v>
      </c>
      <c r="D149" s="540">
        <v>1427</v>
      </c>
      <c r="E149" s="539">
        <v>31</v>
      </c>
      <c r="F149" s="539" t="s">
        <v>913</v>
      </c>
      <c r="I149" s="539" t="s">
        <v>913</v>
      </c>
      <c r="J149" s="539" t="s">
        <v>913</v>
      </c>
      <c r="K149" s="539" t="s">
        <v>913</v>
      </c>
      <c r="M149" s="539" t="s">
        <v>913</v>
      </c>
      <c r="N149" s="539" t="s">
        <v>913</v>
      </c>
    </row>
    <row r="150" spans="1:14">
      <c r="A150" s="539" t="s">
        <v>1121</v>
      </c>
      <c r="B150" s="539" t="s">
        <v>171</v>
      </c>
      <c r="C150" s="539" t="s">
        <v>1123</v>
      </c>
      <c r="D150" s="540">
        <v>8177</v>
      </c>
      <c r="E150" s="539">
        <v>44</v>
      </c>
      <c r="F150" s="539" t="s">
        <v>913</v>
      </c>
      <c r="G150" s="539" t="s">
        <v>913</v>
      </c>
      <c r="I150" s="539" t="s">
        <v>913</v>
      </c>
      <c r="J150" s="539" t="s">
        <v>913</v>
      </c>
      <c r="K150" s="539" t="s">
        <v>913</v>
      </c>
      <c r="M150" s="539" t="s">
        <v>913</v>
      </c>
    </row>
    <row r="151" spans="1:14">
      <c r="A151" s="539" t="s">
        <v>1124</v>
      </c>
      <c r="B151" s="539" t="s">
        <v>502</v>
      </c>
      <c r="C151" s="539" t="s">
        <v>1125</v>
      </c>
      <c r="D151" s="540">
        <v>8649</v>
      </c>
      <c r="E151" s="539">
        <v>88</v>
      </c>
      <c r="F151" s="539" t="s">
        <v>913</v>
      </c>
      <c r="G151" s="539" t="s">
        <v>913</v>
      </c>
      <c r="H151" s="539" t="s">
        <v>913</v>
      </c>
      <c r="I151" s="539" t="s">
        <v>913</v>
      </c>
      <c r="J151" s="539" t="s">
        <v>913</v>
      </c>
      <c r="K151" s="539" t="s">
        <v>913</v>
      </c>
      <c r="L151" s="539" t="s">
        <v>913</v>
      </c>
      <c r="M151" s="539" t="s">
        <v>913</v>
      </c>
      <c r="N151" s="539" t="s">
        <v>913</v>
      </c>
    </row>
    <row r="152" spans="1:14">
      <c r="A152" s="539" t="s">
        <v>1126</v>
      </c>
      <c r="B152" s="539" t="s">
        <v>343</v>
      </c>
      <c r="C152" s="539" t="s">
        <v>1015</v>
      </c>
      <c r="D152" s="540">
        <v>8128</v>
      </c>
      <c r="E152" s="539">
        <v>268</v>
      </c>
      <c r="F152" s="539" t="s">
        <v>913</v>
      </c>
      <c r="G152" s="539" t="s">
        <v>913</v>
      </c>
      <c r="H152" s="539" t="s">
        <v>913</v>
      </c>
      <c r="I152" s="539" t="s">
        <v>913</v>
      </c>
      <c r="J152" s="539" t="s">
        <v>913</v>
      </c>
      <c r="K152" s="539" t="s">
        <v>913</v>
      </c>
      <c r="L152" s="539" t="s">
        <v>913</v>
      </c>
    </row>
    <row r="153" spans="1:14">
      <c r="A153" s="539" t="s">
        <v>1126</v>
      </c>
      <c r="B153" s="539" t="s">
        <v>343</v>
      </c>
      <c r="C153" s="539" t="s">
        <v>1127</v>
      </c>
      <c r="D153" s="540">
        <v>8237</v>
      </c>
      <c r="E153" s="539">
        <v>514</v>
      </c>
      <c r="F153" s="539" t="s">
        <v>913</v>
      </c>
      <c r="I153" s="539" t="s">
        <v>913</v>
      </c>
      <c r="J153" s="539" t="s">
        <v>913</v>
      </c>
      <c r="K153" s="539" t="s">
        <v>913</v>
      </c>
      <c r="L153" s="539" t="s">
        <v>913</v>
      </c>
      <c r="M153" s="539" t="s">
        <v>913</v>
      </c>
      <c r="N153" s="539" t="s">
        <v>913</v>
      </c>
    </row>
    <row r="154" spans="1:14">
      <c r="A154" s="539" t="s">
        <v>1126</v>
      </c>
      <c r="B154" s="539" t="s">
        <v>343</v>
      </c>
      <c r="C154" s="539" t="s">
        <v>1128</v>
      </c>
      <c r="D154" s="540">
        <v>8757</v>
      </c>
      <c r="E154" s="539">
        <v>355</v>
      </c>
      <c r="F154" s="539" t="s">
        <v>913</v>
      </c>
      <c r="I154" s="539" t="s">
        <v>913</v>
      </c>
      <c r="J154" s="539" t="s">
        <v>913</v>
      </c>
      <c r="K154" s="539" t="s">
        <v>913</v>
      </c>
      <c r="L154" s="539" t="s">
        <v>913</v>
      </c>
      <c r="M154" s="539" t="s">
        <v>913</v>
      </c>
      <c r="N154" s="539" t="s">
        <v>913</v>
      </c>
    </row>
    <row r="155" spans="1:14">
      <c r="A155" s="539" t="s">
        <v>1126</v>
      </c>
      <c r="B155" s="539" t="s">
        <v>343</v>
      </c>
      <c r="C155" s="539" t="s">
        <v>1129</v>
      </c>
      <c r="D155" s="540">
        <v>8956</v>
      </c>
      <c r="E155" s="539">
        <v>118</v>
      </c>
      <c r="F155" s="539" t="s">
        <v>913</v>
      </c>
      <c r="I155" s="539" t="s">
        <v>913</v>
      </c>
      <c r="J155" s="539" t="s">
        <v>913</v>
      </c>
      <c r="K155" s="539" t="s">
        <v>913</v>
      </c>
      <c r="L155" s="539" t="s">
        <v>913</v>
      </c>
      <c r="M155" s="539" t="s">
        <v>913</v>
      </c>
      <c r="N155" s="539" t="s">
        <v>913</v>
      </c>
    </row>
    <row r="156" spans="1:14">
      <c r="A156" s="539" t="s">
        <v>1126</v>
      </c>
      <c r="B156" s="539" t="s">
        <v>343</v>
      </c>
      <c r="C156" s="539" t="s">
        <v>1130</v>
      </c>
      <c r="D156" s="540">
        <v>1493</v>
      </c>
      <c r="E156" s="539">
        <v>142</v>
      </c>
      <c r="F156" s="539" t="s">
        <v>913</v>
      </c>
      <c r="G156" s="539" t="s">
        <v>913</v>
      </c>
      <c r="H156" s="539" t="s">
        <v>913</v>
      </c>
      <c r="I156" s="539" t="s">
        <v>913</v>
      </c>
      <c r="J156" s="539" t="s">
        <v>913</v>
      </c>
      <c r="K156" s="539" t="s">
        <v>913</v>
      </c>
      <c r="L156" s="539" t="s">
        <v>913</v>
      </c>
      <c r="M156" s="539" t="s">
        <v>913</v>
      </c>
      <c r="N156" s="539" t="s">
        <v>913</v>
      </c>
    </row>
    <row r="157" spans="1:14">
      <c r="A157" s="539" t="s">
        <v>1131</v>
      </c>
      <c r="B157" s="539" t="s">
        <v>116</v>
      </c>
      <c r="C157" s="539" t="s">
        <v>1132</v>
      </c>
      <c r="D157" s="540">
        <v>1472</v>
      </c>
      <c r="E157" s="539">
        <v>32</v>
      </c>
      <c r="I157" s="539" t="s">
        <v>913</v>
      </c>
      <c r="K157" s="539" t="s">
        <v>913</v>
      </c>
      <c r="L157" s="539" t="s">
        <v>913</v>
      </c>
    </row>
    <row r="158" spans="1:14">
      <c r="A158" s="539" t="s">
        <v>1133</v>
      </c>
      <c r="B158" s="539" t="s">
        <v>185</v>
      </c>
      <c r="C158" s="539" t="s">
        <v>1134</v>
      </c>
      <c r="D158" s="540">
        <v>8253</v>
      </c>
      <c r="E158" s="539">
        <v>95</v>
      </c>
      <c r="F158" s="539" t="s">
        <v>913</v>
      </c>
      <c r="I158" s="539" t="s">
        <v>913</v>
      </c>
      <c r="J158" s="539" t="s">
        <v>913</v>
      </c>
      <c r="K158" s="539" t="s">
        <v>913</v>
      </c>
    </row>
    <row r="159" spans="1:14">
      <c r="A159" s="539" t="s">
        <v>1133</v>
      </c>
      <c r="B159" s="539" t="s">
        <v>185</v>
      </c>
      <c r="C159" s="539" t="s">
        <v>1135</v>
      </c>
      <c r="D159" s="540">
        <v>8089</v>
      </c>
      <c r="E159" s="539">
        <v>511</v>
      </c>
      <c r="F159" s="539" t="s">
        <v>913</v>
      </c>
      <c r="I159" s="539" t="s">
        <v>913</v>
      </c>
      <c r="J159" s="539" t="s">
        <v>913</v>
      </c>
      <c r="K159" s="539" t="s">
        <v>913</v>
      </c>
      <c r="L159" s="539" t="s">
        <v>913</v>
      </c>
    </row>
    <row r="160" spans="1:14">
      <c r="A160" s="539" t="s">
        <v>1136</v>
      </c>
      <c r="B160" s="539" t="s">
        <v>23</v>
      </c>
      <c r="C160" s="539" t="s">
        <v>1137</v>
      </c>
      <c r="D160" s="540">
        <v>8225</v>
      </c>
      <c r="E160" s="539">
        <v>25</v>
      </c>
      <c r="F160" s="539" t="s">
        <v>913</v>
      </c>
      <c r="G160" s="539" t="s">
        <v>913</v>
      </c>
      <c r="I160" s="539" t="s">
        <v>913</v>
      </c>
      <c r="J160" s="539" t="s">
        <v>913</v>
      </c>
      <c r="K160" s="539" t="s">
        <v>913</v>
      </c>
      <c r="L160" s="539" t="s">
        <v>913</v>
      </c>
      <c r="M160" s="539" t="s">
        <v>913</v>
      </c>
    </row>
    <row r="161" spans="1:14">
      <c r="A161" s="539" t="s">
        <v>1136</v>
      </c>
      <c r="B161" s="539" t="s">
        <v>23</v>
      </c>
      <c r="C161" s="539" t="s">
        <v>1138</v>
      </c>
      <c r="D161" s="540">
        <v>8003</v>
      </c>
      <c r="E161" s="539">
        <v>441</v>
      </c>
      <c r="F161" s="539" t="s">
        <v>913</v>
      </c>
      <c r="I161" s="539" t="s">
        <v>913</v>
      </c>
      <c r="J161" s="539" t="s">
        <v>913</v>
      </c>
      <c r="K161" s="539" t="s">
        <v>913</v>
      </c>
    </row>
    <row r="162" spans="1:14">
      <c r="A162" s="539" t="s">
        <v>1136</v>
      </c>
      <c r="B162" s="539" t="s">
        <v>23</v>
      </c>
      <c r="C162" s="539" t="s">
        <v>1139</v>
      </c>
      <c r="D162" s="540">
        <v>8564</v>
      </c>
      <c r="E162" s="539">
        <v>414</v>
      </c>
      <c r="I162" s="539" t="s">
        <v>913</v>
      </c>
    </row>
    <row r="163" spans="1:14">
      <c r="A163" s="539" t="s">
        <v>1140</v>
      </c>
      <c r="B163" s="539" t="s">
        <v>375</v>
      </c>
      <c r="C163" s="539" t="s">
        <v>1141</v>
      </c>
      <c r="D163" s="540">
        <v>1475</v>
      </c>
      <c r="E163" s="539">
        <v>20</v>
      </c>
      <c r="I163" s="539" t="s">
        <v>913</v>
      </c>
    </row>
    <row r="164" spans="1:14">
      <c r="A164" s="539" t="s">
        <v>1142</v>
      </c>
      <c r="B164" s="539" t="s">
        <v>173</v>
      </c>
      <c r="C164" s="539" t="s">
        <v>1143</v>
      </c>
      <c r="D164" s="540">
        <v>8343</v>
      </c>
      <c r="E164" s="539">
        <v>186</v>
      </c>
      <c r="F164" s="539" t="s">
        <v>913</v>
      </c>
      <c r="I164" s="539" t="s">
        <v>913</v>
      </c>
      <c r="J164" s="539" t="s">
        <v>913</v>
      </c>
      <c r="K164" s="539" t="s">
        <v>913</v>
      </c>
      <c r="M164" s="539" t="s">
        <v>913</v>
      </c>
    </row>
    <row r="165" spans="1:14">
      <c r="A165" s="539" t="s">
        <v>1142</v>
      </c>
      <c r="B165" s="539" t="s">
        <v>173</v>
      </c>
      <c r="C165" s="539" t="s">
        <v>1144</v>
      </c>
      <c r="D165" s="540">
        <v>8028</v>
      </c>
      <c r="E165" s="539">
        <v>535</v>
      </c>
      <c r="I165" s="539" t="s">
        <v>913</v>
      </c>
      <c r="J165" s="539" t="s">
        <v>913</v>
      </c>
      <c r="K165" s="539" t="s">
        <v>913</v>
      </c>
    </row>
    <row r="166" spans="1:14">
      <c r="A166" s="539" t="s">
        <v>1142</v>
      </c>
      <c r="B166" s="539" t="s">
        <v>173</v>
      </c>
      <c r="C166" s="539" t="s">
        <v>1145</v>
      </c>
      <c r="D166" s="540">
        <v>8432</v>
      </c>
      <c r="E166" s="539">
        <v>223</v>
      </c>
      <c r="F166" s="539" t="s">
        <v>913</v>
      </c>
      <c r="I166" s="539" t="s">
        <v>913</v>
      </c>
      <c r="K166" s="539" t="s">
        <v>913</v>
      </c>
    </row>
    <row r="167" spans="1:14">
      <c r="A167" s="539" t="s">
        <v>1142</v>
      </c>
      <c r="B167" s="539" t="s">
        <v>173</v>
      </c>
      <c r="C167" s="539" t="s">
        <v>1146</v>
      </c>
      <c r="D167" s="540">
        <v>8530</v>
      </c>
      <c r="E167" s="539">
        <v>94</v>
      </c>
      <c r="I167" s="539" t="s">
        <v>913</v>
      </c>
      <c r="K167" s="539" t="s">
        <v>913</v>
      </c>
    </row>
    <row r="168" spans="1:14">
      <c r="A168" s="539" t="s">
        <v>1142</v>
      </c>
      <c r="B168" s="539" t="s">
        <v>173</v>
      </c>
      <c r="C168" s="539" t="s">
        <v>1147</v>
      </c>
      <c r="D168" s="540">
        <v>8029</v>
      </c>
      <c r="E168" s="539">
        <v>995</v>
      </c>
      <c r="F168" s="539" t="s">
        <v>913</v>
      </c>
      <c r="I168" s="539" t="s">
        <v>913</v>
      </c>
      <c r="J168" s="539" t="s">
        <v>913</v>
      </c>
      <c r="K168" s="539" t="s">
        <v>913</v>
      </c>
      <c r="N168" s="539" t="s">
        <v>913</v>
      </c>
    </row>
    <row r="169" spans="1:14">
      <c r="A169" s="539" t="s">
        <v>1142</v>
      </c>
      <c r="B169" s="539" t="s">
        <v>173</v>
      </c>
      <c r="C169" s="539" t="s">
        <v>1148</v>
      </c>
      <c r="D169" s="540">
        <v>1422</v>
      </c>
      <c r="E169" s="539">
        <v>166</v>
      </c>
      <c r="I169" s="539" t="s">
        <v>913</v>
      </c>
    </row>
    <row r="170" spans="1:14">
      <c r="A170" s="539" t="s">
        <v>1142</v>
      </c>
      <c r="B170" s="539" t="s">
        <v>173</v>
      </c>
      <c r="C170" s="539" t="s">
        <v>1138</v>
      </c>
      <c r="D170" s="540">
        <v>8031</v>
      </c>
      <c r="E170" s="539">
        <v>159</v>
      </c>
      <c r="F170" s="539" t="s">
        <v>913</v>
      </c>
      <c r="G170" s="539" t="s">
        <v>913</v>
      </c>
      <c r="H170" s="539" t="s">
        <v>913</v>
      </c>
      <c r="I170" s="539" t="s">
        <v>913</v>
      </c>
      <c r="J170" s="539" t="s">
        <v>913</v>
      </c>
      <c r="K170" s="539" t="s">
        <v>913</v>
      </c>
      <c r="L170" s="539" t="s">
        <v>913</v>
      </c>
      <c r="M170" s="539" t="s">
        <v>913</v>
      </c>
      <c r="N170" s="539" t="s">
        <v>913</v>
      </c>
    </row>
    <row r="171" spans="1:14">
      <c r="A171" s="539" t="s">
        <v>1142</v>
      </c>
      <c r="B171" s="539" t="s">
        <v>173</v>
      </c>
      <c r="C171" s="539" t="s">
        <v>1149</v>
      </c>
      <c r="D171" s="540">
        <v>8032</v>
      </c>
      <c r="E171" s="539">
        <v>46</v>
      </c>
      <c r="F171" s="539" t="s">
        <v>913</v>
      </c>
      <c r="I171" s="539" t="s">
        <v>913</v>
      </c>
      <c r="J171" s="539" t="s">
        <v>913</v>
      </c>
      <c r="K171" s="539" t="s">
        <v>913</v>
      </c>
      <c r="M171" s="539" t="s">
        <v>913</v>
      </c>
    </row>
    <row r="172" spans="1:14">
      <c r="A172" s="539" t="s">
        <v>1142</v>
      </c>
      <c r="B172" s="539" t="s">
        <v>173</v>
      </c>
      <c r="C172" s="539" t="s">
        <v>1150</v>
      </c>
      <c r="D172" s="540">
        <v>8597</v>
      </c>
      <c r="E172" s="539">
        <v>53</v>
      </c>
      <c r="F172" s="539" t="s">
        <v>913</v>
      </c>
      <c r="G172" s="539" t="s">
        <v>913</v>
      </c>
      <c r="I172" s="539" t="s">
        <v>913</v>
      </c>
      <c r="J172" s="539" t="s">
        <v>913</v>
      </c>
      <c r="K172" s="539" t="s">
        <v>913</v>
      </c>
      <c r="M172" s="539" t="s">
        <v>913</v>
      </c>
    </row>
    <row r="173" spans="1:14">
      <c r="A173" s="539" t="s">
        <v>1142</v>
      </c>
      <c r="B173" s="539" t="s">
        <v>173</v>
      </c>
      <c r="C173" s="539" t="s">
        <v>1151</v>
      </c>
      <c r="D173" s="540">
        <v>8978</v>
      </c>
      <c r="E173" s="539">
        <v>102</v>
      </c>
      <c r="F173" s="539" t="s">
        <v>913</v>
      </c>
      <c r="I173" s="539" t="s">
        <v>913</v>
      </c>
      <c r="K173" s="539" t="s">
        <v>913</v>
      </c>
    </row>
    <row r="174" spans="1:14">
      <c r="A174" s="539" t="s">
        <v>1142</v>
      </c>
      <c r="B174" s="539" t="s">
        <v>173</v>
      </c>
      <c r="C174" s="539" t="s">
        <v>1152</v>
      </c>
      <c r="D174" s="540">
        <v>8743</v>
      </c>
      <c r="E174" s="539">
        <v>118</v>
      </c>
      <c r="I174" s="539" t="s">
        <v>913</v>
      </c>
    </row>
    <row r="175" spans="1:14">
      <c r="A175" s="539" t="s">
        <v>1142</v>
      </c>
      <c r="B175" s="539" t="s">
        <v>173</v>
      </c>
      <c r="C175" s="539" t="s">
        <v>919</v>
      </c>
      <c r="D175" s="540">
        <v>8041</v>
      </c>
      <c r="E175" s="539">
        <v>138</v>
      </c>
      <c r="F175" s="539" t="s">
        <v>913</v>
      </c>
      <c r="G175" s="539" t="s">
        <v>913</v>
      </c>
      <c r="H175" s="539" t="s">
        <v>913</v>
      </c>
      <c r="I175" s="539" t="s">
        <v>913</v>
      </c>
      <c r="J175" s="539" t="s">
        <v>913</v>
      </c>
      <c r="K175" s="539" t="s">
        <v>913</v>
      </c>
      <c r="L175" s="539" t="s">
        <v>913</v>
      </c>
      <c r="M175" s="539" t="s">
        <v>913</v>
      </c>
    </row>
    <row r="176" spans="1:14">
      <c r="A176" s="539" t="s">
        <v>1142</v>
      </c>
      <c r="B176" s="539" t="s">
        <v>173</v>
      </c>
      <c r="C176" s="539" t="s">
        <v>1153</v>
      </c>
      <c r="D176" s="540">
        <v>8042</v>
      </c>
      <c r="E176" s="539">
        <v>681</v>
      </c>
      <c r="I176" s="539" t="s">
        <v>913</v>
      </c>
      <c r="J176" s="539" t="s">
        <v>913</v>
      </c>
      <c r="K176" s="539" t="s">
        <v>913</v>
      </c>
    </row>
    <row r="177" spans="1:14">
      <c r="A177" s="539" t="s">
        <v>1142</v>
      </c>
      <c r="B177" s="539" t="s">
        <v>173</v>
      </c>
      <c r="C177" s="539" t="s">
        <v>1154</v>
      </c>
      <c r="D177" s="540">
        <v>8043</v>
      </c>
      <c r="E177" s="539">
        <v>486</v>
      </c>
      <c r="I177" s="539" t="s">
        <v>913</v>
      </c>
      <c r="J177" s="539" t="s">
        <v>913</v>
      </c>
      <c r="K177" s="539" t="s">
        <v>913</v>
      </c>
    </row>
    <row r="178" spans="1:14">
      <c r="A178" s="539" t="s">
        <v>1142</v>
      </c>
      <c r="B178" s="539" t="s">
        <v>173</v>
      </c>
      <c r="C178" s="539" t="s">
        <v>1155</v>
      </c>
      <c r="D178" s="540">
        <v>8045</v>
      </c>
      <c r="E178" s="539">
        <v>141</v>
      </c>
      <c r="F178" s="539" t="s">
        <v>913</v>
      </c>
    </row>
    <row r="179" spans="1:14">
      <c r="A179" s="539" t="s">
        <v>1142</v>
      </c>
      <c r="B179" s="539" t="s">
        <v>173</v>
      </c>
      <c r="C179" s="539" t="s">
        <v>1156</v>
      </c>
      <c r="D179" s="540">
        <v>8655</v>
      </c>
      <c r="E179" s="539">
        <v>25</v>
      </c>
      <c r="F179" s="539" t="s">
        <v>913</v>
      </c>
      <c r="G179" s="539" t="s">
        <v>913</v>
      </c>
      <c r="I179" s="539" t="s">
        <v>913</v>
      </c>
      <c r="K179" s="539" t="s">
        <v>913</v>
      </c>
    </row>
    <row r="180" spans="1:14">
      <c r="A180" s="539" t="s">
        <v>1142</v>
      </c>
      <c r="B180" s="539" t="s">
        <v>173</v>
      </c>
      <c r="C180" s="539" t="s">
        <v>1157</v>
      </c>
      <c r="D180" s="540">
        <v>8326</v>
      </c>
      <c r="E180" s="539">
        <v>12</v>
      </c>
      <c r="F180" s="539" t="s">
        <v>913</v>
      </c>
      <c r="G180" s="539" t="s">
        <v>913</v>
      </c>
      <c r="H180" s="539" t="s">
        <v>913</v>
      </c>
      <c r="I180" s="539" t="s">
        <v>913</v>
      </c>
      <c r="J180" s="539" t="s">
        <v>913</v>
      </c>
      <c r="K180" s="539" t="s">
        <v>913</v>
      </c>
      <c r="M180" s="539" t="s">
        <v>913</v>
      </c>
    </row>
    <row r="181" spans="1:14">
      <c r="A181" s="539" t="s">
        <v>1142</v>
      </c>
      <c r="B181" s="539" t="s">
        <v>173</v>
      </c>
      <c r="C181" s="539" t="s">
        <v>1158</v>
      </c>
      <c r="D181" s="540">
        <v>8404</v>
      </c>
      <c r="E181" s="539">
        <v>184</v>
      </c>
      <c r="I181" s="539" t="s">
        <v>913</v>
      </c>
      <c r="J181" s="539" t="s">
        <v>913</v>
      </c>
      <c r="K181" s="539" t="s">
        <v>913</v>
      </c>
      <c r="M181" s="539" t="s">
        <v>913</v>
      </c>
    </row>
    <row r="182" spans="1:14">
      <c r="A182" s="539" t="s">
        <v>1142</v>
      </c>
      <c r="B182" s="539" t="s">
        <v>173</v>
      </c>
      <c r="C182" s="539" t="s">
        <v>1159</v>
      </c>
      <c r="D182" s="540" t="s">
        <v>1160</v>
      </c>
      <c r="E182" s="539">
        <v>57</v>
      </c>
      <c r="F182" s="539" t="s">
        <v>913</v>
      </c>
      <c r="G182" s="539" t="s">
        <v>913</v>
      </c>
      <c r="I182" s="539" t="s">
        <v>913</v>
      </c>
      <c r="J182" s="539" t="s">
        <v>913</v>
      </c>
      <c r="K182" s="539" t="s">
        <v>913</v>
      </c>
    </row>
    <row r="183" spans="1:14">
      <c r="A183" s="539" t="s">
        <v>1142</v>
      </c>
      <c r="B183" s="539" t="s">
        <v>173</v>
      </c>
      <c r="C183" s="539" t="s">
        <v>1161</v>
      </c>
      <c r="D183" s="540">
        <v>8674</v>
      </c>
      <c r="E183" s="539">
        <v>80</v>
      </c>
      <c r="F183" s="539" t="s">
        <v>913</v>
      </c>
      <c r="I183" s="539" t="s">
        <v>913</v>
      </c>
      <c r="K183" s="539" t="s">
        <v>913</v>
      </c>
      <c r="M183" s="539" t="s">
        <v>913</v>
      </c>
    </row>
    <row r="184" spans="1:14">
      <c r="A184" s="539" t="s">
        <v>1142</v>
      </c>
      <c r="B184" s="539" t="s">
        <v>173</v>
      </c>
      <c r="C184" s="539" t="s">
        <v>1162</v>
      </c>
      <c r="D184" s="540">
        <v>8050</v>
      </c>
      <c r="E184" s="539">
        <v>443</v>
      </c>
      <c r="I184" s="539" t="s">
        <v>913</v>
      </c>
      <c r="K184" s="539" t="s">
        <v>913</v>
      </c>
    </row>
    <row r="185" spans="1:14">
      <c r="A185" s="539" t="s">
        <v>1142</v>
      </c>
      <c r="B185" s="539" t="s">
        <v>173</v>
      </c>
      <c r="C185" s="539" t="s">
        <v>1163</v>
      </c>
      <c r="D185" s="540">
        <v>8051</v>
      </c>
      <c r="E185" s="539">
        <v>307</v>
      </c>
      <c r="I185" s="539" t="s">
        <v>913</v>
      </c>
      <c r="J185" s="539" t="s">
        <v>913</v>
      </c>
      <c r="K185" s="539" t="s">
        <v>913</v>
      </c>
    </row>
    <row r="186" spans="1:14">
      <c r="A186" s="539" t="s">
        <v>1142</v>
      </c>
      <c r="B186" s="539" t="s">
        <v>173</v>
      </c>
      <c r="C186" s="539" t="s">
        <v>1164</v>
      </c>
      <c r="D186" s="540">
        <v>8052</v>
      </c>
      <c r="E186" s="539">
        <v>226</v>
      </c>
      <c r="F186" s="539" t="s">
        <v>913</v>
      </c>
      <c r="G186" s="539" t="s">
        <v>913</v>
      </c>
      <c r="H186" s="539" t="s">
        <v>913</v>
      </c>
      <c r="I186" s="539" t="s">
        <v>913</v>
      </c>
      <c r="J186" s="539" t="s">
        <v>913</v>
      </c>
      <c r="K186" s="539" t="s">
        <v>913</v>
      </c>
    </row>
    <row r="187" spans="1:14">
      <c r="A187" s="539" t="s">
        <v>1142</v>
      </c>
      <c r="B187" s="539" t="s">
        <v>173</v>
      </c>
      <c r="C187" s="539" t="s">
        <v>1165</v>
      </c>
      <c r="D187" s="540">
        <v>8054</v>
      </c>
      <c r="E187" s="539">
        <v>197</v>
      </c>
      <c r="I187" s="539" t="s">
        <v>913</v>
      </c>
      <c r="J187" s="539" t="s">
        <v>913</v>
      </c>
      <c r="K187" s="539" t="s">
        <v>913</v>
      </c>
    </row>
    <row r="188" spans="1:14">
      <c r="A188" s="539" t="s">
        <v>1142</v>
      </c>
      <c r="B188" s="539" t="s">
        <v>173</v>
      </c>
      <c r="C188" s="539" t="s">
        <v>1166</v>
      </c>
      <c r="D188" s="540">
        <v>8929</v>
      </c>
      <c r="E188" s="539">
        <v>147</v>
      </c>
      <c r="I188" s="539" t="s">
        <v>913</v>
      </c>
      <c r="K188" s="539" t="s">
        <v>913</v>
      </c>
    </row>
    <row r="189" spans="1:14">
      <c r="A189" s="539" t="s">
        <v>1142</v>
      </c>
      <c r="B189" s="539" t="s">
        <v>173</v>
      </c>
      <c r="C189" s="539" t="s">
        <v>1167</v>
      </c>
      <c r="D189" s="540">
        <v>8057</v>
      </c>
      <c r="E189" s="539">
        <v>154</v>
      </c>
      <c r="F189" s="539" t="s">
        <v>913</v>
      </c>
      <c r="I189" s="539" t="s">
        <v>913</v>
      </c>
      <c r="J189" s="539" t="s">
        <v>913</v>
      </c>
      <c r="K189" s="539" t="s">
        <v>913</v>
      </c>
    </row>
    <row r="190" spans="1:14">
      <c r="A190" s="539" t="s">
        <v>1142</v>
      </c>
      <c r="B190" s="539" t="s">
        <v>173</v>
      </c>
      <c r="C190" s="539" t="s">
        <v>1168</v>
      </c>
      <c r="D190" s="540">
        <v>8017</v>
      </c>
      <c r="E190" s="539">
        <v>85</v>
      </c>
      <c r="F190" s="539" t="s">
        <v>913</v>
      </c>
      <c r="I190" s="539" t="s">
        <v>913</v>
      </c>
      <c r="J190" s="539" t="s">
        <v>913</v>
      </c>
      <c r="K190" s="539" t="s">
        <v>913</v>
      </c>
      <c r="L190" s="539" t="s">
        <v>913</v>
      </c>
    </row>
    <row r="191" spans="1:14">
      <c r="A191" s="539" t="s">
        <v>1142</v>
      </c>
      <c r="B191" s="539" t="s">
        <v>173</v>
      </c>
      <c r="C191" s="539" t="s">
        <v>1169</v>
      </c>
      <c r="D191" s="540">
        <v>8455</v>
      </c>
      <c r="E191" s="539">
        <v>156</v>
      </c>
      <c r="I191" s="539" t="s">
        <v>913</v>
      </c>
      <c r="K191" s="539" t="s">
        <v>913</v>
      </c>
    </row>
    <row r="192" spans="1:14">
      <c r="A192" s="539" t="s">
        <v>1142</v>
      </c>
      <c r="B192" s="539" t="s">
        <v>173</v>
      </c>
      <c r="C192" s="539" t="s">
        <v>1170</v>
      </c>
      <c r="D192" s="540">
        <v>8059</v>
      </c>
      <c r="E192" s="539">
        <v>699</v>
      </c>
      <c r="F192" s="539" t="s">
        <v>913</v>
      </c>
      <c r="G192" s="539" t="s">
        <v>913</v>
      </c>
      <c r="H192" s="539" t="s">
        <v>913</v>
      </c>
      <c r="I192" s="539" t="s">
        <v>913</v>
      </c>
      <c r="J192" s="539" t="s">
        <v>913</v>
      </c>
      <c r="K192" s="539" t="s">
        <v>913</v>
      </c>
      <c r="L192" s="539" t="s">
        <v>913</v>
      </c>
      <c r="M192" s="539" t="s">
        <v>913</v>
      </c>
      <c r="N192" s="539" t="s">
        <v>913</v>
      </c>
    </row>
    <row r="193" spans="1:14">
      <c r="A193" s="539" t="s">
        <v>1142</v>
      </c>
      <c r="B193" s="539" t="s">
        <v>173</v>
      </c>
      <c r="C193" s="539" t="s">
        <v>1171</v>
      </c>
      <c r="D193" s="540">
        <v>8940</v>
      </c>
      <c r="E193" s="539">
        <v>25</v>
      </c>
      <c r="F193" s="539" t="s">
        <v>913</v>
      </c>
      <c r="I193" s="539" t="s">
        <v>913</v>
      </c>
      <c r="J193" s="539" t="s">
        <v>913</v>
      </c>
      <c r="K193" s="539" t="s">
        <v>913</v>
      </c>
      <c r="L193" s="539" t="s">
        <v>913</v>
      </c>
      <c r="M193" s="539" t="s">
        <v>913</v>
      </c>
      <c r="N193" s="539" t="s">
        <v>913</v>
      </c>
    </row>
    <row r="194" spans="1:14">
      <c r="A194" s="539" t="s">
        <v>1142</v>
      </c>
      <c r="B194" s="539" t="s">
        <v>173</v>
      </c>
      <c r="C194" s="539" t="s">
        <v>1172</v>
      </c>
      <c r="D194" s="540">
        <v>8704</v>
      </c>
      <c r="E194" s="539">
        <v>104</v>
      </c>
      <c r="I194" s="539" t="s">
        <v>913</v>
      </c>
      <c r="K194" s="539" t="s">
        <v>913</v>
      </c>
      <c r="M194" s="539" t="s">
        <v>913</v>
      </c>
    </row>
    <row r="195" spans="1:14">
      <c r="A195" s="539" t="s">
        <v>1142</v>
      </c>
      <c r="B195" s="539" t="s">
        <v>173</v>
      </c>
      <c r="C195" s="539" t="s">
        <v>1173</v>
      </c>
      <c r="D195" s="540">
        <v>8061</v>
      </c>
      <c r="E195" s="539">
        <v>170</v>
      </c>
      <c r="F195" s="539" t="s">
        <v>913</v>
      </c>
      <c r="G195" s="539" t="s">
        <v>913</v>
      </c>
      <c r="I195" s="539" t="s">
        <v>913</v>
      </c>
      <c r="J195" s="539" t="s">
        <v>913</v>
      </c>
      <c r="K195" s="539" t="s">
        <v>913</v>
      </c>
      <c r="L195" s="539" t="s">
        <v>913</v>
      </c>
      <c r="M195" s="539" t="s">
        <v>913</v>
      </c>
    </row>
    <row r="196" spans="1:14">
      <c r="A196" s="539" t="s">
        <v>1142</v>
      </c>
      <c r="B196" s="539" t="s">
        <v>173</v>
      </c>
      <c r="C196" s="539" t="s">
        <v>1174</v>
      </c>
      <c r="D196" s="540">
        <v>8062</v>
      </c>
      <c r="E196" s="539">
        <v>237</v>
      </c>
      <c r="I196" s="539" t="s">
        <v>913</v>
      </c>
      <c r="J196" s="539" t="s">
        <v>913</v>
      </c>
      <c r="K196" s="539" t="s">
        <v>913</v>
      </c>
      <c r="L196" s="539" t="s">
        <v>913</v>
      </c>
      <c r="M196" s="539" t="s">
        <v>913</v>
      </c>
    </row>
    <row r="197" spans="1:14">
      <c r="A197" s="539" t="s">
        <v>1142</v>
      </c>
      <c r="B197" s="539" t="s">
        <v>173</v>
      </c>
      <c r="C197" s="539" t="s">
        <v>1175</v>
      </c>
      <c r="D197" s="540">
        <v>8063</v>
      </c>
      <c r="E197" s="539">
        <v>178</v>
      </c>
      <c r="I197" s="539" t="s">
        <v>913</v>
      </c>
      <c r="J197" s="539" t="s">
        <v>913</v>
      </c>
      <c r="K197" s="539" t="s">
        <v>913</v>
      </c>
      <c r="M197" s="539" t="s">
        <v>913</v>
      </c>
    </row>
    <row r="198" spans="1:14">
      <c r="A198" s="539" t="s">
        <v>1142</v>
      </c>
      <c r="B198" s="539" t="s">
        <v>173</v>
      </c>
      <c r="C198" s="539" t="s">
        <v>1176</v>
      </c>
      <c r="D198" s="540">
        <v>8064</v>
      </c>
      <c r="E198" s="539">
        <v>226</v>
      </c>
      <c r="I198" s="539" t="s">
        <v>913</v>
      </c>
      <c r="J198" s="539" t="s">
        <v>913</v>
      </c>
      <c r="K198" s="539" t="s">
        <v>913</v>
      </c>
      <c r="M198" s="539" t="s">
        <v>913</v>
      </c>
    </row>
    <row r="199" spans="1:14">
      <c r="A199" s="539" t="s">
        <v>1142</v>
      </c>
      <c r="B199" s="539" t="s">
        <v>173</v>
      </c>
      <c r="C199" s="539" t="s">
        <v>1177</v>
      </c>
      <c r="D199" s="540">
        <v>8065</v>
      </c>
      <c r="E199" s="539">
        <v>146</v>
      </c>
      <c r="F199" s="539" t="s">
        <v>913</v>
      </c>
      <c r="I199" s="539" t="s">
        <v>913</v>
      </c>
      <c r="K199" s="539" t="s">
        <v>913</v>
      </c>
      <c r="L199" s="539" t="s">
        <v>913</v>
      </c>
    </row>
    <row r="200" spans="1:14">
      <c r="A200" s="539" t="s">
        <v>1142</v>
      </c>
      <c r="B200" s="539" t="s">
        <v>173</v>
      </c>
      <c r="C200" s="539" t="s">
        <v>1178</v>
      </c>
      <c r="D200" s="540">
        <v>8067</v>
      </c>
      <c r="E200" s="539">
        <v>214</v>
      </c>
      <c r="F200" s="539" t="s">
        <v>913</v>
      </c>
      <c r="G200" s="539" t="s">
        <v>913</v>
      </c>
      <c r="I200" s="539" t="s">
        <v>913</v>
      </c>
      <c r="J200" s="539" t="s">
        <v>913</v>
      </c>
      <c r="K200" s="539" t="s">
        <v>913</v>
      </c>
      <c r="L200" s="539" t="s">
        <v>913</v>
      </c>
      <c r="M200" s="539" t="s">
        <v>913</v>
      </c>
    </row>
    <row r="201" spans="1:14">
      <c r="A201" s="539" t="s">
        <v>1142</v>
      </c>
      <c r="B201" s="539" t="s">
        <v>173</v>
      </c>
      <c r="C201" s="539" t="s">
        <v>1179</v>
      </c>
      <c r="D201" s="540">
        <v>8069</v>
      </c>
      <c r="E201" s="539">
        <v>467</v>
      </c>
      <c r="F201" s="539" t="s">
        <v>913</v>
      </c>
      <c r="G201" s="539" t="s">
        <v>913</v>
      </c>
      <c r="I201" s="539" t="s">
        <v>913</v>
      </c>
      <c r="J201" s="539" t="s">
        <v>913</v>
      </c>
      <c r="K201" s="539" t="s">
        <v>913</v>
      </c>
      <c r="L201" s="539" t="s">
        <v>913</v>
      </c>
    </row>
    <row r="202" spans="1:14">
      <c r="A202" s="539" t="s">
        <v>1142</v>
      </c>
      <c r="B202" s="539" t="s">
        <v>173</v>
      </c>
      <c r="C202" s="539" t="s">
        <v>968</v>
      </c>
      <c r="D202" s="540">
        <v>8070</v>
      </c>
      <c r="E202" s="539">
        <v>616</v>
      </c>
      <c r="F202" s="539" t="s">
        <v>913</v>
      </c>
      <c r="G202" s="539" t="s">
        <v>913</v>
      </c>
      <c r="H202" s="539" t="s">
        <v>913</v>
      </c>
      <c r="I202" s="539" t="s">
        <v>913</v>
      </c>
      <c r="J202" s="539" t="s">
        <v>913</v>
      </c>
      <c r="K202" s="539" t="s">
        <v>913</v>
      </c>
      <c r="L202" s="539" t="s">
        <v>913</v>
      </c>
      <c r="M202" s="539" t="s">
        <v>913</v>
      </c>
    </row>
    <row r="203" spans="1:14">
      <c r="A203" s="539" t="s">
        <v>1142</v>
      </c>
      <c r="B203" s="539" t="s">
        <v>173</v>
      </c>
      <c r="C203" s="539" t="s">
        <v>1180</v>
      </c>
      <c r="D203" s="540">
        <v>8073</v>
      </c>
      <c r="E203" s="539">
        <v>210</v>
      </c>
      <c r="F203" s="539" t="s">
        <v>913</v>
      </c>
      <c r="G203" s="539" t="s">
        <v>913</v>
      </c>
      <c r="I203" s="539" t="s">
        <v>913</v>
      </c>
      <c r="J203" s="539" t="s">
        <v>913</v>
      </c>
      <c r="K203" s="539" t="s">
        <v>913</v>
      </c>
      <c r="L203" s="539" t="s">
        <v>913</v>
      </c>
      <c r="M203" s="539" t="s">
        <v>913</v>
      </c>
    </row>
    <row r="204" spans="1:14">
      <c r="A204" s="539" t="s">
        <v>1142</v>
      </c>
      <c r="B204" s="539" t="s">
        <v>173</v>
      </c>
      <c r="C204" s="539" t="s">
        <v>1181</v>
      </c>
      <c r="D204" s="540">
        <v>8075</v>
      </c>
      <c r="E204" s="539">
        <v>140</v>
      </c>
      <c r="F204" s="539" t="s">
        <v>913</v>
      </c>
      <c r="I204" s="539" t="s">
        <v>913</v>
      </c>
      <c r="J204" s="539" t="s">
        <v>913</v>
      </c>
      <c r="K204" s="539" t="s">
        <v>913</v>
      </c>
      <c r="M204" s="539" t="s">
        <v>913</v>
      </c>
    </row>
    <row r="205" spans="1:14">
      <c r="A205" s="539" t="s">
        <v>1142</v>
      </c>
      <c r="B205" s="539" t="s">
        <v>173</v>
      </c>
      <c r="C205" s="539" t="s">
        <v>1182</v>
      </c>
      <c r="D205" s="540">
        <v>8076</v>
      </c>
      <c r="E205" s="539">
        <v>133</v>
      </c>
      <c r="F205" s="539" t="s">
        <v>913</v>
      </c>
      <c r="G205" s="539" t="s">
        <v>913</v>
      </c>
      <c r="I205" s="539" t="s">
        <v>913</v>
      </c>
      <c r="J205" s="539" t="s">
        <v>913</v>
      </c>
      <c r="K205" s="539" t="s">
        <v>913</v>
      </c>
      <c r="M205" s="539" t="s">
        <v>913</v>
      </c>
      <c r="N205" s="539" t="s">
        <v>913</v>
      </c>
    </row>
    <row r="206" spans="1:14">
      <c r="A206" s="539" t="s">
        <v>1142</v>
      </c>
      <c r="B206" s="539" t="s">
        <v>173</v>
      </c>
      <c r="C206" s="539" t="s">
        <v>1183</v>
      </c>
      <c r="D206" s="540">
        <v>1459</v>
      </c>
      <c r="E206" s="539">
        <v>80</v>
      </c>
      <c r="F206" s="539" t="s">
        <v>913</v>
      </c>
      <c r="G206" s="539" t="s">
        <v>913</v>
      </c>
      <c r="H206" s="539" t="s">
        <v>913</v>
      </c>
      <c r="I206" s="539" t="s">
        <v>913</v>
      </c>
      <c r="J206" s="539" t="s">
        <v>913</v>
      </c>
      <c r="K206" s="539" t="s">
        <v>913</v>
      </c>
      <c r="L206" s="539" t="s">
        <v>913</v>
      </c>
      <c r="M206" s="539" t="s">
        <v>913</v>
      </c>
      <c r="N206" s="539" t="s">
        <v>913</v>
      </c>
    </row>
    <row r="207" spans="1:14">
      <c r="A207" s="539" t="s">
        <v>1142</v>
      </c>
      <c r="B207" s="539" t="s">
        <v>173</v>
      </c>
      <c r="C207" s="539" t="s">
        <v>1184</v>
      </c>
      <c r="D207" s="540">
        <v>8838</v>
      </c>
      <c r="E207" s="539">
        <v>249</v>
      </c>
      <c r="F207" s="539" t="s">
        <v>913</v>
      </c>
      <c r="I207" s="539" t="s">
        <v>913</v>
      </c>
      <c r="J207" s="539" t="s">
        <v>913</v>
      </c>
      <c r="K207" s="539" t="s">
        <v>913</v>
      </c>
    </row>
    <row r="208" spans="1:14">
      <c r="A208" s="539" t="s">
        <v>1142</v>
      </c>
      <c r="B208" s="539" t="s">
        <v>173</v>
      </c>
      <c r="C208" s="539" t="s">
        <v>1185</v>
      </c>
      <c r="D208" s="540">
        <v>8056</v>
      </c>
      <c r="E208" s="539">
        <v>328</v>
      </c>
      <c r="I208" s="539" t="s">
        <v>913</v>
      </c>
      <c r="K208" s="539" t="s">
        <v>913</v>
      </c>
    </row>
    <row r="209" spans="1:14">
      <c r="A209" s="539" t="s">
        <v>1142</v>
      </c>
      <c r="B209" s="539" t="s">
        <v>173</v>
      </c>
      <c r="C209" s="539" t="s">
        <v>1186</v>
      </c>
      <c r="D209" s="540">
        <v>8751</v>
      </c>
      <c r="E209" s="539">
        <v>41</v>
      </c>
      <c r="F209" s="539" t="s">
        <v>913</v>
      </c>
      <c r="G209" s="539" t="s">
        <v>913</v>
      </c>
      <c r="H209" s="539" t="s">
        <v>913</v>
      </c>
      <c r="I209" s="539" t="s">
        <v>913</v>
      </c>
      <c r="J209" s="539" t="s">
        <v>913</v>
      </c>
      <c r="K209" s="539" t="s">
        <v>913</v>
      </c>
      <c r="L209" s="539" t="s">
        <v>913</v>
      </c>
      <c r="M209" s="539" t="s">
        <v>913</v>
      </c>
    </row>
    <row r="210" spans="1:14">
      <c r="A210" s="539" t="s">
        <v>1187</v>
      </c>
      <c r="B210" s="539" t="s">
        <v>551</v>
      </c>
      <c r="C210" s="539" t="s">
        <v>1188</v>
      </c>
      <c r="D210" s="540">
        <v>8313</v>
      </c>
      <c r="E210" s="539">
        <v>15</v>
      </c>
      <c r="F210" s="539" t="s">
        <v>913</v>
      </c>
      <c r="G210" s="539" t="s">
        <v>913</v>
      </c>
      <c r="H210" s="539" t="s">
        <v>913</v>
      </c>
      <c r="I210" s="539" t="s">
        <v>913</v>
      </c>
      <c r="J210" s="539" t="s">
        <v>913</v>
      </c>
      <c r="K210" s="539" t="s">
        <v>913</v>
      </c>
    </row>
    <row r="211" spans="1:14">
      <c r="A211" s="539" t="s">
        <v>1189</v>
      </c>
      <c r="B211" s="539" t="s">
        <v>203</v>
      </c>
      <c r="C211" s="539" t="s">
        <v>1190</v>
      </c>
      <c r="D211" s="540">
        <v>8034</v>
      </c>
      <c r="E211" s="539">
        <v>373</v>
      </c>
      <c r="I211" s="539" t="s">
        <v>913</v>
      </c>
      <c r="K211" s="539" t="s">
        <v>913</v>
      </c>
    </row>
    <row r="212" spans="1:14">
      <c r="A212" s="539" t="s">
        <v>1189</v>
      </c>
      <c r="B212" s="539" t="s">
        <v>203</v>
      </c>
      <c r="C212" s="539" t="s">
        <v>1191</v>
      </c>
      <c r="D212" s="540">
        <v>8102</v>
      </c>
      <c r="E212" s="539">
        <v>1089</v>
      </c>
      <c r="F212" s="539" t="s">
        <v>913</v>
      </c>
      <c r="I212" s="539" t="s">
        <v>913</v>
      </c>
      <c r="J212" s="539" t="s">
        <v>913</v>
      </c>
      <c r="K212" s="539" t="s">
        <v>913</v>
      </c>
      <c r="N212" s="539" t="s">
        <v>913</v>
      </c>
    </row>
    <row r="213" spans="1:14">
      <c r="A213" s="539" t="s">
        <v>1189</v>
      </c>
      <c r="B213" s="539" t="s">
        <v>203</v>
      </c>
      <c r="C213" s="539" t="s">
        <v>1192</v>
      </c>
      <c r="D213" s="540">
        <v>8105</v>
      </c>
      <c r="E213" s="539">
        <v>189</v>
      </c>
      <c r="F213" s="539" t="s">
        <v>913</v>
      </c>
      <c r="G213" s="539" t="s">
        <v>913</v>
      </c>
      <c r="I213" s="539" t="s">
        <v>913</v>
      </c>
      <c r="J213" s="539" t="s">
        <v>913</v>
      </c>
      <c r="K213" s="539" t="s">
        <v>913</v>
      </c>
      <c r="L213" s="539" t="s">
        <v>913</v>
      </c>
      <c r="M213" s="539" t="s">
        <v>913</v>
      </c>
      <c r="N213" s="539" t="s">
        <v>913</v>
      </c>
    </row>
    <row r="214" spans="1:14">
      <c r="A214" s="539" t="s">
        <v>1189</v>
      </c>
      <c r="B214" s="539" t="s">
        <v>203</v>
      </c>
      <c r="C214" s="539" t="s">
        <v>1193</v>
      </c>
      <c r="D214" s="540">
        <v>8103</v>
      </c>
      <c r="E214" s="539">
        <v>317</v>
      </c>
      <c r="F214" s="539" t="s">
        <v>913</v>
      </c>
      <c r="G214" s="539" t="s">
        <v>913</v>
      </c>
      <c r="I214" s="539" t="s">
        <v>913</v>
      </c>
      <c r="J214" s="539" t="s">
        <v>913</v>
      </c>
      <c r="K214" s="539" t="s">
        <v>913</v>
      </c>
      <c r="L214" s="539" t="s">
        <v>913</v>
      </c>
      <c r="M214" s="539" t="s">
        <v>913</v>
      </c>
    </row>
    <row r="215" spans="1:14">
      <c r="A215" s="539" t="s">
        <v>1189</v>
      </c>
      <c r="B215" s="539" t="s">
        <v>203</v>
      </c>
      <c r="C215" s="539" t="s">
        <v>1194</v>
      </c>
      <c r="D215" s="540">
        <v>8104</v>
      </c>
      <c r="E215" s="539">
        <v>173</v>
      </c>
      <c r="F215" s="539" t="s">
        <v>913</v>
      </c>
      <c r="I215" s="539" t="s">
        <v>913</v>
      </c>
      <c r="J215" s="539" t="s">
        <v>913</v>
      </c>
      <c r="K215" s="539" t="s">
        <v>913</v>
      </c>
      <c r="L215" s="539" t="s">
        <v>913</v>
      </c>
      <c r="M215" s="539" t="s">
        <v>913</v>
      </c>
    </row>
    <row r="216" spans="1:14">
      <c r="A216" s="539" t="s">
        <v>1195</v>
      </c>
      <c r="B216" s="539" t="s">
        <v>411</v>
      </c>
      <c r="C216" s="539" t="s">
        <v>1196</v>
      </c>
      <c r="D216" s="540">
        <v>1473</v>
      </c>
      <c r="E216" s="539">
        <v>36</v>
      </c>
      <c r="F216" s="539" t="s">
        <v>913</v>
      </c>
      <c r="G216" s="539" t="s">
        <v>913</v>
      </c>
      <c r="H216" s="539" t="s">
        <v>913</v>
      </c>
      <c r="I216" s="539" t="s">
        <v>913</v>
      </c>
      <c r="J216" s="539" t="s">
        <v>913</v>
      </c>
      <c r="K216" s="539" t="s">
        <v>913</v>
      </c>
      <c r="L216" s="539" t="s">
        <v>913</v>
      </c>
      <c r="M216" s="539" t="s">
        <v>913</v>
      </c>
    </row>
    <row r="217" spans="1:14">
      <c r="A217" s="539" t="s">
        <v>1197</v>
      </c>
      <c r="B217" s="539" t="s">
        <v>218</v>
      </c>
      <c r="C217" s="539" t="s">
        <v>1198</v>
      </c>
      <c r="D217" s="540">
        <v>8373</v>
      </c>
      <c r="E217" s="539">
        <v>64</v>
      </c>
      <c r="F217" s="539" t="s">
        <v>913</v>
      </c>
      <c r="I217" s="539" t="s">
        <v>913</v>
      </c>
      <c r="K217" s="539" t="s">
        <v>913</v>
      </c>
      <c r="L217" s="539" t="s">
        <v>913</v>
      </c>
    </row>
    <row r="218" spans="1:14">
      <c r="A218" s="539" t="s">
        <v>1197</v>
      </c>
      <c r="B218" s="539" t="s">
        <v>218</v>
      </c>
      <c r="C218" s="539" t="s">
        <v>1199</v>
      </c>
      <c r="D218" s="540">
        <v>8374</v>
      </c>
      <c r="E218" s="539">
        <v>40</v>
      </c>
      <c r="J218" s="539" t="s">
        <v>913</v>
      </c>
      <c r="K218" s="539" t="s">
        <v>913</v>
      </c>
      <c r="M218" s="539" t="s">
        <v>913</v>
      </c>
    </row>
    <row r="219" spans="1:14">
      <c r="A219" s="539" t="s">
        <v>1200</v>
      </c>
      <c r="B219" s="539" t="s">
        <v>161</v>
      </c>
      <c r="C219" s="539" t="s">
        <v>1201</v>
      </c>
      <c r="D219" s="540">
        <v>8974</v>
      </c>
      <c r="E219" s="539">
        <v>118</v>
      </c>
      <c r="F219" s="539" t="s">
        <v>913</v>
      </c>
      <c r="G219" s="539" t="s">
        <v>913</v>
      </c>
      <c r="I219" s="539" t="s">
        <v>913</v>
      </c>
      <c r="J219" s="539" t="s">
        <v>913</v>
      </c>
      <c r="M219" s="539" t="s">
        <v>913</v>
      </c>
      <c r="N219" s="539" t="s">
        <v>913</v>
      </c>
    </row>
    <row r="220" spans="1:14">
      <c r="A220" s="539" t="s">
        <v>1202</v>
      </c>
      <c r="B220" s="539" t="s">
        <v>422</v>
      </c>
      <c r="C220" s="539" t="s">
        <v>1203</v>
      </c>
      <c r="D220" s="540">
        <v>8196</v>
      </c>
      <c r="E220" s="539">
        <v>419</v>
      </c>
      <c r="F220" s="539" t="s">
        <v>913</v>
      </c>
      <c r="G220" s="539" t="s">
        <v>913</v>
      </c>
      <c r="H220" s="539" t="s">
        <v>913</v>
      </c>
      <c r="I220" s="539" t="s">
        <v>913</v>
      </c>
      <c r="J220" s="539" t="s">
        <v>913</v>
      </c>
      <c r="K220" s="539" t="s">
        <v>913</v>
      </c>
      <c r="L220" s="539" t="s">
        <v>913</v>
      </c>
      <c r="M220" s="539" t="s">
        <v>913</v>
      </c>
      <c r="N220" s="539" t="s">
        <v>913</v>
      </c>
    </row>
    <row r="221" spans="1:14">
      <c r="A221" s="539" t="s">
        <v>1202</v>
      </c>
      <c r="B221" s="539" t="s">
        <v>422</v>
      </c>
      <c r="C221" s="539" t="s">
        <v>1204</v>
      </c>
      <c r="D221" s="540">
        <v>8175</v>
      </c>
      <c r="E221" s="539">
        <v>136</v>
      </c>
      <c r="F221" s="539" t="s">
        <v>913</v>
      </c>
      <c r="G221" s="539" t="s">
        <v>913</v>
      </c>
      <c r="H221" s="539" t="s">
        <v>913</v>
      </c>
      <c r="I221" s="539" t="s">
        <v>913</v>
      </c>
      <c r="J221" s="539" t="s">
        <v>913</v>
      </c>
      <c r="K221" s="539" t="s">
        <v>913</v>
      </c>
      <c r="L221" s="539" t="s">
        <v>913</v>
      </c>
      <c r="M221" s="539" t="s">
        <v>913</v>
      </c>
      <c r="N221" s="539" t="s">
        <v>913</v>
      </c>
    </row>
    <row r="222" spans="1:14">
      <c r="A222" s="539" t="s">
        <v>1202</v>
      </c>
      <c r="B222" s="539" t="s">
        <v>422</v>
      </c>
      <c r="C222" s="539" t="s">
        <v>1205</v>
      </c>
      <c r="D222" s="540">
        <v>8191</v>
      </c>
      <c r="E222" s="539">
        <v>271</v>
      </c>
      <c r="F222" s="539" t="s">
        <v>913</v>
      </c>
      <c r="G222" s="539" t="s">
        <v>913</v>
      </c>
      <c r="H222" s="539" t="s">
        <v>913</v>
      </c>
      <c r="I222" s="539" t="s">
        <v>913</v>
      </c>
      <c r="J222" s="539" t="s">
        <v>913</v>
      </c>
      <c r="K222" s="539" t="s">
        <v>913</v>
      </c>
      <c r="L222" s="539" t="s">
        <v>913</v>
      </c>
      <c r="M222" s="539" t="s">
        <v>913</v>
      </c>
      <c r="N222" s="539" t="s">
        <v>913</v>
      </c>
    </row>
    <row r="223" spans="1:14">
      <c r="A223" s="539" t="s">
        <v>1202</v>
      </c>
      <c r="B223" s="539" t="s">
        <v>422</v>
      </c>
      <c r="C223" s="539" t="s">
        <v>1206</v>
      </c>
      <c r="D223" s="540">
        <v>8868</v>
      </c>
      <c r="E223" s="539">
        <v>41</v>
      </c>
      <c r="I223" s="539" t="s">
        <v>913</v>
      </c>
      <c r="J223" s="539" t="s">
        <v>913</v>
      </c>
      <c r="K223" s="539" t="s">
        <v>913</v>
      </c>
    </row>
    <row r="224" spans="1:14">
      <c r="A224" s="539" t="s">
        <v>1202</v>
      </c>
      <c r="B224" s="539" t="s">
        <v>422</v>
      </c>
      <c r="C224" s="539" t="s">
        <v>1207</v>
      </c>
      <c r="D224" s="540">
        <v>8740</v>
      </c>
      <c r="E224" s="539">
        <v>52</v>
      </c>
      <c r="I224" s="539" t="s">
        <v>913</v>
      </c>
      <c r="J224" s="539" t="s">
        <v>913</v>
      </c>
      <c r="K224" s="539" t="s">
        <v>913</v>
      </c>
      <c r="L224" s="539" t="s">
        <v>913</v>
      </c>
      <c r="N224" s="539" t="s">
        <v>913</v>
      </c>
    </row>
    <row r="225" spans="1:14">
      <c r="A225" s="539" t="s">
        <v>1202</v>
      </c>
      <c r="B225" s="539" t="s">
        <v>422</v>
      </c>
      <c r="C225" s="539" t="s">
        <v>1208</v>
      </c>
      <c r="D225" s="540" t="s">
        <v>1209</v>
      </c>
      <c r="E225" s="539">
        <v>73</v>
      </c>
      <c r="I225" s="539" t="s">
        <v>913</v>
      </c>
      <c r="J225" s="539" t="s">
        <v>913</v>
      </c>
      <c r="K225" s="539" t="s">
        <v>913</v>
      </c>
    </row>
    <row r="226" spans="1:14">
      <c r="A226" s="539" t="s">
        <v>1202</v>
      </c>
      <c r="B226" s="539" t="s">
        <v>422</v>
      </c>
      <c r="C226" s="539" t="s">
        <v>1210</v>
      </c>
      <c r="D226" s="540">
        <v>8176</v>
      </c>
      <c r="E226" s="539">
        <v>919</v>
      </c>
      <c r="H226" s="539" t="s">
        <v>913</v>
      </c>
      <c r="I226" s="539" t="s">
        <v>913</v>
      </c>
      <c r="J226" s="539" t="s">
        <v>913</v>
      </c>
      <c r="K226" s="539" t="s">
        <v>913</v>
      </c>
      <c r="L226" s="539" t="s">
        <v>913</v>
      </c>
      <c r="M226" s="539" t="s">
        <v>913</v>
      </c>
    </row>
    <row r="227" spans="1:14">
      <c r="A227" s="539" t="s">
        <v>1202</v>
      </c>
      <c r="B227" s="539" t="s">
        <v>422</v>
      </c>
      <c r="C227" s="539" t="s">
        <v>1211</v>
      </c>
      <c r="D227" s="540">
        <v>8182</v>
      </c>
      <c r="E227" s="539">
        <v>264</v>
      </c>
      <c r="I227" s="539" t="s">
        <v>913</v>
      </c>
      <c r="J227" s="539" t="s">
        <v>913</v>
      </c>
      <c r="K227" s="539" t="s">
        <v>913</v>
      </c>
      <c r="M227" s="539" t="s">
        <v>913</v>
      </c>
      <c r="N227" s="539" t="s">
        <v>913</v>
      </c>
    </row>
    <row r="228" spans="1:14">
      <c r="A228" s="539" t="s">
        <v>1202</v>
      </c>
      <c r="B228" s="539" t="s">
        <v>422</v>
      </c>
      <c r="C228" s="539" t="s">
        <v>1212</v>
      </c>
      <c r="D228" s="540">
        <v>8502</v>
      </c>
      <c r="E228" s="539">
        <v>134</v>
      </c>
      <c r="I228" s="539" t="s">
        <v>913</v>
      </c>
      <c r="J228" s="539" t="s">
        <v>913</v>
      </c>
      <c r="K228" s="539" t="s">
        <v>913</v>
      </c>
      <c r="M228" s="539" t="s">
        <v>913</v>
      </c>
      <c r="N228" s="539" t="s">
        <v>913</v>
      </c>
    </row>
    <row r="229" spans="1:14">
      <c r="A229" s="539" t="s">
        <v>1202</v>
      </c>
      <c r="B229" s="539" t="s">
        <v>422</v>
      </c>
      <c r="C229" s="539" t="s">
        <v>1213</v>
      </c>
      <c r="D229" s="540">
        <v>8188</v>
      </c>
      <c r="E229" s="539">
        <v>283</v>
      </c>
      <c r="F229" s="539" t="s">
        <v>913</v>
      </c>
      <c r="G229" s="539" t="s">
        <v>913</v>
      </c>
      <c r="H229" s="539" t="s">
        <v>913</v>
      </c>
      <c r="I229" s="539" t="s">
        <v>913</v>
      </c>
      <c r="J229" s="539" t="s">
        <v>913</v>
      </c>
      <c r="K229" s="539" t="s">
        <v>913</v>
      </c>
      <c r="L229" s="539" t="s">
        <v>913</v>
      </c>
      <c r="M229" s="539" t="s">
        <v>913</v>
      </c>
      <c r="N229" s="539" t="s">
        <v>913</v>
      </c>
    </row>
    <row r="230" spans="1:14">
      <c r="A230" s="539" t="s">
        <v>1202</v>
      </c>
      <c r="B230" s="539" t="s">
        <v>422</v>
      </c>
      <c r="C230" s="539" t="s">
        <v>1214</v>
      </c>
      <c r="D230" s="540">
        <v>8192</v>
      </c>
      <c r="E230" s="539">
        <v>211</v>
      </c>
      <c r="F230" s="539" t="s">
        <v>913</v>
      </c>
      <c r="G230" s="539" t="s">
        <v>913</v>
      </c>
      <c r="H230" s="539" t="s">
        <v>913</v>
      </c>
      <c r="I230" s="539" t="s">
        <v>913</v>
      </c>
      <c r="J230" s="539" t="s">
        <v>913</v>
      </c>
      <c r="K230" s="539" t="s">
        <v>913</v>
      </c>
      <c r="L230" s="539" t="s">
        <v>913</v>
      </c>
      <c r="M230" s="539" t="s">
        <v>913</v>
      </c>
    </row>
    <row r="231" spans="1:14">
      <c r="A231" s="539" t="s">
        <v>1202</v>
      </c>
      <c r="B231" s="539" t="s">
        <v>422</v>
      </c>
      <c r="C231" s="539" t="s">
        <v>1215</v>
      </c>
      <c r="D231" s="540">
        <v>8195</v>
      </c>
      <c r="E231" s="539">
        <v>98</v>
      </c>
      <c r="F231" s="539" t="s">
        <v>913</v>
      </c>
      <c r="G231" s="539" t="s">
        <v>913</v>
      </c>
      <c r="H231" s="539" t="s">
        <v>913</v>
      </c>
      <c r="I231" s="539" t="s">
        <v>913</v>
      </c>
      <c r="J231" s="539" t="s">
        <v>913</v>
      </c>
      <c r="K231" s="539" t="s">
        <v>913</v>
      </c>
      <c r="L231" s="539" t="s">
        <v>913</v>
      </c>
      <c r="M231" s="539" t="s">
        <v>913</v>
      </c>
      <c r="N231" s="539" t="s">
        <v>913</v>
      </c>
    </row>
    <row r="232" spans="1:14">
      <c r="A232" s="539" t="s">
        <v>1202</v>
      </c>
      <c r="B232" s="539" t="s">
        <v>422</v>
      </c>
      <c r="C232" s="539" t="s">
        <v>1216</v>
      </c>
      <c r="D232" s="540">
        <v>8190</v>
      </c>
      <c r="E232" s="539">
        <v>126</v>
      </c>
      <c r="F232" s="539" t="s">
        <v>913</v>
      </c>
      <c r="G232" s="539" t="s">
        <v>913</v>
      </c>
      <c r="H232" s="539" t="s">
        <v>913</v>
      </c>
      <c r="I232" s="539" t="s">
        <v>913</v>
      </c>
      <c r="J232" s="539" t="s">
        <v>913</v>
      </c>
      <c r="K232" s="539" t="s">
        <v>913</v>
      </c>
      <c r="L232" s="539" t="s">
        <v>913</v>
      </c>
      <c r="M232" s="539" t="s">
        <v>913</v>
      </c>
      <c r="N232" s="539" t="s">
        <v>913</v>
      </c>
    </row>
    <row r="233" spans="1:14">
      <c r="A233" s="539" t="s">
        <v>1202</v>
      </c>
      <c r="B233" s="539" t="s">
        <v>422</v>
      </c>
      <c r="C233" s="539" t="s">
        <v>1217</v>
      </c>
      <c r="D233" s="540">
        <v>8996</v>
      </c>
      <c r="E233" s="539">
        <v>58</v>
      </c>
      <c r="I233" s="539" t="s">
        <v>913</v>
      </c>
      <c r="J233" s="539" t="s">
        <v>913</v>
      </c>
      <c r="K233" s="539" t="s">
        <v>913</v>
      </c>
    </row>
    <row r="234" spans="1:14">
      <c r="A234" s="539" t="s">
        <v>1218</v>
      </c>
      <c r="B234" s="539" t="s">
        <v>557</v>
      </c>
      <c r="C234" s="539" t="s">
        <v>1219</v>
      </c>
      <c r="D234" s="540">
        <v>8235</v>
      </c>
      <c r="E234" s="539">
        <v>215</v>
      </c>
      <c r="F234" s="539" t="s">
        <v>913</v>
      </c>
      <c r="I234" s="539" t="s">
        <v>913</v>
      </c>
    </row>
    <row r="235" spans="1:14">
      <c r="A235" s="539" t="s">
        <v>1218</v>
      </c>
      <c r="B235" s="539" t="s">
        <v>557</v>
      </c>
      <c r="C235" s="539" t="s">
        <v>1220</v>
      </c>
      <c r="D235" s="540">
        <v>8823</v>
      </c>
      <c r="E235" s="539">
        <v>78</v>
      </c>
      <c r="F235" s="539" t="s">
        <v>913</v>
      </c>
      <c r="I235" s="539" t="s">
        <v>913</v>
      </c>
    </row>
    <row r="236" spans="1:14">
      <c r="A236" s="539" t="s">
        <v>1221</v>
      </c>
      <c r="B236" s="539" t="s">
        <v>345</v>
      </c>
      <c r="C236" s="539" t="s">
        <v>1222</v>
      </c>
      <c r="D236" s="540">
        <v>8132</v>
      </c>
      <c r="E236" s="539">
        <v>1019</v>
      </c>
      <c r="I236" s="539" t="s">
        <v>913</v>
      </c>
      <c r="K236" s="539" t="s">
        <v>913</v>
      </c>
    </row>
    <row r="237" spans="1:14">
      <c r="A237" s="539" t="s">
        <v>1221</v>
      </c>
      <c r="B237" s="539" t="s">
        <v>345</v>
      </c>
      <c r="C237" s="539" t="s">
        <v>1223</v>
      </c>
      <c r="D237" s="540">
        <v>8566</v>
      </c>
      <c r="E237" s="539">
        <v>86</v>
      </c>
      <c r="F237" s="539" t="s">
        <v>913</v>
      </c>
      <c r="I237" s="539" t="s">
        <v>913</v>
      </c>
      <c r="J237" s="539" t="s">
        <v>913</v>
      </c>
      <c r="K237" s="539" t="s">
        <v>913</v>
      </c>
      <c r="L237" s="539" t="s">
        <v>913</v>
      </c>
      <c r="M237" s="539" t="s">
        <v>913</v>
      </c>
      <c r="N237" s="539" t="s">
        <v>913</v>
      </c>
    </row>
    <row r="238" spans="1:14">
      <c r="A238" s="539" t="s">
        <v>1221</v>
      </c>
      <c r="B238" s="539" t="s">
        <v>345</v>
      </c>
      <c r="C238" s="539" t="s">
        <v>1149</v>
      </c>
      <c r="D238" s="540">
        <v>8134</v>
      </c>
      <c r="E238" s="539">
        <v>237</v>
      </c>
      <c r="F238" s="539" t="s">
        <v>913</v>
      </c>
      <c r="G238" s="539" t="s">
        <v>913</v>
      </c>
      <c r="I238" s="539" t="s">
        <v>913</v>
      </c>
      <c r="K238" s="539" t="s">
        <v>913</v>
      </c>
      <c r="L238" s="539" t="s">
        <v>913</v>
      </c>
    </row>
    <row r="239" spans="1:14">
      <c r="A239" s="539" t="s">
        <v>1221</v>
      </c>
      <c r="B239" s="539" t="s">
        <v>345</v>
      </c>
      <c r="C239" s="539" t="s">
        <v>1089</v>
      </c>
      <c r="D239" s="540">
        <v>8135</v>
      </c>
      <c r="E239" s="539">
        <v>64</v>
      </c>
      <c r="I239" s="539" t="s">
        <v>913</v>
      </c>
      <c r="J239" s="539" t="s">
        <v>913</v>
      </c>
      <c r="K239" s="539" t="s">
        <v>913</v>
      </c>
    </row>
    <row r="240" spans="1:14">
      <c r="A240" s="539" t="s">
        <v>1221</v>
      </c>
      <c r="B240" s="539" t="s">
        <v>345</v>
      </c>
      <c r="C240" s="539" t="s">
        <v>1224</v>
      </c>
      <c r="D240" s="540">
        <v>8598</v>
      </c>
      <c r="E240" s="539">
        <v>92</v>
      </c>
      <c r="F240" s="539" t="s">
        <v>913</v>
      </c>
      <c r="G240" s="539" t="s">
        <v>913</v>
      </c>
      <c r="H240" s="539" t="s">
        <v>913</v>
      </c>
      <c r="I240" s="539" t="s">
        <v>913</v>
      </c>
      <c r="J240" s="539" t="s">
        <v>913</v>
      </c>
      <c r="K240" s="539" t="s">
        <v>913</v>
      </c>
      <c r="L240" s="539" t="s">
        <v>913</v>
      </c>
      <c r="M240" s="539" t="s">
        <v>913</v>
      </c>
      <c r="N240" s="539" t="s">
        <v>913</v>
      </c>
    </row>
    <row r="241" spans="1:14">
      <c r="A241" s="539" t="s">
        <v>1221</v>
      </c>
      <c r="B241" s="539" t="s">
        <v>345</v>
      </c>
      <c r="C241" s="539" t="s">
        <v>1225</v>
      </c>
      <c r="D241" s="540">
        <v>8137</v>
      </c>
      <c r="E241" s="539">
        <v>100</v>
      </c>
      <c r="F241" s="539" t="s">
        <v>913</v>
      </c>
      <c r="I241" s="539" t="s">
        <v>913</v>
      </c>
      <c r="J241" s="539" t="s">
        <v>913</v>
      </c>
      <c r="K241" s="539" t="s">
        <v>913</v>
      </c>
    </row>
    <row r="242" spans="1:14">
      <c r="A242" s="539" t="s">
        <v>1221</v>
      </c>
      <c r="B242" s="539" t="s">
        <v>345</v>
      </c>
      <c r="C242" s="539" t="s">
        <v>1226</v>
      </c>
      <c r="D242" s="540">
        <v>8353</v>
      </c>
      <c r="E242" s="539">
        <v>650</v>
      </c>
      <c r="F242" s="539" t="s">
        <v>913</v>
      </c>
      <c r="I242" s="539" t="s">
        <v>913</v>
      </c>
      <c r="J242" s="539" t="s">
        <v>913</v>
      </c>
      <c r="K242" s="539" t="s">
        <v>913</v>
      </c>
      <c r="M242" s="539" t="s">
        <v>913</v>
      </c>
    </row>
    <row r="243" spans="1:14">
      <c r="A243" s="539" t="s">
        <v>1221</v>
      </c>
      <c r="B243" s="539" t="s">
        <v>345</v>
      </c>
      <c r="C243" s="539" t="s">
        <v>1227</v>
      </c>
      <c r="D243" s="540">
        <v>1495</v>
      </c>
      <c r="E243" s="539">
        <v>79</v>
      </c>
      <c r="F243" s="539" t="s">
        <v>913</v>
      </c>
    </row>
    <row r="244" spans="1:14">
      <c r="A244" s="539" t="s">
        <v>1221</v>
      </c>
      <c r="B244" s="539" t="s">
        <v>345</v>
      </c>
      <c r="C244" s="539" t="s">
        <v>1228</v>
      </c>
      <c r="D244" s="540">
        <v>8144</v>
      </c>
      <c r="E244" s="539">
        <v>329</v>
      </c>
      <c r="I244" s="539" t="s">
        <v>913</v>
      </c>
      <c r="J244" s="539" t="s">
        <v>913</v>
      </c>
      <c r="K244" s="539" t="s">
        <v>913</v>
      </c>
    </row>
    <row r="245" spans="1:14">
      <c r="A245" s="539" t="s">
        <v>1221</v>
      </c>
      <c r="B245" s="539" t="s">
        <v>345</v>
      </c>
      <c r="C245" s="539" t="s">
        <v>1229</v>
      </c>
      <c r="D245" s="540">
        <v>8141</v>
      </c>
      <c r="E245" s="539">
        <v>490</v>
      </c>
      <c r="F245" s="539" t="s">
        <v>913</v>
      </c>
      <c r="G245" s="539" t="s">
        <v>913</v>
      </c>
      <c r="H245" s="539" t="s">
        <v>913</v>
      </c>
      <c r="I245" s="539" t="s">
        <v>913</v>
      </c>
      <c r="J245" s="539" t="s">
        <v>913</v>
      </c>
      <c r="K245" s="539" t="s">
        <v>913</v>
      </c>
      <c r="L245" s="539" t="s">
        <v>913</v>
      </c>
      <c r="M245" s="539" t="s">
        <v>913</v>
      </c>
      <c r="N245" s="539" t="s">
        <v>913</v>
      </c>
    </row>
    <row r="246" spans="1:14">
      <c r="A246" s="539" t="s">
        <v>1221</v>
      </c>
      <c r="B246" s="539" t="s">
        <v>345</v>
      </c>
      <c r="C246" s="539" t="s">
        <v>1110</v>
      </c>
      <c r="D246" s="540">
        <v>8143</v>
      </c>
      <c r="E246" s="539">
        <v>389</v>
      </c>
      <c r="F246" s="539" t="s">
        <v>913</v>
      </c>
      <c r="G246" s="539" t="s">
        <v>913</v>
      </c>
      <c r="H246" s="539" t="s">
        <v>913</v>
      </c>
      <c r="I246" s="539" t="s">
        <v>913</v>
      </c>
      <c r="J246" s="539" t="s">
        <v>913</v>
      </c>
      <c r="K246" s="539" t="s">
        <v>913</v>
      </c>
      <c r="L246" s="539" t="s">
        <v>913</v>
      </c>
      <c r="M246" s="539" t="s">
        <v>913</v>
      </c>
      <c r="N246" s="539" t="s">
        <v>913</v>
      </c>
    </row>
    <row r="247" spans="1:14">
      <c r="A247" s="539" t="s">
        <v>1221</v>
      </c>
      <c r="B247" s="539" t="s">
        <v>345</v>
      </c>
      <c r="C247" s="539" t="s">
        <v>1230</v>
      </c>
      <c r="D247" s="540">
        <v>1456</v>
      </c>
      <c r="E247" s="539">
        <v>37</v>
      </c>
      <c r="I247" s="539" t="s">
        <v>913</v>
      </c>
    </row>
    <row r="248" spans="1:14">
      <c r="A248" s="539" t="s">
        <v>1221</v>
      </c>
      <c r="B248" s="539" t="s">
        <v>345</v>
      </c>
      <c r="C248" s="539" t="s">
        <v>1231</v>
      </c>
      <c r="D248" s="540">
        <v>8146</v>
      </c>
      <c r="E248" s="539">
        <v>146</v>
      </c>
      <c r="F248" s="539" t="s">
        <v>913</v>
      </c>
      <c r="G248" s="539" t="s">
        <v>913</v>
      </c>
      <c r="I248" s="539" t="s">
        <v>913</v>
      </c>
      <c r="J248" s="539" t="s">
        <v>913</v>
      </c>
      <c r="K248" s="539" t="s">
        <v>913</v>
      </c>
      <c r="M248" s="539" t="s">
        <v>913</v>
      </c>
    </row>
    <row r="249" spans="1:14">
      <c r="A249" s="539" t="s">
        <v>1232</v>
      </c>
      <c r="B249" s="539" t="s">
        <v>476</v>
      </c>
      <c r="C249" s="539" t="s">
        <v>1233</v>
      </c>
      <c r="D249" s="540">
        <v>8855</v>
      </c>
      <c r="E249" s="539">
        <v>135</v>
      </c>
      <c r="I249" s="539" t="s">
        <v>913</v>
      </c>
      <c r="J249" s="539" t="s">
        <v>913</v>
      </c>
      <c r="K249" s="539" t="s">
        <v>913</v>
      </c>
    </row>
    <row r="250" spans="1:14">
      <c r="A250" s="539" t="s">
        <v>1234</v>
      </c>
      <c r="B250" s="539" t="s">
        <v>49</v>
      </c>
      <c r="C250" s="539" t="s">
        <v>1235</v>
      </c>
      <c r="D250" s="540">
        <v>8449</v>
      </c>
      <c r="E250" s="539">
        <v>126</v>
      </c>
      <c r="I250" s="539" t="s">
        <v>913</v>
      </c>
    </row>
    <row r="251" spans="1:14">
      <c r="A251" s="539" t="s">
        <v>1234</v>
      </c>
      <c r="B251" s="539" t="s">
        <v>49</v>
      </c>
      <c r="C251" s="539" t="s">
        <v>1236</v>
      </c>
      <c r="D251" s="540">
        <v>8483</v>
      </c>
      <c r="E251" s="539">
        <v>667</v>
      </c>
      <c r="I251" s="539" t="s">
        <v>913</v>
      </c>
      <c r="J251" s="539" t="s">
        <v>913</v>
      </c>
      <c r="K251" s="539" t="s">
        <v>913</v>
      </c>
    </row>
    <row r="252" spans="1:14">
      <c r="A252" s="539" t="s">
        <v>1234</v>
      </c>
      <c r="B252" s="539" t="s">
        <v>49</v>
      </c>
      <c r="C252" s="539" t="s">
        <v>1237</v>
      </c>
      <c r="D252" s="540">
        <v>8009</v>
      </c>
      <c r="E252" s="539">
        <v>309</v>
      </c>
      <c r="I252" s="539" t="s">
        <v>913</v>
      </c>
    </row>
    <row r="253" spans="1:14">
      <c r="A253" s="539" t="s">
        <v>1234</v>
      </c>
      <c r="B253" s="539" t="s">
        <v>49</v>
      </c>
      <c r="C253" s="539" t="s">
        <v>968</v>
      </c>
      <c r="D253" s="540">
        <v>8010</v>
      </c>
      <c r="E253" s="539">
        <v>387</v>
      </c>
      <c r="I253" s="539" t="s">
        <v>913</v>
      </c>
    </row>
    <row r="254" spans="1:14">
      <c r="A254" s="539" t="s">
        <v>1234</v>
      </c>
      <c r="B254" s="539" t="s">
        <v>49</v>
      </c>
      <c r="C254" s="539" t="s">
        <v>1238</v>
      </c>
      <c r="D254" s="540">
        <v>8284</v>
      </c>
      <c r="E254" s="539">
        <v>99</v>
      </c>
      <c r="I254" s="539" t="s">
        <v>913</v>
      </c>
    </row>
    <row r="255" spans="1:14">
      <c r="A255" s="539" t="s">
        <v>1239</v>
      </c>
      <c r="B255" s="539" t="s">
        <v>492</v>
      </c>
      <c r="C255" s="539" t="s">
        <v>1240</v>
      </c>
      <c r="D255" s="540">
        <v>8212</v>
      </c>
      <c r="E255" s="539">
        <v>220</v>
      </c>
      <c r="F255" s="539" t="s">
        <v>913</v>
      </c>
      <c r="G255" s="539" t="s">
        <v>913</v>
      </c>
      <c r="H255" s="539" t="s">
        <v>913</v>
      </c>
      <c r="I255" s="539" t="s">
        <v>913</v>
      </c>
      <c r="J255" s="539" t="s">
        <v>913</v>
      </c>
      <c r="K255" s="539" t="s">
        <v>913</v>
      </c>
      <c r="L255" s="539" t="s">
        <v>913</v>
      </c>
      <c r="M255" s="539" t="s">
        <v>913</v>
      </c>
      <c r="N255" s="539" t="s">
        <v>913</v>
      </c>
    </row>
    <row r="256" spans="1:14">
      <c r="A256" s="539" t="s">
        <v>1239</v>
      </c>
      <c r="B256" s="539" t="s">
        <v>492</v>
      </c>
      <c r="C256" s="539" t="s">
        <v>1241</v>
      </c>
      <c r="D256" s="540">
        <v>8211</v>
      </c>
      <c r="E256" s="539">
        <v>107</v>
      </c>
      <c r="F256" s="539" t="s">
        <v>913</v>
      </c>
      <c r="G256" s="539" t="s">
        <v>913</v>
      </c>
      <c r="H256" s="539" t="s">
        <v>913</v>
      </c>
      <c r="I256" s="539" t="s">
        <v>913</v>
      </c>
      <c r="J256" s="539" t="s">
        <v>913</v>
      </c>
      <c r="K256" s="539" t="s">
        <v>913</v>
      </c>
      <c r="L256" s="539" t="s">
        <v>913</v>
      </c>
      <c r="M256" s="539" t="s">
        <v>913</v>
      </c>
      <c r="N256" s="539" t="s">
        <v>913</v>
      </c>
    </row>
    <row r="257" spans="1:14">
      <c r="A257" s="539" t="s">
        <v>1242</v>
      </c>
      <c r="B257" s="539" t="s">
        <v>37</v>
      </c>
      <c r="C257" s="539" t="s">
        <v>1039</v>
      </c>
      <c r="D257" s="540">
        <v>8004</v>
      </c>
      <c r="E257" s="539">
        <v>123</v>
      </c>
      <c r="F257" s="539" t="s">
        <v>913</v>
      </c>
      <c r="I257" s="539" t="s">
        <v>913</v>
      </c>
      <c r="J257" s="539" t="s">
        <v>913</v>
      </c>
      <c r="L257" s="539" t="s">
        <v>913</v>
      </c>
    </row>
    <row r="258" spans="1:14">
      <c r="A258" s="539" t="s">
        <v>1242</v>
      </c>
      <c r="B258" s="539" t="s">
        <v>37</v>
      </c>
      <c r="C258" s="539" t="s">
        <v>1243</v>
      </c>
      <c r="D258" s="540">
        <v>8915</v>
      </c>
      <c r="E258" s="539">
        <v>58</v>
      </c>
      <c r="F258" s="539" t="s">
        <v>913</v>
      </c>
      <c r="L258" s="539" t="s">
        <v>913</v>
      </c>
    </row>
    <row r="259" spans="1:14">
      <c r="A259" s="539" t="s">
        <v>1244</v>
      </c>
      <c r="B259" s="539" t="s">
        <v>129</v>
      </c>
      <c r="C259" s="539" t="s">
        <v>1245</v>
      </c>
      <c r="D259" s="540">
        <v>8494</v>
      </c>
      <c r="E259" s="539">
        <v>1</v>
      </c>
      <c r="F259" s="539" t="s">
        <v>913</v>
      </c>
      <c r="G259" s="539" t="s">
        <v>913</v>
      </c>
      <c r="I259" s="539" t="s">
        <v>913</v>
      </c>
      <c r="J259" s="539" t="s">
        <v>913</v>
      </c>
      <c r="K259" s="539" t="s">
        <v>913</v>
      </c>
      <c r="L259" s="539" t="s">
        <v>913</v>
      </c>
      <c r="M259" s="539" t="s">
        <v>913</v>
      </c>
      <c r="N259" s="539" t="s">
        <v>913</v>
      </c>
    </row>
    <row r="260" spans="1:14">
      <c r="A260" s="539" t="s">
        <v>1246</v>
      </c>
      <c r="B260" s="539" t="s">
        <v>547</v>
      </c>
      <c r="C260" s="539" t="s">
        <v>1247</v>
      </c>
      <c r="D260" s="540">
        <v>8228</v>
      </c>
      <c r="E260" s="539">
        <v>30</v>
      </c>
      <c r="F260" s="539" t="s">
        <v>913</v>
      </c>
      <c r="I260" s="539" t="s">
        <v>913</v>
      </c>
      <c r="K260" s="539" t="s">
        <v>913</v>
      </c>
    </row>
    <row r="261" spans="1:14">
      <c r="A261" s="539" t="s">
        <v>1246</v>
      </c>
      <c r="B261" s="539" t="s">
        <v>547</v>
      </c>
      <c r="C261" s="539" t="s">
        <v>1248</v>
      </c>
      <c r="D261" s="540">
        <v>8310</v>
      </c>
      <c r="E261" s="539">
        <v>183</v>
      </c>
      <c r="F261" s="539" t="s">
        <v>913</v>
      </c>
      <c r="I261" s="539" t="s">
        <v>913</v>
      </c>
      <c r="J261" s="539" t="s">
        <v>913</v>
      </c>
      <c r="K261" s="539" t="s">
        <v>913</v>
      </c>
      <c r="M261" s="539" t="s">
        <v>913</v>
      </c>
      <c r="N261" s="539" t="s">
        <v>913</v>
      </c>
    </row>
    <row r="262" spans="1:14">
      <c r="A262" s="539" t="s">
        <v>1246</v>
      </c>
      <c r="B262" s="539" t="s">
        <v>547</v>
      </c>
      <c r="C262" s="539" t="s">
        <v>1249</v>
      </c>
      <c r="D262" s="540">
        <v>1468</v>
      </c>
      <c r="E262" s="539">
        <v>37</v>
      </c>
      <c r="I262" s="539" t="s">
        <v>913</v>
      </c>
    </row>
    <row r="263" spans="1:14">
      <c r="A263" s="539" t="s">
        <v>1246</v>
      </c>
      <c r="B263" s="539" t="s">
        <v>547</v>
      </c>
      <c r="C263" s="539" t="s">
        <v>1250</v>
      </c>
      <c r="D263" s="540">
        <v>8643</v>
      </c>
      <c r="E263" s="539">
        <v>17</v>
      </c>
      <c r="F263" s="539" t="s">
        <v>913</v>
      </c>
      <c r="I263" s="539" t="s">
        <v>913</v>
      </c>
      <c r="K263" s="539" t="s">
        <v>913</v>
      </c>
    </row>
    <row r="264" spans="1:14">
      <c r="A264" s="539" t="s">
        <v>1246</v>
      </c>
      <c r="B264" s="539" t="s">
        <v>547</v>
      </c>
      <c r="C264" s="539" t="s">
        <v>1251</v>
      </c>
      <c r="D264" s="540">
        <v>8230</v>
      </c>
      <c r="E264" s="539">
        <v>305</v>
      </c>
      <c r="F264" s="539" t="s">
        <v>913</v>
      </c>
      <c r="I264" s="539" t="s">
        <v>913</v>
      </c>
      <c r="J264" s="539" t="s">
        <v>913</v>
      </c>
      <c r="K264" s="539" t="s">
        <v>913</v>
      </c>
    </row>
    <row r="265" spans="1:14">
      <c r="A265" s="539" t="s">
        <v>1246</v>
      </c>
      <c r="B265" s="539" t="s">
        <v>547</v>
      </c>
      <c r="C265" s="539" t="s">
        <v>1252</v>
      </c>
      <c r="D265" s="540">
        <v>8231</v>
      </c>
      <c r="E265" s="539">
        <v>188</v>
      </c>
      <c r="F265" s="539" t="s">
        <v>913</v>
      </c>
      <c r="G265" s="539" t="s">
        <v>913</v>
      </c>
      <c r="H265" s="539" t="s">
        <v>913</v>
      </c>
      <c r="I265" s="539" t="s">
        <v>913</v>
      </c>
      <c r="J265" s="539" t="s">
        <v>913</v>
      </c>
      <c r="K265" s="539" t="s">
        <v>913</v>
      </c>
      <c r="L265" s="539" t="s">
        <v>913</v>
      </c>
      <c r="M265" s="539" t="s">
        <v>913</v>
      </c>
      <c r="N265" s="539" t="s">
        <v>913</v>
      </c>
    </row>
    <row r="266" spans="1:14">
      <c r="A266" s="539" t="s">
        <v>1246</v>
      </c>
      <c r="B266" s="539" t="s">
        <v>547</v>
      </c>
      <c r="C266" s="539" t="s">
        <v>1253</v>
      </c>
      <c r="D266" s="540">
        <v>1486</v>
      </c>
      <c r="E266" s="539">
        <v>66</v>
      </c>
      <c r="F266" s="539" t="s">
        <v>913</v>
      </c>
      <c r="I266" s="539" t="s">
        <v>913</v>
      </c>
      <c r="J266" s="539" t="s">
        <v>913</v>
      </c>
      <c r="K266" s="539" t="s">
        <v>913</v>
      </c>
      <c r="N266" s="539" t="s">
        <v>913</v>
      </c>
    </row>
    <row r="267" spans="1:14">
      <c r="A267" s="539" t="s">
        <v>1254</v>
      </c>
      <c r="B267" s="539" t="s">
        <v>472</v>
      </c>
      <c r="C267" s="539" t="s">
        <v>1255</v>
      </c>
      <c r="D267" s="540" t="s">
        <v>1256</v>
      </c>
      <c r="E267" s="539">
        <v>114</v>
      </c>
      <c r="F267" s="539" t="s">
        <v>913</v>
      </c>
    </row>
  </sheetData>
  <printOptions horizontalCentered="1" gridLines="1"/>
  <pageMargins left="0.5" right="0.5" top="0.75" bottom="0.75" header="0.3" footer="0.3"/>
  <pageSetup scale="70" orientation="landscape" r:id="rId2"/>
  <headerFooter>
    <oddHeader>&amp;CPrivate School Participation in Federal Programs SY 2011-12
Enrollment Report</oddHeader>
    <oddFooter>&amp;L5/20/2011&amp;R&amp;P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  <pageSetUpPr fitToPage="1"/>
  </sheetPr>
  <dimension ref="A1:AD75"/>
  <sheetViews>
    <sheetView zoomScale="120" zoomScaleNormal="120" workbookViewId="0">
      <selection activeCell="C4" sqref="C4"/>
    </sheetView>
  </sheetViews>
  <sheetFormatPr defaultColWidth="9.140625" defaultRowHeight="12.75"/>
  <cols>
    <col min="2" max="3" width="34.42578125" customWidth="1"/>
    <col min="4" max="4" width="20.85546875" customWidth="1"/>
    <col min="5" max="5" width="18.140625" customWidth="1"/>
    <col min="6" max="6" width="17.140625" customWidth="1"/>
    <col min="7" max="7" width="20.5703125" customWidth="1"/>
    <col min="8" max="8" width="18.42578125" customWidth="1"/>
    <col min="9" max="9" width="20" customWidth="1"/>
    <col min="10" max="10" width="21.42578125" customWidth="1"/>
    <col min="11" max="14" width="15.42578125" bestFit="1" customWidth="1"/>
    <col min="15" max="15" width="15.5703125" bestFit="1" customWidth="1"/>
    <col min="16" max="16" width="15" hidden="1" customWidth="1"/>
    <col min="17" max="17" width="15.5703125" bestFit="1" customWidth="1"/>
    <col min="18" max="18" width="17" customWidth="1"/>
    <col min="19" max="19" width="19.42578125" bestFit="1" customWidth="1"/>
    <col min="20" max="23" width="15.5703125" bestFit="1" customWidth="1"/>
  </cols>
  <sheetData>
    <row r="1" spans="1:30" ht="23.25">
      <c r="A1" s="892" t="s">
        <v>579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893"/>
      <c r="R1" s="476"/>
      <c r="S1" s="476"/>
    </row>
    <row r="2" spans="1:30">
      <c r="A2" s="3"/>
      <c r="B2" s="4" t="s">
        <v>577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5"/>
      <c r="Q2" s="5"/>
      <c r="R2" s="5"/>
    </row>
    <row r="3" spans="1:30">
      <c r="A3" s="149"/>
      <c r="B3" s="7"/>
      <c r="C3" s="7"/>
      <c r="D3" s="7"/>
      <c r="E3" s="7"/>
      <c r="F3" s="836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30" ht="15.75">
      <c r="A4" s="39" t="s">
        <v>575</v>
      </c>
      <c r="B4" s="7"/>
      <c r="C4" s="121" t="s">
        <v>1799</v>
      </c>
      <c r="D4" s="121" t="s">
        <v>1795</v>
      </c>
      <c r="E4" s="121" t="s">
        <v>1774</v>
      </c>
      <c r="F4" s="121" t="s">
        <v>1772</v>
      </c>
      <c r="G4" s="121" t="s">
        <v>1747</v>
      </c>
      <c r="H4" s="121" t="s">
        <v>1739</v>
      </c>
      <c r="I4" s="121" t="s">
        <v>1729</v>
      </c>
      <c r="J4" s="121" t="s">
        <v>1724</v>
      </c>
      <c r="K4" s="121" t="s">
        <v>1712</v>
      </c>
      <c r="L4" s="121" t="s">
        <v>1710</v>
      </c>
      <c r="M4" s="121" t="s">
        <v>1708</v>
      </c>
      <c r="N4" s="121" t="s">
        <v>1706</v>
      </c>
      <c r="O4" s="121" t="s">
        <v>1678</v>
      </c>
      <c r="P4" s="121" t="s">
        <v>1677</v>
      </c>
      <c r="Q4" s="121" t="s">
        <v>1633</v>
      </c>
      <c r="R4" s="121" t="s">
        <v>1360</v>
      </c>
      <c r="S4" s="121" t="s">
        <v>1313</v>
      </c>
      <c r="T4" s="121" t="s">
        <v>1276</v>
      </c>
      <c r="U4" s="121" t="s">
        <v>886</v>
      </c>
      <c r="V4" s="121" t="s">
        <v>866</v>
      </c>
      <c r="W4" s="121" t="s">
        <v>802</v>
      </c>
      <c r="X4" s="121" t="s">
        <v>754</v>
      </c>
      <c r="Y4" s="121" t="s">
        <v>742</v>
      </c>
      <c r="Z4" s="8" t="s">
        <v>576</v>
      </c>
      <c r="AA4" s="121"/>
      <c r="AB4" s="121"/>
      <c r="AC4" s="44"/>
    </row>
    <row r="5" spans="1:30">
      <c r="A5" s="6"/>
      <c r="B5" s="9" t="s">
        <v>574</v>
      </c>
      <c r="C5" s="16">
        <v>19504669</v>
      </c>
      <c r="D5" s="16">
        <v>18761659</v>
      </c>
      <c r="E5" s="16">
        <v>18761659</v>
      </c>
      <c r="F5" s="16">
        <v>18341433</v>
      </c>
      <c r="G5" s="16">
        <v>18270526</v>
      </c>
      <c r="H5" s="16">
        <v>16921183</v>
      </c>
      <c r="I5" s="16">
        <v>16840685</v>
      </c>
      <c r="J5" s="16">
        <v>16707785</v>
      </c>
      <c r="K5" s="16">
        <v>16707785</v>
      </c>
      <c r="L5" s="16">
        <v>16568717</v>
      </c>
      <c r="M5" s="16">
        <v>16485080</v>
      </c>
      <c r="N5" s="16">
        <v>16136603</v>
      </c>
      <c r="O5" s="16">
        <v>16136603</v>
      </c>
      <c r="P5" s="16">
        <f>15804270</f>
        <v>15804270</v>
      </c>
      <c r="Q5" s="16">
        <v>16665751</v>
      </c>
      <c r="R5" s="16">
        <v>16399053</v>
      </c>
      <c r="S5" s="16">
        <v>16399053</v>
      </c>
      <c r="T5" s="16">
        <v>17374274</v>
      </c>
      <c r="U5" s="16">
        <v>16622335</v>
      </c>
      <c r="V5" s="16">
        <v>16119531</v>
      </c>
      <c r="W5" s="16">
        <v>16488896</v>
      </c>
      <c r="X5" s="16">
        <v>14234059</v>
      </c>
      <c r="Y5" s="16">
        <v>12794542</v>
      </c>
      <c r="Z5" s="7"/>
      <c r="AA5" s="118"/>
      <c r="AB5" s="118"/>
      <c r="AC5" s="16"/>
    </row>
    <row r="6" spans="1:30">
      <c r="A6" s="37">
        <v>0.05</v>
      </c>
      <c r="B6" s="807" t="s">
        <v>1707</v>
      </c>
      <c r="C6" s="544">
        <f t="shared" ref="C6:D6" si="0">ROUND(-C5*$A$6,0)</f>
        <v>-975233</v>
      </c>
      <c r="D6" s="544">
        <f t="shared" si="0"/>
        <v>-938083</v>
      </c>
      <c r="E6" s="544">
        <f t="shared" ref="E6:F6" si="1">ROUND(-E5*$A$6,0)</f>
        <v>-938083</v>
      </c>
      <c r="F6" s="544">
        <f t="shared" si="1"/>
        <v>-917072</v>
      </c>
      <c r="G6" s="544">
        <v>-913526</v>
      </c>
      <c r="H6" s="544">
        <f t="shared" ref="H6:I6" si="2">ROUND(-H5*$A$6,0)</f>
        <v>-846059</v>
      </c>
      <c r="I6" s="544">
        <f t="shared" si="2"/>
        <v>-842034</v>
      </c>
      <c r="J6" s="544">
        <f t="shared" ref="J6:L6" si="3">ROUND(-J5*$A$6,0)</f>
        <v>-835389</v>
      </c>
      <c r="K6" s="544">
        <f t="shared" si="3"/>
        <v>-835389</v>
      </c>
      <c r="L6" s="544">
        <f t="shared" si="3"/>
        <v>-828436</v>
      </c>
      <c r="M6" s="544">
        <f t="shared" ref="M6:Y6" si="4">ROUND(-M5*$A$6,0)</f>
        <v>-824254</v>
      </c>
      <c r="N6" s="544">
        <f t="shared" si="4"/>
        <v>-806830</v>
      </c>
      <c r="O6" s="544">
        <f t="shared" si="4"/>
        <v>-806830</v>
      </c>
      <c r="P6" s="544">
        <f t="shared" si="4"/>
        <v>-790214</v>
      </c>
      <c r="Q6" s="544">
        <f t="shared" si="4"/>
        <v>-833288</v>
      </c>
      <c r="R6" s="544">
        <f t="shared" si="4"/>
        <v>-819953</v>
      </c>
      <c r="S6" s="544">
        <f t="shared" si="4"/>
        <v>-819953</v>
      </c>
      <c r="T6" s="544">
        <f t="shared" si="4"/>
        <v>-868714</v>
      </c>
      <c r="U6" s="544">
        <f t="shared" si="4"/>
        <v>-831117</v>
      </c>
      <c r="V6" s="10">
        <f t="shared" si="4"/>
        <v>-805977</v>
      </c>
      <c r="W6" s="10">
        <f t="shared" si="4"/>
        <v>-824445</v>
      </c>
      <c r="X6" s="10">
        <f t="shared" si="4"/>
        <v>-711703</v>
      </c>
      <c r="Y6" s="10">
        <f t="shared" si="4"/>
        <v>-639727</v>
      </c>
      <c r="AA6" s="10"/>
      <c r="AB6" s="10"/>
      <c r="AC6" s="10"/>
    </row>
    <row r="7" spans="1:30">
      <c r="A7" s="7"/>
      <c r="B7" s="543" t="s">
        <v>1726</v>
      </c>
      <c r="C7" s="545">
        <f>ROUND(C6*0.5,0)</f>
        <v>-487617</v>
      </c>
      <c r="D7" s="545">
        <f>ROUND(D6*0.5,0)</f>
        <v>-469042</v>
      </c>
      <c r="E7" s="545">
        <f>ROUND(E6*0.5,0)</f>
        <v>-469042</v>
      </c>
      <c r="F7" s="545">
        <f>ROUND(F6*0.5,0)</f>
        <v>-458536</v>
      </c>
      <c r="G7" s="545">
        <v>-456763</v>
      </c>
      <c r="H7" s="545">
        <f>ROUND(H6*0.5,0)</f>
        <v>-423030</v>
      </c>
      <c r="I7" s="545">
        <f>ROUND(I6*0.5,0)</f>
        <v>-421017</v>
      </c>
      <c r="J7" s="545">
        <f>ROUND(J6*0.5,0)</f>
        <v>-417695</v>
      </c>
      <c r="K7" s="545">
        <f>ROUND(K6*0.4,0)</f>
        <v>-334156</v>
      </c>
      <c r="L7" s="545">
        <f>ROUND(L6*0.4,0)</f>
        <v>-331374</v>
      </c>
      <c r="M7" s="545">
        <f>ROUND(M6*0.5,0)</f>
        <v>-412127</v>
      </c>
      <c r="N7" s="545">
        <f t="shared" ref="N7:O7" si="5">ROUND(N6*0.6,0)</f>
        <v>-484098</v>
      </c>
      <c r="O7" s="545">
        <f t="shared" si="5"/>
        <v>-484098</v>
      </c>
      <c r="P7" s="545">
        <f t="shared" ref="P7:U7" si="6">ROUND(P6*0.6,0)</f>
        <v>-474128</v>
      </c>
      <c r="Q7" s="545">
        <f t="shared" si="6"/>
        <v>-499973</v>
      </c>
      <c r="R7" s="545">
        <f t="shared" si="6"/>
        <v>-491972</v>
      </c>
      <c r="S7" s="545">
        <f t="shared" si="6"/>
        <v>-491972</v>
      </c>
      <c r="T7" s="545">
        <f t="shared" si="6"/>
        <v>-521228</v>
      </c>
      <c r="U7" s="545">
        <f t="shared" si="6"/>
        <v>-498670</v>
      </c>
      <c r="V7" s="10"/>
      <c r="W7" s="10"/>
      <c r="X7" s="10"/>
      <c r="Y7" s="10"/>
      <c r="Z7" s="37"/>
      <c r="AA7" s="10"/>
      <c r="AB7" s="10"/>
      <c r="AC7" s="10"/>
    </row>
    <row r="8" spans="1:30">
      <c r="A8" s="7"/>
      <c r="B8" s="543" t="s">
        <v>1727</v>
      </c>
      <c r="C8" s="545">
        <f>ROUND(C6*0.5,0)</f>
        <v>-487617</v>
      </c>
      <c r="D8" s="545">
        <f>ROUND(D6*0.5,0)</f>
        <v>-469042</v>
      </c>
      <c r="E8" s="545">
        <f>ROUND(E6*0.5,0)</f>
        <v>-469042</v>
      </c>
      <c r="F8" s="545">
        <f>ROUND(F6*0.5,0)</f>
        <v>-458536</v>
      </c>
      <c r="G8" s="545">
        <v>-456763</v>
      </c>
      <c r="H8" s="545">
        <f>ROUND(H6*0.5,0)</f>
        <v>-423030</v>
      </c>
      <c r="I8" s="545">
        <f>ROUND(I6*0.5,0)</f>
        <v>-421017</v>
      </c>
      <c r="J8" s="545">
        <f>ROUND(J6*0.5,0)</f>
        <v>-417695</v>
      </c>
      <c r="K8" s="545">
        <f>ROUND(K6*0.6,0)</f>
        <v>-501233</v>
      </c>
      <c r="L8" s="545">
        <f>ROUND(L6*0.6,0)</f>
        <v>-497062</v>
      </c>
      <c r="M8" s="545">
        <f>ROUND(M6*0.5,0)</f>
        <v>-412127</v>
      </c>
      <c r="N8" s="545">
        <f t="shared" ref="N8:O8" si="7">ROUND(N6*0.4,0)</f>
        <v>-322732</v>
      </c>
      <c r="O8" s="545">
        <f t="shared" si="7"/>
        <v>-322732</v>
      </c>
      <c r="P8" s="545">
        <f t="shared" ref="P8:U8" si="8">ROUND(P6*0.4,0)</f>
        <v>-316086</v>
      </c>
      <c r="Q8" s="545">
        <f t="shared" si="8"/>
        <v>-333315</v>
      </c>
      <c r="R8" s="545">
        <f t="shared" si="8"/>
        <v>-327981</v>
      </c>
      <c r="S8" s="545">
        <f t="shared" si="8"/>
        <v>-327981</v>
      </c>
      <c r="T8" s="545">
        <f t="shared" si="8"/>
        <v>-347486</v>
      </c>
      <c r="U8" s="545">
        <f t="shared" si="8"/>
        <v>-332447</v>
      </c>
      <c r="V8" s="10"/>
      <c r="W8" s="10"/>
      <c r="X8" s="10"/>
      <c r="Y8" s="10"/>
      <c r="Z8" s="37"/>
      <c r="AA8" s="10"/>
      <c r="AB8" s="10"/>
      <c r="AC8" s="10"/>
    </row>
    <row r="9" spans="1:30">
      <c r="A9" s="11"/>
      <c r="B9" s="40" t="s">
        <v>702</v>
      </c>
      <c r="C9" s="41">
        <f t="shared" ref="C9:D9" si="9">SUM(C5:C6)</f>
        <v>18529436</v>
      </c>
      <c r="D9" s="41">
        <f t="shared" si="9"/>
        <v>17823576</v>
      </c>
      <c r="E9" s="41">
        <f t="shared" ref="E9:F9" si="10">SUM(E5:E6)</f>
        <v>17823576</v>
      </c>
      <c r="F9" s="41">
        <f t="shared" si="10"/>
        <v>17424361</v>
      </c>
      <c r="G9" s="41">
        <v>17357000</v>
      </c>
      <c r="H9" s="41">
        <f t="shared" ref="H9:I9" si="11">SUM(H5:H6)</f>
        <v>16075124</v>
      </c>
      <c r="I9" s="41">
        <f t="shared" si="11"/>
        <v>15998651</v>
      </c>
      <c r="J9" s="41">
        <f t="shared" ref="J9:P9" si="12">SUM(J5:J6)</f>
        <v>15872396</v>
      </c>
      <c r="K9" s="41">
        <f t="shared" si="12"/>
        <v>15872396</v>
      </c>
      <c r="L9" s="41">
        <f t="shared" si="12"/>
        <v>15740281</v>
      </c>
      <c r="M9" s="41">
        <f t="shared" si="12"/>
        <v>15660826</v>
      </c>
      <c r="N9" s="41">
        <f t="shared" si="12"/>
        <v>15329773</v>
      </c>
      <c r="O9" s="41">
        <f t="shared" si="12"/>
        <v>15329773</v>
      </c>
      <c r="P9" s="41">
        <f t="shared" si="12"/>
        <v>15014056</v>
      </c>
      <c r="Q9" s="41">
        <f t="shared" ref="Q9:Y9" si="13">SUM(Q5:Q6)</f>
        <v>15832463</v>
      </c>
      <c r="R9" s="41">
        <f t="shared" si="13"/>
        <v>15579100</v>
      </c>
      <c r="S9" s="41">
        <f t="shared" si="13"/>
        <v>15579100</v>
      </c>
      <c r="T9" s="41">
        <f t="shared" si="13"/>
        <v>16505560</v>
      </c>
      <c r="U9" s="41">
        <f t="shared" si="13"/>
        <v>15791218</v>
      </c>
      <c r="V9" s="41">
        <f t="shared" si="13"/>
        <v>15313554</v>
      </c>
      <c r="W9" s="41">
        <f t="shared" si="13"/>
        <v>15664451</v>
      </c>
      <c r="X9" s="41">
        <f t="shared" si="13"/>
        <v>13522356</v>
      </c>
      <c r="Y9" s="41">
        <f t="shared" si="13"/>
        <v>12154815</v>
      </c>
      <c r="Z9" s="43"/>
      <c r="AA9" s="41"/>
      <c r="AB9" s="41"/>
      <c r="AC9" s="41"/>
      <c r="AD9" s="2"/>
    </row>
    <row r="10" spans="1:30">
      <c r="A10" t="s">
        <v>719</v>
      </c>
      <c r="B10" s="9" t="s">
        <v>586</v>
      </c>
      <c r="C10" s="10">
        <f>-C5*$A$11</f>
        <v>-2925700.35</v>
      </c>
      <c r="D10" s="10">
        <f>-D5*$A$11</f>
        <v>-2814248.85</v>
      </c>
      <c r="E10" s="10">
        <f>-E5*$A$11</f>
        <v>-2814248.85</v>
      </c>
      <c r="F10" s="10">
        <f>-F5*$A$11</f>
        <v>-2751214.9499999997</v>
      </c>
      <c r="G10" s="10">
        <v>-2740578.9</v>
      </c>
      <c r="H10" s="10">
        <f>-H5*$A$11</f>
        <v>-2538177.4499999997</v>
      </c>
      <c r="I10" s="10">
        <f>-I5*$A$11</f>
        <v>-2526102.75</v>
      </c>
      <c r="J10" s="10">
        <f>-J5*$A$11</f>
        <v>-2506167.75</v>
      </c>
      <c r="K10" s="10">
        <f>-K5*$A$11</f>
        <v>-2506167.75</v>
      </c>
      <c r="L10" s="10">
        <f>-M5*A11</f>
        <v>-2472762</v>
      </c>
      <c r="M10" s="10">
        <f>-M5*A11</f>
        <v>-2472762</v>
      </c>
      <c r="N10" s="10">
        <f>-N9*0.15</f>
        <v>-2299465.9499999997</v>
      </c>
      <c r="O10" s="10">
        <f t="shared" ref="O10:P10" si="14">-O9*0.15</f>
        <v>-2299465.9499999997</v>
      </c>
      <c r="P10" s="10">
        <f t="shared" si="14"/>
        <v>-2252108.4</v>
      </c>
      <c r="Q10" s="10">
        <f t="shared" ref="Q10:Y10" si="15">-Q9*0.15</f>
        <v>-2374869.4499999997</v>
      </c>
      <c r="R10" s="10">
        <f t="shared" si="15"/>
        <v>-2336865</v>
      </c>
      <c r="S10" s="10">
        <f t="shared" si="15"/>
        <v>-2336865</v>
      </c>
      <c r="T10" s="10">
        <f t="shared" si="15"/>
        <v>-2475834</v>
      </c>
      <c r="U10" s="10">
        <f t="shared" si="15"/>
        <v>-2368682.6999999997</v>
      </c>
      <c r="V10" s="10">
        <f t="shared" si="15"/>
        <v>-2297033.1</v>
      </c>
      <c r="W10" s="10">
        <f t="shared" si="15"/>
        <v>-2349667.65</v>
      </c>
      <c r="X10" s="10">
        <f t="shared" si="15"/>
        <v>-2028353.4</v>
      </c>
      <c r="Y10" s="10">
        <f t="shared" si="15"/>
        <v>-1823222.25</v>
      </c>
      <c r="Z10" s="22">
        <v>0.15</v>
      </c>
      <c r="AA10" s="10"/>
      <c r="AB10" s="10"/>
      <c r="AC10" s="10"/>
    </row>
    <row r="11" spans="1:30">
      <c r="A11" s="37">
        <v>0.15</v>
      </c>
      <c r="B11" s="11" t="s">
        <v>589</v>
      </c>
      <c r="C11" s="11"/>
      <c r="D11" s="11"/>
      <c r="E11" s="11"/>
      <c r="F11" s="11"/>
      <c r="G11" s="11"/>
      <c r="H11" s="11"/>
      <c r="I11" s="11"/>
      <c r="J11" s="1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42"/>
      <c r="AA11" s="17"/>
      <c r="AB11" s="17"/>
      <c r="AC11" s="17"/>
    </row>
    <row r="12" spans="1:30">
      <c r="B12" s="9"/>
      <c r="C12" s="108">
        <f>SUM(C9:C10)</f>
        <v>15603735.65</v>
      </c>
      <c r="D12" s="108">
        <f>SUM(D9:D10)</f>
        <v>15009327.15</v>
      </c>
      <c r="E12" s="108">
        <f>SUM(E9:E10)</f>
        <v>15009327.15</v>
      </c>
      <c r="F12" s="108">
        <f>SUM(F9:F10)</f>
        <v>14673146.050000001</v>
      </c>
      <c r="G12" s="108">
        <v>14616421.1</v>
      </c>
      <c r="H12" s="108">
        <f t="shared" ref="H12:I12" si="16">SUM(H9:H10)</f>
        <v>13536946.550000001</v>
      </c>
      <c r="I12" s="108">
        <f t="shared" si="16"/>
        <v>13472548.25</v>
      </c>
      <c r="J12" s="108">
        <f t="shared" ref="J12:P12" si="17">SUM(J9:J10)</f>
        <v>13366228.25</v>
      </c>
      <c r="K12" s="108">
        <f t="shared" si="17"/>
        <v>13366228.25</v>
      </c>
      <c r="L12" s="108">
        <f t="shared" si="17"/>
        <v>13267519</v>
      </c>
      <c r="M12" s="108">
        <f t="shared" si="17"/>
        <v>13188064</v>
      </c>
      <c r="N12" s="108">
        <f t="shared" si="17"/>
        <v>13030307.050000001</v>
      </c>
      <c r="O12" s="108">
        <f t="shared" si="17"/>
        <v>13030307.050000001</v>
      </c>
      <c r="P12" s="108">
        <f t="shared" si="17"/>
        <v>12761947.6</v>
      </c>
      <c r="Q12" s="108">
        <f t="shared" ref="Q12:Y12" si="18">SUM(Q9:Q10)</f>
        <v>13457593.550000001</v>
      </c>
      <c r="R12" s="108">
        <f t="shared" si="18"/>
        <v>13242235</v>
      </c>
      <c r="S12" s="108">
        <f t="shared" si="18"/>
        <v>13242235</v>
      </c>
      <c r="T12" s="108">
        <f t="shared" si="18"/>
        <v>14029726</v>
      </c>
      <c r="U12" s="108">
        <f t="shared" si="18"/>
        <v>13422535.300000001</v>
      </c>
      <c r="V12" s="108">
        <f t="shared" si="18"/>
        <v>13016520.9</v>
      </c>
      <c r="W12" s="108">
        <f t="shared" si="18"/>
        <v>13314783.35</v>
      </c>
      <c r="X12" s="108">
        <f t="shared" si="18"/>
        <v>11494002.6</v>
      </c>
      <c r="Y12" s="108">
        <f t="shared" si="18"/>
        <v>10331592.75</v>
      </c>
      <c r="Z12" s="7"/>
      <c r="AA12" s="108"/>
      <c r="AB12" s="108"/>
      <c r="AC12" s="14"/>
      <c r="AD12" s="79"/>
    </row>
    <row r="13" spans="1:30">
      <c r="A13" s="37">
        <v>0.01</v>
      </c>
      <c r="B13" s="40" t="s">
        <v>715</v>
      </c>
      <c r="C13" s="498">
        <v>100000</v>
      </c>
      <c r="D13" s="498">
        <v>100000</v>
      </c>
      <c r="E13" s="498">
        <v>100000</v>
      </c>
      <c r="F13" s="498">
        <v>100000</v>
      </c>
      <c r="G13" s="498">
        <v>100000</v>
      </c>
      <c r="H13" s="498">
        <v>100000</v>
      </c>
      <c r="I13" s="498">
        <v>100000</v>
      </c>
      <c r="J13" s="498">
        <v>100000</v>
      </c>
      <c r="K13" s="498">
        <v>100000</v>
      </c>
      <c r="L13" s="498">
        <f>100000-11128</f>
        <v>88872</v>
      </c>
      <c r="M13" s="498">
        <f>ROUND(M5*A13,0)</f>
        <v>164851</v>
      </c>
      <c r="N13" s="498">
        <f>100000</f>
        <v>100000</v>
      </c>
      <c r="O13" s="498">
        <f>100000</f>
        <v>100000</v>
      </c>
      <c r="P13" s="498">
        <f>100000-1784</f>
        <v>98216</v>
      </c>
      <c r="Q13" s="498">
        <v>100000</v>
      </c>
      <c r="R13" s="498">
        <v>100000</v>
      </c>
      <c r="S13" s="498">
        <v>100000</v>
      </c>
      <c r="T13" s="498">
        <v>100000</v>
      </c>
      <c r="U13" s="498">
        <v>100000</v>
      </c>
      <c r="V13" s="67">
        <v>344500</v>
      </c>
      <c r="W13" s="67">
        <v>337000</v>
      </c>
      <c r="X13" s="67">
        <v>315100</v>
      </c>
      <c r="Y13" s="67">
        <f>'Allocation 2007-08'!F6+'Allocation 2007-08'!G6</f>
        <v>520650</v>
      </c>
      <c r="Z13" s="7"/>
      <c r="AA13" s="106"/>
      <c r="AB13" s="106"/>
      <c r="AC13" s="106"/>
      <c r="AD13" s="79"/>
    </row>
    <row r="14" spans="1:30">
      <c r="A14" s="6"/>
      <c r="B14" s="40" t="s">
        <v>716</v>
      </c>
      <c r="C14" s="106">
        <f>C9-C13</f>
        <v>18429436</v>
      </c>
      <c r="D14" s="106">
        <f>D9-D13</f>
        <v>17723576</v>
      </c>
      <c r="E14" s="106">
        <f>E9-E13</f>
        <v>17723576</v>
      </c>
      <c r="F14" s="106">
        <f>F9-F13</f>
        <v>17324361</v>
      </c>
      <c r="G14" s="106">
        <v>17257000</v>
      </c>
      <c r="H14" s="106">
        <f>H9-H13</f>
        <v>15975124</v>
      </c>
      <c r="I14" s="106">
        <f>I9-I13</f>
        <v>15898651</v>
      </c>
      <c r="J14" s="106">
        <f>J9-J13</f>
        <v>15772396</v>
      </c>
      <c r="K14" s="106">
        <f>K9-K13</f>
        <v>15772396</v>
      </c>
      <c r="L14" s="106">
        <f>L9-100000</f>
        <v>15640281</v>
      </c>
      <c r="M14" s="106">
        <f>M9-M13</f>
        <v>15495975</v>
      </c>
      <c r="N14" s="106">
        <f>N9-N13</f>
        <v>15229773</v>
      </c>
      <c r="O14" s="106">
        <f>O9-O13</f>
        <v>15229773</v>
      </c>
      <c r="P14" s="106">
        <f>P9-P13</f>
        <v>14915840</v>
      </c>
      <c r="Q14" s="106">
        <f t="shared" ref="Q14:Y14" si="19">Q9-Q13</f>
        <v>15732463</v>
      </c>
      <c r="R14" s="106">
        <f t="shared" si="19"/>
        <v>15479100</v>
      </c>
      <c r="S14" s="106">
        <f t="shared" si="19"/>
        <v>15479100</v>
      </c>
      <c r="T14" s="106">
        <f t="shared" si="19"/>
        <v>16405560</v>
      </c>
      <c r="U14" s="106">
        <f t="shared" si="19"/>
        <v>15691218</v>
      </c>
      <c r="V14" s="106">
        <f t="shared" si="19"/>
        <v>14969054</v>
      </c>
      <c r="W14" s="106">
        <f t="shared" si="19"/>
        <v>15327451</v>
      </c>
      <c r="X14" s="106">
        <f t="shared" si="19"/>
        <v>13207256</v>
      </c>
      <c r="Y14" s="106">
        <f t="shared" si="19"/>
        <v>11634165</v>
      </c>
      <c r="Z14" s="7"/>
      <c r="AA14" s="106"/>
      <c r="AB14" s="106"/>
      <c r="AC14" s="106"/>
      <c r="AD14" s="79"/>
    </row>
    <row r="15" spans="1:30">
      <c r="A15" s="6"/>
      <c r="B15" s="543" t="s">
        <v>1343</v>
      </c>
      <c r="C15" s="543"/>
      <c r="D15" s="543"/>
      <c r="E15" s="543"/>
      <c r="F15" s="543"/>
      <c r="G15" s="543"/>
      <c r="H15" s="543"/>
      <c r="I15" s="543"/>
      <c r="J15" s="543"/>
      <c r="K15" s="106"/>
      <c r="L15" s="106"/>
      <c r="M15" s="106"/>
      <c r="N15" s="106"/>
      <c r="O15" s="106">
        <v>0</v>
      </c>
      <c r="P15" s="106">
        <v>0</v>
      </c>
      <c r="Q15" s="106">
        <v>0</v>
      </c>
      <c r="R15" s="106">
        <v>787874</v>
      </c>
      <c r="S15" s="106">
        <v>787874</v>
      </c>
      <c r="T15" s="106"/>
      <c r="U15" s="106"/>
      <c r="V15" s="106"/>
      <c r="W15" s="106"/>
      <c r="X15" s="106"/>
      <c r="Y15" s="106"/>
      <c r="Z15" s="7"/>
      <c r="AA15" s="106"/>
      <c r="AB15" s="106"/>
      <c r="AC15" s="106"/>
      <c r="AD15" s="79"/>
    </row>
    <row r="16" spans="1:30">
      <c r="A16" s="6"/>
      <c r="B16" s="543" t="s">
        <v>1673</v>
      </c>
      <c r="C16" s="106">
        <v>0</v>
      </c>
      <c r="D16" s="106">
        <v>0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-297000</v>
      </c>
      <c r="M16" s="106">
        <v>0</v>
      </c>
      <c r="N16" s="106">
        <v>0</v>
      </c>
      <c r="O16" s="106">
        <v>0</v>
      </c>
      <c r="P16" s="106">
        <v>400000</v>
      </c>
      <c r="Q16" s="106"/>
      <c r="R16" s="106"/>
      <c r="S16" s="106"/>
      <c r="T16" s="106"/>
      <c r="U16" s="106"/>
      <c r="V16" s="106"/>
      <c r="W16" s="106"/>
      <c r="X16" s="106"/>
      <c r="Y16" s="106"/>
      <c r="Z16" s="7"/>
      <c r="AA16" s="106"/>
      <c r="AB16" s="106"/>
      <c r="AC16" s="106"/>
      <c r="AD16" s="79"/>
    </row>
    <row r="17" spans="1:30">
      <c r="A17" s="6"/>
      <c r="B17" s="543" t="s">
        <v>1675</v>
      </c>
      <c r="C17" s="106">
        <v>0</v>
      </c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0</v>
      </c>
      <c r="M17" s="106">
        <v>398693</v>
      </c>
      <c r="N17" s="106">
        <v>841704</v>
      </c>
      <c r="O17" s="106">
        <v>841704</v>
      </c>
      <c r="P17" s="106">
        <v>363000</v>
      </c>
      <c r="Q17" s="106"/>
      <c r="R17" s="106"/>
      <c r="S17" s="106"/>
      <c r="T17" s="106"/>
      <c r="U17" s="106"/>
      <c r="V17" s="106"/>
      <c r="W17" s="106"/>
      <c r="X17" s="106"/>
      <c r="Y17" s="106"/>
      <c r="Z17" s="7"/>
      <c r="AA17" s="106"/>
      <c r="AB17" s="106"/>
      <c r="AC17" s="106"/>
      <c r="AD17" s="79"/>
    </row>
    <row r="18" spans="1:30">
      <c r="A18" s="6"/>
      <c r="B18" s="543" t="s">
        <v>1344</v>
      </c>
      <c r="C18" s="106">
        <f t="shared" ref="C18:D18" si="20">+C14+C15+C16+C17</f>
        <v>18429436</v>
      </c>
      <c r="D18" s="106">
        <f t="shared" si="20"/>
        <v>17723576</v>
      </c>
      <c r="E18" s="106">
        <f t="shared" ref="E18:F18" si="21">+E14+E15+E16+E17</f>
        <v>17723576</v>
      </c>
      <c r="F18" s="106">
        <f t="shared" si="21"/>
        <v>17324361</v>
      </c>
      <c r="G18" s="106">
        <v>17257000</v>
      </c>
      <c r="H18" s="106">
        <f t="shared" ref="H18:I18" si="22">+H14+H15+H16+H17</f>
        <v>15975124</v>
      </c>
      <c r="I18" s="106">
        <f t="shared" si="22"/>
        <v>15898651</v>
      </c>
      <c r="J18" s="106">
        <f t="shared" ref="J18:P18" si="23">+J14+J15+J16+J17</f>
        <v>15772396</v>
      </c>
      <c r="K18" s="106">
        <f t="shared" si="23"/>
        <v>15772396</v>
      </c>
      <c r="L18" s="106">
        <f t="shared" si="23"/>
        <v>15343281</v>
      </c>
      <c r="M18" s="106">
        <f t="shared" si="23"/>
        <v>15894668</v>
      </c>
      <c r="N18" s="106">
        <f t="shared" si="23"/>
        <v>16071477</v>
      </c>
      <c r="O18" s="106">
        <f t="shared" si="23"/>
        <v>16071477</v>
      </c>
      <c r="P18" s="106">
        <f t="shared" si="23"/>
        <v>15678840</v>
      </c>
      <c r="Q18" s="106">
        <f>+Q14+Q15</f>
        <v>15732463</v>
      </c>
      <c r="R18" s="106">
        <f>+R14+R15</f>
        <v>16266974</v>
      </c>
      <c r="S18" s="106">
        <f>+S14+S15</f>
        <v>16266974</v>
      </c>
      <c r="T18" s="106"/>
      <c r="U18" s="106"/>
      <c r="V18" s="106"/>
      <c r="W18" s="106"/>
      <c r="X18" s="106"/>
      <c r="Y18" s="106"/>
      <c r="Z18" s="7"/>
      <c r="AA18" s="106"/>
      <c r="AB18" s="106"/>
      <c r="AC18" s="106"/>
      <c r="AD18" s="79"/>
    </row>
    <row r="19" spans="1:30">
      <c r="A19" s="6"/>
      <c r="B19" s="40" t="s">
        <v>713</v>
      </c>
      <c r="C19" s="15">
        <f>'Allocation 2022-23'!M8</f>
        <v>132001.20000000001</v>
      </c>
      <c r="D19" s="15">
        <f>'Allocation 2021-22'!N8</f>
        <v>260511</v>
      </c>
      <c r="E19" s="15">
        <f>'Allocation 2021-22'!O8</f>
        <v>17723576</v>
      </c>
      <c r="F19" s="15">
        <f>'Allocation 2020-21'!O8</f>
        <v>17324363</v>
      </c>
      <c r="G19" s="15">
        <v>17256998</v>
      </c>
      <c r="H19" s="15">
        <f>'Allocation 2019-20'!O8</f>
        <v>15975121</v>
      </c>
      <c r="I19" s="15">
        <f>'Allocation 2019-20'!O8</f>
        <v>15975121</v>
      </c>
      <c r="J19" s="15">
        <f>'Allocation 2018-19'!O8</f>
        <v>15772396</v>
      </c>
      <c r="K19" s="15">
        <f>'Allocation 2018-19'!O8</f>
        <v>15772396</v>
      </c>
      <c r="L19" s="15">
        <f>'Allocation 2017-18'!O8</f>
        <v>15343280</v>
      </c>
      <c r="M19" s="15">
        <f>'Allocation 2017-18'!O8</f>
        <v>15343280</v>
      </c>
      <c r="N19" s="15">
        <f>'Allocation 2016-17'!O8</f>
        <v>16071477</v>
      </c>
      <c r="O19" s="15">
        <f>'Allocation 2015-16'!O8</f>
        <v>15678834</v>
      </c>
      <c r="P19" s="15">
        <f>'Allocation 2015-16'!O8</f>
        <v>15678834</v>
      </c>
      <c r="Q19" s="15">
        <f>'Allocation 2014-15'!O8</f>
        <v>15732463</v>
      </c>
      <c r="R19" s="15">
        <f>'Allocation 2013-14'!O8</f>
        <v>16266974</v>
      </c>
      <c r="S19" s="15">
        <f>'Allocation 2013-14'!O8</f>
        <v>16266974</v>
      </c>
      <c r="T19" s="15">
        <f>'Allocation 2012-13'!O7</f>
        <v>16415142</v>
      </c>
      <c r="U19" s="15">
        <f>'Allocation 2011-12'!O7</f>
        <v>15691218</v>
      </c>
      <c r="V19" s="15">
        <f>'Allocation 2010-11'!O7</f>
        <v>14969054</v>
      </c>
      <c r="W19" s="15">
        <f>'Allocation 2009-10'!O7</f>
        <v>15327451</v>
      </c>
      <c r="X19" s="15">
        <f>'Allocation 2008-09'!O7</f>
        <v>13207256</v>
      </c>
      <c r="Y19" s="15">
        <f>'Allocation 2007-08'!O6</f>
        <v>11634165</v>
      </c>
      <c r="Z19" s="7"/>
      <c r="AA19" s="119"/>
      <c r="AB19" s="119"/>
    </row>
    <row r="20" spans="1:30">
      <c r="A20" s="6"/>
      <c r="B20" s="40"/>
      <c r="C20" s="40"/>
      <c r="D20" s="40"/>
      <c r="E20" s="40"/>
      <c r="F20" s="40"/>
      <c r="G20" s="40"/>
      <c r="H20" s="40"/>
      <c r="I20" s="40"/>
      <c r="J20" s="40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7"/>
      <c r="AA20" s="119"/>
      <c r="AB20" s="119"/>
    </row>
    <row r="21" spans="1:30" ht="13.5" thickBot="1">
      <c r="A21" s="6"/>
      <c r="B21" s="40" t="s">
        <v>714</v>
      </c>
      <c r="C21" s="107">
        <f>+C19+C20</f>
        <v>132001.20000000001</v>
      </c>
      <c r="D21" s="107">
        <f t="shared" ref="D21" si="24">+D19+D20</f>
        <v>260511</v>
      </c>
      <c r="E21" s="107">
        <f t="shared" ref="E21:F21" si="25">+E19+E20</f>
        <v>17723576</v>
      </c>
      <c r="F21" s="107">
        <f t="shared" si="25"/>
        <v>17324363</v>
      </c>
      <c r="G21" s="107">
        <v>17256998</v>
      </c>
      <c r="H21" s="107">
        <f>+H19+H20</f>
        <v>15975121</v>
      </c>
      <c r="I21" s="107">
        <f t="shared" ref="I21" si="26">+I19+I20</f>
        <v>15975121</v>
      </c>
      <c r="J21" s="107">
        <f t="shared" ref="J21:P21" si="27">+J19+J20</f>
        <v>15772396</v>
      </c>
      <c r="K21" s="107">
        <f t="shared" si="27"/>
        <v>15772396</v>
      </c>
      <c r="L21" s="107">
        <f t="shared" si="27"/>
        <v>15343280</v>
      </c>
      <c r="M21" s="107">
        <f t="shared" si="27"/>
        <v>15343280</v>
      </c>
      <c r="N21" s="107">
        <f t="shared" si="27"/>
        <v>16071477</v>
      </c>
      <c r="O21" s="107">
        <f t="shared" si="27"/>
        <v>15678834</v>
      </c>
      <c r="P21" s="107">
        <f t="shared" si="27"/>
        <v>15678834</v>
      </c>
      <c r="Q21" s="107">
        <f t="shared" ref="Q21:R21" si="28">+Q19+Q20</f>
        <v>15732463</v>
      </c>
      <c r="R21" s="107">
        <f t="shared" si="28"/>
        <v>16266974</v>
      </c>
      <c r="S21" s="107">
        <f t="shared" ref="S21:Y21" si="29">+S19+S20</f>
        <v>16266974</v>
      </c>
      <c r="T21" s="107">
        <f t="shared" si="29"/>
        <v>16415142</v>
      </c>
      <c r="U21" s="107">
        <f t="shared" si="29"/>
        <v>15691218</v>
      </c>
      <c r="V21" s="107">
        <f t="shared" si="29"/>
        <v>14969054</v>
      </c>
      <c r="W21" s="107">
        <f t="shared" si="29"/>
        <v>15327451</v>
      </c>
      <c r="X21" s="107">
        <f t="shared" si="29"/>
        <v>13207256</v>
      </c>
      <c r="Y21" s="107">
        <f t="shared" si="29"/>
        <v>11634165</v>
      </c>
      <c r="Z21" s="7"/>
      <c r="AA21" s="120"/>
      <c r="AB21" s="120"/>
    </row>
    <row r="22" spans="1:30" ht="13.5" thickTop="1">
      <c r="A22" s="6"/>
      <c r="B22" s="40" t="s">
        <v>730</v>
      </c>
      <c r="C22" s="40"/>
      <c r="D22" s="40"/>
      <c r="E22" s="40"/>
      <c r="F22" s="40"/>
      <c r="G22" s="40"/>
      <c r="H22" s="40"/>
      <c r="I22" s="40"/>
      <c r="J22" s="40"/>
      <c r="K22" s="40"/>
      <c r="L22" s="15"/>
      <c r="M22" s="15"/>
      <c r="N22" s="15"/>
      <c r="O22" s="15"/>
      <c r="P22" s="15"/>
      <c r="Q22" s="15"/>
      <c r="R22" s="15"/>
      <c r="S22" s="15">
        <f>V14-V19</f>
        <v>0</v>
      </c>
      <c r="T22" s="15">
        <f>W14-W19</f>
        <v>0</v>
      </c>
      <c r="U22" s="15">
        <f>X14-X19</f>
        <v>0</v>
      </c>
      <c r="V22" s="15">
        <f>Y19-Y14</f>
        <v>0</v>
      </c>
      <c r="W22" s="7"/>
      <c r="X22" s="7"/>
      <c r="Y22" s="7"/>
    </row>
    <row r="23" spans="1:30">
      <c r="A23" s="3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U23" s="82"/>
    </row>
    <row r="24" spans="1:30">
      <c r="A24" s="38" t="s">
        <v>573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</row>
    <row r="25" spans="1:30" s="55" customFormat="1">
      <c r="A25" s="84"/>
      <c r="B25" s="26" t="s">
        <v>697</v>
      </c>
      <c r="C25" s="26"/>
      <c r="D25" s="26"/>
      <c r="E25" s="26"/>
      <c r="F25" s="26"/>
      <c r="G25" s="26"/>
      <c r="H25" s="26"/>
      <c r="I25" s="26"/>
      <c r="J25" s="26"/>
      <c r="K25" s="23"/>
      <c r="L25" s="23"/>
      <c r="M25" s="23"/>
      <c r="N25" s="23"/>
      <c r="O25" s="23"/>
      <c r="P25" s="23"/>
      <c r="Q25" s="23"/>
      <c r="R25" s="23"/>
    </row>
    <row r="26" spans="1:30">
      <c r="A26" s="3"/>
      <c r="B26" s="21" t="s">
        <v>580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 t="s">
        <v>581</v>
      </c>
      <c r="P26" s="21"/>
      <c r="Q26" s="21"/>
      <c r="R26" s="21"/>
      <c r="S26" s="590" t="s">
        <v>1299</v>
      </c>
      <c r="T26" s="623">
        <v>15804270</v>
      </c>
    </row>
    <row r="27" spans="1:30">
      <c r="A27" s="3"/>
      <c r="B27" s="7" t="s">
        <v>584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590" t="s">
        <v>1300</v>
      </c>
      <c r="T27" s="622">
        <f>ROUND(T26*0.0662,0)</f>
        <v>1046243</v>
      </c>
    </row>
    <row r="28" spans="1:30">
      <c r="A28" s="3"/>
      <c r="B28" s="7" t="s">
        <v>687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590" t="s">
        <v>1301</v>
      </c>
      <c r="T28" s="622">
        <f>+T26-T27</f>
        <v>14758027</v>
      </c>
    </row>
    <row r="29" spans="1:30">
      <c r="A29" s="3"/>
      <c r="B29" s="23" t="s">
        <v>585</v>
      </c>
      <c r="C29" s="23"/>
      <c r="D29" s="23"/>
      <c r="E29" s="23"/>
      <c r="F29" s="23"/>
      <c r="G29" s="23"/>
      <c r="H29" s="23"/>
      <c r="I29" s="23"/>
      <c r="J29" s="23"/>
      <c r="K29" s="7"/>
      <c r="L29" s="7"/>
      <c r="M29" s="7"/>
      <c r="N29" s="7"/>
      <c r="O29" s="7"/>
      <c r="P29" s="7"/>
      <c r="Q29" s="7"/>
      <c r="R29" s="7"/>
      <c r="S29" s="590" t="s">
        <v>1302</v>
      </c>
      <c r="T29" s="623">
        <f>ROUND(T28*-0.05,0)</f>
        <v>-737901</v>
      </c>
    </row>
    <row r="30" spans="1:30">
      <c r="A30" s="3"/>
      <c r="B30" s="23"/>
      <c r="C30" s="23"/>
      <c r="D30" s="23"/>
      <c r="E30" s="23"/>
      <c r="F30" s="23"/>
      <c r="G30" s="23"/>
      <c r="H30" s="23"/>
      <c r="I30" s="23"/>
      <c r="J30" s="23"/>
      <c r="K30" s="7"/>
      <c r="L30" s="7"/>
      <c r="M30" s="7"/>
      <c r="N30" s="7"/>
      <c r="O30" s="7"/>
      <c r="P30" s="7"/>
      <c r="Q30" s="7"/>
      <c r="R30" s="7"/>
      <c r="S30" s="590" t="s">
        <v>702</v>
      </c>
      <c r="T30" s="624">
        <f>+T28+T29</f>
        <v>14020126</v>
      </c>
    </row>
    <row r="31" spans="1:30">
      <c r="A31" s="3"/>
      <c r="B31" s="23" t="s">
        <v>587</v>
      </c>
      <c r="C31" s="23"/>
      <c r="D31" s="23"/>
      <c r="E31" s="23"/>
      <c r="F31" s="23"/>
      <c r="G31" s="23"/>
      <c r="H31" s="23"/>
      <c r="I31" s="23"/>
      <c r="J31" s="23"/>
      <c r="K31" s="7"/>
      <c r="L31" s="7"/>
      <c r="M31" s="7"/>
      <c r="N31" s="7"/>
      <c r="O31" s="7"/>
      <c r="P31" s="7"/>
      <c r="Q31" s="7"/>
      <c r="R31" s="7"/>
      <c r="S31" s="590" t="s">
        <v>1303</v>
      </c>
      <c r="T31" s="623">
        <v>-100000</v>
      </c>
    </row>
    <row r="32" spans="1:30" ht="15">
      <c r="A32" s="3"/>
      <c r="B32" s="23" t="s">
        <v>707</v>
      </c>
      <c r="C32" s="23"/>
      <c r="D32" s="23"/>
      <c r="E32" s="23"/>
      <c r="F32" s="23"/>
      <c r="G32" s="23"/>
      <c r="H32" s="23"/>
      <c r="I32" s="23"/>
      <c r="J32" s="23"/>
      <c r="K32" s="7"/>
      <c r="L32" s="7"/>
      <c r="M32" s="7"/>
      <c r="N32" s="7"/>
      <c r="O32" s="7"/>
      <c r="P32" s="7"/>
      <c r="Q32" s="7"/>
      <c r="R32" s="7"/>
      <c r="S32" s="625" t="s">
        <v>1304</v>
      </c>
      <c r="T32" s="626">
        <f>T30+T31</f>
        <v>13920126</v>
      </c>
      <c r="V32" s="167"/>
    </row>
    <row r="33" spans="1:22">
      <c r="A33" s="3"/>
      <c r="B33" s="23" t="s">
        <v>706</v>
      </c>
      <c r="C33" s="23"/>
      <c r="D33" s="23"/>
      <c r="E33" s="23"/>
      <c r="F33" s="23"/>
      <c r="G33" s="23"/>
      <c r="H33" s="23"/>
      <c r="I33" s="23"/>
      <c r="J33" s="23"/>
      <c r="K33" s="7"/>
      <c r="L33" s="7"/>
      <c r="M33" s="7"/>
      <c r="N33" s="7"/>
      <c r="O33" s="7"/>
      <c r="P33" s="7"/>
      <c r="Q33" s="7"/>
      <c r="R33" s="7"/>
      <c r="V33" s="167"/>
    </row>
    <row r="34" spans="1:22">
      <c r="A34" s="3"/>
      <c r="B34" s="23" t="s">
        <v>590</v>
      </c>
      <c r="C34" s="23"/>
      <c r="D34" s="23"/>
      <c r="E34" s="23"/>
      <c r="F34" s="23"/>
      <c r="G34" s="23"/>
      <c r="H34" s="23"/>
      <c r="I34" s="23"/>
      <c r="J34" s="23"/>
      <c r="K34" s="7"/>
      <c r="L34" s="7"/>
      <c r="M34" s="7"/>
      <c r="N34" s="7"/>
      <c r="O34" s="7"/>
      <c r="P34" s="7"/>
      <c r="Q34" s="7"/>
      <c r="R34" s="7"/>
      <c r="V34" s="167"/>
    </row>
    <row r="35" spans="1:22">
      <c r="A35" s="3"/>
      <c r="B35" s="23" t="s">
        <v>688</v>
      </c>
      <c r="C35" s="23"/>
      <c r="D35" s="23"/>
      <c r="E35" s="23"/>
      <c r="F35" s="23"/>
      <c r="G35" s="23"/>
      <c r="H35" s="23"/>
      <c r="I35" s="23"/>
      <c r="J35" s="23"/>
      <c r="K35" s="7"/>
      <c r="L35" s="7"/>
      <c r="M35" s="7"/>
      <c r="N35" s="7"/>
      <c r="O35" s="7"/>
      <c r="P35" s="7"/>
      <c r="Q35" s="7"/>
      <c r="R35" s="7"/>
      <c r="V35" s="167"/>
    </row>
    <row r="36" spans="1:22">
      <c r="A36" s="3"/>
      <c r="B36" s="23" t="s">
        <v>695</v>
      </c>
      <c r="C36" s="23"/>
      <c r="D36" s="23"/>
      <c r="E36" s="23"/>
      <c r="F36" s="23"/>
      <c r="G36" s="23"/>
      <c r="H36" s="23"/>
      <c r="I36" s="23"/>
      <c r="J36" s="23"/>
      <c r="K36" s="7"/>
      <c r="L36" s="7"/>
      <c r="M36" s="7"/>
      <c r="N36" s="7"/>
      <c r="O36" s="7"/>
      <c r="P36" s="7"/>
      <c r="Q36" s="7"/>
      <c r="R36" s="7"/>
      <c r="V36" s="167"/>
    </row>
    <row r="37" spans="1:22" ht="15.75">
      <c r="A37" s="3"/>
      <c r="B37" s="26" t="s">
        <v>696</v>
      </c>
      <c r="C37" s="26"/>
      <c r="D37" s="26"/>
      <c r="E37" s="26"/>
      <c r="F37" s="26"/>
      <c r="G37" s="26"/>
      <c r="H37" s="26"/>
      <c r="I37" s="26"/>
      <c r="J37" s="26"/>
      <c r="K37" s="7"/>
      <c r="L37" s="7"/>
      <c r="M37" s="7"/>
      <c r="N37" s="7"/>
      <c r="O37" s="7"/>
      <c r="P37" s="7"/>
      <c r="Q37" s="7"/>
      <c r="R37" s="7"/>
      <c r="V37" s="168"/>
    </row>
    <row r="38" spans="1:22">
      <c r="A38" s="3"/>
      <c r="B38" s="23" t="s">
        <v>588</v>
      </c>
      <c r="C38" s="23"/>
      <c r="D38" s="23"/>
      <c r="E38" s="23"/>
      <c r="F38" s="23"/>
      <c r="G38" s="23"/>
      <c r="H38" s="23"/>
      <c r="I38" s="23"/>
      <c r="J38" s="23"/>
      <c r="K38" s="7"/>
      <c r="L38" s="7"/>
      <c r="M38" s="7"/>
      <c r="N38" s="7"/>
      <c r="O38" s="7"/>
      <c r="P38" s="7"/>
      <c r="Q38" s="7"/>
      <c r="R38" s="7"/>
      <c r="V38" s="169"/>
    </row>
    <row r="39" spans="1:22">
      <c r="A39" s="3"/>
      <c r="B39" s="23" t="s">
        <v>708</v>
      </c>
      <c r="C39" s="23"/>
      <c r="D39" s="23"/>
      <c r="E39" s="23"/>
      <c r="F39" s="23"/>
      <c r="G39" s="23"/>
      <c r="H39" s="23"/>
      <c r="I39" s="23"/>
      <c r="J39" s="23"/>
      <c r="K39" s="7"/>
      <c r="L39" s="7"/>
      <c r="M39" s="7"/>
      <c r="N39" s="7"/>
      <c r="O39" s="7"/>
      <c r="P39" s="7"/>
      <c r="Q39" s="7"/>
      <c r="R39" s="7"/>
      <c r="V39" s="169"/>
    </row>
    <row r="40" spans="1:22">
      <c r="A40" s="3"/>
      <c r="B40" s="23" t="s">
        <v>689</v>
      </c>
      <c r="C40" s="23"/>
      <c r="D40" s="23"/>
      <c r="E40" s="23"/>
      <c r="F40" s="23"/>
      <c r="G40" s="23"/>
      <c r="H40" s="23"/>
      <c r="I40" s="23"/>
      <c r="J40" s="23"/>
      <c r="K40" s="7"/>
      <c r="L40" s="7"/>
      <c r="M40" s="7"/>
      <c r="N40" s="7"/>
      <c r="O40" s="7"/>
      <c r="P40" s="7"/>
      <c r="Q40" s="7"/>
      <c r="R40" s="7"/>
    </row>
    <row r="41" spans="1:22">
      <c r="A41" s="3"/>
      <c r="B41" s="23" t="s">
        <v>690</v>
      </c>
      <c r="C41" s="23"/>
      <c r="D41" s="23"/>
      <c r="E41" s="23"/>
      <c r="F41" s="23"/>
      <c r="G41" s="23"/>
      <c r="H41" s="23"/>
      <c r="I41" s="23"/>
      <c r="J41" s="23"/>
      <c r="K41" s="7"/>
      <c r="L41" s="7"/>
      <c r="M41" s="7"/>
      <c r="N41" s="7"/>
      <c r="O41" s="7"/>
      <c r="P41" s="7"/>
      <c r="Q41" s="7"/>
      <c r="R41" s="7"/>
    </row>
    <row r="42" spans="1:22">
      <c r="A42" s="3"/>
      <c r="B42" s="23"/>
      <c r="C42" s="23"/>
      <c r="D42" s="23"/>
      <c r="E42" s="23"/>
      <c r="F42" s="23"/>
      <c r="G42" s="23"/>
      <c r="H42" s="23"/>
      <c r="I42" s="23"/>
      <c r="J42" s="23"/>
      <c r="K42" s="7"/>
      <c r="L42" s="7"/>
      <c r="M42" s="7"/>
      <c r="N42" s="7"/>
      <c r="O42" s="7"/>
      <c r="P42" s="7"/>
      <c r="Q42" s="7"/>
      <c r="R42" s="7"/>
      <c r="V42" s="167"/>
    </row>
    <row r="43" spans="1:22">
      <c r="A43" s="3"/>
      <c r="K43" s="57" t="s">
        <v>873</v>
      </c>
      <c r="L43" s="57" t="s">
        <v>873</v>
      </c>
      <c r="M43" s="57" t="s">
        <v>873</v>
      </c>
      <c r="N43" s="57" t="s">
        <v>873</v>
      </c>
      <c r="O43" s="57" t="s">
        <v>874</v>
      </c>
      <c r="P43" s="7"/>
      <c r="Q43" s="7"/>
      <c r="R43" s="7"/>
      <c r="V43" s="167"/>
    </row>
    <row r="44" spans="1:22">
      <c r="A44" s="3"/>
      <c r="B44" s="670" t="s">
        <v>1337</v>
      </c>
      <c r="C44" s="670"/>
      <c r="D44" s="670"/>
      <c r="E44" s="670"/>
      <c r="F44" s="670"/>
      <c r="G44" s="670"/>
      <c r="H44" s="670"/>
      <c r="I44" s="670"/>
      <c r="J44" s="670"/>
      <c r="K44" s="52"/>
      <c r="L44" s="52"/>
      <c r="M44" s="52"/>
      <c r="N44" s="52"/>
      <c r="O44" s="52"/>
      <c r="P44" s="7"/>
      <c r="Q44" t="s">
        <v>875</v>
      </c>
      <c r="V44" s="167"/>
    </row>
    <row r="45" spans="1:22">
      <c r="A45" s="3"/>
      <c r="B45" s="671" t="s">
        <v>1338</v>
      </c>
      <c r="C45" s="671"/>
      <c r="D45" s="671"/>
      <c r="E45" s="671"/>
      <c r="F45" s="671"/>
      <c r="G45" s="671"/>
      <c r="H45" s="671"/>
      <c r="I45" s="671"/>
      <c r="J45" s="671"/>
      <c r="K45" s="94"/>
      <c r="L45" s="94"/>
      <c r="M45" s="94"/>
      <c r="N45" s="94"/>
      <c r="O45" s="94"/>
      <c r="P45" s="7"/>
      <c r="V45" s="167"/>
    </row>
    <row r="46" spans="1:22">
      <c r="A46" s="3"/>
      <c r="B46" s="671" t="s">
        <v>1339</v>
      </c>
      <c r="C46" s="671"/>
      <c r="D46" s="671"/>
      <c r="E46" s="671"/>
      <c r="F46" s="671"/>
      <c r="G46" s="671"/>
      <c r="H46" s="671"/>
      <c r="I46" s="671"/>
      <c r="J46" s="671"/>
      <c r="K46" s="94"/>
      <c r="L46" s="94"/>
      <c r="M46" s="94"/>
      <c r="N46" s="94"/>
      <c r="O46" s="94"/>
      <c r="P46" s="7"/>
      <c r="Q46" s="7"/>
      <c r="R46" s="7"/>
      <c r="V46" s="167"/>
    </row>
    <row r="47" spans="1:22">
      <c r="A47" s="3"/>
      <c r="B47" s="475"/>
      <c r="C47" s="475"/>
      <c r="D47" s="475"/>
      <c r="E47" s="475"/>
      <c r="F47" s="475"/>
      <c r="G47" s="475"/>
      <c r="H47" s="475"/>
      <c r="I47" s="475"/>
      <c r="J47" s="475"/>
      <c r="K47" s="94"/>
      <c r="L47" s="94"/>
      <c r="M47" s="94"/>
      <c r="N47" s="94"/>
      <c r="O47" s="94"/>
      <c r="P47" s="7"/>
      <c r="Q47" s="7"/>
      <c r="R47" s="7"/>
      <c r="V47" s="167"/>
    </row>
    <row r="48" spans="1:22">
      <c r="A48" s="3"/>
      <c r="B48" s="23"/>
      <c r="C48" s="23"/>
      <c r="D48" s="23"/>
      <c r="E48" s="23"/>
      <c r="F48" s="23"/>
      <c r="G48" s="23"/>
      <c r="H48" s="23"/>
      <c r="I48" s="23"/>
      <c r="J48" s="23"/>
      <c r="K48" s="7"/>
      <c r="L48" s="7"/>
      <c r="M48" s="7"/>
      <c r="N48" s="7"/>
      <c r="O48" s="7"/>
      <c r="P48" s="7"/>
      <c r="Q48" s="7"/>
      <c r="R48" s="7"/>
      <c r="V48" s="167"/>
    </row>
    <row r="49" spans="1:24">
      <c r="A49" s="38" t="s">
        <v>582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V49" s="167"/>
    </row>
    <row r="50" spans="1:24">
      <c r="A50" s="3"/>
      <c r="B50" s="7" t="s">
        <v>583</v>
      </c>
      <c r="C50" s="7"/>
      <c r="D50" s="7"/>
      <c r="E50" s="7"/>
      <c r="F50" s="7"/>
      <c r="G50" s="7"/>
      <c r="H50" s="7"/>
      <c r="I50" s="7"/>
      <c r="J50" s="7"/>
      <c r="K50" s="95"/>
      <c r="L50" s="95"/>
      <c r="M50" s="95"/>
      <c r="N50" s="95"/>
      <c r="O50" s="891" t="s">
        <v>691</v>
      </c>
      <c r="P50" s="891"/>
      <c r="Q50" s="7"/>
      <c r="R50" s="7"/>
      <c r="V50" s="167"/>
    </row>
    <row r="51" spans="1:24">
      <c r="A51" s="3"/>
      <c r="B51" s="7" t="s">
        <v>692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24" ht="15.75">
      <c r="A52" s="3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V52" s="168"/>
    </row>
    <row r="53" spans="1:24">
      <c r="A53" s="1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V53" s="169"/>
    </row>
    <row r="54" spans="1:24">
      <c r="V54" s="169"/>
      <c r="X54" s="55"/>
    </row>
    <row r="55" spans="1:24">
      <c r="V55" s="169"/>
    </row>
    <row r="56" spans="1:24">
      <c r="V56" s="169"/>
    </row>
    <row r="57" spans="1:24">
      <c r="V57" s="169"/>
    </row>
    <row r="58" spans="1:24" ht="15.75">
      <c r="V58" s="170"/>
    </row>
    <row r="59" spans="1:24">
      <c r="V59" s="171"/>
    </row>
    <row r="60" spans="1:24">
      <c r="V60" s="171"/>
    </row>
    <row r="61" spans="1:24">
      <c r="V61" s="171"/>
    </row>
    <row r="64" spans="1:24">
      <c r="V64" s="167"/>
    </row>
    <row r="65" spans="22:23">
      <c r="V65" s="167"/>
    </row>
    <row r="66" spans="22:23">
      <c r="V66" s="167"/>
    </row>
    <row r="67" spans="22:23">
      <c r="V67" s="167"/>
    </row>
    <row r="69" spans="22:23" ht="15.75">
      <c r="V69" s="168"/>
    </row>
    <row r="70" spans="22:23">
      <c r="V70" s="169"/>
    </row>
    <row r="71" spans="22:23" ht="13.5" thickBot="1">
      <c r="V71" s="169"/>
    </row>
    <row r="72" spans="22:23" ht="13.5" thickBot="1">
      <c r="V72" s="172"/>
      <c r="W72" s="173"/>
    </row>
    <row r="73" spans="22:23" ht="13.5" thickBot="1">
      <c r="V73" s="174"/>
      <c r="W73" s="175"/>
    </row>
    <row r="74" spans="22:23" ht="13.5" thickBot="1">
      <c r="V74" s="174"/>
      <c r="W74" s="175"/>
    </row>
    <row r="75" spans="22:23" ht="13.5" thickBot="1">
      <c r="V75" s="174"/>
      <c r="W75" s="175"/>
    </row>
  </sheetData>
  <mergeCells count="2">
    <mergeCell ref="O50:P50"/>
    <mergeCell ref="A1:Q1"/>
  </mergeCells>
  <phoneticPr fontId="0" type="noConversion"/>
  <dataValidations disablePrompts="1" count="1">
    <dataValidation type="list" allowBlank="1" showInputMessage="1" showErrorMessage="1" sqref="Q44" xr:uid="{00000000-0002-0000-0200-000000000000}">
      <formula1>"Preliminary, Final"</formula1>
    </dataValidation>
  </dataValidations>
  <pageMargins left="0.75" right="0.75" top="0.17" bottom="0.17" header="0.17" footer="0.17"/>
  <pageSetup scale="45" orientation="landscape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00000"/>
  </sheetPr>
  <dimension ref="A1:K368"/>
  <sheetViews>
    <sheetView topLeftCell="A157" workbookViewId="0">
      <selection activeCell="AH28" sqref="AH28"/>
    </sheetView>
  </sheetViews>
  <sheetFormatPr defaultRowHeight="12.75"/>
  <cols>
    <col min="2" max="2" width="19.5703125" bestFit="1" customWidth="1"/>
    <col min="3" max="3" width="14.85546875" customWidth="1"/>
    <col min="5" max="5" width="51.140625" bestFit="1" customWidth="1"/>
    <col min="11" max="11" width="5.85546875" customWidth="1"/>
  </cols>
  <sheetData>
    <row r="1" spans="1:10" ht="15">
      <c r="A1" s="772">
        <v>1</v>
      </c>
      <c r="B1" s="772">
        <f t="shared" ref="B1:C1" si="0">+A1+1</f>
        <v>2</v>
      </c>
      <c r="C1" s="773">
        <f t="shared" si="0"/>
        <v>3</v>
      </c>
    </row>
    <row r="2" spans="1:10" ht="15.75" thickBot="1">
      <c r="A2" s="774" t="s">
        <v>1790</v>
      </c>
      <c r="B2" s="775"/>
      <c r="C2" s="774"/>
    </row>
    <row r="3" spans="1:10" ht="15.75" thickBot="1">
      <c r="A3" s="776" t="s">
        <v>592</v>
      </c>
      <c r="B3" s="777" t="s">
        <v>578</v>
      </c>
      <c r="C3" s="778" t="s">
        <v>1367</v>
      </c>
    </row>
    <row r="4" spans="1:10" ht="15">
      <c r="A4" s="779" t="s">
        <v>895</v>
      </c>
      <c r="B4" s="779" t="s">
        <v>1368</v>
      </c>
      <c r="C4" s="780">
        <f>SUM(C5:C321)</f>
        <v>126347.76999999996</v>
      </c>
      <c r="D4" s="825"/>
      <c r="E4" s="825"/>
      <c r="J4" s="839"/>
    </row>
    <row r="5" spans="1:10" ht="15">
      <c r="A5" s="781" t="s">
        <v>132</v>
      </c>
      <c r="B5" s="781" t="s">
        <v>1429</v>
      </c>
      <c r="C5" s="752">
        <v>392.66</v>
      </c>
      <c r="D5" s="825"/>
      <c r="E5" s="825"/>
      <c r="J5" s="839"/>
    </row>
    <row r="6" spans="1:10" ht="15">
      <c r="A6" s="781" t="s">
        <v>262</v>
      </c>
      <c r="B6" s="781" t="s">
        <v>1485</v>
      </c>
      <c r="C6" s="752">
        <v>0</v>
      </c>
      <c r="D6" s="825"/>
      <c r="E6" s="825"/>
      <c r="J6" s="839"/>
    </row>
    <row r="7" spans="1:10" ht="15">
      <c r="A7" s="781" t="s">
        <v>283</v>
      </c>
      <c r="B7" s="781" t="s">
        <v>1495</v>
      </c>
      <c r="C7" s="752">
        <v>0</v>
      </c>
      <c r="D7" s="825"/>
      <c r="E7" s="825"/>
      <c r="J7" s="839"/>
    </row>
    <row r="8" spans="1:10" ht="15">
      <c r="A8" s="781" t="s">
        <v>380</v>
      </c>
      <c r="B8" s="781" t="s">
        <v>1541</v>
      </c>
      <c r="C8" s="752">
        <v>48.67</v>
      </c>
      <c r="D8" s="825"/>
      <c r="E8" s="825"/>
      <c r="J8" s="839"/>
    </row>
    <row r="9" spans="1:10" ht="15">
      <c r="A9" s="781" t="s">
        <v>403</v>
      </c>
      <c r="B9" s="781" t="s">
        <v>1552</v>
      </c>
      <c r="C9" s="752">
        <v>268.33999999999997</v>
      </c>
      <c r="D9" s="825"/>
      <c r="E9" s="825"/>
      <c r="J9" s="839"/>
    </row>
    <row r="10" spans="1:10" ht="15">
      <c r="A10" s="781" t="s">
        <v>12</v>
      </c>
      <c r="B10" s="781" t="s">
        <v>1374</v>
      </c>
      <c r="C10" s="752">
        <v>0</v>
      </c>
      <c r="D10" s="825"/>
      <c r="E10" s="825"/>
      <c r="J10" s="839"/>
    </row>
    <row r="11" spans="1:10" ht="15">
      <c r="A11" s="781" t="s">
        <v>195</v>
      </c>
      <c r="B11" s="781" t="s">
        <v>1362</v>
      </c>
      <c r="C11" s="752">
        <v>3655.5</v>
      </c>
      <c r="D11" s="825"/>
      <c r="E11" s="825"/>
      <c r="J11" s="839"/>
    </row>
    <row r="12" spans="1:10" ht="15">
      <c r="A12" s="781" t="s">
        <v>213</v>
      </c>
      <c r="B12" s="781" t="s">
        <v>1463</v>
      </c>
      <c r="C12" s="752">
        <v>48.17</v>
      </c>
      <c r="D12" s="825"/>
      <c r="E12" s="825"/>
      <c r="J12" s="839"/>
    </row>
    <row r="13" spans="1:10" ht="15">
      <c r="A13" s="781" t="s">
        <v>62</v>
      </c>
      <c r="B13" s="781" t="s">
        <v>1396</v>
      </c>
      <c r="C13" s="752">
        <v>755.17</v>
      </c>
      <c r="D13" s="825"/>
      <c r="E13" s="825"/>
      <c r="J13" s="839"/>
    </row>
    <row r="14" spans="1:10" ht="15">
      <c r="A14" s="781" t="s">
        <v>189</v>
      </c>
      <c r="B14" s="781" t="s">
        <v>1455</v>
      </c>
      <c r="C14" s="752">
        <v>2999.5</v>
      </c>
      <c r="D14" s="825"/>
      <c r="E14" s="825"/>
      <c r="J14" s="839"/>
    </row>
    <row r="15" spans="1:10" ht="15">
      <c r="A15" s="781" t="s">
        <v>504</v>
      </c>
      <c r="B15" s="781" t="s">
        <v>628</v>
      </c>
      <c r="C15" s="752">
        <v>805.34</v>
      </c>
      <c r="D15" s="825"/>
      <c r="E15" s="825"/>
      <c r="J15" s="839"/>
    </row>
    <row r="16" spans="1:10" ht="15">
      <c r="A16" s="781" t="s">
        <v>2</v>
      </c>
      <c r="B16" s="781" t="s">
        <v>1370</v>
      </c>
      <c r="C16" s="752">
        <v>0</v>
      </c>
      <c r="D16" s="825"/>
      <c r="E16" s="825"/>
      <c r="J16" s="839"/>
    </row>
    <row r="17" spans="1:11" ht="15">
      <c r="A17" s="781" t="s">
        <v>363</v>
      </c>
      <c r="B17" s="781" t="s">
        <v>1531</v>
      </c>
      <c r="C17" s="752">
        <v>1087.33</v>
      </c>
      <c r="D17" s="825"/>
      <c r="E17" s="825"/>
      <c r="J17" s="839"/>
    </row>
    <row r="18" spans="1:11" ht="15">
      <c r="A18" s="781" t="s">
        <v>234</v>
      </c>
      <c r="B18" s="781" t="s">
        <v>1473</v>
      </c>
      <c r="C18" s="752">
        <v>0</v>
      </c>
      <c r="D18" s="825"/>
      <c r="E18" s="825"/>
      <c r="J18" s="839"/>
    </row>
    <row r="19" spans="1:11" ht="15">
      <c r="A19" s="781" t="s">
        <v>508</v>
      </c>
      <c r="B19" s="781" t="s">
        <v>1603</v>
      </c>
      <c r="C19" s="752">
        <v>90.66</v>
      </c>
      <c r="D19" s="825"/>
      <c r="E19" s="825"/>
      <c r="J19" s="839"/>
    </row>
    <row r="20" spans="1:11" ht="15">
      <c r="A20" s="781" t="s">
        <v>266</v>
      </c>
      <c r="B20" s="781" t="s">
        <v>1487</v>
      </c>
      <c r="C20" s="752">
        <v>5.16</v>
      </c>
      <c r="D20" s="825"/>
      <c r="E20" s="825"/>
      <c r="J20" s="839"/>
    </row>
    <row r="21" spans="1:11" ht="15">
      <c r="A21" s="781" t="s">
        <v>211</v>
      </c>
      <c r="B21" s="781" t="s">
        <v>1462</v>
      </c>
      <c r="C21" s="752">
        <v>443.84</v>
      </c>
      <c r="D21" s="825"/>
      <c r="E21" s="825"/>
      <c r="J21" s="839"/>
    </row>
    <row r="22" spans="1:11" ht="15">
      <c r="A22" s="781" t="s">
        <v>315</v>
      </c>
      <c r="B22" s="781" t="s">
        <v>1510</v>
      </c>
      <c r="C22" s="752">
        <v>346.66</v>
      </c>
      <c r="D22" s="825"/>
      <c r="E22" s="825"/>
      <c r="J22" s="839"/>
    </row>
    <row r="23" spans="1:11" ht="15">
      <c r="A23" s="781" t="s">
        <v>84</v>
      </c>
      <c r="B23" s="781" t="s">
        <v>1406</v>
      </c>
      <c r="C23" s="752">
        <v>378.5</v>
      </c>
      <c r="D23" s="825"/>
      <c r="E23" s="825"/>
      <c r="J23" s="839"/>
    </row>
    <row r="24" spans="1:11" ht="15">
      <c r="A24" s="781" t="s">
        <v>165</v>
      </c>
      <c r="B24" s="781" t="s">
        <v>1444</v>
      </c>
      <c r="C24" s="752">
        <v>0</v>
      </c>
      <c r="D24" s="825"/>
      <c r="E24" s="825"/>
      <c r="J24" s="839"/>
    </row>
    <row r="25" spans="1:11" ht="15">
      <c r="A25" s="781" t="s">
        <v>378</v>
      </c>
      <c r="B25" s="781" t="s">
        <v>629</v>
      </c>
      <c r="C25" s="752">
        <v>723.66</v>
      </c>
      <c r="D25" s="825"/>
      <c r="E25" s="825"/>
      <c r="J25" s="839"/>
    </row>
    <row r="26" spans="1:11" ht="15">
      <c r="A26" s="781" t="s">
        <v>60</v>
      </c>
      <c r="B26" s="781" t="s">
        <v>1395</v>
      </c>
      <c r="C26" s="752">
        <v>188</v>
      </c>
      <c r="D26" s="825"/>
      <c r="E26" s="825"/>
      <c r="J26" s="839"/>
    </row>
    <row r="27" spans="1:11" ht="15">
      <c r="A27" s="781" t="s">
        <v>45</v>
      </c>
      <c r="B27" s="781" t="s">
        <v>1388</v>
      </c>
      <c r="C27" s="752">
        <v>0</v>
      </c>
      <c r="D27" s="825"/>
      <c r="E27" s="825"/>
      <c r="J27" s="839"/>
    </row>
    <row r="28" spans="1:11" ht="15">
      <c r="A28" s="781" t="s">
        <v>347</v>
      </c>
      <c r="B28" s="781" t="s">
        <v>1525</v>
      </c>
      <c r="C28" s="752">
        <v>0</v>
      </c>
      <c r="D28" s="825"/>
      <c r="E28" s="825"/>
      <c r="J28" s="839"/>
    </row>
    <row r="29" spans="1:11" ht="15">
      <c r="A29" s="781" t="s">
        <v>35</v>
      </c>
      <c r="B29" s="781" t="s">
        <v>1383</v>
      </c>
      <c r="C29" s="752">
        <v>145.33000000000001</v>
      </c>
      <c r="D29" s="825"/>
      <c r="E29" s="825"/>
      <c r="J29" s="843"/>
      <c r="K29" s="848"/>
    </row>
    <row r="30" spans="1:11" ht="15">
      <c r="A30" s="781" t="s">
        <v>1751</v>
      </c>
      <c r="B30" s="781" t="s">
        <v>1780</v>
      </c>
      <c r="C30" s="752">
        <v>0</v>
      </c>
      <c r="D30" s="825"/>
      <c r="E30" s="825"/>
      <c r="J30" s="839"/>
    </row>
    <row r="31" spans="1:11" ht="15">
      <c r="A31" s="781" t="s">
        <v>33</v>
      </c>
      <c r="B31" s="781" t="s">
        <v>878</v>
      </c>
      <c r="C31" s="752">
        <v>208.67</v>
      </c>
      <c r="D31" s="825"/>
      <c r="E31" s="825"/>
      <c r="J31" s="839"/>
    </row>
    <row r="32" spans="1:11" ht="15">
      <c r="A32" s="781" t="s">
        <v>74</v>
      </c>
      <c r="B32" s="781" t="s">
        <v>1401</v>
      </c>
      <c r="C32" s="752">
        <v>25</v>
      </c>
      <c r="D32" s="825"/>
      <c r="E32" s="825"/>
      <c r="J32" s="839"/>
    </row>
    <row r="33" spans="1:10" ht="15">
      <c r="A33" s="781" t="s">
        <v>1753</v>
      </c>
      <c r="B33" s="781" t="s">
        <v>1781</v>
      </c>
      <c r="C33" s="752">
        <v>5</v>
      </c>
      <c r="D33" s="825"/>
      <c r="E33" s="825"/>
      <c r="J33" s="839"/>
    </row>
    <row r="34" spans="1:10" ht="15">
      <c r="A34" s="781" t="s">
        <v>236</v>
      </c>
      <c r="B34" s="781" t="s">
        <v>1474</v>
      </c>
      <c r="C34" s="752">
        <v>0</v>
      </c>
      <c r="D34" s="825"/>
      <c r="E34" s="825"/>
      <c r="J34" s="839"/>
    </row>
    <row r="35" spans="1:10" ht="15">
      <c r="A35" s="781" t="s">
        <v>216</v>
      </c>
      <c r="B35" s="781" t="s">
        <v>1464</v>
      </c>
      <c r="C35" s="752">
        <v>364.17</v>
      </c>
      <c r="D35" s="825"/>
      <c r="E35" s="825"/>
      <c r="J35" s="839"/>
    </row>
    <row r="36" spans="1:10" ht="15">
      <c r="A36" s="781" t="s">
        <v>434</v>
      </c>
      <c r="B36" s="781" t="s">
        <v>1568</v>
      </c>
      <c r="C36" s="752">
        <v>481.67</v>
      </c>
      <c r="D36" s="825"/>
      <c r="E36" s="825"/>
      <c r="J36" s="839"/>
    </row>
    <row r="37" spans="1:10" ht="15">
      <c r="A37" s="781" t="s">
        <v>278</v>
      </c>
      <c r="B37" s="781" t="s">
        <v>622</v>
      </c>
      <c r="C37" s="752">
        <v>439</v>
      </c>
      <c r="D37" s="825"/>
      <c r="E37" s="825"/>
      <c r="J37" s="839"/>
    </row>
    <row r="38" spans="1:10" ht="15">
      <c r="A38" s="781" t="s">
        <v>274</v>
      </c>
      <c r="B38" s="781" t="s">
        <v>1491</v>
      </c>
      <c r="C38" s="752">
        <v>116.67</v>
      </c>
      <c r="D38" s="825"/>
      <c r="E38" s="825"/>
      <c r="J38" s="839"/>
    </row>
    <row r="39" spans="1:10" ht="15">
      <c r="A39" s="782" t="s">
        <v>438</v>
      </c>
      <c r="B39" s="781" t="s">
        <v>1570</v>
      </c>
      <c r="C39" s="752">
        <v>202.83</v>
      </c>
      <c r="D39" s="825"/>
      <c r="E39" s="825"/>
      <c r="J39" s="782"/>
    </row>
    <row r="40" spans="1:10" ht="15">
      <c r="A40" s="781" t="s">
        <v>450</v>
      </c>
      <c r="B40" s="781" t="s">
        <v>1577</v>
      </c>
      <c r="C40" s="752">
        <v>0</v>
      </c>
      <c r="D40" s="825"/>
      <c r="E40" s="825"/>
      <c r="J40" s="839"/>
    </row>
    <row r="41" spans="1:10" ht="15">
      <c r="A41" s="781" t="s">
        <v>169</v>
      </c>
      <c r="B41" s="781" t="s">
        <v>1446</v>
      </c>
      <c r="C41" s="752">
        <v>11</v>
      </c>
      <c r="D41" s="825"/>
      <c r="E41" s="825"/>
      <c r="J41" s="839"/>
    </row>
    <row r="42" spans="1:10" ht="15">
      <c r="A42" s="781" t="s">
        <v>10</v>
      </c>
      <c r="B42" s="781" t="s">
        <v>1373</v>
      </c>
      <c r="C42" s="752">
        <v>16.170000000000002</v>
      </c>
      <c r="D42" s="825"/>
      <c r="E42" s="825"/>
      <c r="J42" s="839"/>
    </row>
    <row r="43" spans="1:10" ht="15">
      <c r="A43" s="781" t="s">
        <v>230</v>
      </c>
      <c r="B43" s="781" t="s">
        <v>1471</v>
      </c>
      <c r="C43" s="752">
        <v>17.329999999999998</v>
      </c>
      <c r="D43" s="825"/>
      <c r="E43" s="825"/>
      <c r="J43" s="839"/>
    </row>
    <row r="44" spans="1:10" ht="15">
      <c r="A44" s="781" t="s">
        <v>357</v>
      </c>
      <c r="B44" s="781" t="s">
        <v>1530</v>
      </c>
      <c r="C44" s="752">
        <v>1590.5</v>
      </c>
      <c r="D44" s="825"/>
      <c r="E44" s="825"/>
      <c r="J44" s="839"/>
    </row>
    <row r="45" spans="1:10" ht="15">
      <c r="A45" s="781" t="s">
        <v>525</v>
      </c>
      <c r="B45" s="781" t="s">
        <v>1611</v>
      </c>
      <c r="C45" s="752">
        <v>0</v>
      </c>
      <c r="D45" s="825"/>
      <c r="E45" s="825"/>
      <c r="J45" s="839"/>
    </row>
    <row r="46" spans="1:10" ht="15">
      <c r="A46" s="781" t="s">
        <v>494</v>
      </c>
      <c r="B46" s="781" t="s">
        <v>1597</v>
      </c>
      <c r="C46" s="752">
        <v>309.16000000000003</v>
      </c>
      <c r="D46" s="825"/>
      <c r="E46" s="825"/>
      <c r="J46" s="839"/>
    </row>
    <row r="47" spans="1:10" ht="15">
      <c r="A47" s="781" t="s">
        <v>533</v>
      </c>
      <c r="B47" s="781" t="s">
        <v>1615</v>
      </c>
      <c r="C47" s="752">
        <v>0</v>
      </c>
      <c r="D47" s="825"/>
      <c r="E47" s="825"/>
      <c r="J47" s="839"/>
    </row>
    <row r="48" spans="1:10" ht="15">
      <c r="A48" s="781" t="s">
        <v>464</v>
      </c>
      <c r="B48" s="781" t="s">
        <v>1584</v>
      </c>
      <c r="C48" s="752">
        <v>0</v>
      </c>
      <c r="D48" s="825"/>
      <c r="E48" s="825"/>
      <c r="J48" s="839"/>
    </row>
    <row r="49" spans="1:10" ht="15">
      <c r="A49" s="781" t="s">
        <v>498</v>
      </c>
      <c r="B49" s="781" t="s">
        <v>1599</v>
      </c>
      <c r="C49" s="752">
        <v>114.17</v>
      </c>
      <c r="D49" s="825"/>
      <c r="E49" s="825"/>
      <c r="J49" s="839"/>
    </row>
    <row r="50" spans="1:10" ht="15">
      <c r="A50" s="781" t="s">
        <v>456</v>
      </c>
      <c r="B50" s="781" t="s">
        <v>1580</v>
      </c>
      <c r="C50" s="752">
        <v>12.67</v>
      </c>
      <c r="D50" s="825"/>
      <c r="E50" s="825"/>
      <c r="J50" s="839"/>
    </row>
    <row r="51" spans="1:10" ht="15">
      <c r="A51" s="781" t="s">
        <v>376</v>
      </c>
      <c r="B51" s="781" t="s">
        <v>1540</v>
      </c>
      <c r="C51" s="752">
        <v>1.67</v>
      </c>
      <c r="D51" s="825"/>
      <c r="E51" s="825"/>
      <c r="J51" s="839"/>
    </row>
    <row r="52" spans="1:10" ht="15">
      <c r="A52" s="781" t="s">
        <v>384</v>
      </c>
      <c r="B52" s="781" t="s">
        <v>1543</v>
      </c>
      <c r="C52" s="752">
        <v>30</v>
      </c>
      <c r="D52" s="825"/>
      <c r="E52" s="825"/>
      <c r="J52" s="839"/>
    </row>
    <row r="53" spans="1:10" ht="15">
      <c r="A53" s="781" t="s">
        <v>147</v>
      </c>
      <c r="B53" s="781" t="s">
        <v>1435</v>
      </c>
      <c r="C53" s="752">
        <v>3</v>
      </c>
      <c r="D53" s="825"/>
      <c r="E53" s="825"/>
      <c r="J53" s="839"/>
    </row>
    <row r="54" spans="1:10" ht="15">
      <c r="A54" s="781" t="s">
        <v>120</v>
      </c>
      <c r="B54" s="781" t="s">
        <v>1423</v>
      </c>
      <c r="C54" s="752">
        <v>0</v>
      </c>
      <c r="D54" s="825"/>
      <c r="E54" s="825"/>
      <c r="J54" s="839"/>
    </row>
    <row r="55" spans="1:10" ht="15">
      <c r="A55" s="781" t="s">
        <v>159</v>
      </c>
      <c r="B55" s="781" t="s">
        <v>1441</v>
      </c>
      <c r="C55" s="752">
        <v>26.5</v>
      </c>
      <c r="D55" s="825"/>
      <c r="E55" s="825"/>
      <c r="J55" s="839"/>
    </row>
    <row r="56" spans="1:10" ht="15">
      <c r="A56" s="781" t="s">
        <v>41</v>
      </c>
      <c r="B56" s="781" t="s">
        <v>1386</v>
      </c>
      <c r="C56" s="752">
        <v>0</v>
      </c>
      <c r="D56" s="825"/>
      <c r="E56" s="825"/>
      <c r="J56" s="839"/>
    </row>
    <row r="57" spans="1:10" ht="15">
      <c r="A57" s="781" t="s">
        <v>285</v>
      </c>
      <c r="B57" s="781" t="s">
        <v>1496</v>
      </c>
      <c r="C57" s="752">
        <v>0</v>
      </c>
      <c r="D57" s="825"/>
      <c r="E57" s="825"/>
      <c r="J57" s="839"/>
    </row>
    <row r="58" spans="1:10" ht="15">
      <c r="A58" s="781" t="s">
        <v>96</v>
      </c>
      <c r="B58" s="781" t="s">
        <v>1412</v>
      </c>
      <c r="C58" s="752">
        <v>0</v>
      </c>
      <c r="D58" s="825"/>
      <c r="E58" s="825"/>
      <c r="J58" s="839"/>
    </row>
    <row r="59" spans="1:10" ht="15">
      <c r="A59" s="781" t="s">
        <v>338</v>
      </c>
      <c r="B59" s="781" t="s">
        <v>1520</v>
      </c>
      <c r="C59" s="752">
        <v>0</v>
      </c>
      <c r="D59" s="825"/>
      <c r="E59" s="825"/>
      <c r="J59" s="839"/>
    </row>
    <row r="60" spans="1:10" ht="15">
      <c r="A60" s="781" t="s">
        <v>220</v>
      </c>
      <c r="B60" s="781" t="s">
        <v>1466</v>
      </c>
      <c r="C60" s="752">
        <v>0</v>
      </c>
      <c r="D60" s="825"/>
      <c r="E60" s="825"/>
      <c r="J60" s="839"/>
    </row>
    <row r="61" spans="1:10" ht="15">
      <c r="A61" s="781" t="s">
        <v>417</v>
      </c>
      <c r="B61" s="781" t="s">
        <v>1559</v>
      </c>
      <c r="C61" s="752">
        <v>2</v>
      </c>
      <c r="D61" s="825"/>
      <c r="E61" s="825"/>
      <c r="J61" s="839"/>
    </row>
    <row r="62" spans="1:10" ht="15">
      <c r="A62" s="781" t="s">
        <v>293</v>
      </c>
      <c r="B62" s="781" t="s">
        <v>1500</v>
      </c>
      <c r="C62" s="752">
        <v>0</v>
      </c>
      <c r="D62" s="825"/>
      <c r="E62" s="825"/>
      <c r="J62" s="839"/>
    </row>
    <row r="63" spans="1:10" ht="15">
      <c r="A63" s="781" t="s">
        <v>66</v>
      </c>
      <c r="B63" s="781" t="s">
        <v>758</v>
      </c>
      <c r="C63" s="752">
        <v>2</v>
      </c>
      <c r="D63" s="825"/>
      <c r="E63" s="825"/>
      <c r="J63" s="839"/>
    </row>
    <row r="64" spans="1:10" ht="15">
      <c r="A64" s="781" t="s">
        <v>444</v>
      </c>
      <c r="B64" s="781" t="s">
        <v>1574</v>
      </c>
      <c r="C64" s="752">
        <v>23.5</v>
      </c>
      <c r="D64" s="825"/>
      <c r="E64" s="825"/>
      <c r="J64" s="839"/>
    </row>
    <row r="65" spans="1:10" ht="15">
      <c r="A65" s="781" t="s">
        <v>353</v>
      </c>
      <c r="B65" s="781" t="s">
        <v>1528</v>
      </c>
      <c r="C65" s="752">
        <v>69.34</v>
      </c>
      <c r="D65" s="825"/>
      <c r="E65" s="825"/>
      <c r="J65" s="839"/>
    </row>
    <row r="66" spans="1:10" ht="15">
      <c r="A66" s="781" t="s">
        <v>490</v>
      </c>
      <c r="B66" s="781" t="s">
        <v>1596</v>
      </c>
      <c r="C66" s="752">
        <v>0</v>
      </c>
      <c r="D66" s="825"/>
      <c r="E66" s="825"/>
      <c r="J66" s="839"/>
    </row>
    <row r="67" spans="1:10" ht="15">
      <c r="A67" s="781" t="s">
        <v>440</v>
      </c>
      <c r="B67" s="781" t="s">
        <v>1571</v>
      </c>
      <c r="C67" s="752">
        <v>100.67</v>
      </c>
      <c r="D67" s="825"/>
      <c r="E67" s="825"/>
      <c r="J67" s="839"/>
    </row>
    <row r="68" spans="1:10" ht="15">
      <c r="A68" s="781" t="s">
        <v>549</v>
      </c>
      <c r="B68" s="781" t="s">
        <v>1623</v>
      </c>
      <c r="C68" s="752">
        <v>344.83</v>
      </c>
      <c r="D68" s="825"/>
      <c r="E68" s="825"/>
      <c r="J68" s="839"/>
    </row>
    <row r="69" spans="1:10" ht="15">
      <c r="A69" s="781" t="s">
        <v>88</v>
      </c>
      <c r="B69" s="781" t="s">
        <v>1408</v>
      </c>
      <c r="C69" s="752">
        <v>1028.67</v>
      </c>
      <c r="D69" s="825"/>
      <c r="E69" s="825"/>
      <c r="J69" s="839"/>
    </row>
    <row r="70" spans="1:10" ht="15">
      <c r="A70" s="781" t="s">
        <v>222</v>
      </c>
      <c r="B70" s="781" t="s">
        <v>1467</v>
      </c>
      <c r="C70" s="752">
        <v>6.67</v>
      </c>
      <c r="D70" s="825"/>
      <c r="E70" s="825"/>
      <c r="J70" s="839"/>
    </row>
    <row r="71" spans="1:10" ht="15">
      <c r="A71" s="781" t="s">
        <v>365</v>
      </c>
      <c r="B71" s="781" t="s">
        <v>1532</v>
      </c>
      <c r="C71" s="752">
        <v>14.17</v>
      </c>
      <c r="D71" s="825"/>
      <c r="E71" s="825"/>
      <c r="J71" s="839"/>
    </row>
    <row r="72" spans="1:10" ht="15">
      <c r="A72" s="781" t="s">
        <v>401</v>
      </c>
      <c r="B72" s="781" t="s">
        <v>1551</v>
      </c>
      <c r="C72" s="752">
        <v>3057</v>
      </c>
      <c r="D72" s="825"/>
      <c r="E72" s="825"/>
      <c r="J72" s="839"/>
    </row>
    <row r="73" spans="1:10" ht="15">
      <c r="A73" s="781" t="s">
        <v>226</v>
      </c>
      <c r="B73" s="781" t="s">
        <v>1469</v>
      </c>
      <c r="C73" s="752">
        <v>228.83</v>
      </c>
      <c r="D73" s="825"/>
      <c r="E73" s="825"/>
      <c r="J73" s="839"/>
    </row>
    <row r="74" spans="1:10" ht="15">
      <c r="A74" s="781" t="s">
        <v>141</v>
      </c>
      <c r="B74" s="781" t="s">
        <v>1433</v>
      </c>
      <c r="C74" s="752">
        <v>114.83</v>
      </c>
      <c r="D74" s="825"/>
      <c r="E74" s="825"/>
      <c r="J74" s="839"/>
    </row>
    <row r="75" spans="1:10" ht="15">
      <c r="A75" s="781" t="s">
        <v>535</v>
      </c>
      <c r="B75" s="781" t="s">
        <v>1616</v>
      </c>
      <c r="C75" s="752">
        <v>0</v>
      </c>
      <c r="D75" s="825"/>
      <c r="E75" s="825"/>
      <c r="J75" s="839"/>
    </row>
    <row r="76" spans="1:10" ht="15">
      <c r="A76" s="781" t="s">
        <v>29</v>
      </c>
      <c r="B76" s="781" t="s">
        <v>1382</v>
      </c>
      <c r="C76" s="752">
        <v>51.34</v>
      </c>
      <c r="D76" s="825"/>
      <c r="E76" s="825"/>
      <c r="J76" s="839"/>
    </row>
    <row r="77" spans="1:10" ht="15">
      <c r="A77" s="781" t="s">
        <v>177</v>
      </c>
      <c r="B77" s="781" t="s">
        <v>1450</v>
      </c>
      <c r="C77" s="752">
        <v>247</v>
      </c>
      <c r="D77" s="825"/>
      <c r="E77" s="825"/>
      <c r="J77" s="839"/>
    </row>
    <row r="78" spans="1:10" ht="15">
      <c r="A78" s="781" t="s">
        <v>127</v>
      </c>
      <c r="B78" s="781" t="s">
        <v>623</v>
      </c>
      <c r="C78" s="752">
        <v>328.34</v>
      </c>
      <c r="D78" s="825"/>
      <c r="E78" s="825"/>
      <c r="J78" s="839"/>
    </row>
    <row r="79" spans="1:10" ht="15">
      <c r="A79" s="781" t="s">
        <v>1728</v>
      </c>
      <c r="B79" s="781" t="s">
        <v>681</v>
      </c>
      <c r="C79" s="752">
        <v>0</v>
      </c>
      <c r="D79" s="825"/>
      <c r="E79" s="825"/>
      <c r="J79" s="839"/>
    </row>
    <row r="80" spans="1:10" ht="15">
      <c r="A80" s="781" t="s">
        <v>651</v>
      </c>
      <c r="B80" s="781" t="s">
        <v>652</v>
      </c>
      <c r="C80" s="752">
        <v>0</v>
      </c>
      <c r="D80" s="825"/>
      <c r="E80" s="825"/>
      <c r="J80" s="839"/>
    </row>
    <row r="81" spans="1:10" ht="15">
      <c r="A81" s="781" t="s">
        <v>678</v>
      </c>
      <c r="B81" s="781" t="s">
        <v>679</v>
      </c>
      <c r="C81" s="752">
        <v>0</v>
      </c>
      <c r="D81" s="825"/>
      <c r="E81" s="825"/>
      <c r="J81" s="840"/>
    </row>
    <row r="82" spans="1:10" ht="15">
      <c r="A82" s="781" t="s">
        <v>256</v>
      </c>
      <c r="B82" s="781" t="s">
        <v>1483</v>
      </c>
      <c r="C82" s="752">
        <v>2</v>
      </c>
      <c r="D82" s="825"/>
      <c r="E82" s="825"/>
      <c r="J82" s="839"/>
    </row>
    <row r="83" spans="1:10" ht="15">
      <c r="A83" s="781" t="s">
        <v>395</v>
      </c>
      <c r="B83" s="781" t="s">
        <v>635</v>
      </c>
      <c r="C83" s="752">
        <v>2994.67</v>
      </c>
      <c r="D83" s="825"/>
      <c r="E83" s="825"/>
      <c r="J83" s="839"/>
    </row>
    <row r="84" spans="1:10" ht="15">
      <c r="A84" s="781" t="s">
        <v>58</v>
      </c>
      <c r="B84" s="781" t="s">
        <v>1394</v>
      </c>
      <c r="C84" s="752">
        <v>3300</v>
      </c>
      <c r="D84" s="825"/>
      <c r="E84" s="825"/>
      <c r="J84" s="839"/>
    </row>
    <row r="85" spans="1:10" ht="15">
      <c r="A85" s="781" t="s">
        <v>462</v>
      </c>
      <c r="B85" s="781" t="s">
        <v>1583</v>
      </c>
      <c r="C85" s="752">
        <v>0</v>
      </c>
      <c r="D85" s="825"/>
      <c r="E85" s="825"/>
      <c r="J85" s="839"/>
    </row>
    <row r="86" spans="1:10" ht="15">
      <c r="A86" s="781" t="s">
        <v>175</v>
      </c>
      <c r="B86" s="781" t="s">
        <v>1449</v>
      </c>
      <c r="C86" s="752">
        <v>4841.66</v>
      </c>
      <c r="D86" s="825"/>
      <c r="E86" s="825"/>
      <c r="J86" s="839"/>
    </row>
    <row r="87" spans="1:10" ht="15">
      <c r="A87" s="781" t="s">
        <v>506</v>
      </c>
      <c r="B87" s="781" t="s">
        <v>1602</v>
      </c>
      <c r="C87" s="752">
        <v>338.17</v>
      </c>
      <c r="D87" s="825"/>
      <c r="E87" s="825"/>
      <c r="J87" s="839"/>
    </row>
    <row r="88" spans="1:10" ht="15">
      <c r="A88" s="781" t="s">
        <v>369</v>
      </c>
      <c r="B88" s="781" t="s">
        <v>1534</v>
      </c>
      <c r="C88" s="752">
        <v>506</v>
      </c>
      <c r="D88" s="825"/>
      <c r="E88" s="825"/>
      <c r="J88" s="839"/>
    </row>
    <row r="89" spans="1:10" ht="15">
      <c r="A89" s="781" t="s">
        <v>19</v>
      </c>
      <c r="B89" s="781" t="s">
        <v>1377</v>
      </c>
      <c r="C89" s="752">
        <v>181.17</v>
      </c>
      <c r="D89" s="825"/>
      <c r="E89" s="825"/>
      <c r="J89" s="839"/>
    </row>
    <row r="90" spans="1:10" ht="15">
      <c r="A90" s="781" t="s">
        <v>361</v>
      </c>
      <c r="B90" s="781" t="s">
        <v>630</v>
      </c>
      <c r="C90" s="752">
        <v>898</v>
      </c>
      <c r="D90" s="825"/>
      <c r="E90" s="825"/>
      <c r="J90" s="839"/>
    </row>
    <row r="91" spans="1:10" ht="15">
      <c r="A91" s="781" t="s">
        <v>436</v>
      </c>
      <c r="B91" s="781" t="s">
        <v>1569</v>
      </c>
      <c r="C91" s="752">
        <v>0</v>
      </c>
      <c r="D91" s="825"/>
      <c r="E91" s="825"/>
      <c r="J91" s="839"/>
    </row>
    <row r="92" spans="1:10" ht="15">
      <c r="A92" s="781" t="s">
        <v>529</v>
      </c>
      <c r="B92" s="781" t="s">
        <v>1613</v>
      </c>
      <c r="C92" s="752">
        <v>0</v>
      </c>
      <c r="D92" s="825"/>
      <c r="E92" s="825"/>
      <c r="J92" s="839"/>
    </row>
    <row r="93" spans="1:10" ht="15">
      <c r="A93" s="781" t="s">
        <v>240</v>
      </c>
      <c r="B93" s="781" t="s">
        <v>1476</v>
      </c>
      <c r="C93" s="752">
        <v>0</v>
      </c>
      <c r="D93" s="825"/>
      <c r="E93" s="825"/>
      <c r="J93" s="839"/>
    </row>
    <row r="94" spans="1:10" ht="15">
      <c r="A94" s="781" t="s">
        <v>246</v>
      </c>
      <c r="B94" s="781" t="s">
        <v>1479</v>
      </c>
      <c r="C94" s="752">
        <v>52.17</v>
      </c>
      <c r="D94" s="825"/>
      <c r="E94" s="825"/>
      <c r="J94" s="839"/>
    </row>
    <row r="95" spans="1:10" ht="15">
      <c r="A95" s="781" t="s">
        <v>131</v>
      </c>
      <c r="B95" s="781" t="s">
        <v>1428</v>
      </c>
      <c r="C95" s="752">
        <v>0</v>
      </c>
      <c r="D95" s="825"/>
      <c r="E95" s="825"/>
      <c r="J95" s="839"/>
    </row>
    <row r="96" spans="1:10" ht="15">
      <c r="A96" s="781" t="s">
        <v>555</v>
      </c>
      <c r="B96" s="781" t="s">
        <v>1625</v>
      </c>
      <c r="C96" s="752">
        <v>1141.67</v>
      </c>
      <c r="D96" s="825"/>
      <c r="E96" s="825"/>
      <c r="J96" s="839"/>
    </row>
    <row r="97" spans="1:10" ht="15">
      <c r="A97" s="781" t="s">
        <v>563</v>
      </c>
      <c r="B97" s="781" t="s">
        <v>1628</v>
      </c>
      <c r="C97" s="752">
        <v>571.16999999999996</v>
      </c>
      <c r="D97" s="825"/>
      <c r="E97" s="825"/>
      <c r="J97" s="839"/>
    </row>
    <row r="98" spans="1:10" ht="15">
      <c r="A98" s="781" t="s">
        <v>419</v>
      </c>
      <c r="B98" s="781" t="s">
        <v>1560</v>
      </c>
      <c r="C98" s="752">
        <v>63.33</v>
      </c>
      <c r="D98" s="825"/>
      <c r="E98" s="825"/>
      <c r="J98" s="839"/>
    </row>
    <row r="99" spans="1:10" ht="15">
      <c r="A99" s="781" t="s">
        <v>297</v>
      </c>
      <c r="B99" s="781" t="s">
        <v>1502</v>
      </c>
      <c r="C99" s="752">
        <v>0</v>
      </c>
      <c r="D99" s="825"/>
      <c r="E99" s="825"/>
      <c r="J99" s="839"/>
    </row>
    <row r="100" spans="1:10" ht="15">
      <c r="A100" s="781" t="s">
        <v>426</v>
      </c>
      <c r="B100" s="781" t="s">
        <v>1564</v>
      </c>
      <c r="C100" s="752">
        <v>0</v>
      </c>
      <c r="D100" s="825"/>
      <c r="E100" s="825"/>
      <c r="J100" s="839"/>
    </row>
    <row r="101" spans="1:10" ht="15">
      <c r="A101" s="781" t="s">
        <v>1720</v>
      </c>
      <c r="B101" s="781" t="s">
        <v>1789</v>
      </c>
      <c r="C101" s="752">
        <v>22.33</v>
      </c>
      <c r="D101" s="825"/>
      <c r="E101" s="825"/>
      <c r="J101" s="839"/>
    </row>
    <row r="102" spans="1:10" ht="15">
      <c r="A102" s="781" t="s">
        <v>54</v>
      </c>
      <c r="B102" s="781" t="s">
        <v>1393</v>
      </c>
      <c r="C102" s="752">
        <v>1</v>
      </c>
      <c r="D102" s="825"/>
      <c r="E102" s="825"/>
      <c r="J102" s="839"/>
    </row>
    <row r="103" spans="1:10" ht="15">
      <c r="A103" s="781" t="s">
        <v>482</v>
      </c>
      <c r="B103" s="781" t="s">
        <v>1592</v>
      </c>
      <c r="C103" s="752">
        <v>1</v>
      </c>
      <c r="D103" s="825"/>
      <c r="E103" s="825"/>
      <c r="J103" s="839"/>
    </row>
    <row r="104" spans="1:10" ht="15">
      <c r="A104" s="781" t="s">
        <v>291</v>
      </c>
      <c r="B104" s="781" t="s">
        <v>1499</v>
      </c>
      <c r="C104" s="752">
        <v>0</v>
      </c>
      <c r="D104" s="825"/>
      <c r="E104" s="825"/>
      <c r="J104" s="839"/>
    </row>
    <row r="105" spans="1:10" ht="15">
      <c r="A105" s="781" t="s">
        <v>561</v>
      </c>
      <c r="B105" s="781" t="s">
        <v>1627</v>
      </c>
      <c r="C105" s="752">
        <v>291.67</v>
      </c>
      <c r="D105" s="825"/>
      <c r="E105" s="825"/>
      <c r="J105" s="839"/>
    </row>
    <row r="106" spans="1:10" ht="15">
      <c r="A106" s="781" t="s">
        <v>181</v>
      </c>
      <c r="B106" s="781" t="s">
        <v>1452</v>
      </c>
      <c r="C106" s="752">
        <v>6062</v>
      </c>
      <c r="D106" s="825"/>
      <c r="E106" s="825"/>
      <c r="J106" s="839"/>
    </row>
    <row r="107" spans="1:10" ht="15">
      <c r="A107" s="781" t="s">
        <v>51</v>
      </c>
      <c r="B107" s="781" t="s">
        <v>1391</v>
      </c>
      <c r="C107" s="752">
        <v>72.83</v>
      </c>
      <c r="D107" s="825"/>
      <c r="E107" s="825"/>
      <c r="J107" s="839"/>
    </row>
    <row r="108" spans="1:10" ht="15">
      <c r="A108" s="781" t="s">
        <v>307</v>
      </c>
      <c r="B108" s="781" t="s">
        <v>1507</v>
      </c>
      <c r="C108" s="752">
        <v>9.5</v>
      </c>
      <c r="D108" s="825"/>
      <c r="E108" s="825"/>
      <c r="J108" s="839"/>
    </row>
    <row r="109" spans="1:10" ht="15">
      <c r="A109" s="781" t="s">
        <v>134</v>
      </c>
      <c r="B109" s="781" t="s">
        <v>748</v>
      </c>
      <c r="C109" s="752">
        <v>89.84</v>
      </c>
      <c r="D109" s="825"/>
      <c r="E109" s="825"/>
      <c r="J109" s="839"/>
    </row>
    <row r="110" spans="1:10" ht="15">
      <c r="A110" s="781" t="s">
        <v>1777</v>
      </c>
      <c r="B110" s="781" t="s">
        <v>1782</v>
      </c>
      <c r="C110" s="752">
        <v>158.16999999999999</v>
      </c>
      <c r="D110" s="825"/>
      <c r="E110" s="825"/>
      <c r="J110" s="839"/>
    </row>
    <row r="111" spans="1:10" ht="15">
      <c r="A111" s="781" t="s">
        <v>1715</v>
      </c>
      <c r="B111" s="781" t="s">
        <v>1783</v>
      </c>
      <c r="C111" s="752">
        <v>0</v>
      </c>
      <c r="D111" s="825"/>
      <c r="E111" s="825"/>
      <c r="J111" s="839"/>
    </row>
    <row r="112" spans="1:10" ht="15">
      <c r="A112" s="781" t="s">
        <v>1755</v>
      </c>
      <c r="B112" s="781" t="s">
        <v>1784</v>
      </c>
      <c r="C112" s="752">
        <v>51.67</v>
      </c>
      <c r="D112" s="825"/>
      <c r="E112" s="825"/>
      <c r="J112" s="839"/>
    </row>
    <row r="113" spans="1:11" ht="15">
      <c r="A113" s="781" t="s">
        <v>100</v>
      </c>
      <c r="B113" s="781" t="s">
        <v>1414</v>
      </c>
      <c r="C113" s="752">
        <v>0</v>
      </c>
      <c r="D113" s="825"/>
      <c r="E113" s="825"/>
      <c r="J113" s="839"/>
    </row>
    <row r="114" spans="1:11" ht="15">
      <c r="A114" s="781" t="s">
        <v>407</v>
      </c>
      <c r="B114" s="781" t="s">
        <v>1554</v>
      </c>
      <c r="C114" s="752">
        <v>0</v>
      </c>
      <c r="D114" s="825"/>
      <c r="E114" s="825"/>
      <c r="J114" s="845"/>
    </row>
    <row r="115" spans="1:11" ht="15">
      <c r="A115" s="781" t="s">
        <v>201</v>
      </c>
      <c r="B115" s="781" t="s">
        <v>1458</v>
      </c>
      <c r="C115" s="752">
        <v>1415.84</v>
      </c>
      <c r="D115" s="825"/>
      <c r="E115" s="825"/>
      <c r="J115" s="842"/>
      <c r="K115" s="848"/>
    </row>
    <row r="116" spans="1:11" ht="15">
      <c r="A116" s="781" t="s">
        <v>110</v>
      </c>
      <c r="B116" s="781" t="s">
        <v>1419</v>
      </c>
      <c r="C116" s="752">
        <v>0</v>
      </c>
      <c r="D116" s="825"/>
      <c r="E116" s="825"/>
      <c r="J116" s="846"/>
      <c r="K116" s="849"/>
    </row>
    <row r="117" spans="1:11" ht="15">
      <c r="A117" s="781" t="s">
        <v>76</v>
      </c>
      <c r="B117" s="781" t="s">
        <v>1402</v>
      </c>
      <c r="C117" s="752">
        <v>20.83</v>
      </c>
      <c r="D117" s="825"/>
      <c r="E117" s="825"/>
      <c r="J117" s="845"/>
    </row>
    <row r="118" spans="1:11" ht="15">
      <c r="A118" s="781" t="s">
        <v>94</v>
      </c>
      <c r="B118" s="781" t="s">
        <v>1411</v>
      </c>
      <c r="C118" s="752">
        <v>0</v>
      </c>
      <c r="D118" s="825"/>
      <c r="E118" s="825"/>
      <c r="J118" s="845"/>
      <c r="K118" s="849"/>
    </row>
    <row r="119" spans="1:11" ht="15">
      <c r="A119" s="781" t="s">
        <v>80</v>
      </c>
      <c r="B119" s="781" t="s">
        <v>1404</v>
      </c>
      <c r="C119" s="752">
        <v>285.67</v>
      </c>
      <c r="D119" s="825"/>
      <c r="E119" s="825"/>
      <c r="J119" s="845"/>
    </row>
    <row r="120" spans="1:11" ht="15">
      <c r="A120" s="781" t="s">
        <v>14</v>
      </c>
      <c r="B120" s="781" t="s">
        <v>636</v>
      </c>
      <c r="C120" s="752">
        <v>2665.5</v>
      </c>
      <c r="D120" s="825"/>
      <c r="E120" s="825"/>
      <c r="J120" s="847"/>
    </row>
    <row r="121" spans="1:11" ht="15">
      <c r="A121" s="781" t="s">
        <v>207</v>
      </c>
      <c r="B121" s="781" t="s">
        <v>1460</v>
      </c>
      <c r="C121" s="752">
        <v>5693.5</v>
      </c>
      <c r="D121" s="825"/>
      <c r="E121" s="825"/>
      <c r="J121" s="838"/>
    </row>
    <row r="122" spans="1:11" ht="15">
      <c r="A122" s="781" t="s">
        <v>470</v>
      </c>
      <c r="B122" s="781" t="s">
        <v>1587</v>
      </c>
      <c r="C122" s="752">
        <v>3</v>
      </c>
      <c r="D122" s="825"/>
      <c r="E122" s="825"/>
      <c r="J122" s="839"/>
    </row>
    <row r="123" spans="1:11" ht="15">
      <c r="A123" s="781" t="s">
        <v>18</v>
      </c>
      <c r="B123" s="781" t="s">
        <v>1376</v>
      </c>
      <c r="C123" s="752">
        <v>324.33999999999997</v>
      </c>
      <c r="D123" s="825"/>
      <c r="E123" s="825"/>
      <c r="J123" s="839"/>
    </row>
    <row r="124" spans="1:11" ht="15">
      <c r="A124" s="781" t="s">
        <v>228</v>
      </c>
      <c r="B124" s="781" t="s">
        <v>1470</v>
      </c>
      <c r="C124" s="752">
        <v>44</v>
      </c>
      <c r="D124" s="825"/>
      <c r="E124" s="825"/>
      <c r="J124" s="839"/>
    </row>
    <row r="125" spans="1:11" ht="15">
      <c r="A125" s="781" t="s">
        <v>242</v>
      </c>
      <c r="B125" s="781" t="s">
        <v>1477</v>
      </c>
      <c r="C125" s="752">
        <v>0</v>
      </c>
      <c r="D125" s="825"/>
      <c r="E125" s="825"/>
      <c r="J125" s="839"/>
    </row>
    <row r="126" spans="1:11" ht="15">
      <c r="A126" s="781" t="s">
        <v>382</v>
      </c>
      <c r="B126" s="781" t="s">
        <v>1542</v>
      </c>
      <c r="C126" s="752">
        <v>16.170000000000002</v>
      </c>
      <c r="D126" s="825"/>
      <c r="E126" s="825"/>
      <c r="J126" s="839"/>
    </row>
    <row r="127" spans="1:11" ht="15">
      <c r="A127" s="781" t="s">
        <v>53</v>
      </c>
      <c r="B127" s="781" t="s">
        <v>1392</v>
      </c>
      <c r="C127" s="752">
        <v>38</v>
      </c>
      <c r="D127" s="825"/>
      <c r="E127" s="825"/>
      <c r="J127" s="847"/>
    </row>
    <row r="128" spans="1:11" ht="15">
      <c r="A128" s="781" t="s">
        <v>518</v>
      </c>
      <c r="B128" s="781" t="s">
        <v>1607</v>
      </c>
      <c r="C128" s="752">
        <v>0</v>
      </c>
      <c r="D128" s="825"/>
      <c r="E128" s="825"/>
      <c r="J128" s="844"/>
    </row>
    <row r="129" spans="1:10" ht="15">
      <c r="A129" s="781" t="s">
        <v>31</v>
      </c>
      <c r="B129" s="781" t="s">
        <v>624</v>
      </c>
      <c r="C129" s="752">
        <v>361.34</v>
      </c>
      <c r="D129" s="825"/>
      <c r="E129" s="825"/>
      <c r="J129" s="839"/>
    </row>
    <row r="130" spans="1:10" ht="15">
      <c r="A130" s="781" t="s">
        <v>397</v>
      </c>
      <c r="B130" s="781" t="s">
        <v>1549</v>
      </c>
      <c r="C130" s="752">
        <v>493</v>
      </c>
      <c r="D130" s="825"/>
      <c r="E130" s="825"/>
      <c r="J130" s="839"/>
    </row>
    <row r="131" spans="1:10" ht="15">
      <c r="A131" s="781" t="s">
        <v>205</v>
      </c>
      <c r="B131" s="781" t="s">
        <v>1459</v>
      </c>
      <c r="C131" s="752">
        <v>3509.34</v>
      </c>
      <c r="D131" s="825"/>
      <c r="E131" s="825"/>
      <c r="J131" s="839"/>
    </row>
    <row r="132" spans="1:10" ht="15">
      <c r="A132" s="781" t="s">
        <v>413</v>
      </c>
      <c r="B132" s="781" t="s">
        <v>1557</v>
      </c>
      <c r="C132" s="752">
        <v>165.33</v>
      </c>
      <c r="D132" s="825"/>
      <c r="E132" s="825"/>
      <c r="J132" s="839"/>
    </row>
    <row r="133" spans="1:10" ht="15">
      <c r="A133" s="781" t="s">
        <v>519</v>
      </c>
      <c r="B133" s="781" t="s">
        <v>1608</v>
      </c>
      <c r="C133" s="752">
        <v>0</v>
      </c>
      <c r="D133" s="825"/>
      <c r="E133" s="825"/>
      <c r="J133" s="839"/>
    </row>
    <row r="134" spans="1:10" ht="15">
      <c r="A134" s="781" t="s">
        <v>441</v>
      </c>
      <c r="B134" s="781" t="s">
        <v>1572</v>
      </c>
      <c r="C134" s="752">
        <v>2.83</v>
      </c>
      <c r="D134" s="825"/>
      <c r="E134" s="825"/>
      <c r="J134" s="839"/>
    </row>
    <row r="135" spans="1:10" ht="15">
      <c r="A135" s="781" t="s">
        <v>6</v>
      </c>
      <c r="B135" s="781" t="s">
        <v>1371</v>
      </c>
      <c r="C135" s="752">
        <v>26.5</v>
      </c>
      <c r="D135" s="825"/>
      <c r="E135" s="825"/>
      <c r="J135" s="839"/>
    </row>
    <row r="136" spans="1:10" ht="15">
      <c r="A136" s="781" t="s">
        <v>70</v>
      </c>
      <c r="B136" s="781" t="s">
        <v>1399</v>
      </c>
      <c r="C136" s="752">
        <v>392</v>
      </c>
      <c r="D136" s="825"/>
      <c r="E136" s="825"/>
      <c r="J136" s="839"/>
    </row>
    <row r="137" spans="1:10" ht="15">
      <c r="A137" s="781" t="s">
        <v>458</v>
      </c>
      <c r="B137" s="781" t="s">
        <v>1581</v>
      </c>
      <c r="C137" s="752">
        <v>0</v>
      </c>
      <c r="D137" s="825"/>
      <c r="E137" s="825"/>
      <c r="J137" s="839"/>
    </row>
    <row r="138" spans="1:10" ht="15">
      <c r="A138" s="781" t="s">
        <v>373</v>
      </c>
      <c r="B138" s="781" t="s">
        <v>1539</v>
      </c>
      <c r="C138" s="752">
        <v>22.84</v>
      </c>
      <c r="D138" s="825"/>
      <c r="E138" s="825"/>
      <c r="J138" s="839"/>
    </row>
    <row r="139" spans="1:10" ht="15">
      <c r="A139" s="781" t="s">
        <v>1757</v>
      </c>
      <c r="B139" s="781" t="s">
        <v>1785</v>
      </c>
      <c r="C139" s="752">
        <v>0</v>
      </c>
      <c r="D139" s="825"/>
      <c r="E139" s="825"/>
      <c r="J139" s="839"/>
    </row>
    <row r="140" spans="1:10" ht="15">
      <c r="A140" s="781" t="s">
        <v>250</v>
      </c>
      <c r="B140" s="781" t="s">
        <v>1481</v>
      </c>
      <c r="C140" s="752">
        <v>10</v>
      </c>
      <c r="D140" s="825"/>
      <c r="E140" s="825"/>
      <c r="J140" s="839"/>
    </row>
    <row r="141" spans="1:10" ht="15">
      <c r="A141" s="781" t="s">
        <v>510</v>
      </c>
      <c r="B141" s="781" t="s">
        <v>1604</v>
      </c>
      <c r="C141" s="752">
        <v>359.33</v>
      </c>
      <c r="D141" s="825"/>
      <c r="E141" s="825"/>
      <c r="J141" s="839"/>
    </row>
    <row r="142" spans="1:10" ht="15">
      <c r="A142" s="781" t="s">
        <v>553</v>
      </c>
      <c r="B142" s="781" t="s">
        <v>639</v>
      </c>
      <c r="C142" s="752">
        <v>358.16</v>
      </c>
      <c r="D142" s="825"/>
      <c r="E142" s="825"/>
      <c r="J142" s="839"/>
    </row>
    <row r="143" spans="1:10" ht="15">
      <c r="A143" s="781" t="s">
        <v>90</v>
      </c>
      <c r="B143" s="781" t="s">
        <v>1409</v>
      </c>
      <c r="C143" s="752">
        <v>6.33</v>
      </c>
      <c r="D143" s="825"/>
      <c r="E143" s="825"/>
      <c r="J143" s="839"/>
    </row>
    <row r="144" spans="1:10" ht="15">
      <c r="A144" s="781" t="s">
        <v>25</v>
      </c>
      <c r="B144" s="781" t="s">
        <v>1380</v>
      </c>
      <c r="C144" s="752">
        <v>219.16</v>
      </c>
      <c r="D144" s="825"/>
      <c r="E144" s="825"/>
      <c r="J144" s="839"/>
    </row>
    <row r="145" spans="1:10" ht="15">
      <c r="A145" s="781" t="s">
        <v>301</v>
      </c>
      <c r="B145" s="781" t="s">
        <v>1504</v>
      </c>
      <c r="C145" s="752">
        <v>27.17</v>
      </c>
      <c r="D145" s="825"/>
      <c r="E145" s="825"/>
      <c r="J145" s="839"/>
    </row>
    <row r="146" spans="1:10" ht="15">
      <c r="A146" s="781" t="s">
        <v>466</v>
      </c>
      <c r="B146" s="781" t="s">
        <v>1585</v>
      </c>
      <c r="C146" s="752">
        <v>0.83</v>
      </c>
      <c r="D146" s="825"/>
      <c r="E146" s="825"/>
      <c r="J146" s="839"/>
    </row>
    <row r="147" spans="1:10" ht="15">
      <c r="A147" s="781" t="s">
        <v>405</v>
      </c>
      <c r="B147" s="781" t="s">
        <v>1553</v>
      </c>
      <c r="C147" s="752">
        <v>1030.17</v>
      </c>
      <c r="D147" s="825"/>
      <c r="E147" s="825"/>
      <c r="J147" s="839"/>
    </row>
    <row r="148" spans="1:10" ht="15">
      <c r="A148" s="781" t="s">
        <v>138</v>
      </c>
      <c r="B148" s="781" t="s">
        <v>1431</v>
      </c>
      <c r="C148" s="752">
        <v>0.17</v>
      </c>
      <c r="D148" s="825"/>
      <c r="E148" s="825"/>
      <c r="J148" s="839"/>
    </row>
    <row r="149" spans="1:10" ht="15">
      <c r="A149" s="781" t="s">
        <v>432</v>
      </c>
      <c r="B149" s="781" t="s">
        <v>1567</v>
      </c>
      <c r="C149" s="752">
        <v>280.5</v>
      </c>
      <c r="D149" s="825"/>
      <c r="E149" s="825"/>
      <c r="J149" s="839"/>
    </row>
    <row r="150" spans="1:10" ht="15">
      <c r="A150" s="781" t="s">
        <v>430</v>
      </c>
      <c r="B150" s="781" t="s">
        <v>1566</v>
      </c>
      <c r="C150" s="752">
        <v>12.67</v>
      </c>
      <c r="D150" s="825"/>
      <c r="E150" s="825"/>
      <c r="J150" s="839"/>
    </row>
    <row r="151" spans="1:10" ht="15">
      <c r="A151" s="781" t="s">
        <v>179</v>
      </c>
      <c r="B151" s="781" t="s">
        <v>1451</v>
      </c>
      <c r="C151" s="752">
        <v>143.66999999999999</v>
      </c>
      <c r="D151" s="825"/>
      <c r="E151" s="825"/>
      <c r="J151" s="839"/>
    </row>
    <row r="152" spans="1:10" ht="15">
      <c r="A152" s="781" t="s">
        <v>512</v>
      </c>
      <c r="B152" s="781" t="s">
        <v>1605</v>
      </c>
      <c r="C152" s="752">
        <v>212.33</v>
      </c>
      <c r="D152" s="825"/>
      <c r="E152" s="825"/>
      <c r="J152" s="839"/>
    </row>
    <row r="153" spans="1:10" ht="15">
      <c r="A153" s="781" t="s">
        <v>319</v>
      </c>
      <c r="B153" s="781" t="s">
        <v>1512</v>
      </c>
      <c r="C153" s="752">
        <v>29.67</v>
      </c>
      <c r="D153" s="825"/>
      <c r="E153" s="825"/>
      <c r="J153" s="839"/>
    </row>
    <row r="154" spans="1:10" ht="15">
      <c r="A154" s="781" t="s">
        <v>391</v>
      </c>
      <c r="B154" s="781" t="s">
        <v>1547</v>
      </c>
      <c r="C154" s="752">
        <v>0</v>
      </c>
      <c r="D154" s="825"/>
      <c r="E154" s="825"/>
      <c r="J154" s="839"/>
    </row>
    <row r="155" spans="1:10" ht="15">
      <c r="A155" s="781" t="s">
        <v>409</v>
      </c>
      <c r="B155" s="781" t="s">
        <v>1555</v>
      </c>
      <c r="C155" s="752">
        <v>640.66999999999996</v>
      </c>
      <c r="D155" s="825"/>
      <c r="E155" s="825"/>
      <c r="J155" s="839"/>
    </row>
    <row r="156" spans="1:10" ht="15">
      <c r="A156" s="781" t="s">
        <v>139</v>
      </c>
      <c r="B156" s="781" t="s">
        <v>1432</v>
      </c>
      <c r="C156" s="752">
        <v>25.67</v>
      </c>
      <c r="D156" s="825"/>
      <c r="E156" s="825"/>
      <c r="J156" s="839"/>
    </row>
    <row r="157" spans="1:10" ht="15">
      <c r="A157" s="781" t="s">
        <v>260</v>
      </c>
      <c r="B157" s="781" t="s">
        <v>1484</v>
      </c>
      <c r="C157" s="752">
        <v>0</v>
      </c>
      <c r="D157" s="825"/>
      <c r="E157" s="825"/>
      <c r="J157" s="839"/>
    </row>
    <row r="158" spans="1:10" ht="15">
      <c r="A158" s="781" t="s">
        <v>125</v>
      </c>
      <c r="B158" s="781" t="s">
        <v>1426</v>
      </c>
      <c r="C158" s="752">
        <v>1168.17</v>
      </c>
      <c r="D158" s="825"/>
      <c r="E158" s="825"/>
      <c r="J158" s="839"/>
    </row>
    <row r="159" spans="1:10" ht="15">
      <c r="A159" s="781" t="s">
        <v>258</v>
      </c>
      <c r="B159" s="781" t="s">
        <v>1356</v>
      </c>
      <c r="C159" s="752">
        <v>49.5</v>
      </c>
      <c r="D159" s="825"/>
      <c r="E159" s="825"/>
      <c r="J159" s="839"/>
    </row>
    <row r="160" spans="1:10" ht="15">
      <c r="A160" s="781" t="s">
        <v>571</v>
      </c>
      <c r="B160" s="781" t="s">
        <v>1632</v>
      </c>
      <c r="C160" s="752">
        <v>141.33000000000001</v>
      </c>
      <c r="D160" s="825"/>
      <c r="E160" s="825"/>
      <c r="J160" s="839"/>
    </row>
    <row r="161" spans="1:10" ht="15">
      <c r="A161" s="781" t="s">
        <v>516</v>
      </c>
      <c r="B161" s="781" t="s">
        <v>1606</v>
      </c>
      <c r="C161" s="752">
        <v>94</v>
      </c>
      <c r="D161" s="825"/>
      <c r="E161" s="825"/>
      <c r="J161" s="839"/>
    </row>
    <row r="162" spans="1:10" ht="15">
      <c r="A162" s="781" t="s">
        <v>389</v>
      </c>
      <c r="B162" s="781" t="s">
        <v>1546</v>
      </c>
      <c r="C162" s="752">
        <v>0</v>
      </c>
      <c r="D162" s="825"/>
      <c r="E162" s="825"/>
      <c r="J162" s="839"/>
    </row>
    <row r="163" spans="1:10" ht="15">
      <c r="A163" s="781" t="s">
        <v>386</v>
      </c>
      <c r="B163" s="781" t="s">
        <v>1544</v>
      </c>
      <c r="C163" s="752">
        <v>1596.5</v>
      </c>
      <c r="D163" s="825"/>
      <c r="E163" s="825"/>
      <c r="J163" s="839"/>
    </row>
    <row r="164" spans="1:10" ht="15">
      <c r="A164" s="781" t="s">
        <v>399</v>
      </c>
      <c r="B164" s="781" t="s">
        <v>1550</v>
      </c>
      <c r="C164" s="752">
        <v>3122.84</v>
      </c>
      <c r="D164" s="825"/>
      <c r="E164" s="825"/>
      <c r="J164" s="839"/>
    </row>
    <row r="165" spans="1:10" ht="15">
      <c r="A165" s="781" t="s">
        <v>545</v>
      </c>
      <c r="B165" s="781" t="s">
        <v>1621</v>
      </c>
      <c r="C165" s="752">
        <v>77.67</v>
      </c>
      <c r="D165" s="825"/>
      <c r="E165" s="825"/>
      <c r="J165" s="839"/>
    </row>
    <row r="166" spans="1:10" ht="15">
      <c r="A166" s="781" t="s">
        <v>252</v>
      </c>
      <c r="B166" s="781" t="s">
        <v>1482</v>
      </c>
      <c r="C166" s="752">
        <v>20.67</v>
      </c>
      <c r="D166" s="825"/>
      <c r="E166" s="825"/>
      <c r="J166" s="839"/>
    </row>
    <row r="167" spans="1:10" ht="15">
      <c r="A167" s="781" t="s">
        <v>331</v>
      </c>
      <c r="B167" s="781" t="s">
        <v>1516</v>
      </c>
      <c r="C167" s="752">
        <v>18</v>
      </c>
      <c r="D167" s="825"/>
      <c r="E167" s="825"/>
      <c r="J167" s="839"/>
    </row>
    <row r="168" spans="1:10" ht="15">
      <c r="A168" s="781" t="s">
        <v>309</v>
      </c>
      <c r="B168" s="781" t="s">
        <v>1309</v>
      </c>
      <c r="C168" s="752">
        <v>0</v>
      </c>
      <c r="D168" s="825"/>
      <c r="E168" s="825"/>
      <c r="J168" s="839"/>
    </row>
    <row r="169" spans="1:10" ht="15">
      <c r="A169" s="781" t="s">
        <v>336</v>
      </c>
      <c r="B169" s="781" t="s">
        <v>1519</v>
      </c>
      <c r="C169" s="752">
        <v>0</v>
      </c>
      <c r="D169" s="825"/>
      <c r="E169" s="825"/>
      <c r="J169" s="839"/>
    </row>
    <row r="170" spans="1:10" ht="15">
      <c r="A170" s="781" t="s">
        <v>428</v>
      </c>
      <c r="B170" s="781" t="s">
        <v>1565</v>
      </c>
      <c r="C170" s="752">
        <v>0</v>
      </c>
      <c r="D170" s="825"/>
      <c r="E170" s="825"/>
      <c r="J170" s="839"/>
    </row>
    <row r="171" spans="1:10" ht="15">
      <c r="A171" s="781" t="s">
        <v>514</v>
      </c>
      <c r="B171" s="781" t="s">
        <v>685</v>
      </c>
      <c r="C171" s="752">
        <v>250.5</v>
      </c>
      <c r="D171" s="825"/>
      <c r="E171" s="825"/>
      <c r="J171" s="839"/>
    </row>
    <row r="172" spans="1:10" ht="15">
      <c r="A172" s="781" t="s">
        <v>136</v>
      </c>
      <c r="B172" s="781" t="s">
        <v>1430</v>
      </c>
      <c r="C172" s="752">
        <v>16.670000000000002</v>
      </c>
      <c r="D172" s="825"/>
      <c r="E172" s="825"/>
      <c r="J172" s="839"/>
    </row>
    <row r="173" spans="1:10" ht="15">
      <c r="A173" s="781" t="s">
        <v>106</v>
      </c>
      <c r="B173" s="781" t="s">
        <v>1417</v>
      </c>
      <c r="C173" s="752">
        <v>756.83</v>
      </c>
      <c r="D173" s="825"/>
      <c r="E173" s="825"/>
      <c r="J173" s="839"/>
    </row>
    <row r="174" spans="1:10" ht="15">
      <c r="A174" s="781" t="s">
        <v>214</v>
      </c>
      <c r="B174" s="781" t="s">
        <v>625</v>
      </c>
      <c r="C174" s="752">
        <v>225.5</v>
      </c>
      <c r="D174" s="825"/>
      <c r="E174" s="825"/>
      <c r="J174" s="839"/>
    </row>
    <row r="175" spans="1:10" ht="15">
      <c r="A175" s="781" t="s">
        <v>305</v>
      </c>
      <c r="B175" s="781" t="s">
        <v>1506</v>
      </c>
      <c r="C175" s="752">
        <v>315</v>
      </c>
      <c r="D175" s="825"/>
      <c r="E175" s="825"/>
      <c r="J175" s="839"/>
    </row>
    <row r="176" spans="1:10" ht="15">
      <c r="A176" s="781" t="s">
        <v>334</v>
      </c>
      <c r="B176" s="781" t="s">
        <v>1518</v>
      </c>
      <c r="C176" s="752">
        <v>0</v>
      </c>
      <c r="D176" s="825"/>
      <c r="E176" s="825"/>
      <c r="J176" s="839"/>
    </row>
    <row r="177" spans="1:10" ht="15">
      <c r="A177" s="781" t="s">
        <v>474</v>
      </c>
      <c r="B177" s="781" t="s">
        <v>631</v>
      </c>
      <c r="C177" s="752">
        <v>806.33</v>
      </c>
      <c r="D177" s="825"/>
      <c r="E177" s="825"/>
      <c r="J177" s="839"/>
    </row>
    <row r="178" spans="1:10" ht="15">
      <c r="A178" s="781" t="s">
        <v>468</v>
      </c>
      <c r="B178" s="781" t="s">
        <v>1586</v>
      </c>
      <c r="C178" s="752">
        <v>0</v>
      </c>
      <c r="D178" s="825"/>
      <c r="E178" s="825"/>
      <c r="J178" s="839"/>
    </row>
    <row r="179" spans="1:10" ht="15">
      <c r="A179" s="781" t="s">
        <v>209</v>
      </c>
      <c r="B179" s="781" t="s">
        <v>637</v>
      </c>
      <c r="C179" s="752">
        <v>2171.17</v>
      </c>
      <c r="D179" s="825"/>
      <c r="E179" s="825"/>
      <c r="J179" s="839"/>
    </row>
    <row r="180" spans="1:10" ht="15">
      <c r="A180" s="781" t="s">
        <v>157</v>
      </c>
      <c r="B180" s="781" t="s">
        <v>1440</v>
      </c>
      <c r="C180" s="752">
        <v>202.66</v>
      </c>
      <c r="D180" s="825"/>
      <c r="E180" s="825"/>
      <c r="J180" s="839"/>
    </row>
    <row r="181" spans="1:10" ht="15">
      <c r="A181" s="781" t="s">
        <v>541</v>
      </c>
      <c r="B181" s="781" t="s">
        <v>1619</v>
      </c>
      <c r="C181" s="752">
        <v>0</v>
      </c>
      <c r="D181" s="825"/>
      <c r="E181" s="825"/>
      <c r="J181" s="839"/>
    </row>
    <row r="182" spans="1:10" ht="15">
      <c r="A182" s="781" t="s">
        <v>155</v>
      </c>
      <c r="B182" s="781" t="s">
        <v>1439</v>
      </c>
      <c r="C182" s="752">
        <v>2</v>
      </c>
      <c r="D182" s="825"/>
      <c r="E182" s="825"/>
      <c r="J182" s="839"/>
    </row>
    <row r="183" spans="1:10" ht="15">
      <c r="A183" s="781" t="s">
        <v>325</v>
      </c>
      <c r="B183" s="781" t="s">
        <v>712</v>
      </c>
      <c r="C183" s="752">
        <v>42.33</v>
      </c>
      <c r="D183" s="825"/>
      <c r="E183" s="825"/>
      <c r="J183" s="839"/>
    </row>
    <row r="184" spans="1:10" ht="15">
      <c r="A184" s="781" t="s">
        <v>153</v>
      </c>
      <c r="B184" s="781" t="s">
        <v>1438</v>
      </c>
      <c r="C184" s="752">
        <v>57</v>
      </c>
      <c r="D184" s="825"/>
      <c r="E184" s="825"/>
      <c r="J184" s="839"/>
    </row>
    <row r="185" spans="1:10" ht="15">
      <c r="A185" s="781" t="s">
        <v>287</v>
      </c>
      <c r="B185" s="781" t="s">
        <v>1497</v>
      </c>
      <c r="C185" s="752">
        <v>0</v>
      </c>
      <c r="D185" s="825"/>
      <c r="E185" s="825"/>
      <c r="J185" s="839"/>
    </row>
    <row r="186" spans="1:10" ht="15">
      <c r="A186" s="781" t="s">
        <v>313</v>
      </c>
      <c r="B186" s="781" t="s">
        <v>1509</v>
      </c>
      <c r="C186" s="752">
        <v>87</v>
      </c>
      <c r="D186" s="825"/>
      <c r="E186" s="825"/>
      <c r="J186" s="839"/>
    </row>
    <row r="187" spans="1:10" ht="15">
      <c r="A187" s="781" t="s">
        <v>478</v>
      </c>
      <c r="B187" s="781" t="s">
        <v>1590</v>
      </c>
      <c r="C187" s="752">
        <v>282.67</v>
      </c>
      <c r="D187" s="825"/>
      <c r="E187" s="825"/>
      <c r="J187" s="839"/>
    </row>
    <row r="188" spans="1:10" ht="15">
      <c r="A188" s="781" t="s">
        <v>311</v>
      </c>
      <c r="B188" s="781" t="s">
        <v>1508</v>
      </c>
      <c r="C188" s="752">
        <v>266.83</v>
      </c>
      <c r="D188" s="825"/>
      <c r="E188" s="825"/>
      <c r="J188" s="839"/>
    </row>
    <row r="189" spans="1:10" ht="15">
      <c r="A189" s="781" t="s">
        <v>270</v>
      </c>
      <c r="B189" s="781" t="s">
        <v>1489</v>
      </c>
      <c r="C189" s="752">
        <v>25.83</v>
      </c>
      <c r="D189" s="825"/>
      <c r="E189" s="825"/>
      <c r="J189" s="839"/>
    </row>
    <row r="190" spans="1:10" ht="15">
      <c r="A190" s="781" t="s">
        <v>448</v>
      </c>
      <c r="B190" s="781" t="s">
        <v>1576</v>
      </c>
      <c r="C190" s="752">
        <v>0</v>
      </c>
      <c r="D190" s="825"/>
      <c r="E190" s="825"/>
      <c r="J190" s="839"/>
    </row>
    <row r="191" spans="1:10" ht="15">
      <c r="A191" s="781" t="s">
        <v>372</v>
      </c>
      <c r="B191" s="781" t="s">
        <v>1538</v>
      </c>
      <c r="C191" s="752">
        <v>32.5</v>
      </c>
      <c r="D191" s="825"/>
      <c r="E191" s="825"/>
      <c r="J191" s="839"/>
    </row>
    <row r="192" spans="1:10" ht="15">
      <c r="A192" s="781" t="s">
        <v>424</v>
      </c>
      <c r="B192" s="781" t="s">
        <v>1563</v>
      </c>
      <c r="C192" s="752">
        <v>0</v>
      </c>
      <c r="D192" s="825"/>
      <c r="E192" s="825"/>
      <c r="J192" s="839"/>
    </row>
    <row r="193" spans="1:11" ht="15">
      <c r="A193" s="781" t="s">
        <v>98</v>
      </c>
      <c r="B193" s="781" t="s">
        <v>1413</v>
      </c>
      <c r="C193" s="752">
        <v>0</v>
      </c>
      <c r="D193" s="825"/>
      <c r="E193" s="825"/>
      <c r="J193" s="839"/>
    </row>
    <row r="194" spans="1:11" ht="15">
      <c r="A194" s="781" t="s">
        <v>82</v>
      </c>
      <c r="B194" s="781" t="s">
        <v>1405</v>
      </c>
      <c r="C194" s="752">
        <v>66</v>
      </c>
      <c r="D194" s="825"/>
      <c r="E194" s="825"/>
      <c r="J194" s="839"/>
    </row>
    <row r="195" spans="1:11" ht="15">
      <c r="A195" s="781" t="s">
        <v>323</v>
      </c>
      <c r="B195" s="781" t="s">
        <v>1513</v>
      </c>
      <c r="C195" s="752">
        <v>65.17</v>
      </c>
      <c r="D195" s="825"/>
      <c r="E195" s="825"/>
      <c r="J195" s="839"/>
    </row>
    <row r="196" spans="1:11" ht="15">
      <c r="A196" s="781" t="s">
        <v>355</v>
      </c>
      <c r="B196" s="781" t="s">
        <v>1529</v>
      </c>
      <c r="C196" s="752">
        <v>52.5</v>
      </c>
      <c r="D196" s="825"/>
      <c r="E196" s="825"/>
      <c r="J196" s="839"/>
    </row>
    <row r="197" spans="1:11" ht="15">
      <c r="A197" s="781" t="s">
        <v>4</v>
      </c>
      <c r="B197" s="781" t="s">
        <v>632</v>
      </c>
      <c r="C197" s="752">
        <v>1755</v>
      </c>
      <c r="D197" s="825"/>
      <c r="E197" s="825"/>
      <c r="J197" s="839"/>
    </row>
    <row r="198" spans="1:11" ht="15">
      <c r="A198" s="781" t="s">
        <v>86</v>
      </c>
      <c r="B198" s="781" t="s">
        <v>1407</v>
      </c>
      <c r="C198" s="752">
        <v>10</v>
      </c>
      <c r="D198" s="825"/>
      <c r="E198" s="825"/>
      <c r="J198" s="839"/>
    </row>
    <row r="199" spans="1:11" ht="15">
      <c r="A199" s="781" t="s">
        <v>527</v>
      </c>
      <c r="B199" s="781" t="s">
        <v>1612</v>
      </c>
      <c r="C199" s="752">
        <v>0</v>
      </c>
      <c r="D199" s="825"/>
      <c r="E199" s="825"/>
      <c r="J199" s="839"/>
    </row>
    <row r="200" spans="1:11" ht="15">
      <c r="A200" s="781" t="s">
        <v>104</v>
      </c>
      <c r="B200" s="781" t="s">
        <v>1416</v>
      </c>
      <c r="C200" s="752">
        <v>6047.83</v>
      </c>
      <c r="D200" s="825"/>
      <c r="E200" s="825"/>
      <c r="J200" s="839"/>
    </row>
    <row r="201" spans="1:11" ht="15">
      <c r="A201" s="781" t="s">
        <v>317</v>
      </c>
      <c r="B201" s="781" t="s">
        <v>1511</v>
      </c>
      <c r="C201" s="752">
        <v>35.5</v>
      </c>
      <c r="D201" s="825"/>
      <c r="E201" s="825"/>
      <c r="J201" s="839"/>
    </row>
    <row r="202" spans="1:11" ht="15">
      <c r="A202" s="781" t="s">
        <v>16</v>
      </c>
      <c r="B202" s="781" t="s">
        <v>1375</v>
      </c>
      <c r="C202" s="752">
        <v>22.83</v>
      </c>
      <c r="D202" s="825"/>
      <c r="E202" s="825"/>
      <c r="J202" s="839"/>
    </row>
    <row r="203" spans="1:11" ht="15">
      <c r="A203" s="781" t="s">
        <v>272</v>
      </c>
      <c r="B203" s="781" t="s">
        <v>1490</v>
      </c>
      <c r="C203" s="752">
        <v>0</v>
      </c>
      <c r="D203" s="825"/>
      <c r="E203" s="825"/>
      <c r="J203" s="839"/>
    </row>
    <row r="204" spans="1:11" ht="15">
      <c r="A204" s="781" t="s">
        <v>359</v>
      </c>
      <c r="B204" s="781" t="s">
        <v>626</v>
      </c>
      <c r="C204" s="752">
        <v>182.5</v>
      </c>
      <c r="D204" s="825"/>
      <c r="E204" s="825"/>
      <c r="J204" s="839"/>
    </row>
    <row r="205" spans="1:11" ht="15">
      <c r="A205" s="781" t="s">
        <v>1778</v>
      </c>
      <c r="B205" s="781" t="s">
        <v>1786</v>
      </c>
      <c r="C205" s="752">
        <v>0</v>
      </c>
      <c r="D205" s="825"/>
      <c r="E205" s="825"/>
      <c r="J205" s="841"/>
      <c r="K205" s="849"/>
    </row>
    <row r="206" spans="1:11" ht="15">
      <c r="A206" s="781" t="s">
        <v>303</v>
      </c>
      <c r="B206" s="781" t="s">
        <v>1505</v>
      </c>
      <c r="C206" s="752">
        <v>21.17</v>
      </c>
      <c r="D206" s="825"/>
      <c r="E206" s="825"/>
      <c r="J206" s="845"/>
    </row>
    <row r="207" spans="1:11" ht="15">
      <c r="A207" s="781" t="s">
        <v>112</v>
      </c>
      <c r="B207" s="781" t="s">
        <v>1420</v>
      </c>
      <c r="C207" s="752">
        <v>3</v>
      </c>
      <c r="D207" s="825"/>
      <c r="E207" s="825"/>
      <c r="J207" s="839"/>
    </row>
    <row r="208" spans="1:11" ht="15">
      <c r="A208" s="781" t="s">
        <v>39</v>
      </c>
      <c r="B208" s="781" t="s">
        <v>1385</v>
      </c>
      <c r="C208" s="752">
        <v>54.17</v>
      </c>
      <c r="D208" s="825"/>
      <c r="E208" s="825"/>
      <c r="J208" s="839"/>
    </row>
    <row r="209" spans="1:10" ht="15">
      <c r="A209" s="781" t="s">
        <v>171</v>
      </c>
      <c r="B209" s="781" t="s">
        <v>1447</v>
      </c>
      <c r="C209" s="752">
        <v>31.66</v>
      </c>
      <c r="D209" s="825"/>
      <c r="E209" s="825"/>
      <c r="J209" s="839"/>
    </row>
    <row r="210" spans="1:10" ht="15">
      <c r="A210" s="781" t="s">
        <v>502</v>
      </c>
      <c r="B210" s="781" t="s">
        <v>1601</v>
      </c>
      <c r="C210" s="752">
        <v>80.66</v>
      </c>
      <c r="D210" s="825"/>
      <c r="E210" s="825"/>
      <c r="J210" s="839"/>
    </row>
    <row r="211" spans="1:10" ht="15">
      <c r="A211" s="781" t="s">
        <v>1690</v>
      </c>
      <c r="B211" s="781" t="s">
        <v>1765</v>
      </c>
      <c r="C211" s="752">
        <v>0</v>
      </c>
      <c r="D211" s="825"/>
      <c r="E211" s="825"/>
      <c r="J211" s="839"/>
    </row>
    <row r="212" spans="1:10" ht="15">
      <c r="A212" s="781" t="s">
        <v>21</v>
      </c>
      <c r="B212" s="781" t="s">
        <v>1378</v>
      </c>
      <c r="C212" s="752">
        <v>580.5</v>
      </c>
      <c r="D212" s="825"/>
      <c r="E212" s="825"/>
      <c r="J212" s="839"/>
    </row>
    <row r="213" spans="1:10" ht="15">
      <c r="A213" s="781" t="s">
        <v>523</v>
      </c>
      <c r="B213" s="781" t="s">
        <v>1610</v>
      </c>
      <c r="C213" s="752">
        <v>109.67</v>
      </c>
      <c r="D213" s="825"/>
      <c r="E213" s="825"/>
      <c r="J213" s="839"/>
    </row>
    <row r="214" spans="1:10" ht="15">
      <c r="A214" s="781" t="s">
        <v>1779</v>
      </c>
      <c r="B214" s="781" t="s">
        <v>1787</v>
      </c>
      <c r="C214" s="752">
        <v>0</v>
      </c>
      <c r="D214" s="825"/>
      <c r="E214" s="825"/>
      <c r="J214" s="839"/>
    </row>
    <row r="215" spans="1:10" ht="15">
      <c r="A215" s="781" t="s">
        <v>343</v>
      </c>
      <c r="B215" s="781" t="s">
        <v>1523</v>
      </c>
      <c r="C215" s="752">
        <v>1264.5</v>
      </c>
      <c r="D215" s="825"/>
      <c r="E215" s="825"/>
      <c r="J215" s="839"/>
    </row>
    <row r="216" spans="1:10" ht="15">
      <c r="A216" s="781" t="s">
        <v>163</v>
      </c>
      <c r="B216" s="781" t="s">
        <v>1443</v>
      </c>
      <c r="C216" s="752">
        <v>0</v>
      </c>
      <c r="D216" s="825"/>
      <c r="E216" s="825"/>
      <c r="J216" s="839"/>
    </row>
    <row r="217" spans="1:10" ht="15">
      <c r="A217" s="781" t="s">
        <v>167</v>
      </c>
      <c r="B217" s="781" t="s">
        <v>1445</v>
      </c>
      <c r="C217" s="752">
        <v>0</v>
      </c>
      <c r="D217" s="825"/>
      <c r="E217" s="825"/>
      <c r="J217" s="839"/>
    </row>
    <row r="218" spans="1:10" ht="15">
      <c r="A218" s="781" t="s">
        <v>47</v>
      </c>
      <c r="B218" s="781" t="s">
        <v>1389</v>
      </c>
      <c r="C218" s="752">
        <v>204.83</v>
      </c>
      <c r="D218" s="825"/>
      <c r="E218" s="825"/>
      <c r="J218" s="839"/>
    </row>
    <row r="219" spans="1:10" ht="15">
      <c r="A219" s="781" t="s">
        <v>145</v>
      </c>
      <c r="B219" s="781" t="s">
        <v>607</v>
      </c>
      <c r="C219" s="752">
        <v>34.67</v>
      </c>
      <c r="D219" s="825"/>
      <c r="E219" s="825"/>
      <c r="J219" s="839"/>
    </row>
    <row r="220" spans="1:10" ht="15">
      <c r="A220" s="781" t="s">
        <v>116</v>
      </c>
      <c r="B220" s="781" t="s">
        <v>1421</v>
      </c>
      <c r="C220" s="752">
        <v>1224.17</v>
      </c>
      <c r="D220" s="825"/>
      <c r="E220" s="825"/>
      <c r="J220" s="839"/>
    </row>
    <row r="221" spans="1:10" ht="15">
      <c r="A221" s="781" t="s">
        <v>480</v>
      </c>
      <c r="B221" s="781" t="s">
        <v>1591</v>
      </c>
      <c r="C221" s="752">
        <v>0</v>
      </c>
      <c r="D221" s="825"/>
      <c r="E221" s="825"/>
      <c r="J221" s="839"/>
    </row>
    <row r="222" spans="1:10" ht="15">
      <c r="A222" s="781" t="s">
        <v>1686</v>
      </c>
      <c r="B222" s="781" t="s">
        <v>1766</v>
      </c>
      <c r="C222" s="752">
        <v>81.5</v>
      </c>
      <c r="D222" s="825"/>
      <c r="E222" s="825"/>
      <c r="J222" s="839"/>
    </row>
    <row r="223" spans="1:10" ht="15">
      <c r="A223" s="781" t="s">
        <v>327</v>
      </c>
      <c r="B223" s="781" t="s">
        <v>1514</v>
      </c>
      <c r="C223" s="752">
        <v>68.5</v>
      </c>
      <c r="D223" s="825"/>
      <c r="E223" s="825"/>
      <c r="J223" s="839"/>
    </row>
    <row r="224" spans="1:10" ht="15">
      <c r="A224" s="781" t="s">
        <v>282</v>
      </c>
      <c r="B224" s="781" t="s">
        <v>1494</v>
      </c>
      <c r="C224" s="752">
        <v>8.66</v>
      </c>
      <c r="D224" s="825"/>
      <c r="E224" s="825"/>
      <c r="J224" s="839"/>
    </row>
    <row r="225" spans="1:10" ht="15">
      <c r="A225" s="781" t="s">
        <v>185</v>
      </c>
      <c r="B225" s="781" t="s">
        <v>638</v>
      </c>
      <c r="C225" s="752">
        <v>2921.5</v>
      </c>
      <c r="D225" s="825"/>
      <c r="E225" s="825"/>
      <c r="J225" s="839"/>
    </row>
    <row r="226" spans="1:10" ht="15">
      <c r="A226" s="781" t="s">
        <v>102</v>
      </c>
      <c r="B226" s="781" t="s">
        <v>1415</v>
      </c>
      <c r="C226" s="752">
        <v>0</v>
      </c>
      <c r="D226" s="825"/>
      <c r="E226" s="825"/>
      <c r="J226" s="839"/>
    </row>
    <row r="227" spans="1:10" ht="15">
      <c r="A227" s="781" t="s">
        <v>23</v>
      </c>
      <c r="B227" s="781" t="s">
        <v>1379</v>
      </c>
      <c r="C227" s="752">
        <v>734.5</v>
      </c>
      <c r="D227" s="825"/>
      <c r="E227" s="825"/>
      <c r="J227" s="839"/>
    </row>
    <row r="228" spans="1:10" ht="15">
      <c r="A228" s="781" t="s">
        <v>64</v>
      </c>
      <c r="B228" s="781" t="s">
        <v>1397</v>
      </c>
      <c r="C228" s="752">
        <v>90.33</v>
      </c>
      <c r="D228" s="825"/>
      <c r="E228" s="825"/>
      <c r="J228" s="839"/>
    </row>
    <row r="229" spans="1:10" ht="15">
      <c r="A229" s="781" t="s">
        <v>8</v>
      </c>
      <c r="B229" s="781" t="s">
        <v>1372</v>
      </c>
      <c r="C229" s="752">
        <v>0</v>
      </c>
      <c r="D229" s="825"/>
      <c r="E229" s="825"/>
      <c r="J229" s="839"/>
    </row>
    <row r="230" spans="1:10" ht="15">
      <c r="A230" s="781" t="s">
        <v>446</v>
      </c>
      <c r="B230" s="781" t="s">
        <v>1575</v>
      </c>
      <c r="C230" s="752">
        <v>11.67</v>
      </c>
      <c r="D230" s="825"/>
      <c r="E230" s="825"/>
      <c r="J230" s="839"/>
    </row>
    <row r="231" spans="1:10" ht="15">
      <c r="A231" s="781" t="s">
        <v>193</v>
      </c>
      <c r="B231" s="781" t="s">
        <v>1457</v>
      </c>
      <c r="C231" s="752">
        <v>182</v>
      </c>
      <c r="D231" s="825"/>
      <c r="E231" s="825"/>
      <c r="J231" s="839"/>
    </row>
    <row r="232" spans="1:10" ht="15">
      <c r="A232" s="781" t="s">
        <v>484</v>
      </c>
      <c r="B232" s="781" t="s">
        <v>1593</v>
      </c>
      <c r="C232" s="752">
        <v>172.17</v>
      </c>
      <c r="D232" s="825"/>
      <c r="E232" s="825"/>
      <c r="J232" s="839"/>
    </row>
    <row r="233" spans="1:10" ht="15">
      <c r="A233" s="781" t="s">
        <v>244</v>
      </c>
      <c r="B233" s="781" t="s">
        <v>1478</v>
      </c>
      <c r="C233" s="752">
        <v>19.170000000000002</v>
      </c>
      <c r="D233" s="825"/>
      <c r="E233" s="825"/>
      <c r="J233" s="839"/>
    </row>
    <row r="234" spans="1:10" ht="15">
      <c r="A234" s="781" t="s">
        <v>537</v>
      </c>
      <c r="B234" s="781" t="s">
        <v>1617</v>
      </c>
      <c r="C234" s="752">
        <v>0</v>
      </c>
      <c r="D234" s="825"/>
      <c r="E234" s="825"/>
      <c r="J234" s="839"/>
    </row>
    <row r="235" spans="1:10" ht="15">
      <c r="A235" s="781" t="s">
        <v>123</v>
      </c>
      <c r="B235" s="781" t="s">
        <v>1425</v>
      </c>
      <c r="C235" s="752">
        <v>829.16</v>
      </c>
      <c r="D235" s="825"/>
      <c r="E235" s="825"/>
      <c r="J235" s="839"/>
    </row>
    <row r="236" spans="1:10" ht="15">
      <c r="A236" s="781" t="s">
        <v>375</v>
      </c>
      <c r="B236" s="781" t="s">
        <v>1269</v>
      </c>
      <c r="C236" s="752">
        <v>55</v>
      </c>
      <c r="D236" s="825"/>
      <c r="E236" s="825"/>
      <c r="J236" s="839"/>
    </row>
    <row r="237" spans="1:10" ht="15">
      <c r="A237" s="781" t="s">
        <v>149</v>
      </c>
      <c r="B237" s="781" t="s">
        <v>1436</v>
      </c>
      <c r="C237" s="752">
        <v>0</v>
      </c>
      <c r="D237" s="825"/>
      <c r="E237" s="825"/>
      <c r="J237" s="839"/>
    </row>
    <row r="238" spans="1:10" ht="15">
      <c r="A238" s="781" t="s">
        <v>1682</v>
      </c>
      <c r="B238" s="781" t="s">
        <v>1683</v>
      </c>
      <c r="C238" s="752">
        <v>0</v>
      </c>
      <c r="D238" s="825"/>
      <c r="E238" s="825"/>
      <c r="J238" s="839"/>
    </row>
    <row r="239" spans="1:10" ht="15">
      <c r="A239" s="781" t="s">
        <v>1684</v>
      </c>
      <c r="B239" s="781" t="s">
        <v>1685</v>
      </c>
      <c r="C239" s="752">
        <v>0</v>
      </c>
      <c r="D239" s="825"/>
      <c r="E239" s="825"/>
      <c r="J239" s="839"/>
    </row>
    <row r="240" spans="1:10" ht="15">
      <c r="A240" s="781" t="s">
        <v>173</v>
      </c>
      <c r="B240" s="781" t="s">
        <v>1448</v>
      </c>
      <c r="C240" s="752">
        <v>6474.67</v>
      </c>
      <c r="D240" s="825"/>
      <c r="E240" s="825"/>
      <c r="J240" s="839"/>
    </row>
    <row r="241" spans="1:10" ht="15">
      <c r="A241" s="781" t="s">
        <v>379</v>
      </c>
      <c r="B241" s="781" t="s">
        <v>686</v>
      </c>
      <c r="C241" s="752">
        <v>339.5</v>
      </c>
      <c r="D241" s="825"/>
      <c r="E241" s="825"/>
      <c r="J241" s="839"/>
    </row>
    <row r="242" spans="1:10" ht="15">
      <c r="A242" s="781" t="s">
        <v>551</v>
      </c>
      <c r="B242" s="781" t="s">
        <v>1624</v>
      </c>
      <c r="C242" s="752">
        <v>321.83</v>
      </c>
      <c r="D242" s="825"/>
      <c r="E242" s="825"/>
      <c r="J242" s="839"/>
    </row>
    <row r="243" spans="1:10" ht="15">
      <c r="A243" s="781" t="s">
        <v>340</v>
      </c>
      <c r="B243" s="781" t="s">
        <v>1521</v>
      </c>
      <c r="C243" s="752">
        <v>0</v>
      </c>
      <c r="D243" s="825"/>
      <c r="E243" s="825"/>
      <c r="J243" s="839"/>
    </row>
    <row r="244" spans="1:10" ht="15">
      <c r="A244" s="781" t="s">
        <v>43</v>
      </c>
      <c r="B244" s="781" t="s">
        <v>1387</v>
      </c>
      <c r="C244" s="752">
        <v>46.17</v>
      </c>
      <c r="D244" s="825"/>
      <c r="E244" s="825"/>
      <c r="J244" s="839"/>
    </row>
    <row r="245" spans="1:10" ht="15">
      <c r="A245" s="781" t="s">
        <v>371</v>
      </c>
      <c r="B245" s="781" t="s">
        <v>1537</v>
      </c>
      <c r="C245" s="752">
        <v>0</v>
      </c>
      <c r="D245" s="825"/>
      <c r="E245" s="825"/>
      <c r="J245" s="839"/>
    </row>
    <row r="246" spans="1:10" ht="15">
      <c r="A246" s="781" t="s">
        <v>299</v>
      </c>
      <c r="B246" s="781" t="s">
        <v>1503</v>
      </c>
      <c r="C246" s="752">
        <v>835.5</v>
      </c>
      <c r="D246" s="825"/>
      <c r="E246" s="825"/>
      <c r="J246" s="839"/>
    </row>
    <row r="247" spans="1:10" ht="15">
      <c r="A247" s="781" t="s">
        <v>203</v>
      </c>
      <c r="B247" s="781" t="s">
        <v>640</v>
      </c>
      <c r="C247" s="752">
        <v>894.5</v>
      </c>
      <c r="D247" s="825"/>
      <c r="E247" s="825"/>
      <c r="J247" s="839"/>
    </row>
    <row r="248" spans="1:10" ht="15">
      <c r="A248" s="781" t="s">
        <v>387</v>
      </c>
      <c r="B248" s="781" t="s">
        <v>1545</v>
      </c>
      <c r="C248" s="752">
        <v>0</v>
      </c>
      <c r="D248" s="825"/>
      <c r="E248" s="825"/>
      <c r="J248" s="839"/>
    </row>
    <row r="249" spans="1:10" ht="15">
      <c r="A249" s="781" t="s">
        <v>187</v>
      </c>
      <c r="B249" s="781" t="s">
        <v>1454</v>
      </c>
      <c r="C249" s="752">
        <v>0</v>
      </c>
      <c r="D249" s="825"/>
      <c r="E249" s="825"/>
      <c r="J249" s="845"/>
    </row>
    <row r="250" spans="1:10" ht="15">
      <c r="A250" s="781" t="s">
        <v>411</v>
      </c>
      <c r="B250" s="781" t="s">
        <v>1556</v>
      </c>
      <c r="C250" s="752">
        <v>389.17</v>
      </c>
      <c r="D250" s="825"/>
      <c r="E250" s="825"/>
      <c r="J250" s="847"/>
    </row>
    <row r="251" spans="1:10" ht="15">
      <c r="A251" s="781" t="s">
        <v>199</v>
      </c>
      <c r="B251" s="781" t="s">
        <v>1272</v>
      </c>
      <c r="C251" s="752">
        <v>249.67</v>
      </c>
      <c r="D251" s="825"/>
      <c r="E251" s="825"/>
      <c r="J251" s="845"/>
    </row>
    <row r="252" spans="1:10" ht="15">
      <c r="A252" s="781" t="s">
        <v>121</v>
      </c>
      <c r="B252" s="781" t="s">
        <v>1424</v>
      </c>
      <c r="C252" s="752">
        <v>96.66</v>
      </c>
      <c r="D252" s="825"/>
      <c r="E252" s="825"/>
      <c r="J252" s="839"/>
    </row>
    <row r="253" spans="1:10" ht="15">
      <c r="A253" s="781" t="s">
        <v>329</v>
      </c>
      <c r="B253" s="781" t="s">
        <v>1515</v>
      </c>
      <c r="C253" s="752">
        <v>87.34</v>
      </c>
      <c r="D253" s="825"/>
      <c r="E253" s="825"/>
      <c r="J253" s="839"/>
    </row>
    <row r="254" spans="1:10" ht="15">
      <c r="A254" s="781" t="s">
        <v>218</v>
      </c>
      <c r="B254" s="781" t="s">
        <v>1465</v>
      </c>
      <c r="C254" s="752">
        <v>196</v>
      </c>
      <c r="D254" s="825"/>
      <c r="E254" s="825"/>
      <c r="J254" s="839"/>
    </row>
    <row r="255" spans="1:10" ht="15">
      <c r="A255" s="781" t="s">
        <v>161</v>
      </c>
      <c r="B255" s="781" t="s">
        <v>1442</v>
      </c>
      <c r="C255" s="752">
        <v>6.67</v>
      </c>
      <c r="D255" s="825"/>
      <c r="E255" s="825"/>
      <c r="J255" s="839"/>
    </row>
    <row r="256" spans="1:10" ht="15">
      <c r="A256" s="781" t="s">
        <v>295</v>
      </c>
      <c r="B256" s="781" t="s">
        <v>1501</v>
      </c>
      <c r="C256" s="752">
        <v>0</v>
      </c>
      <c r="D256" s="825"/>
      <c r="E256" s="825"/>
      <c r="J256" s="839"/>
    </row>
    <row r="257" spans="1:11" ht="15">
      <c r="A257" s="781" t="s">
        <v>422</v>
      </c>
      <c r="B257" s="781" t="s">
        <v>1562</v>
      </c>
      <c r="C257" s="752">
        <v>1747</v>
      </c>
      <c r="D257" s="825"/>
      <c r="E257" s="825"/>
      <c r="J257" s="839"/>
    </row>
    <row r="258" spans="1:11" ht="15">
      <c r="A258" s="781" t="s">
        <v>1691</v>
      </c>
      <c r="B258" s="781" t="s">
        <v>1767</v>
      </c>
      <c r="C258" s="752">
        <v>7</v>
      </c>
      <c r="D258" s="825"/>
      <c r="E258" s="825"/>
      <c r="J258" s="839"/>
    </row>
    <row r="259" spans="1:11" ht="15">
      <c r="A259" s="781" t="s">
        <v>280</v>
      </c>
      <c r="B259" s="781" t="s">
        <v>1493</v>
      </c>
      <c r="C259" s="752">
        <v>0</v>
      </c>
      <c r="D259" s="825"/>
      <c r="E259" s="825"/>
      <c r="J259" s="839"/>
    </row>
    <row r="260" spans="1:11" ht="15">
      <c r="A260" s="782" t="s">
        <v>539</v>
      </c>
      <c r="B260" s="781" t="s">
        <v>1618</v>
      </c>
      <c r="C260" s="752">
        <v>0</v>
      </c>
      <c r="D260" s="825"/>
      <c r="E260" s="825"/>
      <c r="J260" s="839"/>
    </row>
    <row r="261" spans="1:11" ht="15">
      <c r="A261" s="781" t="s">
        <v>421</v>
      </c>
      <c r="B261" s="781" t="s">
        <v>1561</v>
      </c>
      <c r="C261" s="752">
        <v>112.17</v>
      </c>
      <c r="D261" s="825"/>
      <c r="E261" s="825"/>
      <c r="J261" s="839"/>
    </row>
    <row r="262" spans="1:11" ht="15">
      <c r="A262" s="781" t="s">
        <v>108</v>
      </c>
      <c r="B262" s="781" t="s">
        <v>1418</v>
      </c>
      <c r="C262" s="752">
        <v>0</v>
      </c>
      <c r="D262" s="825"/>
      <c r="E262" s="825"/>
      <c r="J262" s="839"/>
    </row>
    <row r="263" spans="1:11" ht="15">
      <c r="A263" s="781" t="s">
        <v>68</v>
      </c>
      <c r="B263" s="781" t="s">
        <v>1398</v>
      </c>
      <c r="C263" s="752">
        <v>0</v>
      </c>
      <c r="D263" s="825"/>
      <c r="E263" s="825"/>
      <c r="J263" s="839"/>
    </row>
    <row r="264" spans="1:11" ht="15">
      <c r="A264" s="781" t="s">
        <v>27</v>
      </c>
      <c r="B264" s="781" t="s">
        <v>1381</v>
      </c>
      <c r="C264" s="752">
        <v>0</v>
      </c>
      <c r="D264" s="825"/>
      <c r="E264" s="825"/>
      <c r="J264" s="839"/>
    </row>
    <row r="265" spans="1:11" ht="15">
      <c r="A265" s="781" t="s">
        <v>342</v>
      </c>
      <c r="B265" s="781" t="s">
        <v>1522</v>
      </c>
      <c r="C265" s="752">
        <v>100.67</v>
      </c>
      <c r="D265" s="825"/>
      <c r="E265" s="825"/>
      <c r="J265" s="839"/>
    </row>
    <row r="266" spans="1:11" ht="15">
      <c r="A266" s="781" t="s">
        <v>531</v>
      </c>
      <c r="B266" s="781" t="s">
        <v>1614</v>
      </c>
      <c r="C266" s="752">
        <v>0</v>
      </c>
      <c r="D266" s="825"/>
      <c r="E266" s="825"/>
      <c r="J266" s="839"/>
    </row>
    <row r="267" spans="1:11" ht="15">
      <c r="A267" s="781" t="s">
        <v>393</v>
      </c>
      <c r="B267" s="781" t="s">
        <v>1548</v>
      </c>
      <c r="C267" s="752">
        <v>18.84</v>
      </c>
      <c r="D267" s="825"/>
      <c r="E267" s="825"/>
      <c r="J267" s="839"/>
    </row>
    <row r="268" spans="1:11" ht="15">
      <c r="A268" s="781" t="s">
        <v>415</v>
      </c>
      <c r="B268" s="781" t="s">
        <v>1558</v>
      </c>
      <c r="C268" s="752">
        <v>206.5</v>
      </c>
      <c r="D268" s="825"/>
      <c r="E268" s="825"/>
      <c r="J268" s="839"/>
    </row>
    <row r="269" spans="1:11" ht="15">
      <c r="A269" s="781" t="s">
        <v>1716</v>
      </c>
      <c r="B269" s="781" t="s">
        <v>1761</v>
      </c>
      <c r="C269" s="752">
        <v>59.16</v>
      </c>
      <c r="D269" s="825"/>
      <c r="E269" s="825"/>
      <c r="J269" s="839"/>
    </row>
    <row r="270" spans="1:11" ht="15">
      <c r="A270" s="781" t="s">
        <v>1694</v>
      </c>
      <c r="B270" s="781" t="s">
        <v>1768</v>
      </c>
      <c r="C270" s="752">
        <v>8.83</v>
      </c>
      <c r="D270" s="825"/>
      <c r="E270" s="825"/>
      <c r="J270" s="839"/>
    </row>
    <row r="271" spans="1:11" ht="15">
      <c r="A271" s="781" t="s">
        <v>1693</v>
      </c>
      <c r="B271" s="781" t="s">
        <v>1769</v>
      </c>
      <c r="C271" s="752">
        <v>41.83</v>
      </c>
      <c r="D271" s="825"/>
      <c r="E271" s="825"/>
      <c r="J271" s="839"/>
    </row>
    <row r="272" spans="1:11" ht="15">
      <c r="A272" s="781" t="s">
        <v>460</v>
      </c>
      <c r="B272" s="781" t="s">
        <v>1582</v>
      </c>
      <c r="C272" s="752">
        <v>2.67</v>
      </c>
      <c r="D272" s="825"/>
      <c r="E272" s="825"/>
      <c r="J272" s="782"/>
      <c r="K272" s="781"/>
    </row>
    <row r="273" spans="1:11" ht="15">
      <c r="A273" s="781" t="s">
        <v>351</v>
      </c>
      <c r="B273" s="781" t="s">
        <v>1527</v>
      </c>
      <c r="C273" s="752">
        <v>376.83</v>
      </c>
      <c r="D273" s="825"/>
      <c r="E273" s="825"/>
      <c r="J273" s="838"/>
      <c r="K273" s="849"/>
    </row>
    <row r="274" spans="1:11" ht="15">
      <c r="A274" s="781" t="s">
        <v>557</v>
      </c>
      <c r="B274" s="781" t="s">
        <v>1626</v>
      </c>
      <c r="C274" s="752">
        <v>1976</v>
      </c>
      <c r="D274" s="825"/>
      <c r="E274" s="825"/>
      <c r="J274" s="783"/>
    </row>
    <row r="275" spans="1:11" ht="15">
      <c r="A275" s="781" t="s">
        <v>345</v>
      </c>
      <c r="B275" s="781" t="s">
        <v>1524</v>
      </c>
      <c r="C275" s="752">
        <v>3032.83</v>
      </c>
      <c r="D275" s="825"/>
      <c r="E275" s="825"/>
      <c r="J275" s="783"/>
    </row>
    <row r="276" spans="1:11" ht="15">
      <c r="A276" s="781" t="s">
        <v>143</v>
      </c>
      <c r="B276" s="781" t="s">
        <v>1434</v>
      </c>
      <c r="C276" s="752">
        <v>0</v>
      </c>
      <c r="D276" s="825"/>
      <c r="E276" s="825"/>
      <c r="J276" s="839"/>
    </row>
    <row r="277" spans="1:11" ht="15">
      <c r="A277" s="781" t="s">
        <v>197</v>
      </c>
      <c r="B277" s="781" t="s">
        <v>627</v>
      </c>
      <c r="C277" s="752">
        <v>286.5</v>
      </c>
      <c r="D277" s="825"/>
      <c r="E277" s="825"/>
      <c r="J277" s="839"/>
    </row>
    <row r="278" spans="1:11" ht="15">
      <c r="A278" s="781" t="s">
        <v>521</v>
      </c>
      <c r="B278" s="781" t="s">
        <v>1609</v>
      </c>
      <c r="C278" s="752">
        <v>1</v>
      </c>
      <c r="D278" s="825"/>
      <c r="E278" s="825"/>
      <c r="J278" s="839"/>
    </row>
    <row r="279" spans="1:11" ht="15">
      <c r="A279" s="781" t="s">
        <v>486</v>
      </c>
      <c r="B279" s="781" t="s">
        <v>1594</v>
      </c>
      <c r="C279" s="752">
        <v>12</v>
      </c>
      <c r="D279" s="825"/>
      <c r="E279" s="825"/>
      <c r="J279" s="839"/>
    </row>
    <row r="280" spans="1:11" ht="15">
      <c r="A280" s="781" t="s">
        <v>224</v>
      </c>
      <c r="B280" s="781" t="s">
        <v>1468</v>
      </c>
      <c r="C280" s="752">
        <v>3.66</v>
      </c>
      <c r="D280" s="825"/>
      <c r="E280" s="825"/>
      <c r="J280" s="839"/>
    </row>
    <row r="281" spans="1:11" ht="15">
      <c r="A281" s="781" t="s">
        <v>268</v>
      </c>
      <c r="B281" s="781" t="s">
        <v>1488</v>
      </c>
      <c r="C281" s="752">
        <v>10.84</v>
      </c>
      <c r="D281" s="825"/>
      <c r="E281" s="825"/>
      <c r="J281" s="839"/>
    </row>
    <row r="282" spans="1:11" ht="15">
      <c r="A282" s="781" t="s">
        <v>321</v>
      </c>
      <c r="B282" s="781" t="s">
        <v>612</v>
      </c>
      <c r="C282" s="752">
        <v>134</v>
      </c>
      <c r="D282" s="825"/>
      <c r="E282" s="825"/>
      <c r="J282" s="839"/>
    </row>
    <row r="283" spans="1:11" ht="15">
      <c r="A283" s="781" t="s">
        <v>559</v>
      </c>
      <c r="B283" s="781" t="s">
        <v>633</v>
      </c>
      <c r="C283" s="752">
        <v>1300.8399999999999</v>
      </c>
      <c r="D283" s="825"/>
      <c r="E283" s="825"/>
      <c r="J283" s="839"/>
    </row>
    <row r="284" spans="1:11" ht="15">
      <c r="A284" s="781" t="s">
        <v>496</v>
      </c>
      <c r="B284" s="781" t="s">
        <v>1598</v>
      </c>
      <c r="C284" s="752">
        <v>35.33</v>
      </c>
      <c r="D284" s="825"/>
      <c r="E284" s="825"/>
      <c r="J284" s="838"/>
    </row>
    <row r="285" spans="1:11" ht="15">
      <c r="A285" s="781" t="s">
        <v>72</v>
      </c>
      <c r="B285" s="781" t="s">
        <v>1400</v>
      </c>
      <c r="C285" s="752">
        <v>0</v>
      </c>
      <c r="D285" s="825"/>
      <c r="E285" s="825"/>
      <c r="J285" s="839"/>
    </row>
    <row r="286" spans="1:11" ht="15">
      <c r="A286" s="781" t="s">
        <v>238</v>
      </c>
      <c r="B286" s="781" t="s">
        <v>1475</v>
      </c>
      <c r="C286" s="752">
        <v>7.33</v>
      </c>
      <c r="D286" s="825"/>
      <c r="E286" s="825"/>
      <c r="J286" s="839"/>
    </row>
    <row r="287" spans="1:11" ht="15">
      <c r="A287" s="781" t="s">
        <v>191</v>
      </c>
      <c r="B287" s="781" t="s">
        <v>1456</v>
      </c>
      <c r="C287" s="752">
        <v>1038.83</v>
      </c>
      <c r="D287" s="825"/>
      <c r="E287" s="825"/>
      <c r="J287" s="839"/>
    </row>
    <row r="288" spans="1:11" ht="15">
      <c r="A288" s="781" t="s">
        <v>476</v>
      </c>
      <c r="B288" s="781" t="s">
        <v>1589</v>
      </c>
      <c r="C288" s="752">
        <v>105.17</v>
      </c>
      <c r="D288" s="825"/>
      <c r="E288" s="825"/>
      <c r="J288" s="839"/>
    </row>
    <row r="289" spans="1:11" ht="15">
      <c r="A289" s="781" t="s">
        <v>543</v>
      </c>
      <c r="B289" s="781" t="s">
        <v>1620</v>
      </c>
      <c r="C289" s="752">
        <v>148.66999999999999</v>
      </c>
      <c r="D289" s="825"/>
      <c r="E289" s="825"/>
      <c r="J289" s="839"/>
    </row>
    <row r="290" spans="1:11" ht="15">
      <c r="A290" s="781" t="s">
        <v>349</v>
      </c>
      <c r="B290" s="781" t="s">
        <v>1526</v>
      </c>
      <c r="C290" s="752">
        <v>280.83999999999997</v>
      </c>
      <c r="D290" s="825"/>
      <c r="E290" s="825"/>
      <c r="J290" s="839"/>
    </row>
    <row r="291" spans="1:11" ht="15">
      <c r="A291" s="781" t="s">
        <v>454</v>
      </c>
      <c r="B291" s="781" t="s">
        <v>1579</v>
      </c>
      <c r="C291" s="752">
        <v>48.83</v>
      </c>
      <c r="D291" s="825"/>
      <c r="E291" s="825"/>
      <c r="J291" s="839"/>
    </row>
    <row r="292" spans="1:11" ht="15">
      <c r="A292" s="781" t="s">
        <v>49</v>
      </c>
      <c r="B292" s="781" t="s">
        <v>1390</v>
      </c>
      <c r="C292" s="752">
        <v>2890.17</v>
      </c>
      <c r="D292" s="825"/>
      <c r="E292" s="825"/>
      <c r="J292" s="847"/>
    </row>
    <row r="293" spans="1:11" ht="15">
      <c r="A293" s="781" t="s">
        <v>183</v>
      </c>
      <c r="B293" s="781" t="s">
        <v>1453</v>
      </c>
      <c r="C293" s="752">
        <v>76.67</v>
      </c>
      <c r="D293" s="825"/>
      <c r="E293" s="825"/>
      <c r="J293" s="838"/>
      <c r="K293" s="848"/>
    </row>
    <row r="294" spans="1:11" ht="15">
      <c r="A294" s="781" t="s">
        <v>488</v>
      </c>
      <c r="B294" s="781" t="s">
        <v>1595</v>
      </c>
      <c r="C294" s="752">
        <v>15.5</v>
      </c>
      <c r="D294" s="825"/>
      <c r="E294" s="825"/>
      <c r="J294" s="839"/>
    </row>
    <row r="295" spans="1:11" ht="15">
      <c r="A295" s="781" t="s">
        <v>114</v>
      </c>
      <c r="B295" s="781" t="s">
        <v>634</v>
      </c>
      <c r="C295" s="752">
        <v>1251.17</v>
      </c>
      <c r="D295" s="825"/>
      <c r="E295" s="825"/>
      <c r="J295" s="839"/>
    </row>
    <row r="296" spans="1:11" ht="15">
      <c r="A296" s="781" t="s">
        <v>500</v>
      </c>
      <c r="B296" s="781" t="s">
        <v>1600</v>
      </c>
      <c r="C296" s="752">
        <v>6.5</v>
      </c>
      <c r="D296" s="825"/>
      <c r="E296" s="825"/>
      <c r="J296" s="839"/>
    </row>
    <row r="297" spans="1:11" ht="15">
      <c r="A297" s="781" t="s">
        <v>492</v>
      </c>
      <c r="B297" s="781" t="s">
        <v>641</v>
      </c>
      <c r="C297" s="752">
        <v>816.5</v>
      </c>
      <c r="D297" s="825"/>
      <c r="E297" s="825"/>
      <c r="J297" s="839"/>
    </row>
    <row r="298" spans="1:11" ht="15">
      <c r="A298" s="781" t="s">
        <v>567</v>
      </c>
      <c r="B298" s="781" t="s">
        <v>1630</v>
      </c>
      <c r="C298" s="752">
        <v>1032.17</v>
      </c>
      <c r="D298" s="825"/>
      <c r="E298" s="825"/>
      <c r="J298" s="839"/>
    </row>
    <row r="299" spans="1:11" ht="15">
      <c r="A299" s="781" t="s">
        <v>118</v>
      </c>
      <c r="B299" s="781" t="s">
        <v>1422</v>
      </c>
      <c r="C299" s="752">
        <v>234.17</v>
      </c>
      <c r="D299" s="825"/>
      <c r="E299" s="825"/>
      <c r="J299" s="839"/>
    </row>
    <row r="300" spans="1:11" ht="15">
      <c r="A300" s="783" t="s">
        <v>56</v>
      </c>
      <c r="B300" s="781" t="s">
        <v>854</v>
      </c>
      <c r="C300" s="752">
        <v>65</v>
      </c>
      <c r="D300" s="825"/>
      <c r="E300" s="825"/>
      <c r="J300" s="839"/>
    </row>
    <row r="301" spans="1:11" ht="15">
      <c r="A301" s="783" t="s">
        <v>0</v>
      </c>
      <c r="B301" s="781" t="s">
        <v>1369</v>
      </c>
      <c r="C301" s="752">
        <v>0.33</v>
      </c>
      <c r="D301" s="825"/>
      <c r="E301" s="825"/>
      <c r="J301" s="839"/>
    </row>
    <row r="302" spans="1:11" ht="15">
      <c r="A302" s="783" t="s">
        <v>92</v>
      </c>
      <c r="B302" s="781" t="s">
        <v>1410</v>
      </c>
      <c r="C302" s="752">
        <v>13.17</v>
      </c>
      <c r="D302" s="825"/>
      <c r="E302" s="825"/>
      <c r="J302" s="839"/>
    </row>
    <row r="303" spans="1:11" ht="15">
      <c r="A303" s="783" t="s">
        <v>452</v>
      </c>
      <c r="B303" s="781" t="s">
        <v>1578</v>
      </c>
      <c r="C303" s="752">
        <v>0</v>
      </c>
      <c r="D303" s="825"/>
      <c r="E303" s="825"/>
      <c r="J303" s="839"/>
    </row>
    <row r="304" spans="1:11" ht="15">
      <c r="A304" s="783" t="s">
        <v>37</v>
      </c>
      <c r="B304" s="781" t="s">
        <v>1384</v>
      </c>
      <c r="C304" s="752">
        <v>1589</v>
      </c>
      <c r="D304" s="825"/>
      <c r="E304" s="825"/>
      <c r="J304" s="839"/>
    </row>
    <row r="305" spans="1:10" ht="15">
      <c r="A305" s="783" t="s">
        <v>443</v>
      </c>
      <c r="B305" s="781" t="s">
        <v>1573</v>
      </c>
      <c r="C305" s="752">
        <v>108</v>
      </c>
      <c r="D305" s="825"/>
      <c r="E305" s="825"/>
      <c r="J305" s="839"/>
    </row>
    <row r="306" spans="1:10" ht="15">
      <c r="A306" s="783" t="s">
        <v>569</v>
      </c>
      <c r="B306" s="781" t="s">
        <v>1631</v>
      </c>
      <c r="C306" s="752">
        <v>409.66</v>
      </c>
      <c r="D306" s="825"/>
      <c r="E306" s="825"/>
      <c r="J306" s="839"/>
    </row>
    <row r="307" spans="1:10" ht="15">
      <c r="A307" s="783" t="s">
        <v>1759</v>
      </c>
      <c r="B307" s="781" t="s">
        <v>1788</v>
      </c>
      <c r="C307" s="752">
        <v>0</v>
      </c>
      <c r="D307" s="825"/>
      <c r="E307" s="825"/>
      <c r="J307" s="839"/>
    </row>
    <row r="308" spans="1:10" ht="15">
      <c r="A308" s="783" t="s">
        <v>276</v>
      </c>
      <c r="B308" s="781" t="s">
        <v>1492</v>
      </c>
      <c r="C308" s="752">
        <v>0</v>
      </c>
      <c r="D308" s="825"/>
      <c r="E308" s="825"/>
      <c r="J308" s="839"/>
    </row>
    <row r="309" spans="1:10" ht="15">
      <c r="A309" s="783" t="s">
        <v>367</v>
      </c>
      <c r="B309" s="781" t="s">
        <v>1533</v>
      </c>
      <c r="C309" s="752">
        <v>131.5</v>
      </c>
      <c r="D309" s="825"/>
      <c r="E309" s="825"/>
      <c r="J309" s="839"/>
    </row>
    <row r="310" spans="1:10" ht="15">
      <c r="A310" s="783" t="s">
        <v>248</v>
      </c>
      <c r="B310" s="781" t="s">
        <v>1480</v>
      </c>
      <c r="C310" s="752">
        <v>189.67</v>
      </c>
      <c r="D310" s="825"/>
      <c r="E310" s="825"/>
      <c r="J310" s="839"/>
    </row>
    <row r="311" spans="1:10" ht="15">
      <c r="A311" s="783" t="s">
        <v>289</v>
      </c>
      <c r="B311" s="781" t="s">
        <v>1498</v>
      </c>
      <c r="C311" s="752">
        <v>0</v>
      </c>
      <c r="D311" s="825"/>
      <c r="E311" s="825"/>
      <c r="J311" s="839"/>
    </row>
    <row r="312" spans="1:10" ht="15">
      <c r="A312" s="813" t="s">
        <v>332</v>
      </c>
      <c r="B312" s="781" t="s">
        <v>1517</v>
      </c>
      <c r="C312" s="752">
        <v>5.67</v>
      </c>
      <c r="D312" s="825"/>
      <c r="E312" s="825"/>
      <c r="J312" s="839"/>
    </row>
    <row r="313" spans="1:10" ht="15">
      <c r="A313" s="813" t="s">
        <v>1717</v>
      </c>
      <c r="B313" s="781" t="s">
        <v>1791</v>
      </c>
      <c r="C313" s="752">
        <v>9.33</v>
      </c>
      <c r="D313" s="825"/>
      <c r="E313" s="825"/>
      <c r="J313" s="839"/>
    </row>
    <row r="314" spans="1:10" ht="15">
      <c r="A314" s="783" t="s">
        <v>129</v>
      </c>
      <c r="B314" s="781" t="s">
        <v>1427</v>
      </c>
      <c r="C314" s="752">
        <v>3</v>
      </c>
      <c r="D314" s="825"/>
      <c r="E314" s="825"/>
      <c r="J314" s="839"/>
    </row>
    <row r="315" spans="1:10" ht="15">
      <c r="A315" s="783" t="s">
        <v>264</v>
      </c>
      <c r="B315" s="781" t="s">
        <v>1486</v>
      </c>
      <c r="C315" s="752">
        <v>51.17</v>
      </c>
      <c r="D315" s="825"/>
      <c r="E315" s="825"/>
      <c r="J315" s="839"/>
    </row>
    <row r="316" spans="1:10" ht="15">
      <c r="A316" s="783" t="s">
        <v>151</v>
      </c>
      <c r="B316" s="781" t="s">
        <v>1437</v>
      </c>
      <c r="C316" s="752">
        <v>0</v>
      </c>
      <c r="D316" s="825"/>
      <c r="E316" s="825"/>
      <c r="J316" s="839"/>
    </row>
    <row r="317" spans="1:10" ht="15">
      <c r="A317" s="783" t="s">
        <v>232</v>
      </c>
      <c r="B317" s="781" t="s">
        <v>1472</v>
      </c>
      <c r="C317" s="752">
        <v>0</v>
      </c>
      <c r="D317" s="825"/>
      <c r="E317" s="825"/>
      <c r="J317" s="839"/>
    </row>
    <row r="318" spans="1:10" ht="15">
      <c r="A318" s="783" t="s">
        <v>78</v>
      </c>
      <c r="B318" s="781" t="s">
        <v>1403</v>
      </c>
      <c r="C318" s="752">
        <v>190.5</v>
      </c>
      <c r="D318" s="825"/>
      <c r="E318" s="825"/>
      <c r="J318" s="839"/>
    </row>
    <row r="319" spans="1:10" ht="15">
      <c r="A319" s="813" t="s">
        <v>547</v>
      </c>
      <c r="B319" s="781" t="s">
        <v>1622</v>
      </c>
      <c r="C319" s="752">
        <v>4617</v>
      </c>
      <c r="D319" s="825"/>
      <c r="E319" s="825"/>
      <c r="J319" s="839"/>
    </row>
    <row r="320" spans="1:10" ht="15">
      <c r="A320" s="813" t="s">
        <v>472</v>
      </c>
      <c r="B320" s="781" t="s">
        <v>1588</v>
      </c>
      <c r="C320" s="752">
        <v>149.16999999999999</v>
      </c>
      <c r="D320" s="825"/>
      <c r="E320" s="825"/>
      <c r="J320" s="839"/>
    </row>
    <row r="321" spans="1:10" ht="15">
      <c r="A321" s="813" t="s">
        <v>565</v>
      </c>
      <c r="B321" s="781" t="s">
        <v>1629</v>
      </c>
      <c r="C321" s="752">
        <v>137.5</v>
      </c>
      <c r="D321" s="825"/>
      <c r="E321" s="825"/>
      <c r="J321" s="839"/>
    </row>
    <row r="322" spans="1:10">
      <c r="D322" s="825"/>
      <c r="E322" s="825"/>
    </row>
    <row r="323" spans="1:10">
      <c r="D323" s="825"/>
      <c r="E323" s="825"/>
    </row>
    <row r="324" spans="1:10">
      <c r="D324" s="825"/>
      <c r="E324" s="825"/>
    </row>
    <row r="325" spans="1:10">
      <c r="D325" s="825"/>
      <c r="E325" s="825"/>
    </row>
    <row r="326" spans="1:10">
      <c r="D326" s="825"/>
      <c r="E326" s="825"/>
    </row>
    <row r="327" spans="1:10">
      <c r="D327" s="825"/>
      <c r="E327" s="825"/>
    </row>
    <row r="328" spans="1:10">
      <c r="D328" s="825"/>
      <c r="E328" s="825"/>
    </row>
    <row r="329" spans="1:10">
      <c r="D329" s="825"/>
      <c r="E329" s="825"/>
    </row>
    <row r="330" spans="1:10">
      <c r="D330" s="825"/>
      <c r="E330" s="825"/>
    </row>
    <row r="331" spans="1:10">
      <c r="D331" s="825"/>
      <c r="E331" s="825"/>
    </row>
    <row r="332" spans="1:10">
      <c r="D332" s="825"/>
      <c r="E332" s="825"/>
    </row>
    <row r="333" spans="1:10">
      <c r="D333" s="825"/>
      <c r="E333" s="825"/>
    </row>
    <row r="334" spans="1:10">
      <c r="D334" s="825"/>
      <c r="E334" s="825"/>
    </row>
    <row r="335" spans="1:10">
      <c r="D335" s="825"/>
      <c r="E335" s="825"/>
    </row>
    <row r="336" spans="1:10">
      <c r="D336" s="825"/>
      <c r="E336" s="825"/>
    </row>
    <row r="337" spans="4:5">
      <c r="D337" s="825"/>
      <c r="E337" s="825"/>
    </row>
    <row r="338" spans="4:5">
      <c r="D338" s="825"/>
      <c r="E338" s="825"/>
    </row>
    <row r="339" spans="4:5">
      <c r="D339" s="825"/>
      <c r="E339" s="825"/>
    </row>
    <row r="340" spans="4:5">
      <c r="D340" s="825"/>
      <c r="E340" s="825"/>
    </row>
    <row r="341" spans="4:5">
      <c r="D341" s="825"/>
      <c r="E341" s="825"/>
    </row>
    <row r="342" spans="4:5">
      <c r="D342" s="825"/>
      <c r="E342" s="825"/>
    </row>
    <row r="343" spans="4:5">
      <c r="D343" s="825"/>
      <c r="E343" s="825"/>
    </row>
    <row r="344" spans="4:5">
      <c r="D344" s="825"/>
      <c r="E344" s="825"/>
    </row>
    <row r="345" spans="4:5">
      <c r="D345" s="825"/>
      <c r="E345" s="825"/>
    </row>
    <row r="346" spans="4:5">
      <c r="D346" s="825"/>
      <c r="E346" s="825"/>
    </row>
    <row r="347" spans="4:5">
      <c r="D347" s="825"/>
      <c r="E347" s="825"/>
    </row>
    <row r="348" spans="4:5">
      <c r="D348" s="825"/>
      <c r="E348" s="825"/>
    </row>
    <row r="349" spans="4:5">
      <c r="D349" s="825"/>
      <c r="E349" s="825"/>
    </row>
    <row r="350" spans="4:5">
      <c r="D350" s="825"/>
      <c r="E350" s="825"/>
    </row>
    <row r="351" spans="4:5">
      <c r="D351" s="825"/>
      <c r="E351" s="825"/>
    </row>
    <row r="352" spans="4:5">
      <c r="D352" s="825"/>
      <c r="E352" s="825"/>
    </row>
    <row r="353" spans="4:5">
      <c r="D353" s="825"/>
      <c r="E353" s="825"/>
    </row>
    <row r="354" spans="4:5">
      <c r="D354" s="825"/>
      <c r="E354" s="825"/>
    </row>
    <row r="355" spans="4:5">
      <c r="D355" s="825"/>
      <c r="E355" s="825"/>
    </row>
    <row r="356" spans="4:5">
      <c r="D356" s="825"/>
      <c r="E356" s="825"/>
    </row>
    <row r="357" spans="4:5">
      <c r="D357" s="825"/>
      <c r="E357" s="825"/>
    </row>
    <row r="358" spans="4:5">
      <c r="D358" s="825"/>
      <c r="E358" s="825"/>
    </row>
    <row r="359" spans="4:5">
      <c r="D359" s="825"/>
      <c r="E359" s="825"/>
    </row>
    <row r="360" spans="4:5">
      <c r="D360" s="825"/>
      <c r="E360" s="825"/>
    </row>
    <row r="361" spans="4:5">
      <c r="D361" s="825"/>
      <c r="E361" s="825"/>
    </row>
    <row r="362" spans="4:5">
      <c r="D362" s="825"/>
      <c r="E362" s="825"/>
    </row>
    <row r="363" spans="4:5">
      <c r="D363" s="825"/>
      <c r="E363" s="825"/>
    </row>
    <row r="364" spans="4:5">
      <c r="D364" s="825"/>
      <c r="E364" s="825"/>
    </row>
    <row r="365" spans="4:5">
      <c r="D365" s="825"/>
      <c r="E365" s="825"/>
    </row>
    <row r="366" spans="4:5">
      <c r="D366" s="825"/>
      <c r="E366" s="825"/>
    </row>
    <row r="367" spans="4:5">
      <c r="D367" s="825"/>
      <c r="E367" s="825"/>
    </row>
    <row r="368" spans="4:5">
      <c r="D368" s="825"/>
      <c r="E368" s="82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7"/>
  <dimension ref="A1:M199"/>
  <sheetViews>
    <sheetView workbookViewId="0">
      <selection activeCell="G6" sqref="G6"/>
    </sheetView>
  </sheetViews>
  <sheetFormatPr defaultColWidth="9.140625" defaultRowHeight="15"/>
  <cols>
    <col min="1" max="1" width="4.5703125" style="285" bestFit="1" customWidth="1"/>
    <col min="2" max="2" width="7.5703125" style="285" bestFit="1" customWidth="1"/>
    <col min="3" max="3" width="21" style="285" bestFit="1" customWidth="1"/>
    <col min="4" max="4" width="31.42578125" style="285" bestFit="1" customWidth="1"/>
    <col min="5" max="5" width="8" style="285" customWidth="1"/>
    <col min="6" max="6" width="5.85546875" style="292" customWidth="1"/>
    <col min="7" max="7" width="10.5703125" style="285" customWidth="1"/>
    <col min="8" max="9" width="10.85546875" style="285" customWidth="1"/>
    <col min="10" max="10" width="7.85546875" style="285" customWidth="1"/>
    <col min="11" max="11" width="9.5703125" style="285" customWidth="1"/>
    <col min="12" max="16384" width="9.140625" style="285"/>
  </cols>
  <sheetData>
    <row r="1" spans="1:13" ht="45">
      <c r="A1" s="278" t="s">
        <v>591</v>
      </c>
      <c r="B1" s="278" t="s">
        <v>592</v>
      </c>
      <c r="C1" s="279" t="s">
        <v>593</v>
      </c>
      <c r="D1" s="280" t="s">
        <v>780</v>
      </c>
      <c r="E1" s="279" t="s">
        <v>781</v>
      </c>
      <c r="F1" s="281" t="s">
        <v>782</v>
      </c>
      <c r="G1" s="282" t="s">
        <v>783</v>
      </c>
      <c r="H1" s="283" t="s">
        <v>777</v>
      </c>
      <c r="I1" s="283" t="s">
        <v>778</v>
      </c>
      <c r="J1" s="283" t="s">
        <v>745</v>
      </c>
      <c r="K1" s="283" t="s">
        <v>784</v>
      </c>
      <c r="L1" s="284"/>
      <c r="M1" s="284" t="s">
        <v>752</v>
      </c>
    </row>
    <row r="2" spans="1:13">
      <c r="A2" s="286" t="s">
        <v>594</v>
      </c>
      <c r="B2" s="286" t="s">
        <v>132</v>
      </c>
      <c r="C2" s="287" t="s">
        <v>133</v>
      </c>
      <c r="D2" s="288">
        <v>40192</v>
      </c>
      <c r="E2" s="286" t="s">
        <v>781</v>
      </c>
      <c r="F2" s="289"/>
      <c r="G2" s="288"/>
      <c r="H2" s="286">
        <v>263.57142857142856</v>
      </c>
      <c r="I2" s="286">
        <v>0</v>
      </c>
      <c r="J2" s="286"/>
      <c r="K2" s="286">
        <v>264.57142857142856</v>
      </c>
      <c r="M2" s="285" t="str">
        <f>IF(ISBLANK(E2),F2,E2)</f>
        <v>Yes</v>
      </c>
    </row>
    <row r="3" spans="1:13">
      <c r="A3" s="286" t="s">
        <v>595</v>
      </c>
      <c r="B3" s="286" t="s">
        <v>380</v>
      </c>
      <c r="C3" s="287" t="s">
        <v>381</v>
      </c>
      <c r="E3" s="288"/>
      <c r="F3" s="289" t="s">
        <v>782</v>
      </c>
      <c r="G3" s="288">
        <v>6011</v>
      </c>
      <c r="H3" s="286">
        <v>39.571428571428569</v>
      </c>
      <c r="I3" s="286">
        <v>0</v>
      </c>
      <c r="J3" s="286"/>
      <c r="K3" s="286">
        <v>39.571428571428569</v>
      </c>
      <c r="M3" s="285" t="str">
        <f t="shared" ref="M3:M66" si="0">IF(ISBLANK(E3),F3,E3)</f>
        <v>No</v>
      </c>
    </row>
    <row r="4" spans="1:13">
      <c r="A4" s="286" t="s">
        <v>595</v>
      </c>
      <c r="B4" s="286" t="s">
        <v>403</v>
      </c>
      <c r="C4" s="287" t="s">
        <v>404</v>
      </c>
      <c r="D4" s="288">
        <v>24480</v>
      </c>
      <c r="E4" s="288" t="s">
        <v>781</v>
      </c>
      <c r="F4" s="289"/>
      <c r="G4" s="288"/>
      <c r="H4" s="286">
        <v>161.14285714285714</v>
      </c>
      <c r="I4" s="290">
        <v>0</v>
      </c>
      <c r="J4" s="286"/>
      <c r="K4" s="286">
        <v>161.14285714285714</v>
      </c>
      <c r="M4" s="285" t="str">
        <f t="shared" si="0"/>
        <v>Yes</v>
      </c>
    </row>
    <row r="5" spans="1:13">
      <c r="A5" s="286" t="s">
        <v>597</v>
      </c>
      <c r="B5" s="286" t="s">
        <v>195</v>
      </c>
      <c r="C5" s="287" t="s">
        <v>196</v>
      </c>
      <c r="D5" s="288">
        <v>231149</v>
      </c>
      <c r="E5" s="288" t="s">
        <v>781</v>
      </c>
      <c r="F5" s="289"/>
      <c r="G5" s="288"/>
      <c r="H5" s="286">
        <v>1521.5714285714287</v>
      </c>
      <c r="I5" s="290">
        <v>0</v>
      </c>
      <c r="J5" s="286"/>
      <c r="K5" s="286">
        <v>1521.5714285714287</v>
      </c>
      <c r="M5" s="285" t="str">
        <f t="shared" si="0"/>
        <v>Yes</v>
      </c>
    </row>
    <row r="6" spans="1:13">
      <c r="A6" s="286" t="s">
        <v>597</v>
      </c>
      <c r="B6" s="286" t="s">
        <v>213</v>
      </c>
      <c r="C6" s="287" t="s">
        <v>598</v>
      </c>
      <c r="E6" s="288"/>
      <c r="F6" s="289" t="s">
        <v>782</v>
      </c>
      <c r="G6" s="288">
        <v>3798</v>
      </c>
      <c r="H6" s="286">
        <v>25</v>
      </c>
      <c r="I6" s="286">
        <v>0</v>
      </c>
      <c r="J6" s="286"/>
      <c r="K6" s="286">
        <v>25</v>
      </c>
      <c r="M6" s="285" t="str">
        <f t="shared" si="0"/>
        <v>No</v>
      </c>
    </row>
    <row r="7" spans="1:13">
      <c r="A7" s="286" t="s">
        <v>599</v>
      </c>
      <c r="B7" s="286" t="s">
        <v>62</v>
      </c>
      <c r="C7" s="287" t="s">
        <v>63</v>
      </c>
      <c r="D7" s="288">
        <v>93905</v>
      </c>
      <c r="E7" s="288" t="s">
        <v>781</v>
      </c>
      <c r="F7" s="289"/>
      <c r="G7" s="288"/>
      <c r="H7" s="286">
        <v>618.14285714285711</v>
      </c>
      <c r="I7" s="286">
        <v>0</v>
      </c>
      <c r="J7" s="286"/>
      <c r="K7" s="286">
        <v>618.14285714285711</v>
      </c>
      <c r="M7" s="285" t="str">
        <f t="shared" si="0"/>
        <v>Yes</v>
      </c>
    </row>
    <row r="8" spans="1:13">
      <c r="A8" s="286" t="s">
        <v>597</v>
      </c>
      <c r="B8" s="286" t="s">
        <v>189</v>
      </c>
      <c r="C8" s="287" t="s">
        <v>190</v>
      </c>
      <c r="D8" s="288">
        <v>231822</v>
      </c>
      <c r="E8" s="288" t="s">
        <v>781</v>
      </c>
      <c r="F8" s="289"/>
      <c r="G8" s="288"/>
      <c r="H8" s="286">
        <v>1526</v>
      </c>
      <c r="I8" s="286">
        <v>0</v>
      </c>
      <c r="J8" s="286"/>
      <c r="K8" s="286">
        <v>1526</v>
      </c>
      <c r="M8" s="285" t="str">
        <f t="shared" si="0"/>
        <v>Yes</v>
      </c>
    </row>
    <row r="9" spans="1:13">
      <c r="A9" s="286" t="s">
        <v>595</v>
      </c>
      <c r="B9" s="286" t="s">
        <v>504</v>
      </c>
      <c r="C9" s="287" t="s">
        <v>505</v>
      </c>
      <c r="D9" s="288">
        <v>84334</v>
      </c>
      <c r="E9" s="288" t="s">
        <v>781</v>
      </c>
      <c r="F9" s="289"/>
      <c r="G9" s="288"/>
      <c r="H9" s="286">
        <v>555.14285714285711</v>
      </c>
      <c r="I9" s="290">
        <v>0</v>
      </c>
      <c r="J9" s="286"/>
      <c r="K9" s="286">
        <v>555.14285714285711</v>
      </c>
      <c r="M9" s="285" t="str">
        <f t="shared" si="0"/>
        <v>Yes</v>
      </c>
    </row>
    <row r="10" spans="1:13">
      <c r="A10" s="286" t="s">
        <v>597</v>
      </c>
      <c r="B10" s="286" t="s">
        <v>363</v>
      </c>
      <c r="C10" s="287" t="s">
        <v>364</v>
      </c>
      <c r="D10" s="288">
        <v>37914</v>
      </c>
      <c r="E10" s="288" t="s">
        <v>781</v>
      </c>
      <c r="F10" s="289"/>
      <c r="G10" s="288"/>
      <c r="H10" s="286">
        <v>249.57142857142858</v>
      </c>
      <c r="I10" s="286">
        <v>0</v>
      </c>
      <c r="J10" s="286"/>
      <c r="K10" s="286">
        <v>249.57142857142858</v>
      </c>
      <c r="M10" s="285" t="str">
        <f t="shared" si="0"/>
        <v>Yes</v>
      </c>
    </row>
    <row r="11" spans="1:13">
      <c r="A11" s="286" t="s">
        <v>595</v>
      </c>
      <c r="B11" s="286" t="s">
        <v>508</v>
      </c>
      <c r="C11" s="287" t="s">
        <v>509</v>
      </c>
      <c r="D11" s="288">
        <v>15604</v>
      </c>
      <c r="E11" s="288" t="s">
        <v>781</v>
      </c>
      <c r="F11" s="289"/>
      <c r="G11" s="288"/>
      <c r="H11" s="286">
        <v>102.71428571428571</v>
      </c>
      <c r="I11" s="290">
        <v>0</v>
      </c>
      <c r="J11" s="286"/>
      <c r="K11" s="286">
        <v>102.71428571428571</v>
      </c>
      <c r="M11" s="285" t="str">
        <f t="shared" si="0"/>
        <v>Yes</v>
      </c>
    </row>
    <row r="12" spans="1:13">
      <c r="A12" s="286" t="s">
        <v>600</v>
      </c>
      <c r="B12" s="286" t="s">
        <v>211</v>
      </c>
      <c r="C12" s="287" t="s">
        <v>212</v>
      </c>
      <c r="D12" s="288">
        <v>18664</v>
      </c>
      <c r="E12" s="288" t="s">
        <v>781</v>
      </c>
      <c r="F12" s="289"/>
      <c r="G12" s="288"/>
      <c r="H12" s="286">
        <v>122.85714285714286</v>
      </c>
      <c r="I12" s="286">
        <v>0</v>
      </c>
      <c r="J12" s="286"/>
      <c r="K12" s="286">
        <v>122.85714285714286</v>
      </c>
      <c r="M12" s="285" t="str">
        <f t="shared" si="0"/>
        <v>Yes</v>
      </c>
    </row>
    <row r="13" spans="1:13">
      <c r="A13" s="286" t="s">
        <v>601</v>
      </c>
      <c r="B13" s="286" t="s">
        <v>315</v>
      </c>
      <c r="C13" s="287" t="s">
        <v>316</v>
      </c>
      <c r="D13" s="288">
        <v>56122</v>
      </c>
      <c r="E13" s="288" t="s">
        <v>781</v>
      </c>
      <c r="F13" s="289"/>
      <c r="G13" s="288"/>
      <c r="H13" s="286">
        <v>369.42857142857144</v>
      </c>
      <c r="I13" s="286">
        <v>0</v>
      </c>
      <c r="J13" s="286"/>
      <c r="K13" s="286">
        <v>369.42857142857144</v>
      </c>
      <c r="M13" s="285" t="str">
        <f t="shared" si="0"/>
        <v>Yes</v>
      </c>
    </row>
    <row r="14" spans="1:13">
      <c r="A14" s="286" t="s">
        <v>601</v>
      </c>
      <c r="B14" s="286" t="s">
        <v>84</v>
      </c>
      <c r="C14" s="287" t="s">
        <v>85</v>
      </c>
      <c r="D14" s="288">
        <v>47680</v>
      </c>
      <c r="E14" s="288" t="s">
        <v>781</v>
      </c>
      <c r="F14" s="289"/>
      <c r="G14" s="288"/>
      <c r="H14" s="286">
        <v>313.85714285714283</v>
      </c>
      <c r="I14" s="286">
        <v>0</v>
      </c>
      <c r="J14" s="286"/>
      <c r="K14" s="286">
        <v>313.85714285714283</v>
      </c>
      <c r="M14" s="285" t="str">
        <f t="shared" si="0"/>
        <v>Yes</v>
      </c>
    </row>
    <row r="15" spans="1:13">
      <c r="A15" s="286" t="s">
        <v>595</v>
      </c>
      <c r="B15" s="286" t="s">
        <v>378</v>
      </c>
      <c r="C15" s="287" t="s">
        <v>602</v>
      </c>
      <c r="D15" s="288">
        <v>83249</v>
      </c>
      <c r="E15" s="288" t="s">
        <v>781</v>
      </c>
      <c r="F15" s="289"/>
      <c r="G15" s="288"/>
      <c r="H15" s="286">
        <v>548</v>
      </c>
      <c r="I15" s="286">
        <v>0</v>
      </c>
      <c r="J15" s="286"/>
      <c r="K15" s="286">
        <v>548</v>
      </c>
      <c r="M15" s="285" t="str">
        <f t="shared" si="0"/>
        <v>Yes</v>
      </c>
    </row>
    <row r="16" spans="1:13">
      <c r="A16" s="286" t="s">
        <v>599</v>
      </c>
      <c r="B16" s="286" t="s">
        <v>60</v>
      </c>
      <c r="C16" s="287" t="s">
        <v>61</v>
      </c>
      <c r="D16" s="288">
        <v>18338</v>
      </c>
      <c r="E16" s="288" t="s">
        <v>781</v>
      </c>
      <c r="F16" s="289"/>
      <c r="G16" s="288"/>
      <c r="H16" s="286">
        <v>120.71428571428571</v>
      </c>
      <c r="I16" s="286">
        <v>0</v>
      </c>
      <c r="J16" s="286"/>
      <c r="K16" s="286">
        <v>120.71428571428571</v>
      </c>
      <c r="M16" s="285" t="str">
        <f t="shared" si="0"/>
        <v>Yes</v>
      </c>
    </row>
    <row r="17" spans="1:13">
      <c r="A17" s="286" t="s">
        <v>600</v>
      </c>
      <c r="B17" s="286" t="s">
        <v>45</v>
      </c>
      <c r="C17" s="289" t="s">
        <v>46</v>
      </c>
      <c r="D17" s="289">
        <v>12327</v>
      </c>
      <c r="E17" s="289" t="s">
        <v>781</v>
      </c>
      <c r="F17" s="289"/>
      <c r="G17" s="289"/>
      <c r="H17" s="290">
        <v>81.142857142857139</v>
      </c>
      <c r="I17" s="290">
        <v>0</v>
      </c>
      <c r="J17" s="290"/>
      <c r="K17" s="290">
        <v>81.142857142857139</v>
      </c>
      <c r="M17" s="285" t="str">
        <f t="shared" si="0"/>
        <v>Yes</v>
      </c>
    </row>
    <row r="18" spans="1:13">
      <c r="A18" s="286" t="s">
        <v>601</v>
      </c>
      <c r="B18" s="286" t="s">
        <v>35</v>
      </c>
      <c r="C18" s="287" t="s">
        <v>36</v>
      </c>
      <c r="D18" s="288">
        <v>23417</v>
      </c>
      <c r="E18" s="288" t="s">
        <v>781</v>
      </c>
      <c r="F18" s="289"/>
      <c r="G18" s="288"/>
      <c r="H18" s="286">
        <v>154.14285714285714</v>
      </c>
      <c r="I18" s="290">
        <v>0</v>
      </c>
      <c r="J18" s="286"/>
      <c r="K18" s="286">
        <v>154.14285714285714</v>
      </c>
      <c r="M18" s="285" t="str">
        <f t="shared" si="0"/>
        <v>Yes</v>
      </c>
    </row>
    <row r="19" spans="1:13">
      <c r="A19" s="286" t="s">
        <v>601</v>
      </c>
      <c r="B19" s="286" t="s">
        <v>33</v>
      </c>
      <c r="C19" s="287" t="s">
        <v>34</v>
      </c>
      <c r="D19" s="288">
        <v>27063</v>
      </c>
      <c r="E19" s="288" t="s">
        <v>781</v>
      </c>
      <c r="F19" s="289"/>
      <c r="G19" s="288"/>
      <c r="H19" s="286">
        <v>178.14285714285714</v>
      </c>
      <c r="I19" s="286">
        <v>0</v>
      </c>
      <c r="J19" s="286"/>
      <c r="K19" s="286">
        <v>178.14285714285714</v>
      </c>
      <c r="M19" s="285" t="str">
        <f t="shared" si="0"/>
        <v>Yes</v>
      </c>
    </row>
    <row r="20" spans="1:13">
      <c r="A20" s="286" t="s">
        <v>599</v>
      </c>
      <c r="B20" s="286" t="s">
        <v>74</v>
      </c>
      <c r="C20" s="287" t="s">
        <v>75</v>
      </c>
      <c r="E20" s="288"/>
      <c r="F20" s="289" t="s">
        <v>782</v>
      </c>
      <c r="G20" s="288">
        <v>2843</v>
      </c>
      <c r="H20" s="286">
        <v>18.714285714285715</v>
      </c>
      <c r="I20" s="286">
        <v>0</v>
      </c>
      <c r="J20" s="286"/>
      <c r="K20" s="286">
        <v>18.714285714285715</v>
      </c>
      <c r="M20" s="285" t="str">
        <f t="shared" si="0"/>
        <v>No</v>
      </c>
    </row>
    <row r="21" spans="1:13">
      <c r="A21" s="286" t="s">
        <v>600</v>
      </c>
      <c r="B21" s="286" t="s">
        <v>216</v>
      </c>
      <c r="C21" s="287" t="s">
        <v>217</v>
      </c>
      <c r="D21" s="288">
        <v>27128</v>
      </c>
      <c r="E21" s="288" t="s">
        <v>781</v>
      </c>
      <c r="F21" s="289"/>
      <c r="G21" s="288"/>
      <c r="H21" s="286">
        <v>178.57142857142858</v>
      </c>
      <c r="I21" s="286">
        <v>0</v>
      </c>
      <c r="J21" s="286"/>
      <c r="K21" s="286">
        <v>178.57142857142858</v>
      </c>
      <c r="M21" s="285" t="str">
        <f t="shared" si="0"/>
        <v>Yes</v>
      </c>
    </row>
    <row r="22" spans="1:13">
      <c r="A22" s="286" t="s">
        <v>603</v>
      </c>
      <c r="B22" s="286" t="s">
        <v>434</v>
      </c>
      <c r="C22" s="287" t="s">
        <v>435</v>
      </c>
      <c r="D22" s="288">
        <v>29667</v>
      </c>
      <c r="E22" s="288" t="s">
        <v>781</v>
      </c>
      <c r="F22" s="289"/>
      <c r="G22" s="288"/>
      <c r="H22" s="286">
        <v>195.28571428571428</v>
      </c>
      <c r="I22" s="286">
        <v>0</v>
      </c>
      <c r="J22" s="286"/>
      <c r="K22" s="286">
        <v>195.28571428571428</v>
      </c>
      <c r="M22" s="285" t="str">
        <f t="shared" si="0"/>
        <v>Yes</v>
      </c>
    </row>
    <row r="23" spans="1:13">
      <c r="A23" s="286" t="s">
        <v>594</v>
      </c>
      <c r="B23" s="286" t="s">
        <v>278</v>
      </c>
      <c r="C23" s="287" t="s">
        <v>279</v>
      </c>
      <c r="D23" s="288">
        <v>38977</v>
      </c>
      <c r="E23" s="288" t="s">
        <v>781</v>
      </c>
      <c r="F23" s="289"/>
      <c r="G23" s="288"/>
      <c r="H23" s="286">
        <v>256.57142857142856</v>
      </c>
      <c r="I23" s="286">
        <v>0</v>
      </c>
      <c r="J23" s="286"/>
      <c r="K23" s="286">
        <v>256.57142857142856</v>
      </c>
      <c r="M23" s="285" t="str">
        <f t="shared" si="0"/>
        <v>Yes</v>
      </c>
    </row>
    <row r="24" spans="1:13">
      <c r="A24" s="286" t="s">
        <v>594</v>
      </c>
      <c r="B24" s="286" t="s">
        <v>274</v>
      </c>
      <c r="C24" s="287" t="s">
        <v>275</v>
      </c>
      <c r="D24" s="288">
        <v>10743</v>
      </c>
      <c r="E24" s="288" t="s">
        <v>781</v>
      </c>
      <c r="F24" s="289"/>
      <c r="G24" s="288"/>
      <c r="H24" s="286">
        <v>70.714285714285708</v>
      </c>
      <c r="I24" s="286">
        <v>0</v>
      </c>
      <c r="J24" s="286"/>
      <c r="K24" s="286">
        <v>70.714285714285708</v>
      </c>
      <c r="M24" s="285" t="str">
        <f t="shared" si="0"/>
        <v>Yes</v>
      </c>
    </row>
    <row r="25" spans="1:13">
      <c r="A25" s="286" t="s">
        <v>603</v>
      </c>
      <c r="B25" s="286" t="s">
        <v>438</v>
      </c>
      <c r="C25" s="287" t="s">
        <v>439</v>
      </c>
      <c r="D25" s="286">
        <v>10157</v>
      </c>
      <c r="E25" s="288"/>
      <c r="F25" s="289" t="s">
        <v>782</v>
      </c>
      <c r="G25" s="291"/>
      <c r="H25" s="286">
        <v>66.857142857142861</v>
      </c>
      <c r="I25" s="286">
        <v>0</v>
      </c>
      <c r="J25" s="286"/>
      <c r="K25" s="286">
        <v>66.857142857142861</v>
      </c>
      <c r="M25" s="285" t="str">
        <f t="shared" si="0"/>
        <v>No</v>
      </c>
    </row>
    <row r="26" spans="1:13">
      <c r="A26" s="286" t="s">
        <v>603</v>
      </c>
      <c r="B26" s="286" t="s">
        <v>450</v>
      </c>
      <c r="C26" s="287" t="s">
        <v>451</v>
      </c>
      <c r="E26" s="288"/>
      <c r="F26" s="289" t="s">
        <v>782</v>
      </c>
      <c r="G26" s="288">
        <v>716</v>
      </c>
      <c r="H26" s="286">
        <v>4.7142857142857144</v>
      </c>
      <c r="I26" s="286">
        <v>0</v>
      </c>
      <c r="J26" s="286"/>
      <c r="K26" s="286">
        <v>4.7142857142857144</v>
      </c>
      <c r="M26" s="285" t="str">
        <f t="shared" si="0"/>
        <v>No</v>
      </c>
    </row>
    <row r="27" spans="1:13">
      <c r="A27" s="286" t="s">
        <v>600</v>
      </c>
      <c r="B27" s="286" t="s">
        <v>169</v>
      </c>
      <c r="C27" s="287" t="s">
        <v>170</v>
      </c>
      <c r="E27" s="288"/>
      <c r="F27" s="289" t="s">
        <v>782</v>
      </c>
      <c r="G27" s="288">
        <v>1649</v>
      </c>
      <c r="H27" s="286">
        <v>10.857142857142858</v>
      </c>
      <c r="I27" s="286">
        <v>0</v>
      </c>
      <c r="J27" s="286"/>
      <c r="K27" s="286">
        <v>10.857142857142858</v>
      </c>
      <c r="M27" s="285" t="str">
        <f t="shared" si="0"/>
        <v>No</v>
      </c>
    </row>
    <row r="28" spans="1:13">
      <c r="A28" s="286" t="s">
        <v>596</v>
      </c>
      <c r="B28" s="286" t="s">
        <v>10</v>
      </c>
      <c r="C28" s="289" t="s">
        <v>11</v>
      </c>
      <c r="D28" s="289">
        <v>4297</v>
      </c>
      <c r="E28" s="289" t="s">
        <v>781</v>
      </c>
      <c r="F28" s="289"/>
      <c r="G28" s="289"/>
      <c r="H28" s="290">
        <v>28.285714285714285</v>
      </c>
      <c r="I28" s="290">
        <v>0</v>
      </c>
      <c r="J28" s="290"/>
      <c r="K28" s="290">
        <v>28.285714285714285</v>
      </c>
      <c r="M28" s="285" t="str">
        <f t="shared" si="0"/>
        <v>Yes</v>
      </c>
    </row>
    <row r="29" spans="1:13">
      <c r="A29" s="286" t="s">
        <v>605</v>
      </c>
      <c r="B29" s="286" t="s">
        <v>230</v>
      </c>
      <c r="C29" s="287" t="s">
        <v>231</v>
      </c>
      <c r="D29" s="288">
        <v>2083</v>
      </c>
      <c r="E29" s="288" t="s">
        <v>781</v>
      </c>
      <c r="F29" s="289"/>
      <c r="G29" s="288"/>
      <c r="H29" s="286">
        <v>13.714285714285714</v>
      </c>
      <c r="I29" s="286">
        <v>0</v>
      </c>
      <c r="J29" s="286"/>
      <c r="K29" s="286">
        <v>13.714285714285714</v>
      </c>
      <c r="M29" s="285" t="str">
        <f t="shared" si="0"/>
        <v>Yes</v>
      </c>
    </row>
    <row r="30" spans="1:13">
      <c r="A30" s="286" t="s">
        <v>597</v>
      </c>
      <c r="B30" s="286" t="s">
        <v>357</v>
      </c>
      <c r="C30" s="287" t="s">
        <v>358</v>
      </c>
      <c r="D30" s="288">
        <v>166716</v>
      </c>
      <c r="E30" s="288" t="s">
        <v>781</v>
      </c>
      <c r="F30" s="289"/>
      <c r="G30" s="288"/>
      <c r="H30" s="286">
        <v>1097.4285714285713</v>
      </c>
      <c r="I30" s="286">
        <v>0</v>
      </c>
      <c r="J30" s="286"/>
      <c r="K30" s="286">
        <v>1097.4285714285713</v>
      </c>
      <c r="M30" s="285" t="str">
        <f t="shared" si="0"/>
        <v>Yes</v>
      </c>
    </row>
    <row r="31" spans="1:13">
      <c r="A31" s="286" t="s">
        <v>596</v>
      </c>
      <c r="B31" s="286" t="s">
        <v>494</v>
      </c>
      <c r="C31" s="287" t="s">
        <v>495</v>
      </c>
      <c r="D31" s="288">
        <v>22744</v>
      </c>
      <c r="E31" s="288" t="s">
        <v>781</v>
      </c>
      <c r="F31" s="289"/>
      <c r="G31" s="288"/>
      <c r="H31" s="286">
        <v>149.71428571428572</v>
      </c>
      <c r="I31" s="286">
        <v>0</v>
      </c>
      <c r="J31" s="286"/>
      <c r="K31" s="286">
        <v>149.71428571428572</v>
      </c>
      <c r="M31" s="285" t="str">
        <f t="shared" si="0"/>
        <v>Yes</v>
      </c>
    </row>
    <row r="32" spans="1:13">
      <c r="A32" s="286" t="s">
        <v>596</v>
      </c>
      <c r="B32" s="286" t="s">
        <v>498</v>
      </c>
      <c r="C32" s="287" t="s">
        <v>499</v>
      </c>
      <c r="D32" s="288">
        <v>11828</v>
      </c>
      <c r="E32" s="288" t="s">
        <v>781</v>
      </c>
      <c r="F32" s="289"/>
      <c r="G32" s="288"/>
      <c r="H32" s="286">
        <v>77.857142857142861</v>
      </c>
      <c r="I32" s="286">
        <v>0</v>
      </c>
      <c r="J32" s="286"/>
      <c r="K32" s="286">
        <v>77.857142857142861</v>
      </c>
      <c r="M32" s="285" t="str">
        <f t="shared" si="0"/>
        <v>Yes</v>
      </c>
    </row>
    <row r="33" spans="1:13">
      <c r="A33" s="286" t="s">
        <v>603</v>
      </c>
      <c r="B33" s="286" t="s">
        <v>456</v>
      </c>
      <c r="C33" s="287" t="s">
        <v>457</v>
      </c>
      <c r="E33" s="288"/>
      <c r="F33" s="289" t="s">
        <v>782</v>
      </c>
      <c r="G33" s="288">
        <v>7031</v>
      </c>
      <c r="H33" s="286">
        <v>46.285714285714285</v>
      </c>
      <c r="I33" s="286">
        <v>0</v>
      </c>
      <c r="J33" s="286"/>
      <c r="K33" s="286">
        <v>46.285714285714285</v>
      </c>
      <c r="M33" s="285" t="str">
        <f t="shared" si="0"/>
        <v>No</v>
      </c>
    </row>
    <row r="34" spans="1:13">
      <c r="A34" s="286" t="s">
        <v>595</v>
      </c>
      <c r="B34" s="286" t="s">
        <v>384</v>
      </c>
      <c r="C34" s="287" t="s">
        <v>385</v>
      </c>
      <c r="E34" s="288"/>
      <c r="F34" s="289" t="s">
        <v>782</v>
      </c>
      <c r="G34" s="288">
        <v>3646</v>
      </c>
      <c r="H34" s="286">
        <v>24</v>
      </c>
      <c r="I34" s="286">
        <v>0</v>
      </c>
      <c r="J34" s="286"/>
      <c r="K34" s="286">
        <v>24</v>
      </c>
      <c r="M34" s="285" t="str">
        <f t="shared" si="0"/>
        <v>No</v>
      </c>
    </row>
    <row r="35" spans="1:13">
      <c r="A35" s="286" t="s">
        <v>595</v>
      </c>
      <c r="B35" s="286" t="s">
        <v>159</v>
      </c>
      <c r="C35" s="289" t="s">
        <v>160</v>
      </c>
      <c r="D35" s="292"/>
      <c r="E35" s="289"/>
      <c r="F35" s="289" t="s">
        <v>782</v>
      </c>
      <c r="G35" s="289">
        <v>3820</v>
      </c>
      <c r="H35" s="286">
        <v>25.142857142857142</v>
      </c>
      <c r="I35" s="286">
        <v>0</v>
      </c>
      <c r="J35" s="286"/>
      <c r="K35" s="286">
        <v>25.142857142857142</v>
      </c>
      <c r="M35" s="285" t="str">
        <f t="shared" si="0"/>
        <v>No</v>
      </c>
    </row>
    <row r="36" spans="1:13">
      <c r="A36" s="286" t="s">
        <v>603</v>
      </c>
      <c r="B36" s="286" t="s">
        <v>338</v>
      </c>
      <c r="C36" s="287" t="s">
        <v>339</v>
      </c>
      <c r="E36" s="288"/>
      <c r="F36" s="289" t="s">
        <v>782</v>
      </c>
      <c r="G36" s="288">
        <v>87</v>
      </c>
      <c r="H36" s="286">
        <v>0.5714285714285714</v>
      </c>
      <c r="I36" s="286">
        <v>0</v>
      </c>
      <c r="J36" s="286"/>
      <c r="K36" s="286">
        <v>0.5714285714285714</v>
      </c>
      <c r="M36" s="285" t="str">
        <f t="shared" si="0"/>
        <v>No</v>
      </c>
    </row>
    <row r="37" spans="1:13">
      <c r="A37" s="286" t="s">
        <v>596</v>
      </c>
      <c r="B37" s="286" t="s">
        <v>66</v>
      </c>
      <c r="C37" s="293" t="s">
        <v>758</v>
      </c>
      <c r="D37" s="288">
        <v>174</v>
      </c>
      <c r="E37" s="288" t="s">
        <v>781</v>
      </c>
      <c r="F37" s="289"/>
      <c r="G37" s="288"/>
      <c r="H37" s="286">
        <v>1.1428571428571428</v>
      </c>
      <c r="I37" s="286">
        <v>0</v>
      </c>
      <c r="J37" s="286"/>
      <c r="K37" s="286">
        <v>1.1428571428571428</v>
      </c>
      <c r="M37" s="285" t="str">
        <f t="shared" si="0"/>
        <v>Yes</v>
      </c>
    </row>
    <row r="38" spans="1:13">
      <c r="A38" s="286" t="s">
        <v>603</v>
      </c>
      <c r="B38" s="286" t="s">
        <v>444</v>
      </c>
      <c r="C38" s="287" t="s">
        <v>445</v>
      </c>
      <c r="E38" s="288"/>
      <c r="F38" s="289" t="s">
        <v>785</v>
      </c>
      <c r="G38" s="288">
        <v>846</v>
      </c>
      <c r="H38" s="286">
        <v>5.5714285714285712</v>
      </c>
      <c r="I38" s="286">
        <v>0</v>
      </c>
      <c r="J38" s="286"/>
      <c r="K38" s="286">
        <v>5.5714285714285712</v>
      </c>
      <c r="M38" s="285" t="str">
        <f t="shared" si="0"/>
        <v>NO</v>
      </c>
    </row>
    <row r="39" spans="1:13">
      <c r="A39" s="286" t="s">
        <v>597</v>
      </c>
      <c r="B39" s="286" t="s">
        <v>353</v>
      </c>
      <c r="C39" s="287" t="s">
        <v>354</v>
      </c>
      <c r="E39" s="288"/>
      <c r="F39" s="289" t="s">
        <v>785</v>
      </c>
      <c r="G39" s="288">
        <v>1237</v>
      </c>
      <c r="H39" s="286">
        <v>8.1428571428571423</v>
      </c>
      <c r="I39" s="286">
        <v>0</v>
      </c>
      <c r="J39" s="286"/>
      <c r="K39" s="286">
        <v>8.1428571428571423</v>
      </c>
      <c r="M39" s="285" t="str">
        <f t="shared" si="0"/>
        <v>NO</v>
      </c>
    </row>
    <row r="40" spans="1:13">
      <c r="A40" s="286" t="s">
        <v>596</v>
      </c>
      <c r="B40" s="286" t="s">
        <v>490</v>
      </c>
      <c r="C40" s="287" t="s">
        <v>491</v>
      </c>
      <c r="E40" s="288"/>
      <c r="F40" s="289" t="s">
        <v>782</v>
      </c>
      <c r="G40" s="288">
        <v>260</v>
      </c>
      <c r="H40" s="286">
        <v>1.7142857142857142</v>
      </c>
      <c r="I40" s="286">
        <v>0</v>
      </c>
      <c r="J40" s="286"/>
      <c r="K40" s="286">
        <v>1.7142857142857142</v>
      </c>
      <c r="M40" s="285" t="str">
        <f t="shared" si="0"/>
        <v>No</v>
      </c>
    </row>
    <row r="41" spans="1:13">
      <c r="A41" s="286" t="s">
        <v>603</v>
      </c>
      <c r="B41" s="286" t="s">
        <v>440</v>
      </c>
      <c r="C41" s="287" t="s">
        <v>606</v>
      </c>
      <c r="D41" s="288">
        <v>17579</v>
      </c>
      <c r="E41" s="288" t="s">
        <v>781</v>
      </c>
      <c r="F41" s="289"/>
      <c r="G41" s="288"/>
      <c r="H41" s="286">
        <v>115.71428571428571</v>
      </c>
      <c r="I41" s="286">
        <v>0</v>
      </c>
      <c r="J41" s="286"/>
      <c r="K41" s="286">
        <v>115.71428571428571</v>
      </c>
      <c r="M41" s="285" t="str">
        <f t="shared" si="0"/>
        <v>Yes</v>
      </c>
    </row>
    <row r="42" spans="1:13">
      <c r="A42" s="286" t="s">
        <v>605</v>
      </c>
      <c r="B42" s="286" t="s">
        <v>549</v>
      </c>
      <c r="C42" s="287" t="s">
        <v>550</v>
      </c>
      <c r="D42" s="288">
        <v>33508</v>
      </c>
      <c r="E42" s="288" t="s">
        <v>781</v>
      </c>
      <c r="F42" s="289"/>
      <c r="G42" s="288"/>
      <c r="H42" s="286">
        <v>220.57142857142858</v>
      </c>
      <c r="I42" s="286">
        <v>0</v>
      </c>
      <c r="J42" s="286"/>
      <c r="K42" s="286">
        <v>220.57142857142858</v>
      </c>
      <c r="M42" s="285" t="str">
        <f t="shared" si="0"/>
        <v>Yes</v>
      </c>
    </row>
    <row r="43" spans="1:13">
      <c r="A43" s="286" t="s">
        <v>601</v>
      </c>
      <c r="B43" s="286" t="s">
        <v>88</v>
      </c>
      <c r="C43" s="287" t="s">
        <v>89</v>
      </c>
      <c r="D43" s="288">
        <v>118928</v>
      </c>
      <c r="E43" s="288" t="s">
        <v>781</v>
      </c>
      <c r="F43" s="289"/>
      <c r="G43" s="288"/>
      <c r="H43" s="286">
        <v>782.85714285714289</v>
      </c>
      <c r="I43" s="286">
        <v>0</v>
      </c>
      <c r="J43" s="286"/>
      <c r="K43" s="286">
        <v>782.85714285714289</v>
      </c>
      <c r="M43" s="285" t="str">
        <f t="shared" si="0"/>
        <v>Yes</v>
      </c>
    </row>
    <row r="44" spans="1:13">
      <c r="A44" s="286" t="s">
        <v>605</v>
      </c>
      <c r="B44" s="286" t="s">
        <v>222</v>
      </c>
      <c r="C44" s="287" t="s">
        <v>223</v>
      </c>
      <c r="D44" s="288">
        <v>846</v>
      </c>
      <c r="E44" s="288"/>
      <c r="F44" s="289" t="s">
        <v>782</v>
      </c>
      <c r="G44" s="288"/>
      <c r="H44" s="286">
        <v>5.5714285714285712</v>
      </c>
      <c r="I44" s="286">
        <v>0</v>
      </c>
      <c r="J44" s="286"/>
      <c r="K44" s="286">
        <v>5.5714285714285712</v>
      </c>
      <c r="M44" s="285" t="str">
        <f t="shared" si="0"/>
        <v>No</v>
      </c>
    </row>
    <row r="45" spans="1:13">
      <c r="A45" s="286" t="s">
        <v>597</v>
      </c>
      <c r="B45" s="286" t="s">
        <v>365</v>
      </c>
      <c r="C45" s="287" t="s">
        <v>366</v>
      </c>
      <c r="D45" s="288">
        <v>1432</v>
      </c>
      <c r="E45" s="288"/>
      <c r="F45" s="289" t="s">
        <v>782</v>
      </c>
      <c r="G45" s="288"/>
      <c r="H45" s="286">
        <v>9.4285714285714288</v>
      </c>
      <c r="I45" s="286">
        <v>0</v>
      </c>
      <c r="J45" s="286"/>
      <c r="K45" s="286">
        <v>9.4285714285714288</v>
      </c>
      <c r="M45" s="285" t="str">
        <f t="shared" si="0"/>
        <v>No</v>
      </c>
    </row>
    <row r="46" spans="1:13">
      <c r="A46" s="286" t="s">
        <v>595</v>
      </c>
      <c r="B46" s="286" t="s">
        <v>401</v>
      </c>
      <c r="C46" s="287" t="s">
        <v>402</v>
      </c>
      <c r="D46" s="288">
        <v>265959</v>
      </c>
      <c r="E46" s="288" t="s">
        <v>781</v>
      </c>
      <c r="F46" s="289"/>
      <c r="G46" s="288"/>
      <c r="H46" s="286">
        <v>1750.7142857142858</v>
      </c>
      <c r="I46" s="286">
        <v>0</v>
      </c>
      <c r="J46" s="286"/>
      <c r="K46" s="286">
        <v>1750.7142857142858</v>
      </c>
      <c r="M46" s="285" t="str">
        <f t="shared" si="0"/>
        <v>Yes</v>
      </c>
    </row>
    <row r="47" spans="1:13">
      <c r="A47" s="286" t="s">
        <v>605</v>
      </c>
      <c r="B47" s="286" t="s">
        <v>226</v>
      </c>
      <c r="C47" s="287" t="s">
        <v>227</v>
      </c>
      <c r="D47" s="288">
        <v>27974</v>
      </c>
      <c r="E47" s="288" t="s">
        <v>781</v>
      </c>
      <c r="F47" s="289"/>
      <c r="G47" s="288"/>
      <c r="H47" s="286">
        <v>184.14285714285714</v>
      </c>
      <c r="I47" s="286">
        <v>0</v>
      </c>
      <c r="J47" s="286"/>
      <c r="K47" s="286">
        <v>184.14285714285714</v>
      </c>
      <c r="M47" s="285" t="str">
        <f t="shared" si="0"/>
        <v>Yes</v>
      </c>
    </row>
    <row r="48" spans="1:13">
      <c r="A48" s="286" t="s">
        <v>594</v>
      </c>
      <c r="B48" s="286" t="s">
        <v>141</v>
      </c>
      <c r="C48" s="287" t="s">
        <v>142</v>
      </c>
      <c r="E48" s="288"/>
      <c r="F48" s="289" t="s">
        <v>757</v>
      </c>
      <c r="G48" s="288">
        <v>8594</v>
      </c>
      <c r="H48" s="286">
        <v>56.571428571428569</v>
      </c>
      <c r="I48" s="286">
        <v>0</v>
      </c>
      <c r="J48" s="286"/>
      <c r="K48" s="286">
        <v>56.571428571428569</v>
      </c>
      <c r="M48" s="285" t="str">
        <f t="shared" si="0"/>
        <v>no</v>
      </c>
    </row>
    <row r="49" spans="1:13">
      <c r="A49" s="286" t="s">
        <v>601</v>
      </c>
      <c r="B49" s="286" t="s">
        <v>29</v>
      </c>
      <c r="C49" s="287" t="s">
        <v>30</v>
      </c>
      <c r="E49" s="288"/>
      <c r="F49" s="289" t="s">
        <v>782</v>
      </c>
      <c r="G49" s="288">
        <v>7053</v>
      </c>
      <c r="H49" s="286">
        <v>46.428571428571431</v>
      </c>
      <c r="I49" s="286">
        <v>0</v>
      </c>
      <c r="J49" s="286"/>
      <c r="K49" s="286">
        <v>46.428571428571431</v>
      </c>
      <c r="M49" s="285" t="str">
        <f t="shared" si="0"/>
        <v>No</v>
      </c>
    </row>
    <row r="50" spans="1:13">
      <c r="A50" s="286" t="s">
        <v>597</v>
      </c>
      <c r="B50" s="286" t="s">
        <v>177</v>
      </c>
      <c r="C50" s="287" t="s">
        <v>178</v>
      </c>
      <c r="D50" s="288">
        <v>18534</v>
      </c>
      <c r="E50" s="288" t="s">
        <v>781</v>
      </c>
      <c r="F50" s="289"/>
      <c r="G50" s="288"/>
      <c r="H50" s="286">
        <v>122</v>
      </c>
      <c r="I50" s="286">
        <v>0</v>
      </c>
      <c r="J50" s="286"/>
      <c r="K50" s="286">
        <v>122</v>
      </c>
      <c r="M50" s="285" t="str">
        <f t="shared" si="0"/>
        <v>Yes</v>
      </c>
    </row>
    <row r="51" spans="1:13">
      <c r="A51" s="286" t="s">
        <v>601</v>
      </c>
      <c r="B51" s="286" t="s">
        <v>127</v>
      </c>
      <c r="C51" s="287" t="s">
        <v>128</v>
      </c>
      <c r="D51" s="288">
        <v>25196</v>
      </c>
      <c r="E51" s="288" t="s">
        <v>781</v>
      </c>
      <c r="F51" s="289"/>
      <c r="G51" s="288"/>
      <c r="H51" s="286">
        <v>165.85714285714286</v>
      </c>
      <c r="I51" s="286">
        <v>0</v>
      </c>
      <c r="J51" s="286"/>
      <c r="K51" s="286">
        <v>165.85714285714286</v>
      </c>
      <c r="M51" s="285" t="str">
        <f t="shared" si="0"/>
        <v>Yes</v>
      </c>
    </row>
    <row r="52" spans="1:13">
      <c r="A52" s="286" t="s">
        <v>595</v>
      </c>
      <c r="B52" s="286" t="s">
        <v>395</v>
      </c>
      <c r="C52" s="287" t="s">
        <v>396</v>
      </c>
      <c r="D52" s="288">
        <v>235490</v>
      </c>
      <c r="E52" s="288" t="s">
        <v>781</v>
      </c>
      <c r="F52" s="289"/>
      <c r="G52" s="288"/>
      <c r="H52" s="286">
        <v>1550.1428571428571</v>
      </c>
      <c r="I52" s="290">
        <v>0</v>
      </c>
      <c r="J52" s="286"/>
      <c r="K52" s="286">
        <v>1550.1428571428571</v>
      </c>
      <c r="M52" s="285" t="str">
        <f t="shared" si="0"/>
        <v>Yes</v>
      </c>
    </row>
    <row r="53" spans="1:13">
      <c r="A53" s="286" t="s">
        <v>599</v>
      </c>
      <c r="B53" s="286" t="s">
        <v>58</v>
      </c>
      <c r="C53" s="287" t="s">
        <v>59</v>
      </c>
      <c r="D53" s="288">
        <v>311577</v>
      </c>
      <c r="E53" s="288" t="s">
        <v>781</v>
      </c>
      <c r="F53" s="289"/>
      <c r="G53" s="288"/>
      <c r="H53" s="286">
        <v>2051</v>
      </c>
      <c r="I53" s="286">
        <v>0</v>
      </c>
      <c r="J53" s="286"/>
      <c r="K53" s="286">
        <v>2051</v>
      </c>
      <c r="M53" s="285" t="str">
        <f t="shared" si="0"/>
        <v>Yes</v>
      </c>
    </row>
    <row r="54" spans="1:13">
      <c r="A54" s="286" t="s">
        <v>597</v>
      </c>
      <c r="B54" s="286" t="s">
        <v>175</v>
      </c>
      <c r="C54" s="287" t="s">
        <v>176</v>
      </c>
      <c r="D54" s="288">
        <v>382608</v>
      </c>
      <c r="E54" s="288" t="s">
        <v>781</v>
      </c>
      <c r="F54" s="289"/>
      <c r="G54" s="288"/>
      <c r="H54" s="286">
        <v>2518.5714285714284</v>
      </c>
      <c r="I54" s="286">
        <v>0</v>
      </c>
      <c r="J54" s="286"/>
      <c r="K54" s="286">
        <v>2518.5714285714284</v>
      </c>
      <c r="M54" s="285" t="str">
        <f t="shared" si="0"/>
        <v>Yes</v>
      </c>
    </row>
    <row r="55" spans="1:13">
      <c r="A55" s="286" t="s">
        <v>595</v>
      </c>
      <c r="B55" s="286" t="s">
        <v>506</v>
      </c>
      <c r="C55" s="287" t="s">
        <v>507</v>
      </c>
      <c r="D55" s="288">
        <v>33812</v>
      </c>
      <c r="E55" s="288" t="s">
        <v>781</v>
      </c>
      <c r="F55" s="289"/>
      <c r="G55" s="288"/>
      <c r="H55" s="286">
        <v>222.57142857142858</v>
      </c>
      <c r="I55" s="286">
        <v>0</v>
      </c>
      <c r="J55" s="286"/>
      <c r="K55" s="286">
        <v>222.57142857142858</v>
      </c>
      <c r="M55" s="285" t="str">
        <f t="shared" si="0"/>
        <v>Yes</v>
      </c>
    </row>
    <row r="56" spans="1:13">
      <c r="A56" s="286" t="s">
        <v>597</v>
      </c>
      <c r="B56" s="286" t="s">
        <v>369</v>
      </c>
      <c r="C56" s="287" t="s">
        <v>370</v>
      </c>
      <c r="D56" s="288">
        <v>48352</v>
      </c>
      <c r="E56" s="288" t="s">
        <v>781</v>
      </c>
      <c r="F56" s="289"/>
      <c r="G56" s="288"/>
      <c r="H56" s="286">
        <v>318.28571428571428</v>
      </c>
      <c r="I56" s="290">
        <v>0</v>
      </c>
      <c r="J56" s="286"/>
      <c r="K56" s="286">
        <v>318.28571428571428</v>
      </c>
      <c r="M56" s="285" t="str">
        <f t="shared" si="0"/>
        <v>Yes</v>
      </c>
    </row>
    <row r="57" spans="1:13">
      <c r="A57" s="286" t="s">
        <v>596</v>
      </c>
      <c r="B57" s="286" t="s">
        <v>19</v>
      </c>
      <c r="C57" s="287" t="s">
        <v>20</v>
      </c>
      <c r="D57" s="288">
        <v>14909</v>
      </c>
      <c r="E57" s="288" t="s">
        <v>781</v>
      </c>
      <c r="F57" s="289"/>
      <c r="G57" s="288"/>
      <c r="H57" s="286">
        <v>98.142857142857139</v>
      </c>
      <c r="I57" s="286">
        <v>0</v>
      </c>
      <c r="J57" s="286"/>
      <c r="K57" s="286">
        <v>98.142857142857139</v>
      </c>
      <c r="M57" s="285" t="str">
        <f t="shared" si="0"/>
        <v>Yes</v>
      </c>
    </row>
    <row r="58" spans="1:13">
      <c r="A58" s="286" t="s">
        <v>597</v>
      </c>
      <c r="B58" s="286" t="s">
        <v>361</v>
      </c>
      <c r="C58" s="287" t="s">
        <v>362</v>
      </c>
      <c r="D58" s="288">
        <v>69186</v>
      </c>
      <c r="E58" s="288" t="s">
        <v>781</v>
      </c>
      <c r="F58" s="289"/>
      <c r="G58" s="288"/>
      <c r="H58" s="286">
        <v>455.42857142857144</v>
      </c>
      <c r="I58" s="286">
        <v>0</v>
      </c>
      <c r="J58" s="286"/>
      <c r="K58" s="286">
        <v>455.42857142857144</v>
      </c>
      <c r="M58" s="285" t="str">
        <f t="shared" si="0"/>
        <v>Yes</v>
      </c>
    </row>
    <row r="59" spans="1:13">
      <c r="A59" s="286" t="s">
        <v>605</v>
      </c>
      <c r="B59" s="286" t="s">
        <v>246</v>
      </c>
      <c r="C59" s="287" t="s">
        <v>247</v>
      </c>
      <c r="D59" s="288">
        <v>5339</v>
      </c>
      <c r="E59" s="288" t="s">
        <v>781</v>
      </c>
      <c r="F59" s="289"/>
      <c r="G59" s="291"/>
      <c r="H59" s="286">
        <v>35.142857142857146</v>
      </c>
      <c r="I59" s="286">
        <v>0</v>
      </c>
      <c r="J59" s="286"/>
      <c r="K59" s="286">
        <v>35.142857142857146</v>
      </c>
      <c r="M59" s="285" t="str">
        <f t="shared" si="0"/>
        <v>Yes</v>
      </c>
    </row>
    <row r="60" spans="1:13">
      <c r="A60" s="286" t="s">
        <v>605</v>
      </c>
      <c r="B60" s="286" t="s">
        <v>555</v>
      </c>
      <c r="C60" s="287" t="s">
        <v>556</v>
      </c>
      <c r="D60" s="288">
        <v>141346</v>
      </c>
      <c r="E60" s="288" t="s">
        <v>781</v>
      </c>
      <c r="F60" s="289"/>
      <c r="G60" s="288"/>
      <c r="H60" s="286">
        <v>930.42857142857144</v>
      </c>
      <c r="I60" s="286">
        <v>0</v>
      </c>
      <c r="J60" s="286"/>
      <c r="K60" s="286">
        <v>930.42857142857144</v>
      </c>
      <c r="M60" s="285" t="str">
        <f t="shared" si="0"/>
        <v>Yes</v>
      </c>
    </row>
    <row r="61" spans="1:13">
      <c r="A61" s="286" t="s">
        <v>605</v>
      </c>
      <c r="B61" s="286" t="s">
        <v>563</v>
      </c>
      <c r="C61" s="287" t="s">
        <v>564</v>
      </c>
      <c r="D61" s="288">
        <v>86722</v>
      </c>
      <c r="E61" s="288" t="s">
        <v>781</v>
      </c>
      <c r="F61" s="289"/>
      <c r="G61" s="288"/>
      <c r="H61" s="286">
        <v>530.85714285714289</v>
      </c>
      <c r="I61" s="286">
        <v>40</v>
      </c>
      <c r="J61" s="286"/>
      <c r="K61" s="286">
        <v>570.85714285714289</v>
      </c>
      <c r="M61" s="285" t="str">
        <f t="shared" si="0"/>
        <v>Yes</v>
      </c>
    </row>
    <row r="62" spans="1:13">
      <c r="A62" s="286" t="s">
        <v>595</v>
      </c>
      <c r="B62" s="286" t="s">
        <v>419</v>
      </c>
      <c r="C62" s="287" t="s">
        <v>420</v>
      </c>
      <c r="E62" s="288"/>
      <c r="F62" s="289" t="s">
        <v>782</v>
      </c>
      <c r="G62" s="288">
        <v>3928</v>
      </c>
      <c r="H62" s="286">
        <v>25.857142857142858</v>
      </c>
      <c r="I62" s="286">
        <v>0</v>
      </c>
      <c r="J62" s="286"/>
      <c r="K62" s="286">
        <v>25.857142857142858</v>
      </c>
      <c r="M62" s="285" t="str">
        <f t="shared" si="0"/>
        <v>No</v>
      </c>
    </row>
    <row r="63" spans="1:13">
      <c r="A63" s="286" t="s">
        <v>599</v>
      </c>
      <c r="B63" s="286" t="s">
        <v>54</v>
      </c>
      <c r="C63" s="287" t="s">
        <v>55</v>
      </c>
      <c r="E63" s="288"/>
      <c r="F63" s="289" t="s">
        <v>782</v>
      </c>
      <c r="G63" s="288">
        <v>87</v>
      </c>
      <c r="H63" s="286">
        <v>0.5714285714285714</v>
      </c>
      <c r="I63" s="286">
        <v>0</v>
      </c>
      <c r="J63" s="286"/>
      <c r="K63" s="286">
        <v>0.5714285714285714</v>
      </c>
      <c r="M63" s="285" t="str">
        <f t="shared" si="0"/>
        <v>No</v>
      </c>
    </row>
    <row r="64" spans="1:13">
      <c r="A64" s="286" t="s">
        <v>605</v>
      </c>
      <c r="B64" s="286" t="s">
        <v>561</v>
      </c>
      <c r="C64" s="287" t="s">
        <v>562</v>
      </c>
      <c r="D64" s="288">
        <v>31945</v>
      </c>
      <c r="E64" s="288" t="s">
        <v>781</v>
      </c>
      <c r="F64" s="289"/>
      <c r="G64" s="288"/>
      <c r="H64" s="286">
        <v>210.28571428571428</v>
      </c>
      <c r="I64" s="290">
        <v>0</v>
      </c>
      <c r="J64" s="286"/>
      <c r="K64" s="286">
        <v>210.28571428571428</v>
      </c>
      <c r="M64" s="285" t="str">
        <f t="shared" si="0"/>
        <v>Yes</v>
      </c>
    </row>
    <row r="65" spans="1:13">
      <c r="A65" s="286" t="s">
        <v>597</v>
      </c>
      <c r="B65" s="286" t="s">
        <v>181</v>
      </c>
      <c r="C65" s="287" t="s">
        <v>182</v>
      </c>
      <c r="D65" s="288">
        <v>466552</v>
      </c>
      <c r="E65" s="288" t="s">
        <v>781</v>
      </c>
      <c r="F65" s="289"/>
      <c r="G65" s="288"/>
      <c r="H65" s="286">
        <v>3071.1428571428573</v>
      </c>
      <c r="I65" s="286">
        <v>0</v>
      </c>
      <c r="J65" s="286"/>
      <c r="K65" s="286">
        <v>3071.1428571428573</v>
      </c>
      <c r="M65" s="285" t="str">
        <f t="shared" si="0"/>
        <v>Yes</v>
      </c>
    </row>
    <row r="66" spans="1:13">
      <c r="A66" s="286" t="s">
        <v>599</v>
      </c>
      <c r="B66" s="286" t="s">
        <v>51</v>
      </c>
      <c r="C66" s="287" t="s">
        <v>52</v>
      </c>
      <c r="E66" s="288"/>
      <c r="F66" s="289" t="s">
        <v>782</v>
      </c>
      <c r="G66" s="288">
        <v>2474</v>
      </c>
      <c r="H66" s="286">
        <v>16.285714285714285</v>
      </c>
      <c r="I66" s="290">
        <v>0</v>
      </c>
      <c r="J66" s="286"/>
      <c r="K66" s="286">
        <v>16.285714285714285</v>
      </c>
      <c r="M66" s="285" t="str">
        <f t="shared" si="0"/>
        <v>No</v>
      </c>
    </row>
    <row r="67" spans="1:13">
      <c r="A67" s="286" t="s">
        <v>594</v>
      </c>
      <c r="B67" s="286" t="s">
        <v>134</v>
      </c>
      <c r="C67" s="287" t="s">
        <v>135</v>
      </c>
      <c r="D67" s="288">
        <v>9614</v>
      </c>
      <c r="E67" s="288" t="s">
        <v>781</v>
      </c>
      <c r="F67" s="289"/>
      <c r="G67" s="288"/>
      <c r="H67" s="286">
        <v>63.285714285714285</v>
      </c>
      <c r="I67" s="286">
        <v>0</v>
      </c>
      <c r="J67" s="286"/>
      <c r="K67" s="286">
        <v>63.285714285714285</v>
      </c>
      <c r="M67" s="285" t="str">
        <f t="shared" ref="M67:M130" si="1">IF(ISBLANK(E67),F67,E67)</f>
        <v>Yes</v>
      </c>
    </row>
    <row r="68" spans="1:13">
      <c r="A68" s="286" t="s">
        <v>597</v>
      </c>
      <c r="B68" s="286" t="s">
        <v>201</v>
      </c>
      <c r="C68" s="287" t="s">
        <v>202</v>
      </c>
      <c r="D68" s="288">
        <v>75285</v>
      </c>
      <c r="E68" s="288" t="s">
        <v>781</v>
      </c>
      <c r="F68" s="289"/>
      <c r="G68" s="288"/>
      <c r="H68" s="286">
        <v>495.57142857142856</v>
      </c>
      <c r="I68" s="286">
        <v>0</v>
      </c>
      <c r="J68" s="286"/>
      <c r="K68" s="286">
        <v>495.57142857142856</v>
      </c>
      <c r="M68" s="285" t="str">
        <f t="shared" si="1"/>
        <v>Yes</v>
      </c>
    </row>
    <row r="69" spans="1:13">
      <c r="A69" s="286" t="s">
        <v>599</v>
      </c>
      <c r="B69" s="286" t="s">
        <v>80</v>
      </c>
      <c r="C69" s="289" t="s">
        <v>81</v>
      </c>
      <c r="D69" s="288">
        <v>26477</v>
      </c>
      <c r="E69" s="288" t="s">
        <v>781</v>
      </c>
      <c r="F69" s="289"/>
      <c r="G69" s="288"/>
      <c r="H69" s="286">
        <v>173.28571428571428</v>
      </c>
      <c r="I69" s="286">
        <v>0</v>
      </c>
      <c r="J69" s="286"/>
      <c r="K69" s="286">
        <v>174.28571428571428</v>
      </c>
      <c r="M69" s="285" t="str">
        <f t="shared" si="1"/>
        <v>Yes</v>
      </c>
    </row>
    <row r="70" spans="1:13">
      <c r="A70" s="286" t="s">
        <v>596</v>
      </c>
      <c r="B70" s="286" t="s">
        <v>14</v>
      </c>
      <c r="C70" s="287" t="s">
        <v>15</v>
      </c>
      <c r="D70" s="288">
        <v>217564</v>
      </c>
      <c r="E70" s="288" t="s">
        <v>781</v>
      </c>
      <c r="F70" s="289"/>
      <c r="G70" s="288"/>
      <c r="H70" s="286">
        <v>1432.1428571428571</v>
      </c>
      <c r="I70" s="286">
        <v>0</v>
      </c>
      <c r="J70" s="286"/>
      <c r="K70" s="286">
        <v>1432.1428571428571</v>
      </c>
      <c r="M70" s="285" t="str">
        <f t="shared" si="1"/>
        <v>Yes</v>
      </c>
    </row>
    <row r="71" spans="1:13">
      <c r="A71" s="286" t="s">
        <v>597</v>
      </c>
      <c r="B71" s="286" t="s">
        <v>207</v>
      </c>
      <c r="C71" s="287" t="s">
        <v>208</v>
      </c>
      <c r="D71" s="288">
        <v>584025</v>
      </c>
      <c r="E71" s="288" t="s">
        <v>781</v>
      </c>
      <c r="F71" s="289"/>
      <c r="G71" s="288"/>
      <c r="H71" s="286">
        <v>3844.4285714285716</v>
      </c>
      <c r="I71" s="286">
        <v>0</v>
      </c>
      <c r="J71" s="286"/>
      <c r="K71" s="286">
        <v>3844.4285714285716</v>
      </c>
      <c r="M71" s="285" t="str">
        <f t="shared" si="1"/>
        <v>Yes</v>
      </c>
    </row>
    <row r="72" spans="1:13">
      <c r="A72" s="286" t="s">
        <v>596</v>
      </c>
      <c r="B72" s="286" t="s">
        <v>18</v>
      </c>
      <c r="C72" s="287" t="s">
        <v>608</v>
      </c>
      <c r="D72" s="288">
        <v>28712</v>
      </c>
      <c r="E72" s="288" t="s">
        <v>781</v>
      </c>
      <c r="F72" s="289"/>
      <c r="G72" s="288"/>
      <c r="H72" s="286">
        <v>189</v>
      </c>
      <c r="I72" s="286">
        <v>0</v>
      </c>
      <c r="J72" s="286"/>
      <c r="K72" s="286">
        <v>189</v>
      </c>
      <c r="M72" s="285" t="str">
        <f t="shared" si="1"/>
        <v>Yes</v>
      </c>
    </row>
    <row r="73" spans="1:13">
      <c r="A73" s="286" t="s">
        <v>605</v>
      </c>
      <c r="B73" s="286" t="s">
        <v>228</v>
      </c>
      <c r="C73" s="289" t="s">
        <v>229</v>
      </c>
      <c r="E73" s="288"/>
      <c r="F73" s="289" t="s">
        <v>782</v>
      </c>
      <c r="G73" s="288">
        <v>6098</v>
      </c>
      <c r="H73" s="286">
        <v>40.142857142857146</v>
      </c>
      <c r="I73" s="286">
        <v>0</v>
      </c>
      <c r="J73" s="286"/>
      <c r="K73" s="286">
        <v>40.142857142857146</v>
      </c>
      <c r="M73" s="285" t="str">
        <f t="shared" si="1"/>
        <v>No</v>
      </c>
    </row>
    <row r="74" spans="1:13">
      <c r="A74" s="286" t="s">
        <v>599</v>
      </c>
      <c r="B74" s="286" t="s">
        <v>53</v>
      </c>
      <c r="C74" s="287" t="s">
        <v>609</v>
      </c>
      <c r="E74" s="288"/>
      <c r="F74" s="289" t="s">
        <v>782</v>
      </c>
      <c r="G74" s="288">
        <v>1888</v>
      </c>
      <c r="H74" s="286">
        <v>12.428571428571429</v>
      </c>
      <c r="I74" s="286">
        <v>0</v>
      </c>
      <c r="J74" s="286"/>
      <c r="K74" s="286">
        <v>12.428571428571429</v>
      </c>
      <c r="M74" s="285" t="str">
        <f t="shared" si="1"/>
        <v>No</v>
      </c>
    </row>
    <row r="75" spans="1:13">
      <c r="A75" s="286" t="s">
        <v>601</v>
      </c>
      <c r="B75" s="286" t="s">
        <v>31</v>
      </c>
      <c r="C75" s="287" t="s">
        <v>32</v>
      </c>
      <c r="D75" s="288">
        <v>39520</v>
      </c>
      <c r="E75" s="288" t="s">
        <v>781</v>
      </c>
      <c r="F75" s="289"/>
      <c r="G75" s="288"/>
      <c r="H75" s="286">
        <v>260.14285714285717</v>
      </c>
      <c r="I75" s="286">
        <v>0</v>
      </c>
      <c r="J75" s="286"/>
      <c r="K75" s="286">
        <v>260.14285714285717</v>
      </c>
      <c r="M75" s="285" t="str">
        <f t="shared" si="1"/>
        <v>Yes</v>
      </c>
    </row>
    <row r="76" spans="1:13">
      <c r="A76" s="286" t="s">
        <v>595</v>
      </c>
      <c r="B76" s="286" t="s">
        <v>397</v>
      </c>
      <c r="C76" s="287" t="s">
        <v>398</v>
      </c>
      <c r="D76" s="288">
        <v>30643</v>
      </c>
      <c r="E76" s="288" t="s">
        <v>781</v>
      </c>
      <c r="F76" s="289"/>
      <c r="G76" s="288"/>
      <c r="H76" s="286">
        <v>201.71428571428572</v>
      </c>
      <c r="I76" s="290">
        <v>0</v>
      </c>
      <c r="J76" s="286"/>
      <c r="K76" s="286">
        <v>201.71428571428572</v>
      </c>
      <c r="M76" s="285" t="str">
        <f t="shared" si="1"/>
        <v>Yes</v>
      </c>
    </row>
    <row r="77" spans="1:13">
      <c r="A77" s="286" t="s">
        <v>597</v>
      </c>
      <c r="B77" s="286" t="s">
        <v>205</v>
      </c>
      <c r="C77" s="287" t="s">
        <v>206</v>
      </c>
      <c r="D77" s="288">
        <v>167736</v>
      </c>
      <c r="E77" s="288" t="s">
        <v>781</v>
      </c>
      <c r="F77" s="289"/>
      <c r="G77" s="288"/>
      <c r="H77" s="286">
        <v>1104.1428571428571</v>
      </c>
      <c r="I77" s="286">
        <v>0</v>
      </c>
      <c r="J77" s="286"/>
      <c r="K77" s="286">
        <v>1104.1428571428571</v>
      </c>
      <c r="M77" s="285" t="str">
        <f t="shared" si="1"/>
        <v>Yes</v>
      </c>
    </row>
    <row r="78" spans="1:13">
      <c r="A78" s="286" t="s">
        <v>595</v>
      </c>
      <c r="B78" s="286" t="s">
        <v>413</v>
      </c>
      <c r="C78" s="287" t="s">
        <v>414</v>
      </c>
      <c r="D78" s="288">
        <v>10721</v>
      </c>
      <c r="E78" s="288" t="s">
        <v>781</v>
      </c>
      <c r="F78" s="289"/>
      <c r="G78" s="288"/>
      <c r="H78" s="286">
        <v>70.571428571428569</v>
      </c>
      <c r="I78" s="286">
        <v>0</v>
      </c>
      <c r="J78" s="286"/>
      <c r="K78" s="286">
        <v>70.571428571428569</v>
      </c>
      <c r="M78" s="285" t="str">
        <f t="shared" si="1"/>
        <v>Yes</v>
      </c>
    </row>
    <row r="79" spans="1:13">
      <c r="A79" s="286" t="s">
        <v>603</v>
      </c>
      <c r="B79" s="286" t="s">
        <v>441</v>
      </c>
      <c r="C79" s="287" t="s">
        <v>442</v>
      </c>
      <c r="E79" s="288"/>
      <c r="F79" s="289" t="s">
        <v>782</v>
      </c>
      <c r="G79" s="288">
        <v>109</v>
      </c>
      <c r="H79" s="286">
        <v>0.7142857142857143</v>
      </c>
      <c r="I79" s="286">
        <v>0</v>
      </c>
      <c r="J79" s="286"/>
      <c r="K79" s="286">
        <v>0.7142857142857143</v>
      </c>
      <c r="M79" s="285" t="str">
        <f t="shared" si="1"/>
        <v>No</v>
      </c>
    </row>
    <row r="80" spans="1:13">
      <c r="A80" s="286" t="s">
        <v>603</v>
      </c>
      <c r="B80" s="286" t="s">
        <v>6</v>
      </c>
      <c r="C80" s="287" t="s">
        <v>7</v>
      </c>
      <c r="E80" s="288"/>
      <c r="F80" s="289" t="s">
        <v>782</v>
      </c>
      <c r="G80" s="288">
        <v>3407</v>
      </c>
      <c r="H80" s="286">
        <v>22.428571428571427</v>
      </c>
      <c r="I80" s="286">
        <v>0</v>
      </c>
      <c r="J80" s="286"/>
      <c r="K80" s="286">
        <v>22.428571428571427</v>
      </c>
      <c r="M80" s="285" t="str">
        <f t="shared" si="1"/>
        <v>No</v>
      </c>
    </row>
    <row r="81" spans="1:13">
      <c r="A81" s="286" t="s">
        <v>599</v>
      </c>
      <c r="B81" s="286" t="s">
        <v>70</v>
      </c>
      <c r="C81" s="287" t="s">
        <v>71</v>
      </c>
      <c r="D81" s="288">
        <v>51325</v>
      </c>
      <c r="E81" s="288" t="s">
        <v>781</v>
      </c>
      <c r="F81" s="289"/>
      <c r="G81" s="288"/>
      <c r="H81" s="286">
        <v>337.85714285714283</v>
      </c>
      <c r="I81" s="294">
        <v>0</v>
      </c>
      <c r="J81" s="290">
        <v>4</v>
      </c>
      <c r="K81" s="286">
        <v>337.85714285714283</v>
      </c>
      <c r="M81" s="285" t="str">
        <f t="shared" si="1"/>
        <v>Yes</v>
      </c>
    </row>
    <row r="82" spans="1:13">
      <c r="A82" s="286" t="s">
        <v>595</v>
      </c>
      <c r="B82" s="286" t="s">
        <v>373</v>
      </c>
      <c r="C82" s="287" t="s">
        <v>374</v>
      </c>
      <c r="E82" s="288"/>
      <c r="F82" s="289" t="s">
        <v>782</v>
      </c>
      <c r="G82" s="288">
        <v>1259</v>
      </c>
      <c r="H82" s="286">
        <v>8.2857142857142865</v>
      </c>
      <c r="I82" s="286">
        <v>0</v>
      </c>
      <c r="J82" s="286"/>
      <c r="K82" s="286">
        <v>8.2857142857142865</v>
      </c>
      <c r="M82" s="285" t="str">
        <f t="shared" si="1"/>
        <v>No</v>
      </c>
    </row>
    <row r="83" spans="1:13">
      <c r="A83" s="286" t="s">
        <v>599</v>
      </c>
      <c r="B83" s="286" t="s">
        <v>250</v>
      </c>
      <c r="C83" s="287" t="s">
        <v>251</v>
      </c>
      <c r="E83" s="288"/>
      <c r="F83" s="289" t="s">
        <v>782</v>
      </c>
      <c r="G83" s="288">
        <v>304</v>
      </c>
      <c r="H83" s="286">
        <v>2</v>
      </c>
      <c r="I83" s="286">
        <v>0</v>
      </c>
      <c r="J83" s="286"/>
      <c r="K83" s="286">
        <v>2</v>
      </c>
      <c r="M83" s="285" t="str">
        <f t="shared" si="1"/>
        <v>No</v>
      </c>
    </row>
    <row r="84" spans="1:13">
      <c r="A84" s="286" t="s">
        <v>595</v>
      </c>
      <c r="B84" s="286" t="s">
        <v>510</v>
      </c>
      <c r="C84" s="287" t="s">
        <v>511</v>
      </c>
      <c r="D84" s="288">
        <v>30730</v>
      </c>
      <c r="E84" s="288" t="s">
        <v>781</v>
      </c>
      <c r="F84" s="289"/>
      <c r="G84" s="288"/>
      <c r="H84" s="286">
        <v>202.28571428571428</v>
      </c>
      <c r="I84" s="286">
        <v>0</v>
      </c>
      <c r="J84" s="286"/>
      <c r="K84" s="286">
        <v>202.28571428571428</v>
      </c>
      <c r="M84" s="285" t="str">
        <f t="shared" si="1"/>
        <v>Yes</v>
      </c>
    </row>
    <row r="85" spans="1:13">
      <c r="A85" s="286" t="s">
        <v>605</v>
      </c>
      <c r="B85" s="286" t="s">
        <v>553</v>
      </c>
      <c r="C85" s="287" t="s">
        <v>554</v>
      </c>
      <c r="D85" s="288">
        <v>55926</v>
      </c>
      <c r="E85" s="288" t="s">
        <v>781</v>
      </c>
      <c r="F85" s="289"/>
      <c r="G85" s="288"/>
      <c r="H85" s="286">
        <v>368.14285714285717</v>
      </c>
      <c r="I85" s="286">
        <v>0</v>
      </c>
      <c r="J85" s="286"/>
      <c r="K85" s="286">
        <v>368.14285714285717</v>
      </c>
      <c r="M85" s="285" t="str">
        <f t="shared" si="1"/>
        <v>Yes</v>
      </c>
    </row>
    <row r="86" spans="1:13">
      <c r="A86" s="286" t="s">
        <v>601</v>
      </c>
      <c r="B86" s="286" t="s">
        <v>25</v>
      </c>
      <c r="C86" s="287" t="s">
        <v>26</v>
      </c>
      <c r="D86" s="288">
        <v>31967</v>
      </c>
      <c r="E86" s="288" t="s">
        <v>781</v>
      </c>
      <c r="F86" s="289"/>
      <c r="G86" s="288"/>
      <c r="H86" s="286">
        <v>210.42857142857142</v>
      </c>
      <c r="I86" s="286">
        <v>0</v>
      </c>
      <c r="J86" s="286"/>
      <c r="K86" s="286">
        <v>210.42857142857142</v>
      </c>
      <c r="M86" s="285" t="str">
        <f t="shared" si="1"/>
        <v>Yes</v>
      </c>
    </row>
    <row r="87" spans="1:13">
      <c r="A87" s="286" t="s">
        <v>595</v>
      </c>
      <c r="B87" s="286" t="s">
        <v>405</v>
      </c>
      <c r="C87" s="287" t="s">
        <v>406</v>
      </c>
      <c r="D87" s="288">
        <v>104365</v>
      </c>
      <c r="E87" s="288" t="s">
        <v>781</v>
      </c>
      <c r="F87" s="289"/>
      <c r="G87" s="288"/>
      <c r="H87" s="286">
        <v>687</v>
      </c>
      <c r="I87" s="286">
        <v>0</v>
      </c>
      <c r="J87" s="286"/>
      <c r="K87" s="286">
        <v>687</v>
      </c>
      <c r="M87" s="285" t="str">
        <f t="shared" si="1"/>
        <v>Yes</v>
      </c>
    </row>
    <row r="88" spans="1:13">
      <c r="A88" s="286" t="s">
        <v>603</v>
      </c>
      <c r="B88" s="286" t="s">
        <v>432</v>
      </c>
      <c r="C88" s="287" t="s">
        <v>433</v>
      </c>
      <c r="D88" s="288">
        <v>20140</v>
      </c>
      <c r="E88" s="288" t="s">
        <v>781</v>
      </c>
      <c r="F88" s="289"/>
      <c r="G88" s="288"/>
      <c r="H88" s="286">
        <v>132.57142857142858</v>
      </c>
      <c r="I88" s="286">
        <v>0</v>
      </c>
      <c r="J88" s="286"/>
      <c r="K88" s="286">
        <v>132.57142857142858</v>
      </c>
      <c r="M88" s="285" t="str">
        <f t="shared" si="1"/>
        <v>Yes</v>
      </c>
    </row>
    <row r="89" spans="1:13">
      <c r="A89" s="286" t="s">
        <v>603</v>
      </c>
      <c r="B89" s="286" t="s">
        <v>430</v>
      </c>
      <c r="C89" s="287" t="s">
        <v>431</v>
      </c>
      <c r="E89" s="288"/>
      <c r="F89" s="289" t="s">
        <v>785</v>
      </c>
      <c r="G89" s="288">
        <v>1389</v>
      </c>
      <c r="H89" s="286">
        <v>9.1428571428571423</v>
      </c>
      <c r="I89" s="286">
        <v>0</v>
      </c>
      <c r="J89" s="286"/>
      <c r="K89" s="286">
        <v>9.1428571428571423</v>
      </c>
      <c r="M89" s="285" t="str">
        <f t="shared" si="1"/>
        <v>NO</v>
      </c>
    </row>
    <row r="90" spans="1:13">
      <c r="A90" s="286" t="s">
        <v>597</v>
      </c>
      <c r="B90" s="286" t="s">
        <v>179</v>
      </c>
      <c r="C90" s="287" t="s">
        <v>180</v>
      </c>
      <c r="D90" s="288">
        <v>9853</v>
      </c>
      <c r="E90" s="288" t="s">
        <v>781</v>
      </c>
      <c r="F90" s="289"/>
      <c r="G90" s="288"/>
      <c r="H90" s="286">
        <v>64.857142857142861</v>
      </c>
      <c r="I90" s="286">
        <v>0</v>
      </c>
      <c r="J90" s="286"/>
      <c r="K90" s="286">
        <v>64.857142857142861</v>
      </c>
      <c r="M90" s="285" t="str">
        <f t="shared" si="1"/>
        <v>Yes</v>
      </c>
    </row>
    <row r="91" spans="1:13">
      <c r="A91" s="286" t="s">
        <v>595</v>
      </c>
      <c r="B91" s="286" t="s">
        <v>512</v>
      </c>
      <c r="C91" s="287" t="s">
        <v>513</v>
      </c>
      <c r="D91" s="288">
        <v>19098</v>
      </c>
      <c r="E91" s="288" t="s">
        <v>781</v>
      </c>
      <c r="F91" s="289"/>
      <c r="G91" s="288"/>
      <c r="H91" s="286">
        <v>125.71428571428571</v>
      </c>
      <c r="I91" s="286">
        <v>0</v>
      </c>
      <c r="J91" s="286"/>
      <c r="K91" s="286">
        <v>125.71428571428571</v>
      </c>
      <c r="M91" s="285" t="str">
        <f t="shared" si="1"/>
        <v>Yes</v>
      </c>
    </row>
    <row r="92" spans="1:13">
      <c r="A92" s="286" t="s">
        <v>601</v>
      </c>
      <c r="B92" s="286" t="s">
        <v>319</v>
      </c>
      <c r="C92" s="287" t="s">
        <v>320</v>
      </c>
      <c r="D92" s="291"/>
      <c r="E92" s="288"/>
      <c r="F92" s="289" t="s">
        <v>786</v>
      </c>
      <c r="G92" s="288">
        <v>1888</v>
      </c>
      <c r="H92" s="286">
        <v>12.428571428571429</v>
      </c>
      <c r="I92" s="286">
        <v>0</v>
      </c>
      <c r="J92" s="286"/>
      <c r="K92" s="286">
        <v>12.428571428571429</v>
      </c>
      <c r="M92" s="285" t="str">
        <f t="shared" si="1"/>
        <v xml:space="preserve"> NO</v>
      </c>
    </row>
    <row r="93" spans="1:13">
      <c r="A93" s="286" t="s">
        <v>595</v>
      </c>
      <c r="B93" s="286" t="s">
        <v>409</v>
      </c>
      <c r="C93" s="287" t="s">
        <v>410</v>
      </c>
      <c r="D93" s="288">
        <v>65020</v>
      </c>
      <c r="E93" s="288" t="s">
        <v>781</v>
      </c>
      <c r="F93" s="289"/>
      <c r="G93" s="288"/>
      <c r="H93" s="286">
        <v>428</v>
      </c>
      <c r="I93" s="286">
        <v>0</v>
      </c>
      <c r="J93" s="286"/>
      <c r="K93" s="286">
        <v>428</v>
      </c>
      <c r="M93" s="285" t="str">
        <f t="shared" si="1"/>
        <v>Yes</v>
      </c>
    </row>
    <row r="94" spans="1:13">
      <c r="A94" s="286" t="s">
        <v>594</v>
      </c>
      <c r="B94" s="286" t="s">
        <v>139</v>
      </c>
      <c r="C94" s="287" t="s">
        <v>140</v>
      </c>
      <c r="E94" s="288"/>
      <c r="F94" s="289" t="s">
        <v>782</v>
      </c>
      <c r="G94" s="288">
        <v>2170</v>
      </c>
      <c r="H94" s="286">
        <v>14.285714285714286</v>
      </c>
      <c r="I94" s="286">
        <v>0</v>
      </c>
      <c r="J94" s="286"/>
      <c r="K94" s="286">
        <v>14.285714285714286</v>
      </c>
      <c r="M94" s="285" t="str">
        <f t="shared" si="1"/>
        <v>No</v>
      </c>
    </row>
    <row r="95" spans="1:13">
      <c r="A95" s="286" t="s">
        <v>601</v>
      </c>
      <c r="B95" s="286" t="s">
        <v>125</v>
      </c>
      <c r="C95" s="287" t="s">
        <v>126</v>
      </c>
      <c r="D95" s="288">
        <v>90368</v>
      </c>
      <c r="E95" s="288" t="s">
        <v>781</v>
      </c>
      <c r="F95" s="289"/>
      <c r="G95" s="288"/>
      <c r="H95" s="286">
        <v>594.85714285714289</v>
      </c>
      <c r="I95" s="286">
        <v>0</v>
      </c>
      <c r="J95" s="286"/>
      <c r="K95" s="286">
        <v>594.85714285714289</v>
      </c>
      <c r="M95" s="285" t="str">
        <f t="shared" si="1"/>
        <v>Yes</v>
      </c>
    </row>
    <row r="96" spans="1:13">
      <c r="A96" s="286" t="s">
        <v>594</v>
      </c>
      <c r="B96" s="286" t="s">
        <v>258</v>
      </c>
      <c r="C96" s="287" t="s">
        <v>259</v>
      </c>
      <c r="E96" s="288"/>
      <c r="F96" s="289" t="s">
        <v>782</v>
      </c>
      <c r="G96" s="288">
        <v>4297</v>
      </c>
      <c r="H96" s="286">
        <v>28.285714285714285</v>
      </c>
      <c r="I96" s="286">
        <v>0</v>
      </c>
      <c r="J96" s="286"/>
      <c r="K96" s="286">
        <v>28.285714285714285</v>
      </c>
      <c r="M96" s="285" t="str">
        <f t="shared" si="1"/>
        <v>No</v>
      </c>
    </row>
    <row r="97" spans="1:13">
      <c r="A97" s="286" t="s">
        <v>605</v>
      </c>
      <c r="B97" s="286" t="s">
        <v>571</v>
      </c>
      <c r="C97" s="287" t="s">
        <v>572</v>
      </c>
      <c r="D97" s="288">
        <v>36763</v>
      </c>
      <c r="E97" s="288" t="s">
        <v>781</v>
      </c>
      <c r="F97" s="289"/>
      <c r="G97" s="288"/>
      <c r="H97" s="286">
        <v>109</v>
      </c>
      <c r="I97" s="290">
        <v>134</v>
      </c>
      <c r="J97" s="286"/>
      <c r="K97" s="286">
        <v>242</v>
      </c>
      <c r="M97" s="285" t="str">
        <f t="shared" si="1"/>
        <v>Yes</v>
      </c>
    </row>
    <row r="98" spans="1:13">
      <c r="A98" s="286" t="s">
        <v>595</v>
      </c>
      <c r="B98" s="286" t="s">
        <v>516</v>
      </c>
      <c r="C98" s="287" t="s">
        <v>517</v>
      </c>
      <c r="D98" s="288">
        <v>23872</v>
      </c>
      <c r="E98" s="288" t="s">
        <v>781</v>
      </c>
      <c r="F98" s="289"/>
      <c r="G98" s="288"/>
      <c r="H98" s="286">
        <v>157.14285714285714</v>
      </c>
      <c r="I98" s="286">
        <v>0</v>
      </c>
      <c r="J98" s="286"/>
      <c r="K98" s="286">
        <v>157.14285714285714</v>
      </c>
      <c r="M98" s="285" t="str">
        <f t="shared" si="1"/>
        <v>Yes</v>
      </c>
    </row>
    <row r="99" spans="1:13">
      <c r="A99" s="286" t="s">
        <v>595</v>
      </c>
      <c r="B99" s="286" t="s">
        <v>386</v>
      </c>
      <c r="C99" s="287" t="s">
        <v>610</v>
      </c>
      <c r="D99" s="288">
        <v>220993</v>
      </c>
      <c r="E99" s="288" t="s">
        <v>781</v>
      </c>
      <c r="F99" s="289"/>
      <c r="G99" s="288"/>
      <c r="H99" s="286">
        <v>1454.7142857142858</v>
      </c>
      <c r="I99" s="286">
        <v>0</v>
      </c>
      <c r="J99" s="286"/>
      <c r="K99" s="286">
        <v>1454.7142857142858</v>
      </c>
      <c r="M99" s="285" t="str">
        <f t="shared" si="1"/>
        <v>Yes</v>
      </c>
    </row>
    <row r="100" spans="1:13">
      <c r="A100" s="286" t="s">
        <v>595</v>
      </c>
      <c r="B100" s="286" t="s">
        <v>399</v>
      </c>
      <c r="C100" s="287" t="s">
        <v>400</v>
      </c>
      <c r="D100" s="288">
        <v>324360</v>
      </c>
      <c r="E100" s="288" t="s">
        <v>781</v>
      </c>
      <c r="F100" s="289"/>
      <c r="G100" s="288"/>
      <c r="H100" s="286">
        <v>2135.1428571428573</v>
      </c>
      <c r="I100" s="290">
        <v>0</v>
      </c>
      <c r="J100" s="286"/>
      <c r="K100" s="286">
        <v>2135.1428571428573</v>
      </c>
      <c r="M100" s="285" t="str">
        <f t="shared" si="1"/>
        <v>Yes</v>
      </c>
    </row>
    <row r="101" spans="1:13">
      <c r="A101" s="286" t="s">
        <v>605</v>
      </c>
      <c r="B101" s="286" t="s">
        <v>545</v>
      </c>
      <c r="C101" s="287" t="s">
        <v>546</v>
      </c>
      <c r="D101" s="288">
        <v>9853</v>
      </c>
      <c r="E101" s="288"/>
      <c r="F101" s="289"/>
      <c r="G101" s="288"/>
      <c r="H101" s="286">
        <v>64.857142857142861</v>
      </c>
      <c r="I101" s="286">
        <v>0</v>
      </c>
      <c r="J101" s="286"/>
      <c r="K101" s="286">
        <v>64.857142857142861</v>
      </c>
      <c r="M101" s="285" t="s">
        <v>781</v>
      </c>
    </row>
    <row r="102" spans="1:13">
      <c r="A102" s="286" t="s">
        <v>599</v>
      </c>
      <c r="B102" s="286" t="s">
        <v>331</v>
      </c>
      <c r="C102" s="287" t="s">
        <v>611</v>
      </c>
      <c r="D102" s="291"/>
      <c r="E102" s="288"/>
      <c r="F102" s="289"/>
      <c r="G102" s="288">
        <v>1129</v>
      </c>
      <c r="H102" s="286">
        <v>7.4285714285714288</v>
      </c>
      <c r="I102" s="286">
        <v>0</v>
      </c>
      <c r="J102" s="286"/>
      <c r="K102" s="286">
        <v>7.4285714285714288</v>
      </c>
      <c r="M102" s="285" t="s">
        <v>782</v>
      </c>
    </row>
    <row r="103" spans="1:13">
      <c r="A103" s="286" t="s">
        <v>595</v>
      </c>
      <c r="B103" s="286" t="s">
        <v>514</v>
      </c>
      <c r="C103" s="287" t="s">
        <v>515</v>
      </c>
      <c r="D103" s="288">
        <v>24957</v>
      </c>
      <c r="E103" s="288" t="s">
        <v>781</v>
      </c>
      <c r="F103" s="289"/>
      <c r="G103" s="288"/>
      <c r="H103" s="286">
        <v>164.28571428571428</v>
      </c>
      <c r="I103" s="286">
        <v>0</v>
      </c>
      <c r="J103" s="286"/>
      <c r="K103" s="286">
        <v>164.28571428571428</v>
      </c>
      <c r="M103" s="285" t="str">
        <f t="shared" si="1"/>
        <v>Yes</v>
      </c>
    </row>
    <row r="104" spans="1:13">
      <c r="A104" s="286" t="s">
        <v>596</v>
      </c>
      <c r="B104" s="286" t="s">
        <v>106</v>
      </c>
      <c r="C104" s="287" t="s">
        <v>107</v>
      </c>
      <c r="D104" s="288">
        <v>98571</v>
      </c>
      <c r="E104" s="288" t="s">
        <v>781</v>
      </c>
      <c r="F104" s="289"/>
      <c r="G104" s="288"/>
      <c r="H104" s="286">
        <v>648.85714285714289</v>
      </c>
      <c r="I104" s="286">
        <v>0</v>
      </c>
      <c r="J104" s="286"/>
      <c r="K104" s="286">
        <v>648.85714285714289</v>
      </c>
      <c r="M104" s="285" t="str">
        <f t="shared" si="1"/>
        <v>Yes</v>
      </c>
    </row>
    <row r="105" spans="1:13">
      <c r="A105" s="286" t="s">
        <v>600</v>
      </c>
      <c r="B105" s="286" t="s">
        <v>214</v>
      </c>
      <c r="C105" s="287" t="s">
        <v>215</v>
      </c>
      <c r="D105" s="288">
        <v>29927</v>
      </c>
      <c r="E105" s="288" t="s">
        <v>781</v>
      </c>
      <c r="F105" s="289"/>
      <c r="G105" s="288"/>
      <c r="H105" s="286">
        <v>197</v>
      </c>
      <c r="I105" s="286">
        <v>0</v>
      </c>
      <c r="J105" s="286"/>
      <c r="K105" s="286">
        <v>197</v>
      </c>
      <c r="M105" s="285" t="str">
        <f t="shared" si="1"/>
        <v>Yes</v>
      </c>
    </row>
    <row r="106" spans="1:13">
      <c r="A106" s="286" t="s">
        <v>600</v>
      </c>
      <c r="B106" s="286" t="s">
        <v>305</v>
      </c>
      <c r="C106" s="287" t="s">
        <v>306</v>
      </c>
      <c r="D106" s="288">
        <v>9289</v>
      </c>
      <c r="E106" s="288"/>
      <c r="F106" s="289"/>
      <c r="G106" s="291"/>
      <c r="H106" s="286">
        <v>61.142857142857146</v>
      </c>
      <c r="I106" s="286">
        <v>0</v>
      </c>
      <c r="J106" s="286"/>
      <c r="K106" s="286">
        <v>61.142857142857146</v>
      </c>
      <c r="M106" s="285" t="s">
        <v>781</v>
      </c>
    </row>
    <row r="107" spans="1:13">
      <c r="A107" s="286" t="s">
        <v>594</v>
      </c>
      <c r="B107" s="286" t="s">
        <v>474</v>
      </c>
      <c r="C107" s="287" t="s">
        <v>475</v>
      </c>
      <c r="D107" s="288">
        <v>37111</v>
      </c>
      <c r="E107" s="288" t="s">
        <v>781</v>
      </c>
      <c r="F107" s="289"/>
      <c r="G107" s="288"/>
      <c r="H107" s="286">
        <v>244.28571428571428</v>
      </c>
      <c r="I107" s="286">
        <v>0</v>
      </c>
      <c r="J107" s="286"/>
      <c r="K107" s="286">
        <v>244.28571428571428</v>
      </c>
      <c r="M107" s="285" t="str">
        <f t="shared" si="1"/>
        <v>Yes</v>
      </c>
    </row>
    <row r="108" spans="1:13">
      <c r="A108" s="286" t="s">
        <v>597</v>
      </c>
      <c r="B108" s="286" t="s">
        <v>209</v>
      </c>
      <c r="C108" s="287" t="s">
        <v>210</v>
      </c>
      <c r="D108" s="288">
        <v>129019</v>
      </c>
      <c r="E108" s="288" t="s">
        <v>781</v>
      </c>
      <c r="F108" s="289"/>
      <c r="G108" s="288"/>
      <c r="H108" s="286">
        <v>849.28571428571433</v>
      </c>
      <c r="I108" s="286">
        <v>0</v>
      </c>
      <c r="J108" s="286"/>
      <c r="K108" s="286">
        <v>849.28571428571433</v>
      </c>
      <c r="M108" s="285" t="str">
        <f t="shared" si="1"/>
        <v>Yes</v>
      </c>
    </row>
    <row r="109" spans="1:13">
      <c r="A109" s="286" t="s">
        <v>595</v>
      </c>
      <c r="B109" s="286" t="s">
        <v>157</v>
      </c>
      <c r="C109" s="287" t="s">
        <v>158</v>
      </c>
      <c r="D109" s="288">
        <v>25023</v>
      </c>
      <c r="E109" s="288" t="s">
        <v>781</v>
      </c>
      <c r="F109" s="289"/>
      <c r="G109" s="288"/>
      <c r="H109" s="286">
        <v>164.71428571428572</v>
      </c>
      <c r="I109" s="294">
        <v>0</v>
      </c>
      <c r="J109" s="290">
        <v>1</v>
      </c>
      <c r="K109" s="286">
        <v>164.71428571428572</v>
      </c>
      <c r="M109" s="285" t="str">
        <f t="shared" si="1"/>
        <v>Yes</v>
      </c>
    </row>
    <row r="110" spans="1:13">
      <c r="A110" s="286" t="s">
        <v>599</v>
      </c>
      <c r="B110" s="286" t="s">
        <v>325</v>
      </c>
      <c r="C110" s="287" t="s">
        <v>326</v>
      </c>
      <c r="E110" s="288"/>
      <c r="F110" s="289" t="s">
        <v>787</v>
      </c>
      <c r="G110" s="288">
        <v>5013</v>
      </c>
      <c r="H110" s="286">
        <v>33</v>
      </c>
      <c r="I110" s="286">
        <v>0</v>
      </c>
      <c r="J110" s="286"/>
      <c r="K110" s="286">
        <v>33</v>
      </c>
      <c r="M110" s="285" t="str">
        <f t="shared" si="1"/>
        <v>yes</v>
      </c>
    </row>
    <row r="111" spans="1:13">
      <c r="A111" s="286" t="s">
        <v>594</v>
      </c>
      <c r="B111" s="286" t="s">
        <v>153</v>
      </c>
      <c r="C111" s="287" t="s">
        <v>154</v>
      </c>
      <c r="E111" s="288"/>
      <c r="F111" s="289" t="s">
        <v>782</v>
      </c>
      <c r="G111" s="288">
        <v>4709</v>
      </c>
      <c r="H111" s="286">
        <v>31</v>
      </c>
      <c r="I111" s="286">
        <v>0</v>
      </c>
      <c r="J111" s="286"/>
      <c r="K111" s="286">
        <v>31</v>
      </c>
      <c r="M111" s="285" t="str">
        <f t="shared" si="1"/>
        <v>No</v>
      </c>
    </row>
    <row r="112" spans="1:13">
      <c r="A112" s="286" t="s">
        <v>601</v>
      </c>
      <c r="B112" s="286" t="s">
        <v>313</v>
      </c>
      <c r="C112" s="287" t="s">
        <v>314</v>
      </c>
      <c r="D112" s="288">
        <v>12826</v>
      </c>
      <c r="E112" s="288" t="s">
        <v>781</v>
      </c>
      <c r="F112" s="289"/>
      <c r="G112" s="288"/>
      <c r="H112" s="286">
        <v>84.428571428571431</v>
      </c>
      <c r="I112" s="286">
        <v>0</v>
      </c>
      <c r="J112" s="286"/>
      <c r="K112" s="286">
        <v>84.428571428571431</v>
      </c>
      <c r="M112" s="285" t="str">
        <f t="shared" si="1"/>
        <v>Yes</v>
      </c>
    </row>
    <row r="113" spans="1:13">
      <c r="A113" s="286" t="s">
        <v>594</v>
      </c>
      <c r="B113" s="286" t="s">
        <v>478</v>
      </c>
      <c r="C113" s="287" t="s">
        <v>479</v>
      </c>
      <c r="D113" s="288">
        <v>24111</v>
      </c>
      <c r="E113" s="288" t="s">
        <v>781</v>
      </c>
      <c r="F113" s="289"/>
      <c r="G113" s="288"/>
      <c r="H113" s="286">
        <v>158.71428571428572</v>
      </c>
      <c r="I113" s="286">
        <v>0</v>
      </c>
      <c r="J113" s="286"/>
      <c r="K113" s="286">
        <v>158.71428571428572</v>
      </c>
      <c r="M113" s="285" t="str">
        <f t="shared" si="1"/>
        <v>Yes</v>
      </c>
    </row>
    <row r="114" spans="1:13">
      <c r="A114" s="286" t="s">
        <v>601</v>
      </c>
      <c r="B114" s="286" t="s">
        <v>311</v>
      </c>
      <c r="C114" s="287" t="s">
        <v>312</v>
      </c>
      <c r="D114" s="288">
        <v>10873</v>
      </c>
      <c r="E114" s="288" t="s">
        <v>781</v>
      </c>
      <c r="F114" s="289"/>
      <c r="G114" s="288"/>
      <c r="H114" s="286">
        <v>71.571428571428569</v>
      </c>
      <c r="I114" s="286">
        <v>0</v>
      </c>
      <c r="J114" s="286"/>
      <c r="K114" s="286">
        <v>71.571428571428569</v>
      </c>
      <c r="M114" s="285" t="str">
        <f t="shared" si="1"/>
        <v>Yes</v>
      </c>
    </row>
    <row r="115" spans="1:13">
      <c r="A115" s="286" t="s">
        <v>594</v>
      </c>
      <c r="B115" s="286" t="s">
        <v>270</v>
      </c>
      <c r="C115" s="287" t="s">
        <v>271</v>
      </c>
      <c r="E115" s="288"/>
      <c r="F115" s="289" t="s">
        <v>782</v>
      </c>
      <c r="G115" s="288">
        <v>3212</v>
      </c>
      <c r="H115" s="286">
        <v>21.142857142857142</v>
      </c>
      <c r="I115" s="286">
        <v>0</v>
      </c>
      <c r="J115" s="286"/>
      <c r="K115" s="286">
        <v>21.142857142857142</v>
      </c>
      <c r="M115" s="285" t="str">
        <f t="shared" si="1"/>
        <v>No</v>
      </c>
    </row>
    <row r="116" spans="1:13">
      <c r="A116" s="286" t="s">
        <v>595</v>
      </c>
      <c r="B116" s="286" t="s">
        <v>372</v>
      </c>
      <c r="C116" s="287" t="s">
        <v>613</v>
      </c>
      <c r="E116" s="288"/>
      <c r="F116" s="289" t="s">
        <v>782</v>
      </c>
      <c r="G116" s="288">
        <v>1237</v>
      </c>
      <c r="H116" s="286">
        <v>8.1428571428571423</v>
      </c>
      <c r="I116" s="286">
        <v>0</v>
      </c>
      <c r="J116" s="286"/>
      <c r="K116" s="286">
        <v>8.1428571428571423</v>
      </c>
      <c r="M116" s="285" t="str">
        <f t="shared" si="1"/>
        <v>No</v>
      </c>
    </row>
    <row r="117" spans="1:13">
      <c r="A117" s="286" t="s">
        <v>601</v>
      </c>
      <c r="B117" s="286" t="s">
        <v>82</v>
      </c>
      <c r="C117" s="287" t="s">
        <v>83</v>
      </c>
      <c r="D117" s="288">
        <v>12739</v>
      </c>
      <c r="E117" s="288" t="s">
        <v>781</v>
      </c>
      <c r="F117" s="289"/>
      <c r="G117" s="288"/>
      <c r="H117" s="286">
        <v>83.857142857142861</v>
      </c>
      <c r="I117" s="286">
        <v>0</v>
      </c>
      <c r="J117" s="286"/>
      <c r="K117" s="286">
        <v>83.857142857142861</v>
      </c>
      <c r="M117" s="285" t="str">
        <f t="shared" si="1"/>
        <v>Yes</v>
      </c>
    </row>
    <row r="118" spans="1:13">
      <c r="A118" s="286" t="s">
        <v>601</v>
      </c>
      <c r="B118" s="286" t="s">
        <v>323</v>
      </c>
      <c r="C118" s="287" t="s">
        <v>324</v>
      </c>
      <c r="D118" s="286">
        <v>12913</v>
      </c>
      <c r="E118" s="288"/>
      <c r="F118" s="289" t="s">
        <v>787</v>
      </c>
      <c r="G118" s="291"/>
      <c r="H118" s="286">
        <v>85</v>
      </c>
      <c r="I118" s="286">
        <v>0</v>
      </c>
      <c r="J118" s="286"/>
      <c r="K118" s="286">
        <v>85</v>
      </c>
      <c r="M118" s="285" t="str">
        <f t="shared" si="1"/>
        <v>yes</v>
      </c>
    </row>
    <row r="119" spans="1:13">
      <c r="A119" s="286" t="s">
        <v>597</v>
      </c>
      <c r="B119" s="286" t="s">
        <v>355</v>
      </c>
      <c r="C119" s="287" t="s">
        <v>356</v>
      </c>
      <c r="E119" s="288"/>
      <c r="F119" s="289" t="s">
        <v>782</v>
      </c>
      <c r="G119" s="288">
        <v>4926</v>
      </c>
      <c r="H119" s="286">
        <v>32.428571428571431</v>
      </c>
      <c r="I119" s="286">
        <v>0</v>
      </c>
      <c r="J119" s="286"/>
      <c r="K119" s="286">
        <v>32.428571428571431</v>
      </c>
      <c r="M119" s="285" t="str">
        <f t="shared" si="1"/>
        <v>No</v>
      </c>
    </row>
    <row r="120" spans="1:13">
      <c r="A120" s="286" t="s">
        <v>596</v>
      </c>
      <c r="B120" s="286" t="s">
        <v>4</v>
      </c>
      <c r="C120" s="287" t="s">
        <v>5</v>
      </c>
      <c r="D120" s="288">
        <v>197576</v>
      </c>
      <c r="E120" s="288" t="s">
        <v>781</v>
      </c>
      <c r="F120" s="289"/>
      <c r="G120" s="288"/>
      <c r="H120" s="286">
        <v>1300.5714285714287</v>
      </c>
      <c r="I120" s="286">
        <v>0</v>
      </c>
      <c r="J120" s="286"/>
      <c r="K120" s="286">
        <v>1300.5714285714287</v>
      </c>
      <c r="M120" s="285" t="str">
        <f t="shared" si="1"/>
        <v>Yes</v>
      </c>
    </row>
    <row r="121" spans="1:13">
      <c r="A121" s="286" t="s">
        <v>601</v>
      </c>
      <c r="B121" s="286" t="s">
        <v>86</v>
      </c>
      <c r="C121" s="287" t="s">
        <v>87</v>
      </c>
      <c r="D121" s="288">
        <v>3689</v>
      </c>
      <c r="E121" s="288"/>
      <c r="F121" s="289" t="s">
        <v>757</v>
      </c>
      <c r="G121" s="288"/>
      <c r="H121" s="286">
        <v>24.285714285714285</v>
      </c>
      <c r="I121" s="286">
        <v>0</v>
      </c>
      <c r="J121" s="286"/>
      <c r="K121" s="286">
        <v>24.285714285714285</v>
      </c>
      <c r="M121" s="285" t="str">
        <f t="shared" si="1"/>
        <v>no</v>
      </c>
    </row>
    <row r="122" spans="1:13">
      <c r="A122" s="286" t="s">
        <v>596</v>
      </c>
      <c r="B122" s="286" t="s">
        <v>104</v>
      </c>
      <c r="C122" s="287" t="s">
        <v>105</v>
      </c>
      <c r="D122" s="288">
        <v>708465</v>
      </c>
      <c r="E122" s="288" t="s">
        <v>781</v>
      </c>
      <c r="F122" s="289"/>
      <c r="G122" s="288"/>
      <c r="H122" s="286">
        <v>4657.5714285714284</v>
      </c>
      <c r="I122" s="290">
        <v>0</v>
      </c>
      <c r="J122" s="286"/>
      <c r="K122" s="286">
        <v>4663.5714285714284</v>
      </c>
      <c r="M122" s="285" t="str">
        <f t="shared" si="1"/>
        <v>Yes</v>
      </c>
    </row>
    <row r="123" spans="1:13">
      <c r="A123" s="286" t="s">
        <v>601</v>
      </c>
      <c r="B123" s="286" t="s">
        <v>317</v>
      </c>
      <c r="C123" s="287" t="s">
        <v>318</v>
      </c>
      <c r="D123" s="288">
        <v>5708</v>
      </c>
      <c r="E123" s="288" t="s">
        <v>781</v>
      </c>
      <c r="F123" s="289"/>
      <c r="G123" s="288"/>
      <c r="H123" s="286">
        <v>37.571428571428569</v>
      </c>
      <c r="I123" s="286">
        <v>0</v>
      </c>
      <c r="J123" s="290">
        <v>0</v>
      </c>
      <c r="K123" s="286">
        <v>37.571428571428569</v>
      </c>
      <c r="M123" s="285" t="str">
        <f t="shared" si="1"/>
        <v>Yes</v>
      </c>
    </row>
    <row r="124" spans="1:13">
      <c r="A124" s="286" t="s">
        <v>596</v>
      </c>
      <c r="B124" s="286" t="s">
        <v>16</v>
      </c>
      <c r="C124" s="287" t="s">
        <v>17</v>
      </c>
      <c r="D124" s="288">
        <v>4536</v>
      </c>
      <c r="E124" s="288" t="s">
        <v>781</v>
      </c>
      <c r="F124" s="289"/>
      <c r="G124" s="288"/>
      <c r="H124" s="286">
        <v>29.857142857142858</v>
      </c>
      <c r="I124" s="286">
        <v>0</v>
      </c>
      <c r="J124" s="286"/>
      <c r="K124" s="286">
        <v>29.857142857142858</v>
      </c>
      <c r="M124" s="285" t="str">
        <f t="shared" si="1"/>
        <v>Yes</v>
      </c>
    </row>
    <row r="125" spans="1:13">
      <c r="A125" s="286" t="s">
        <v>597</v>
      </c>
      <c r="B125" s="286" t="s">
        <v>359</v>
      </c>
      <c r="C125" s="287" t="s">
        <v>360</v>
      </c>
      <c r="D125" s="288">
        <v>9028</v>
      </c>
      <c r="E125" s="288" t="s">
        <v>781</v>
      </c>
      <c r="F125" s="289"/>
      <c r="G125" s="288"/>
      <c r="H125" s="286">
        <v>59.428571428571431</v>
      </c>
      <c r="I125" s="286">
        <v>0</v>
      </c>
      <c r="J125" s="286"/>
      <c r="K125" s="286">
        <v>59.428571428571431</v>
      </c>
      <c r="M125" s="285" t="str">
        <f t="shared" si="1"/>
        <v>Yes</v>
      </c>
    </row>
    <row r="126" spans="1:13">
      <c r="A126" s="286" t="s">
        <v>596</v>
      </c>
      <c r="B126" s="286" t="s">
        <v>112</v>
      </c>
      <c r="C126" s="287" t="s">
        <v>113</v>
      </c>
      <c r="D126" s="291"/>
      <c r="E126" s="288"/>
      <c r="F126" s="289" t="s">
        <v>782</v>
      </c>
      <c r="G126" s="288">
        <v>1302</v>
      </c>
      <c r="H126" s="286">
        <v>8.5714285714285712</v>
      </c>
      <c r="I126" s="286">
        <v>0</v>
      </c>
      <c r="J126" s="286"/>
      <c r="K126" s="286">
        <v>8.5714285714285712</v>
      </c>
      <c r="M126" s="285" t="str">
        <f t="shared" si="1"/>
        <v>No</v>
      </c>
    </row>
    <row r="127" spans="1:13">
      <c r="A127" s="286" t="s">
        <v>600</v>
      </c>
      <c r="B127" s="286" t="s">
        <v>39</v>
      </c>
      <c r="C127" s="287" t="s">
        <v>40</v>
      </c>
      <c r="D127" s="291"/>
      <c r="E127" s="288"/>
      <c r="F127" s="289" t="s">
        <v>782</v>
      </c>
      <c r="G127" s="288">
        <v>6229</v>
      </c>
      <c r="H127" s="286">
        <v>41</v>
      </c>
      <c r="I127" s="286">
        <v>0</v>
      </c>
      <c r="J127" s="286"/>
      <c r="K127" s="286">
        <v>41</v>
      </c>
      <c r="M127" s="285" t="str">
        <f t="shared" si="1"/>
        <v>No</v>
      </c>
    </row>
    <row r="128" spans="1:13">
      <c r="A128" s="286" t="s">
        <v>600</v>
      </c>
      <c r="B128" s="286" t="s">
        <v>171</v>
      </c>
      <c r="C128" s="287" t="s">
        <v>172</v>
      </c>
      <c r="D128" s="291"/>
      <c r="E128" s="288"/>
      <c r="F128" s="289" t="s">
        <v>782</v>
      </c>
      <c r="G128" s="288">
        <v>3386</v>
      </c>
      <c r="H128" s="286">
        <v>22.285714285714285</v>
      </c>
      <c r="I128" s="286">
        <v>0</v>
      </c>
      <c r="J128" s="286"/>
      <c r="K128" s="286">
        <v>22.285714285714285</v>
      </c>
      <c r="M128" s="285" t="str">
        <f t="shared" si="1"/>
        <v>No</v>
      </c>
    </row>
    <row r="129" spans="1:13">
      <c r="A129" s="286" t="s">
        <v>596</v>
      </c>
      <c r="B129" s="286" t="s">
        <v>502</v>
      </c>
      <c r="C129" s="287" t="s">
        <v>503</v>
      </c>
      <c r="D129" s="288">
        <v>13325</v>
      </c>
      <c r="E129" s="288" t="s">
        <v>781</v>
      </c>
      <c r="F129" s="289"/>
      <c r="G129" s="288"/>
      <c r="H129" s="286">
        <v>87.714285714285708</v>
      </c>
      <c r="I129" s="286">
        <v>0</v>
      </c>
      <c r="J129" s="286"/>
      <c r="K129" s="286">
        <v>87.714285714285708</v>
      </c>
      <c r="M129" s="285" t="str">
        <f t="shared" si="1"/>
        <v>Yes</v>
      </c>
    </row>
    <row r="130" spans="1:13">
      <c r="A130" s="286" t="s">
        <v>596</v>
      </c>
      <c r="B130" s="286" t="s">
        <v>21</v>
      </c>
      <c r="C130" s="287" t="s">
        <v>22</v>
      </c>
      <c r="D130" s="288">
        <v>81513</v>
      </c>
      <c r="E130" s="288" t="s">
        <v>781</v>
      </c>
      <c r="F130" s="289"/>
      <c r="G130" s="288"/>
      <c r="H130" s="286">
        <v>536.57142857142856</v>
      </c>
      <c r="I130" s="286">
        <v>0</v>
      </c>
      <c r="J130" s="286"/>
      <c r="K130" s="286">
        <v>536.57142857142856</v>
      </c>
      <c r="M130" s="285" t="str">
        <f t="shared" si="1"/>
        <v>Yes</v>
      </c>
    </row>
    <row r="131" spans="1:13">
      <c r="A131" s="286" t="s">
        <v>603</v>
      </c>
      <c r="B131" s="286" t="s">
        <v>523</v>
      </c>
      <c r="C131" s="287" t="s">
        <v>524</v>
      </c>
      <c r="D131" s="288">
        <v>9267</v>
      </c>
      <c r="E131" s="288" t="s">
        <v>781</v>
      </c>
      <c r="F131" s="289"/>
      <c r="G131" s="288"/>
      <c r="H131" s="286">
        <v>61</v>
      </c>
      <c r="I131" s="286">
        <v>0</v>
      </c>
      <c r="J131" s="286"/>
      <c r="K131" s="286">
        <v>61</v>
      </c>
      <c r="M131" s="285" t="str">
        <f t="shared" ref="M131:M194" si="2">IF(ISBLANK(E131),F131,E131)</f>
        <v>Yes</v>
      </c>
    </row>
    <row r="132" spans="1:13">
      <c r="A132" s="286" t="s">
        <v>597</v>
      </c>
      <c r="B132" s="286" t="s">
        <v>343</v>
      </c>
      <c r="C132" s="287" t="s">
        <v>344</v>
      </c>
      <c r="D132" s="288">
        <v>74026</v>
      </c>
      <c r="E132" s="288" t="s">
        <v>781</v>
      </c>
      <c r="F132" s="289"/>
      <c r="G132" s="288"/>
      <c r="H132" s="286">
        <v>487.28571428571428</v>
      </c>
      <c r="I132" s="286">
        <v>0</v>
      </c>
      <c r="J132" s="286"/>
      <c r="K132" s="286">
        <v>487.28571428571428</v>
      </c>
      <c r="M132" s="285" t="str">
        <f t="shared" si="2"/>
        <v>Yes</v>
      </c>
    </row>
    <row r="133" spans="1:13">
      <c r="A133" s="286" t="s">
        <v>600</v>
      </c>
      <c r="B133" s="286" t="s">
        <v>47</v>
      </c>
      <c r="C133" s="287" t="s">
        <v>48</v>
      </c>
      <c r="D133" s="288">
        <v>19120</v>
      </c>
      <c r="E133" s="288" t="s">
        <v>781</v>
      </c>
      <c r="F133" s="289"/>
      <c r="G133" s="288"/>
      <c r="H133" s="286">
        <v>125.85714285714286</v>
      </c>
      <c r="I133" s="290">
        <v>0</v>
      </c>
      <c r="J133" s="286"/>
      <c r="K133" s="286">
        <v>125.85714285714286</v>
      </c>
      <c r="M133" s="285" t="str">
        <f t="shared" si="2"/>
        <v>Yes</v>
      </c>
    </row>
    <row r="134" spans="1:13">
      <c r="A134" s="286" t="s">
        <v>594</v>
      </c>
      <c r="B134" s="286" t="s">
        <v>145</v>
      </c>
      <c r="C134" s="287" t="s">
        <v>146</v>
      </c>
      <c r="D134" s="288">
        <v>5274</v>
      </c>
      <c r="E134" s="288" t="s">
        <v>781</v>
      </c>
      <c r="F134" s="289"/>
      <c r="G134" s="288"/>
      <c r="H134" s="286">
        <v>34.714285714285715</v>
      </c>
      <c r="I134" s="290">
        <v>17</v>
      </c>
      <c r="J134" s="286"/>
      <c r="K134" s="286">
        <v>34.714285714285715</v>
      </c>
      <c r="M134" s="285" t="str">
        <f t="shared" si="2"/>
        <v>Yes</v>
      </c>
    </row>
    <row r="135" spans="1:13">
      <c r="A135" s="286" t="s">
        <v>601</v>
      </c>
      <c r="B135" s="286" t="s">
        <v>116</v>
      </c>
      <c r="C135" s="287" t="s">
        <v>117</v>
      </c>
      <c r="D135" s="288">
        <v>127891</v>
      </c>
      <c r="E135" s="288" t="s">
        <v>781</v>
      </c>
      <c r="F135" s="289"/>
      <c r="G135" s="288"/>
      <c r="H135" s="286">
        <v>841.85714285714289</v>
      </c>
      <c r="I135" s="286">
        <v>0</v>
      </c>
      <c r="J135" s="286"/>
      <c r="K135" s="286">
        <v>841.85714285714289</v>
      </c>
      <c r="M135" s="285" t="str">
        <f t="shared" si="2"/>
        <v>Yes</v>
      </c>
    </row>
    <row r="136" spans="1:13">
      <c r="A136" s="286" t="s">
        <v>594</v>
      </c>
      <c r="B136" s="286" t="s">
        <v>327</v>
      </c>
      <c r="C136" s="287" t="s">
        <v>328</v>
      </c>
      <c r="D136" s="288">
        <v>8355</v>
      </c>
      <c r="E136" s="288" t="s">
        <v>781</v>
      </c>
      <c r="F136" s="289"/>
      <c r="G136" s="288"/>
      <c r="H136" s="286">
        <v>55</v>
      </c>
      <c r="I136" s="286">
        <v>0</v>
      </c>
      <c r="J136" s="286"/>
      <c r="K136" s="286">
        <v>55</v>
      </c>
      <c r="M136" s="285" t="str">
        <f t="shared" si="2"/>
        <v>Yes</v>
      </c>
    </row>
    <row r="137" spans="1:13">
      <c r="A137" s="286" t="s">
        <v>597</v>
      </c>
      <c r="B137" s="286" t="s">
        <v>185</v>
      </c>
      <c r="C137" s="287" t="s">
        <v>186</v>
      </c>
      <c r="D137" s="288">
        <v>282019</v>
      </c>
      <c r="E137" s="288" t="s">
        <v>781</v>
      </c>
      <c r="F137" s="289"/>
      <c r="G137" s="288"/>
      <c r="H137" s="286">
        <v>1856.4285714285713</v>
      </c>
      <c r="I137" s="286">
        <v>0</v>
      </c>
      <c r="J137" s="286"/>
      <c r="K137" s="286">
        <v>1856.4285714285713</v>
      </c>
      <c r="M137" s="285" t="str">
        <f t="shared" si="2"/>
        <v>Yes</v>
      </c>
    </row>
    <row r="138" spans="1:13">
      <c r="A138" s="286" t="s">
        <v>596</v>
      </c>
      <c r="B138" s="286" t="s">
        <v>23</v>
      </c>
      <c r="C138" s="287" t="s">
        <v>24</v>
      </c>
      <c r="D138" s="288">
        <v>33074</v>
      </c>
      <c r="E138" s="288" t="s">
        <v>781</v>
      </c>
      <c r="F138" s="289"/>
      <c r="G138" s="286"/>
      <c r="H138" s="286">
        <v>217.71428571428572</v>
      </c>
      <c r="I138" s="290">
        <v>0</v>
      </c>
      <c r="J138" s="286"/>
      <c r="K138" s="286">
        <v>217.71428571428572</v>
      </c>
      <c r="M138" s="285" t="str">
        <f t="shared" si="2"/>
        <v>Yes</v>
      </c>
    </row>
    <row r="139" spans="1:13">
      <c r="A139" s="286" t="s">
        <v>599</v>
      </c>
      <c r="B139" s="286" t="s">
        <v>64</v>
      </c>
      <c r="C139" s="287" t="s">
        <v>65</v>
      </c>
      <c r="D139" s="288">
        <v>9310</v>
      </c>
      <c r="E139" s="288" t="s">
        <v>781</v>
      </c>
      <c r="F139" s="289"/>
      <c r="G139" s="288"/>
      <c r="H139" s="286">
        <v>61.285714285714285</v>
      </c>
      <c r="I139" s="286">
        <v>0</v>
      </c>
      <c r="J139" s="286"/>
      <c r="K139" s="286">
        <v>61.285714285714285</v>
      </c>
      <c r="M139" s="285" t="str">
        <f t="shared" si="2"/>
        <v>Yes</v>
      </c>
    </row>
    <row r="140" spans="1:13">
      <c r="A140" s="286" t="s">
        <v>597</v>
      </c>
      <c r="B140" s="286" t="s">
        <v>193</v>
      </c>
      <c r="C140" s="287" t="s">
        <v>194</v>
      </c>
      <c r="D140" s="288">
        <v>9419</v>
      </c>
      <c r="E140" s="288" t="s">
        <v>781</v>
      </c>
      <c r="F140" s="289"/>
      <c r="G140" s="288"/>
      <c r="H140" s="286">
        <v>62</v>
      </c>
      <c r="I140" s="286">
        <v>0</v>
      </c>
      <c r="J140" s="286"/>
      <c r="K140" s="286">
        <v>62</v>
      </c>
      <c r="M140" s="285" t="str">
        <f t="shared" si="2"/>
        <v>Yes</v>
      </c>
    </row>
    <row r="141" spans="1:13">
      <c r="A141" s="286" t="s">
        <v>594</v>
      </c>
      <c r="B141" s="286" t="s">
        <v>484</v>
      </c>
      <c r="C141" s="287" t="s">
        <v>485</v>
      </c>
      <c r="D141" s="288">
        <v>21094</v>
      </c>
      <c r="E141" s="288" t="s">
        <v>781</v>
      </c>
      <c r="F141" s="289"/>
      <c r="G141" s="288"/>
      <c r="H141" s="286">
        <v>105.85714285714286</v>
      </c>
      <c r="I141" s="290">
        <v>0</v>
      </c>
      <c r="J141" s="286"/>
      <c r="K141" s="286">
        <v>138.85714285714286</v>
      </c>
      <c r="M141" s="285" t="str">
        <f t="shared" si="2"/>
        <v>Yes</v>
      </c>
    </row>
    <row r="142" spans="1:13">
      <c r="A142" s="286" t="s">
        <v>599</v>
      </c>
      <c r="B142" s="286" t="s">
        <v>244</v>
      </c>
      <c r="C142" s="287" t="s">
        <v>245</v>
      </c>
      <c r="E142" s="288"/>
      <c r="F142" s="289" t="s">
        <v>782</v>
      </c>
      <c r="G142" s="288">
        <v>1758</v>
      </c>
      <c r="H142" s="286">
        <v>11.571428571428571</v>
      </c>
      <c r="I142" s="286">
        <v>0</v>
      </c>
      <c r="J142" s="286"/>
      <c r="K142" s="286">
        <v>11.571428571428571</v>
      </c>
      <c r="M142" s="285" t="str">
        <f t="shared" si="2"/>
        <v>No</v>
      </c>
    </row>
    <row r="143" spans="1:13">
      <c r="A143" s="286" t="s">
        <v>605</v>
      </c>
      <c r="B143" s="286" t="s">
        <v>123</v>
      </c>
      <c r="C143" s="287" t="s">
        <v>124</v>
      </c>
      <c r="D143" s="288">
        <v>88523</v>
      </c>
      <c r="E143" s="288" t="s">
        <v>781</v>
      </c>
      <c r="F143" s="289"/>
      <c r="G143" s="288"/>
      <c r="H143" s="286">
        <v>582.71428571428567</v>
      </c>
      <c r="I143" s="286">
        <v>0</v>
      </c>
      <c r="J143" s="286"/>
      <c r="K143" s="286">
        <v>582.71428571428567</v>
      </c>
      <c r="M143" s="285" t="str">
        <f t="shared" si="2"/>
        <v>Yes</v>
      </c>
    </row>
    <row r="144" spans="1:13">
      <c r="A144" s="286" t="s">
        <v>595</v>
      </c>
      <c r="B144" s="286" t="s">
        <v>375</v>
      </c>
      <c r="C144" s="287" t="s">
        <v>614</v>
      </c>
      <c r="E144" s="288"/>
      <c r="F144" s="289" t="s">
        <v>782</v>
      </c>
      <c r="G144" s="288">
        <v>4167</v>
      </c>
      <c r="H144" s="286">
        <v>27.428571428571427</v>
      </c>
      <c r="I144" s="286">
        <v>0</v>
      </c>
      <c r="J144" s="286"/>
      <c r="K144" s="286">
        <v>27.428571428571427</v>
      </c>
      <c r="M144" s="285" t="str">
        <f t="shared" si="2"/>
        <v>No</v>
      </c>
    </row>
    <row r="145" spans="1:13">
      <c r="A145" s="286" t="s">
        <v>597</v>
      </c>
      <c r="B145" s="286" t="s">
        <v>173</v>
      </c>
      <c r="C145" s="287" t="s">
        <v>174</v>
      </c>
      <c r="D145" s="288">
        <v>777618</v>
      </c>
      <c r="E145" s="288" t="s">
        <v>781</v>
      </c>
      <c r="F145" s="289"/>
      <c r="G145" s="288"/>
      <c r="H145" s="286">
        <v>5118.8571428571431</v>
      </c>
      <c r="I145" s="286">
        <v>0</v>
      </c>
      <c r="J145" s="286"/>
      <c r="K145" s="286">
        <v>5118.8571428571431</v>
      </c>
      <c r="M145" s="285" t="str">
        <f t="shared" si="2"/>
        <v>Yes</v>
      </c>
    </row>
    <row r="146" spans="1:13">
      <c r="A146" s="286" t="s">
        <v>595</v>
      </c>
      <c r="B146" s="286" t="s">
        <v>379</v>
      </c>
      <c r="C146" s="287" t="s">
        <v>615</v>
      </c>
      <c r="D146" s="288">
        <v>34137</v>
      </c>
      <c r="E146" s="288" t="s">
        <v>781</v>
      </c>
      <c r="F146" s="289"/>
      <c r="G146" s="288"/>
      <c r="H146" s="286">
        <v>224.71428571428572</v>
      </c>
      <c r="I146" s="290">
        <v>0</v>
      </c>
      <c r="J146" s="286"/>
      <c r="K146" s="286">
        <v>224.71428571428572</v>
      </c>
      <c r="M146" s="285" t="str">
        <f t="shared" si="2"/>
        <v>Yes</v>
      </c>
    </row>
    <row r="147" spans="1:13">
      <c r="A147" s="286" t="s">
        <v>605</v>
      </c>
      <c r="B147" s="286" t="s">
        <v>551</v>
      </c>
      <c r="C147" s="287" t="s">
        <v>552</v>
      </c>
      <c r="D147" s="288">
        <v>24849</v>
      </c>
      <c r="E147" s="289" t="s">
        <v>781</v>
      </c>
      <c r="F147" s="289"/>
      <c r="G147" s="288"/>
      <c r="H147" s="286">
        <v>163.57142857142858</v>
      </c>
      <c r="I147" s="286">
        <v>0</v>
      </c>
      <c r="J147" s="286"/>
      <c r="K147" s="286">
        <v>163.57142857142858</v>
      </c>
      <c r="M147" s="285" t="str">
        <f t="shared" si="2"/>
        <v>Yes</v>
      </c>
    </row>
    <row r="148" spans="1:13">
      <c r="A148" s="286" t="s">
        <v>600</v>
      </c>
      <c r="B148" s="286" t="s">
        <v>43</v>
      </c>
      <c r="C148" s="287" t="s">
        <v>44</v>
      </c>
      <c r="E148" s="288"/>
      <c r="F148" s="289" t="s">
        <v>782</v>
      </c>
      <c r="G148" s="288">
        <v>6858</v>
      </c>
      <c r="H148" s="286">
        <v>45.142857142857146</v>
      </c>
      <c r="I148" s="286">
        <v>0</v>
      </c>
      <c r="J148" s="286"/>
      <c r="K148" s="286">
        <v>45.142857142857146</v>
      </c>
      <c r="M148" s="285" t="str">
        <f t="shared" si="2"/>
        <v>No</v>
      </c>
    </row>
    <row r="149" spans="1:13">
      <c r="A149" s="286" t="s">
        <v>594</v>
      </c>
      <c r="B149" s="286" t="s">
        <v>299</v>
      </c>
      <c r="C149" s="287" t="s">
        <v>300</v>
      </c>
      <c r="D149" s="288">
        <v>40127</v>
      </c>
      <c r="E149" s="288" t="s">
        <v>781</v>
      </c>
      <c r="F149" s="289"/>
      <c r="G149" s="288"/>
      <c r="H149" s="286">
        <v>263.14285714285717</v>
      </c>
      <c r="I149" s="290">
        <v>0</v>
      </c>
      <c r="J149" s="286"/>
      <c r="K149" s="286">
        <v>264.14285714285717</v>
      </c>
      <c r="M149" s="285" t="str">
        <f t="shared" si="2"/>
        <v>Yes</v>
      </c>
    </row>
    <row r="150" spans="1:13">
      <c r="A150" s="286" t="s">
        <v>597</v>
      </c>
      <c r="B150" s="286" t="s">
        <v>203</v>
      </c>
      <c r="C150" s="287" t="s">
        <v>204</v>
      </c>
      <c r="D150" s="288">
        <v>83249</v>
      </c>
      <c r="E150" s="288" t="s">
        <v>781</v>
      </c>
      <c r="F150" s="289"/>
      <c r="G150" s="288"/>
      <c r="H150" s="286">
        <v>548</v>
      </c>
      <c r="I150" s="286">
        <v>0</v>
      </c>
      <c r="J150" s="286"/>
      <c r="K150" s="286">
        <v>548</v>
      </c>
      <c r="M150" s="285" t="str">
        <f t="shared" si="2"/>
        <v>Yes</v>
      </c>
    </row>
    <row r="151" spans="1:13">
      <c r="A151" s="286" t="s">
        <v>597</v>
      </c>
      <c r="B151" s="286" t="s">
        <v>187</v>
      </c>
      <c r="C151" s="287" t="s">
        <v>188</v>
      </c>
      <c r="E151" s="291"/>
      <c r="F151" s="289" t="s">
        <v>785</v>
      </c>
      <c r="G151" s="288">
        <v>130</v>
      </c>
      <c r="H151" s="286">
        <v>0.8571428571428571</v>
      </c>
      <c r="I151" s="286">
        <v>0</v>
      </c>
      <c r="J151" s="286"/>
      <c r="K151" s="286">
        <v>0.8571428571428571</v>
      </c>
      <c r="M151" s="285" t="str">
        <f t="shared" si="2"/>
        <v>NO</v>
      </c>
    </row>
    <row r="152" spans="1:13">
      <c r="A152" s="286" t="s">
        <v>595</v>
      </c>
      <c r="B152" s="286" t="s">
        <v>411</v>
      </c>
      <c r="C152" s="287" t="s">
        <v>412</v>
      </c>
      <c r="D152" s="288">
        <v>30318</v>
      </c>
      <c r="E152" s="288" t="s">
        <v>781</v>
      </c>
      <c r="F152" s="289"/>
      <c r="G152" s="288"/>
      <c r="H152" s="286">
        <v>199.57142857142858</v>
      </c>
      <c r="I152" s="286">
        <v>0</v>
      </c>
      <c r="J152" s="286"/>
      <c r="K152" s="286">
        <v>199.57142857142858</v>
      </c>
      <c r="M152" s="285" t="str">
        <f t="shared" si="2"/>
        <v>Yes</v>
      </c>
    </row>
    <row r="153" spans="1:13">
      <c r="A153" s="286" t="s">
        <v>597</v>
      </c>
      <c r="B153" s="286" t="s">
        <v>199</v>
      </c>
      <c r="C153" s="287" t="s">
        <v>200</v>
      </c>
      <c r="E153" s="288"/>
      <c r="F153" s="289" t="s">
        <v>782</v>
      </c>
      <c r="G153" s="288">
        <v>8920</v>
      </c>
      <c r="H153" s="286">
        <v>58.714285714285715</v>
      </c>
      <c r="I153" s="286">
        <v>0</v>
      </c>
      <c r="J153" s="286">
        <v>5</v>
      </c>
      <c r="K153" s="286">
        <v>58.714285714285715</v>
      </c>
      <c r="M153" s="285" t="str">
        <f t="shared" si="2"/>
        <v>No</v>
      </c>
    </row>
    <row r="154" spans="1:13">
      <c r="A154" s="286" t="s">
        <v>601</v>
      </c>
      <c r="B154" s="286" t="s">
        <v>121</v>
      </c>
      <c r="C154" s="287" t="s">
        <v>122</v>
      </c>
      <c r="D154" s="288">
        <v>17383</v>
      </c>
      <c r="E154" s="288" t="s">
        <v>781</v>
      </c>
      <c r="F154" s="289"/>
      <c r="G154" s="288"/>
      <c r="H154" s="286">
        <v>114.42857142857143</v>
      </c>
      <c r="I154" s="286">
        <v>0</v>
      </c>
      <c r="J154" s="286"/>
      <c r="K154" s="286">
        <v>114.42857142857143</v>
      </c>
      <c r="M154" s="285" t="str">
        <f t="shared" si="2"/>
        <v>Yes</v>
      </c>
    </row>
    <row r="155" spans="1:13">
      <c r="A155" s="286" t="s">
        <v>594</v>
      </c>
      <c r="B155" s="286" t="s">
        <v>329</v>
      </c>
      <c r="C155" s="287" t="s">
        <v>330</v>
      </c>
      <c r="D155" s="288">
        <v>14193</v>
      </c>
      <c r="E155" s="288" t="s">
        <v>781</v>
      </c>
      <c r="F155" s="289"/>
      <c r="G155" s="288"/>
      <c r="H155" s="286">
        <v>93.428571428571431</v>
      </c>
      <c r="I155" s="286">
        <v>0</v>
      </c>
      <c r="J155" s="286"/>
      <c r="K155" s="286">
        <v>93.428571428571431</v>
      </c>
      <c r="M155" s="285" t="str">
        <f t="shared" si="2"/>
        <v>Yes</v>
      </c>
    </row>
    <row r="156" spans="1:13">
      <c r="A156" s="286" t="s">
        <v>600</v>
      </c>
      <c r="B156" s="286" t="s">
        <v>218</v>
      </c>
      <c r="C156" s="287" t="s">
        <v>219</v>
      </c>
      <c r="D156" s="291"/>
      <c r="E156" s="288"/>
      <c r="F156" s="289" t="s">
        <v>782</v>
      </c>
      <c r="G156" s="288">
        <v>9028</v>
      </c>
      <c r="H156" s="286">
        <v>59.428571428571431</v>
      </c>
      <c r="I156" s="286">
        <v>0</v>
      </c>
      <c r="J156" s="286"/>
      <c r="K156" s="286">
        <v>59.428571428571431</v>
      </c>
      <c r="M156" s="285" t="str">
        <f t="shared" si="2"/>
        <v>No</v>
      </c>
    </row>
    <row r="157" spans="1:13">
      <c r="A157" s="286" t="s">
        <v>595</v>
      </c>
      <c r="B157" s="286" t="s">
        <v>161</v>
      </c>
      <c r="C157" s="287" t="s">
        <v>162</v>
      </c>
      <c r="D157" s="291"/>
      <c r="E157" s="288"/>
      <c r="F157" s="289" t="s">
        <v>782</v>
      </c>
      <c r="G157" s="288">
        <v>1302</v>
      </c>
      <c r="H157" s="286">
        <v>8.5714285714285712</v>
      </c>
      <c r="I157" s="286">
        <v>0</v>
      </c>
      <c r="J157" s="286"/>
      <c r="K157" s="286">
        <v>8.5714285714285712</v>
      </c>
      <c r="M157" s="285" t="str">
        <f t="shared" si="2"/>
        <v>No</v>
      </c>
    </row>
    <row r="158" spans="1:13">
      <c r="A158" s="286" t="s">
        <v>594</v>
      </c>
      <c r="B158" s="286" t="s">
        <v>295</v>
      </c>
      <c r="C158" s="287" t="s">
        <v>296</v>
      </c>
      <c r="D158" s="291"/>
      <c r="E158" s="288"/>
      <c r="F158" s="289" t="s">
        <v>782</v>
      </c>
      <c r="G158" s="288">
        <v>260</v>
      </c>
      <c r="H158" s="286">
        <v>1.7142857142857142</v>
      </c>
      <c r="I158" s="286">
        <v>0</v>
      </c>
      <c r="J158" s="286"/>
      <c r="K158" s="286">
        <v>1.7142857142857142</v>
      </c>
      <c r="M158" s="285" t="str">
        <f t="shared" si="2"/>
        <v>No</v>
      </c>
    </row>
    <row r="159" spans="1:13">
      <c r="A159" s="286" t="s">
        <v>603</v>
      </c>
      <c r="B159" s="286" t="s">
        <v>422</v>
      </c>
      <c r="C159" s="287" t="s">
        <v>423</v>
      </c>
      <c r="D159" s="288">
        <v>154476</v>
      </c>
      <c r="E159" s="288" t="s">
        <v>781</v>
      </c>
      <c r="F159" s="289"/>
      <c r="G159" s="288"/>
      <c r="H159" s="286">
        <v>1016.8571428571429</v>
      </c>
      <c r="I159" s="286">
        <v>0</v>
      </c>
      <c r="J159" s="286"/>
      <c r="K159" s="286">
        <v>1016.8571428571429</v>
      </c>
      <c r="M159" s="285" t="str">
        <f t="shared" si="2"/>
        <v>Yes</v>
      </c>
    </row>
    <row r="160" spans="1:13">
      <c r="A160" s="286" t="s">
        <v>595</v>
      </c>
      <c r="B160" s="286" t="s">
        <v>421</v>
      </c>
      <c r="C160" s="287" t="s">
        <v>616</v>
      </c>
      <c r="D160" s="288">
        <v>12934</v>
      </c>
      <c r="E160" s="288" t="s">
        <v>781</v>
      </c>
      <c r="F160" s="289"/>
      <c r="G160" s="288"/>
      <c r="H160" s="286">
        <v>85.142857142857139</v>
      </c>
      <c r="I160" s="286">
        <v>0</v>
      </c>
      <c r="J160" s="286"/>
      <c r="K160" s="286">
        <v>85.142857142857139</v>
      </c>
      <c r="M160" s="285" t="str">
        <f t="shared" si="2"/>
        <v>Yes</v>
      </c>
    </row>
    <row r="161" spans="1:13">
      <c r="A161" s="286" t="s">
        <v>597</v>
      </c>
      <c r="B161" s="286" t="s">
        <v>342</v>
      </c>
      <c r="C161" s="287" t="s">
        <v>617</v>
      </c>
      <c r="D161" s="291"/>
      <c r="E161" s="288"/>
      <c r="F161" s="289" t="s">
        <v>782</v>
      </c>
      <c r="G161" s="288">
        <v>8572</v>
      </c>
      <c r="H161" s="286">
        <v>56.428571428571431</v>
      </c>
      <c r="I161" s="286">
        <v>0</v>
      </c>
      <c r="J161" s="286"/>
      <c r="K161" s="286">
        <v>56.428571428571431</v>
      </c>
      <c r="M161" s="285" t="str">
        <f t="shared" si="2"/>
        <v>No</v>
      </c>
    </row>
    <row r="162" spans="1:13">
      <c r="A162" s="286" t="s">
        <v>599</v>
      </c>
      <c r="B162" s="286" t="s">
        <v>393</v>
      </c>
      <c r="C162" s="287" t="s">
        <v>394</v>
      </c>
      <c r="D162" s="291"/>
      <c r="E162" s="288"/>
      <c r="F162" s="289" t="s">
        <v>782</v>
      </c>
      <c r="G162" s="288">
        <v>3320</v>
      </c>
      <c r="H162" s="286">
        <v>21.857142857142858</v>
      </c>
      <c r="I162" s="286">
        <v>0</v>
      </c>
      <c r="J162" s="286"/>
      <c r="K162" s="286">
        <v>21.857142857142858</v>
      </c>
      <c r="M162" s="285" t="str">
        <f t="shared" si="2"/>
        <v>No</v>
      </c>
    </row>
    <row r="163" spans="1:13">
      <c r="A163" s="286" t="s">
        <v>595</v>
      </c>
      <c r="B163" s="286" t="s">
        <v>415</v>
      </c>
      <c r="C163" s="287" t="s">
        <v>416</v>
      </c>
      <c r="D163" s="288">
        <v>13065</v>
      </c>
      <c r="E163" s="289" t="s">
        <v>781</v>
      </c>
      <c r="F163" s="289"/>
      <c r="G163" s="288"/>
      <c r="H163" s="286">
        <v>86</v>
      </c>
      <c r="I163" s="286">
        <v>0</v>
      </c>
      <c r="J163" s="286"/>
      <c r="K163" s="286">
        <v>86</v>
      </c>
      <c r="M163" s="285" t="str">
        <f t="shared" si="2"/>
        <v>Yes</v>
      </c>
    </row>
    <row r="164" spans="1:13">
      <c r="A164" s="286" t="s">
        <v>597</v>
      </c>
      <c r="B164" s="286" t="s">
        <v>351</v>
      </c>
      <c r="C164" s="287" t="s">
        <v>352</v>
      </c>
      <c r="D164" s="288">
        <v>25999</v>
      </c>
      <c r="E164" s="288" t="s">
        <v>781</v>
      </c>
      <c r="F164" s="289"/>
      <c r="G164" s="288"/>
      <c r="H164" s="286">
        <v>171.14285714285714</v>
      </c>
      <c r="I164" s="286">
        <v>0</v>
      </c>
      <c r="J164" s="286"/>
      <c r="K164" s="286">
        <v>171.14285714285714</v>
      </c>
      <c r="M164" s="285" t="str">
        <f t="shared" si="2"/>
        <v>Yes</v>
      </c>
    </row>
    <row r="165" spans="1:13">
      <c r="A165" s="286" t="s">
        <v>605</v>
      </c>
      <c r="B165" s="286" t="s">
        <v>557</v>
      </c>
      <c r="C165" s="287" t="s">
        <v>558</v>
      </c>
      <c r="D165" s="286">
        <v>233840</v>
      </c>
      <c r="E165" s="288" t="s">
        <v>781</v>
      </c>
      <c r="F165" s="289"/>
      <c r="G165" s="288"/>
      <c r="H165" s="286">
        <v>1539.2857142857142</v>
      </c>
      <c r="I165" s="286">
        <v>0</v>
      </c>
      <c r="J165" s="286"/>
      <c r="K165" s="286">
        <v>1539.2857142857142</v>
      </c>
      <c r="M165" s="285" t="str">
        <f t="shared" si="2"/>
        <v>Yes</v>
      </c>
    </row>
    <row r="166" spans="1:13">
      <c r="A166" s="286" t="s">
        <v>597</v>
      </c>
      <c r="B166" s="286" t="s">
        <v>345</v>
      </c>
      <c r="C166" s="287" t="s">
        <v>346</v>
      </c>
      <c r="D166" s="288">
        <v>285491</v>
      </c>
      <c r="E166" s="288" t="s">
        <v>781</v>
      </c>
      <c r="F166" s="289"/>
      <c r="G166" s="288"/>
      <c r="H166" s="286">
        <v>1879.2857142857142</v>
      </c>
      <c r="I166" s="286">
        <v>0</v>
      </c>
      <c r="J166" s="286"/>
      <c r="K166" s="286">
        <v>1879.2857142857142</v>
      </c>
      <c r="M166" s="285" t="str">
        <f t="shared" si="2"/>
        <v>Yes</v>
      </c>
    </row>
    <row r="167" spans="1:13">
      <c r="A167" s="286" t="s">
        <v>597</v>
      </c>
      <c r="B167" s="286" t="s">
        <v>197</v>
      </c>
      <c r="C167" s="287" t="s">
        <v>198</v>
      </c>
      <c r="D167" s="288">
        <v>23178</v>
      </c>
      <c r="E167" s="288" t="s">
        <v>781</v>
      </c>
      <c r="F167" s="289"/>
      <c r="G167" s="288"/>
      <c r="H167" s="286">
        <v>152.57142857142858</v>
      </c>
      <c r="I167" s="290">
        <v>0</v>
      </c>
      <c r="J167" s="286"/>
      <c r="K167" s="286">
        <v>152.57142857142858</v>
      </c>
      <c r="M167" s="285" t="str">
        <f t="shared" si="2"/>
        <v>Yes</v>
      </c>
    </row>
    <row r="168" spans="1:13">
      <c r="A168" s="286" t="s">
        <v>594</v>
      </c>
      <c r="B168" s="286" t="s">
        <v>486</v>
      </c>
      <c r="C168" s="287" t="s">
        <v>487</v>
      </c>
      <c r="D168" s="291"/>
      <c r="E168" s="288"/>
      <c r="F168" s="289" t="s">
        <v>782</v>
      </c>
      <c r="G168" s="288">
        <v>2127</v>
      </c>
      <c r="H168" s="286">
        <v>14</v>
      </c>
      <c r="I168" s="286">
        <v>0</v>
      </c>
      <c r="J168" s="286"/>
      <c r="K168" s="286">
        <v>14</v>
      </c>
      <c r="M168" s="285" t="str">
        <f t="shared" si="2"/>
        <v>No</v>
      </c>
    </row>
    <row r="169" spans="1:13">
      <c r="A169" s="286" t="s">
        <v>605</v>
      </c>
      <c r="B169" s="286" t="s">
        <v>224</v>
      </c>
      <c r="C169" s="287" t="s">
        <v>225</v>
      </c>
      <c r="D169" s="288">
        <v>282</v>
      </c>
      <c r="E169" s="288" t="s">
        <v>781</v>
      </c>
      <c r="F169" s="289"/>
      <c r="G169" s="288"/>
      <c r="H169" s="286">
        <v>1.8571428571428572</v>
      </c>
      <c r="I169" s="286">
        <v>0</v>
      </c>
      <c r="J169" s="286"/>
      <c r="K169" s="286">
        <v>1.8571428571428572</v>
      </c>
      <c r="M169" s="285" t="str">
        <f t="shared" si="2"/>
        <v>Yes</v>
      </c>
    </row>
    <row r="170" spans="1:13">
      <c r="A170" s="286" t="s">
        <v>594</v>
      </c>
      <c r="B170" s="286" t="s">
        <v>268</v>
      </c>
      <c r="C170" s="287" t="s">
        <v>269</v>
      </c>
      <c r="D170" s="291"/>
      <c r="E170" s="288"/>
      <c r="F170" s="289" t="s">
        <v>782</v>
      </c>
      <c r="G170" s="288">
        <v>1649</v>
      </c>
      <c r="H170" s="286">
        <v>10.857142857142858</v>
      </c>
      <c r="I170" s="286">
        <v>0</v>
      </c>
      <c r="J170" s="286"/>
      <c r="K170" s="286">
        <v>10.857142857142858</v>
      </c>
      <c r="M170" s="285" t="str">
        <f t="shared" si="2"/>
        <v>No</v>
      </c>
    </row>
    <row r="171" spans="1:13">
      <c r="A171" s="286" t="s">
        <v>601</v>
      </c>
      <c r="B171" s="286" t="s">
        <v>321</v>
      </c>
      <c r="C171" s="287" t="s">
        <v>322</v>
      </c>
      <c r="D171" s="288">
        <v>13868</v>
      </c>
      <c r="E171" s="288" t="s">
        <v>781</v>
      </c>
      <c r="F171" s="289"/>
      <c r="G171" s="288"/>
      <c r="H171" s="286">
        <v>91.285714285714292</v>
      </c>
      <c r="I171" s="286">
        <v>0</v>
      </c>
      <c r="J171" s="286"/>
      <c r="K171" s="286">
        <v>91.285714285714292</v>
      </c>
      <c r="M171" s="285" t="str">
        <f t="shared" si="2"/>
        <v>Yes</v>
      </c>
    </row>
    <row r="172" spans="1:13">
      <c r="A172" s="286" t="s">
        <v>605</v>
      </c>
      <c r="B172" s="286" t="s">
        <v>559</v>
      </c>
      <c r="C172" s="287" t="s">
        <v>560</v>
      </c>
      <c r="D172" s="288">
        <v>228762</v>
      </c>
      <c r="E172" s="288" t="s">
        <v>781</v>
      </c>
      <c r="F172" s="289"/>
      <c r="G172" s="288"/>
      <c r="H172" s="286">
        <v>1186.8571428571429</v>
      </c>
      <c r="I172" s="286">
        <v>285</v>
      </c>
      <c r="J172" s="286"/>
      <c r="K172" s="286">
        <v>1505.8571428571429</v>
      </c>
      <c r="M172" s="285" t="str">
        <f t="shared" si="2"/>
        <v>Yes</v>
      </c>
    </row>
    <row r="173" spans="1:13">
      <c r="A173" s="286" t="s">
        <v>596</v>
      </c>
      <c r="B173" s="286" t="s">
        <v>496</v>
      </c>
      <c r="C173" s="287" t="s">
        <v>497</v>
      </c>
      <c r="D173" s="288">
        <v>4427</v>
      </c>
      <c r="E173" s="288" t="s">
        <v>781</v>
      </c>
      <c r="F173" s="289"/>
      <c r="G173" s="288"/>
      <c r="H173" s="286">
        <v>29.142857142857142</v>
      </c>
      <c r="I173" s="286">
        <v>0</v>
      </c>
      <c r="J173" s="286"/>
      <c r="K173" s="286">
        <v>29.142857142857142</v>
      </c>
      <c r="M173" s="285" t="str">
        <f t="shared" si="2"/>
        <v>Yes</v>
      </c>
    </row>
    <row r="174" spans="1:13">
      <c r="A174" s="286" t="s">
        <v>597</v>
      </c>
      <c r="B174" s="286" t="s">
        <v>191</v>
      </c>
      <c r="C174" s="287" t="s">
        <v>192</v>
      </c>
      <c r="D174" s="288">
        <v>136550</v>
      </c>
      <c r="E174" s="288" t="s">
        <v>781</v>
      </c>
      <c r="F174" s="289"/>
      <c r="G174" s="288"/>
      <c r="H174" s="286">
        <v>898.85714285714289</v>
      </c>
      <c r="I174" s="286">
        <v>0</v>
      </c>
      <c r="J174" s="286"/>
      <c r="K174" s="286">
        <v>898.85714285714289</v>
      </c>
      <c r="M174" s="285" t="str">
        <f t="shared" si="2"/>
        <v>Yes</v>
      </c>
    </row>
    <row r="175" spans="1:13">
      <c r="A175" s="286" t="s">
        <v>594</v>
      </c>
      <c r="B175" s="286" t="s">
        <v>476</v>
      </c>
      <c r="C175" s="287" t="s">
        <v>477</v>
      </c>
      <c r="D175" s="288">
        <v>11133</v>
      </c>
      <c r="E175" s="288"/>
      <c r="F175" s="289" t="s">
        <v>757</v>
      </c>
      <c r="G175" s="288"/>
      <c r="H175" s="286">
        <v>73.285714285714292</v>
      </c>
      <c r="I175" s="286">
        <v>0</v>
      </c>
      <c r="J175" s="286"/>
      <c r="K175" s="286">
        <v>73.285714285714292</v>
      </c>
      <c r="M175" s="285" t="str">
        <f t="shared" si="2"/>
        <v>no</v>
      </c>
    </row>
    <row r="176" spans="1:13">
      <c r="A176" s="286" t="s">
        <v>605</v>
      </c>
      <c r="B176" s="286" t="s">
        <v>543</v>
      </c>
      <c r="C176" s="287" t="s">
        <v>544</v>
      </c>
      <c r="D176" s="288">
        <v>16342</v>
      </c>
      <c r="E176" s="288" t="s">
        <v>781</v>
      </c>
      <c r="F176" s="289"/>
      <c r="G176" s="288"/>
      <c r="H176" s="286">
        <v>107.57142857142857</v>
      </c>
      <c r="I176" s="286">
        <v>0</v>
      </c>
      <c r="J176" s="286"/>
      <c r="K176" s="286">
        <v>107.57142857142857</v>
      </c>
      <c r="M176" s="285" t="str">
        <f t="shared" si="2"/>
        <v>Yes</v>
      </c>
    </row>
    <row r="177" spans="1:13">
      <c r="A177" s="286" t="s">
        <v>597</v>
      </c>
      <c r="B177" s="286" t="s">
        <v>349</v>
      </c>
      <c r="C177" s="287" t="s">
        <v>350</v>
      </c>
      <c r="D177" s="288">
        <v>15756</v>
      </c>
      <c r="E177" s="288" t="s">
        <v>781</v>
      </c>
      <c r="F177" s="289"/>
      <c r="G177" s="288"/>
      <c r="H177" s="286">
        <v>103.71428571428571</v>
      </c>
      <c r="I177" s="286">
        <v>0</v>
      </c>
      <c r="J177" s="286"/>
      <c r="K177" s="286">
        <v>103.71428571428571</v>
      </c>
      <c r="M177" s="285" t="str">
        <f t="shared" si="2"/>
        <v>Yes</v>
      </c>
    </row>
    <row r="178" spans="1:13">
      <c r="A178" s="286" t="s">
        <v>599</v>
      </c>
      <c r="B178" s="286" t="s">
        <v>49</v>
      </c>
      <c r="C178" s="287" t="s">
        <v>50</v>
      </c>
      <c r="D178" s="288">
        <v>276290</v>
      </c>
      <c r="E178" s="288" t="s">
        <v>781</v>
      </c>
      <c r="F178" s="289"/>
      <c r="G178" s="288"/>
      <c r="H178" s="286">
        <v>1818.7142857142858</v>
      </c>
      <c r="I178" s="286">
        <v>0</v>
      </c>
      <c r="J178" s="286"/>
      <c r="K178" s="286">
        <v>1818.7142857142858</v>
      </c>
      <c r="M178" s="285" t="str">
        <f t="shared" si="2"/>
        <v>Yes</v>
      </c>
    </row>
    <row r="179" spans="1:13">
      <c r="A179" s="286" t="s">
        <v>597</v>
      </c>
      <c r="B179" s="286" t="s">
        <v>183</v>
      </c>
      <c r="C179" s="287" t="s">
        <v>184</v>
      </c>
      <c r="D179" s="291"/>
      <c r="E179" s="288"/>
      <c r="F179" s="289" t="s">
        <v>782</v>
      </c>
      <c r="G179" s="288">
        <v>3103</v>
      </c>
      <c r="H179" s="286">
        <v>20.428571428571427</v>
      </c>
      <c r="I179" s="286">
        <v>0</v>
      </c>
      <c r="J179" s="286"/>
      <c r="K179" s="286">
        <v>20.428571428571427</v>
      </c>
      <c r="M179" s="285" t="str">
        <f t="shared" si="2"/>
        <v>No</v>
      </c>
    </row>
    <row r="180" spans="1:13">
      <c r="A180" s="286" t="s">
        <v>605</v>
      </c>
      <c r="B180" s="286" t="s">
        <v>114</v>
      </c>
      <c r="C180" s="287" t="s">
        <v>115</v>
      </c>
      <c r="D180" s="288">
        <v>165240</v>
      </c>
      <c r="E180" s="288" t="s">
        <v>781</v>
      </c>
      <c r="F180" s="289"/>
      <c r="G180" s="288"/>
      <c r="H180" s="286">
        <v>1087.7142857142858</v>
      </c>
      <c r="I180" s="286">
        <v>0</v>
      </c>
      <c r="J180" s="286"/>
      <c r="K180" s="286">
        <v>1087.7142857142858</v>
      </c>
      <c r="M180" s="285" t="str">
        <f t="shared" si="2"/>
        <v>Yes</v>
      </c>
    </row>
    <row r="181" spans="1:13">
      <c r="A181" s="286" t="s">
        <v>596</v>
      </c>
      <c r="B181" s="286" t="s">
        <v>492</v>
      </c>
      <c r="C181" s="287" t="s">
        <v>493</v>
      </c>
      <c r="D181" s="288">
        <v>108901</v>
      </c>
      <c r="E181" s="288" t="s">
        <v>781</v>
      </c>
      <c r="F181" s="289"/>
      <c r="G181" s="288"/>
      <c r="H181" s="286">
        <v>716.85714285714289</v>
      </c>
      <c r="I181" s="286">
        <v>0</v>
      </c>
      <c r="J181" s="286"/>
      <c r="K181" s="286">
        <v>716.85714285714289</v>
      </c>
      <c r="M181" s="285" t="str">
        <f t="shared" si="2"/>
        <v>Yes</v>
      </c>
    </row>
    <row r="182" spans="1:13">
      <c r="A182" s="286" t="s">
        <v>605</v>
      </c>
      <c r="B182" s="286" t="s">
        <v>567</v>
      </c>
      <c r="C182" s="287" t="s">
        <v>568</v>
      </c>
      <c r="D182" s="288">
        <v>151199</v>
      </c>
      <c r="E182" s="288" t="s">
        <v>781</v>
      </c>
      <c r="F182" s="289"/>
      <c r="G182" s="288"/>
      <c r="H182" s="286">
        <v>817.28571428571433</v>
      </c>
      <c r="I182" s="286">
        <v>154</v>
      </c>
      <c r="J182" s="286"/>
      <c r="K182" s="286">
        <v>995.28571428571433</v>
      </c>
      <c r="M182" s="285" t="str">
        <f t="shared" si="2"/>
        <v>Yes</v>
      </c>
    </row>
    <row r="183" spans="1:13">
      <c r="A183" s="286" t="s">
        <v>601</v>
      </c>
      <c r="B183" s="286" t="s">
        <v>118</v>
      </c>
      <c r="C183" s="287" t="s">
        <v>119</v>
      </c>
      <c r="D183" s="288">
        <v>44533</v>
      </c>
      <c r="E183" s="288" t="s">
        <v>781</v>
      </c>
      <c r="F183" s="289"/>
      <c r="G183" s="288"/>
      <c r="H183" s="286">
        <v>293.14285714285717</v>
      </c>
      <c r="I183" s="286">
        <v>0</v>
      </c>
      <c r="J183" s="286"/>
      <c r="K183" s="286">
        <v>293.14285714285717</v>
      </c>
      <c r="M183" s="285" t="str">
        <f t="shared" si="2"/>
        <v>Yes</v>
      </c>
    </row>
    <row r="184" spans="1:13">
      <c r="A184" s="286" t="s">
        <v>599</v>
      </c>
      <c r="B184" s="286" t="s">
        <v>56</v>
      </c>
      <c r="C184" s="287" t="s">
        <v>57</v>
      </c>
      <c r="D184" s="288">
        <v>8637</v>
      </c>
      <c r="E184" s="288" t="s">
        <v>781</v>
      </c>
      <c r="F184" s="289"/>
      <c r="G184" s="288"/>
      <c r="H184" s="286">
        <v>56.857142857142854</v>
      </c>
      <c r="I184" s="286">
        <v>0</v>
      </c>
      <c r="J184" s="286"/>
      <c r="K184" s="286">
        <v>56.857142857142854</v>
      </c>
      <c r="M184" s="285" t="str">
        <f t="shared" si="2"/>
        <v>Yes</v>
      </c>
    </row>
    <row r="185" spans="1:13">
      <c r="A185" s="286" t="s">
        <v>601</v>
      </c>
      <c r="B185" s="286" t="s">
        <v>92</v>
      </c>
      <c r="C185" s="287" t="s">
        <v>93</v>
      </c>
      <c r="E185" s="288"/>
      <c r="F185" s="289" t="s">
        <v>782</v>
      </c>
      <c r="G185" s="288">
        <v>4883</v>
      </c>
      <c r="H185" s="286">
        <v>32.142857142857146</v>
      </c>
      <c r="I185" s="286">
        <v>0</v>
      </c>
      <c r="J185" s="286"/>
      <c r="K185" s="286">
        <v>32.142857142857146</v>
      </c>
      <c r="M185" s="285" t="str">
        <f t="shared" si="2"/>
        <v>No</v>
      </c>
    </row>
    <row r="186" spans="1:13">
      <c r="A186" s="286" t="s">
        <v>601</v>
      </c>
      <c r="B186" s="286" t="s">
        <v>37</v>
      </c>
      <c r="C186" s="287" t="s">
        <v>38</v>
      </c>
      <c r="D186" s="288">
        <v>234339</v>
      </c>
      <c r="E186" s="288" t="s">
        <v>781</v>
      </c>
      <c r="F186" s="289"/>
      <c r="G186" s="288"/>
      <c r="H186" s="286">
        <v>1542.5714285714287</v>
      </c>
      <c r="I186" s="290">
        <v>11</v>
      </c>
      <c r="J186" s="286">
        <v>11</v>
      </c>
      <c r="K186" s="286">
        <v>1542.5714285714287</v>
      </c>
      <c r="M186" s="285" t="str">
        <f t="shared" si="2"/>
        <v>Yes</v>
      </c>
    </row>
    <row r="187" spans="1:13">
      <c r="A187" s="286" t="s">
        <v>603</v>
      </c>
      <c r="B187" s="286" t="s">
        <v>443</v>
      </c>
      <c r="C187" s="287" t="s">
        <v>618</v>
      </c>
      <c r="D187" s="288">
        <v>12175</v>
      </c>
      <c r="E187" s="288" t="s">
        <v>781</v>
      </c>
      <c r="F187" s="289"/>
      <c r="G187" s="288"/>
      <c r="H187" s="286">
        <v>80.142857142857139</v>
      </c>
      <c r="I187" s="286">
        <v>0</v>
      </c>
      <c r="J187" s="286"/>
      <c r="K187" s="286">
        <v>80.142857142857139</v>
      </c>
      <c r="M187" s="285" t="str">
        <f t="shared" si="2"/>
        <v>Yes</v>
      </c>
    </row>
    <row r="188" spans="1:13">
      <c r="A188" s="286" t="s">
        <v>605</v>
      </c>
      <c r="B188" s="286" t="s">
        <v>569</v>
      </c>
      <c r="C188" s="287" t="s">
        <v>570</v>
      </c>
      <c r="D188" s="288">
        <v>8355</v>
      </c>
      <c r="E188" s="288" t="s">
        <v>781</v>
      </c>
      <c r="F188" s="289"/>
      <c r="G188" s="288"/>
      <c r="H188" s="286">
        <v>55</v>
      </c>
      <c r="I188" s="290">
        <v>0</v>
      </c>
      <c r="J188" s="286"/>
      <c r="K188" s="286">
        <v>55</v>
      </c>
      <c r="M188" s="285" t="str">
        <f t="shared" si="2"/>
        <v>Yes</v>
      </c>
    </row>
    <row r="189" spans="1:13">
      <c r="A189" s="286" t="s">
        <v>597</v>
      </c>
      <c r="B189" s="286" t="s">
        <v>367</v>
      </c>
      <c r="C189" s="287" t="s">
        <v>368</v>
      </c>
      <c r="E189" s="288"/>
      <c r="F189" s="289" t="s">
        <v>782</v>
      </c>
      <c r="G189" s="288">
        <v>4970</v>
      </c>
      <c r="H189" s="286">
        <v>32.714285714285715</v>
      </c>
      <c r="I189" s="286">
        <v>0</v>
      </c>
      <c r="J189" s="286"/>
      <c r="K189" s="286">
        <v>32.714285714285715</v>
      </c>
      <c r="M189" s="285" t="str">
        <f t="shared" si="2"/>
        <v>No</v>
      </c>
    </row>
    <row r="190" spans="1:13">
      <c r="A190" s="286" t="s">
        <v>599</v>
      </c>
      <c r="B190" s="286" t="s">
        <v>248</v>
      </c>
      <c r="C190" s="287" t="s">
        <v>249</v>
      </c>
      <c r="D190" s="288">
        <v>27388</v>
      </c>
      <c r="E190" s="288" t="s">
        <v>781</v>
      </c>
      <c r="F190" s="289"/>
      <c r="G190" s="288"/>
      <c r="H190" s="286">
        <v>180.28571428571428</v>
      </c>
      <c r="I190" s="286">
        <v>0</v>
      </c>
      <c r="J190" s="286"/>
      <c r="K190" s="286">
        <v>180.28571428571428</v>
      </c>
      <c r="M190" s="285" t="str">
        <f t="shared" si="2"/>
        <v>Yes</v>
      </c>
    </row>
    <row r="191" spans="1:13">
      <c r="A191" s="286" t="s">
        <v>594</v>
      </c>
      <c r="B191" s="286" t="s">
        <v>332</v>
      </c>
      <c r="C191" s="287" t="s">
        <v>333</v>
      </c>
      <c r="E191" s="288"/>
      <c r="F191" s="289" t="s">
        <v>782</v>
      </c>
      <c r="G191" s="288">
        <v>260</v>
      </c>
      <c r="H191" s="286">
        <v>1.7142857142857142</v>
      </c>
      <c r="I191" s="286">
        <v>0</v>
      </c>
      <c r="J191" s="286"/>
      <c r="K191" s="286">
        <v>1.7142857142857142</v>
      </c>
      <c r="M191" s="285" t="str">
        <f t="shared" si="2"/>
        <v>No</v>
      </c>
    </row>
    <row r="192" spans="1:13">
      <c r="A192" s="286" t="s">
        <v>594</v>
      </c>
      <c r="B192" s="286" t="s">
        <v>264</v>
      </c>
      <c r="C192" s="287" t="s">
        <v>265</v>
      </c>
      <c r="D192" s="288">
        <v>11958</v>
      </c>
      <c r="E192" s="288" t="s">
        <v>781</v>
      </c>
      <c r="F192" s="289"/>
      <c r="G192" s="288"/>
      <c r="H192" s="286">
        <v>78.714285714285708</v>
      </c>
      <c r="I192" s="286">
        <v>0</v>
      </c>
      <c r="J192" s="286"/>
      <c r="K192" s="286">
        <v>78.714285714285708</v>
      </c>
      <c r="M192" s="285" t="str">
        <f t="shared" si="2"/>
        <v>Yes</v>
      </c>
    </row>
    <row r="193" spans="1:13">
      <c r="A193" s="286" t="s">
        <v>599</v>
      </c>
      <c r="B193" s="286" t="s">
        <v>78</v>
      </c>
      <c r="C193" s="287" t="s">
        <v>79</v>
      </c>
      <c r="D193" s="288">
        <v>15539</v>
      </c>
      <c r="E193" s="288" t="s">
        <v>781</v>
      </c>
      <c r="F193" s="289"/>
      <c r="G193" s="288"/>
      <c r="H193" s="286">
        <v>101.28571428571429</v>
      </c>
      <c r="I193" s="286">
        <v>0</v>
      </c>
      <c r="J193" s="286"/>
      <c r="K193" s="286">
        <v>102.28571428571429</v>
      </c>
      <c r="M193" s="285" t="str">
        <f t="shared" si="2"/>
        <v>Yes</v>
      </c>
    </row>
    <row r="194" spans="1:13">
      <c r="A194" s="286" t="s">
        <v>605</v>
      </c>
      <c r="B194" s="286" t="s">
        <v>547</v>
      </c>
      <c r="C194" s="287" t="s">
        <v>548</v>
      </c>
      <c r="D194" s="288">
        <v>574520</v>
      </c>
      <c r="E194" s="288" t="s">
        <v>781</v>
      </c>
      <c r="F194" s="289"/>
      <c r="G194" s="288"/>
      <c r="H194" s="286">
        <v>3781.8571428571427</v>
      </c>
      <c r="I194" s="286">
        <v>0</v>
      </c>
      <c r="J194" s="286"/>
      <c r="K194" s="286">
        <v>3781.8571428571427</v>
      </c>
      <c r="M194" s="285" t="str">
        <f t="shared" si="2"/>
        <v>Yes</v>
      </c>
    </row>
    <row r="195" spans="1:13">
      <c r="A195" s="286" t="s">
        <v>594</v>
      </c>
      <c r="B195" s="286" t="s">
        <v>472</v>
      </c>
      <c r="C195" s="287" t="s">
        <v>619</v>
      </c>
      <c r="E195" s="288"/>
      <c r="F195" s="289" t="s">
        <v>782</v>
      </c>
      <c r="G195" s="288">
        <v>7531</v>
      </c>
      <c r="H195" s="286">
        <v>49.571428571428569</v>
      </c>
      <c r="I195" s="286">
        <v>0</v>
      </c>
      <c r="J195" s="286"/>
      <c r="K195" s="286">
        <v>49.571428571428569</v>
      </c>
      <c r="M195" s="285" t="str">
        <f>IF(ISBLANK(E195),F195,E195)</f>
        <v>No</v>
      </c>
    </row>
    <row r="196" spans="1:13">
      <c r="A196" s="286" t="s">
        <v>605</v>
      </c>
      <c r="B196" s="286" t="s">
        <v>565</v>
      </c>
      <c r="C196" s="287" t="s">
        <v>566</v>
      </c>
      <c r="D196" s="288">
        <v>20574</v>
      </c>
      <c r="E196" s="288" t="s">
        <v>781</v>
      </c>
      <c r="F196" s="289"/>
      <c r="G196" s="288"/>
      <c r="H196" s="286">
        <v>135.42857142857142</v>
      </c>
      <c r="I196" s="286">
        <v>0</v>
      </c>
      <c r="J196" s="286"/>
      <c r="K196" s="286">
        <v>135.42857142857142</v>
      </c>
      <c r="M196" s="285" t="str">
        <f>IF(ISBLANK(E196),F196,E196)</f>
        <v>Yes</v>
      </c>
    </row>
    <row r="197" spans="1:13">
      <c r="G197" s="286">
        <f>SUM(G20:G196)</f>
        <v>167061</v>
      </c>
    </row>
    <row r="198" spans="1:13" ht="33.75">
      <c r="A198" s="295" t="s">
        <v>788</v>
      </c>
      <c r="B198" s="295"/>
      <c r="C198" s="295"/>
      <c r="D198" s="295"/>
      <c r="E198" s="295"/>
      <c r="F198" s="296"/>
      <c r="G198" s="295"/>
    </row>
    <row r="199" spans="1:13" ht="33.75">
      <c r="A199" s="295"/>
      <c r="B199" s="297" t="s">
        <v>789</v>
      </c>
      <c r="C199" s="295"/>
      <c r="D199" s="298">
        <v>405350</v>
      </c>
      <c r="E199" s="295"/>
      <c r="F199" s="296"/>
      <c r="G199" s="295"/>
    </row>
  </sheetData>
  <conditionalFormatting sqref="D2">
    <cfRule type="expression" dxfId="0" priority="1" stopIfTrue="1">
      <formula>AND(D2&gt;0,D2&lt;10000,G2&lt;&gt;"Consortium")</formula>
    </cfRule>
  </conditionalFormatting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8">
    <tabColor rgb="FF00B0F0"/>
  </sheetPr>
  <dimension ref="A1:N52"/>
  <sheetViews>
    <sheetView zoomScaleNormal="100" workbookViewId="0">
      <selection activeCell="L15" sqref="L15"/>
    </sheetView>
  </sheetViews>
  <sheetFormatPr defaultColWidth="9.140625" defaultRowHeight="15"/>
  <cols>
    <col min="1" max="1" width="24" style="391" customWidth="1"/>
    <col min="2" max="2" width="14.85546875" style="391" customWidth="1"/>
    <col min="3" max="3" width="10.5703125" style="384" bestFit="1" customWidth="1"/>
    <col min="4" max="4" width="14.42578125" style="384" customWidth="1"/>
    <col min="5" max="5" width="11.5703125" style="384" customWidth="1"/>
    <col min="6" max="7" width="9.140625" style="384"/>
    <col min="8" max="8" width="21.5703125" style="384" bestFit="1" customWidth="1"/>
    <col min="9" max="9" width="12.5703125" style="384" bestFit="1" customWidth="1"/>
    <col min="10" max="10" width="11.5703125" style="384" bestFit="1" customWidth="1"/>
    <col min="11" max="16384" width="9.140625" style="384"/>
  </cols>
  <sheetData>
    <row r="1" spans="1:14" ht="34.5" customHeight="1">
      <c r="A1" s="921" t="s">
        <v>809</v>
      </c>
      <c r="B1" s="922"/>
      <c r="G1" s="397" t="s">
        <v>815</v>
      </c>
      <c r="H1" s="397" t="s">
        <v>578</v>
      </c>
      <c r="I1" s="397" t="s">
        <v>816</v>
      </c>
      <c r="J1" s="397" t="s">
        <v>817</v>
      </c>
    </row>
    <row r="2" spans="1:14">
      <c r="A2" s="923" t="s">
        <v>810</v>
      </c>
      <c r="B2" s="924"/>
      <c r="C2" s="384" t="s">
        <v>862</v>
      </c>
      <c r="G2" s="394" t="s">
        <v>189</v>
      </c>
      <c r="H2" s="392" t="s">
        <v>190</v>
      </c>
      <c r="I2" s="395">
        <v>50000</v>
      </c>
      <c r="J2" s="396"/>
    </row>
    <row r="3" spans="1:14" ht="15.75" thickBot="1">
      <c r="A3" s="385" t="s">
        <v>190</v>
      </c>
      <c r="B3" s="386">
        <v>50000</v>
      </c>
      <c r="G3" s="394" t="s">
        <v>357</v>
      </c>
      <c r="H3" s="392" t="s">
        <v>358</v>
      </c>
      <c r="I3" s="395">
        <v>50000</v>
      </c>
      <c r="J3" s="396"/>
    </row>
    <row r="4" spans="1:14" ht="15.75" thickTop="1">
      <c r="A4" s="387" t="s">
        <v>358</v>
      </c>
      <c r="B4" s="386">
        <v>50000</v>
      </c>
      <c r="G4" s="394" t="s">
        <v>395</v>
      </c>
      <c r="H4" s="392" t="s">
        <v>396</v>
      </c>
      <c r="I4" s="395">
        <v>50000</v>
      </c>
      <c r="J4" s="396"/>
      <c r="K4" s="912" t="s">
        <v>863</v>
      </c>
      <c r="L4" s="913"/>
      <c r="M4" s="913"/>
      <c r="N4" s="914"/>
    </row>
    <row r="5" spans="1:14">
      <c r="A5" s="385" t="s">
        <v>396</v>
      </c>
      <c r="B5" s="386">
        <v>50000</v>
      </c>
      <c r="G5" s="394" t="s">
        <v>181</v>
      </c>
      <c r="H5" s="392" t="s">
        <v>182</v>
      </c>
      <c r="I5" s="395">
        <v>50000</v>
      </c>
      <c r="J5" s="396"/>
      <c r="K5" s="915"/>
      <c r="L5" s="916"/>
      <c r="M5" s="916"/>
      <c r="N5" s="917"/>
    </row>
    <row r="6" spans="1:14">
      <c r="A6" s="385" t="s">
        <v>182</v>
      </c>
      <c r="B6" s="386">
        <v>50000</v>
      </c>
      <c r="G6" s="394" t="s">
        <v>386</v>
      </c>
      <c r="H6" s="392" t="s">
        <v>811</v>
      </c>
      <c r="I6" s="395">
        <v>50000</v>
      </c>
      <c r="J6" s="396"/>
      <c r="K6" s="915"/>
      <c r="L6" s="916"/>
      <c r="M6" s="916"/>
      <c r="N6" s="917"/>
    </row>
    <row r="7" spans="1:14">
      <c r="A7" s="385" t="s">
        <v>811</v>
      </c>
      <c r="B7" s="386">
        <v>50000</v>
      </c>
      <c r="G7" s="394" t="s">
        <v>173</v>
      </c>
      <c r="H7" s="392" t="s">
        <v>174</v>
      </c>
      <c r="I7" s="395">
        <v>50000</v>
      </c>
      <c r="J7" s="396"/>
      <c r="K7" s="915"/>
      <c r="L7" s="916"/>
      <c r="M7" s="916"/>
      <c r="N7" s="917"/>
    </row>
    <row r="8" spans="1:14" ht="15.75" thickBot="1">
      <c r="A8" s="385" t="s">
        <v>174</v>
      </c>
      <c r="B8" s="386">
        <v>50000</v>
      </c>
      <c r="G8" s="394" t="s">
        <v>504</v>
      </c>
      <c r="H8" s="392" t="s">
        <v>505</v>
      </c>
      <c r="I8" s="395">
        <v>25000</v>
      </c>
      <c r="J8" s="396"/>
      <c r="K8" s="918"/>
      <c r="L8" s="919"/>
      <c r="M8" s="919"/>
      <c r="N8" s="920"/>
    </row>
    <row r="9" spans="1:14" ht="15.75" thickTop="1">
      <c r="A9" s="388"/>
      <c r="B9" s="389"/>
      <c r="G9" s="394" t="s">
        <v>201</v>
      </c>
      <c r="H9" s="392" t="s">
        <v>202</v>
      </c>
      <c r="I9" s="395">
        <v>25000</v>
      </c>
      <c r="J9" s="396"/>
    </row>
    <row r="10" spans="1:14">
      <c r="A10" s="925" t="s">
        <v>812</v>
      </c>
      <c r="B10" s="925"/>
      <c r="G10" s="394" t="s">
        <v>474</v>
      </c>
      <c r="H10" s="392" t="s">
        <v>475</v>
      </c>
      <c r="I10" s="395">
        <v>25000</v>
      </c>
      <c r="J10" s="396"/>
    </row>
    <row r="11" spans="1:14">
      <c r="A11" s="385" t="s">
        <v>505</v>
      </c>
      <c r="B11" s="386">
        <v>25000</v>
      </c>
      <c r="G11" s="394" t="s">
        <v>343</v>
      </c>
      <c r="H11" s="392" t="s">
        <v>344</v>
      </c>
      <c r="I11" s="395">
        <v>25000</v>
      </c>
      <c r="J11" s="396"/>
    </row>
    <row r="12" spans="1:14">
      <c r="A12" s="385" t="s">
        <v>202</v>
      </c>
      <c r="B12" s="386">
        <v>25000</v>
      </c>
      <c r="G12" s="394" t="s">
        <v>523</v>
      </c>
      <c r="H12" s="392" t="s">
        <v>524</v>
      </c>
      <c r="I12" s="395">
        <v>25000</v>
      </c>
      <c r="J12" s="396"/>
    </row>
    <row r="13" spans="1:14">
      <c r="A13" s="385" t="s">
        <v>475</v>
      </c>
      <c r="B13" s="386">
        <v>25000</v>
      </c>
      <c r="G13" s="394" t="s">
        <v>116</v>
      </c>
      <c r="H13" s="392" t="s">
        <v>117</v>
      </c>
      <c r="I13" s="395">
        <v>25000</v>
      </c>
      <c r="J13" s="396"/>
    </row>
    <row r="14" spans="1:14">
      <c r="A14" s="385" t="s">
        <v>344</v>
      </c>
      <c r="B14" s="386">
        <v>25000</v>
      </c>
      <c r="G14" s="394" t="s">
        <v>203</v>
      </c>
      <c r="H14" s="392" t="s">
        <v>204</v>
      </c>
      <c r="I14" s="395">
        <v>25000</v>
      </c>
      <c r="J14" s="396"/>
    </row>
    <row r="15" spans="1:14">
      <c r="A15" s="385" t="s">
        <v>524</v>
      </c>
      <c r="B15" s="386">
        <v>25000</v>
      </c>
      <c r="G15" s="394" t="s">
        <v>557</v>
      </c>
      <c r="H15" s="392" t="s">
        <v>558</v>
      </c>
      <c r="I15" s="395">
        <v>25000</v>
      </c>
      <c r="J15" s="396"/>
    </row>
    <row r="16" spans="1:14">
      <c r="A16" s="385" t="s">
        <v>117</v>
      </c>
      <c r="B16" s="386">
        <v>25000</v>
      </c>
      <c r="G16" s="394" t="s">
        <v>191</v>
      </c>
      <c r="H16" s="392" t="s">
        <v>192</v>
      </c>
      <c r="I16" s="395">
        <v>25000</v>
      </c>
      <c r="J16" s="396"/>
    </row>
    <row r="17" spans="1:10">
      <c r="A17" s="385" t="s">
        <v>204</v>
      </c>
      <c r="B17" s="386">
        <v>25000</v>
      </c>
      <c r="G17" s="394" t="s">
        <v>349</v>
      </c>
      <c r="H17" s="392" t="s">
        <v>350</v>
      </c>
      <c r="I17" s="395">
        <v>25000</v>
      </c>
      <c r="J17" s="396"/>
    </row>
    <row r="18" spans="1:10">
      <c r="A18" s="385" t="s">
        <v>558</v>
      </c>
      <c r="B18" s="386">
        <v>25000</v>
      </c>
      <c r="G18" s="394" t="s">
        <v>547</v>
      </c>
      <c r="H18" s="392" t="s">
        <v>548</v>
      </c>
      <c r="I18" s="395">
        <v>25000</v>
      </c>
      <c r="J18" s="396"/>
    </row>
    <row r="19" spans="1:10">
      <c r="A19" s="385" t="s">
        <v>192</v>
      </c>
      <c r="B19" s="386">
        <v>25000</v>
      </c>
      <c r="G19" s="394" t="s">
        <v>211</v>
      </c>
      <c r="H19" s="392" t="s">
        <v>212</v>
      </c>
      <c r="I19" s="395">
        <v>10000</v>
      </c>
      <c r="J19" s="396"/>
    </row>
    <row r="20" spans="1:10">
      <c r="A20" s="385" t="s">
        <v>350</v>
      </c>
      <c r="B20" s="386">
        <v>25000</v>
      </c>
      <c r="G20" s="394" t="s">
        <v>84</v>
      </c>
      <c r="H20" s="392" t="s">
        <v>85</v>
      </c>
      <c r="I20" s="395">
        <v>10000</v>
      </c>
      <c r="J20" s="396"/>
    </row>
    <row r="21" spans="1:10">
      <c r="A21" s="385" t="s">
        <v>548</v>
      </c>
      <c r="B21" s="386">
        <v>25000</v>
      </c>
      <c r="G21" s="394" t="s">
        <v>60</v>
      </c>
      <c r="H21" s="392" t="s">
        <v>61</v>
      </c>
      <c r="I21" s="395">
        <v>10000</v>
      </c>
      <c r="J21" s="396"/>
    </row>
    <row r="22" spans="1:10">
      <c r="A22" s="926" t="s">
        <v>813</v>
      </c>
      <c r="B22" s="927"/>
      <c r="G22" s="394" t="s">
        <v>216</v>
      </c>
      <c r="H22" s="392" t="s">
        <v>217</v>
      </c>
      <c r="I22" s="395">
        <v>10000</v>
      </c>
      <c r="J22" s="396"/>
    </row>
    <row r="23" spans="1:10">
      <c r="A23" s="928"/>
      <c r="B23" s="929"/>
      <c r="G23" s="394" t="s">
        <v>434</v>
      </c>
      <c r="H23" s="392" t="s">
        <v>435</v>
      </c>
      <c r="I23" s="395">
        <v>10000</v>
      </c>
      <c r="J23" s="396"/>
    </row>
    <row r="24" spans="1:10">
      <c r="A24" s="385" t="s">
        <v>212</v>
      </c>
      <c r="B24" s="386">
        <v>10000</v>
      </c>
      <c r="G24" s="394" t="s">
        <v>506</v>
      </c>
      <c r="H24" s="393" t="s">
        <v>507</v>
      </c>
      <c r="I24" s="395">
        <v>10000</v>
      </c>
      <c r="J24" s="396"/>
    </row>
    <row r="25" spans="1:10">
      <c r="A25" s="385" t="s">
        <v>85</v>
      </c>
      <c r="B25" s="386">
        <v>10000</v>
      </c>
      <c r="G25" s="394" t="s">
        <v>369</v>
      </c>
      <c r="H25" s="392" t="s">
        <v>370</v>
      </c>
      <c r="I25" s="395">
        <v>10000</v>
      </c>
      <c r="J25" s="396"/>
    </row>
    <row r="26" spans="1:10">
      <c r="A26" s="385" t="s">
        <v>61</v>
      </c>
      <c r="B26" s="386">
        <v>10000</v>
      </c>
      <c r="G26" s="394" t="s">
        <v>555</v>
      </c>
      <c r="H26" s="392" t="s">
        <v>556</v>
      </c>
      <c r="I26" s="395">
        <v>10000</v>
      </c>
      <c r="J26" s="396"/>
    </row>
    <row r="27" spans="1:10">
      <c r="A27" s="385" t="s">
        <v>217</v>
      </c>
      <c r="B27" s="386">
        <v>10000</v>
      </c>
      <c r="G27" s="394" t="s">
        <v>31</v>
      </c>
      <c r="H27" s="392" t="s">
        <v>32</v>
      </c>
      <c r="I27" s="395">
        <v>10000</v>
      </c>
      <c r="J27" s="396"/>
    </row>
    <row r="28" spans="1:10">
      <c r="A28" s="385" t="s">
        <v>435</v>
      </c>
      <c r="B28" s="386">
        <v>10000</v>
      </c>
      <c r="G28" s="394" t="s">
        <v>510</v>
      </c>
      <c r="H28" s="392" t="s">
        <v>511</v>
      </c>
      <c r="I28" s="395">
        <v>10000</v>
      </c>
      <c r="J28" s="396"/>
    </row>
    <row r="29" spans="1:10">
      <c r="A29" s="390" t="s">
        <v>507</v>
      </c>
      <c r="B29" s="386">
        <v>10000</v>
      </c>
      <c r="G29" s="394" t="s">
        <v>214</v>
      </c>
      <c r="H29" s="392" t="s">
        <v>215</v>
      </c>
      <c r="I29" s="395">
        <v>10000</v>
      </c>
      <c r="J29" s="396"/>
    </row>
    <row r="30" spans="1:10">
      <c r="A30" s="385" t="s">
        <v>370</v>
      </c>
      <c r="B30" s="386">
        <v>10000</v>
      </c>
      <c r="G30" s="394" t="s">
        <v>157</v>
      </c>
      <c r="H30" s="392" t="s">
        <v>158</v>
      </c>
      <c r="I30" s="395">
        <v>10000</v>
      </c>
      <c r="J30" s="396"/>
    </row>
    <row r="31" spans="1:10">
      <c r="A31" s="385" t="s">
        <v>556</v>
      </c>
      <c r="B31" s="386">
        <v>10000</v>
      </c>
      <c r="G31" s="394" t="s">
        <v>502</v>
      </c>
      <c r="H31" s="392" t="s">
        <v>503</v>
      </c>
      <c r="I31" s="395">
        <v>10000</v>
      </c>
      <c r="J31" s="396"/>
    </row>
    <row r="32" spans="1:10">
      <c r="A32" s="385" t="s">
        <v>32</v>
      </c>
      <c r="B32" s="386">
        <v>10000</v>
      </c>
      <c r="G32" s="394" t="s">
        <v>492</v>
      </c>
      <c r="H32" s="392" t="s">
        <v>493</v>
      </c>
      <c r="I32" s="395">
        <v>10000</v>
      </c>
      <c r="J32" s="396"/>
    </row>
    <row r="33" spans="1:10">
      <c r="A33" s="385" t="s">
        <v>511</v>
      </c>
      <c r="B33" s="386">
        <v>10000</v>
      </c>
      <c r="G33" s="394" t="s">
        <v>380</v>
      </c>
      <c r="H33" s="392" t="s">
        <v>381</v>
      </c>
      <c r="I33" s="396"/>
      <c r="J33" s="395">
        <v>4500</v>
      </c>
    </row>
    <row r="34" spans="1:10">
      <c r="A34" s="385" t="s">
        <v>215</v>
      </c>
      <c r="B34" s="386">
        <v>10000</v>
      </c>
      <c r="G34" s="394" t="s">
        <v>494</v>
      </c>
      <c r="H34" s="392" t="s">
        <v>495</v>
      </c>
      <c r="I34" s="396"/>
      <c r="J34" s="395">
        <v>3300</v>
      </c>
    </row>
    <row r="35" spans="1:10">
      <c r="A35" s="385" t="s">
        <v>158</v>
      </c>
      <c r="B35" s="386">
        <v>10000</v>
      </c>
      <c r="G35" s="394" t="s">
        <v>561</v>
      </c>
      <c r="H35" s="392" t="s">
        <v>562</v>
      </c>
      <c r="I35" s="396"/>
      <c r="J35" s="395">
        <v>5700</v>
      </c>
    </row>
    <row r="36" spans="1:10">
      <c r="A36" s="385" t="s">
        <v>503</v>
      </c>
      <c r="B36" s="386">
        <v>10000</v>
      </c>
      <c r="G36" s="394" t="s">
        <v>512</v>
      </c>
      <c r="H36" s="392" t="s">
        <v>513</v>
      </c>
      <c r="I36" s="396"/>
      <c r="J36" s="395">
        <v>5550</v>
      </c>
    </row>
    <row r="37" spans="1:10">
      <c r="A37" s="385" t="s">
        <v>493</v>
      </c>
      <c r="B37" s="386">
        <v>10000</v>
      </c>
      <c r="G37" s="394" t="s">
        <v>514</v>
      </c>
      <c r="H37" s="392" t="s">
        <v>515</v>
      </c>
      <c r="I37" s="396"/>
      <c r="J37" s="395">
        <v>3000</v>
      </c>
    </row>
    <row r="38" spans="1:10" ht="31.5" customHeight="1">
      <c r="A38" s="930" t="s">
        <v>814</v>
      </c>
      <c r="B38" s="931"/>
      <c r="G38" s="394" t="s">
        <v>64</v>
      </c>
      <c r="H38" s="392" t="s">
        <v>65</v>
      </c>
      <c r="I38" s="396"/>
      <c r="J38" s="395">
        <v>3450</v>
      </c>
    </row>
    <row r="39" spans="1:10" ht="18" customHeight="1">
      <c r="A39" s="385" t="s">
        <v>381</v>
      </c>
      <c r="B39" s="386">
        <v>4500</v>
      </c>
      <c r="G39" s="394" t="s">
        <v>411</v>
      </c>
      <c r="H39" s="392" t="s">
        <v>412</v>
      </c>
      <c r="I39" s="396"/>
      <c r="J39" s="395">
        <v>4650</v>
      </c>
    </row>
    <row r="40" spans="1:10">
      <c r="A40" s="385" t="s">
        <v>495</v>
      </c>
      <c r="B40" s="386">
        <v>3300</v>
      </c>
      <c r="G40" s="394" t="s">
        <v>121</v>
      </c>
      <c r="H40" s="392" t="s">
        <v>122</v>
      </c>
      <c r="I40" s="396"/>
      <c r="J40" s="395">
        <v>2250</v>
      </c>
    </row>
    <row r="41" spans="1:10">
      <c r="A41" s="385" t="s">
        <v>562</v>
      </c>
      <c r="B41" s="386">
        <v>5700</v>
      </c>
      <c r="G41" s="394" t="s">
        <v>197</v>
      </c>
      <c r="H41" s="392" t="s">
        <v>198</v>
      </c>
      <c r="I41" s="396"/>
      <c r="J41" s="395">
        <v>3750</v>
      </c>
    </row>
    <row r="42" spans="1:10">
      <c r="A42" s="385" t="s">
        <v>513</v>
      </c>
      <c r="B42" s="386">
        <v>5550</v>
      </c>
      <c r="G42" s="394" t="s">
        <v>476</v>
      </c>
      <c r="H42" s="392" t="s">
        <v>477</v>
      </c>
      <c r="I42" s="396"/>
      <c r="J42" s="395">
        <v>3600</v>
      </c>
    </row>
    <row r="43" spans="1:10">
      <c r="A43" s="385" t="s">
        <v>515</v>
      </c>
      <c r="B43" s="386">
        <v>3000</v>
      </c>
      <c r="G43" s="394" t="s">
        <v>443</v>
      </c>
      <c r="H43" s="392" t="s">
        <v>618</v>
      </c>
      <c r="I43" s="396"/>
      <c r="J43" s="395">
        <v>2250</v>
      </c>
    </row>
    <row r="44" spans="1:10">
      <c r="A44" s="385" t="s">
        <v>65</v>
      </c>
      <c r="B44" s="386">
        <v>3450</v>
      </c>
      <c r="I44" s="398">
        <f>SUM(I2:I43)</f>
        <v>715000</v>
      </c>
      <c r="J44" s="398">
        <f>SUM(J2:J43)</f>
        <v>42000</v>
      </c>
    </row>
    <row r="45" spans="1:10">
      <c r="A45" s="385" t="s">
        <v>412</v>
      </c>
      <c r="B45" s="386">
        <v>4650</v>
      </c>
      <c r="I45" s="911">
        <f>SUM(I44:J44)</f>
        <v>757000</v>
      </c>
      <c r="J45" s="911"/>
    </row>
    <row r="46" spans="1:10">
      <c r="A46" s="385" t="s">
        <v>122</v>
      </c>
      <c r="B46" s="386">
        <v>2250</v>
      </c>
    </row>
    <row r="47" spans="1:10">
      <c r="A47" s="385" t="s">
        <v>198</v>
      </c>
      <c r="B47" s="386">
        <v>3750</v>
      </c>
    </row>
    <row r="48" spans="1:10">
      <c r="A48" s="385" t="s">
        <v>477</v>
      </c>
      <c r="B48" s="386">
        <v>3600</v>
      </c>
    </row>
    <row r="49" spans="1:3">
      <c r="A49" s="385" t="s">
        <v>618</v>
      </c>
      <c r="B49" s="386">
        <v>2250</v>
      </c>
    </row>
    <row r="52" spans="1:3">
      <c r="C52" s="375"/>
    </row>
  </sheetData>
  <mergeCells count="7">
    <mergeCell ref="I45:J45"/>
    <mergeCell ref="K4:N8"/>
    <mergeCell ref="A1:B1"/>
    <mergeCell ref="A2:B2"/>
    <mergeCell ref="A10:B10"/>
    <mergeCell ref="A22:B23"/>
    <mergeCell ref="A38:B38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9"/>
  <dimension ref="A1:K36"/>
  <sheetViews>
    <sheetView workbookViewId="0">
      <selection activeCell="A35" sqref="A35"/>
    </sheetView>
  </sheetViews>
  <sheetFormatPr defaultColWidth="9.140625" defaultRowHeight="15.75"/>
  <cols>
    <col min="1" max="1" width="9.140625" style="372"/>
    <col min="2" max="2" width="35" style="344" customWidth="1"/>
    <col min="3" max="3" width="24.42578125" style="344" customWidth="1"/>
    <col min="4" max="4" width="20.5703125" style="370" customWidth="1"/>
    <col min="5" max="9" width="9.140625" style="333"/>
    <col min="10" max="10" width="15.5703125" style="333" customWidth="1"/>
    <col min="11" max="11" width="10.5703125" style="334" bestFit="1" customWidth="1"/>
    <col min="12" max="16384" width="9.140625" style="333"/>
  </cols>
  <sheetData>
    <row r="1" spans="1:11" s="327" customFormat="1" ht="58.5" customHeight="1">
      <c r="A1" s="371"/>
      <c r="B1" s="932" t="s">
        <v>796</v>
      </c>
      <c r="C1" s="933"/>
      <c r="D1" s="326" t="s">
        <v>760</v>
      </c>
      <c r="K1" s="328"/>
    </row>
    <row r="2" spans="1:11" ht="29.25" customHeight="1">
      <c r="B2" s="329" t="s">
        <v>648</v>
      </c>
      <c r="C2" s="330" t="s">
        <v>797</v>
      </c>
      <c r="D2" s="331">
        <v>100000</v>
      </c>
      <c r="E2" s="332"/>
    </row>
    <row r="3" spans="1:11">
      <c r="A3" s="372" t="s">
        <v>185</v>
      </c>
      <c r="B3" s="335" t="s">
        <v>186</v>
      </c>
      <c r="C3" s="336">
        <v>50000</v>
      </c>
      <c r="D3" s="337"/>
    </row>
    <row r="4" spans="1:11">
      <c r="A4" s="372" t="s">
        <v>49</v>
      </c>
      <c r="B4" s="338" t="s">
        <v>50</v>
      </c>
      <c r="C4" s="339">
        <v>50000</v>
      </c>
      <c r="D4" s="337"/>
    </row>
    <row r="5" spans="1:11">
      <c r="B5" s="340"/>
      <c r="C5" s="341">
        <f>SUM(C3:C4)</f>
        <v>100000</v>
      </c>
      <c r="D5" s="342"/>
    </row>
    <row r="6" spans="1:11">
      <c r="B6" s="343"/>
      <c r="D6" s="342"/>
    </row>
    <row r="7" spans="1:11" ht="27.75" customHeight="1">
      <c r="B7" s="345" t="s">
        <v>648</v>
      </c>
      <c r="C7" s="346" t="s">
        <v>797</v>
      </c>
      <c r="D7" s="342">
        <v>125000</v>
      </c>
    </row>
    <row r="8" spans="1:11">
      <c r="A8" s="372" t="s">
        <v>504</v>
      </c>
      <c r="B8" s="335" t="s">
        <v>505</v>
      </c>
      <c r="C8" s="336">
        <v>25000</v>
      </c>
      <c r="D8" s="347"/>
    </row>
    <row r="9" spans="1:11">
      <c r="A9" s="372" t="s">
        <v>523</v>
      </c>
      <c r="B9" s="335" t="s">
        <v>524</v>
      </c>
      <c r="C9" s="336">
        <v>25000</v>
      </c>
      <c r="D9" s="337"/>
    </row>
    <row r="10" spans="1:11">
      <c r="A10" s="372" t="s">
        <v>343</v>
      </c>
      <c r="B10" s="335" t="s">
        <v>344</v>
      </c>
      <c r="C10" s="336">
        <v>25000</v>
      </c>
      <c r="D10" s="337"/>
    </row>
    <row r="11" spans="1:11">
      <c r="A11" s="372" t="s">
        <v>422</v>
      </c>
      <c r="B11" s="335" t="s">
        <v>423</v>
      </c>
      <c r="C11" s="336">
        <v>25000</v>
      </c>
      <c r="D11" s="337"/>
    </row>
    <row r="12" spans="1:11">
      <c r="A12" s="372" t="s">
        <v>349</v>
      </c>
      <c r="B12" s="335" t="s">
        <v>350</v>
      </c>
      <c r="C12" s="336">
        <v>25000</v>
      </c>
      <c r="D12" s="337"/>
    </row>
    <row r="13" spans="1:11">
      <c r="B13" s="343"/>
      <c r="C13" s="348">
        <f>SUM(C8:C12)</f>
        <v>125000</v>
      </c>
      <c r="D13" s="333"/>
    </row>
    <row r="14" spans="1:11" ht="30.75" customHeight="1">
      <c r="B14" s="349" t="s">
        <v>648</v>
      </c>
      <c r="C14" s="346" t="s">
        <v>797</v>
      </c>
      <c r="D14" s="331">
        <v>40000</v>
      </c>
    </row>
    <row r="15" spans="1:11" ht="18.75" customHeight="1">
      <c r="A15" s="372" t="s">
        <v>510</v>
      </c>
      <c r="B15" s="350" t="s">
        <v>511</v>
      </c>
      <c r="C15" s="336">
        <v>10000</v>
      </c>
      <c r="D15" s="337"/>
    </row>
    <row r="16" spans="1:11" ht="18.75" customHeight="1">
      <c r="A16" s="372" t="s">
        <v>21</v>
      </c>
      <c r="B16" s="350" t="s">
        <v>22</v>
      </c>
      <c r="C16" s="336">
        <v>10000</v>
      </c>
      <c r="D16" s="337"/>
    </row>
    <row r="17" spans="1:11" ht="18.75" customHeight="1">
      <c r="A17" s="372" t="s">
        <v>197</v>
      </c>
      <c r="B17" s="350" t="s">
        <v>198</v>
      </c>
      <c r="C17" s="336">
        <v>10000</v>
      </c>
      <c r="D17" s="337"/>
    </row>
    <row r="18" spans="1:11" ht="18.75" customHeight="1">
      <c r="A18" s="372" t="s">
        <v>123</v>
      </c>
      <c r="B18" s="350" t="s">
        <v>124</v>
      </c>
      <c r="C18" s="351">
        <v>10000</v>
      </c>
      <c r="D18" s="352"/>
    </row>
    <row r="19" spans="1:11" ht="18.75" customHeight="1">
      <c r="B19" s="353"/>
      <c r="C19" s="354">
        <f>SUM(C15:C18)</f>
        <v>40000</v>
      </c>
      <c r="D19" s="347"/>
    </row>
    <row r="20" spans="1:11" ht="18.75" customHeight="1">
      <c r="B20" s="355"/>
      <c r="C20" s="356"/>
      <c r="D20" s="357"/>
    </row>
    <row r="21" spans="1:11" ht="38.25" customHeight="1">
      <c r="B21" s="933" t="s">
        <v>799</v>
      </c>
      <c r="C21" s="934"/>
      <c r="D21" s="358"/>
    </row>
    <row r="22" spans="1:11">
      <c r="B22" s="359" t="s">
        <v>648</v>
      </c>
      <c r="C22" s="360" t="s">
        <v>797</v>
      </c>
      <c r="D22" s="361">
        <v>50100</v>
      </c>
      <c r="K22" s="333"/>
    </row>
    <row r="23" spans="1:11" s="344" customFormat="1" ht="18.75" customHeight="1">
      <c r="A23" s="373" t="s">
        <v>380</v>
      </c>
      <c r="B23" s="362" t="s">
        <v>381</v>
      </c>
      <c r="C23" s="351">
        <v>4200</v>
      </c>
      <c r="D23" s="363"/>
    </row>
    <row r="24" spans="1:11" ht="18.75" customHeight="1">
      <c r="A24" s="372" t="s">
        <v>403</v>
      </c>
      <c r="B24" s="362" t="s">
        <v>404</v>
      </c>
      <c r="C24" s="351">
        <v>4350</v>
      </c>
      <c r="D24" s="337"/>
      <c r="K24" s="333"/>
    </row>
    <row r="25" spans="1:11" ht="18.75" customHeight="1">
      <c r="A25" s="372" t="s">
        <v>506</v>
      </c>
      <c r="B25" s="362" t="s">
        <v>507</v>
      </c>
      <c r="C25" s="351">
        <v>5700</v>
      </c>
      <c r="D25" s="337"/>
      <c r="K25" s="333"/>
    </row>
    <row r="26" spans="1:11" ht="18.75" customHeight="1">
      <c r="A26" s="372" t="s">
        <v>19</v>
      </c>
      <c r="B26" s="362" t="s">
        <v>20</v>
      </c>
      <c r="C26" s="351">
        <v>1950</v>
      </c>
      <c r="D26" s="337"/>
      <c r="K26" s="333"/>
    </row>
    <row r="27" spans="1:11" ht="18.75" customHeight="1">
      <c r="A27" s="372" t="s">
        <v>25</v>
      </c>
      <c r="B27" s="362" t="s">
        <v>26</v>
      </c>
      <c r="C27" s="351">
        <v>5700</v>
      </c>
      <c r="D27" s="337"/>
      <c r="K27" s="333"/>
    </row>
    <row r="28" spans="1:11" ht="18.75" customHeight="1">
      <c r="A28" s="372" t="s">
        <v>502</v>
      </c>
      <c r="B28" s="362" t="s">
        <v>503</v>
      </c>
      <c r="C28" s="351">
        <v>5400</v>
      </c>
      <c r="D28" s="337"/>
      <c r="K28" s="333"/>
    </row>
    <row r="29" spans="1:11" ht="18.75" customHeight="1">
      <c r="A29" s="372" t="s">
        <v>121</v>
      </c>
      <c r="B29" s="362" t="s">
        <v>122</v>
      </c>
      <c r="C29" s="351">
        <v>3750</v>
      </c>
      <c r="D29" s="337"/>
      <c r="K29" s="333"/>
    </row>
    <row r="30" spans="1:11" ht="18.75" customHeight="1">
      <c r="A30" s="372" t="s">
        <v>218</v>
      </c>
      <c r="B30" s="362" t="s">
        <v>219</v>
      </c>
      <c r="C30" s="351">
        <v>5850</v>
      </c>
      <c r="D30" s="337"/>
      <c r="K30" s="333"/>
    </row>
    <row r="31" spans="1:11" ht="18.75" customHeight="1">
      <c r="A31" s="372" t="s">
        <v>476</v>
      </c>
      <c r="B31" s="362" t="s">
        <v>477</v>
      </c>
      <c r="C31" s="351">
        <v>3600</v>
      </c>
      <c r="D31" s="337"/>
      <c r="K31" s="333"/>
    </row>
    <row r="32" spans="1:11" ht="18.75" customHeight="1">
      <c r="A32" s="372" t="s">
        <v>367</v>
      </c>
      <c r="B32" s="362" t="s">
        <v>368</v>
      </c>
      <c r="C32" s="351">
        <v>1650</v>
      </c>
      <c r="D32" s="337"/>
      <c r="K32" s="333"/>
    </row>
    <row r="33" spans="1:11" ht="18.75" customHeight="1">
      <c r="A33" s="372" t="s">
        <v>248</v>
      </c>
      <c r="B33" s="364" t="s">
        <v>249</v>
      </c>
      <c r="C33" s="365">
        <v>4500</v>
      </c>
      <c r="D33" s="337"/>
      <c r="K33" s="333"/>
    </row>
    <row r="34" spans="1:11">
      <c r="A34" s="372" t="s">
        <v>56</v>
      </c>
      <c r="B34" s="340" t="s">
        <v>57</v>
      </c>
      <c r="C34" s="351">
        <v>3450</v>
      </c>
      <c r="D34" s="337"/>
    </row>
    <row r="35" spans="1:11">
      <c r="B35" s="340"/>
      <c r="C35" s="366">
        <f>SUM(C23:C34)</f>
        <v>50100</v>
      </c>
      <c r="D35" s="342"/>
    </row>
    <row r="36" spans="1:11">
      <c r="B36" s="367" t="s">
        <v>800</v>
      </c>
      <c r="C36" s="368"/>
      <c r="D36" s="369">
        <f>SUM(D2:D35)</f>
        <v>315100</v>
      </c>
    </row>
  </sheetData>
  <mergeCells count="2">
    <mergeCell ref="B1:C1"/>
    <mergeCell ref="B21:C21"/>
  </mergeCells>
  <pageMargins left="0.7" right="0.7" top="0.5" bottom="0.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0"/>
  <dimension ref="A1:K48"/>
  <sheetViews>
    <sheetView topLeftCell="A22" workbookViewId="0">
      <selection activeCell="B45" sqref="B45"/>
    </sheetView>
  </sheetViews>
  <sheetFormatPr defaultColWidth="9.140625" defaultRowHeight="15"/>
  <cols>
    <col min="1" max="1" width="9.140625" style="292"/>
    <col min="2" max="2" width="35" style="292" customWidth="1"/>
    <col min="3" max="3" width="16.42578125" style="292" customWidth="1"/>
    <col min="4" max="9" width="9.140625" style="292"/>
    <col min="10" max="10" width="15.5703125" style="292" customWidth="1"/>
    <col min="11" max="11" width="10.5703125" style="304" bestFit="1" customWidth="1"/>
    <col min="12" max="16384" width="9.140625" style="292"/>
  </cols>
  <sheetData>
    <row r="1" spans="1:5" ht="40.5" customHeight="1">
      <c r="A1" s="292" t="s">
        <v>592</v>
      </c>
      <c r="B1" s="935" t="s">
        <v>796</v>
      </c>
      <c r="C1" s="935"/>
    </row>
    <row r="2" spans="1:5" ht="29.25" customHeight="1">
      <c r="B2" s="305" t="s">
        <v>648</v>
      </c>
      <c r="C2" s="306" t="s">
        <v>797</v>
      </c>
      <c r="E2" s="307"/>
    </row>
    <row r="3" spans="1:5">
      <c r="A3" s="325" t="s">
        <v>181</v>
      </c>
      <c r="B3" s="308" t="s">
        <v>182</v>
      </c>
      <c r="C3" s="309">
        <v>50000</v>
      </c>
    </row>
    <row r="4" spans="1:5">
      <c r="A4" s="325" t="s">
        <v>209</v>
      </c>
      <c r="B4" s="308" t="s">
        <v>210</v>
      </c>
      <c r="C4" s="309">
        <v>50000</v>
      </c>
    </row>
    <row r="5" spans="1:5">
      <c r="A5" s="325" t="s">
        <v>185</v>
      </c>
      <c r="B5" s="308" t="s">
        <v>186</v>
      </c>
      <c r="C5" s="309">
        <v>50000</v>
      </c>
    </row>
    <row r="6" spans="1:5">
      <c r="A6" s="325" t="s">
        <v>49</v>
      </c>
      <c r="B6" s="308" t="s">
        <v>50</v>
      </c>
      <c r="C6" s="309">
        <v>50000</v>
      </c>
    </row>
    <row r="7" spans="1:5">
      <c r="B7" s="310"/>
    </row>
    <row r="8" spans="1:5" ht="27.75" customHeight="1">
      <c r="B8" s="311" t="s">
        <v>648</v>
      </c>
      <c r="C8" s="312" t="s">
        <v>797</v>
      </c>
    </row>
    <row r="9" spans="1:5">
      <c r="A9" s="325" t="s">
        <v>504</v>
      </c>
      <c r="B9" s="308" t="s">
        <v>505</v>
      </c>
      <c r="C9" s="309">
        <v>25000</v>
      </c>
    </row>
    <row r="10" spans="1:5">
      <c r="A10" s="325" t="s">
        <v>179</v>
      </c>
      <c r="B10" s="308" t="s">
        <v>180</v>
      </c>
      <c r="C10" s="309">
        <v>25000</v>
      </c>
    </row>
    <row r="11" spans="1:5">
      <c r="A11" s="325" t="s">
        <v>4</v>
      </c>
      <c r="B11" s="308" t="s">
        <v>5</v>
      </c>
      <c r="C11" s="309">
        <v>25000</v>
      </c>
    </row>
    <row r="12" spans="1:5">
      <c r="A12" s="325" t="s">
        <v>523</v>
      </c>
      <c r="B12" s="308" t="s">
        <v>524</v>
      </c>
      <c r="C12" s="309">
        <v>25000</v>
      </c>
    </row>
    <row r="13" spans="1:5">
      <c r="A13" s="325" t="s">
        <v>343</v>
      </c>
      <c r="B13" s="308" t="s">
        <v>344</v>
      </c>
      <c r="C13" s="309">
        <v>25000</v>
      </c>
    </row>
    <row r="14" spans="1:5">
      <c r="A14" s="325" t="s">
        <v>123</v>
      </c>
      <c r="B14" s="308" t="s">
        <v>124</v>
      </c>
      <c r="C14" s="309">
        <v>25000</v>
      </c>
    </row>
    <row r="15" spans="1:5">
      <c r="A15" s="325" t="s">
        <v>422</v>
      </c>
      <c r="B15" s="308" t="s">
        <v>423</v>
      </c>
      <c r="C15" s="309">
        <v>25000</v>
      </c>
    </row>
    <row r="16" spans="1:5">
      <c r="A16" s="325" t="s">
        <v>349</v>
      </c>
      <c r="B16" s="308" t="s">
        <v>350</v>
      </c>
      <c r="C16" s="309">
        <v>25000</v>
      </c>
    </row>
    <row r="17" spans="1:3">
      <c r="B17" s="310"/>
    </row>
    <row r="18" spans="1:3" ht="30.75" customHeight="1">
      <c r="B18" s="313" t="s">
        <v>648</v>
      </c>
      <c r="C18" s="312" t="s">
        <v>797</v>
      </c>
    </row>
    <row r="19" spans="1:3" ht="18.75" customHeight="1">
      <c r="A19" s="325" t="s">
        <v>213</v>
      </c>
      <c r="B19" s="314" t="s">
        <v>798</v>
      </c>
      <c r="C19" s="309">
        <v>10000</v>
      </c>
    </row>
    <row r="20" spans="1:3" ht="18.75" customHeight="1">
      <c r="A20" s="325" t="s">
        <v>60</v>
      </c>
      <c r="B20" s="314" t="s">
        <v>61</v>
      </c>
      <c r="C20" s="309">
        <v>10000</v>
      </c>
    </row>
    <row r="21" spans="1:3" ht="18.75" customHeight="1">
      <c r="A21" s="325" t="s">
        <v>216</v>
      </c>
      <c r="B21" s="314" t="s">
        <v>217</v>
      </c>
      <c r="C21" s="309">
        <v>10000</v>
      </c>
    </row>
    <row r="22" spans="1:3" ht="18.75" customHeight="1">
      <c r="A22" s="325" t="s">
        <v>369</v>
      </c>
      <c r="B22" s="314" t="s">
        <v>370</v>
      </c>
      <c r="C22" s="309">
        <v>10000</v>
      </c>
    </row>
    <row r="23" spans="1:3" ht="18.75" customHeight="1">
      <c r="A23" s="325" t="s">
        <v>510</v>
      </c>
      <c r="B23" s="314" t="s">
        <v>511</v>
      </c>
      <c r="C23" s="309">
        <v>10000</v>
      </c>
    </row>
    <row r="24" spans="1:3" ht="18.75" customHeight="1">
      <c r="A24" s="325" t="s">
        <v>432</v>
      </c>
      <c r="B24" s="314" t="s">
        <v>433</v>
      </c>
      <c r="C24" s="309">
        <v>10000</v>
      </c>
    </row>
    <row r="25" spans="1:3" ht="18.75" customHeight="1">
      <c r="A25" s="325" t="s">
        <v>214</v>
      </c>
      <c r="B25" s="314" t="s">
        <v>215</v>
      </c>
      <c r="C25" s="309">
        <v>10000</v>
      </c>
    </row>
    <row r="26" spans="1:3" ht="18.75" customHeight="1">
      <c r="A26" s="325" t="s">
        <v>21</v>
      </c>
      <c r="B26" s="314" t="s">
        <v>22</v>
      </c>
      <c r="C26" s="309">
        <v>10000</v>
      </c>
    </row>
    <row r="27" spans="1:3" ht="18.75" customHeight="1">
      <c r="A27" s="325" t="s">
        <v>23</v>
      </c>
      <c r="B27" s="314" t="s">
        <v>24</v>
      </c>
      <c r="C27" s="309">
        <v>10000</v>
      </c>
    </row>
    <row r="28" spans="1:3" ht="18.75" customHeight="1">
      <c r="A28" s="325" t="s">
        <v>411</v>
      </c>
      <c r="B28" s="314" t="s">
        <v>412</v>
      </c>
      <c r="C28" s="309">
        <v>10000</v>
      </c>
    </row>
    <row r="29" spans="1:3" ht="18.75" customHeight="1">
      <c r="A29" s="325" t="s">
        <v>197</v>
      </c>
      <c r="B29" s="314" t="s">
        <v>198</v>
      </c>
      <c r="C29" s="309">
        <v>10000</v>
      </c>
    </row>
    <row r="30" spans="1:3" ht="18.75" customHeight="1">
      <c r="B30" s="315"/>
    </row>
    <row r="31" spans="1:3" ht="18.75" customHeight="1">
      <c r="B31" s="315"/>
      <c r="C31" s="316"/>
    </row>
    <row r="32" spans="1:3" ht="38.25" customHeight="1">
      <c r="B32" s="936" t="s">
        <v>799</v>
      </c>
      <c r="C32" s="937"/>
    </row>
    <row r="33" spans="1:11">
      <c r="B33" s="317" t="s">
        <v>648</v>
      </c>
      <c r="C33" s="318" t="s">
        <v>797</v>
      </c>
      <c r="K33" s="292"/>
    </row>
    <row r="34" spans="1:11" ht="18.75" customHeight="1">
      <c r="A34" s="325" t="s">
        <v>380</v>
      </c>
      <c r="B34" s="319" t="s">
        <v>381</v>
      </c>
      <c r="C34" s="320">
        <v>4200</v>
      </c>
      <c r="K34" s="292"/>
    </row>
    <row r="35" spans="1:11" ht="18.75" customHeight="1">
      <c r="A35" s="325" t="s">
        <v>403</v>
      </c>
      <c r="B35" s="319" t="s">
        <v>404</v>
      </c>
      <c r="C35" s="320">
        <v>4350</v>
      </c>
      <c r="K35" s="292"/>
    </row>
    <row r="36" spans="1:11" ht="18.75" customHeight="1">
      <c r="A36" s="325" t="s">
        <v>33</v>
      </c>
      <c r="B36" s="319" t="s">
        <v>34</v>
      </c>
      <c r="C36" s="320">
        <v>4350</v>
      </c>
      <c r="K36" s="292"/>
    </row>
    <row r="37" spans="1:11" ht="18.75" customHeight="1">
      <c r="A37" s="325" t="s">
        <v>549</v>
      </c>
      <c r="B37" s="319" t="s">
        <v>550</v>
      </c>
      <c r="C37" s="320">
        <v>1650</v>
      </c>
      <c r="K37" s="292"/>
    </row>
    <row r="38" spans="1:11" ht="18.75" customHeight="1">
      <c r="A38" s="325" t="s">
        <v>506</v>
      </c>
      <c r="B38" s="319" t="s">
        <v>507</v>
      </c>
      <c r="C38" s="320">
        <v>5700</v>
      </c>
      <c r="K38" s="292"/>
    </row>
    <row r="39" spans="1:11" ht="18.75" customHeight="1">
      <c r="A39" s="325" t="s">
        <v>19</v>
      </c>
      <c r="B39" s="319" t="s">
        <v>20</v>
      </c>
      <c r="C39" s="320">
        <v>1950</v>
      </c>
      <c r="K39" s="292"/>
    </row>
    <row r="40" spans="1:11" ht="18.75" customHeight="1">
      <c r="A40" s="325" t="s">
        <v>413</v>
      </c>
      <c r="B40" s="319" t="s">
        <v>414</v>
      </c>
      <c r="C40" s="320">
        <v>2700</v>
      </c>
      <c r="K40" s="292"/>
    </row>
    <row r="41" spans="1:11" ht="18.75" customHeight="1">
      <c r="A41" s="325" t="s">
        <v>25</v>
      </c>
      <c r="B41" s="319" t="s">
        <v>26</v>
      </c>
      <c r="C41" s="320">
        <v>5700</v>
      </c>
      <c r="K41" s="292"/>
    </row>
    <row r="42" spans="1:11" ht="18.75" customHeight="1">
      <c r="A42" s="325" t="s">
        <v>502</v>
      </c>
      <c r="B42" s="319" t="s">
        <v>503</v>
      </c>
      <c r="C42" s="320">
        <v>5400</v>
      </c>
      <c r="K42" s="292"/>
    </row>
    <row r="43" spans="1:11" ht="18.75" customHeight="1">
      <c r="A43" s="325" t="s">
        <v>121</v>
      </c>
      <c r="B43" s="319" t="s">
        <v>122</v>
      </c>
      <c r="C43" s="320">
        <v>3750</v>
      </c>
      <c r="K43" s="292"/>
    </row>
    <row r="44" spans="1:11" ht="18.75" customHeight="1">
      <c r="A44" s="325" t="s">
        <v>218</v>
      </c>
      <c r="B44" s="319" t="s">
        <v>219</v>
      </c>
      <c r="C44" s="320">
        <v>5850</v>
      </c>
      <c r="K44" s="292"/>
    </row>
    <row r="45" spans="1:11" ht="18.75" customHeight="1">
      <c r="A45" s="325" t="s">
        <v>476</v>
      </c>
      <c r="B45" s="319" t="s">
        <v>477</v>
      </c>
      <c r="C45" s="320">
        <v>3600</v>
      </c>
      <c r="K45" s="292"/>
    </row>
    <row r="46" spans="1:11" ht="18.75" customHeight="1">
      <c r="A46" s="325" t="s">
        <v>367</v>
      </c>
      <c r="B46" s="321" t="s">
        <v>368</v>
      </c>
      <c r="C46" s="322">
        <v>1650</v>
      </c>
      <c r="K46" s="292"/>
    </row>
    <row r="47" spans="1:11" ht="18.75" customHeight="1">
      <c r="A47" s="325" t="s">
        <v>248</v>
      </c>
      <c r="B47" s="323" t="s">
        <v>249</v>
      </c>
      <c r="C47" s="320">
        <v>4500</v>
      </c>
      <c r="K47" s="292"/>
    </row>
    <row r="48" spans="1:11">
      <c r="B48" s="324"/>
    </row>
  </sheetData>
  <mergeCells count="2">
    <mergeCell ref="B1:C1"/>
    <mergeCell ref="B32:C3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1"/>
  <dimension ref="A1:D16"/>
  <sheetViews>
    <sheetView workbookViewId="0">
      <selection activeCell="B45" sqref="B45"/>
    </sheetView>
  </sheetViews>
  <sheetFormatPr defaultRowHeight="12.75"/>
  <cols>
    <col min="1" max="1" width="36" customWidth="1"/>
    <col min="2" max="2" width="24.85546875" customWidth="1"/>
    <col min="3" max="3" width="21" customWidth="1"/>
  </cols>
  <sheetData>
    <row r="1" spans="1:4" s="231" customFormat="1" ht="21">
      <c r="A1" s="231" t="s">
        <v>759</v>
      </c>
    </row>
    <row r="4" spans="1:4" ht="15">
      <c r="A4" s="232" t="s">
        <v>760</v>
      </c>
      <c r="B4" s="232" t="s">
        <v>761</v>
      </c>
      <c r="C4" s="232" t="s">
        <v>762</v>
      </c>
      <c r="D4" s="232"/>
    </row>
    <row r="5" spans="1:4" ht="14.25">
      <c r="A5" s="233" t="s">
        <v>763</v>
      </c>
      <c r="B5" s="234">
        <v>50000</v>
      </c>
      <c r="C5" s="235">
        <f>B5*4</f>
        <v>200000</v>
      </c>
    </row>
    <row r="6" spans="1:4" ht="14.25">
      <c r="A6" s="233" t="s">
        <v>764</v>
      </c>
      <c r="B6" s="234">
        <v>25000</v>
      </c>
      <c r="C6" s="235">
        <f>B6*8</f>
        <v>200000</v>
      </c>
    </row>
    <row r="7" spans="1:4" ht="14.25">
      <c r="A7" s="233" t="s">
        <v>765</v>
      </c>
      <c r="B7" s="234">
        <v>10000</v>
      </c>
      <c r="C7" s="235">
        <f>B7*11</f>
        <v>110000</v>
      </c>
    </row>
    <row r="8" spans="1:4" ht="14.25">
      <c r="A8" s="233" t="s">
        <v>766</v>
      </c>
      <c r="B8" s="233"/>
      <c r="C8" s="234">
        <v>55320</v>
      </c>
    </row>
    <row r="9" spans="1:4" ht="15">
      <c r="A9" s="233"/>
      <c r="B9" s="233"/>
      <c r="C9" s="236">
        <f>SUM(C5:C8)</f>
        <v>565320</v>
      </c>
    </row>
    <row r="10" spans="1:4" ht="14.25">
      <c r="A10" s="233"/>
      <c r="B10" s="233"/>
      <c r="C10" s="233"/>
    </row>
    <row r="11" spans="1:4" ht="14.25">
      <c r="A11" s="233"/>
      <c r="B11" s="233"/>
      <c r="C11" s="233"/>
    </row>
    <row r="12" spans="1:4" ht="14.25">
      <c r="A12" s="233"/>
      <c r="B12" s="233"/>
      <c r="C12" s="233"/>
    </row>
    <row r="13" spans="1:4" ht="15">
      <c r="A13" s="233" t="s">
        <v>767</v>
      </c>
      <c r="B13" s="237">
        <v>14234059</v>
      </c>
      <c r="C13" s="233"/>
    </row>
    <row r="14" spans="1:4" ht="14.25">
      <c r="A14" s="233" t="s">
        <v>768</v>
      </c>
      <c r="B14" s="238">
        <f>B13*0.05</f>
        <v>711702.95000000007</v>
      </c>
      <c r="C14" s="233"/>
    </row>
    <row r="15" spans="1:4" ht="14.25">
      <c r="A15" s="233" t="s">
        <v>741</v>
      </c>
      <c r="B15" s="238">
        <v>56320</v>
      </c>
      <c r="C15" s="233"/>
    </row>
    <row r="16" spans="1:4" ht="14.25">
      <c r="A16" s="233" t="s">
        <v>769</v>
      </c>
      <c r="B16" s="235">
        <f>B13-B14-B15</f>
        <v>13466036.050000001</v>
      </c>
      <c r="C16" s="23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81"/>
  <dimension ref="A1:B27"/>
  <sheetViews>
    <sheetView workbookViewId="0">
      <pane ySplit="3" topLeftCell="A4" activePane="bottomLeft" state="frozen"/>
      <selection pane="bottomLeft" activeCell="B3" sqref="B3"/>
    </sheetView>
  </sheetViews>
  <sheetFormatPr defaultRowHeight="12.75"/>
  <cols>
    <col min="1" max="1" width="16.5703125" style="54" customWidth="1"/>
    <col min="2" max="2" width="16.5703125" style="55" customWidth="1"/>
  </cols>
  <sheetData>
    <row r="1" spans="1:2">
      <c r="A1" s="54" t="s">
        <v>693</v>
      </c>
    </row>
    <row r="2" spans="1:2">
      <c r="A2" s="54" t="s">
        <v>694</v>
      </c>
    </row>
    <row r="3" spans="1:2" ht="15.75">
      <c r="A3" s="48" t="s">
        <v>578</v>
      </c>
      <c r="B3" s="122" t="s">
        <v>575</v>
      </c>
    </row>
    <row r="4" spans="1:2" ht="15.75">
      <c r="A4" s="49" t="s">
        <v>628</v>
      </c>
      <c r="B4" s="50"/>
    </row>
    <row r="5" spans="1:2" ht="15.75">
      <c r="A5" s="49" t="s">
        <v>629</v>
      </c>
      <c r="B5" s="50"/>
    </row>
    <row r="6" spans="1:2" ht="15.75">
      <c r="A6" s="49" t="s">
        <v>622</v>
      </c>
      <c r="B6" s="50"/>
    </row>
    <row r="7" spans="1:2" ht="15.75">
      <c r="A7" s="49" t="s">
        <v>623</v>
      </c>
      <c r="B7" s="50"/>
    </row>
    <row r="8" spans="1:2" ht="15.75">
      <c r="A8" s="49" t="s">
        <v>635</v>
      </c>
      <c r="B8" s="50"/>
    </row>
    <row r="9" spans="1:2" ht="15.75">
      <c r="A9" s="49" t="s">
        <v>630</v>
      </c>
      <c r="B9" s="50"/>
    </row>
    <row r="10" spans="1:2" ht="15.75">
      <c r="A10" s="49" t="s">
        <v>636</v>
      </c>
      <c r="B10" s="50"/>
    </row>
    <row r="11" spans="1:2" ht="15.75">
      <c r="A11" s="49" t="s">
        <v>624</v>
      </c>
      <c r="B11" s="50"/>
    </row>
    <row r="12" spans="1:2" ht="15.75">
      <c r="A12" s="49" t="s">
        <v>639</v>
      </c>
      <c r="B12" s="50"/>
    </row>
    <row r="13" spans="1:2" ht="15.75">
      <c r="A13" s="49" t="s">
        <v>685</v>
      </c>
      <c r="B13" s="50"/>
    </row>
    <row r="14" spans="1:2" ht="15.75">
      <c r="A14" s="49" t="s">
        <v>625</v>
      </c>
      <c r="B14" s="50"/>
    </row>
    <row r="15" spans="1:2" ht="15.75">
      <c r="A15" s="49" t="s">
        <v>631</v>
      </c>
      <c r="B15" s="50"/>
    </row>
    <row r="16" spans="1:2" ht="15.75">
      <c r="A16" s="49" t="s">
        <v>637</v>
      </c>
      <c r="B16" s="50"/>
    </row>
    <row r="17" spans="1:2" ht="15.75">
      <c r="A17" s="49" t="s">
        <v>632</v>
      </c>
      <c r="B17" s="50"/>
    </row>
    <row r="18" spans="1:2" ht="15.75">
      <c r="A18" s="49" t="s">
        <v>626</v>
      </c>
      <c r="B18" s="50"/>
    </row>
    <row r="19" spans="1:2" ht="15.75">
      <c r="A19" s="49" t="s">
        <v>638</v>
      </c>
      <c r="B19" s="50"/>
    </row>
    <row r="20" spans="1:2" ht="15.75">
      <c r="A20" s="49" t="s">
        <v>686</v>
      </c>
      <c r="B20" s="50"/>
    </row>
    <row r="21" spans="1:2" ht="15.75">
      <c r="A21" s="49" t="s">
        <v>640</v>
      </c>
      <c r="B21" s="50"/>
    </row>
    <row r="22" spans="1:2" ht="15.75">
      <c r="A22" s="49" t="s">
        <v>627</v>
      </c>
      <c r="B22" s="50"/>
    </row>
    <row r="23" spans="1:2" ht="15.75">
      <c r="A23" s="49" t="s">
        <v>633</v>
      </c>
      <c r="B23" s="50"/>
    </row>
    <row r="24" spans="1:2" ht="15.75">
      <c r="A24" s="49" t="s">
        <v>634</v>
      </c>
      <c r="B24" s="50"/>
    </row>
    <row r="25" spans="1:2" ht="15.75">
      <c r="A25" s="49" t="s">
        <v>641</v>
      </c>
      <c r="B25" s="50"/>
    </row>
    <row r="26" spans="1:2">
      <c r="A26" s="51"/>
      <c r="B26" s="52"/>
    </row>
    <row r="27" spans="1:2">
      <c r="A27" s="51"/>
      <c r="B27" s="53">
        <f>SUM(B4:B26)</f>
        <v>0</v>
      </c>
    </row>
  </sheetData>
  <phoneticPr fontId="23" type="noConversion"/>
  <pageMargins left="0.75" right="0.75" top="1" bottom="1" header="0.5" footer="0.5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2"/>
  <dimension ref="A1:AF318"/>
  <sheetViews>
    <sheetView workbookViewId="0">
      <pane xSplit="3" ySplit="7" topLeftCell="D8" activePane="bottomRight" state="frozen"/>
      <selection activeCell="H39" sqref="H39"/>
      <selection pane="topRight" activeCell="H39" sqref="H39"/>
      <selection pane="bottomLeft" activeCell="H39" sqref="H39"/>
      <selection pane="bottomRight" activeCell="H39" sqref="H3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" style="67" bestFit="1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" style="71" customWidth="1"/>
    <col min="11" max="11" width="9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163" customWidth="1"/>
    <col min="20" max="20" width="12.5703125" style="163" customWidth="1"/>
    <col min="21" max="21" width="12.85546875" style="40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17">
        <v>3</v>
      </c>
      <c r="E1" s="23">
        <v>4</v>
      </c>
      <c r="F1" s="23">
        <v>5</v>
      </c>
      <c r="G1" s="23">
        <v>6</v>
      </c>
      <c r="H1" s="40">
        <v>7</v>
      </c>
      <c r="I1" s="23">
        <v>8</v>
      </c>
      <c r="J1" s="23">
        <v>9</v>
      </c>
      <c r="K1" s="23">
        <v>10</v>
      </c>
      <c r="L1" s="23">
        <v>11</v>
      </c>
      <c r="M1" s="17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40">
        <v>21</v>
      </c>
      <c r="T1" s="40">
        <v>22</v>
      </c>
      <c r="U1" s="40">
        <v>23</v>
      </c>
      <c r="V1" s="23">
        <v>24</v>
      </c>
    </row>
    <row r="2" spans="1:32">
      <c r="A2" s="149" t="s">
        <v>734</v>
      </c>
      <c r="E2" s="884" t="s">
        <v>698</v>
      </c>
      <c r="F2" s="885"/>
      <c r="G2" s="885"/>
      <c r="H2" s="894"/>
      <c r="I2" s="886" t="s">
        <v>700</v>
      </c>
      <c r="J2" s="887"/>
      <c r="K2" s="888" t="s">
        <v>705</v>
      </c>
      <c r="L2" s="889"/>
      <c r="M2" s="889"/>
      <c r="N2" s="889"/>
      <c r="O2" s="889"/>
      <c r="P2" s="70"/>
      <c r="Q2" s="70"/>
      <c r="R2" s="90"/>
      <c r="S2" s="162"/>
    </row>
    <row r="3" spans="1:32">
      <c r="I3" s="136" t="s">
        <v>717</v>
      </c>
      <c r="J3" s="137"/>
      <c r="L3" s="87">
        <v>203148</v>
      </c>
      <c r="O3" s="67">
        <v>11634165</v>
      </c>
      <c r="Q3" s="151" t="s">
        <v>737</v>
      </c>
    </row>
    <row r="4" spans="1:32" ht="48">
      <c r="A4" s="77" t="s">
        <v>591</v>
      </c>
      <c r="B4" s="78" t="s">
        <v>592</v>
      </c>
      <c r="C4" s="78" t="s">
        <v>593</v>
      </c>
      <c r="D4" s="133" t="s">
        <v>682</v>
      </c>
      <c r="E4" s="76" t="s">
        <v>703</v>
      </c>
      <c r="F4" s="76" t="s">
        <v>684</v>
      </c>
      <c r="G4" s="76" t="s">
        <v>683</v>
      </c>
      <c r="H4" s="160" t="s">
        <v>699</v>
      </c>
      <c r="I4" s="75" t="s">
        <v>729</v>
      </c>
      <c r="J4" s="75" t="s">
        <v>718</v>
      </c>
      <c r="K4" s="76" t="s">
        <v>728</v>
      </c>
      <c r="L4" s="86" t="s">
        <v>727</v>
      </c>
      <c r="M4" s="76" t="s">
        <v>753</v>
      </c>
      <c r="N4" s="86" t="s">
        <v>701</v>
      </c>
      <c r="O4" s="75" t="s">
        <v>711</v>
      </c>
      <c r="P4" s="76"/>
      <c r="Q4" s="76"/>
      <c r="R4" s="45"/>
      <c r="S4" s="164" t="s">
        <v>738</v>
      </c>
      <c r="T4" s="165" t="s">
        <v>739</v>
      </c>
      <c r="U4" s="40" t="s">
        <v>733</v>
      </c>
    </row>
    <row r="5" spans="1:32">
      <c r="A5" s="46"/>
      <c r="B5" s="47"/>
      <c r="C5" s="47"/>
      <c r="E5" s="68">
        <v>11634165</v>
      </c>
      <c r="I5" s="68">
        <v>0</v>
      </c>
      <c r="J5" s="73"/>
      <c r="K5" s="220"/>
      <c r="L5" s="87">
        <v>10000</v>
      </c>
      <c r="M5" s="71"/>
      <c r="N5" s="69"/>
      <c r="V5" s="27"/>
      <c r="W5" s="26"/>
    </row>
    <row r="6" spans="1:32">
      <c r="A6" s="46"/>
      <c r="B6" s="47"/>
      <c r="C6" s="47" t="s">
        <v>620</v>
      </c>
      <c r="D6" s="67">
        <v>76832.989999999947</v>
      </c>
      <c r="E6" s="72">
        <v>11634161</v>
      </c>
      <c r="F6" s="72">
        <v>465000</v>
      </c>
      <c r="G6" s="72">
        <v>55650</v>
      </c>
      <c r="H6" s="161">
        <v>12154811</v>
      </c>
      <c r="I6" s="73">
        <v>0</v>
      </c>
      <c r="J6" s="73">
        <v>11634161</v>
      </c>
      <c r="K6" s="72"/>
      <c r="L6" s="88">
        <v>203148</v>
      </c>
      <c r="M6" s="67">
        <v>75491.369999999952</v>
      </c>
      <c r="N6" s="88">
        <v>203149</v>
      </c>
      <c r="O6" s="88">
        <v>11634165</v>
      </c>
      <c r="P6" s="88"/>
      <c r="S6" s="91">
        <v>9151934</v>
      </c>
      <c r="T6" s="166">
        <v>0.2712247487798754</v>
      </c>
      <c r="V6" s="27"/>
      <c r="W6" s="26"/>
    </row>
    <row r="7" spans="1:32">
      <c r="A7" s="77"/>
      <c r="B7" s="78"/>
      <c r="C7" s="78"/>
      <c r="D7" s="70"/>
      <c r="E7" s="74">
        <v>4</v>
      </c>
      <c r="F7" s="69"/>
      <c r="G7" s="76"/>
      <c r="H7" s="160"/>
      <c r="I7" s="70">
        <v>0</v>
      </c>
      <c r="J7" s="86"/>
      <c r="K7" s="70"/>
      <c r="L7" s="219"/>
      <c r="M7" s="76"/>
      <c r="O7" s="74">
        <v>0</v>
      </c>
      <c r="P7" s="76"/>
      <c r="Q7" s="76"/>
      <c r="R7" s="45"/>
    </row>
    <row r="8" spans="1:32">
      <c r="A8" s="64" t="s">
        <v>594</v>
      </c>
      <c r="B8" s="63" t="s">
        <v>132</v>
      </c>
      <c r="C8" s="63" t="s">
        <v>133</v>
      </c>
      <c r="D8" s="134">
        <v>279.25</v>
      </c>
      <c r="E8" s="67">
        <v>42284</v>
      </c>
      <c r="F8" s="146">
        <v>0</v>
      </c>
      <c r="G8" s="92">
        <v>0</v>
      </c>
      <c r="H8" s="91">
        <v>42284</v>
      </c>
      <c r="I8" s="67">
        <v>0</v>
      </c>
      <c r="J8" s="20">
        <v>42284</v>
      </c>
      <c r="K8" s="132" t="s">
        <v>621</v>
      </c>
      <c r="L8" s="151">
        <v>0</v>
      </c>
      <c r="M8" s="128">
        <v>279.25</v>
      </c>
      <c r="N8" s="67">
        <v>751</v>
      </c>
      <c r="O8" s="67">
        <v>43035</v>
      </c>
      <c r="Q8" s="71"/>
      <c r="R8" s="26"/>
      <c r="S8" s="163">
        <v>38465</v>
      </c>
      <c r="T8" s="163">
        <v>4570</v>
      </c>
      <c r="U8" s="43">
        <v>0.11880930716235538</v>
      </c>
    </row>
    <row r="9" spans="1:32">
      <c r="A9" s="64" t="s">
        <v>594</v>
      </c>
      <c r="B9" s="63" t="s">
        <v>262</v>
      </c>
      <c r="C9" s="63" t="s">
        <v>263</v>
      </c>
      <c r="D9" s="134">
        <v>0</v>
      </c>
      <c r="E9" s="67">
        <v>0</v>
      </c>
      <c r="F9" s="146">
        <v>0</v>
      </c>
      <c r="G9" s="92">
        <v>0</v>
      </c>
      <c r="H9" s="91">
        <v>0</v>
      </c>
      <c r="I9" s="67">
        <v>0</v>
      </c>
      <c r="J9" s="20">
        <v>0</v>
      </c>
      <c r="K9" s="132" t="s">
        <v>644</v>
      </c>
      <c r="L9" s="151">
        <v>0</v>
      </c>
      <c r="M9" s="128">
        <v>0</v>
      </c>
      <c r="N9" s="67">
        <v>0</v>
      </c>
      <c r="O9" s="67">
        <v>0</v>
      </c>
      <c r="Q9" s="71"/>
      <c r="R9" s="30"/>
      <c r="S9" s="163">
        <v>0</v>
      </c>
      <c r="T9" s="163">
        <v>0</v>
      </c>
      <c r="U9" s="43">
        <v>0</v>
      </c>
      <c r="V9" s="31"/>
      <c r="X9" s="32"/>
      <c r="Z9" s="33"/>
      <c r="AC9" s="45"/>
      <c r="AD9" s="45"/>
    </row>
    <row r="10" spans="1:32">
      <c r="A10" s="64" t="s">
        <v>603</v>
      </c>
      <c r="B10" s="63" t="s">
        <v>283</v>
      </c>
      <c r="C10" s="63" t="s">
        <v>284</v>
      </c>
      <c r="D10" s="134">
        <v>0</v>
      </c>
      <c r="E10" s="67">
        <v>0</v>
      </c>
      <c r="F10" s="146">
        <v>0</v>
      </c>
      <c r="G10" s="92">
        <v>0</v>
      </c>
      <c r="H10" s="91">
        <v>0</v>
      </c>
      <c r="I10" s="67">
        <v>0</v>
      </c>
      <c r="J10" s="20">
        <v>0</v>
      </c>
      <c r="K10" s="132" t="s">
        <v>644</v>
      </c>
      <c r="L10" s="151">
        <v>0</v>
      </c>
      <c r="M10" s="128">
        <v>0</v>
      </c>
      <c r="N10" s="67">
        <v>0</v>
      </c>
      <c r="O10" s="67">
        <v>0</v>
      </c>
      <c r="Q10" s="71"/>
      <c r="R10" s="25"/>
      <c r="S10" s="163">
        <v>0</v>
      </c>
      <c r="T10" s="163">
        <v>0</v>
      </c>
      <c r="U10" s="43">
        <v>0</v>
      </c>
      <c r="V10" s="34"/>
      <c r="X10" s="35"/>
      <c r="Y10" s="28"/>
      <c r="AC10" s="36"/>
      <c r="AD10" s="36"/>
      <c r="AE10" s="36"/>
      <c r="AF10" s="19"/>
    </row>
    <row r="11" spans="1:32" s="112" customFormat="1">
      <c r="A11" s="138" t="s">
        <v>595</v>
      </c>
      <c r="B11" s="139" t="s">
        <v>380</v>
      </c>
      <c r="C11" s="139" t="s">
        <v>381</v>
      </c>
      <c r="D11" s="134">
        <v>34</v>
      </c>
      <c r="E11" s="67">
        <v>5148</v>
      </c>
      <c r="F11" s="146">
        <v>0</v>
      </c>
      <c r="G11" s="92">
        <v>0</v>
      </c>
      <c r="H11" s="91">
        <v>5148</v>
      </c>
      <c r="I11" s="67">
        <v>0</v>
      </c>
      <c r="J11" s="148">
        <v>5148</v>
      </c>
      <c r="K11" s="132" t="s">
        <v>644</v>
      </c>
      <c r="L11" s="151">
        <v>5148</v>
      </c>
      <c r="M11" s="128">
        <v>0</v>
      </c>
      <c r="N11" s="67">
        <v>0</v>
      </c>
      <c r="O11" s="67">
        <v>0</v>
      </c>
      <c r="P11" s="110"/>
      <c r="Q11" s="111"/>
      <c r="S11" s="163">
        <v>0</v>
      </c>
      <c r="T11" s="163">
        <v>0</v>
      </c>
      <c r="U11" s="43">
        <v>0</v>
      </c>
      <c r="V11" s="113"/>
      <c r="X11" s="114"/>
      <c r="Y11" s="114"/>
    </row>
    <row r="12" spans="1:32">
      <c r="A12" s="64" t="s">
        <v>595</v>
      </c>
      <c r="B12" s="63" t="s">
        <v>403</v>
      </c>
      <c r="C12" s="63" t="s">
        <v>404</v>
      </c>
      <c r="D12" s="134">
        <v>164</v>
      </c>
      <c r="E12" s="67">
        <v>24833</v>
      </c>
      <c r="F12" s="146">
        <v>0</v>
      </c>
      <c r="G12" s="92">
        <v>0</v>
      </c>
      <c r="H12" s="91">
        <v>24833</v>
      </c>
      <c r="I12" s="67">
        <v>0</v>
      </c>
      <c r="J12" s="20">
        <v>24833</v>
      </c>
      <c r="K12" s="132" t="s">
        <v>621</v>
      </c>
      <c r="L12" s="151">
        <v>0</v>
      </c>
      <c r="M12" s="128">
        <v>164</v>
      </c>
      <c r="N12" s="67">
        <v>441</v>
      </c>
      <c r="O12" s="67">
        <v>25274</v>
      </c>
      <c r="Q12" s="71"/>
      <c r="S12" s="163">
        <v>16051</v>
      </c>
      <c r="T12" s="163">
        <v>9223</v>
      </c>
      <c r="U12" s="43">
        <v>0.57460594355491867</v>
      </c>
      <c r="V12" s="61"/>
      <c r="AC12" s="36"/>
      <c r="AD12" s="36"/>
      <c r="AE12" s="36"/>
      <c r="AF12" s="19"/>
    </row>
    <row r="13" spans="1:32">
      <c r="A13" s="64" t="s">
        <v>596</v>
      </c>
      <c r="B13" s="63" t="s">
        <v>12</v>
      </c>
      <c r="C13" s="63" t="s">
        <v>13</v>
      </c>
      <c r="D13" s="134">
        <v>0</v>
      </c>
      <c r="E13" s="67">
        <v>0</v>
      </c>
      <c r="F13" s="146">
        <v>0</v>
      </c>
      <c r="G13" s="92">
        <v>0</v>
      </c>
      <c r="H13" s="91">
        <v>0</v>
      </c>
      <c r="I13" s="67">
        <v>0</v>
      </c>
      <c r="J13" s="20">
        <v>0</v>
      </c>
      <c r="K13" s="132" t="s">
        <v>644</v>
      </c>
      <c r="L13" s="151">
        <v>0</v>
      </c>
      <c r="M13" s="128">
        <v>0</v>
      </c>
      <c r="N13" s="67">
        <v>0</v>
      </c>
      <c r="O13" s="67">
        <v>0</v>
      </c>
      <c r="Q13" s="71"/>
      <c r="S13" s="163">
        <v>0</v>
      </c>
      <c r="T13" s="163">
        <v>0</v>
      </c>
      <c r="U13" s="43">
        <v>0</v>
      </c>
      <c r="V13" s="61"/>
      <c r="AC13" s="36"/>
      <c r="AD13" s="36"/>
      <c r="AE13" s="36"/>
      <c r="AF13" s="19"/>
    </row>
    <row r="14" spans="1:32">
      <c r="A14" s="64" t="s">
        <v>597</v>
      </c>
      <c r="B14" s="63" t="s">
        <v>195</v>
      </c>
      <c r="C14" s="63" t="s">
        <v>196</v>
      </c>
      <c r="D14" s="134">
        <v>1400.63</v>
      </c>
      <c r="E14" s="67">
        <v>212085</v>
      </c>
      <c r="F14" s="146">
        <v>50000</v>
      </c>
      <c r="G14" s="92">
        <v>0</v>
      </c>
      <c r="H14" s="91">
        <v>262085</v>
      </c>
      <c r="I14" s="67">
        <v>0</v>
      </c>
      <c r="J14" s="20">
        <v>212085</v>
      </c>
      <c r="K14" s="132" t="s">
        <v>621</v>
      </c>
      <c r="L14" s="151">
        <v>0</v>
      </c>
      <c r="M14" s="128">
        <v>1400.63</v>
      </c>
      <c r="N14" s="67">
        <v>3769</v>
      </c>
      <c r="O14" s="67">
        <v>215854</v>
      </c>
      <c r="Q14" s="71"/>
      <c r="S14" s="163">
        <v>156694</v>
      </c>
      <c r="T14" s="163">
        <v>59160</v>
      </c>
      <c r="U14" s="43">
        <v>0.37755115065031208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213</v>
      </c>
      <c r="C15" s="63" t="s">
        <v>598</v>
      </c>
      <c r="D15" s="134">
        <v>29.13</v>
      </c>
      <c r="E15" s="67">
        <v>4411</v>
      </c>
      <c r="F15" s="146">
        <v>0</v>
      </c>
      <c r="G15" s="92">
        <v>0</v>
      </c>
      <c r="H15" s="91">
        <v>4411</v>
      </c>
      <c r="I15" s="67">
        <v>0</v>
      </c>
      <c r="J15" s="20">
        <v>4411</v>
      </c>
      <c r="K15" s="132" t="s">
        <v>644</v>
      </c>
      <c r="L15" s="151">
        <v>4411</v>
      </c>
      <c r="M15" s="128">
        <v>0</v>
      </c>
      <c r="N15" s="67">
        <v>0</v>
      </c>
      <c r="O15" s="67">
        <v>0</v>
      </c>
      <c r="Q15" s="71"/>
      <c r="S15" s="163">
        <v>0</v>
      </c>
      <c r="T15" s="163">
        <v>0</v>
      </c>
      <c r="U15" s="43">
        <v>0</v>
      </c>
      <c r="V15" s="61"/>
      <c r="AC15" s="36"/>
      <c r="AD15" s="36"/>
      <c r="AE15" s="36"/>
      <c r="AF15" s="19"/>
    </row>
    <row r="16" spans="1:32">
      <c r="A16" s="64" t="s">
        <v>597</v>
      </c>
      <c r="B16" s="65" t="s">
        <v>666</v>
      </c>
      <c r="C16" s="63" t="s">
        <v>667</v>
      </c>
      <c r="D16" s="134">
        <v>0</v>
      </c>
      <c r="E16" s="67">
        <v>0</v>
      </c>
      <c r="F16" s="146">
        <v>0</v>
      </c>
      <c r="G16" s="92">
        <v>0</v>
      </c>
      <c r="H16" s="91">
        <v>0</v>
      </c>
      <c r="I16" s="67">
        <v>0</v>
      </c>
      <c r="J16" s="20">
        <v>0</v>
      </c>
      <c r="K16" s="132" t="s">
        <v>644</v>
      </c>
      <c r="L16" s="151">
        <v>0</v>
      </c>
      <c r="M16" s="128">
        <v>0</v>
      </c>
      <c r="N16" s="67">
        <v>0</v>
      </c>
      <c r="O16" s="67">
        <v>0</v>
      </c>
      <c r="Q16" s="71"/>
      <c r="S16" s="163">
        <v>0</v>
      </c>
      <c r="T16" s="163">
        <v>0</v>
      </c>
      <c r="U16" s="43">
        <v>0</v>
      </c>
      <c r="V16" s="61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569</v>
      </c>
      <c r="E17" s="67">
        <v>86159</v>
      </c>
      <c r="F17" s="146">
        <v>0</v>
      </c>
      <c r="G17" s="92">
        <v>0</v>
      </c>
      <c r="H17" s="91">
        <v>86159</v>
      </c>
      <c r="I17" s="67">
        <v>0</v>
      </c>
      <c r="J17" s="20">
        <v>86159</v>
      </c>
      <c r="K17" s="132" t="s">
        <v>621</v>
      </c>
      <c r="L17" s="151">
        <v>0</v>
      </c>
      <c r="M17" s="128">
        <v>569</v>
      </c>
      <c r="N17" s="67">
        <v>1531</v>
      </c>
      <c r="O17" s="67">
        <v>87690</v>
      </c>
      <c r="Q17" s="71"/>
      <c r="S17" s="163">
        <v>72520</v>
      </c>
      <c r="T17" s="163">
        <v>15170</v>
      </c>
      <c r="U17" s="43">
        <v>0.20918367346938777</v>
      </c>
      <c r="V17" s="61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1370.25</v>
      </c>
      <c r="E18" s="67">
        <v>207485</v>
      </c>
      <c r="F18" s="146">
        <v>50000</v>
      </c>
      <c r="G18" s="92">
        <v>0</v>
      </c>
      <c r="H18" s="91">
        <v>257485</v>
      </c>
      <c r="I18" s="67">
        <v>0</v>
      </c>
      <c r="J18" s="20">
        <v>207485</v>
      </c>
      <c r="K18" s="132" t="s">
        <v>621</v>
      </c>
      <c r="L18" s="151">
        <v>0</v>
      </c>
      <c r="M18" s="128">
        <v>1370.25</v>
      </c>
      <c r="N18" s="67">
        <v>3687</v>
      </c>
      <c r="O18" s="67">
        <v>211172</v>
      </c>
      <c r="Q18" s="71"/>
      <c r="S18" s="163">
        <v>172077</v>
      </c>
      <c r="T18" s="163">
        <v>39095</v>
      </c>
      <c r="U18" s="43">
        <v>0.22719480232686529</v>
      </c>
      <c r="V18" s="61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531.38</v>
      </c>
      <c r="E19" s="67">
        <v>80462</v>
      </c>
      <c r="F19" s="146">
        <v>0</v>
      </c>
      <c r="G19" s="92">
        <v>0</v>
      </c>
      <c r="H19" s="91">
        <v>80462</v>
      </c>
      <c r="I19" s="67">
        <v>0</v>
      </c>
      <c r="J19" s="20">
        <v>80462</v>
      </c>
      <c r="K19" s="132" t="s">
        <v>621</v>
      </c>
      <c r="L19" s="151">
        <v>0</v>
      </c>
      <c r="M19" s="128">
        <v>531.38</v>
      </c>
      <c r="N19" s="67">
        <v>1430</v>
      </c>
      <c r="O19" s="67">
        <v>81892</v>
      </c>
      <c r="Q19" s="71"/>
      <c r="S19" s="163">
        <v>63639</v>
      </c>
      <c r="T19" s="163">
        <v>18253</v>
      </c>
      <c r="U19" s="43">
        <v>0.28682097455962541</v>
      </c>
      <c r="V19" s="61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92">
        <v>0</v>
      </c>
      <c r="H20" s="91">
        <v>0</v>
      </c>
      <c r="I20" s="67">
        <v>0</v>
      </c>
      <c r="J20" s="20">
        <v>0</v>
      </c>
      <c r="K20" s="132" t="s">
        <v>644</v>
      </c>
      <c r="L20" s="151">
        <v>0</v>
      </c>
      <c r="M20" s="128">
        <v>0</v>
      </c>
      <c r="N20" s="67">
        <v>0</v>
      </c>
      <c r="O20" s="67">
        <v>0</v>
      </c>
      <c r="Q20" s="71"/>
      <c r="S20" s="163">
        <v>0</v>
      </c>
      <c r="T20" s="163">
        <v>0</v>
      </c>
      <c r="U20" s="43">
        <v>0</v>
      </c>
      <c r="V20" s="61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243.63</v>
      </c>
      <c r="E21" s="67">
        <v>36891</v>
      </c>
      <c r="F21" s="146">
        <v>0</v>
      </c>
      <c r="G21" s="92">
        <v>0</v>
      </c>
      <c r="H21" s="91">
        <v>36891</v>
      </c>
      <c r="I21" s="67">
        <v>0</v>
      </c>
      <c r="J21" s="20">
        <v>36891</v>
      </c>
      <c r="K21" s="132" t="s">
        <v>621</v>
      </c>
      <c r="L21" s="151">
        <v>0</v>
      </c>
      <c r="M21" s="128">
        <v>243.63</v>
      </c>
      <c r="N21" s="67">
        <v>656</v>
      </c>
      <c r="O21" s="67">
        <v>37547</v>
      </c>
      <c r="Q21" s="71"/>
      <c r="S21" s="163">
        <v>29570</v>
      </c>
      <c r="T21" s="163">
        <v>7977</v>
      </c>
      <c r="U21" s="43">
        <v>0.26976665539398037</v>
      </c>
      <c r="V21" s="61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92">
        <v>0</v>
      </c>
      <c r="H22" s="91">
        <v>0</v>
      </c>
      <c r="I22" s="67">
        <v>0</v>
      </c>
      <c r="J22" s="20">
        <v>0</v>
      </c>
      <c r="K22" s="132" t="s">
        <v>644</v>
      </c>
      <c r="L22" s="151">
        <v>0</v>
      </c>
      <c r="M22" s="128">
        <v>0</v>
      </c>
      <c r="N22" s="67">
        <v>0</v>
      </c>
      <c r="O22" s="67">
        <v>0</v>
      </c>
      <c r="Q22" s="71"/>
      <c r="S22" s="163">
        <v>0</v>
      </c>
      <c r="T22" s="163">
        <v>0</v>
      </c>
      <c r="U22" s="43">
        <v>0</v>
      </c>
      <c r="V22" s="61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97</v>
      </c>
      <c r="E23" s="67">
        <v>14688</v>
      </c>
      <c r="F23" s="146">
        <v>0</v>
      </c>
      <c r="G23" s="92">
        <v>0</v>
      </c>
      <c r="H23" s="91">
        <v>14688</v>
      </c>
      <c r="I23" s="67">
        <v>0</v>
      </c>
      <c r="J23" s="20">
        <v>14688</v>
      </c>
      <c r="K23" s="132" t="s">
        <v>621</v>
      </c>
      <c r="L23" s="151">
        <v>0</v>
      </c>
      <c r="M23" s="128">
        <v>97</v>
      </c>
      <c r="N23" s="67">
        <v>261</v>
      </c>
      <c r="O23" s="67">
        <v>14949</v>
      </c>
      <c r="Q23" s="71"/>
      <c r="S23" s="163">
        <v>12458</v>
      </c>
      <c r="T23" s="163">
        <v>2491</v>
      </c>
      <c r="U23" s="43">
        <v>0.19995183817627227</v>
      </c>
      <c r="V23" s="61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92">
        <v>0</v>
      </c>
      <c r="H24" s="91">
        <v>0</v>
      </c>
      <c r="I24" s="67">
        <v>0</v>
      </c>
      <c r="J24" s="20">
        <v>0</v>
      </c>
      <c r="K24" s="132" t="s">
        <v>644</v>
      </c>
      <c r="L24" s="151">
        <v>0</v>
      </c>
      <c r="M24" s="128">
        <v>0</v>
      </c>
      <c r="N24" s="67">
        <v>0</v>
      </c>
      <c r="O24" s="67">
        <v>0</v>
      </c>
      <c r="Q24" s="71"/>
      <c r="S24" s="163">
        <v>0</v>
      </c>
      <c r="T24" s="163">
        <v>0</v>
      </c>
      <c r="U24" s="43">
        <v>0</v>
      </c>
      <c r="V24" s="61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122</v>
      </c>
      <c r="E25" s="67">
        <v>18473</v>
      </c>
      <c r="F25" s="146">
        <v>0</v>
      </c>
      <c r="G25" s="92">
        <v>0</v>
      </c>
      <c r="H25" s="91">
        <v>18473</v>
      </c>
      <c r="I25" s="67">
        <v>0</v>
      </c>
      <c r="J25" s="20">
        <v>18473</v>
      </c>
      <c r="K25" s="132" t="s">
        <v>621</v>
      </c>
      <c r="L25" s="151">
        <v>0</v>
      </c>
      <c r="M25" s="128">
        <v>122</v>
      </c>
      <c r="N25" s="67">
        <v>328</v>
      </c>
      <c r="O25" s="67">
        <v>18801</v>
      </c>
      <c r="Q25" s="71"/>
      <c r="S25" s="163">
        <v>13398</v>
      </c>
      <c r="T25" s="163">
        <v>5403</v>
      </c>
      <c r="U25" s="43">
        <v>0.40326914464845498</v>
      </c>
      <c r="V25" s="61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359.13</v>
      </c>
      <c r="E26" s="67">
        <v>54380</v>
      </c>
      <c r="F26" s="146">
        <v>0</v>
      </c>
      <c r="G26" s="92">
        <v>0</v>
      </c>
      <c r="H26" s="91">
        <v>54380</v>
      </c>
      <c r="I26" s="67">
        <v>0</v>
      </c>
      <c r="J26" s="20">
        <v>54380</v>
      </c>
      <c r="K26" s="132" t="s">
        <v>621</v>
      </c>
      <c r="L26" s="151">
        <v>0</v>
      </c>
      <c r="M26" s="128">
        <v>359.13</v>
      </c>
      <c r="N26" s="67">
        <v>966</v>
      </c>
      <c r="O26" s="67">
        <v>55346</v>
      </c>
      <c r="Q26" s="71"/>
      <c r="S26" s="163">
        <v>50666</v>
      </c>
      <c r="T26" s="163">
        <v>4680</v>
      </c>
      <c r="U26" s="43">
        <v>9.2369636442584765E-2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314.25</v>
      </c>
      <c r="E27" s="67">
        <v>47584</v>
      </c>
      <c r="F27" s="146">
        <v>0</v>
      </c>
      <c r="G27" s="92">
        <v>0</v>
      </c>
      <c r="H27" s="91">
        <v>47584</v>
      </c>
      <c r="I27" s="67">
        <v>0</v>
      </c>
      <c r="J27" s="20">
        <v>47584</v>
      </c>
      <c r="K27" s="132" t="s">
        <v>621</v>
      </c>
      <c r="L27" s="151">
        <v>0</v>
      </c>
      <c r="M27" s="128">
        <v>314.25</v>
      </c>
      <c r="N27" s="67">
        <v>846</v>
      </c>
      <c r="O27" s="67">
        <v>48430</v>
      </c>
      <c r="Q27" s="71"/>
      <c r="S27" s="163">
        <v>48589</v>
      </c>
      <c r="T27" s="163">
        <v>-159</v>
      </c>
      <c r="U27" s="43">
        <v>-3.2723455926238448E-3</v>
      </c>
      <c r="V27" s="61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92">
        <v>0</v>
      </c>
      <c r="H28" s="91">
        <v>0</v>
      </c>
      <c r="I28" s="67">
        <v>0</v>
      </c>
      <c r="J28" s="20">
        <v>0</v>
      </c>
      <c r="K28" s="132" t="s">
        <v>644</v>
      </c>
      <c r="L28" s="151">
        <v>0</v>
      </c>
      <c r="M28" s="128">
        <v>0</v>
      </c>
      <c r="N28" s="67">
        <v>0</v>
      </c>
      <c r="O28" s="67">
        <v>0</v>
      </c>
      <c r="Q28" s="71"/>
      <c r="S28" s="163">
        <v>0</v>
      </c>
      <c r="T28" s="163">
        <v>0</v>
      </c>
      <c r="U28" s="43">
        <v>0</v>
      </c>
      <c r="V28" s="61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554.38</v>
      </c>
      <c r="E29" s="67">
        <v>83945</v>
      </c>
      <c r="F29" s="146">
        <v>0</v>
      </c>
      <c r="G29" s="92">
        <v>0</v>
      </c>
      <c r="H29" s="91">
        <v>83945</v>
      </c>
      <c r="I29" s="67">
        <v>0</v>
      </c>
      <c r="J29" s="20">
        <v>83945</v>
      </c>
      <c r="K29" s="132" t="s">
        <v>621</v>
      </c>
      <c r="L29" s="151">
        <v>0</v>
      </c>
      <c r="M29" s="128">
        <v>554.38</v>
      </c>
      <c r="N29" s="67">
        <v>1492</v>
      </c>
      <c r="O29" s="67">
        <v>85437</v>
      </c>
      <c r="Q29" s="71"/>
      <c r="S29" s="163">
        <v>63199</v>
      </c>
      <c r="T29" s="163">
        <v>22238</v>
      </c>
      <c r="U29" s="43">
        <v>0.35187265621291475</v>
      </c>
      <c r="V29" s="61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128.5</v>
      </c>
      <c r="E30" s="67">
        <v>19458</v>
      </c>
      <c r="F30" s="146">
        <v>0</v>
      </c>
      <c r="G30" s="92">
        <v>0</v>
      </c>
      <c r="H30" s="91">
        <v>19458</v>
      </c>
      <c r="I30" s="67">
        <v>0</v>
      </c>
      <c r="J30" s="20">
        <v>19458</v>
      </c>
      <c r="K30" s="132" t="s">
        <v>621</v>
      </c>
      <c r="L30" s="151">
        <v>0</v>
      </c>
      <c r="M30" s="128">
        <v>128.5</v>
      </c>
      <c r="N30" s="67">
        <v>346</v>
      </c>
      <c r="O30" s="67">
        <v>19804</v>
      </c>
      <c r="Q30" s="71"/>
      <c r="S30" s="163">
        <v>15004</v>
      </c>
      <c r="T30" s="163">
        <v>4800</v>
      </c>
      <c r="U30" s="43">
        <v>0.3199146894161557</v>
      </c>
      <c r="V30" s="61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92.25</v>
      </c>
      <c r="E31" s="67">
        <v>13969</v>
      </c>
      <c r="F31" s="146">
        <v>0</v>
      </c>
      <c r="G31" s="92">
        <v>0</v>
      </c>
      <c r="H31" s="91">
        <v>13969</v>
      </c>
      <c r="I31" s="67">
        <v>0</v>
      </c>
      <c r="J31" s="20">
        <v>13969</v>
      </c>
      <c r="K31" s="132" t="s">
        <v>621</v>
      </c>
      <c r="L31" s="151">
        <v>0</v>
      </c>
      <c r="M31" s="128">
        <v>92.25</v>
      </c>
      <c r="N31" s="67">
        <v>248</v>
      </c>
      <c r="O31" s="67">
        <v>14217</v>
      </c>
      <c r="Q31" s="71"/>
      <c r="S31" s="163">
        <v>22173</v>
      </c>
      <c r="T31" s="163">
        <v>-7956</v>
      </c>
      <c r="U31" s="43">
        <v>-0.35881477472601814</v>
      </c>
      <c r="V31" s="61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92">
        <v>0</v>
      </c>
      <c r="H32" s="91">
        <v>0</v>
      </c>
      <c r="I32" s="67">
        <v>0</v>
      </c>
      <c r="J32" s="20">
        <v>0</v>
      </c>
      <c r="K32" s="132" t="s">
        <v>644</v>
      </c>
      <c r="L32" s="151">
        <v>0</v>
      </c>
      <c r="M32" s="128">
        <v>0</v>
      </c>
      <c r="N32" s="67">
        <v>0</v>
      </c>
      <c r="O32" s="67">
        <v>0</v>
      </c>
      <c r="Q32" s="71"/>
      <c r="S32" s="163">
        <v>0</v>
      </c>
      <c r="T32" s="163">
        <v>0</v>
      </c>
      <c r="U32" s="43">
        <v>0</v>
      </c>
      <c r="V32" s="61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151.5</v>
      </c>
      <c r="E33" s="67">
        <v>22940</v>
      </c>
      <c r="F33" s="146">
        <v>0</v>
      </c>
      <c r="G33" s="92">
        <v>0</v>
      </c>
      <c r="H33" s="91">
        <v>22940</v>
      </c>
      <c r="I33" s="67">
        <v>0</v>
      </c>
      <c r="J33" s="20">
        <v>22940</v>
      </c>
      <c r="K33" s="132" t="s">
        <v>621</v>
      </c>
      <c r="L33" s="151">
        <v>0</v>
      </c>
      <c r="M33" s="128">
        <v>151.5</v>
      </c>
      <c r="N33" s="67">
        <v>408</v>
      </c>
      <c r="O33" s="67">
        <v>23348</v>
      </c>
      <c r="Q33" s="71"/>
      <c r="S33" s="163">
        <v>19400</v>
      </c>
      <c r="T33" s="163">
        <v>3948</v>
      </c>
      <c r="U33" s="43">
        <v>0.20350515463917526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194.13</v>
      </c>
      <c r="E34" s="67">
        <v>29395</v>
      </c>
      <c r="F34" s="146">
        <v>0</v>
      </c>
      <c r="G34" s="92">
        <v>0</v>
      </c>
      <c r="H34" s="91">
        <v>29395</v>
      </c>
      <c r="I34" s="67">
        <v>0</v>
      </c>
      <c r="J34" s="20">
        <v>29395</v>
      </c>
      <c r="K34" s="132" t="s">
        <v>621</v>
      </c>
      <c r="L34" s="151">
        <v>0</v>
      </c>
      <c r="M34" s="128">
        <v>194.13</v>
      </c>
      <c r="N34" s="67">
        <v>522</v>
      </c>
      <c r="O34" s="67">
        <v>29917</v>
      </c>
      <c r="Q34" s="71"/>
      <c r="S34" s="163">
        <v>25703</v>
      </c>
      <c r="T34" s="163">
        <v>4214</v>
      </c>
      <c r="U34" s="43">
        <v>0.16394973349414466</v>
      </c>
      <c r="V34" s="61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11</v>
      </c>
      <c r="E35" s="67">
        <v>1666</v>
      </c>
      <c r="F35" s="146">
        <v>0</v>
      </c>
      <c r="G35" s="92">
        <v>0</v>
      </c>
      <c r="H35" s="91">
        <v>1666</v>
      </c>
      <c r="I35" s="67">
        <v>0</v>
      </c>
      <c r="J35" s="20">
        <v>1666</v>
      </c>
      <c r="K35" s="132" t="s">
        <v>644</v>
      </c>
      <c r="L35" s="151">
        <v>1666</v>
      </c>
      <c r="M35" s="128">
        <v>0</v>
      </c>
      <c r="N35" s="67">
        <v>0</v>
      </c>
      <c r="O35" s="67">
        <v>0</v>
      </c>
      <c r="Q35" s="71"/>
      <c r="S35" s="163">
        <v>0</v>
      </c>
      <c r="T35" s="163">
        <v>0</v>
      </c>
      <c r="U35" s="43">
        <v>0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92">
        <v>0</v>
      </c>
      <c r="H36" s="91">
        <v>0</v>
      </c>
      <c r="I36" s="67">
        <v>0</v>
      </c>
      <c r="J36" s="20">
        <v>0</v>
      </c>
      <c r="K36" s="132" t="s">
        <v>644</v>
      </c>
      <c r="L36" s="151">
        <v>0</v>
      </c>
      <c r="M36" s="128">
        <v>0</v>
      </c>
      <c r="N36" s="67">
        <v>0</v>
      </c>
      <c r="O36" s="67">
        <v>0</v>
      </c>
      <c r="Q36" s="71"/>
      <c r="S36" s="163">
        <v>0</v>
      </c>
      <c r="T36" s="163">
        <v>0</v>
      </c>
      <c r="U36" s="43">
        <v>0</v>
      </c>
      <c r="V36" s="61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179.63</v>
      </c>
      <c r="E37" s="67">
        <v>27200</v>
      </c>
      <c r="F37" s="146">
        <v>0</v>
      </c>
      <c r="G37" s="92">
        <v>0</v>
      </c>
      <c r="H37" s="91">
        <v>27200</v>
      </c>
      <c r="I37" s="67">
        <v>0</v>
      </c>
      <c r="J37" s="20">
        <v>27200</v>
      </c>
      <c r="K37" s="132" t="s">
        <v>621</v>
      </c>
      <c r="L37" s="151">
        <v>0</v>
      </c>
      <c r="M37" s="128">
        <v>179.63</v>
      </c>
      <c r="N37" s="67">
        <v>483</v>
      </c>
      <c r="O37" s="67">
        <v>27683</v>
      </c>
      <c r="Q37" s="71"/>
      <c r="S37" s="163">
        <v>25219</v>
      </c>
      <c r="T37" s="163">
        <v>2464</v>
      </c>
      <c r="U37" s="43">
        <v>9.770411197906341E-2</v>
      </c>
      <c r="V37" s="61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198.88</v>
      </c>
      <c r="E38" s="67">
        <v>30115</v>
      </c>
      <c r="F38" s="146">
        <v>0</v>
      </c>
      <c r="G38" s="92">
        <v>0</v>
      </c>
      <c r="H38" s="91">
        <v>30115</v>
      </c>
      <c r="I38" s="67">
        <v>0</v>
      </c>
      <c r="J38" s="20">
        <v>30115</v>
      </c>
      <c r="K38" s="132" t="s">
        <v>621</v>
      </c>
      <c r="L38" s="151">
        <v>0</v>
      </c>
      <c r="M38" s="128">
        <v>198.88</v>
      </c>
      <c r="N38" s="67">
        <v>535</v>
      </c>
      <c r="O38" s="67">
        <v>30650</v>
      </c>
      <c r="Q38" s="71"/>
      <c r="S38" s="163">
        <v>22082</v>
      </c>
      <c r="T38" s="163">
        <v>8568</v>
      </c>
      <c r="U38" s="43">
        <v>0.38800833257857076</v>
      </c>
      <c r="V38" s="61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252.63</v>
      </c>
      <c r="E39" s="67">
        <v>38254</v>
      </c>
      <c r="F39" s="146">
        <v>10000</v>
      </c>
      <c r="G39" s="92">
        <v>0</v>
      </c>
      <c r="H39" s="91">
        <v>48254</v>
      </c>
      <c r="I39" s="67">
        <v>0</v>
      </c>
      <c r="J39" s="20">
        <v>38254</v>
      </c>
      <c r="K39" s="132" t="s">
        <v>621</v>
      </c>
      <c r="L39" s="151">
        <v>0</v>
      </c>
      <c r="M39" s="128">
        <v>252.63</v>
      </c>
      <c r="N39" s="67">
        <v>680</v>
      </c>
      <c r="O39" s="67">
        <v>38934</v>
      </c>
      <c r="Q39" s="71"/>
      <c r="S39" s="163">
        <v>27447</v>
      </c>
      <c r="T39" s="163">
        <v>11487</v>
      </c>
      <c r="U39" s="43">
        <v>0.4185156847742923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68.75</v>
      </c>
      <c r="E40" s="67">
        <v>10410</v>
      </c>
      <c r="F40" s="146">
        <v>0</v>
      </c>
      <c r="G40" s="92">
        <v>0</v>
      </c>
      <c r="H40" s="91">
        <v>10410</v>
      </c>
      <c r="I40" s="67">
        <v>0</v>
      </c>
      <c r="J40" s="20">
        <v>10410</v>
      </c>
      <c r="K40" s="132" t="s">
        <v>621</v>
      </c>
      <c r="L40" s="151">
        <v>0</v>
      </c>
      <c r="M40" s="128">
        <v>68.75</v>
      </c>
      <c r="N40" s="67">
        <v>185</v>
      </c>
      <c r="O40" s="67">
        <v>10595</v>
      </c>
      <c r="Q40" s="71"/>
      <c r="S40" s="163">
        <v>0</v>
      </c>
      <c r="T40" s="163">
        <v>10595</v>
      </c>
      <c r="U40" s="43">
        <v>0</v>
      </c>
      <c r="V40" s="61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68.25</v>
      </c>
      <c r="E41" s="67">
        <v>10335</v>
      </c>
      <c r="F41" s="146">
        <v>0</v>
      </c>
      <c r="G41" s="92">
        <v>1200</v>
      </c>
      <c r="H41" s="91">
        <v>11535</v>
      </c>
      <c r="I41" s="67">
        <v>0</v>
      </c>
      <c r="J41" s="20">
        <v>10335</v>
      </c>
      <c r="K41" s="132" t="s">
        <v>644</v>
      </c>
      <c r="L41" s="151">
        <v>10335</v>
      </c>
      <c r="M41" s="128">
        <v>0</v>
      </c>
      <c r="N41" s="67">
        <v>0</v>
      </c>
      <c r="O41" s="67">
        <v>0</v>
      </c>
      <c r="Q41" s="71"/>
      <c r="S41" s="163">
        <v>0</v>
      </c>
      <c r="T41" s="163">
        <v>0</v>
      </c>
      <c r="U41" s="4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4.5</v>
      </c>
      <c r="E42" s="67">
        <v>681</v>
      </c>
      <c r="F42" s="146">
        <v>0</v>
      </c>
      <c r="G42" s="92">
        <v>0</v>
      </c>
      <c r="H42" s="91">
        <v>681</v>
      </c>
      <c r="I42" s="67">
        <v>0</v>
      </c>
      <c r="J42" s="20">
        <v>681</v>
      </c>
      <c r="K42" s="132" t="s">
        <v>644</v>
      </c>
      <c r="L42" s="151">
        <v>681</v>
      </c>
      <c r="M42" s="128">
        <v>0</v>
      </c>
      <c r="N42" s="67">
        <v>0</v>
      </c>
      <c r="O42" s="67">
        <v>0</v>
      </c>
      <c r="Q42" s="71"/>
      <c r="S42" s="163">
        <v>0</v>
      </c>
      <c r="T42" s="163">
        <v>0</v>
      </c>
      <c r="U42" s="43">
        <v>0</v>
      </c>
      <c r="V42" s="61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5.25</v>
      </c>
      <c r="E43" s="67">
        <v>795</v>
      </c>
      <c r="F43" s="146">
        <v>0</v>
      </c>
      <c r="G43" s="92">
        <v>0</v>
      </c>
      <c r="H43" s="91">
        <v>795</v>
      </c>
      <c r="I43" s="67">
        <v>0</v>
      </c>
      <c r="J43" s="20">
        <v>795</v>
      </c>
      <c r="K43" s="132" t="s">
        <v>644</v>
      </c>
      <c r="L43" s="151">
        <v>795</v>
      </c>
      <c r="M43" s="128">
        <v>0</v>
      </c>
      <c r="N43" s="67">
        <v>0</v>
      </c>
      <c r="O43" s="67">
        <v>0</v>
      </c>
      <c r="Q43" s="71"/>
      <c r="S43" s="163">
        <v>0</v>
      </c>
      <c r="T43" s="163">
        <v>0</v>
      </c>
      <c r="U43" s="43">
        <v>0</v>
      </c>
      <c r="V43" s="61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27.75</v>
      </c>
      <c r="E44" s="67">
        <v>4202</v>
      </c>
      <c r="F44" s="146">
        <v>0</v>
      </c>
      <c r="G44" s="92">
        <v>0</v>
      </c>
      <c r="H44" s="91">
        <v>4202</v>
      </c>
      <c r="I44" s="67">
        <v>0</v>
      </c>
      <c r="J44" s="20">
        <v>4202</v>
      </c>
      <c r="K44" s="132" t="s">
        <v>621</v>
      </c>
      <c r="L44" s="151">
        <v>0</v>
      </c>
      <c r="M44" s="128">
        <v>27.75</v>
      </c>
      <c r="N44" s="67">
        <v>75</v>
      </c>
      <c r="O44" s="67">
        <v>4277</v>
      </c>
      <c r="Q44" s="71"/>
      <c r="S44" s="163">
        <v>2562</v>
      </c>
      <c r="T44" s="163">
        <v>1715</v>
      </c>
      <c r="U44" s="43">
        <v>0.6693989071038251</v>
      </c>
      <c r="V44" s="61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10.25</v>
      </c>
      <c r="E45" s="67">
        <v>1552</v>
      </c>
      <c r="F45" s="146">
        <v>0</v>
      </c>
      <c r="G45" s="92">
        <v>0</v>
      </c>
      <c r="H45" s="91">
        <v>1552</v>
      </c>
      <c r="I45" s="67">
        <v>0</v>
      </c>
      <c r="J45" s="20">
        <v>1552</v>
      </c>
      <c r="K45" s="132" t="s">
        <v>621</v>
      </c>
      <c r="L45" s="151">
        <v>0</v>
      </c>
      <c r="M45" s="128">
        <v>10.25</v>
      </c>
      <c r="N45" s="67">
        <v>28</v>
      </c>
      <c r="O45" s="67">
        <v>1580</v>
      </c>
      <c r="Q45" s="71"/>
      <c r="S45" s="163">
        <v>1333</v>
      </c>
      <c r="T45" s="163">
        <v>247</v>
      </c>
      <c r="U45" s="43">
        <v>0.18529632408102026</v>
      </c>
      <c r="V45" s="61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1059.75</v>
      </c>
      <c r="E46" s="67">
        <v>160469</v>
      </c>
      <c r="F46" s="146">
        <v>0</v>
      </c>
      <c r="G46" s="92">
        <v>0</v>
      </c>
      <c r="H46" s="91">
        <v>160469</v>
      </c>
      <c r="I46" s="67">
        <v>0</v>
      </c>
      <c r="J46" s="20">
        <v>160469</v>
      </c>
      <c r="K46" s="132" t="s">
        <v>621</v>
      </c>
      <c r="L46" s="151">
        <v>0</v>
      </c>
      <c r="M46" s="128">
        <v>1059.75</v>
      </c>
      <c r="N46" s="67">
        <v>2852</v>
      </c>
      <c r="O46" s="67">
        <v>163321</v>
      </c>
      <c r="Q46" s="71"/>
      <c r="S46" s="163">
        <v>122306</v>
      </c>
      <c r="T46" s="163">
        <v>41015</v>
      </c>
      <c r="U46" s="43">
        <v>0.33534740732261703</v>
      </c>
      <c r="V46" s="61"/>
      <c r="AC46" s="36"/>
      <c r="AD46" s="36"/>
      <c r="AE46" s="36"/>
      <c r="AF46" s="19"/>
    </row>
    <row r="47" spans="1:32">
      <c r="A47" s="64" t="s">
        <v>597</v>
      </c>
      <c r="B47" s="65" t="s">
        <v>668</v>
      </c>
      <c r="C47" s="63" t="s">
        <v>669</v>
      </c>
      <c r="D47" s="134">
        <v>0</v>
      </c>
      <c r="E47" s="67">
        <v>0</v>
      </c>
      <c r="F47" s="146">
        <v>0</v>
      </c>
      <c r="G47" s="92">
        <v>0</v>
      </c>
      <c r="H47" s="91">
        <v>0</v>
      </c>
      <c r="I47" s="67">
        <v>0</v>
      </c>
      <c r="J47" s="20">
        <v>0</v>
      </c>
      <c r="K47" s="132" t="s">
        <v>644</v>
      </c>
      <c r="L47" s="151">
        <v>0</v>
      </c>
      <c r="M47" s="128">
        <v>0</v>
      </c>
      <c r="N47" s="67">
        <v>0</v>
      </c>
      <c r="O47" s="67">
        <v>0</v>
      </c>
      <c r="Q47" s="71"/>
      <c r="S47" s="163">
        <v>0</v>
      </c>
      <c r="T47" s="163">
        <v>0</v>
      </c>
      <c r="U47" s="43">
        <v>0</v>
      </c>
      <c r="V47" s="61"/>
      <c r="AC47" s="36"/>
      <c r="AD47" s="36"/>
      <c r="AE47" s="36"/>
      <c r="AF47" s="19"/>
    </row>
    <row r="48" spans="1:32">
      <c r="A48" s="64" t="s">
        <v>603</v>
      </c>
      <c r="B48" s="63" t="s">
        <v>525</v>
      </c>
      <c r="C48" s="63" t="s">
        <v>526</v>
      </c>
      <c r="D48" s="134">
        <v>0</v>
      </c>
      <c r="E48" s="67">
        <v>0</v>
      </c>
      <c r="F48" s="146">
        <v>0</v>
      </c>
      <c r="G48" s="92">
        <v>0</v>
      </c>
      <c r="H48" s="91">
        <v>0</v>
      </c>
      <c r="I48" s="67">
        <v>0</v>
      </c>
      <c r="J48" s="20">
        <v>0</v>
      </c>
      <c r="K48" s="132" t="s">
        <v>644</v>
      </c>
      <c r="L48" s="151">
        <v>0</v>
      </c>
      <c r="M48" s="128">
        <v>0</v>
      </c>
      <c r="N48" s="67">
        <v>0</v>
      </c>
      <c r="O48" s="67">
        <v>0</v>
      </c>
      <c r="Q48" s="71"/>
      <c r="S48" s="163">
        <v>0</v>
      </c>
      <c r="T48" s="163">
        <v>0</v>
      </c>
      <c r="U48" s="43">
        <v>0</v>
      </c>
      <c r="V48" s="61"/>
      <c r="AC48" s="36"/>
      <c r="AD48" s="36"/>
      <c r="AE48" s="36"/>
      <c r="AF48" s="19"/>
    </row>
    <row r="49" spans="1:32">
      <c r="A49" s="64" t="s">
        <v>596</v>
      </c>
      <c r="B49" s="63" t="s">
        <v>494</v>
      </c>
      <c r="C49" s="63" t="s">
        <v>495</v>
      </c>
      <c r="D49" s="134">
        <v>141.63</v>
      </c>
      <c r="E49" s="67">
        <v>21446</v>
      </c>
      <c r="F49" s="146">
        <v>0</v>
      </c>
      <c r="G49" s="92">
        <v>0</v>
      </c>
      <c r="H49" s="91">
        <v>21446</v>
      </c>
      <c r="I49" s="67">
        <v>0</v>
      </c>
      <c r="J49" s="20">
        <v>21446</v>
      </c>
      <c r="K49" s="132" t="s">
        <v>621</v>
      </c>
      <c r="L49" s="151">
        <v>0</v>
      </c>
      <c r="M49" s="128">
        <v>141.63</v>
      </c>
      <c r="N49" s="67">
        <v>381</v>
      </c>
      <c r="O49" s="67">
        <v>21827</v>
      </c>
      <c r="Q49" s="71"/>
      <c r="S49" s="163">
        <v>19945</v>
      </c>
      <c r="T49" s="163">
        <v>1882</v>
      </c>
      <c r="U49" s="43">
        <v>9.4359488593632496E-2</v>
      </c>
      <c r="V49" s="61"/>
      <c r="AC49" s="36"/>
      <c r="AD49" s="36"/>
      <c r="AE49" s="36"/>
      <c r="AF49" s="19"/>
    </row>
    <row r="50" spans="1:32">
      <c r="A50" s="64" t="s">
        <v>603</v>
      </c>
      <c r="B50" s="63" t="s">
        <v>533</v>
      </c>
      <c r="C50" s="63" t="s">
        <v>534</v>
      </c>
      <c r="D50" s="134">
        <v>0</v>
      </c>
      <c r="E50" s="67">
        <v>0</v>
      </c>
      <c r="F50" s="146">
        <v>0</v>
      </c>
      <c r="G50" s="92">
        <v>0</v>
      </c>
      <c r="H50" s="91">
        <v>0</v>
      </c>
      <c r="I50" s="67">
        <v>0</v>
      </c>
      <c r="J50" s="20">
        <v>0</v>
      </c>
      <c r="K50" s="132" t="s">
        <v>644</v>
      </c>
      <c r="L50" s="151">
        <v>0</v>
      </c>
      <c r="M50" s="128">
        <v>0</v>
      </c>
      <c r="N50" s="67">
        <v>0</v>
      </c>
      <c r="O50" s="67">
        <v>0</v>
      </c>
      <c r="Q50" s="71"/>
      <c r="S50" s="163">
        <v>0</v>
      </c>
      <c r="T50" s="163">
        <v>0</v>
      </c>
      <c r="U50" s="43">
        <v>0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464</v>
      </c>
      <c r="C51" s="63" t="s">
        <v>465</v>
      </c>
      <c r="D51" s="134">
        <v>0</v>
      </c>
      <c r="E51" s="67">
        <v>0</v>
      </c>
      <c r="F51" s="146">
        <v>0</v>
      </c>
      <c r="G51" s="92">
        <v>0</v>
      </c>
      <c r="H51" s="91">
        <v>0</v>
      </c>
      <c r="I51" s="67">
        <v>0</v>
      </c>
      <c r="J51" s="20">
        <v>0</v>
      </c>
      <c r="K51" s="132" t="s">
        <v>644</v>
      </c>
      <c r="L51" s="151">
        <v>0</v>
      </c>
      <c r="M51" s="128">
        <v>0</v>
      </c>
      <c r="N51" s="67">
        <v>0</v>
      </c>
      <c r="O51" s="67">
        <v>0</v>
      </c>
      <c r="Q51" s="71"/>
      <c r="S51" s="163">
        <v>0</v>
      </c>
      <c r="T51" s="163">
        <v>0</v>
      </c>
      <c r="U51" s="43">
        <v>0</v>
      </c>
      <c r="V51" s="61"/>
      <c r="AC51" s="36"/>
      <c r="AD51" s="36"/>
      <c r="AE51" s="36"/>
      <c r="AF51" s="19"/>
    </row>
    <row r="52" spans="1:32">
      <c r="A52" s="64" t="s">
        <v>596</v>
      </c>
      <c r="B52" s="63" t="s">
        <v>498</v>
      </c>
      <c r="C52" s="63" t="s">
        <v>499</v>
      </c>
      <c r="D52" s="134">
        <v>82.5</v>
      </c>
      <c r="E52" s="67">
        <v>12492</v>
      </c>
      <c r="F52" s="146">
        <v>0</v>
      </c>
      <c r="G52" s="92">
        <v>0</v>
      </c>
      <c r="H52" s="91">
        <v>12492</v>
      </c>
      <c r="I52" s="67">
        <v>0</v>
      </c>
      <c r="J52" s="20">
        <v>12492</v>
      </c>
      <c r="K52" s="132" t="s">
        <v>621</v>
      </c>
      <c r="L52" s="151">
        <v>0</v>
      </c>
      <c r="M52" s="128">
        <v>82.5</v>
      </c>
      <c r="N52" s="67">
        <v>222</v>
      </c>
      <c r="O52" s="67">
        <v>12714</v>
      </c>
      <c r="Q52" s="71"/>
      <c r="S52" s="163">
        <v>9745</v>
      </c>
      <c r="T52" s="163">
        <v>2969</v>
      </c>
      <c r="U52" s="43">
        <v>0.3046690610569523</v>
      </c>
      <c r="V52" s="61"/>
      <c r="AC52" s="36"/>
      <c r="AD52" s="36"/>
      <c r="AE52" s="36"/>
      <c r="AF52" s="19"/>
    </row>
    <row r="53" spans="1:32">
      <c r="A53" s="64" t="s">
        <v>603</v>
      </c>
      <c r="B53" s="63" t="s">
        <v>456</v>
      </c>
      <c r="C53" s="63" t="s">
        <v>457</v>
      </c>
      <c r="D53" s="134">
        <v>48.13</v>
      </c>
      <c r="E53" s="67">
        <v>7288</v>
      </c>
      <c r="F53" s="146">
        <v>0</v>
      </c>
      <c r="G53" s="92">
        <v>0</v>
      </c>
      <c r="H53" s="91">
        <v>7288</v>
      </c>
      <c r="I53" s="67">
        <v>0</v>
      </c>
      <c r="J53" s="20">
        <v>7288</v>
      </c>
      <c r="K53" s="132" t="s">
        <v>644</v>
      </c>
      <c r="L53" s="151">
        <v>7288</v>
      </c>
      <c r="M53" s="128">
        <v>0</v>
      </c>
      <c r="N53" s="67">
        <v>0</v>
      </c>
      <c r="O53" s="67">
        <v>0</v>
      </c>
      <c r="Q53" s="71"/>
      <c r="S53" s="163">
        <v>0</v>
      </c>
      <c r="T53" s="163">
        <v>0</v>
      </c>
      <c r="U53" s="43">
        <v>0</v>
      </c>
      <c r="V53" s="61"/>
      <c r="AC53" s="36"/>
      <c r="AD53" s="36"/>
      <c r="AE53" s="36"/>
      <c r="AF53" s="19"/>
    </row>
    <row r="54" spans="1:32">
      <c r="A54" s="64" t="s">
        <v>595</v>
      </c>
      <c r="B54" s="63" t="s">
        <v>376</v>
      </c>
      <c r="C54" s="63" t="s">
        <v>377</v>
      </c>
      <c r="D54" s="134">
        <v>0</v>
      </c>
      <c r="E54" s="67">
        <v>0</v>
      </c>
      <c r="F54" s="146">
        <v>0</v>
      </c>
      <c r="G54" s="92">
        <v>0</v>
      </c>
      <c r="H54" s="91">
        <v>0</v>
      </c>
      <c r="I54" s="67">
        <v>0</v>
      </c>
      <c r="J54" s="20">
        <v>0</v>
      </c>
      <c r="K54" s="132" t="s">
        <v>644</v>
      </c>
      <c r="L54" s="151">
        <v>0</v>
      </c>
      <c r="M54" s="128">
        <v>0</v>
      </c>
      <c r="N54" s="67">
        <v>0</v>
      </c>
      <c r="O54" s="67">
        <v>0</v>
      </c>
      <c r="Q54" s="71"/>
      <c r="S54" s="163">
        <v>0</v>
      </c>
      <c r="T54" s="163">
        <v>0</v>
      </c>
      <c r="U54" s="4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384</v>
      </c>
      <c r="C55" s="63" t="s">
        <v>385</v>
      </c>
      <c r="D55" s="134">
        <v>19.75</v>
      </c>
      <c r="E55" s="67">
        <v>2991</v>
      </c>
      <c r="F55" s="146">
        <v>0</v>
      </c>
      <c r="G55" s="92">
        <v>0</v>
      </c>
      <c r="H55" s="91">
        <v>2991</v>
      </c>
      <c r="I55" s="67">
        <v>0</v>
      </c>
      <c r="J55" s="20">
        <v>2991</v>
      </c>
      <c r="K55" s="132" t="s">
        <v>644</v>
      </c>
      <c r="L55" s="151">
        <v>2991</v>
      </c>
      <c r="M55" s="128">
        <v>0</v>
      </c>
      <c r="N55" s="67">
        <v>0</v>
      </c>
      <c r="O55" s="67">
        <v>0</v>
      </c>
      <c r="Q55" s="71"/>
      <c r="S55" s="163">
        <v>0</v>
      </c>
      <c r="T55" s="163">
        <v>0</v>
      </c>
      <c r="U55" s="43">
        <v>0</v>
      </c>
      <c r="V55" s="61"/>
      <c r="AC55" s="36"/>
      <c r="AD55" s="36"/>
      <c r="AE55" s="36"/>
      <c r="AF55" s="19"/>
    </row>
    <row r="56" spans="1:32">
      <c r="A56" s="64" t="s">
        <v>594</v>
      </c>
      <c r="B56" s="63" t="s">
        <v>147</v>
      </c>
      <c r="C56" s="63" t="s">
        <v>148</v>
      </c>
      <c r="D56" s="134">
        <v>0</v>
      </c>
      <c r="E56" s="67">
        <v>0</v>
      </c>
      <c r="F56" s="146">
        <v>0</v>
      </c>
      <c r="G56" s="92">
        <v>0</v>
      </c>
      <c r="H56" s="91">
        <v>0</v>
      </c>
      <c r="I56" s="67">
        <v>0</v>
      </c>
      <c r="J56" s="20">
        <v>0</v>
      </c>
      <c r="K56" s="132" t="s">
        <v>644</v>
      </c>
      <c r="L56" s="151">
        <v>0</v>
      </c>
      <c r="M56" s="128">
        <v>0</v>
      </c>
      <c r="N56" s="67">
        <v>0</v>
      </c>
      <c r="O56" s="67">
        <v>0</v>
      </c>
      <c r="Q56" s="71"/>
      <c r="S56" s="163">
        <v>0</v>
      </c>
      <c r="T56" s="163">
        <v>0</v>
      </c>
      <c r="U56" s="43">
        <v>0</v>
      </c>
      <c r="V56" s="61"/>
      <c r="AC56" s="36"/>
      <c r="AD56" s="36"/>
      <c r="AE56" s="36"/>
      <c r="AF56" s="19"/>
    </row>
    <row r="57" spans="1:32">
      <c r="A57" s="64" t="s">
        <v>601</v>
      </c>
      <c r="B57" s="63" t="s">
        <v>120</v>
      </c>
      <c r="C57" s="63" t="s">
        <v>654</v>
      </c>
      <c r="D57" s="134">
        <v>0</v>
      </c>
      <c r="E57" s="67">
        <v>0</v>
      </c>
      <c r="F57" s="146">
        <v>0</v>
      </c>
      <c r="G57" s="92">
        <v>0</v>
      </c>
      <c r="H57" s="91">
        <v>0</v>
      </c>
      <c r="I57" s="67">
        <v>0</v>
      </c>
      <c r="J57" s="20">
        <v>0</v>
      </c>
      <c r="K57" s="132" t="s">
        <v>644</v>
      </c>
      <c r="L57" s="151">
        <v>0</v>
      </c>
      <c r="M57" s="128">
        <v>0</v>
      </c>
      <c r="N57" s="67">
        <v>0</v>
      </c>
      <c r="O57" s="67">
        <v>0</v>
      </c>
      <c r="Q57" s="71"/>
      <c r="S57" s="163">
        <v>0</v>
      </c>
      <c r="T57" s="163">
        <v>0</v>
      </c>
      <c r="U57" s="43">
        <v>0</v>
      </c>
      <c r="V57" s="61"/>
      <c r="AC57" s="36"/>
      <c r="AD57" s="36"/>
      <c r="AE57" s="36"/>
      <c r="AF57" s="19"/>
    </row>
    <row r="58" spans="1:32">
      <c r="A58" s="64" t="s">
        <v>595</v>
      </c>
      <c r="B58" s="63" t="s">
        <v>159</v>
      </c>
      <c r="C58" s="63" t="s">
        <v>160</v>
      </c>
      <c r="D58" s="134">
        <v>25.75</v>
      </c>
      <c r="E58" s="67">
        <v>3899</v>
      </c>
      <c r="F58" s="146">
        <v>0</v>
      </c>
      <c r="G58" s="92">
        <v>0</v>
      </c>
      <c r="H58" s="91">
        <v>3899</v>
      </c>
      <c r="I58" s="67">
        <v>0</v>
      </c>
      <c r="J58" s="20">
        <v>3899</v>
      </c>
      <c r="K58" s="132" t="s">
        <v>644</v>
      </c>
      <c r="L58" s="151">
        <v>3899</v>
      </c>
      <c r="M58" s="128">
        <v>0</v>
      </c>
      <c r="N58" s="67">
        <v>0</v>
      </c>
      <c r="O58" s="67">
        <v>0</v>
      </c>
      <c r="Q58" s="71"/>
      <c r="S58" s="163">
        <v>0</v>
      </c>
      <c r="T58" s="163">
        <v>0</v>
      </c>
      <c r="U58" s="43">
        <v>0</v>
      </c>
      <c r="V58" s="61"/>
      <c r="AC58" s="36"/>
      <c r="AD58" s="36"/>
      <c r="AE58" s="36"/>
      <c r="AF58" s="19"/>
    </row>
    <row r="59" spans="1:32">
      <c r="A59" s="64" t="s">
        <v>600</v>
      </c>
      <c r="B59" s="63" t="s">
        <v>41</v>
      </c>
      <c r="C59" s="63" t="s">
        <v>42</v>
      </c>
      <c r="D59" s="134">
        <v>0</v>
      </c>
      <c r="E59" s="67">
        <v>0</v>
      </c>
      <c r="F59" s="146">
        <v>0</v>
      </c>
      <c r="G59" s="92">
        <v>0</v>
      </c>
      <c r="H59" s="91">
        <v>0</v>
      </c>
      <c r="I59" s="67">
        <v>0</v>
      </c>
      <c r="J59" s="20">
        <v>0</v>
      </c>
      <c r="K59" s="132" t="s">
        <v>644</v>
      </c>
      <c r="L59" s="151">
        <v>0</v>
      </c>
      <c r="M59" s="128">
        <v>0</v>
      </c>
      <c r="N59" s="67">
        <v>0</v>
      </c>
      <c r="O59" s="67">
        <v>0</v>
      </c>
      <c r="Q59" s="71"/>
      <c r="S59" s="163">
        <v>0</v>
      </c>
      <c r="T59" s="163">
        <v>0</v>
      </c>
      <c r="U59" s="43">
        <v>0</v>
      </c>
      <c r="V59" s="61"/>
      <c r="AC59" s="36"/>
      <c r="AD59" s="36"/>
      <c r="AE59" s="36"/>
      <c r="AF59" s="19"/>
    </row>
    <row r="60" spans="1:32">
      <c r="A60" s="64" t="s">
        <v>603</v>
      </c>
      <c r="B60" s="63" t="s">
        <v>285</v>
      </c>
      <c r="C60" s="63" t="s">
        <v>286</v>
      </c>
      <c r="D60" s="134">
        <v>0</v>
      </c>
      <c r="E60" s="67">
        <v>0</v>
      </c>
      <c r="F60" s="146">
        <v>0</v>
      </c>
      <c r="G60" s="92">
        <v>0</v>
      </c>
      <c r="H60" s="91">
        <v>0</v>
      </c>
      <c r="I60" s="67">
        <v>0</v>
      </c>
      <c r="J60" s="20">
        <v>0</v>
      </c>
      <c r="K60" s="132" t="s">
        <v>644</v>
      </c>
      <c r="L60" s="151">
        <v>0</v>
      </c>
      <c r="M60" s="128">
        <v>0</v>
      </c>
      <c r="N60" s="67">
        <v>0</v>
      </c>
      <c r="O60" s="67">
        <v>0</v>
      </c>
      <c r="Q60" s="71"/>
      <c r="S60" s="163">
        <v>0</v>
      </c>
      <c r="T60" s="163">
        <v>0</v>
      </c>
      <c r="U60" s="4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96</v>
      </c>
      <c r="C61" s="63" t="s">
        <v>97</v>
      </c>
      <c r="D61" s="134">
        <v>0</v>
      </c>
      <c r="E61" s="67">
        <v>0</v>
      </c>
      <c r="F61" s="146">
        <v>0</v>
      </c>
      <c r="G61" s="92">
        <v>0</v>
      </c>
      <c r="H61" s="91">
        <v>0</v>
      </c>
      <c r="I61" s="67">
        <v>0</v>
      </c>
      <c r="J61" s="20">
        <v>0</v>
      </c>
      <c r="K61" s="132" t="s">
        <v>644</v>
      </c>
      <c r="L61" s="151">
        <v>0</v>
      </c>
      <c r="M61" s="128">
        <v>0</v>
      </c>
      <c r="N61" s="67">
        <v>0</v>
      </c>
      <c r="O61" s="67">
        <v>0</v>
      </c>
      <c r="Q61" s="71"/>
      <c r="S61" s="163">
        <v>0</v>
      </c>
      <c r="T61" s="163">
        <v>0</v>
      </c>
      <c r="U61" s="4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338</v>
      </c>
      <c r="C62" s="63" t="s">
        <v>339</v>
      </c>
      <c r="D62" s="134">
        <v>2</v>
      </c>
      <c r="E62" s="67">
        <v>303</v>
      </c>
      <c r="F62" s="146">
        <v>0</v>
      </c>
      <c r="G62" s="92">
        <v>0</v>
      </c>
      <c r="H62" s="91">
        <v>303</v>
      </c>
      <c r="I62" s="67">
        <v>0</v>
      </c>
      <c r="J62" s="20">
        <v>303</v>
      </c>
      <c r="K62" s="132" t="s">
        <v>644</v>
      </c>
      <c r="L62" s="151">
        <v>303</v>
      </c>
      <c r="M62" s="128">
        <v>0</v>
      </c>
      <c r="N62" s="67">
        <v>0</v>
      </c>
      <c r="O62" s="67">
        <v>0</v>
      </c>
      <c r="Q62" s="71"/>
      <c r="S62" s="163">
        <v>0</v>
      </c>
      <c r="T62" s="163">
        <v>0</v>
      </c>
      <c r="U62" s="43">
        <v>0</v>
      </c>
      <c r="V62" s="61"/>
      <c r="AC62" s="36"/>
      <c r="AD62" s="36"/>
      <c r="AE62" s="36"/>
      <c r="AF62" s="19"/>
    </row>
    <row r="63" spans="1:32">
      <c r="A63" s="64" t="s">
        <v>605</v>
      </c>
      <c r="B63" s="63" t="s">
        <v>220</v>
      </c>
      <c r="C63" s="63" t="s">
        <v>221</v>
      </c>
      <c r="D63" s="134">
        <v>0</v>
      </c>
      <c r="E63" s="67">
        <v>0</v>
      </c>
      <c r="F63" s="146">
        <v>0</v>
      </c>
      <c r="G63" s="92">
        <v>0</v>
      </c>
      <c r="H63" s="91">
        <v>0</v>
      </c>
      <c r="I63" s="67">
        <v>0</v>
      </c>
      <c r="J63" s="20">
        <v>0</v>
      </c>
      <c r="K63" s="132" t="s">
        <v>644</v>
      </c>
      <c r="L63" s="151">
        <v>0</v>
      </c>
      <c r="M63" s="128">
        <v>0</v>
      </c>
      <c r="N63" s="67">
        <v>0</v>
      </c>
      <c r="O63" s="67">
        <v>0</v>
      </c>
      <c r="Q63" s="71"/>
      <c r="S63" s="163">
        <v>0</v>
      </c>
      <c r="T63" s="163">
        <v>0</v>
      </c>
      <c r="U63" s="43">
        <v>0</v>
      </c>
      <c r="V63" s="61"/>
      <c r="AC63" s="36"/>
      <c r="AD63" s="36"/>
      <c r="AE63" s="36"/>
      <c r="AF63" s="19"/>
    </row>
    <row r="64" spans="1:32">
      <c r="A64" s="64" t="s">
        <v>595</v>
      </c>
      <c r="B64" s="63" t="s">
        <v>417</v>
      </c>
      <c r="C64" s="63" t="s">
        <v>418</v>
      </c>
      <c r="D64" s="134">
        <v>0</v>
      </c>
      <c r="E64" s="67">
        <v>0</v>
      </c>
      <c r="F64" s="146">
        <v>0</v>
      </c>
      <c r="G64" s="92">
        <v>0</v>
      </c>
      <c r="H64" s="91">
        <v>0</v>
      </c>
      <c r="I64" s="67">
        <v>0</v>
      </c>
      <c r="J64" s="20">
        <v>0</v>
      </c>
      <c r="K64" s="132" t="s">
        <v>644</v>
      </c>
      <c r="L64" s="151">
        <v>0</v>
      </c>
      <c r="M64" s="128">
        <v>0</v>
      </c>
      <c r="N64" s="67">
        <v>0</v>
      </c>
      <c r="O64" s="67">
        <v>0</v>
      </c>
      <c r="Q64" s="71"/>
      <c r="S64" s="163">
        <v>0</v>
      </c>
      <c r="T64" s="163">
        <v>0</v>
      </c>
      <c r="U64" s="43">
        <v>0</v>
      </c>
      <c r="V64" s="61"/>
      <c r="AC64" s="36"/>
      <c r="AD64" s="36"/>
      <c r="AE64" s="36"/>
      <c r="AF64" s="19"/>
    </row>
    <row r="65" spans="1:32">
      <c r="A65" s="64" t="s">
        <v>603</v>
      </c>
      <c r="B65" s="63" t="s">
        <v>293</v>
      </c>
      <c r="C65" s="63" t="s">
        <v>294</v>
      </c>
      <c r="D65" s="134">
        <v>0</v>
      </c>
      <c r="E65" s="67">
        <v>0</v>
      </c>
      <c r="F65" s="146">
        <v>0</v>
      </c>
      <c r="G65" s="92">
        <v>0</v>
      </c>
      <c r="H65" s="91">
        <v>0</v>
      </c>
      <c r="I65" s="67">
        <v>0</v>
      </c>
      <c r="J65" s="20">
        <v>0</v>
      </c>
      <c r="K65" s="132" t="s">
        <v>644</v>
      </c>
      <c r="L65" s="151">
        <v>0</v>
      </c>
      <c r="M65" s="128">
        <v>0</v>
      </c>
      <c r="N65" s="67">
        <v>0</v>
      </c>
      <c r="O65" s="67">
        <v>0</v>
      </c>
      <c r="Q65" s="71"/>
      <c r="S65" s="163">
        <v>0</v>
      </c>
      <c r="T65" s="163">
        <v>0</v>
      </c>
      <c r="U65" s="43">
        <v>0</v>
      </c>
      <c r="V65" s="61"/>
      <c r="AC65" s="36"/>
      <c r="AD65" s="36"/>
      <c r="AE65" s="36"/>
      <c r="AF65" s="19"/>
    </row>
    <row r="66" spans="1:32">
      <c r="A66" s="64" t="s">
        <v>596</v>
      </c>
      <c r="B66" s="63" t="s">
        <v>66</v>
      </c>
      <c r="C66" s="63" t="s">
        <v>67</v>
      </c>
      <c r="D66" s="134">
        <v>4.25</v>
      </c>
      <c r="E66" s="67">
        <v>644</v>
      </c>
      <c r="F66" s="146">
        <v>0</v>
      </c>
      <c r="G66" s="92">
        <v>0</v>
      </c>
      <c r="H66" s="91">
        <v>644</v>
      </c>
      <c r="I66" s="67">
        <v>0</v>
      </c>
      <c r="J66" s="20">
        <v>644</v>
      </c>
      <c r="K66" s="132" t="s">
        <v>621</v>
      </c>
      <c r="L66" s="151">
        <v>0</v>
      </c>
      <c r="M66" s="128">
        <v>4.25</v>
      </c>
      <c r="N66" s="67">
        <v>11</v>
      </c>
      <c r="O66" s="67">
        <v>655</v>
      </c>
      <c r="Q66" s="71"/>
      <c r="S66" s="163">
        <v>1198</v>
      </c>
      <c r="T66" s="163">
        <v>-543</v>
      </c>
      <c r="U66" s="43">
        <v>-0.45325542570951588</v>
      </c>
      <c r="V66" s="61"/>
      <c r="AC66" s="36"/>
      <c r="AD66" s="36"/>
      <c r="AE66" s="36"/>
      <c r="AF66" s="19"/>
    </row>
    <row r="67" spans="1:32">
      <c r="A67" s="64" t="s">
        <v>603</v>
      </c>
      <c r="B67" s="63" t="s">
        <v>444</v>
      </c>
      <c r="C67" s="63" t="s">
        <v>445</v>
      </c>
      <c r="D67" s="134">
        <v>5</v>
      </c>
      <c r="E67" s="67">
        <v>757</v>
      </c>
      <c r="F67" s="146">
        <v>0</v>
      </c>
      <c r="G67" s="92">
        <v>0</v>
      </c>
      <c r="H67" s="91">
        <v>757</v>
      </c>
      <c r="I67" s="67">
        <v>0</v>
      </c>
      <c r="J67" s="20">
        <v>757</v>
      </c>
      <c r="K67" s="132" t="s">
        <v>644</v>
      </c>
      <c r="L67" s="151">
        <v>757</v>
      </c>
      <c r="M67" s="128">
        <v>0</v>
      </c>
      <c r="N67" s="67">
        <v>0</v>
      </c>
      <c r="O67" s="67">
        <v>0</v>
      </c>
      <c r="Q67" s="71"/>
      <c r="S67" s="163">
        <v>0</v>
      </c>
      <c r="T67" s="163">
        <v>0</v>
      </c>
      <c r="U67" s="43">
        <v>0</v>
      </c>
      <c r="V67" s="61"/>
      <c r="AC67" s="36"/>
      <c r="AD67" s="36"/>
      <c r="AE67" s="36"/>
      <c r="AF67" s="19"/>
    </row>
    <row r="68" spans="1:32">
      <c r="A68" s="64" t="s">
        <v>597</v>
      </c>
      <c r="B68" s="63" t="s">
        <v>353</v>
      </c>
      <c r="C68" s="63" t="s">
        <v>354</v>
      </c>
      <c r="D68" s="134">
        <v>0</v>
      </c>
      <c r="E68" s="67">
        <v>0</v>
      </c>
      <c r="F68" s="146">
        <v>0</v>
      </c>
      <c r="G68" s="92">
        <v>0</v>
      </c>
      <c r="H68" s="91">
        <v>0</v>
      </c>
      <c r="I68" s="67">
        <v>0</v>
      </c>
      <c r="J68" s="20">
        <v>0</v>
      </c>
      <c r="K68" s="132" t="s">
        <v>644</v>
      </c>
      <c r="L68" s="151">
        <v>0</v>
      </c>
      <c r="M68" s="128">
        <v>0</v>
      </c>
      <c r="N68" s="67">
        <v>0</v>
      </c>
      <c r="O68" s="67">
        <v>0</v>
      </c>
      <c r="Q68" s="71"/>
      <c r="S68" s="163">
        <v>0</v>
      </c>
      <c r="T68" s="163">
        <v>0</v>
      </c>
      <c r="U68" s="43">
        <v>0</v>
      </c>
      <c r="V68" s="61"/>
      <c r="AC68" s="36"/>
      <c r="AD68" s="36"/>
      <c r="AE68" s="36"/>
      <c r="AF68" s="19"/>
    </row>
    <row r="69" spans="1:32">
      <c r="A69" s="64" t="s">
        <v>596</v>
      </c>
      <c r="B69" s="63" t="s">
        <v>490</v>
      </c>
      <c r="C69" s="63" t="s">
        <v>491</v>
      </c>
      <c r="D69" s="134">
        <v>1.75</v>
      </c>
      <c r="E69" s="67">
        <v>265</v>
      </c>
      <c r="F69" s="146">
        <v>0</v>
      </c>
      <c r="G69" s="92">
        <v>0</v>
      </c>
      <c r="H69" s="91">
        <v>265</v>
      </c>
      <c r="I69" s="67">
        <v>0</v>
      </c>
      <c r="J69" s="20">
        <v>265</v>
      </c>
      <c r="K69" s="132" t="s">
        <v>644</v>
      </c>
      <c r="L69" s="151">
        <v>265</v>
      </c>
      <c r="M69" s="128">
        <v>0</v>
      </c>
      <c r="N69" s="67">
        <v>0</v>
      </c>
      <c r="O69" s="67">
        <v>0</v>
      </c>
      <c r="Q69" s="71"/>
      <c r="S69" s="163">
        <v>0</v>
      </c>
      <c r="T69" s="163">
        <v>0</v>
      </c>
      <c r="U69" s="43">
        <v>0</v>
      </c>
      <c r="V69" s="61"/>
      <c r="AC69" s="36"/>
      <c r="AD69" s="36"/>
      <c r="AE69" s="36"/>
      <c r="AF69" s="19"/>
    </row>
    <row r="70" spans="1:32">
      <c r="A70" s="64" t="s">
        <v>603</v>
      </c>
      <c r="B70" s="63" t="s">
        <v>440</v>
      </c>
      <c r="C70" s="63" t="s">
        <v>674</v>
      </c>
      <c r="D70" s="134">
        <v>124.25</v>
      </c>
      <c r="E70" s="67">
        <v>18814</v>
      </c>
      <c r="F70" s="146">
        <v>10000</v>
      </c>
      <c r="G70" s="92">
        <v>0</v>
      </c>
      <c r="H70" s="91">
        <v>28814</v>
      </c>
      <c r="I70" s="67">
        <v>0</v>
      </c>
      <c r="J70" s="20">
        <v>18814</v>
      </c>
      <c r="K70" s="132" t="s">
        <v>621</v>
      </c>
      <c r="L70" s="151">
        <v>0</v>
      </c>
      <c r="M70" s="128">
        <v>124.25</v>
      </c>
      <c r="N70" s="67">
        <v>334</v>
      </c>
      <c r="O70" s="67">
        <v>19148</v>
      </c>
      <c r="Q70" s="71"/>
      <c r="S70" s="163">
        <v>0</v>
      </c>
      <c r="T70" s="163">
        <v>19148</v>
      </c>
      <c r="U70" s="43">
        <v>0</v>
      </c>
      <c r="V70" s="61"/>
      <c r="AC70" s="36"/>
      <c r="AD70" s="36"/>
      <c r="AE70" s="36"/>
      <c r="AF70" s="19"/>
    </row>
    <row r="71" spans="1:32">
      <c r="A71" s="64" t="s">
        <v>605</v>
      </c>
      <c r="B71" s="63" t="s">
        <v>549</v>
      </c>
      <c r="C71" s="63" t="s">
        <v>550</v>
      </c>
      <c r="D71" s="134">
        <v>197</v>
      </c>
      <c r="E71" s="67">
        <v>29830</v>
      </c>
      <c r="F71" s="146">
        <v>0</v>
      </c>
      <c r="G71" s="92">
        <v>0</v>
      </c>
      <c r="H71" s="91">
        <v>29830</v>
      </c>
      <c r="I71" s="67">
        <v>0</v>
      </c>
      <c r="J71" s="20">
        <v>29830</v>
      </c>
      <c r="K71" s="132" t="s">
        <v>621</v>
      </c>
      <c r="L71" s="151">
        <v>0</v>
      </c>
      <c r="M71" s="128">
        <v>197</v>
      </c>
      <c r="N71" s="67">
        <v>530</v>
      </c>
      <c r="O71" s="67">
        <v>30360</v>
      </c>
      <c r="Q71" s="71"/>
      <c r="S71" s="163">
        <v>18702</v>
      </c>
      <c r="T71" s="163">
        <v>11658</v>
      </c>
      <c r="U71" s="43">
        <v>0.62335579082451076</v>
      </c>
      <c r="V71" s="61"/>
      <c r="AC71" s="36"/>
      <c r="AD71" s="36"/>
      <c r="AE71" s="36"/>
      <c r="AF71" s="19"/>
    </row>
    <row r="72" spans="1:32">
      <c r="A72" s="64" t="s">
        <v>601</v>
      </c>
      <c r="B72" s="63" t="s">
        <v>88</v>
      </c>
      <c r="C72" s="63" t="s">
        <v>89</v>
      </c>
      <c r="D72" s="134">
        <v>800.75</v>
      </c>
      <c r="E72" s="67">
        <v>121251</v>
      </c>
      <c r="F72" s="146">
        <v>0</v>
      </c>
      <c r="G72" s="92">
        <v>0</v>
      </c>
      <c r="H72" s="91">
        <v>121251</v>
      </c>
      <c r="I72" s="67">
        <v>0</v>
      </c>
      <c r="J72" s="20">
        <v>121251</v>
      </c>
      <c r="K72" s="132" t="s">
        <v>621</v>
      </c>
      <c r="L72" s="151">
        <v>0</v>
      </c>
      <c r="M72" s="128">
        <v>800.75</v>
      </c>
      <c r="N72" s="67">
        <v>2155</v>
      </c>
      <c r="O72" s="67">
        <v>123406</v>
      </c>
      <c r="Q72" s="71"/>
      <c r="S72" s="163">
        <v>98649</v>
      </c>
      <c r="T72" s="163">
        <v>24757</v>
      </c>
      <c r="U72" s="43">
        <v>0.25096047603118127</v>
      </c>
      <c r="V72" s="61"/>
      <c r="AC72" s="36"/>
      <c r="AD72" s="36"/>
      <c r="AE72" s="36"/>
      <c r="AF72" s="19"/>
    </row>
    <row r="73" spans="1:32">
      <c r="A73" s="64" t="s">
        <v>605</v>
      </c>
      <c r="B73" s="63" t="s">
        <v>222</v>
      </c>
      <c r="C73" s="63" t="s">
        <v>223</v>
      </c>
      <c r="D73" s="134">
        <v>0</v>
      </c>
      <c r="E73" s="67">
        <v>0</v>
      </c>
      <c r="F73" s="146">
        <v>0</v>
      </c>
      <c r="G73" s="92">
        <v>0</v>
      </c>
      <c r="H73" s="91">
        <v>0</v>
      </c>
      <c r="I73" s="67">
        <v>0</v>
      </c>
      <c r="J73" s="20">
        <v>0</v>
      </c>
      <c r="K73" s="132" t="s">
        <v>644</v>
      </c>
      <c r="L73" s="151">
        <v>0</v>
      </c>
      <c r="M73" s="128">
        <v>0</v>
      </c>
      <c r="N73" s="67">
        <v>0</v>
      </c>
      <c r="O73" s="67">
        <v>0</v>
      </c>
      <c r="Q73" s="71"/>
      <c r="S73" s="163">
        <v>0</v>
      </c>
      <c r="T73" s="163">
        <v>0</v>
      </c>
      <c r="U73" s="43">
        <v>0</v>
      </c>
      <c r="V73" s="61"/>
      <c r="AC73" s="36"/>
      <c r="AD73" s="36"/>
      <c r="AE73" s="36"/>
      <c r="AF73" s="19"/>
    </row>
    <row r="74" spans="1:32">
      <c r="A74" s="64" t="s">
        <v>597</v>
      </c>
      <c r="B74" s="63" t="s">
        <v>365</v>
      </c>
      <c r="C74" s="63" t="s">
        <v>366</v>
      </c>
      <c r="D74" s="134">
        <v>10.88</v>
      </c>
      <c r="E74" s="67">
        <v>1647</v>
      </c>
      <c r="F74" s="146">
        <v>0</v>
      </c>
      <c r="G74" s="92">
        <v>0</v>
      </c>
      <c r="H74" s="91">
        <v>1647</v>
      </c>
      <c r="I74" s="67">
        <v>0</v>
      </c>
      <c r="J74" s="20">
        <v>1647</v>
      </c>
      <c r="K74" s="132" t="s">
        <v>644</v>
      </c>
      <c r="L74" s="151">
        <v>1647</v>
      </c>
      <c r="M74" s="128">
        <v>0</v>
      </c>
      <c r="N74" s="67">
        <v>0</v>
      </c>
      <c r="O74" s="67">
        <v>0</v>
      </c>
      <c r="Q74" s="71"/>
      <c r="S74" s="163">
        <v>0</v>
      </c>
      <c r="T74" s="163">
        <v>0</v>
      </c>
      <c r="U74" s="43">
        <v>0</v>
      </c>
      <c r="V74" s="61"/>
      <c r="AC74" s="36"/>
      <c r="AD74" s="36"/>
      <c r="AE74" s="36"/>
      <c r="AF74" s="19"/>
    </row>
    <row r="75" spans="1:32">
      <c r="A75" s="64" t="s">
        <v>595</v>
      </c>
      <c r="B75" s="63" t="s">
        <v>401</v>
      </c>
      <c r="C75" s="63" t="s">
        <v>402</v>
      </c>
      <c r="D75" s="134">
        <v>1702.63</v>
      </c>
      <c r="E75" s="67">
        <v>257815</v>
      </c>
      <c r="F75" s="146">
        <v>0</v>
      </c>
      <c r="G75" s="92">
        <v>0</v>
      </c>
      <c r="H75" s="91">
        <v>257815</v>
      </c>
      <c r="I75" s="67">
        <v>0</v>
      </c>
      <c r="J75" s="20">
        <v>257815</v>
      </c>
      <c r="K75" s="132" t="s">
        <v>621</v>
      </c>
      <c r="L75" s="151">
        <v>0</v>
      </c>
      <c r="M75" s="128">
        <v>1702.63</v>
      </c>
      <c r="N75" s="67">
        <v>4582</v>
      </c>
      <c r="O75" s="67">
        <v>262397</v>
      </c>
      <c r="Q75" s="71"/>
      <c r="S75" s="163">
        <v>197373</v>
      </c>
      <c r="T75" s="163">
        <v>65024</v>
      </c>
      <c r="U75" s="43">
        <v>0.32944729015620172</v>
      </c>
      <c r="V75" s="61"/>
      <c r="AC75" s="36"/>
      <c r="AD75" s="36"/>
      <c r="AE75" s="36"/>
      <c r="AF75" s="19"/>
    </row>
    <row r="76" spans="1:32">
      <c r="A76" s="64" t="s">
        <v>605</v>
      </c>
      <c r="B76" s="63" t="s">
        <v>226</v>
      </c>
      <c r="C76" s="63" t="s">
        <v>227</v>
      </c>
      <c r="D76" s="134">
        <v>176.13</v>
      </c>
      <c r="E76" s="67">
        <v>26670</v>
      </c>
      <c r="F76" s="146">
        <v>10000</v>
      </c>
      <c r="G76" s="92">
        <v>0</v>
      </c>
      <c r="H76" s="91">
        <v>36670</v>
      </c>
      <c r="I76" s="67">
        <v>0</v>
      </c>
      <c r="J76" s="20">
        <v>26670</v>
      </c>
      <c r="K76" s="132" t="s">
        <v>621</v>
      </c>
      <c r="L76" s="151">
        <v>0</v>
      </c>
      <c r="M76" s="128">
        <v>176.13</v>
      </c>
      <c r="N76" s="67">
        <v>474</v>
      </c>
      <c r="O76" s="67">
        <v>27144</v>
      </c>
      <c r="Q76" s="71"/>
      <c r="S76" s="163">
        <v>18293</v>
      </c>
      <c r="T76" s="163">
        <v>8851</v>
      </c>
      <c r="U76" s="43">
        <v>0.48384627999781338</v>
      </c>
      <c r="V76" s="61"/>
      <c r="AC76" s="36"/>
      <c r="AD76" s="36"/>
      <c r="AE76" s="36"/>
      <c r="AF76" s="19"/>
    </row>
    <row r="77" spans="1:32">
      <c r="A77" s="64" t="s">
        <v>594</v>
      </c>
      <c r="B77" s="63" t="s">
        <v>141</v>
      </c>
      <c r="C77" s="63" t="s">
        <v>142</v>
      </c>
      <c r="D77" s="134">
        <v>52.88</v>
      </c>
      <c r="E77" s="67">
        <v>8007</v>
      </c>
      <c r="F77" s="146">
        <v>0</v>
      </c>
      <c r="G77" s="92">
        <v>0</v>
      </c>
      <c r="H77" s="91">
        <v>8007</v>
      </c>
      <c r="I77" s="67">
        <v>0</v>
      </c>
      <c r="J77" s="20">
        <v>8007</v>
      </c>
      <c r="K77" s="132" t="s">
        <v>644</v>
      </c>
      <c r="L77" s="151">
        <v>8007</v>
      </c>
      <c r="M77" s="128">
        <v>0</v>
      </c>
      <c r="N77" s="67">
        <v>0</v>
      </c>
      <c r="O77" s="67">
        <v>0</v>
      </c>
      <c r="Q77" s="71"/>
      <c r="S77" s="163">
        <v>0</v>
      </c>
      <c r="T77" s="163">
        <v>0</v>
      </c>
      <c r="U77" s="43">
        <v>0</v>
      </c>
      <c r="V77" s="61"/>
      <c r="AC77" s="36"/>
      <c r="AD77" s="36"/>
      <c r="AE77" s="36"/>
      <c r="AF77" s="19"/>
    </row>
    <row r="78" spans="1:32">
      <c r="A78" s="64" t="s">
        <v>603</v>
      </c>
      <c r="B78" s="63" t="s">
        <v>535</v>
      </c>
      <c r="C78" s="63" t="s">
        <v>536</v>
      </c>
      <c r="D78" s="134">
        <v>0</v>
      </c>
      <c r="E78" s="67">
        <v>0</v>
      </c>
      <c r="F78" s="146">
        <v>0</v>
      </c>
      <c r="G78" s="92">
        <v>0</v>
      </c>
      <c r="H78" s="91">
        <v>0</v>
      </c>
      <c r="I78" s="67">
        <v>0</v>
      </c>
      <c r="J78" s="20">
        <v>0</v>
      </c>
      <c r="K78" s="132" t="s">
        <v>644</v>
      </c>
      <c r="L78" s="151">
        <v>0</v>
      </c>
      <c r="M78" s="128">
        <v>0</v>
      </c>
      <c r="N78" s="67">
        <v>0</v>
      </c>
      <c r="O78" s="67">
        <v>0</v>
      </c>
      <c r="Q78" s="71"/>
      <c r="S78" s="163">
        <v>0</v>
      </c>
      <c r="T78" s="163">
        <v>0</v>
      </c>
      <c r="U78" s="43">
        <v>0</v>
      </c>
      <c r="V78" s="61"/>
      <c r="AC78" s="36"/>
      <c r="AD78" s="36"/>
      <c r="AE78" s="36"/>
      <c r="AF78" s="19"/>
    </row>
    <row r="79" spans="1:32">
      <c r="A79" s="64" t="s">
        <v>601</v>
      </c>
      <c r="B79" s="63" t="s">
        <v>29</v>
      </c>
      <c r="C79" s="63" t="s">
        <v>30</v>
      </c>
      <c r="D79" s="134">
        <v>51.25</v>
      </c>
      <c r="E79" s="67">
        <v>7760</v>
      </c>
      <c r="F79" s="146">
        <v>0</v>
      </c>
      <c r="G79" s="92">
        <v>0</v>
      </c>
      <c r="H79" s="91">
        <v>7760</v>
      </c>
      <c r="I79" s="67">
        <v>0</v>
      </c>
      <c r="J79" s="20">
        <v>7760</v>
      </c>
      <c r="K79" s="132" t="s">
        <v>644</v>
      </c>
      <c r="L79" s="151">
        <v>7760</v>
      </c>
      <c r="M79" s="128">
        <v>0</v>
      </c>
      <c r="N79" s="67">
        <v>0</v>
      </c>
      <c r="O79" s="67">
        <v>0</v>
      </c>
      <c r="Q79" s="71"/>
      <c r="S79" s="163">
        <v>0</v>
      </c>
      <c r="T79" s="163">
        <v>0</v>
      </c>
      <c r="U79" s="43">
        <v>0</v>
      </c>
      <c r="V79" s="61"/>
      <c r="AC79" s="36"/>
      <c r="AD79" s="36"/>
      <c r="AE79" s="36"/>
      <c r="AF79" s="19"/>
    </row>
    <row r="80" spans="1:32">
      <c r="A80" s="64" t="s">
        <v>597</v>
      </c>
      <c r="B80" s="63" t="s">
        <v>177</v>
      </c>
      <c r="C80" s="63" t="s">
        <v>178</v>
      </c>
      <c r="D80" s="134">
        <v>112.25</v>
      </c>
      <c r="E80" s="67">
        <v>16997</v>
      </c>
      <c r="F80" s="146">
        <v>0</v>
      </c>
      <c r="G80" s="92">
        <v>0</v>
      </c>
      <c r="H80" s="91">
        <v>16997</v>
      </c>
      <c r="I80" s="67">
        <v>0</v>
      </c>
      <c r="J80" s="20">
        <v>16997</v>
      </c>
      <c r="K80" s="132" t="s">
        <v>621</v>
      </c>
      <c r="L80" s="151">
        <v>0</v>
      </c>
      <c r="M80" s="128">
        <v>112.25</v>
      </c>
      <c r="N80" s="67">
        <v>302</v>
      </c>
      <c r="O80" s="67">
        <v>17299</v>
      </c>
      <c r="Q80" s="71"/>
      <c r="S80" s="163">
        <v>0</v>
      </c>
      <c r="T80" s="163">
        <v>17299</v>
      </c>
      <c r="U80" s="43">
        <v>0</v>
      </c>
      <c r="V80" s="61"/>
      <c r="AC80" s="36"/>
      <c r="AD80" s="36"/>
      <c r="AE80" s="36"/>
      <c r="AF80" s="19"/>
    </row>
    <row r="81" spans="1:32">
      <c r="A81" s="64" t="s">
        <v>601</v>
      </c>
      <c r="B81" s="63" t="s">
        <v>127</v>
      </c>
      <c r="C81" s="63" t="s">
        <v>128</v>
      </c>
      <c r="D81" s="134">
        <v>164.5</v>
      </c>
      <c r="E81" s="67">
        <v>24909</v>
      </c>
      <c r="F81" s="146">
        <v>0</v>
      </c>
      <c r="G81" s="92">
        <v>0</v>
      </c>
      <c r="H81" s="91">
        <v>24909</v>
      </c>
      <c r="I81" s="67">
        <v>0</v>
      </c>
      <c r="J81" s="20">
        <v>24909</v>
      </c>
      <c r="K81" s="132" t="s">
        <v>621</v>
      </c>
      <c r="L81" s="151">
        <v>0</v>
      </c>
      <c r="M81" s="128">
        <v>164.5</v>
      </c>
      <c r="N81" s="67">
        <v>443</v>
      </c>
      <c r="O81" s="67">
        <v>25352</v>
      </c>
      <c r="Q81" s="71"/>
      <c r="S81" s="163">
        <v>23962</v>
      </c>
      <c r="T81" s="163">
        <v>1390</v>
      </c>
      <c r="U81" s="43">
        <v>5.8008513479676151E-2</v>
      </c>
      <c r="V81" s="61"/>
      <c r="AC81" s="36"/>
      <c r="AD81" s="36"/>
      <c r="AE81" s="36"/>
      <c r="AF81" s="19"/>
    </row>
    <row r="82" spans="1:32">
      <c r="A82" s="64" t="s">
        <v>603</v>
      </c>
      <c r="B82" s="65" t="s">
        <v>676</v>
      </c>
      <c r="C82" s="63" t="s">
        <v>677</v>
      </c>
      <c r="D82" s="134">
        <v>0</v>
      </c>
      <c r="E82" s="67">
        <v>0</v>
      </c>
      <c r="F82" s="146">
        <v>0</v>
      </c>
      <c r="G82" s="92">
        <v>0</v>
      </c>
      <c r="H82" s="91">
        <v>0</v>
      </c>
      <c r="I82" s="67">
        <v>0</v>
      </c>
      <c r="J82" s="20">
        <v>0</v>
      </c>
      <c r="K82" s="132" t="s">
        <v>644</v>
      </c>
      <c r="L82" s="151">
        <v>0</v>
      </c>
      <c r="M82" s="128">
        <v>0</v>
      </c>
      <c r="N82" s="67">
        <v>0</v>
      </c>
      <c r="O82" s="67">
        <v>0</v>
      </c>
      <c r="Q82" s="71"/>
      <c r="S82" s="163">
        <v>0</v>
      </c>
      <c r="T82" s="163">
        <v>0</v>
      </c>
      <c r="U82" s="43">
        <v>0</v>
      </c>
      <c r="V82" s="61"/>
      <c r="AC82" s="36"/>
      <c r="AD82" s="36"/>
      <c r="AE82" s="36"/>
      <c r="AF82" s="19"/>
    </row>
    <row r="83" spans="1:32">
      <c r="A83" s="64" t="s">
        <v>599</v>
      </c>
      <c r="B83" s="63" t="s">
        <v>651</v>
      </c>
      <c r="C83" s="63" t="s">
        <v>652</v>
      </c>
      <c r="D83" s="134">
        <v>0</v>
      </c>
      <c r="E83" s="67">
        <v>0</v>
      </c>
      <c r="F83" s="146">
        <v>0</v>
      </c>
      <c r="G83" s="92">
        <v>0</v>
      </c>
      <c r="H83" s="91">
        <v>0</v>
      </c>
      <c r="I83" s="67">
        <v>0</v>
      </c>
      <c r="J83" s="20">
        <v>0</v>
      </c>
      <c r="K83" s="132" t="s">
        <v>644</v>
      </c>
      <c r="L83" s="151">
        <v>0</v>
      </c>
      <c r="M83" s="128">
        <v>0</v>
      </c>
      <c r="N83" s="67">
        <v>0</v>
      </c>
      <c r="O83" s="67">
        <v>0</v>
      </c>
      <c r="Q83" s="71"/>
      <c r="S83" s="163">
        <v>0</v>
      </c>
      <c r="T83" s="163">
        <v>0</v>
      </c>
      <c r="U83" s="43">
        <v>0</v>
      </c>
      <c r="V83" s="61"/>
      <c r="AC83" s="36"/>
      <c r="AD83" s="36"/>
      <c r="AE83" s="36"/>
      <c r="AF83" s="19"/>
    </row>
    <row r="84" spans="1:32">
      <c r="A84" s="64" t="s">
        <v>594</v>
      </c>
      <c r="B84" s="63" t="s">
        <v>678</v>
      </c>
      <c r="C84" s="63" t="s">
        <v>679</v>
      </c>
      <c r="D84" s="134">
        <v>0</v>
      </c>
      <c r="E84" s="67">
        <v>0</v>
      </c>
      <c r="F84" s="146">
        <v>0</v>
      </c>
      <c r="G84" s="92">
        <v>0</v>
      </c>
      <c r="H84" s="91">
        <v>0</v>
      </c>
      <c r="I84" s="67">
        <v>0</v>
      </c>
      <c r="J84" s="20">
        <v>0</v>
      </c>
      <c r="K84" s="132" t="s">
        <v>644</v>
      </c>
      <c r="L84" s="151">
        <v>0</v>
      </c>
      <c r="M84" s="128">
        <v>0</v>
      </c>
      <c r="N84" s="67">
        <v>0</v>
      </c>
      <c r="O84" s="67">
        <v>0</v>
      </c>
      <c r="Q84" s="71"/>
      <c r="S84" s="163">
        <v>0</v>
      </c>
      <c r="T84" s="163">
        <v>0</v>
      </c>
      <c r="U84" s="43">
        <v>0</v>
      </c>
      <c r="V84" s="61"/>
      <c r="AC84" s="36"/>
      <c r="AD84" s="36"/>
      <c r="AE84" s="36"/>
      <c r="AF84" s="19"/>
    </row>
    <row r="85" spans="1:32">
      <c r="A85" s="64" t="s">
        <v>600</v>
      </c>
      <c r="B85" s="65" t="s">
        <v>663</v>
      </c>
      <c r="C85" s="63" t="s">
        <v>664</v>
      </c>
      <c r="D85" s="134">
        <v>0</v>
      </c>
      <c r="E85" s="67">
        <v>0</v>
      </c>
      <c r="F85" s="146">
        <v>0</v>
      </c>
      <c r="G85" s="92">
        <v>0</v>
      </c>
      <c r="H85" s="91">
        <v>0</v>
      </c>
      <c r="I85" s="67">
        <v>0</v>
      </c>
      <c r="J85" s="20">
        <v>0</v>
      </c>
      <c r="K85" s="132" t="s">
        <v>644</v>
      </c>
      <c r="L85" s="151">
        <v>0</v>
      </c>
      <c r="M85" s="128">
        <v>0</v>
      </c>
      <c r="N85" s="67">
        <v>0</v>
      </c>
      <c r="O85" s="67">
        <v>0</v>
      </c>
      <c r="Q85" s="71"/>
      <c r="S85" s="163">
        <v>0</v>
      </c>
      <c r="T85" s="163">
        <v>0</v>
      </c>
      <c r="U85" s="43">
        <v>0</v>
      </c>
      <c r="V85" s="61"/>
      <c r="AC85" s="36"/>
      <c r="AD85" s="36"/>
      <c r="AE85" s="36"/>
      <c r="AF85" s="19"/>
    </row>
    <row r="86" spans="1:32">
      <c r="A86" s="64" t="s">
        <v>596</v>
      </c>
      <c r="B86" s="65" t="s">
        <v>653</v>
      </c>
      <c r="C86" s="63" t="s">
        <v>604</v>
      </c>
      <c r="D86" s="134">
        <v>0</v>
      </c>
      <c r="E86" s="67">
        <v>0</v>
      </c>
      <c r="F86" s="146">
        <v>0</v>
      </c>
      <c r="G86" s="92">
        <v>0</v>
      </c>
      <c r="H86" s="91">
        <v>0</v>
      </c>
      <c r="I86" s="67">
        <v>0</v>
      </c>
      <c r="J86" s="20">
        <v>0</v>
      </c>
      <c r="K86" s="132" t="s">
        <v>644</v>
      </c>
      <c r="L86" s="151">
        <v>0</v>
      </c>
      <c r="M86" s="128">
        <v>0</v>
      </c>
      <c r="N86" s="67">
        <v>0</v>
      </c>
      <c r="O86" s="67">
        <v>0</v>
      </c>
      <c r="Q86" s="71"/>
      <c r="S86" s="163">
        <v>0</v>
      </c>
      <c r="T86" s="163">
        <v>0</v>
      </c>
      <c r="U86" s="4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3" t="s">
        <v>680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91">
        <v>0</v>
      </c>
      <c r="I87" s="67">
        <v>0</v>
      </c>
      <c r="J87" s="20">
        <v>0</v>
      </c>
      <c r="K87" s="132" t="s">
        <v>644</v>
      </c>
      <c r="L87" s="151">
        <v>0</v>
      </c>
      <c r="M87" s="128">
        <v>0</v>
      </c>
      <c r="N87" s="67">
        <v>0</v>
      </c>
      <c r="O87" s="67">
        <v>0</v>
      </c>
      <c r="Q87" s="71"/>
      <c r="S87" s="163">
        <v>0</v>
      </c>
      <c r="T87" s="163">
        <v>0</v>
      </c>
      <c r="U87" s="43">
        <v>0</v>
      </c>
      <c r="V87" s="61"/>
      <c r="AC87" s="36"/>
      <c r="AD87" s="36"/>
      <c r="AE87" s="36"/>
      <c r="AF87" s="19"/>
    </row>
    <row r="88" spans="1:32">
      <c r="A88" s="64" t="s">
        <v>601</v>
      </c>
      <c r="B88" s="65" t="s">
        <v>649</v>
      </c>
      <c r="C88" s="63" t="s">
        <v>650</v>
      </c>
      <c r="D88" s="134">
        <v>0</v>
      </c>
      <c r="E88" s="67">
        <v>0</v>
      </c>
      <c r="F88" s="146">
        <v>0</v>
      </c>
      <c r="G88" s="92">
        <v>0</v>
      </c>
      <c r="H88" s="91">
        <v>0</v>
      </c>
      <c r="I88" s="67">
        <v>0</v>
      </c>
      <c r="J88" s="20">
        <v>0</v>
      </c>
      <c r="K88" s="132" t="s">
        <v>644</v>
      </c>
      <c r="L88" s="151">
        <v>0</v>
      </c>
      <c r="M88" s="128">
        <v>0</v>
      </c>
      <c r="N88" s="67">
        <v>0</v>
      </c>
      <c r="O88" s="67">
        <v>0</v>
      </c>
      <c r="Q88" s="71"/>
      <c r="S88" s="163">
        <v>0</v>
      </c>
      <c r="T88" s="163">
        <v>0</v>
      </c>
      <c r="U88" s="43">
        <v>0</v>
      </c>
      <c r="V88" s="61"/>
      <c r="AC88" s="36"/>
      <c r="AD88" s="36"/>
      <c r="AE88" s="36"/>
      <c r="AF88" s="19"/>
    </row>
    <row r="89" spans="1:32">
      <c r="A89" s="64" t="s">
        <v>595</v>
      </c>
      <c r="B89" s="63" t="s">
        <v>671</v>
      </c>
      <c r="C89" s="63" t="s">
        <v>672</v>
      </c>
      <c r="D89" s="134">
        <v>0</v>
      </c>
      <c r="E89" s="67">
        <v>0</v>
      </c>
      <c r="F89" s="146">
        <v>0</v>
      </c>
      <c r="G89" s="92">
        <v>0</v>
      </c>
      <c r="H89" s="91">
        <v>0</v>
      </c>
      <c r="I89" s="67">
        <v>0</v>
      </c>
      <c r="J89" s="20">
        <v>0</v>
      </c>
      <c r="K89" s="132" t="s">
        <v>644</v>
      </c>
      <c r="L89" s="151">
        <v>0</v>
      </c>
      <c r="M89" s="128">
        <v>0</v>
      </c>
      <c r="N89" s="67">
        <v>0</v>
      </c>
      <c r="O89" s="67">
        <v>0</v>
      </c>
      <c r="Q89" s="71"/>
      <c r="S89" s="163">
        <v>0</v>
      </c>
      <c r="T89" s="163">
        <v>0</v>
      </c>
      <c r="U89" s="43">
        <v>0</v>
      </c>
      <c r="V89" s="61"/>
      <c r="AC89" s="36"/>
      <c r="AD89" s="36"/>
      <c r="AE89" s="36"/>
      <c r="AF89" s="19"/>
    </row>
    <row r="90" spans="1:32">
      <c r="A90" s="64" t="s">
        <v>594</v>
      </c>
      <c r="B90" s="63" t="s">
        <v>256</v>
      </c>
      <c r="C90" s="63" t="s">
        <v>257</v>
      </c>
      <c r="D90" s="134">
        <v>0</v>
      </c>
      <c r="E90" s="67">
        <v>0</v>
      </c>
      <c r="F90" s="146">
        <v>0</v>
      </c>
      <c r="G90" s="92">
        <v>0</v>
      </c>
      <c r="H90" s="91">
        <v>0</v>
      </c>
      <c r="I90" s="67">
        <v>0</v>
      </c>
      <c r="J90" s="20">
        <v>0</v>
      </c>
      <c r="K90" s="132" t="s">
        <v>644</v>
      </c>
      <c r="L90" s="151">
        <v>0</v>
      </c>
      <c r="M90" s="128">
        <v>0</v>
      </c>
      <c r="N90" s="67">
        <v>0</v>
      </c>
      <c r="O90" s="67">
        <v>0</v>
      </c>
      <c r="Q90" s="71"/>
      <c r="S90" s="163">
        <v>0</v>
      </c>
      <c r="T90" s="163">
        <v>0</v>
      </c>
      <c r="U90" s="43">
        <v>0</v>
      </c>
      <c r="V90" s="61"/>
      <c r="AC90" s="36"/>
      <c r="AD90" s="36"/>
      <c r="AE90" s="36"/>
      <c r="AF90" s="19"/>
    </row>
    <row r="91" spans="1:32">
      <c r="A91" s="64" t="s">
        <v>595</v>
      </c>
      <c r="B91" s="63" t="s">
        <v>395</v>
      </c>
      <c r="C91" s="63" t="s">
        <v>396</v>
      </c>
      <c r="D91" s="134">
        <v>1461.13</v>
      </c>
      <c r="E91" s="67">
        <v>221246</v>
      </c>
      <c r="F91" s="146">
        <v>50000</v>
      </c>
      <c r="G91" s="92">
        <v>0</v>
      </c>
      <c r="H91" s="91">
        <v>271246</v>
      </c>
      <c r="I91" s="67">
        <v>0</v>
      </c>
      <c r="J91" s="20">
        <v>221246</v>
      </c>
      <c r="K91" s="132" t="s">
        <v>621</v>
      </c>
      <c r="L91" s="151">
        <v>0</v>
      </c>
      <c r="M91" s="128">
        <v>1461.13</v>
      </c>
      <c r="N91" s="67">
        <v>3932</v>
      </c>
      <c r="O91" s="67">
        <v>225178</v>
      </c>
      <c r="Q91" s="71"/>
      <c r="S91" s="163">
        <v>170743</v>
      </c>
      <c r="T91" s="163">
        <v>54435</v>
      </c>
      <c r="U91" s="43">
        <v>0.31881248425996966</v>
      </c>
      <c r="V91" s="61"/>
      <c r="AC91" s="36"/>
      <c r="AD91" s="36"/>
      <c r="AE91" s="36"/>
      <c r="AF91" s="19"/>
    </row>
    <row r="92" spans="1:32">
      <c r="A92" s="64" t="s">
        <v>599</v>
      </c>
      <c r="B92" s="63" t="s">
        <v>58</v>
      </c>
      <c r="C92" s="63" t="s">
        <v>59</v>
      </c>
      <c r="D92" s="134">
        <v>1998.13</v>
      </c>
      <c r="E92" s="67">
        <v>302560</v>
      </c>
      <c r="F92" s="146">
        <v>0</v>
      </c>
      <c r="G92" s="92">
        <v>0</v>
      </c>
      <c r="H92" s="91">
        <v>302560</v>
      </c>
      <c r="I92" s="67">
        <v>0</v>
      </c>
      <c r="J92" s="20">
        <v>302560</v>
      </c>
      <c r="K92" s="132" t="s">
        <v>621</v>
      </c>
      <c r="L92" s="151">
        <v>0</v>
      </c>
      <c r="M92" s="128">
        <v>1998.13</v>
      </c>
      <c r="N92" s="67">
        <v>5377</v>
      </c>
      <c r="O92" s="67">
        <v>307937</v>
      </c>
      <c r="Q92" s="71"/>
      <c r="S92" s="163">
        <v>236141</v>
      </c>
      <c r="T92" s="163">
        <v>71796</v>
      </c>
      <c r="U92" s="43">
        <v>0.30403868874951828</v>
      </c>
      <c r="V92" s="61"/>
      <c r="AC92" s="36"/>
      <c r="AD92" s="36"/>
      <c r="AE92" s="36"/>
      <c r="AF92" s="19"/>
    </row>
    <row r="93" spans="1:32">
      <c r="A93" s="64" t="s">
        <v>603</v>
      </c>
      <c r="B93" s="63" t="s">
        <v>462</v>
      </c>
      <c r="C93" s="63" t="s">
        <v>463</v>
      </c>
      <c r="D93" s="134">
        <v>0</v>
      </c>
      <c r="E93" s="67">
        <v>0</v>
      </c>
      <c r="F93" s="146">
        <v>0</v>
      </c>
      <c r="G93" s="92">
        <v>0</v>
      </c>
      <c r="H93" s="91">
        <v>0</v>
      </c>
      <c r="I93" s="67">
        <v>0</v>
      </c>
      <c r="J93" s="20">
        <v>0</v>
      </c>
      <c r="K93" s="132" t="s">
        <v>644</v>
      </c>
      <c r="L93" s="151">
        <v>0</v>
      </c>
      <c r="M93" s="128">
        <v>0</v>
      </c>
      <c r="N93" s="67">
        <v>0</v>
      </c>
      <c r="O93" s="67">
        <v>0</v>
      </c>
      <c r="Q93" s="71"/>
      <c r="S93" s="163">
        <v>0</v>
      </c>
      <c r="T93" s="163">
        <v>0</v>
      </c>
      <c r="U93" s="43">
        <v>0</v>
      </c>
      <c r="V93" s="61"/>
      <c r="AC93" s="36"/>
      <c r="AD93" s="36"/>
      <c r="AE93" s="36"/>
      <c r="AF93" s="19"/>
    </row>
    <row r="94" spans="1:32">
      <c r="A94" s="64" t="s">
        <v>597</v>
      </c>
      <c r="B94" s="63" t="s">
        <v>175</v>
      </c>
      <c r="C94" s="63" t="s">
        <v>176</v>
      </c>
      <c r="D94" s="134">
        <v>2306.13</v>
      </c>
      <c r="E94" s="67">
        <v>349198</v>
      </c>
      <c r="F94" s="146">
        <v>0</v>
      </c>
      <c r="G94" s="92">
        <v>0</v>
      </c>
      <c r="H94" s="91">
        <v>349198</v>
      </c>
      <c r="I94" s="67">
        <v>0</v>
      </c>
      <c r="J94" s="20">
        <v>349198</v>
      </c>
      <c r="K94" s="132" t="s">
        <v>621</v>
      </c>
      <c r="L94" s="151">
        <v>0</v>
      </c>
      <c r="M94" s="128">
        <v>2306.13</v>
      </c>
      <c r="N94" s="67">
        <v>6206</v>
      </c>
      <c r="O94" s="67">
        <v>355404</v>
      </c>
      <c r="Q94" s="71"/>
      <c r="S94" s="163">
        <v>279682</v>
      </c>
      <c r="T94" s="163">
        <v>75722</v>
      </c>
      <c r="U94" s="43">
        <v>0.27074320120708517</v>
      </c>
      <c r="V94" s="61"/>
      <c r="AC94" s="36"/>
      <c r="AD94" s="36"/>
      <c r="AE94" s="36"/>
      <c r="AF94" s="19"/>
    </row>
    <row r="95" spans="1:32">
      <c r="A95" s="64" t="s">
        <v>595</v>
      </c>
      <c r="B95" s="63" t="s">
        <v>506</v>
      </c>
      <c r="C95" s="63" t="s">
        <v>507</v>
      </c>
      <c r="D95" s="134">
        <v>225.88</v>
      </c>
      <c r="E95" s="67">
        <v>34203</v>
      </c>
      <c r="F95" s="146">
        <v>0</v>
      </c>
      <c r="G95" s="92">
        <v>0</v>
      </c>
      <c r="H95" s="91">
        <v>34203</v>
      </c>
      <c r="I95" s="67">
        <v>0</v>
      </c>
      <c r="J95" s="20">
        <v>34203</v>
      </c>
      <c r="K95" s="132" t="s">
        <v>621</v>
      </c>
      <c r="L95" s="151">
        <v>0</v>
      </c>
      <c r="M95" s="128">
        <v>225.88</v>
      </c>
      <c r="N95" s="67">
        <v>608</v>
      </c>
      <c r="O95" s="67">
        <v>34811</v>
      </c>
      <c r="Q95" s="71"/>
      <c r="S95" s="163">
        <v>30614</v>
      </c>
      <c r="T95" s="163">
        <v>4197</v>
      </c>
      <c r="U95" s="43">
        <v>0.13709413993597699</v>
      </c>
      <c r="V95" s="61"/>
      <c r="AC95" s="36"/>
      <c r="AD95" s="36"/>
      <c r="AE95" s="36"/>
      <c r="AF95" s="19"/>
    </row>
    <row r="96" spans="1:32">
      <c r="A96" s="64" t="s">
        <v>597</v>
      </c>
      <c r="B96" s="63" t="s">
        <v>369</v>
      </c>
      <c r="C96" s="63" t="s">
        <v>370</v>
      </c>
      <c r="D96" s="134">
        <v>284.38</v>
      </c>
      <c r="E96" s="67">
        <v>43061</v>
      </c>
      <c r="F96" s="146">
        <v>0</v>
      </c>
      <c r="G96" s="92">
        <v>0</v>
      </c>
      <c r="H96" s="91">
        <v>43061</v>
      </c>
      <c r="I96" s="67">
        <v>0</v>
      </c>
      <c r="J96" s="20">
        <v>43061</v>
      </c>
      <c r="K96" s="132" t="s">
        <v>621</v>
      </c>
      <c r="L96" s="151">
        <v>0</v>
      </c>
      <c r="M96" s="128">
        <v>284.38</v>
      </c>
      <c r="N96" s="67">
        <v>765</v>
      </c>
      <c r="O96" s="67">
        <v>43826</v>
      </c>
      <c r="Q96" s="71"/>
      <c r="S96" s="163">
        <v>32327</v>
      </c>
      <c r="T96" s="163">
        <v>11499</v>
      </c>
      <c r="U96" s="43">
        <v>0.35570885018715004</v>
      </c>
      <c r="V96" s="61"/>
      <c r="AC96" s="36"/>
      <c r="AD96" s="36"/>
      <c r="AE96" s="36"/>
      <c r="AF96" s="19"/>
    </row>
    <row r="97" spans="1:32">
      <c r="A97" s="64" t="s">
        <v>596</v>
      </c>
      <c r="B97" s="63" t="s">
        <v>19</v>
      </c>
      <c r="C97" s="63" t="s">
        <v>20</v>
      </c>
      <c r="D97" s="134">
        <v>90</v>
      </c>
      <c r="E97" s="67">
        <v>13628</v>
      </c>
      <c r="F97" s="146">
        <v>0</v>
      </c>
      <c r="G97" s="92">
        <v>0</v>
      </c>
      <c r="H97" s="91">
        <v>13628</v>
      </c>
      <c r="I97" s="67">
        <v>0</v>
      </c>
      <c r="J97" s="20">
        <v>13628</v>
      </c>
      <c r="K97" s="132" t="s">
        <v>621</v>
      </c>
      <c r="L97" s="151">
        <v>0</v>
      </c>
      <c r="M97" s="128">
        <v>90</v>
      </c>
      <c r="N97" s="67">
        <v>242</v>
      </c>
      <c r="O97" s="67">
        <v>13870</v>
      </c>
      <c r="Q97" s="71"/>
      <c r="S97" s="163">
        <v>10184</v>
      </c>
      <c r="T97" s="163">
        <v>3686</v>
      </c>
      <c r="U97" s="43">
        <v>0.36194029850746268</v>
      </c>
      <c r="V97" s="61"/>
      <c r="AC97" s="36"/>
      <c r="AD97" s="36"/>
      <c r="AE97" s="36"/>
      <c r="AF97" s="19"/>
    </row>
    <row r="98" spans="1:32">
      <c r="A98" s="64" t="s">
        <v>597</v>
      </c>
      <c r="B98" s="63" t="s">
        <v>361</v>
      </c>
      <c r="C98" s="63" t="s">
        <v>362</v>
      </c>
      <c r="D98" s="134">
        <v>390.88</v>
      </c>
      <c r="E98" s="67">
        <v>59188</v>
      </c>
      <c r="F98" s="146">
        <v>0</v>
      </c>
      <c r="G98" s="92">
        <v>0</v>
      </c>
      <c r="H98" s="91">
        <v>59188</v>
      </c>
      <c r="I98" s="67">
        <v>0</v>
      </c>
      <c r="J98" s="20">
        <v>59188</v>
      </c>
      <c r="K98" s="132" t="s">
        <v>621</v>
      </c>
      <c r="L98" s="151">
        <v>0</v>
      </c>
      <c r="M98" s="128">
        <v>390.88</v>
      </c>
      <c r="N98" s="67">
        <v>1052</v>
      </c>
      <c r="O98" s="67">
        <v>60240</v>
      </c>
      <c r="Q98" s="71"/>
      <c r="S98" s="163">
        <v>44557</v>
      </c>
      <c r="T98" s="163">
        <v>15683</v>
      </c>
      <c r="U98" s="43">
        <v>0.35197612047489735</v>
      </c>
      <c r="V98" s="61"/>
      <c r="AC98" s="36"/>
      <c r="AD98" s="36"/>
      <c r="AE98" s="36"/>
      <c r="AF98" s="19"/>
    </row>
    <row r="99" spans="1:32">
      <c r="A99" s="64" t="s">
        <v>603</v>
      </c>
      <c r="B99" s="63" t="s">
        <v>436</v>
      </c>
      <c r="C99" s="63" t="s">
        <v>437</v>
      </c>
      <c r="D99" s="134">
        <v>0</v>
      </c>
      <c r="E99" s="67">
        <v>0</v>
      </c>
      <c r="F99" s="146">
        <v>0</v>
      </c>
      <c r="G99" s="92">
        <v>0</v>
      </c>
      <c r="H99" s="91">
        <v>0</v>
      </c>
      <c r="I99" s="67">
        <v>0</v>
      </c>
      <c r="J99" s="20">
        <v>0</v>
      </c>
      <c r="K99" s="132" t="s">
        <v>644</v>
      </c>
      <c r="L99" s="151">
        <v>0</v>
      </c>
      <c r="M99" s="128">
        <v>0</v>
      </c>
      <c r="N99" s="67">
        <v>0</v>
      </c>
      <c r="O99" s="67">
        <v>0</v>
      </c>
      <c r="Q99" s="71"/>
      <c r="S99" s="163">
        <v>0</v>
      </c>
      <c r="T99" s="163">
        <v>0</v>
      </c>
      <c r="U99" s="43">
        <v>0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529</v>
      </c>
      <c r="C100" s="63" t="s">
        <v>530</v>
      </c>
      <c r="D100" s="134">
        <v>0</v>
      </c>
      <c r="E100" s="67">
        <v>0</v>
      </c>
      <c r="F100" s="146">
        <v>0</v>
      </c>
      <c r="G100" s="92">
        <v>0</v>
      </c>
      <c r="H100" s="91">
        <v>0</v>
      </c>
      <c r="I100" s="67">
        <v>0</v>
      </c>
      <c r="J100" s="20">
        <v>0</v>
      </c>
      <c r="K100" s="132" t="s">
        <v>644</v>
      </c>
      <c r="L100" s="151">
        <v>0</v>
      </c>
      <c r="M100" s="128">
        <v>0</v>
      </c>
      <c r="N100" s="67">
        <v>0</v>
      </c>
      <c r="O100" s="67">
        <v>0</v>
      </c>
      <c r="Q100" s="71"/>
      <c r="S100" s="163">
        <v>0</v>
      </c>
      <c r="T100" s="163">
        <v>0</v>
      </c>
      <c r="U100" s="43">
        <v>0</v>
      </c>
      <c r="V100" s="61"/>
      <c r="AC100" s="36"/>
      <c r="AD100" s="36"/>
      <c r="AE100" s="36"/>
      <c r="AF100" s="19"/>
    </row>
    <row r="101" spans="1:32">
      <c r="A101" s="64" t="s">
        <v>599</v>
      </c>
      <c r="B101" s="63" t="s">
        <v>240</v>
      </c>
      <c r="C101" s="63" t="s">
        <v>241</v>
      </c>
      <c r="D101" s="134">
        <v>0</v>
      </c>
      <c r="E101" s="67">
        <v>0</v>
      </c>
      <c r="F101" s="146">
        <v>0</v>
      </c>
      <c r="G101" s="92">
        <v>0</v>
      </c>
      <c r="H101" s="91">
        <v>0</v>
      </c>
      <c r="I101" s="67">
        <v>0</v>
      </c>
      <c r="J101" s="20">
        <v>0</v>
      </c>
      <c r="K101" s="132" t="s">
        <v>644</v>
      </c>
      <c r="L101" s="151">
        <v>0</v>
      </c>
      <c r="M101" s="128">
        <v>0</v>
      </c>
      <c r="N101" s="67">
        <v>0</v>
      </c>
      <c r="O101" s="67">
        <v>0</v>
      </c>
      <c r="Q101" s="71"/>
      <c r="S101" s="163">
        <v>0</v>
      </c>
      <c r="T101" s="163">
        <v>0</v>
      </c>
      <c r="U101" s="43">
        <v>0</v>
      </c>
      <c r="V101" s="61"/>
      <c r="AC101" s="36"/>
      <c r="AD101" s="36"/>
      <c r="AE101" s="36"/>
      <c r="AF101" s="19"/>
    </row>
    <row r="102" spans="1:32">
      <c r="A102" s="64" t="s">
        <v>605</v>
      </c>
      <c r="B102" s="63" t="s">
        <v>246</v>
      </c>
      <c r="C102" s="63" t="s">
        <v>247</v>
      </c>
      <c r="D102" s="134">
        <v>44.5</v>
      </c>
      <c r="E102" s="67">
        <v>6738</v>
      </c>
      <c r="F102" s="146">
        <v>0</v>
      </c>
      <c r="G102" s="92">
        <v>0</v>
      </c>
      <c r="H102" s="91">
        <v>6738</v>
      </c>
      <c r="I102" s="67">
        <v>0</v>
      </c>
      <c r="J102" s="20">
        <v>6738</v>
      </c>
      <c r="K102" s="132" t="s">
        <v>621</v>
      </c>
      <c r="L102" s="151">
        <v>0</v>
      </c>
      <c r="M102" s="128">
        <v>44.5</v>
      </c>
      <c r="N102" s="67">
        <v>120</v>
      </c>
      <c r="O102" s="67">
        <v>6858</v>
      </c>
      <c r="Q102" s="71"/>
      <c r="S102" s="163">
        <v>5061</v>
      </c>
      <c r="T102" s="163">
        <v>1797</v>
      </c>
      <c r="U102" s="43">
        <v>0.35506816834617666</v>
      </c>
      <c r="V102" s="61"/>
      <c r="AC102" s="36"/>
      <c r="AD102" s="36"/>
      <c r="AE102" s="36"/>
      <c r="AF102" s="19"/>
    </row>
    <row r="103" spans="1:32">
      <c r="A103" s="64" t="s">
        <v>601</v>
      </c>
      <c r="B103" s="63" t="s">
        <v>131</v>
      </c>
      <c r="C103" s="63" t="s">
        <v>655</v>
      </c>
      <c r="D103" s="134">
        <v>0</v>
      </c>
      <c r="E103" s="67">
        <v>0</v>
      </c>
      <c r="F103" s="146">
        <v>0</v>
      </c>
      <c r="G103" s="92">
        <v>0</v>
      </c>
      <c r="H103" s="91">
        <v>0</v>
      </c>
      <c r="I103" s="67">
        <v>0</v>
      </c>
      <c r="J103" s="20">
        <v>0</v>
      </c>
      <c r="K103" s="132" t="s">
        <v>644</v>
      </c>
      <c r="L103" s="151">
        <v>0</v>
      </c>
      <c r="M103" s="128">
        <v>0</v>
      </c>
      <c r="N103" s="67">
        <v>0</v>
      </c>
      <c r="O103" s="67">
        <v>0</v>
      </c>
      <c r="Q103" s="71"/>
      <c r="S103" s="163">
        <v>0</v>
      </c>
      <c r="T103" s="163">
        <v>0</v>
      </c>
      <c r="U103" s="43">
        <v>0</v>
      </c>
      <c r="V103" s="61"/>
      <c r="AC103" s="36"/>
      <c r="AD103" s="36"/>
      <c r="AE103" s="36"/>
      <c r="AF103" s="19"/>
    </row>
    <row r="104" spans="1:32">
      <c r="A104" s="64" t="s">
        <v>605</v>
      </c>
      <c r="B104" s="63" t="s">
        <v>555</v>
      </c>
      <c r="C104" s="63" t="s">
        <v>556</v>
      </c>
      <c r="D104" s="134">
        <v>853.5</v>
      </c>
      <c r="E104" s="67">
        <v>129238</v>
      </c>
      <c r="F104" s="146">
        <v>0</v>
      </c>
      <c r="G104" s="92">
        <v>0</v>
      </c>
      <c r="H104" s="91">
        <v>129238</v>
      </c>
      <c r="I104" s="67">
        <v>0</v>
      </c>
      <c r="J104" s="20">
        <v>129238</v>
      </c>
      <c r="K104" s="132" t="s">
        <v>621</v>
      </c>
      <c r="L104" s="151">
        <v>0</v>
      </c>
      <c r="M104" s="128">
        <v>853.5</v>
      </c>
      <c r="N104" s="67">
        <v>2297</v>
      </c>
      <c r="O104" s="67">
        <v>131535</v>
      </c>
      <c r="Q104" s="71"/>
      <c r="S104" s="163">
        <v>102937</v>
      </c>
      <c r="T104" s="163">
        <v>28598</v>
      </c>
      <c r="U104" s="43">
        <v>0.27782041442824251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563</v>
      </c>
      <c r="C105" s="63" t="s">
        <v>564</v>
      </c>
      <c r="D105" s="134">
        <v>531.25</v>
      </c>
      <c r="E105" s="67">
        <v>80443</v>
      </c>
      <c r="F105" s="146">
        <v>0</v>
      </c>
      <c r="G105" s="92">
        <v>0</v>
      </c>
      <c r="H105" s="91">
        <v>80443</v>
      </c>
      <c r="I105" s="67">
        <v>0</v>
      </c>
      <c r="J105" s="20">
        <v>80443</v>
      </c>
      <c r="K105" s="132" t="s">
        <v>621</v>
      </c>
      <c r="L105" s="151">
        <v>0</v>
      </c>
      <c r="M105" s="128">
        <v>531.25</v>
      </c>
      <c r="N105" s="67">
        <v>1430</v>
      </c>
      <c r="O105" s="67">
        <v>81873</v>
      </c>
      <c r="Q105" s="71"/>
      <c r="S105" s="163">
        <v>55516</v>
      </c>
      <c r="T105" s="163">
        <v>26357</v>
      </c>
      <c r="U105" s="43">
        <v>0.47476403199077744</v>
      </c>
      <c r="V105" s="61"/>
      <c r="AC105" s="36"/>
      <c r="AD105" s="36"/>
      <c r="AE105" s="36"/>
      <c r="AF105" s="19"/>
    </row>
    <row r="106" spans="1:32">
      <c r="A106" s="64" t="s">
        <v>595</v>
      </c>
      <c r="B106" s="63" t="s">
        <v>419</v>
      </c>
      <c r="C106" s="63" t="s">
        <v>420</v>
      </c>
      <c r="D106" s="134">
        <v>25.75</v>
      </c>
      <c r="E106" s="67">
        <v>3899</v>
      </c>
      <c r="F106" s="146">
        <v>0</v>
      </c>
      <c r="G106" s="92">
        <v>0</v>
      </c>
      <c r="H106" s="91">
        <v>3899</v>
      </c>
      <c r="I106" s="67">
        <v>0</v>
      </c>
      <c r="J106" s="20">
        <v>3899</v>
      </c>
      <c r="K106" s="132" t="s">
        <v>644</v>
      </c>
      <c r="L106" s="151">
        <v>3899</v>
      </c>
      <c r="M106" s="128">
        <v>0</v>
      </c>
      <c r="N106" s="67">
        <v>0</v>
      </c>
      <c r="O106" s="67">
        <v>0</v>
      </c>
      <c r="Q106" s="71"/>
      <c r="S106" s="163">
        <v>0</v>
      </c>
      <c r="T106" s="163">
        <v>0</v>
      </c>
      <c r="U106" s="43">
        <v>0</v>
      </c>
      <c r="V106" s="61"/>
      <c r="AC106" s="36"/>
      <c r="AD106" s="36"/>
      <c r="AE106" s="36"/>
      <c r="AF106" s="19"/>
    </row>
    <row r="107" spans="1:32">
      <c r="A107" s="64" t="s">
        <v>594</v>
      </c>
      <c r="B107" s="63" t="s">
        <v>297</v>
      </c>
      <c r="C107" s="63" t="s">
        <v>298</v>
      </c>
      <c r="D107" s="134">
        <v>0</v>
      </c>
      <c r="E107" s="67">
        <v>0</v>
      </c>
      <c r="F107" s="146">
        <v>0</v>
      </c>
      <c r="G107" s="92">
        <v>0</v>
      </c>
      <c r="H107" s="91">
        <v>0</v>
      </c>
      <c r="I107" s="67">
        <v>0</v>
      </c>
      <c r="J107" s="20">
        <v>0</v>
      </c>
      <c r="K107" s="132" t="s">
        <v>644</v>
      </c>
      <c r="L107" s="151">
        <v>0</v>
      </c>
      <c r="M107" s="128">
        <v>0</v>
      </c>
      <c r="N107" s="67">
        <v>0</v>
      </c>
      <c r="O107" s="67">
        <v>0</v>
      </c>
      <c r="Q107" s="71"/>
      <c r="S107" s="163">
        <v>0</v>
      </c>
      <c r="T107" s="163">
        <v>0</v>
      </c>
      <c r="U107" s="43">
        <v>0</v>
      </c>
      <c r="V107" s="61"/>
      <c r="AC107" s="36"/>
      <c r="AD107" s="36"/>
      <c r="AE107" s="36"/>
      <c r="AF107" s="19"/>
    </row>
    <row r="108" spans="1:32">
      <c r="A108" s="64" t="s">
        <v>603</v>
      </c>
      <c r="B108" s="63" t="s">
        <v>426</v>
      </c>
      <c r="C108" s="63" t="s">
        <v>427</v>
      </c>
      <c r="D108" s="134">
        <v>0</v>
      </c>
      <c r="E108" s="67">
        <v>0</v>
      </c>
      <c r="F108" s="146">
        <v>0</v>
      </c>
      <c r="G108" s="92">
        <v>0</v>
      </c>
      <c r="H108" s="91">
        <v>0</v>
      </c>
      <c r="I108" s="67">
        <v>0</v>
      </c>
      <c r="J108" s="20">
        <v>0</v>
      </c>
      <c r="K108" s="132" t="s">
        <v>644</v>
      </c>
      <c r="L108" s="151">
        <v>0</v>
      </c>
      <c r="M108" s="128">
        <v>0</v>
      </c>
      <c r="N108" s="67">
        <v>0</v>
      </c>
      <c r="O108" s="67">
        <v>0</v>
      </c>
      <c r="Q108" s="71"/>
      <c r="S108" s="163">
        <v>0</v>
      </c>
      <c r="T108" s="163">
        <v>0</v>
      </c>
      <c r="U108" s="43">
        <v>0</v>
      </c>
      <c r="V108" s="61"/>
      <c r="AC108" s="36"/>
      <c r="AD108" s="36"/>
      <c r="AE108" s="36"/>
      <c r="AF108" s="19"/>
    </row>
    <row r="109" spans="1:32">
      <c r="A109" s="64" t="s">
        <v>599</v>
      </c>
      <c r="B109" s="63" t="s">
        <v>54</v>
      </c>
      <c r="C109" s="63" t="s">
        <v>55</v>
      </c>
      <c r="D109" s="134">
        <v>0</v>
      </c>
      <c r="E109" s="67">
        <v>0</v>
      </c>
      <c r="F109" s="146">
        <v>0</v>
      </c>
      <c r="G109" s="92">
        <v>0</v>
      </c>
      <c r="H109" s="91">
        <v>0</v>
      </c>
      <c r="I109" s="67">
        <v>0</v>
      </c>
      <c r="J109" s="20">
        <v>0</v>
      </c>
      <c r="K109" s="132" t="s">
        <v>644</v>
      </c>
      <c r="L109" s="151">
        <v>0</v>
      </c>
      <c r="M109" s="128">
        <v>0</v>
      </c>
      <c r="N109" s="67">
        <v>0</v>
      </c>
      <c r="O109" s="67">
        <v>0</v>
      </c>
      <c r="Q109" s="71"/>
      <c r="S109" s="163">
        <v>0</v>
      </c>
      <c r="T109" s="163">
        <v>0</v>
      </c>
      <c r="U109" s="43">
        <v>0</v>
      </c>
      <c r="V109" s="61"/>
      <c r="AC109" s="36"/>
      <c r="AD109" s="36"/>
      <c r="AE109" s="36"/>
      <c r="AF109" s="19"/>
    </row>
    <row r="110" spans="1:32">
      <c r="A110" s="64" t="s">
        <v>594</v>
      </c>
      <c r="B110" s="63" t="s">
        <v>482</v>
      </c>
      <c r="C110" s="63" t="s">
        <v>483</v>
      </c>
      <c r="D110" s="134">
        <v>0</v>
      </c>
      <c r="E110" s="67">
        <v>0</v>
      </c>
      <c r="F110" s="146">
        <v>0</v>
      </c>
      <c r="G110" s="92">
        <v>0</v>
      </c>
      <c r="H110" s="91">
        <v>0</v>
      </c>
      <c r="I110" s="67">
        <v>0</v>
      </c>
      <c r="J110" s="20">
        <v>0</v>
      </c>
      <c r="K110" s="132" t="s">
        <v>644</v>
      </c>
      <c r="L110" s="151">
        <v>0</v>
      </c>
      <c r="M110" s="128">
        <v>0</v>
      </c>
      <c r="N110" s="67">
        <v>0</v>
      </c>
      <c r="O110" s="67">
        <v>0</v>
      </c>
      <c r="Q110" s="71"/>
      <c r="S110" s="163">
        <v>0</v>
      </c>
      <c r="T110" s="163">
        <v>0</v>
      </c>
      <c r="U110" s="43">
        <v>0</v>
      </c>
      <c r="V110" s="61"/>
      <c r="AC110" s="36"/>
      <c r="AD110" s="36"/>
      <c r="AE110" s="36"/>
      <c r="AF110" s="19"/>
    </row>
    <row r="111" spans="1:32">
      <c r="A111" s="64" t="s">
        <v>603</v>
      </c>
      <c r="B111" s="63" t="s">
        <v>291</v>
      </c>
      <c r="C111" s="63" t="s">
        <v>292</v>
      </c>
      <c r="D111" s="134">
        <v>0</v>
      </c>
      <c r="E111" s="67">
        <v>0</v>
      </c>
      <c r="F111" s="146">
        <v>0</v>
      </c>
      <c r="G111" s="92">
        <v>0</v>
      </c>
      <c r="H111" s="91">
        <v>0</v>
      </c>
      <c r="I111" s="67">
        <v>0</v>
      </c>
      <c r="J111" s="20">
        <v>0</v>
      </c>
      <c r="K111" s="132" t="s">
        <v>644</v>
      </c>
      <c r="L111" s="151">
        <v>0</v>
      </c>
      <c r="M111" s="128">
        <v>0</v>
      </c>
      <c r="N111" s="67">
        <v>0</v>
      </c>
      <c r="O111" s="67">
        <v>0</v>
      </c>
      <c r="Q111" s="71"/>
      <c r="S111" s="163">
        <v>0</v>
      </c>
      <c r="T111" s="163">
        <v>0</v>
      </c>
      <c r="U111" s="43">
        <v>0</v>
      </c>
      <c r="V111" s="61"/>
      <c r="AC111" s="36"/>
      <c r="AD111" s="36"/>
      <c r="AE111" s="36"/>
      <c r="AF111" s="19"/>
    </row>
    <row r="112" spans="1:32">
      <c r="A112" s="64" t="s">
        <v>605</v>
      </c>
      <c r="B112" s="63" t="s">
        <v>561</v>
      </c>
      <c r="C112" s="63" t="s">
        <v>562</v>
      </c>
      <c r="D112" s="134">
        <v>217.13</v>
      </c>
      <c r="E112" s="67">
        <v>32878</v>
      </c>
      <c r="F112" s="146">
        <v>0</v>
      </c>
      <c r="G112" s="92">
        <v>0</v>
      </c>
      <c r="H112" s="91">
        <v>32878</v>
      </c>
      <c r="I112" s="67">
        <v>0</v>
      </c>
      <c r="J112" s="20">
        <v>32878</v>
      </c>
      <c r="K112" s="132" t="s">
        <v>621</v>
      </c>
      <c r="L112" s="151">
        <v>0</v>
      </c>
      <c r="M112" s="128">
        <v>217.13</v>
      </c>
      <c r="N112" s="67">
        <v>584</v>
      </c>
      <c r="O112" s="67">
        <v>33462</v>
      </c>
      <c r="Q112" s="71"/>
      <c r="S112" s="163">
        <v>28765</v>
      </c>
      <c r="T112" s="163">
        <v>4697</v>
      </c>
      <c r="U112" s="43">
        <v>0.16328871892925431</v>
      </c>
      <c r="V112" s="61"/>
      <c r="AC112" s="36"/>
      <c r="AD112" s="36"/>
      <c r="AE112" s="36"/>
      <c r="AF112" s="19"/>
    </row>
    <row r="113" spans="1:32">
      <c r="A113" s="64" t="s">
        <v>597</v>
      </c>
      <c r="B113" s="63" t="s">
        <v>181</v>
      </c>
      <c r="C113" s="63" t="s">
        <v>182</v>
      </c>
      <c r="D113" s="134">
        <v>2912.63</v>
      </c>
      <c r="E113" s="67">
        <v>441035</v>
      </c>
      <c r="F113" s="146">
        <v>0</v>
      </c>
      <c r="G113" s="92">
        <v>0</v>
      </c>
      <c r="H113" s="91">
        <v>441035</v>
      </c>
      <c r="I113" s="67">
        <v>0</v>
      </c>
      <c r="J113" s="20">
        <v>441035</v>
      </c>
      <c r="K113" s="132" t="s">
        <v>621</v>
      </c>
      <c r="L113" s="151">
        <v>0</v>
      </c>
      <c r="M113" s="128">
        <v>2912.63</v>
      </c>
      <c r="N113" s="67">
        <v>7838</v>
      </c>
      <c r="O113" s="67">
        <v>448873</v>
      </c>
      <c r="Q113" s="71"/>
      <c r="S113" s="163">
        <v>344215</v>
      </c>
      <c r="T113" s="163">
        <v>104658</v>
      </c>
      <c r="U113" s="43">
        <v>0.30404834187934865</v>
      </c>
      <c r="V113" s="61"/>
      <c r="AC113" s="36"/>
      <c r="AD113" s="36"/>
      <c r="AE113" s="36"/>
      <c r="AF113" s="19"/>
    </row>
    <row r="114" spans="1:32">
      <c r="A114" s="64" t="s">
        <v>599</v>
      </c>
      <c r="B114" s="63" t="s">
        <v>51</v>
      </c>
      <c r="C114" s="63" t="s">
        <v>52</v>
      </c>
      <c r="D114" s="134">
        <v>15.13</v>
      </c>
      <c r="E114" s="67">
        <v>2291</v>
      </c>
      <c r="F114" s="146">
        <v>0</v>
      </c>
      <c r="G114" s="92">
        <v>0</v>
      </c>
      <c r="H114" s="91">
        <v>2291</v>
      </c>
      <c r="I114" s="67">
        <v>0</v>
      </c>
      <c r="J114" s="20">
        <v>2291</v>
      </c>
      <c r="K114" s="132" t="s">
        <v>644</v>
      </c>
      <c r="L114" s="151">
        <v>2291</v>
      </c>
      <c r="M114" s="128">
        <v>0</v>
      </c>
      <c r="N114" s="67">
        <v>0</v>
      </c>
      <c r="O114" s="67">
        <v>0</v>
      </c>
      <c r="Q114" s="71"/>
      <c r="S114" s="163">
        <v>0</v>
      </c>
      <c r="T114" s="163">
        <v>0</v>
      </c>
      <c r="U114" s="43">
        <v>0</v>
      </c>
      <c r="V114" s="61"/>
      <c r="AC114" s="36"/>
      <c r="AD114" s="36"/>
      <c r="AE114" s="36"/>
      <c r="AF114" s="19"/>
    </row>
    <row r="115" spans="1:32">
      <c r="A115" s="64" t="s">
        <v>594</v>
      </c>
      <c r="B115" s="63" t="s">
        <v>307</v>
      </c>
      <c r="C115" s="63" t="s">
        <v>308</v>
      </c>
      <c r="D115" s="134">
        <v>0</v>
      </c>
      <c r="E115" s="67">
        <v>0</v>
      </c>
      <c r="F115" s="146">
        <v>0</v>
      </c>
      <c r="G115" s="92">
        <v>0</v>
      </c>
      <c r="H115" s="91">
        <v>0</v>
      </c>
      <c r="I115" s="67">
        <v>0</v>
      </c>
      <c r="J115" s="20">
        <v>0</v>
      </c>
      <c r="K115" s="132" t="s">
        <v>644</v>
      </c>
      <c r="L115" s="151">
        <v>0</v>
      </c>
      <c r="M115" s="128">
        <v>0</v>
      </c>
      <c r="N115" s="67">
        <v>0</v>
      </c>
      <c r="O115" s="67">
        <v>0</v>
      </c>
      <c r="Q115" s="71"/>
      <c r="S115" s="163">
        <v>0</v>
      </c>
      <c r="T115" s="163">
        <v>0</v>
      </c>
      <c r="U115" s="4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134</v>
      </c>
      <c r="C116" s="63" t="s">
        <v>135</v>
      </c>
      <c r="D116" s="134">
        <v>67.5</v>
      </c>
      <c r="E116" s="67">
        <v>10221</v>
      </c>
      <c r="F116" s="146">
        <v>0</v>
      </c>
      <c r="G116" s="92">
        <v>0</v>
      </c>
      <c r="H116" s="91">
        <v>10221</v>
      </c>
      <c r="I116" s="67">
        <v>0</v>
      </c>
      <c r="J116" s="20">
        <v>10221</v>
      </c>
      <c r="K116" s="132" t="s">
        <v>621</v>
      </c>
      <c r="L116" s="151">
        <v>0</v>
      </c>
      <c r="M116" s="128">
        <v>67.5</v>
      </c>
      <c r="N116" s="67">
        <v>182</v>
      </c>
      <c r="O116" s="67">
        <v>10403</v>
      </c>
      <c r="Q116" s="71"/>
      <c r="S116" s="163">
        <v>0</v>
      </c>
      <c r="T116" s="163">
        <v>10403</v>
      </c>
      <c r="U116" s="43">
        <v>0</v>
      </c>
      <c r="V116" s="61"/>
      <c r="AC116" s="36"/>
      <c r="AD116" s="36"/>
      <c r="AE116" s="36"/>
      <c r="AF116" s="19"/>
    </row>
    <row r="117" spans="1:32">
      <c r="A117" s="64" t="s">
        <v>603</v>
      </c>
      <c r="B117" s="63" t="s">
        <v>100</v>
      </c>
      <c r="C117" s="63" t="s">
        <v>101</v>
      </c>
      <c r="D117" s="134">
        <v>0</v>
      </c>
      <c r="E117" s="67">
        <v>0</v>
      </c>
      <c r="F117" s="146">
        <v>0</v>
      </c>
      <c r="G117" s="92">
        <v>0</v>
      </c>
      <c r="H117" s="91">
        <v>0</v>
      </c>
      <c r="I117" s="67">
        <v>0</v>
      </c>
      <c r="J117" s="20">
        <v>0</v>
      </c>
      <c r="K117" s="132" t="s">
        <v>644</v>
      </c>
      <c r="L117" s="151">
        <v>0</v>
      </c>
      <c r="M117" s="128">
        <v>0</v>
      </c>
      <c r="N117" s="67">
        <v>0</v>
      </c>
      <c r="O117" s="67">
        <v>0</v>
      </c>
      <c r="Q117" s="71"/>
      <c r="S117" s="163">
        <v>0</v>
      </c>
      <c r="T117" s="163">
        <v>0</v>
      </c>
      <c r="U117" s="43">
        <v>0</v>
      </c>
      <c r="V117" s="61"/>
      <c r="AC117" s="36"/>
      <c r="AD117" s="36"/>
      <c r="AE117" s="36"/>
      <c r="AF117" s="19"/>
    </row>
    <row r="118" spans="1:32">
      <c r="A118" s="64" t="s">
        <v>595</v>
      </c>
      <c r="B118" s="63" t="s">
        <v>407</v>
      </c>
      <c r="C118" s="63" t="s">
        <v>408</v>
      </c>
      <c r="D118" s="134">
        <v>0</v>
      </c>
      <c r="E118" s="67">
        <v>0</v>
      </c>
      <c r="F118" s="146">
        <v>0</v>
      </c>
      <c r="G118" s="92">
        <v>0</v>
      </c>
      <c r="H118" s="91">
        <v>0</v>
      </c>
      <c r="I118" s="67">
        <v>0</v>
      </c>
      <c r="J118" s="20">
        <v>0</v>
      </c>
      <c r="K118" s="132" t="s">
        <v>644</v>
      </c>
      <c r="L118" s="151">
        <v>0</v>
      </c>
      <c r="M118" s="128">
        <v>0</v>
      </c>
      <c r="N118" s="67">
        <v>0</v>
      </c>
      <c r="O118" s="67">
        <v>0</v>
      </c>
      <c r="Q118" s="71"/>
      <c r="S118" s="163">
        <v>0</v>
      </c>
      <c r="T118" s="163">
        <v>0</v>
      </c>
      <c r="U118" s="43">
        <v>0</v>
      </c>
      <c r="V118" s="61"/>
      <c r="AC118" s="36"/>
      <c r="AD118" s="36"/>
      <c r="AE118" s="36"/>
      <c r="AF118" s="19"/>
    </row>
    <row r="119" spans="1:32">
      <c r="A119" s="64" t="s">
        <v>597</v>
      </c>
      <c r="B119" s="63" t="s">
        <v>201</v>
      </c>
      <c r="C119" s="63" t="s">
        <v>202</v>
      </c>
      <c r="D119" s="134">
        <v>426.13</v>
      </c>
      <c r="E119" s="67">
        <v>64525</v>
      </c>
      <c r="F119" s="146">
        <v>0</v>
      </c>
      <c r="G119" s="92">
        <v>0</v>
      </c>
      <c r="H119" s="91">
        <v>64525</v>
      </c>
      <c r="I119" s="67">
        <v>0</v>
      </c>
      <c r="J119" s="20">
        <v>64525</v>
      </c>
      <c r="K119" s="132" t="s">
        <v>621</v>
      </c>
      <c r="L119" s="151">
        <v>0</v>
      </c>
      <c r="M119" s="128">
        <v>426.13</v>
      </c>
      <c r="N119" s="67">
        <v>1147</v>
      </c>
      <c r="O119" s="67">
        <v>65672</v>
      </c>
      <c r="Q119" s="71"/>
      <c r="S119" s="163">
        <v>43345</v>
      </c>
      <c r="T119" s="163">
        <v>22327</v>
      </c>
      <c r="U119" s="43">
        <v>0.5150997808282386</v>
      </c>
      <c r="V119" s="61"/>
      <c r="AC119" s="36"/>
      <c r="AD119" s="36"/>
      <c r="AE119" s="36"/>
      <c r="AF119" s="19"/>
    </row>
    <row r="120" spans="1:32">
      <c r="A120" s="64" t="s">
        <v>596</v>
      </c>
      <c r="B120" s="63" t="s">
        <v>110</v>
      </c>
      <c r="C120" s="63" t="s">
        <v>111</v>
      </c>
      <c r="D120" s="134">
        <v>0</v>
      </c>
      <c r="E120" s="67">
        <v>0</v>
      </c>
      <c r="F120" s="146">
        <v>0</v>
      </c>
      <c r="G120" s="92">
        <v>0</v>
      </c>
      <c r="H120" s="91">
        <v>0</v>
      </c>
      <c r="I120" s="67">
        <v>0</v>
      </c>
      <c r="J120" s="20">
        <v>0</v>
      </c>
      <c r="K120" s="132" t="s">
        <v>644</v>
      </c>
      <c r="L120" s="151">
        <v>0</v>
      </c>
      <c r="M120" s="128">
        <v>0</v>
      </c>
      <c r="N120" s="67">
        <v>0</v>
      </c>
      <c r="O120" s="67">
        <v>0</v>
      </c>
      <c r="Q120" s="71"/>
      <c r="S120" s="163">
        <v>0</v>
      </c>
      <c r="T120" s="163">
        <v>0</v>
      </c>
      <c r="U120" s="43">
        <v>0</v>
      </c>
      <c r="V120" s="61"/>
      <c r="AC120" s="36"/>
      <c r="AD120" s="36"/>
      <c r="AE120" s="36"/>
      <c r="AF120" s="19"/>
    </row>
    <row r="121" spans="1:32">
      <c r="A121" s="64" t="s">
        <v>599</v>
      </c>
      <c r="B121" s="63" t="s">
        <v>76</v>
      </c>
      <c r="C121" s="63" t="s">
        <v>77</v>
      </c>
      <c r="D121" s="134">
        <v>0</v>
      </c>
      <c r="E121" s="67">
        <v>0</v>
      </c>
      <c r="F121" s="146">
        <v>0</v>
      </c>
      <c r="G121" s="92">
        <v>0</v>
      </c>
      <c r="H121" s="91">
        <v>0</v>
      </c>
      <c r="I121" s="67">
        <v>0</v>
      </c>
      <c r="J121" s="20">
        <v>0</v>
      </c>
      <c r="K121" s="132" t="s">
        <v>644</v>
      </c>
      <c r="L121" s="151">
        <v>0</v>
      </c>
      <c r="M121" s="128">
        <v>0</v>
      </c>
      <c r="N121" s="67">
        <v>0</v>
      </c>
      <c r="O121" s="67">
        <v>0</v>
      </c>
      <c r="Q121" s="71"/>
      <c r="S121" s="163">
        <v>0</v>
      </c>
      <c r="T121" s="163">
        <v>0</v>
      </c>
      <c r="U121" s="43">
        <v>0</v>
      </c>
      <c r="V121" s="61"/>
      <c r="AC121" s="36"/>
      <c r="AD121" s="36"/>
      <c r="AE121" s="36"/>
      <c r="AF121" s="19"/>
    </row>
    <row r="122" spans="1:32">
      <c r="A122" s="64" t="s">
        <v>603</v>
      </c>
      <c r="B122" s="66" t="s">
        <v>94</v>
      </c>
      <c r="C122" s="63" t="s">
        <v>95</v>
      </c>
      <c r="D122" s="134">
        <v>0</v>
      </c>
      <c r="E122" s="67">
        <v>0</v>
      </c>
      <c r="F122" s="146">
        <v>0</v>
      </c>
      <c r="G122" s="92">
        <v>0</v>
      </c>
      <c r="H122" s="91">
        <v>0</v>
      </c>
      <c r="I122" s="67">
        <v>0</v>
      </c>
      <c r="J122" s="20">
        <v>0</v>
      </c>
      <c r="K122" s="132" t="s">
        <v>644</v>
      </c>
      <c r="L122" s="151">
        <v>0</v>
      </c>
      <c r="M122" s="128">
        <v>0</v>
      </c>
      <c r="N122" s="67">
        <v>0</v>
      </c>
      <c r="O122" s="67">
        <v>0</v>
      </c>
      <c r="Q122" s="71"/>
      <c r="S122" s="163">
        <v>0</v>
      </c>
      <c r="T122" s="163">
        <v>0</v>
      </c>
      <c r="U122" s="43">
        <v>0</v>
      </c>
      <c r="V122" s="61"/>
      <c r="AC122" s="36"/>
      <c r="AD122" s="36"/>
      <c r="AE122" s="36"/>
      <c r="AF122" s="19"/>
    </row>
    <row r="123" spans="1:32">
      <c r="A123" s="64" t="s">
        <v>599</v>
      </c>
      <c r="B123" s="63" t="s">
        <v>80</v>
      </c>
      <c r="C123" s="63" t="s">
        <v>81</v>
      </c>
      <c r="D123" s="134">
        <v>169.75</v>
      </c>
      <c r="E123" s="67">
        <v>25704</v>
      </c>
      <c r="F123" s="146">
        <v>0</v>
      </c>
      <c r="G123" s="92">
        <v>5550</v>
      </c>
      <c r="H123" s="91">
        <v>31254</v>
      </c>
      <c r="I123" s="67">
        <v>0</v>
      </c>
      <c r="J123" s="20">
        <v>25704</v>
      </c>
      <c r="K123" s="132" t="s">
        <v>621</v>
      </c>
      <c r="L123" s="151">
        <v>0</v>
      </c>
      <c r="M123" s="128">
        <v>169.75</v>
      </c>
      <c r="N123" s="67">
        <v>457</v>
      </c>
      <c r="O123" s="67">
        <v>26161</v>
      </c>
      <c r="Q123" s="71"/>
      <c r="S123" s="163">
        <v>22445</v>
      </c>
      <c r="T123" s="163">
        <v>3716</v>
      </c>
      <c r="U123" s="43">
        <v>0.1655602584094453</v>
      </c>
      <c r="V123" s="61"/>
      <c r="AC123" s="36"/>
      <c r="AD123" s="36"/>
      <c r="AE123" s="36"/>
      <c r="AF123" s="19"/>
    </row>
    <row r="124" spans="1:32">
      <c r="A124" s="64" t="s">
        <v>596</v>
      </c>
      <c r="B124" s="63" t="s">
        <v>14</v>
      </c>
      <c r="C124" s="63" t="s">
        <v>15</v>
      </c>
      <c r="D124" s="134">
        <v>1318.5</v>
      </c>
      <c r="E124" s="67">
        <v>199649</v>
      </c>
      <c r="F124" s="146">
        <v>0</v>
      </c>
      <c r="G124" s="92">
        <v>0</v>
      </c>
      <c r="H124" s="91">
        <v>199649</v>
      </c>
      <c r="I124" s="67">
        <v>0</v>
      </c>
      <c r="J124" s="20">
        <v>199649</v>
      </c>
      <c r="K124" s="132" t="s">
        <v>621</v>
      </c>
      <c r="L124" s="151">
        <v>0</v>
      </c>
      <c r="M124" s="128">
        <v>1318.5</v>
      </c>
      <c r="N124" s="67">
        <v>3548</v>
      </c>
      <c r="O124" s="67">
        <v>203197</v>
      </c>
      <c r="Q124" s="71"/>
      <c r="S124" s="163">
        <v>157134</v>
      </c>
      <c r="T124" s="163">
        <v>46063</v>
      </c>
      <c r="U124" s="43">
        <v>0.29314470451970931</v>
      </c>
      <c r="V124" s="61"/>
      <c r="AC124" s="36"/>
      <c r="AD124" s="36"/>
      <c r="AE124" s="36"/>
      <c r="AF124" s="19"/>
    </row>
    <row r="125" spans="1:32">
      <c r="A125" s="64" t="s">
        <v>597</v>
      </c>
      <c r="B125" s="63" t="s">
        <v>207</v>
      </c>
      <c r="C125" s="63" t="s">
        <v>208</v>
      </c>
      <c r="D125" s="134">
        <v>3685.5</v>
      </c>
      <c r="E125" s="67">
        <v>558064</v>
      </c>
      <c r="F125" s="146">
        <v>0</v>
      </c>
      <c r="G125" s="92">
        <v>0</v>
      </c>
      <c r="H125" s="91">
        <v>558064</v>
      </c>
      <c r="I125" s="67">
        <v>0</v>
      </c>
      <c r="J125" s="20">
        <v>558064</v>
      </c>
      <c r="K125" s="132" t="s">
        <v>621</v>
      </c>
      <c r="L125" s="151">
        <v>0</v>
      </c>
      <c r="M125" s="128">
        <v>3685.5</v>
      </c>
      <c r="N125" s="67">
        <v>9918</v>
      </c>
      <c r="O125" s="67">
        <v>567982</v>
      </c>
      <c r="Q125" s="71"/>
      <c r="S125" s="163">
        <v>447774</v>
      </c>
      <c r="T125" s="163">
        <v>120208</v>
      </c>
      <c r="U125" s="43">
        <v>0.268456855467267</v>
      </c>
      <c r="V125" s="61"/>
      <c r="AC125" s="36"/>
      <c r="AD125" s="36"/>
      <c r="AE125" s="36"/>
      <c r="AF125" s="19"/>
    </row>
    <row r="126" spans="1:32">
      <c r="A126" s="64" t="s">
        <v>603</v>
      </c>
      <c r="B126" s="63" t="s">
        <v>470</v>
      </c>
      <c r="C126" s="63" t="s">
        <v>471</v>
      </c>
      <c r="D126" s="134">
        <v>0</v>
      </c>
      <c r="E126" s="67">
        <v>0</v>
      </c>
      <c r="F126" s="146">
        <v>0</v>
      </c>
      <c r="G126" s="92">
        <v>0</v>
      </c>
      <c r="H126" s="91">
        <v>0</v>
      </c>
      <c r="I126" s="67">
        <v>0</v>
      </c>
      <c r="J126" s="20">
        <v>0</v>
      </c>
      <c r="K126" s="132" t="s">
        <v>644</v>
      </c>
      <c r="L126" s="151">
        <v>0</v>
      </c>
      <c r="M126" s="128">
        <v>0</v>
      </c>
      <c r="N126" s="67">
        <v>0</v>
      </c>
      <c r="O126" s="67">
        <v>0</v>
      </c>
      <c r="Q126" s="71"/>
      <c r="S126" s="163">
        <v>0</v>
      </c>
      <c r="T126" s="163">
        <v>0</v>
      </c>
      <c r="U126" s="43">
        <v>0</v>
      </c>
      <c r="V126" s="61"/>
      <c r="AC126" s="36"/>
      <c r="AD126" s="36"/>
      <c r="AE126" s="36"/>
      <c r="AF126" s="19"/>
    </row>
    <row r="127" spans="1:32">
      <c r="A127" s="64" t="s">
        <v>596</v>
      </c>
      <c r="B127" s="63" t="s">
        <v>18</v>
      </c>
      <c r="C127" s="63" t="s">
        <v>608</v>
      </c>
      <c r="D127" s="134">
        <v>191.63</v>
      </c>
      <c r="E127" s="67">
        <v>29017</v>
      </c>
      <c r="F127" s="146">
        <v>0</v>
      </c>
      <c r="G127" s="92">
        <v>0</v>
      </c>
      <c r="H127" s="91">
        <v>29017</v>
      </c>
      <c r="I127" s="67">
        <v>0</v>
      </c>
      <c r="J127" s="20">
        <v>29017</v>
      </c>
      <c r="K127" s="132" t="s">
        <v>621</v>
      </c>
      <c r="L127" s="151">
        <v>0</v>
      </c>
      <c r="M127" s="128">
        <v>191.63</v>
      </c>
      <c r="N127" s="67">
        <v>516</v>
      </c>
      <c r="O127" s="67">
        <v>29533</v>
      </c>
      <c r="Q127" s="71"/>
      <c r="S127" s="163">
        <v>21475</v>
      </c>
      <c r="T127" s="163">
        <v>8058</v>
      </c>
      <c r="U127" s="43">
        <v>0.3752270081490105</v>
      </c>
      <c r="V127" s="61"/>
      <c r="AC127" s="36"/>
      <c r="AD127" s="36"/>
      <c r="AE127" s="36"/>
      <c r="AF127" s="19"/>
    </row>
    <row r="128" spans="1:32">
      <c r="A128" s="64" t="s">
        <v>605</v>
      </c>
      <c r="B128" s="63" t="s">
        <v>228</v>
      </c>
      <c r="C128" s="63" t="s">
        <v>229</v>
      </c>
      <c r="D128" s="134">
        <v>38.25</v>
      </c>
      <c r="E128" s="67">
        <v>5792</v>
      </c>
      <c r="F128" s="146">
        <v>0</v>
      </c>
      <c r="G128" s="92">
        <v>0</v>
      </c>
      <c r="H128" s="91">
        <v>5792</v>
      </c>
      <c r="I128" s="67">
        <v>0</v>
      </c>
      <c r="J128" s="20">
        <v>5792</v>
      </c>
      <c r="K128" s="132" t="s">
        <v>621</v>
      </c>
      <c r="L128" s="151">
        <v>0</v>
      </c>
      <c r="M128" s="128">
        <v>38.25</v>
      </c>
      <c r="N128" s="67">
        <v>103</v>
      </c>
      <c r="O128" s="67">
        <v>5895</v>
      </c>
      <c r="Q128" s="71"/>
      <c r="S128" s="163">
        <v>4698</v>
      </c>
      <c r="T128" s="163">
        <v>1197</v>
      </c>
      <c r="U128" s="43">
        <v>0.25478927203065133</v>
      </c>
      <c r="V128" s="61"/>
      <c r="AC128" s="36"/>
      <c r="AD128" s="36"/>
      <c r="AE128" s="36"/>
      <c r="AF128" s="19"/>
    </row>
    <row r="129" spans="1:32">
      <c r="A129" s="64" t="s">
        <v>599</v>
      </c>
      <c r="B129" s="63" t="s">
        <v>242</v>
      </c>
      <c r="C129" s="63" t="s">
        <v>243</v>
      </c>
      <c r="D129" s="134">
        <v>0</v>
      </c>
      <c r="E129" s="67">
        <v>0</v>
      </c>
      <c r="F129" s="146">
        <v>0</v>
      </c>
      <c r="G129" s="92">
        <v>0</v>
      </c>
      <c r="H129" s="91">
        <v>0</v>
      </c>
      <c r="I129" s="67">
        <v>0</v>
      </c>
      <c r="J129" s="20">
        <v>0</v>
      </c>
      <c r="K129" s="132" t="s">
        <v>644</v>
      </c>
      <c r="L129" s="151">
        <v>0</v>
      </c>
      <c r="M129" s="128">
        <v>0</v>
      </c>
      <c r="N129" s="67">
        <v>0</v>
      </c>
      <c r="O129" s="67">
        <v>0</v>
      </c>
      <c r="Q129" s="71"/>
      <c r="S129" s="163">
        <v>0</v>
      </c>
      <c r="T129" s="163">
        <v>0</v>
      </c>
      <c r="U129" s="43">
        <v>0</v>
      </c>
      <c r="V129" s="61"/>
      <c r="AC129" s="36"/>
      <c r="AD129" s="36"/>
      <c r="AE129" s="36"/>
      <c r="AF129" s="19"/>
    </row>
    <row r="130" spans="1:32">
      <c r="A130" s="64" t="s">
        <v>595</v>
      </c>
      <c r="B130" s="63" t="s">
        <v>382</v>
      </c>
      <c r="C130" s="63" t="s">
        <v>383</v>
      </c>
      <c r="D130" s="134">
        <v>0</v>
      </c>
      <c r="E130" s="67">
        <v>0</v>
      </c>
      <c r="F130" s="146">
        <v>0</v>
      </c>
      <c r="G130" s="92">
        <v>0</v>
      </c>
      <c r="H130" s="91">
        <v>0</v>
      </c>
      <c r="I130" s="67">
        <v>0</v>
      </c>
      <c r="J130" s="20">
        <v>0</v>
      </c>
      <c r="K130" s="132" t="s">
        <v>644</v>
      </c>
      <c r="L130" s="151">
        <v>0</v>
      </c>
      <c r="M130" s="128">
        <v>0</v>
      </c>
      <c r="N130" s="67">
        <v>0</v>
      </c>
      <c r="O130" s="67">
        <v>0</v>
      </c>
      <c r="Q130" s="71"/>
      <c r="S130" s="163">
        <v>0</v>
      </c>
      <c r="T130" s="163">
        <v>0</v>
      </c>
      <c r="U130" s="43">
        <v>0</v>
      </c>
      <c r="V130" s="61"/>
      <c r="AC130" s="36"/>
      <c r="AD130" s="36"/>
      <c r="AE130" s="36"/>
      <c r="AF130" s="19"/>
    </row>
    <row r="131" spans="1:32">
      <c r="A131" s="64" t="s">
        <v>599</v>
      </c>
      <c r="B131" s="63" t="s">
        <v>53</v>
      </c>
      <c r="C131" s="63" t="s">
        <v>609</v>
      </c>
      <c r="D131" s="134">
        <v>14.75</v>
      </c>
      <c r="E131" s="67">
        <v>2233</v>
      </c>
      <c r="F131" s="146">
        <v>0</v>
      </c>
      <c r="G131" s="92">
        <v>0</v>
      </c>
      <c r="H131" s="91">
        <v>2233</v>
      </c>
      <c r="I131" s="67">
        <v>0</v>
      </c>
      <c r="J131" s="20">
        <v>2233</v>
      </c>
      <c r="K131" s="132" t="s">
        <v>644</v>
      </c>
      <c r="L131" s="151">
        <v>2233</v>
      </c>
      <c r="M131" s="128">
        <v>0</v>
      </c>
      <c r="N131" s="67">
        <v>0</v>
      </c>
      <c r="O131" s="67">
        <v>0</v>
      </c>
      <c r="Q131" s="71"/>
      <c r="S131" s="163">
        <v>1577</v>
      </c>
      <c r="T131" s="163">
        <v>-1577</v>
      </c>
      <c r="U131" s="43">
        <v>-1</v>
      </c>
      <c r="V131" s="61"/>
      <c r="AC131" s="36"/>
      <c r="AD131" s="36"/>
      <c r="AE131" s="36"/>
      <c r="AF131" s="19"/>
    </row>
    <row r="132" spans="1:32">
      <c r="A132" s="64" t="s">
        <v>603</v>
      </c>
      <c r="B132" s="63" t="s">
        <v>518</v>
      </c>
      <c r="C132" s="63" t="s">
        <v>645</v>
      </c>
      <c r="D132" s="134">
        <v>0</v>
      </c>
      <c r="E132" s="67">
        <v>0</v>
      </c>
      <c r="F132" s="146">
        <v>0</v>
      </c>
      <c r="G132" s="92">
        <v>0</v>
      </c>
      <c r="H132" s="91">
        <v>0</v>
      </c>
      <c r="I132" s="67">
        <v>0</v>
      </c>
      <c r="J132" s="20">
        <v>0</v>
      </c>
      <c r="K132" s="132" t="s">
        <v>644</v>
      </c>
      <c r="L132" s="151">
        <v>0</v>
      </c>
      <c r="M132" s="128">
        <v>0</v>
      </c>
      <c r="N132" s="67">
        <v>0</v>
      </c>
      <c r="O132" s="67">
        <v>0</v>
      </c>
      <c r="Q132" s="71"/>
      <c r="S132" s="163">
        <v>0</v>
      </c>
      <c r="T132" s="163">
        <v>0</v>
      </c>
      <c r="U132" s="43">
        <v>0</v>
      </c>
      <c r="V132" s="61"/>
      <c r="AC132" s="36"/>
      <c r="AD132" s="36"/>
      <c r="AE132" s="36"/>
      <c r="AF132" s="19"/>
    </row>
    <row r="133" spans="1:32">
      <c r="A133" s="64" t="s">
        <v>601</v>
      </c>
      <c r="B133" s="63" t="s">
        <v>31</v>
      </c>
      <c r="C133" s="63" t="s">
        <v>32</v>
      </c>
      <c r="D133" s="134">
        <v>234.63</v>
      </c>
      <c r="E133" s="67">
        <v>35528</v>
      </c>
      <c r="F133" s="146">
        <v>0</v>
      </c>
      <c r="G133" s="92">
        <v>0</v>
      </c>
      <c r="H133" s="91">
        <v>35528</v>
      </c>
      <c r="I133" s="67">
        <v>0</v>
      </c>
      <c r="J133" s="20">
        <v>35528</v>
      </c>
      <c r="K133" s="132" t="s">
        <v>621</v>
      </c>
      <c r="L133" s="151">
        <v>0</v>
      </c>
      <c r="M133" s="128">
        <v>234.63</v>
      </c>
      <c r="N133" s="67">
        <v>631</v>
      </c>
      <c r="O133" s="67">
        <v>36159</v>
      </c>
      <c r="Q133" s="71"/>
      <c r="S133" s="163">
        <v>27781</v>
      </c>
      <c r="T133" s="163">
        <v>8378</v>
      </c>
      <c r="U133" s="43">
        <v>0.30157301752996651</v>
      </c>
      <c r="V133" s="61"/>
      <c r="AC133" s="36"/>
      <c r="AD133" s="36"/>
      <c r="AE133" s="36"/>
      <c r="AF133" s="19"/>
    </row>
    <row r="134" spans="1:32">
      <c r="A134" s="64" t="s">
        <v>595</v>
      </c>
      <c r="B134" s="63" t="s">
        <v>397</v>
      </c>
      <c r="C134" s="63" t="s">
        <v>398</v>
      </c>
      <c r="D134" s="134">
        <v>188.38</v>
      </c>
      <c r="E134" s="67">
        <v>28525</v>
      </c>
      <c r="F134" s="146">
        <v>0</v>
      </c>
      <c r="G134" s="92">
        <v>0</v>
      </c>
      <c r="H134" s="91">
        <v>28525</v>
      </c>
      <c r="I134" s="67">
        <v>0</v>
      </c>
      <c r="J134" s="20">
        <v>28525</v>
      </c>
      <c r="K134" s="132" t="s">
        <v>621</v>
      </c>
      <c r="L134" s="151">
        <v>0</v>
      </c>
      <c r="M134" s="128">
        <v>188.38</v>
      </c>
      <c r="N134" s="67">
        <v>507</v>
      </c>
      <c r="O134" s="67">
        <v>29032</v>
      </c>
      <c r="Q134" s="71"/>
      <c r="S134" s="163">
        <v>17687</v>
      </c>
      <c r="T134" s="163">
        <v>11345</v>
      </c>
      <c r="U134" s="43">
        <v>0.64143155990275347</v>
      </c>
      <c r="V134" s="61"/>
      <c r="AC134" s="36"/>
      <c r="AD134" s="36"/>
      <c r="AE134" s="36"/>
      <c r="AF134" s="19"/>
    </row>
    <row r="135" spans="1:32">
      <c r="A135" s="64" t="s">
        <v>597</v>
      </c>
      <c r="B135" s="65" t="s">
        <v>659</v>
      </c>
      <c r="C135" s="63" t="s">
        <v>660</v>
      </c>
      <c r="D135" s="134">
        <v>0</v>
      </c>
      <c r="E135" s="67">
        <v>0</v>
      </c>
      <c r="F135" s="146">
        <v>0</v>
      </c>
      <c r="G135" s="92">
        <v>0</v>
      </c>
      <c r="H135" s="91">
        <v>0</v>
      </c>
      <c r="I135" s="67">
        <v>0</v>
      </c>
      <c r="J135" s="20">
        <v>0</v>
      </c>
      <c r="K135" s="132" t="s">
        <v>644</v>
      </c>
      <c r="L135" s="151">
        <v>0</v>
      </c>
      <c r="M135" s="128">
        <v>0</v>
      </c>
      <c r="N135" s="67">
        <v>0</v>
      </c>
      <c r="O135" s="67">
        <v>0</v>
      </c>
      <c r="Q135" s="71"/>
      <c r="S135" s="163">
        <v>121</v>
      </c>
      <c r="T135" s="163">
        <v>-121</v>
      </c>
      <c r="U135" s="43">
        <v>-1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3" t="s">
        <v>205</v>
      </c>
      <c r="C136" s="63" t="s">
        <v>206</v>
      </c>
      <c r="D136" s="134">
        <v>1051.6300000000001</v>
      </c>
      <c r="E136" s="67">
        <v>159239</v>
      </c>
      <c r="F136" s="146">
        <v>0</v>
      </c>
      <c r="G136" s="92">
        <v>0</v>
      </c>
      <c r="H136" s="91">
        <v>159239</v>
      </c>
      <c r="I136" s="67">
        <v>0</v>
      </c>
      <c r="J136" s="20">
        <v>159239</v>
      </c>
      <c r="K136" s="132" t="s">
        <v>621</v>
      </c>
      <c r="L136" s="151">
        <v>0</v>
      </c>
      <c r="M136" s="128">
        <v>1051.6300000000001</v>
      </c>
      <c r="N136" s="67">
        <v>2830</v>
      </c>
      <c r="O136" s="67">
        <v>162069</v>
      </c>
      <c r="Q136" s="71"/>
      <c r="S136" s="163">
        <v>118047</v>
      </c>
      <c r="T136" s="163">
        <v>44022</v>
      </c>
      <c r="U136" s="43">
        <v>0.37291926097232458</v>
      </c>
      <c r="V136" s="61"/>
      <c r="AC136" s="36"/>
      <c r="AD136" s="36"/>
      <c r="AE136" s="36"/>
      <c r="AF136" s="19"/>
    </row>
    <row r="137" spans="1:32">
      <c r="A137" s="64" t="s">
        <v>595</v>
      </c>
      <c r="B137" s="63" t="s">
        <v>413</v>
      </c>
      <c r="C137" s="63" t="s">
        <v>414</v>
      </c>
      <c r="D137" s="134">
        <v>61.25</v>
      </c>
      <c r="E137" s="67">
        <v>9275</v>
      </c>
      <c r="F137" s="146">
        <v>0</v>
      </c>
      <c r="G137" s="92">
        <v>0</v>
      </c>
      <c r="H137" s="91">
        <v>9275</v>
      </c>
      <c r="I137" s="67">
        <v>0</v>
      </c>
      <c r="J137" s="20">
        <v>9275</v>
      </c>
      <c r="K137" s="132" t="s">
        <v>621</v>
      </c>
      <c r="L137" s="151">
        <v>0</v>
      </c>
      <c r="M137" s="128">
        <v>61.25</v>
      </c>
      <c r="N137" s="67">
        <v>165</v>
      </c>
      <c r="O137" s="67">
        <v>9440</v>
      </c>
      <c r="Q137" s="71"/>
      <c r="S137" s="163">
        <v>7502</v>
      </c>
      <c r="T137" s="163">
        <v>1938</v>
      </c>
      <c r="U137" s="43">
        <v>0.25833111170354572</v>
      </c>
      <c r="V137" s="61"/>
      <c r="AC137" s="36"/>
      <c r="AD137" s="36"/>
      <c r="AE137" s="36"/>
      <c r="AF137" s="19"/>
    </row>
    <row r="138" spans="1:32">
      <c r="A138" s="64" t="s">
        <v>603</v>
      </c>
      <c r="B138" s="63" t="s">
        <v>519</v>
      </c>
      <c r="C138" s="63" t="s">
        <v>520</v>
      </c>
      <c r="D138" s="134">
        <v>0</v>
      </c>
      <c r="E138" s="67">
        <v>0</v>
      </c>
      <c r="F138" s="146">
        <v>0</v>
      </c>
      <c r="G138" s="92">
        <v>0</v>
      </c>
      <c r="H138" s="91">
        <v>0</v>
      </c>
      <c r="I138" s="67">
        <v>0</v>
      </c>
      <c r="J138" s="20">
        <v>0</v>
      </c>
      <c r="K138" s="132" t="s">
        <v>644</v>
      </c>
      <c r="L138" s="151">
        <v>0</v>
      </c>
      <c r="M138" s="128">
        <v>0</v>
      </c>
      <c r="N138" s="67">
        <v>0</v>
      </c>
      <c r="O138" s="67">
        <v>0</v>
      </c>
      <c r="Q138" s="71"/>
      <c r="S138" s="163">
        <v>0</v>
      </c>
      <c r="T138" s="163">
        <v>0</v>
      </c>
      <c r="U138" s="43">
        <v>0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441</v>
      </c>
      <c r="C139" s="63" t="s">
        <v>442</v>
      </c>
      <c r="D139" s="134">
        <v>0.13</v>
      </c>
      <c r="E139" s="67">
        <v>20</v>
      </c>
      <c r="F139" s="146">
        <v>0</v>
      </c>
      <c r="G139" s="92">
        <v>0</v>
      </c>
      <c r="H139" s="91">
        <v>20</v>
      </c>
      <c r="I139" s="67">
        <v>0</v>
      </c>
      <c r="J139" s="20">
        <v>20</v>
      </c>
      <c r="K139" s="132" t="s">
        <v>644</v>
      </c>
      <c r="L139" s="151">
        <v>20</v>
      </c>
      <c r="M139" s="128">
        <v>0</v>
      </c>
      <c r="N139" s="67">
        <v>0</v>
      </c>
      <c r="O139" s="67">
        <v>0</v>
      </c>
      <c r="Q139" s="71"/>
      <c r="S139" s="163">
        <v>0</v>
      </c>
      <c r="T139" s="163">
        <v>0</v>
      </c>
      <c r="U139" s="4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6</v>
      </c>
      <c r="C140" s="63" t="s">
        <v>7</v>
      </c>
      <c r="D140" s="134">
        <v>19.5</v>
      </c>
      <c r="E140" s="67">
        <v>2953</v>
      </c>
      <c r="F140" s="146">
        <v>0</v>
      </c>
      <c r="G140" s="92">
        <v>0</v>
      </c>
      <c r="H140" s="91">
        <v>2953</v>
      </c>
      <c r="I140" s="67">
        <v>0</v>
      </c>
      <c r="J140" s="20">
        <v>2953</v>
      </c>
      <c r="K140" s="132" t="s">
        <v>644</v>
      </c>
      <c r="L140" s="151">
        <v>2953</v>
      </c>
      <c r="M140" s="128">
        <v>0</v>
      </c>
      <c r="N140" s="67">
        <v>0</v>
      </c>
      <c r="O140" s="67">
        <v>0</v>
      </c>
      <c r="Q140" s="71"/>
      <c r="S140" s="163">
        <v>0</v>
      </c>
      <c r="T140" s="163">
        <v>0</v>
      </c>
      <c r="U140" s="43">
        <v>0</v>
      </c>
      <c r="V140" s="61"/>
      <c r="AC140" s="36"/>
      <c r="AD140" s="36"/>
      <c r="AE140" s="36"/>
      <c r="AF140" s="19"/>
    </row>
    <row r="141" spans="1:32">
      <c r="A141" s="64" t="s">
        <v>599</v>
      </c>
      <c r="B141" s="63" t="s">
        <v>70</v>
      </c>
      <c r="C141" s="63" t="s">
        <v>71</v>
      </c>
      <c r="D141" s="134">
        <v>356.75</v>
      </c>
      <c r="E141" s="67">
        <v>54020</v>
      </c>
      <c r="F141" s="146">
        <v>0</v>
      </c>
      <c r="G141" s="92">
        <v>0</v>
      </c>
      <c r="H141" s="91">
        <v>54020</v>
      </c>
      <c r="I141" s="67">
        <v>0</v>
      </c>
      <c r="J141" s="20">
        <v>54020</v>
      </c>
      <c r="K141" s="132" t="s">
        <v>621</v>
      </c>
      <c r="L141" s="151">
        <v>0</v>
      </c>
      <c r="M141" s="128">
        <v>356.75</v>
      </c>
      <c r="N141" s="67">
        <v>960</v>
      </c>
      <c r="O141" s="67">
        <v>54980</v>
      </c>
      <c r="Q141" s="71"/>
      <c r="S141" s="163">
        <v>38026</v>
      </c>
      <c r="T141" s="163">
        <v>16954</v>
      </c>
      <c r="U141" s="43">
        <v>0.44585283753221477</v>
      </c>
      <c r="V141" s="61"/>
      <c r="AC141" s="36"/>
      <c r="AD141" s="36"/>
      <c r="AE141" s="36"/>
      <c r="AF141" s="19"/>
    </row>
    <row r="142" spans="1:32">
      <c r="A142" s="64" t="s">
        <v>603</v>
      </c>
      <c r="B142" s="63" t="s">
        <v>458</v>
      </c>
      <c r="C142" s="63" t="s">
        <v>459</v>
      </c>
      <c r="D142" s="134">
        <v>0</v>
      </c>
      <c r="E142" s="67">
        <v>0</v>
      </c>
      <c r="F142" s="146">
        <v>0</v>
      </c>
      <c r="G142" s="92">
        <v>0</v>
      </c>
      <c r="H142" s="91">
        <v>0</v>
      </c>
      <c r="I142" s="67">
        <v>0</v>
      </c>
      <c r="J142" s="20">
        <v>0</v>
      </c>
      <c r="K142" s="132" t="s">
        <v>644</v>
      </c>
      <c r="L142" s="151">
        <v>0</v>
      </c>
      <c r="M142" s="128">
        <v>0</v>
      </c>
      <c r="N142" s="67">
        <v>0</v>
      </c>
      <c r="O142" s="67">
        <v>0</v>
      </c>
      <c r="Q142" s="71"/>
      <c r="S142" s="163">
        <v>0</v>
      </c>
      <c r="T142" s="163">
        <v>0</v>
      </c>
      <c r="U142" s="43">
        <v>0</v>
      </c>
      <c r="V142" s="61"/>
      <c r="AC142" s="36"/>
      <c r="AD142" s="36"/>
      <c r="AE142" s="36"/>
      <c r="AF142" s="19"/>
    </row>
    <row r="143" spans="1:32">
      <c r="A143" s="64" t="s">
        <v>595</v>
      </c>
      <c r="B143" s="63" t="s">
        <v>373</v>
      </c>
      <c r="C143" s="63" t="s">
        <v>374</v>
      </c>
      <c r="D143" s="134">
        <v>8.75</v>
      </c>
      <c r="E143" s="67">
        <v>1325</v>
      </c>
      <c r="F143" s="146">
        <v>0</v>
      </c>
      <c r="G143" s="92">
        <v>0</v>
      </c>
      <c r="H143" s="91">
        <v>1325</v>
      </c>
      <c r="I143" s="67">
        <v>0</v>
      </c>
      <c r="J143" s="20">
        <v>1325</v>
      </c>
      <c r="K143" s="132" t="s">
        <v>644</v>
      </c>
      <c r="L143" s="151">
        <v>1325</v>
      </c>
      <c r="M143" s="128">
        <v>0</v>
      </c>
      <c r="N143" s="67">
        <v>0</v>
      </c>
      <c r="O143" s="67">
        <v>0</v>
      </c>
      <c r="Q143" s="71"/>
      <c r="S143" s="163">
        <v>0</v>
      </c>
      <c r="T143" s="163">
        <v>0</v>
      </c>
      <c r="U143" s="43">
        <v>0</v>
      </c>
      <c r="V143" s="61"/>
      <c r="AC143" s="36"/>
      <c r="AD143" s="36"/>
      <c r="AE143" s="36"/>
      <c r="AF143" s="19"/>
    </row>
    <row r="144" spans="1:32">
      <c r="A144" s="64" t="s">
        <v>599</v>
      </c>
      <c r="B144" s="63" t="s">
        <v>250</v>
      </c>
      <c r="C144" s="63" t="s">
        <v>251</v>
      </c>
      <c r="D144" s="134">
        <v>7</v>
      </c>
      <c r="E144" s="67">
        <v>1060</v>
      </c>
      <c r="F144" s="146">
        <v>0</v>
      </c>
      <c r="G144" s="92">
        <v>0</v>
      </c>
      <c r="H144" s="91">
        <v>1060</v>
      </c>
      <c r="I144" s="67">
        <v>0</v>
      </c>
      <c r="J144" s="20">
        <v>1060</v>
      </c>
      <c r="K144" s="132" t="s">
        <v>644</v>
      </c>
      <c r="L144" s="151">
        <v>1060</v>
      </c>
      <c r="M144" s="128">
        <v>0</v>
      </c>
      <c r="N144" s="67">
        <v>0</v>
      </c>
      <c r="O144" s="67">
        <v>0</v>
      </c>
      <c r="Q144" s="71"/>
      <c r="S144" s="163">
        <v>0</v>
      </c>
      <c r="T144" s="163">
        <v>0</v>
      </c>
      <c r="U144" s="43">
        <v>0</v>
      </c>
      <c r="V144" s="61"/>
      <c r="AC144" s="36"/>
      <c r="AD144" s="36"/>
      <c r="AE144" s="36"/>
      <c r="AF144" s="19"/>
    </row>
    <row r="145" spans="1:32">
      <c r="A145" s="64" t="s">
        <v>595</v>
      </c>
      <c r="B145" s="63" t="s">
        <v>510</v>
      </c>
      <c r="C145" s="63" t="s">
        <v>511</v>
      </c>
      <c r="D145" s="134">
        <v>208.38</v>
      </c>
      <c r="E145" s="67">
        <v>31553</v>
      </c>
      <c r="F145" s="146">
        <v>10000</v>
      </c>
      <c r="G145" s="92">
        <v>0</v>
      </c>
      <c r="H145" s="91">
        <v>41553</v>
      </c>
      <c r="I145" s="67">
        <v>0</v>
      </c>
      <c r="J145" s="20">
        <v>31553</v>
      </c>
      <c r="K145" s="132" t="s">
        <v>621</v>
      </c>
      <c r="L145" s="151">
        <v>0</v>
      </c>
      <c r="M145" s="128">
        <v>208.38</v>
      </c>
      <c r="N145" s="67">
        <v>561</v>
      </c>
      <c r="O145" s="67">
        <v>32114</v>
      </c>
      <c r="Q145" s="71"/>
      <c r="S145" s="163">
        <v>28175</v>
      </c>
      <c r="T145" s="163">
        <v>3939</v>
      </c>
      <c r="U145" s="43">
        <v>0.1398047914818101</v>
      </c>
      <c r="V145" s="61"/>
      <c r="AC145" s="36"/>
      <c r="AD145" s="36"/>
      <c r="AE145" s="36"/>
      <c r="AF145" s="19"/>
    </row>
    <row r="146" spans="1:32">
      <c r="A146" s="64" t="s">
        <v>605</v>
      </c>
      <c r="B146" s="63" t="s">
        <v>553</v>
      </c>
      <c r="C146" s="63" t="s">
        <v>554</v>
      </c>
      <c r="D146" s="134">
        <v>351.88</v>
      </c>
      <c r="E146" s="67">
        <v>53282</v>
      </c>
      <c r="F146" s="146">
        <v>10000</v>
      </c>
      <c r="G146" s="92">
        <v>0</v>
      </c>
      <c r="H146" s="91">
        <v>63282</v>
      </c>
      <c r="I146" s="67">
        <v>0</v>
      </c>
      <c r="J146" s="20">
        <v>53282</v>
      </c>
      <c r="K146" s="132" t="s">
        <v>621</v>
      </c>
      <c r="L146" s="151">
        <v>0</v>
      </c>
      <c r="M146" s="128">
        <v>351.88</v>
      </c>
      <c r="N146" s="67">
        <v>947</v>
      </c>
      <c r="O146" s="67">
        <v>54229</v>
      </c>
      <c r="Q146" s="71"/>
      <c r="S146" s="163">
        <v>39542</v>
      </c>
      <c r="T146" s="163">
        <v>14687</v>
      </c>
      <c r="U146" s="43">
        <v>0.37142784886955643</v>
      </c>
      <c r="V146" s="61"/>
      <c r="AC146" s="36"/>
      <c r="AD146" s="36"/>
      <c r="AE146" s="36"/>
      <c r="AF146" s="19"/>
    </row>
    <row r="147" spans="1:32">
      <c r="A147" s="64" t="s">
        <v>601</v>
      </c>
      <c r="B147" s="63" t="s">
        <v>90</v>
      </c>
      <c r="C147" s="63" t="s">
        <v>91</v>
      </c>
      <c r="D147" s="134">
        <v>0</v>
      </c>
      <c r="E147" s="67">
        <v>0</v>
      </c>
      <c r="F147" s="146">
        <v>0</v>
      </c>
      <c r="G147" s="92">
        <v>0</v>
      </c>
      <c r="H147" s="91">
        <v>0</v>
      </c>
      <c r="I147" s="67">
        <v>0</v>
      </c>
      <c r="J147" s="20">
        <v>0</v>
      </c>
      <c r="K147" s="132" t="s">
        <v>644</v>
      </c>
      <c r="L147" s="151">
        <v>0</v>
      </c>
      <c r="M147" s="128">
        <v>0</v>
      </c>
      <c r="N147" s="67">
        <v>0</v>
      </c>
      <c r="O147" s="67">
        <v>0</v>
      </c>
      <c r="Q147" s="71"/>
      <c r="S147" s="163">
        <v>0</v>
      </c>
      <c r="T147" s="163">
        <v>0</v>
      </c>
      <c r="U147" s="43">
        <v>0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25</v>
      </c>
      <c r="C148" s="63" t="s">
        <v>26</v>
      </c>
      <c r="D148" s="134">
        <v>217.75</v>
      </c>
      <c r="E148" s="67">
        <v>32972</v>
      </c>
      <c r="F148" s="146">
        <v>0</v>
      </c>
      <c r="G148" s="92">
        <v>0</v>
      </c>
      <c r="H148" s="91">
        <v>32972</v>
      </c>
      <c r="I148" s="67">
        <v>0</v>
      </c>
      <c r="J148" s="20">
        <v>32972</v>
      </c>
      <c r="K148" s="132" t="s">
        <v>621</v>
      </c>
      <c r="L148" s="151">
        <v>0</v>
      </c>
      <c r="M148" s="128">
        <v>217.75</v>
      </c>
      <c r="N148" s="67">
        <v>586</v>
      </c>
      <c r="O148" s="67">
        <v>33558</v>
      </c>
      <c r="Q148" s="71"/>
      <c r="S148" s="163">
        <v>25780</v>
      </c>
      <c r="T148" s="163">
        <v>7778</v>
      </c>
      <c r="U148" s="43">
        <v>0.30170674941815362</v>
      </c>
      <c r="V148" s="61"/>
      <c r="AC148" s="36"/>
      <c r="AD148" s="36"/>
      <c r="AE148" s="36"/>
      <c r="AF148" s="19"/>
    </row>
    <row r="149" spans="1:32">
      <c r="A149" s="64" t="s">
        <v>594</v>
      </c>
      <c r="B149" s="63" t="s">
        <v>301</v>
      </c>
      <c r="C149" s="63" t="s">
        <v>302</v>
      </c>
      <c r="D149" s="134">
        <v>0</v>
      </c>
      <c r="E149" s="67">
        <v>0</v>
      </c>
      <c r="F149" s="146">
        <v>0</v>
      </c>
      <c r="G149" s="92">
        <v>0</v>
      </c>
      <c r="H149" s="91">
        <v>0</v>
      </c>
      <c r="I149" s="67">
        <v>0</v>
      </c>
      <c r="J149" s="20">
        <v>0</v>
      </c>
      <c r="K149" s="132" t="s">
        <v>644</v>
      </c>
      <c r="L149" s="151">
        <v>0</v>
      </c>
      <c r="M149" s="128">
        <v>0</v>
      </c>
      <c r="N149" s="67">
        <v>0</v>
      </c>
      <c r="O149" s="67">
        <v>0</v>
      </c>
      <c r="Q149" s="71"/>
      <c r="S149" s="163">
        <v>0</v>
      </c>
      <c r="T149" s="163">
        <v>0</v>
      </c>
      <c r="U149" s="43">
        <v>0</v>
      </c>
      <c r="V149" s="61"/>
      <c r="AC149" s="36"/>
      <c r="AD149" s="36"/>
      <c r="AE149" s="36"/>
      <c r="AF149" s="19"/>
    </row>
    <row r="150" spans="1:32">
      <c r="A150" s="64" t="s">
        <v>603</v>
      </c>
      <c r="B150" s="63" t="s">
        <v>466</v>
      </c>
      <c r="C150" s="63" t="s">
        <v>467</v>
      </c>
      <c r="D150" s="134">
        <v>0</v>
      </c>
      <c r="E150" s="67">
        <v>0</v>
      </c>
      <c r="F150" s="146">
        <v>0</v>
      </c>
      <c r="G150" s="92">
        <v>0</v>
      </c>
      <c r="H150" s="91">
        <v>0</v>
      </c>
      <c r="I150" s="67">
        <v>0</v>
      </c>
      <c r="J150" s="20">
        <v>0</v>
      </c>
      <c r="K150" s="132" t="s">
        <v>644</v>
      </c>
      <c r="L150" s="151">
        <v>0</v>
      </c>
      <c r="M150" s="128">
        <v>0</v>
      </c>
      <c r="N150" s="67">
        <v>0</v>
      </c>
      <c r="O150" s="67">
        <v>0</v>
      </c>
      <c r="Q150" s="71"/>
      <c r="S150" s="163">
        <v>0</v>
      </c>
      <c r="T150" s="163">
        <v>0</v>
      </c>
      <c r="U150" s="43">
        <v>0</v>
      </c>
      <c r="V150" s="61"/>
      <c r="AC150" s="36"/>
      <c r="AD150" s="36"/>
      <c r="AE150" s="36"/>
      <c r="AF150" s="19"/>
    </row>
    <row r="151" spans="1:32">
      <c r="A151" s="64" t="s">
        <v>595</v>
      </c>
      <c r="B151" s="63" t="s">
        <v>405</v>
      </c>
      <c r="C151" s="63" t="s">
        <v>406</v>
      </c>
      <c r="D151" s="134">
        <v>664.5</v>
      </c>
      <c r="E151" s="67">
        <v>100620</v>
      </c>
      <c r="F151" s="146">
        <v>0</v>
      </c>
      <c r="G151" s="92">
        <v>0</v>
      </c>
      <c r="H151" s="91">
        <v>100620</v>
      </c>
      <c r="I151" s="67">
        <v>0</v>
      </c>
      <c r="J151" s="20">
        <v>100620</v>
      </c>
      <c r="K151" s="132" t="s">
        <v>621</v>
      </c>
      <c r="L151" s="151">
        <v>0</v>
      </c>
      <c r="M151" s="128">
        <v>664.5</v>
      </c>
      <c r="N151" s="67">
        <v>1788</v>
      </c>
      <c r="O151" s="67">
        <v>102408</v>
      </c>
      <c r="Q151" s="71"/>
      <c r="S151" s="163">
        <v>78431</v>
      </c>
      <c r="T151" s="163">
        <v>23977</v>
      </c>
      <c r="U151" s="43">
        <v>0.30570820211396005</v>
      </c>
      <c r="V151" s="61"/>
      <c r="AC151" s="36"/>
      <c r="AD151" s="36"/>
      <c r="AE151" s="36"/>
      <c r="AF151" s="19"/>
    </row>
    <row r="152" spans="1:32">
      <c r="A152" s="64" t="s">
        <v>594</v>
      </c>
      <c r="B152" s="63" t="s">
        <v>138</v>
      </c>
      <c r="C152" s="63" t="s">
        <v>656</v>
      </c>
      <c r="D152" s="134">
        <v>0</v>
      </c>
      <c r="E152" s="67">
        <v>0</v>
      </c>
      <c r="F152" s="146">
        <v>0</v>
      </c>
      <c r="G152" s="92">
        <v>0</v>
      </c>
      <c r="H152" s="91">
        <v>0</v>
      </c>
      <c r="I152" s="67">
        <v>0</v>
      </c>
      <c r="J152" s="20">
        <v>0</v>
      </c>
      <c r="K152" s="132" t="s">
        <v>644</v>
      </c>
      <c r="L152" s="151">
        <v>0</v>
      </c>
      <c r="M152" s="128">
        <v>0</v>
      </c>
      <c r="N152" s="67">
        <v>0</v>
      </c>
      <c r="O152" s="67">
        <v>0</v>
      </c>
      <c r="Q152" s="71"/>
      <c r="S152" s="163">
        <v>0</v>
      </c>
      <c r="T152" s="163">
        <v>0</v>
      </c>
      <c r="U152" s="43">
        <v>0</v>
      </c>
      <c r="V152" s="61"/>
      <c r="AC152" s="36"/>
      <c r="AD152" s="36"/>
      <c r="AE152" s="36"/>
      <c r="AF152" s="19"/>
    </row>
    <row r="153" spans="1:32">
      <c r="A153" s="64" t="s">
        <v>603</v>
      </c>
      <c r="B153" s="63" t="s">
        <v>432</v>
      </c>
      <c r="C153" s="63" t="s">
        <v>433</v>
      </c>
      <c r="D153" s="134">
        <v>121.38</v>
      </c>
      <c r="E153" s="67">
        <v>18380</v>
      </c>
      <c r="F153" s="146">
        <v>0</v>
      </c>
      <c r="G153" s="92">
        <v>0</v>
      </c>
      <c r="H153" s="91">
        <v>18380</v>
      </c>
      <c r="I153" s="67">
        <v>0</v>
      </c>
      <c r="J153" s="20">
        <v>18380</v>
      </c>
      <c r="K153" s="132" t="s">
        <v>621</v>
      </c>
      <c r="L153" s="151">
        <v>0</v>
      </c>
      <c r="M153" s="128">
        <v>121.38</v>
      </c>
      <c r="N153" s="67">
        <v>327</v>
      </c>
      <c r="O153" s="67">
        <v>18707</v>
      </c>
      <c r="Q153" s="71"/>
      <c r="S153" s="163">
        <v>15353</v>
      </c>
      <c r="T153" s="163">
        <v>3354</v>
      </c>
      <c r="U153" s="43">
        <v>0.21845893310753597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430</v>
      </c>
      <c r="C154" s="63" t="s">
        <v>431</v>
      </c>
      <c r="D154" s="134">
        <v>11.5</v>
      </c>
      <c r="E154" s="67">
        <v>1741</v>
      </c>
      <c r="F154" s="146">
        <v>0</v>
      </c>
      <c r="G154" s="92">
        <v>0</v>
      </c>
      <c r="H154" s="91">
        <v>1741</v>
      </c>
      <c r="I154" s="67">
        <v>0</v>
      </c>
      <c r="J154" s="20">
        <v>1741</v>
      </c>
      <c r="K154" s="132" t="s">
        <v>644</v>
      </c>
      <c r="L154" s="151">
        <v>1741</v>
      </c>
      <c r="M154" s="128">
        <v>0</v>
      </c>
      <c r="N154" s="67">
        <v>0</v>
      </c>
      <c r="O154" s="67">
        <v>0</v>
      </c>
      <c r="Q154" s="71"/>
      <c r="S154" s="163">
        <v>0</v>
      </c>
      <c r="T154" s="163">
        <v>0</v>
      </c>
      <c r="U154" s="43">
        <v>0</v>
      </c>
      <c r="V154" s="61"/>
      <c r="AC154" s="36"/>
      <c r="AD154" s="36"/>
      <c r="AE154" s="36"/>
      <c r="AF154" s="19"/>
    </row>
    <row r="155" spans="1:32">
      <c r="A155" s="64" t="s">
        <v>597</v>
      </c>
      <c r="B155" s="63" t="s">
        <v>179</v>
      </c>
      <c r="C155" s="63" t="s">
        <v>180</v>
      </c>
      <c r="D155" s="134">
        <v>65</v>
      </c>
      <c r="E155" s="67">
        <v>9842</v>
      </c>
      <c r="F155" s="146">
        <v>0</v>
      </c>
      <c r="G155" s="92">
        <v>0</v>
      </c>
      <c r="H155" s="91">
        <v>9842</v>
      </c>
      <c r="I155" s="67">
        <v>0</v>
      </c>
      <c r="J155" s="20">
        <v>9842</v>
      </c>
      <c r="K155" s="132" t="s">
        <v>621</v>
      </c>
      <c r="L155" s="151">
        <v>0</v>
      </c>
      <c r="M155" s="128">
        <v>65</v>
      </c>
      <c r="N155" s="67">
        <v>175</v>
      </c>
      <c r="O155" s="67">
        <v>10017</v>
      </c>
      <c r="Q155" s="73"/>
      <c r="S155" s="163">
        <v>8305</v>
      </c>
      <c r="T155" s="163">
        <v>1712</v>
      </c>
      <c r="U155" s="43">
        <v>0.20614087898856112</v>
      </c>
      <c r="V155" s="61"/>
      <c r="AC155" s="36"/>
      <c r="AD155" s="36"/>
      <c r="AE155" s="36"/>
      <c r="AF155" s="19"/>
    </row>
    <row r="156" spans="1:32">
      <c r="A156" s="64" t="s">
        <v>595</v>
      </c>
      <c r="B156" s="63" t="s">
        <v>512</v>
      </c>
      <c r="C156" s="63" t="s">
        <v>513</v>
      </c>
      <c r="D156" s="134">
        <v>136.25</v>
      </c>
      <c r="E156" s="67">
        <v>20631</v>
      </c>
      <c r="F156" s="146">
        <v>0</v>
      </c>
      <c r="G156" s="92">
        <v>0</v>
      </c>
      <c r="H156" s="91">
        <v>20631</v>
      </c>
      <c r="I156" s="67">
        <v>0</v>
      </c>
      <c r="J156" s="20">
        <v>20631</v>
      </c>
      <c r="K156" s="132" t="s">
        <v>621</v>
      </c>
      <c r="L156" s="151">
        <v>0</v>
      </c>
      <c r="M156" s="128">
        <v>136.25</v>
      </c>
      <c r="N156" s="67">
        <v>367</v>
      </c>
      <c r="O156" s="67">
        <v>20998</v>
      </c>
      <c r="Q156" s="71"/>
      <c r="S156" s="163">
        <v>18505</v>
      </c>
      <c r="T156" s="163">
        <v>2493</v>
      </c>
      <c r="U156" s="43">
        <v>0.13472034585247231</v>
      </c>
      <c r="V156" s="61"/>
      <c r="AC156" s="36"/>
      <c r="AD156" s="36"/>
      <c r="AE156" s="36"/>
      <c r="AF156" s="19"/>
    </row>
    <row r="157" spans="1:32">
      <c r="A157" s="64" t="s">
        <v>601</v>
      </c>
      <c r="B157" s="63" t="s">
        <v>319</v>
      </c>
      <c r="C157" s="63" t="s">
        <v>320</v>
      </c>
      <c r="D157" s="134">
        <v>7</v>
      </c>
      <c r="E157" s="67">
        <v>1060</v>
      </c>
      <c r="F157" s="146">
        <v>0</v>
      </c>
      <c r="G157" s="92">
        <v>0</v>
      </c>
      <c r="H157" s="91">
        <v>1060</v>
      </c>
      <c r="I157" s="67">
        <v>0</v>
      </c>
      <c r="J157" s="20">
        <v>1060</v>
      </c>
      <c r="K157" s="132" t="s">
        <v>644</v>
      </c>
      <c r="L157" s="151">
        <v>1060</v>
      </c>
      <c r="M157" s="128">
        <v>0</v>
      </c>
      <c r="N157" s="67">
        <v>0</v>
      </c>
      <c r="O157" s="67">
        <v>0</v>
      </c>
      <c r="Q157" s="71"/>
      <c r="S157" s="163">
        <v>0</v>
      </c>
      <c r="T157" s="163">
        <v>0</v>
      </c>
      <c r="U157" s="43">
        <v>0</v>
      </c>
      <c r="V157" s="61"/>
      <c r="AC157" s="36"/>
      <c r="AD157" s="36"/>
      <c r="AE157" s="36"/>
      <c r="AF157" s="19"/>
    </row>
    <row r="158" spans="1:32">
      <c r="A158" s="64" t="s">
        <v>599</v>
      </c>
      <c r="B158" s="63" t="s">
        <v>391</v>
      </c>
      <c r="C158" s="63" t="s">
        <v>392</v>
      </c>
      <c r="D158" s="134">
        <v>0</v>
      </c>
      <c r="E158" s="67">
        <v>0</v>
      </c>
      <c r="F158" s="146">
        <v>0</v>
      </c>
      <c r="G158" s="92">
        <v>0</v>
      </c>
      <c r="H158" s="91">
        <v>0</v>
      </c>
      <c r="I158" s="67">
        <v>0</v>
      </c>
      <c r="J158" s="20">
        <v>0</v>
      </c>
      <c r="K158" s="132" t="s">
        <v>644</v>
      </c>
      <c r="L158" s="151">
        <v>0</v>
      </c>
      <c r="M158" s="128">
        <v>0</v>
      </c>
      <c r="N158" s="67">
        <v>0</v>
      </c>
      <c r="O158" s="67">
        <v>0</v>
      </c>
      <c r="Q158" s="71"/>
      <c r="S158" s="163">
        <v>0</v>
      </c>
      <c r="T158" s="163">
        <v>0</v>
      </c>
      <c r="U158" s="43">
        <v>0</v>
      </c>
      <c r="V158" s="61"/>
      <c r="AC158" s="36"/>
      <c r="AD158" s="36"/>
      <c r="AE158" s="36"/>
      <c r="AF158" s="19"/>
    </row>
    <row r="159" spans="1:32">
      <c r="A159" s="64" t="s">
        <v>595</v>
      </c>
      <c r="B159" s="63" t="s">
        <v>409</v>
      </c>
      <c r="C159" s="63" t="s">
        <v>410</v>
      </c>
      <c r="D159" s="134">
        <v>374.38</v>
      </c>
      <c r="E159" s="67">
        <v>56689</v>
      </c>
      <c r="F159" s="146">
        <v>0</v>
      </c>
      <c r="G159" s="92">
        <v>0</v>
      </c>
      <c r="H159" s="91">
        <v>56689</v>
      </c>
      <c r="I159" s="67">
        <v>0</v>
      </c>
      <c r="J159" s="20">
        <v>56689</v>
      </c>
      <c r="K159" s="132" t="s">
        <v>621</v>
      </c>
      <c r="L159" s="151">
        <v>0</v>
      </c>
      <c r="M159" s="128">
        <v>374.38</v>
      </c>
      <c r="N159" s="67">
        <v>1007</v>
      </c>
      <c r="O159" s="67">
        <v>57696</v>
      </c>
      <c r="Q159" s="71"/>
      <c r="S159" s="163">
        <v>37633</v>
      </c>
      <c r="T159" s="163">
        <v>20063</v>
      </c>
      <c r="U159" s="43">
        <v>0.53312252544309513</v>
      </c>
      <c r="V159" s="61"/>
      <c r="AC159" s="36"/>
      <c r="AD159" s="36"/>
      <c r="AE159" s="36"/>
      <c r="AF159" s="19"/>
    </row>
    <row r="160" spans="1:32">
      <c r="A160" s="64" t="s">
        <v>594</v>
      </c>
      <c r="B160" s="63" t="s">
        <v>139</v>
      </c>
      <c r="C160" s="63" t="s">
        <v>140</v>
      </c>
      <c r="D160" s="134">
        <v>17</v>
      </c>
      <c r="E160" s="67">
        <v>2574</v>
      </c>
      <c r="F160" s="146">
        <v>0</v>
      </c>
      <c r="G160" s="92">
        <v>0</v>
      </c>
      <c r="H160" s="91">
        <v>2574</v>
      </c>
      <c r="I160" s="67">
        <v>0</v>
      </c>
      <c r="J160" s="20">
        <v>2574</v>
      </c>
      <c r="K160" s="132" t="s">
        <v>644</v>
      </c>
      <c r="L160" s="151">
        <v>2574</v>
      </c>
      <c r="M160" s="128">
        <v>0</v>
      </c>
      <c r="N160" s="67">
        <v>0</v>
      </c>
      <c r="O160" s="67">
        <v>0</v>
      </c>
      <c r="Q160" s="71"/>
      <c r="S160" s="163">
        <v>0</v>
      </c>
      <c r="T160" s="163">
        <v>0</v>
      </c>
      <c r="U160" s="43">
        <v>0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260</v>
      </c>
      <c r="C161" s="63" t="s">
        <v>261</v>
      </c>
      <c r="D161" s="134">
        <v>0</v>
      </c>
      <c r="E161" s="67">
        <v>0</v>
      </c>
      <c r="F161" s="146">
        <v>0</v>
      </c>
      <c r="G161" s="92">
        <v>0</v>
      </c>
      <c r="H161" s="91">
        <v>0</v>
      </c>
      <c r="I161" s="67">
        <v>0</v>
      </c>
      <c r="J161" s="20">
        <v>0</v>
      </c>
      <c r="K161" s="132" t="s">
        <v>644</v>
      </c>
      <c r="L161" s="151">
        <v>0</v>
      </c>
      <c r="M161" s="128">
        <v>0</v>
      </c>
      <c r="N161" s="67">
        <v>0</v>
      </c>
      <c r="O161" s="67">
        <v>0</v>
      </c>
      <c r="Q161" s="71"/>
      <c r="S161" s="163">
        <v>0</v>
      </c>
      <c r="T161" s="163">
        <v>0</v>
      </c>
      <c r="U161" s="43">
        <v>0</v>
      </c>
      <c r="V161" s="61"/>
      <c r="AC161" s="36"/>
      <c r="AD161" s="36"/>
      <c r="AE161" s="36"/>
      <c r="AF161" s="19"/>
    </row>
    <row r="162" spans="1:32">
      <c r="A162" s="64" t="s">
        <v>601</v>
      </c>
      <c r="B162" s="63" t="s">
        <v>125</v>
      </c>
      <c r="C162" s="63" t="s">
        <v>126</v>
      </c>
      <c r="D162" s="134">
        <v>603.88</v>
      </c>
      <c r="E162" s="67">
        <v>91440</v>
      </c>
      <c r="F162" s="146">
        <v>0</v>
      </c>
      <c r="G162" s="92">
        <v>0</v>
      </c>
      <c r="H162" s="91">
        <v>91440</v>
      </c>
      <c r="I162" s="67">
        <v>0</v>
      </c>
      <c r="J162" s="20">
        <v>91440</v>
      </c>
      <c r="K162" s="132" t="s">
        <v>621</v>
      </c>
      <c r="L162" s="151">
        <v>0</v>
      </c>
      <c r="M162" s="128">
        <v>603.88</v>
      </c>
      <c r="N162" s="67">
        <v>1625</v>
      </c>
      <c r="O162" s="67">
        <v>93065</v>
      </c>
      <c r="Q162" s="71"/>
      <c r="S162" s="163">
        <v>76703</v>
      </c>
      <c r="T162" s="163">
        <v>16362</v>
      </c>
      <c r="U162" s="43">
        <v>0.21331629792837309</v>
      </c>
      <c r="V162" s="61"/>
      <c r="AC162" s="36"/>
      <c r="AD162" s="36"/>
      <c r="AE162" s="36"/>
      <c r="AF162" s="19"/>
    </row>
    <row r="163" spans="1:32">
      <c r="A163" s="64" t="s">
        <v>594</v>
      </c>
      <c r="B163" s="63" t="s">
        <v>258</v>
      </c>
      <c r="C163" s="63" t="s">
        <v>259</v>
      </c>
      <c r="D163" s="134">
        <v>27.88</v>
      </c>
      <c r="E163" s="67">
        <v>4222</v>
      </c>
      <c r="F163" s="146">
        <v>0</v>
      </c>
      <c r="G163" s="92">
        <v>0</v>
      </c>
      <c r="H163" s="91">
        <v>4222</v>
      </c>
      <c r="I163" s="67">
        <v>0</v>
      </c>
      <c r="J163" s="20">
        <v>4222</v>
      </c>
      <c r="K163" s="132" t="s">
        <v>644</v>
      </c>
      <c r="L163" s="151">
        <v>4222</v>
      </c>
      <c r="M163" s="128">
        <v>0</v>
      </c>
      <c r="N163" s="67">
        <v>0</v>
      </c>
      <c r="O163" s="67">
        <v>0</v>
      </c>
      <c r="Q163" s="71"/>
      <c r="S163" s="163">
        <v>0</v>
      </c>
      <c r="T163" s="163">
        <v>0</v>
      </c>
      <c r="U163" s="43">
        <v>0</v>
      </c>
      <c r="V163" s="61"/>
      <c r="AC163" s="36"/>
      <c r="AD163" s="36"/>
      <c r="AE163" s="36"/>
      <c r="AF163" s="19"/>
    </row>
    <row r="164" spans="1:32">
      <c r="A164" s="64" t="s">
        <v>605</v>
      </c>
      <c r="B164" s="63" t="s">
        <v>571</v>
      </c>
      <c r="C164" s="63" t="s">
        <v>572</v>
      </c>
      <c r="D164" s="134">
        <v>226</v>
      </c>
      <c r="E164" s="67">
        <v>34221</v>
      </c>
      <c r="F164" s="146">
        <v>0</v>
      </c>
      <c r="G164" s="92">
        <v>0</v>
      </c>
      <c r="H164" s="91">
        <v>34221</v>
      </c>
      <c r="I164" s="67">
        <v>0</v>
      </c>
      <c r="J164" s="20">
        <v>34221</v>
      </c>
      <c r="K164" s="132" t="s">
        <v>621</v>
      </c>
      <c r="L164" s="151">
        <v>0</v>
      </c>
      <c r="M164" s="128">
        <v>226</v>
      </c>
      <c r="N164" s="67">
        <v>608</v>
      </c>
      <c r="O164" s="67">
        <v>34829</v>
      </c>
      <c r="Q164" s="71"/>
      <c r="S164" s="163">
        <v>28872</v>
      </c>
      <c r="T164" s="163">
        <v>5957</v>
      </c>
      <c r="U164" s="43">
        <v>0.20632446661124965</v>
      </c>
      <c r="V164" s="61"/>
      <c r="AC164" s="36"/>
      <c r="AD164" s="36"/>
      <c r="AE164" s="36"/>
      <c r="AF164" s="19"/>
    </row>
    <row r="165" spans="1:32">
      <c r="A165" s="64" t="s">
        <v>595</v>
      </c>
      <c r="B165" s="63" t="s">
        <v>516</v>
      </c>
      <c r="C165" s="63" t="s">
        <v>517</v>
      </c>
      <c r="D165" s="134">
        <v>168.63</v>
      </c>
      <c r="E165" s="67">
        <v>25534</v>
      </c>
      <c r="F165" s="146">
        <v>0</v>
      </c>
      <c r="G165" s="92">
        <v>0</v>
      </c>
      <c r="H165" s="91">
        <v>25534</v>
      </c>
      <c r="I165" s="67">
        <v>0</v>
      </c>
      <c r="J165" s="20">
        <v>25534</v>
      </c>
      <c r="K165" s="132" t="s">
        <v>621</v>
      </c>
      <c r="L165" s="151">
        <v>0</v>
      </c>
      <c r="M165" s="128">
        <v>168.63</v>
      </c>
      <c r="N165" s="67">
        <v>454</v>
      </c>
      <c r="O165" s="67">
        <v>25988</v>
      </c>
      <c r="Q165" s="71"/>
      <c r="S165" s="163">
        <v>27477</v>
      </c>
      <c r="T165" s="163">
        <v>-1489</v>
      </c>
      <c r="U165" s="43">
        <v>-5.41907777413837E-2</v>
      </c>
      <c r="V165" s="61"/>
      <c r="AC165" s="36"/>
      <c r="AD165" s="36"/>
      <c r="AE165" s="36"/>
      <c r="AF165" s="19"/>
    </row>
    <row r="166" spans="1:32">
      <c r="A166" s="64" t="s">
        <v>599</v>
      </c>
      <c r="B166" s="63" t="s">
        <v>389</v>
      </c>
      <c r="C166" s="63" t="s">
        <v>390</v>
      </c>
      <c r="D166" s="134">
        <v>0</v>
      </c>
      <c r="E166" s="67">
        <v>0</v>
      </c>
      <c r="F166" s="146">
        <v>0</v>
      </c>
      <c r="G166" s="92">
        <v>0</v>
      </c>
      <c r="H166" s="91">
        <v>0</v>
      </c>
      <c r="I166" s="67">
        <v>0</v>
      </c>
      <c r="J166" s="20">
        <v>0</v>
      </c>
      <c r="K166" s="132" t="s">
        <v>644</v>
      </c>
      <c r="L166" s="151">
        <v>0</v>
      </c>
      <c r="M166" s="128">
        <v>0</v>
      </c>
      <c r="N166" s="67">
        <v>0</v>
      </c>
      <c r="O166" s="67">
        <v>0</v>
      </c>
      <c r="Q166" s="71"/>
      <c r="S166" s="163">
        <v>0</v>
      </c>
      <c r="T166" s="163">
        <v>0</v>
      </c>
      <c r="U166" s="43">
        <v>0</v>
      </c>
      <c r="V166" s="61"/>
      <c r="AC166" s="36"/>
      <c r="AD166" s="36"/>
      <c r="AE166" s="36"/>
      <c r="AF166" s="19"/>
    </row>
    <row r="167" spans="1:32">
      <c r="A167" s="64" t="s">
        <v>595</v>
      </c>
      <c r="B167" s="63" t="s">
        <v>386</v>
      </c>
      <c r="C167" s="63" t="s">
        <v>610</v>
      </c>
      <c r="D167" s="134">
        <v>1436.63</v>
      </c>
      <c r="E167" s="67">
        <v>217537</v>
      </c>
      <c r="F167" s="146">
        <v>0</v>
      </c>
      <c r="G167" s="92">
        <v>0</v>
      </c>
      <c r="H167" s="91">
        <v>217537</v>
      </c>
      <c r="I167" s="67">
        <v>0</v>
      </c>
      <c r="J167" s="20">
        <v>217537</v>
      </c>
      <c r="K167" s="132" t="s">
        <v>621</v>
      </c>
      <c r="L167" s="151">
        <v>0</v>
      </c>
      <c r="M167" s="128">
        <v>1436.63</v>
      </c>
      <c r="N167" s="67">
        <v>3866</v>
      </c>
      <c r="O167" s="67">
        <v>221403</v>
      </c>
      <c r="Q167" s="71"/>
      <c r="S167" s="163">
        <v>187976</v>
      </c>
      <c r="T167" s="163">
        <v>33427</v>
      </c>
      <c r="U167" s="43">
        <v>0.17782589266714899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399</v>
      </c>
      <c r="C168" s="63" t="s">
        <v>400</v>
      </c>
      <c r="D168" s="134">
        <v>2050.25</v>
      </c>
      <c r="E168" s="67">
        <v>310452</v>
      </c>
      <c r="F168" s="146">
        <v>50000</v>
      </c>
      <c r="G168" s="92">
        <v>0</v>
      </c>
      <c r="H168" s="91">
        <v>360452</v>
      </c>
      <c r="I168" s="67">
        <v>0</v>
      </c>
      <c r="J168" s="20">
        <v>310452</v>
      </c>
      <c r="K168" s="132" t="s">
        <v>621</v>
      </c>
      <c r="L168" s="151">
        <v>0</v>
      </c>
      <c r="M168" s="128">
        <v>2050.25</v>
      </c>
      <c r="N168" s="67">
        <v>5517</v>
      </c>
      <c r="O168" s="67">
        <v>315969</v>
      </c>
      <c r="Q168" s="71"/>
      <c r="S168" s="163">
        <v>232336</v>
      </c>
      <c r="T168" s="163">
        <v>83633</v>
      </c>
      <c r="U168" s="43">
        <v>0.35996573927415465</v>
      </c>
      <c r="V168" s="61"/>
      <c r="AC168" s="36"/>
      <c r="AD168" s="36"/>
      <c r="AE168" s="36"/>
      <c r="AF168" s="19"/>
    </row>
    <row r="169" spans="1:32">
      <c r="A169" s="64" t="s">
        <v>605</v>
      </c>
      <c r="B169" s="63" t="s">
        <v>545</v>
      </c>
      <c r="C169" s="63" t="s">
        <v>546</v>
      </c>
      <c r="D169" s="134">
        <v>66.63</v>
      </c>
      <c r="E169" s="67">
        <v>10089</v>
      </c>
      <c r="F169" s="146">
        <v>0</v>
      </c>
      <c r="G169" s="92">
        <v>0</v>
      </c>
      <c r="H169" s="91">
        <v>10089</v>
      </c>
      <c r="I169" s="67">
        <v>0</v>
      </c>
      <c r="J169" s="20">
        <v>10089</v>
      </c>
      <c r="K169" s="132" t="s">
        <v>621</v>
      </c>
      <c r="L169" s="151">
        <v>0</v>
      </c>
      <c r="M169" s="128">
        <v>66.63</v>
      </c>
      <c r="N169" s="67">
        <v>179</v>
      </c>
      <c r="O169" s="67">
        <v>10268</v>
      </c>
      <c r="Q169" s="71"/>
      <c r="S169" s="163">
        <v>9321</v>
      </c>
      <c r="T169" s="163">
        <v>947</v>
      </c>
      <c r="U169" s="43">
        <v>0.10159854092908487</v>
      </c>
      <c r="V169" s="61"/>
      <c r="AC169" s="36"/>
      <c r="AD169" s="36"/>
      <c r="AE169" s="36"/>
      <c r="AF169" s="19"/>
    </row>
    <row r="170" spans="1:32">
      <c r="A170" s="64" t="s">
        <v>594</v>
      </c>
      <c r="B170" s="63" t="s">
        <v>252</v>
      </c>
      <c r="C170" s="63" t="s">
        <v>253</v>
      </c>
      <c r="D170" s="134">
        <v>0</v>
      </c>
      <c r="E170" s="67">
        <v>0</v>
      </c>
      <c r="F170" s="146">
        <v>0</v>
      </c>
      <c r="G170" s="92">
        <v>0</v>
      </c>
      <c r="H170" s="91">
        <v>0</v>
      </c>
      <c r="I170" s="67">
        <v>0</v>
      </c>
      <c r="J170" s="20">
        <v>0</v>
      </c>
      <c r="K170" s="132" t="s">
        <v>644</v>
      </c>
      <c r="L170" s="151">
        <v>0</v>
      </c>
      <c r="M170" s="128">
        <v>0</v>
      </c>
      <c r="N170" s="67">
        <v>0</v>
      </c>
      <c r="O170" s="67">
        <v>0</v>
      </c>
      <c r="Q170" s="71"/>
      <c r="S170" s="163">
        <v>0</v>
      </c>
      <c r="T170" s="163">
        <v>0</v>
      </c>
      <c r="U170" s="43">
        <v>0</v>
      </c>
      <c r="V170" s="61"/>
      <c r="AC170" s="36"/>
      <c r="AD170" s="36"/>
      <c r="AE170" s="36"/>
      <c r="AF170" s="19"/>
    </row>
    <row r="171" spans="1:32">
      <c r="A171" s="64" t="s">
        <v>599</v>
      </c>
      <c r="B171" s="63" t="s">
        <v>331</v>
      </c>
      <c r="C171" s="63" t="s">
        <v>611</v>
      </c>
      <c r="D171" s="134">
        <v>7</v>
      </c>
      <c r="E171" s="67">
        <v>1060</v>
      </c>
      <c r="F171" s="146">
        <v>0</v>
      </c>
      <c r="G171" s="92">
        <v>0</v>
      </c>
      <c r="H171" s="91">
        <v>1060</v>
      </c>
      <c r="I171" s="67">
        <v>0</v>
      </c>
      <c r="J171" s="20">
        <v>1060</v>
      </c>
      <c r="K171" s="132" t="s">
        <v>621</v>
      </c>
      <c r="L171" s="151">
        <v>0</v>
      </c>
      <c r="M171" s="128">
        <v>7</v>
      </c>
      <c r="N171" s="67">
        <v>19</v>
      </c>
      <c r="O171" s="67">
        <v>1079</v>
      </c>
      <c r="Q171" s="71"/>
      <c r="S171" s="163">
        <v>1016</v>
      </c>
      <c r="T171" s="163">
        <v>63</v>
      </c>
      <c r="U171" s="43">
        <v>6.2007874015748032E-2</v>
      </c>
      <c r="V171" s="61"/>
      <c r="AC171" s="36"/>
      <c r="AD171" s="36"/>
      <c r="AE171" s="36"/>
      <c r="AF171" s="19"/>
    </row>
    <row r="172" spans="1:32">
      <c r="A172" s="64" t="s">
        <v>601</v>
      </c>
      <c r="B172" s="63" t="s">
        <v>309</v>
      </c>
      <c r="C172" s="63" t="s">
        <v>310</v>
      </c>
      <c r="D172" s="134">
        <v>0</v>
      </c>
      <c r="E172" s="67">
        <v>0</v>
      </c>
      <c r="F172" s="146">
        <v>0</v>
      </c>
      <c r="G172" s="92">
        <v>0</v>
      </c>
      <c r="H172" s="91">
        <v>0</v>
      </c>
      <c r="I172" s="67">
        <v>0</v>
      </c>
      <c r="J172" s="20">
        <v>0</v>
      </c>
      <c r="K172" s="132" t="s">
        <v>644</v>
      </c>
      <c r="L172" s="151">
        <v>0</v>
      </c>
      <c r="M172" s="128">
        <v>0</v>
      </c>
      <c r="N172" s="67">
        <v>0</v>
      </c>
      <c r="O172" s="67">
        <v>0</v>
      </c>
      <c r="Q172" s="71"/>
      <c r="S172" s="163">
        <v>0</v>
      </c>
      <c r="T172" s="163">
        <v>0</v>
      </c>
      <c r="U172" s="43">
        <v>0</v>
      </c>
      <c r="V172" s="61"/>
      <c r="AC172" s="36"/>
      <c r="AD172" s="36"/>
      <c r="AE172" s="36"/>
      <c r="AF172" s="19"/>
    </row>
    <row r="173" spans="1:32">
      <c r="A173" s="64" t="s">
        <v>603</v>
      </c>
      <c r="B173" s="63" t="s">
        <v>336</v>
      </c>
      <c r="C173" s="63" t="s">
        <v>337</v>
      </c>
      <c r="D173" s="134">
        <v>0</v>
      </c>
      <c r="E173" s="67">
        <v>0</v>
      </c>
      <c r="F173" s="146">
        <v>0</v>
      </c>
      <c r="G173" s="92">
        <v>0</v>
      </c>
      <c r="H173" s="91">
        <v>0</v>
      </c>
      <c r="I173" s="67">
        <v>0</v>
      </c>
      <c r="J173" s="20">
        <v>0</v>
      </c>
      <c r="K173" s="132" t="s">
        <v>644</v>
      </c>
      <c r="L173" s="151">
        <v>0</v>
      </c>
      <c r="M173" s="128">
        <v>0</v>
      </c>
      <c r="N173" s="67">
        <v>0</v>
      </c>
      <c r="O173" s="67">
        <v>0</v>
      </c>
      <c r="Q173" s="71"/>
      <c r="S173" s="163">
        <v>0</v>
      </c>
      <c r="T173" s="163">
        <v>0</v>
      </c>
      <c r="U173" s="4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428</v>
      </c>
      <c r="C174" s="63" t="s">
        <v>429</v>
      </c>
      <c r="D174" s="134">
        <v>0</v>
      </c>
      <c r="E174" s="67">
        <v>0</v>
      </c>
      <c r="F174" s="146">
        <v>0</v>
      </c>
      <c r="G174" s="92">
        <v>0</v>
      </c>
      <c r="H174" s="91">
        <v>0</v>
      </c>
      <c r="I174" s="67">
        <v>0</v>
      </c>
      <c r="J174" s="20">
        <v>0</v>
      </c>
      <c r="K174" s="132" t="s">
        <v>644</v>
      </c>
      <c r="L174" s="151">
        <v>0</v>
      </c>
      <c r="M174" s="128">
        <v>0</v>
      </c>
      <c r="N174" s="67">
        <v>0</v>
      </c>
      <c r="O174" s="67">
        <v>0</v>
      </c>
      <c r="Q174" s="71"/>
      <c r="S174" s="163">
        <v>0</v>
      </c>
      <c r="T174" s="163">
        <v>0</v>
      </c>
      <c r="U174" s="43">
        <v>0</v>
      </c>
      <c r="V174" s="61"/>
      <c r="AC174" s="36"/>
      <c r="AD174" s="36"/>
      <c r="AE174" s="36"/>
      <c r="AF174" s="19"/>
    </row>
    <row r="175" spans="1:32">
      <c r="A175" s="64" t="s">
        <v>595</v>
      </c>
      <c r="B175" s="63" t="s">
        <v>514</v>
      </c>
      <c r="C175" s="63" t="s">
        <v>515</v>
      </c>
      <c r="D175" s="134">
        <v>160.13</v>
      </c>
      <c r="E175" s="67">
        <v>24247</v>
      </c>
      <c r="F175" s="146">
        <v>0</v>
      </c>
      <c r="G175" s="92">
        <v>0</v>
      </c>
      <c r="H175" s="91">
        <v>24247</v>
      </c>
      <c r="I175" s="67">
        <v>0</v>
      </c>
      <c r="J175" s="20">
        <v>24247</v>
      </c>
      <c r="K175" s="132" t="s">
        <v>621</v>
      </c>
      <c r="L175" s="151">
        <v>0</v>
      </c>
      <c r="M175" s="128">
        <v>160.13</v>
      </c>
      <c r="N175" s="67">
        <v>431</v>
      </c>
      <c r="O175" s="67">
        <v>24678</v>
      </c>
      <c r="Q175" s="71"/>
      <c r="S175" s="163">
        <v>20901</v>
      </c>
      <c r="T175" s="163">
        <v>3777</v>
      </c>
      <c r="U175" s="43">
        <v>0.18070905698291947</v>
      </c>
      <c r="V175" s="61"/>
      <c r="AC175" s="36"/>
      <c r="AD175" s="36"/>
      <c r="AE175" s="36"/>
      <c r="AF175" s="19"/>
    </row>
    <row r="176" spans="1:32">
      <c r="A176" s="64" t="s">
        <v>594</v>
      </c>
      <c r="B176" s="63" t="s">
        <v>136</v>
      </c>
      <c r="C176" s="63" t="s">
        <v>137</v>
      </c>
      <c r="D176" s="134">
        <v>0</v>
      </c>
      <c r="E176" s="67">
        <v>0</v>
      </c>
      <c r="F176" s="146">
        <v>0</v>
      </c>
      <c r="G176" s="92">
        <v>0</v>
      </c>
      <c r="H176" s="91">
        <v>0</v>
      </c>
      <c r="I176" s="67">
        <v>0</v>
      </c>
      <c r="J176" s="20">
        <v>0</v>
      </c>
      <c r="K176" s="132" t="s">
        <v>644</v>
      </c>
      <c r="L176" s="151">
        <v>0</v>
      </c>
      <c r="M176" s="128">
        <v>0</v>
      </c>
      <c r="N176" s="67">
        <v>0</v>
      </c>
      <c r="O176" s="67">
        <v>0</v>
      </c>
      <c r="Q176" s="71"/>
      <c r="S176" s="163">
        <v>0</v>
      </c>
      <c r="T176" s="163">
        <v>0</v>
      </c>
      <c r="U176" s="43">
        <v>0</v>
      </c>
      <c r="V176" s="61"/>
      <c r="AC176" s="36"/>
      <c r="AD176" s="36"/>
      <c r="AE176" s="36"/>
      <c r="AF176" s="19"/>
    </row>
    <row r="177" spans="1:32">
      <c r="A177" s="64" t="s">
        <v>596</v>
      </c>
      <c r="B177" s="63" t="s">
        <v>106</v>
      </c>
      <c r="C177" s="63" t="s">
        <v>107</v>
      </c>
      <c r="D177" s="134">
        <v>668.25</v>
      </c>
      <c r="E177" s="67">
        <v>101187</v>
      </c>
      <c r="F177" s="146">
        <v>0</v>
      </c>
      <c r="G177" s="92">
        <v>0</v>
      </c>
      <c r="H177" s="91">
        <v>101187</v>
      </c>
      <c r="I177" s="67">
        <v>0</v>
      </c>
      <c r="J177" s="20">
        <v>101187</v>
      </c>
      <c r="K177" s="132" t="s">
        <v>621</v>
      </c>
      <c r="L177" s="151">
        <v>0</v>
      </c>
      <c r="M177" s="128">
        <v>668.25</v>
      </c>
      <c r="N177" s="67">
        <v>1798</v>
      </c>
      <c r="O177" s="67">
        <v>102985</v>
      </c>
      <c r="Q177" s="71"/>
      <c r="S177" s="163">
        <v>87388</v>
      </c>
      <c r="T177" s="163">
        <v>15597</v>
      </c>
      <c r="U177" s="43">
        <v>0.17847988282144001</v>
      </c>
      <c r="V177" s="61"/>
      <c r="AC177" s="36"/>
      <c r="AD177" s="36"/>
      <c r="AE177" s="36"/>
      <c r="AF177" s="19"/>
    </row>
    <row r="178" spans="1:32">
      <c r="A178" s="64" t="s">
        <v>600</v>
      </c>
      <c r="B178" s="63" t="s">
        <v>214</v>
      </c>
      <c r="C178" s="63" t="s">
        <v>215</v>
      </c>
      <c r="D178" s="134">
        <v>193.13</v>
      </c>
      <c r="E178" s="67">
        <v>29244</v>
      </c>
      <c r="F178" s="146">
        <v>0</v>
      </c>
      <c r="G178" s="92">
        <v>0</v>
      </c>
      <c r="H178" s="91">
        <v>29244</v>
      </c>
      <c r="I178" s="67">
        <v>0</v>
      </c>
      <c r="J178" s="20">
        <v>29244</v>
      </c>
      <c r="K178" s="132" t="s">
        <v>621</v>
      </c>
      <c r="L178" s="151">
        <v>0</v>
      </c>
      <c r="M178" s="128">
        <v>193.13</v>
      </c>
      <c r="N178" s="67">
        <v>520</v>
      </c>
      <c r="O178" s="67">
        <v>29764</v>
      </c>
      <c r="Q178" s="71"/>
      <c r="S178" s="163">
        <v>21082</v>
      </c>
      <c r="T178" s="163">
        <v>8682</v>
      </c>
      <c r="U178" s="43">
        <v>0.41182051038800871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305</v>
      </c>
      <c r="C179" s="63" t="s">
        <v>306</v>
      </c>
      <c r="D179" s="134">
        <v>63.13</v>
      </c>
      <c r="E179" s="67">
        <v>9559</v>
      </c>
      <c r="F179" s="146">
        <v>0</v>
      </c>
      <c r="G179" s="92">
        <v>0</v>
      </c>
      <c r="H179" s="91">
        <v>9559</v>
      </c>
      <c r="I179" s="67">
        <v>0</v>
      </c>
      <c r="J179" s="20">
        <v>9559</v>
      </c>
      <c r="K179" s="132" t="s">
        <v>644</v>
      </c>
      <c r="L179" s="151">
        <v>9559</v>
      </c>
      <c r="M179" s="128">
        <v>0</v>
      </c>
      <c r="N179" s="67">
        <v>0</v>
      </c>
      <c r="O179" s="67">
        <v>0</v>
      </c>
      <c r="Q179" s="71"/>
      <c r="S179" s="163">
        <v>0</v>
      </c>
      <c r="T179" s="163">
        <v>0</v>
      </c>
      <c r="U179" s="43">
        <v>0</v>
      </c>
      <c r="V179" s="61"/>
      <c r="AC179" s="36"/>
      <c r="AD179" s="36"/>
      <c r="AE179" s="36"/>
      <c r="AF179" s="19"/>
    </row>
    <row r="180" spans="1:32">
      <c r="A180" s="64" t="s">
        <v>594</v>
      </c>
      <c r="B180" s="63" t="s">
        <v>334</v>
      </c>
      <c r="C180" s="63" t="s">
        <v>335</v>
      </c>
      <c r="D180" s="134">
        <v>0</v>
      </c>
      <c r="E180" s="67">
        <v>0</v>
      </c>
      <c r="F180" s="146">
        <v>0</v>
      </c>
      <c r="G180" s="92">
        <v>0</v>
      </c>
      <c r="H180" s="91">
        <v>0</v>
      </c>
      <c r="I180" s="67">
        <v>0</v>
      </c>
      <c r="J180" s="20">
        <v>0</v>
      </c>
      <c r="K180" s="132" t="s">
        <v>644</v>
      </c>
      <c r="L180" s="151">
        <v>0</v>
      </c>
      <c r="M180" s="128">
        <v>0</v>
      </c>
      <c r="N180" s="67">
        <v>0</v>
      </c>
      <c r="O180" s="67">
        <v>0</v>
      </c>
      <c r="Q180" s="71"/>
      <c r="S180" s="163">
        <v>0</v>
      </c>
      <c r="T180" s="163">
        <v>0</v>
      </c>
      <c r="U180" s="4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474</v>
      </c>
      <c r="C181" s="63" t="s">
        <v>475</v>
      </c>
      <c r="D181" s="134">
        <v>185.38</v>
      </c>
      <c r="E181" s="67">
        <v>28071</v>
      </c>
      <c r="F181" s="146">
        <v>25000</v>
      </c>
      <c r="G181" s="92">
        <v>0</v>
      </c>
      <c r="H181" s="91">
        <v>53071</v>
      </c>
      <c r="I181" s="67">
        <v>0</v>
      </c>
      <c r="J181" s="20">
        <v>28071</v>
      </c>
      <c r="K181" s="132" t="s">
        <v>621</v>
      </c>
      <c r="L181" s="151">
        <v>0</v>
      </c>
      <c r="M181" s="128">
        <v>185.38</v>
      </c>
      <c r="N181" s="67">
        <v>499</v>
      </c>
      <c r="O181" s="67">
        <v>28570</v>
      </c>
      <c r="Q181" s="71"/>
      <c r="S181" s="163">
        <v>21612</v>
      </c>
      <c r="T181" s="163">
        <v>6958</v>
      </c>
      <c r="U181" s="43">
        <v>0.32195076809180084</v>
      </c>
      <c r="V181" s="61"/>
      <c r="AC181" s="36"/>
      <c r="AD181" s="36"/>
      <c r="AE181" s="36"/>
      <c r="AF181" s="19"/>
    </row>
    <row r="182" spans="1:32">
      <c r="A182" s="64" t="s">
        <v>603</v>
      </c>
      <c r="B182" s="63" t="s">
        <v>468</v>
      </c>
      <c r="C182" s="63" t="s">
        <v>469</v>
      </c>
      <c r="D182" s="134">
        <v>0</v>
      </c>
      <c r="E182" s="67">
        <v>0</v>
      </c>
      <c r="F182" s="146">
        <v>0</v>
      </c>
      <c r="G182" s="92">
        <v>0</v>
      </c>
      <c r="H182" s="91">
        <v>0</v>
      </c>
      <c r="I182" s="67">
        <v>0</v>
      </c>
      <c r="J182" s="20">
        <v>0</v>
      </c>
      <c r="K182" s="132" t="s">
        <v>644</v>
      </c>
      <c r="L182" s="151">
        <v>0</v>
      </c>
      <c r="M182" s="128">
        <v>0</v>
      </c>
      <c r="N182" s="67">
        <v>0</v>
      </c>
      <c r="O182" s="67">
        <v>0</v>
      </c>
      <c r="Q182" s="71"/>
      <c r="S182" s="163">
        <v>0</v>
      </c>
      <c r="T182" s="163">
        <v>0</v>
      </c>
      <c r="U182" s="43">
        <v>0</v>
      </c>
      <c r="V182" s="61"/>
      <c r="AC182" s="36"/>
      <c r="AD182" s="36"/>
      <c r="AE182" s="36"/>
      <c r="AF182" s="19"/>
    </row>
    <row r="183" spans="1:32">
      <c r="A183" s="64" t="s">
        <v>597</v>
      </c>
      <c r="B183" s="63" t="s">
        <v>209</v>
      </c>
      <c r="C183" s="63" t="s">
        <v>210</v>
      </c>
      <c r="D183" s="134">
        <v>814.88</v>
      </c>
      <c r="E183" s="67">
        <v>123390</v>
      </c>
      <c r="F183" s="146">
        <v>50000</v>
      </c>
      <c r="G183" s="92">
        <v>0</v>
      </c>
      <c r="H183" s="91">
        <v>173390</v>
      </c>
      <c r="I183" s="67">
        <v>0</v>
      </c>
      <c r="J183" s="20">
        <v>123390</v>
      </c>
      <c r="K183" s="132" t="s">
        <v>621</v>
      </c>
      <c r="L183" s="151">
        <v>0</v>
      </c>
      <c r="M183" s="128">
        <v>814.88</v>
      </c>
      <c r="N183" s="67">
        <v>2193</v>
      </c>
      <c r="O183" s="67">
        <v>125583</v>
      </c>
      <c r="Q183" s="71"/>
      <c r="S183" s="163">
        <v>90615</v>
      </c>
      <c r="T183" s="163">
        <v>34968</v>
      </c>
      <c r="U183" s="43">
        <v>0.3858963747723887</v>
      </c>
      <c r="V183" s="61"/>
      <c r="AC183" s="36"/>
      <c r="AD183" s="36"/>
      <c r="AE183" s="36"/>
      <c r="AF183" s="19"/>
    </row>
    <row r="184" spans="1:32">
      <c r="A184" s="64" t="s">
        <v>595</v>
      </c>
      <c r="B184" s="63" t="s">
        <v>157</v>
      </c>
      <c r="C184" s="63" t="s">
        <v>158</v>
      </c>
      <c r="D184" s="134">
        <v>185.38</v>
      </c>
      <c r="E184" s="67">
        <v>28071</v>
      </c>
      <c r="F184" s="146">
        <v>0</v>
      </c>
      <c r="G184" s="92">
        <v>0</v>
      </c>
      <c r="H184" s="91">
        <v>28071</v>
      </c>
      <c r="I184" s="67">
        <v>0</v>
      </c>
      <c r="J184" s="20">
        <v>28071</v>
      </c>
      <c r="K184" s="132" t="s">
        <v>621</v>
      </c>
      <c r="L184" s="151">
        <v>0</v>
      </c>
      <c r="M184" s="128">
        <v>185.38</v>
      </c>
      <c r="N184" s="67">
        <v>499</v>
      </c>
      <c r="O184" s="67">
        <v>28570</v>
      </c>
      <c r="Q184" s="71"/>
      <c r="S184" s="163">
        <v>22295</v>
      </c>
      <c r="T184" s="163">
        <v>6275</v>
      </c>
      <c r="U184" s="43">
        <v>0.28145324063691413</v>
      </c>
      <c r="V184" s="61"/>
      <c r="AC184" s="36"/>
      <c r="AD184" s="36"/>
      <c r="AE184" s="36"/>
      <c r="AF184" s="19"/>
    </row>
    <row r="185" spans="1:32">
      <c r="A185" s="64" t="s">
        <v>603</v>
      </c>
      <c r="B185" s="63" t="s">
        <v>541</v>
      </c>
      <c r="C185" s="63" t="s">
        <v>542</v>
      </c>
      <c r="D185" s="134">
        <v>0</v>
      </c>
      <c r="E185" s="67">
        <v>0</v>
      </c>
      <c r="F185" s="146">
        <v>0</v>
      </c>
      <c r="G185" s="92">
        <v>0</v>
      </c>
      <c r="H185" s="91">
        <v>0</v>
      </c>
      <c r="I185" s="67">
        <v>0</v>
      </c>
      <c r="J185" s="20">
        <v>0</v>
      </c>
      <c r="K185" s="132" t="s">
        <v>644</v>
      </c>
      <c r="L185" s="151">
        <v>0</v>
      </c>
      <c r="M185" s="128">
        <v>0</v>
      </c>
      <c r="N185" s="67">
        <v>0</v>
      </c>
      <c r="O185" s="67">
        <v>0</v>
      </c>
      <c r="Q185" s="71"/>
      <c r="S185" s="163">
        <v>0</v>
      </c>
      <c r="T185" s="163">
        <v>0</v>
      </c>
      <c r="U185" s="43">
        <v>0</v>
      </c>
      <c r="V185" s="61"/>
      <c r="AC185" s="36"/>
      <c r="AD185" s="36"/>
      <c r="AE185" s="36"/>
      <c r="AF185" s="19"/>
    </row>
    <row r="186" spans="1:32">
      <c r="A186" s="64" t="s">
        <v>594</v>
      </c>
      <c r="B186" s="63" t="s">
        <v>155</v>
      </c>
      <c r="C186" s="63" t="s">
        <v>156</v>
      </c>
      <c r="D186" s="134">
        <v>0</v>
      </c>
      <c r="E186" s="67">
        <v>0</v>
      </c>
      <c r="F186" s="146">
        <v>0</v>
      </c>
      <c r="G186" s="92">
        <v>0</v>
      </c>
      <c r="H186" s="91">
        <v>0</v>
      </c>
      <c r="I186" s="67">
        <v>0</v>
      </c>
      <c r="J186" s="20">
        <v>0</v>
      </c>
      <c r="K186" s="132" t="s">
        <v>644</v>
      </c>
      <c r="L186" s="151">
        <v>0</v>
      </c>
      <c r="M186" s="128">
        <v>0</v>
      </c>
      <c r="N186" s="67">
        <v>0</v>
      </c>
      <c r="O186" s="67">
        <v>0</v>
      </c>
      <c r="Q186" s="71"/>
      <c r="S186" s="163">
        <v>0</v>
      </c>
      <c r="T186" s="163">
        <v>0</v>
      </c>
      <c r="U186" s="43">
        <v>0</v>
      </c>
      <c r="V186" s="61"/>
      <c r="AC186" s="36"/>
      <c r="AD186" s="36"/>
      <c r="AE186" s="36"/>
      <c r="AF186" s="19"/>
    </row>
    <row r="187" spans="1:32">
      <c r="A187" s="64" t="s">
        <v>599</v>
      </c>
      <c r="B187" s="63" t="s">
        <v>325</v>
      </c>
      <c r="C187" s="63" t="s">
        <v>326</v>
      </c>
      <c r="D187" s="134">
        <v>36</v>
      </c>
      <c r="E187" s="67">
        <v>5451</v>
      </c>
      <c r="F187" s="146">
        <v>0</v>
      </c>
      <c r="G187" s="92">
        <v>0</v>
      </c>
      <c r="H187" s="91">
        <v>5451</v>
      </c>
      <c r="I187" s="67">
        <v>0</v>
      </c>
      <c r="J187" s="20">
        <v>5451</v>
      </c>
      <c r="K187" s="132" t="s">
        <v>621</v>
      </c>
      <c r="L187" s="151">
        <v>0</v>
      </c>
      <c r="M187" s="128">
        <v>36</v>
      </c>
      <c r="N187" s="67">
        <v>97</v>
      </c>
      <c r="O187" s="67">
        <v>5548</v>
      </c>
      <c r="Q187" s="71"/>
      <c r="S187" s="163">
        <v>5183</v>
      </c>
      <c r="T187" s="163">
        <v>365</v>
      </c>
      <c r="U187" s="43">
        <v>7.0422535211267609E-2</v>
      </c>
      <c r="V187" s="61"/>
      <c r="AC187" s="36"/>
      <c r="AD187" s="36"/>
      <c r="AE187" s="36"/>
      <c r="AF187" s="19"/>
    </row>
    <row r="188" spans="1:32">
      <c r="A188" s="64" t="s">
        <v>594</v>
      </c>
      <c r="B188" s="63" t="s">
        <v>153</v>
      </c>
      <c r="C188" s="63" t="s">
        <v>154</v>
      </c>
      <c r="D188" s="134">
        <v>26.13</v>
      </c>
      <c r="E188" s="67">
        <v>3957</v>
      </c>
      <c r="F188" s="146">
        <v>0</v>
      </c>
      <c r="G188" s="92">
        <v>3300</v>
      </c>
      <c r="H188" s="91">
        <v>7257</v>
      </c>
      <c r="I188" s="67">
        <v>0</v>
      </c>
      <c r="J188" s="20">
        <v>3957</v>
      </c>
      <c r="K188" s="132" t="s">
        <v>644</v>
      </c>
      <c r="L188" s="151">
        <v>3957</v>
      </c>
      <c r="M188" s="128">
        <v>0</v>
      </c>
      <c r="N188" s="67">
        <v>0</v>
      </c>
      <c r="O188" s="67">
        <v>0</v>
      </c>
      <c r="Q188" s="71"/>
      <c r="S188" s="163">
        <v>3000</v>
      </c>
      <c r="T188" s="163">
        <v>-3000</v>
      </c>
      <c r="U188" s="43">
        <v>-1</v>
      </c>
      <c r="V188" s="61"/>
      <c r="AC188" s="36"/>
      <c r="AD188" s="36"/>
      <c r="AE188" s="36"/>
      <c r="AF188" s="19"/>
    </row>
    <row r="189" spans="1:32">
      <c r="A189" s="64" t="s">
        <v>603</v>
      </c>
      <c r="B189" s="63" t="s">
        <v>287</v>
      </c>
      <c r="C189" s="63" t="s">
        <v>288</v>
      </c>
      <c r="D189" s="134">
        <v>0</v>
      </c>
      <c r="E189" s="67">
        <v>0</v>
      </c>
      <c r="F189" s="146">
        <v>0</v>
      </c>
      <c r="G189" s="92">
        <v>0</v>
      </c>
      <c r="H189" s="91">
        <v>0</v>
      </c>
      <c r="I189" s="67">
        <v>0</v>
      </c>
      <c r="J189" s="20">
        <v>0</v>
      </c>
      <c r="K189" s="132" t="s">
        <v>644</v>
      </c>
      <c r="L189" s="151">
        <v>0</v>
      </c>
      <c r="M189" s="128">
        <v>0</v>
      </c>
      <c r="N189" s="67">
        <v>0</v>
      </c>
      <c r="O189" s="67">
        <v>0</v>
      </c>
      <c r="Q189" s="71"/>
      <c r="S189" s="163">
        <v>0</v>
      </c>
      <c r="T189" s="163">
        <v>0</v>
      </c>
      <c r="U189" s="43">
        <v>0</v>
      </c>
      <c r="V189" s="61"/>
      <c r="AC189" s="36"/>
      <c r="AD189" s="36"/>
      <c r="AE189" s="36"/>
      <c r="AF189" s="19"/>
    </row>
    <row r="190" spans="1:32">
      <c r="A190" s="64" t="s">
        <v>601</v>
      </c>
      <c r="B190" s="63" t="s">
        <v>313</v>
      </c>
      <c r="C190" s="63" t="s">
        <v>314</v>
      </c>
      <c r="D190" s="134">
        <v>84.25</v>
      </c>
      <c r="E190" s="67">
        <v>12757</v>
      </c>
      <c r="F190" s="146">
        <v>0</v>
      </c>
      <c r="G190" s="92">
        <v>4350</v>
      </c>
      <c r="H190" s="91">
        <v>17107</v>
      </c>
      <c r="I190" s="67">
        <v>0</v>
      </c>
      <c r="J190" s="20">
        <v>12757</v>
      </c>
      <c r="K190" s="132" t="s">
        <v>621</v>
      </c>
      <c r="L190" s="151">
        <v>0</v>
      </c>
      <c r="M190" s="128">
        <v>84.25</v>
      </c>
      <c r="N190" s="67">
        <v>227</v>
      </c>
      <c r="O190" s="67">
        <v>12984</v>
      </c>
      <c r="Q190" s="71"/>
      <c r="S190" s="163">
        <v>13625</v>
      </c>
      <c r="T190" s="163">
        <v>-641</v>
      </c>
      <c r="U190" s="43">
        <v>-4.704587155963303E-2</v>
      </c>
      <c r="V190" s="61"/>
      <c r="AC190" s="36"/>
      <c r="AD190" s="36"/>
      <c r="AE190" s="36"/>
      <c r="AF190" s="19"/>
    </row>
    <row r="191" spans="1:32">
      <c r="A191" s="64" t="s">
        <v>594</v>
      </c>
      <c r="B191" s="63" t="s">
        <v>478</v>
      </c>
      <c r="C191" s="63" t="s">
        <v>479</v>
      </c>
      <c r="D191" s="134">
        <v>139.5</v>
      </c>
      <c r="E191" s="67">
        <v>21123</v>
      </c>
      <c r="F191" s="146">
        <v>0</v>
      </c>
      <c r="G191" s="92">
        <v>0</v>
      </c>
      <c r="H191" s="91">
        <v>21123</v>
      </c>
      <c r="I191" s="67">
        <v>0</v>
      </c>
      <c r="J191" s="20">
        <v>21123</v>
      </c>
      <c r="K191" s="132" t="s">
        <v>644</v>
      </c>
      <c r="L191" s="151">
        <v>21123</v>
      </c>
      <c r="M191" s="128">
        <v>0</v>
      </c>
      <c r="N191" s="67">
        <v>0</v>
      </c>
      <c r="O191" s="67">
        <v>0</v>
      </c>
      <c r="Q191" s="71"/>
      <c r="S191" s="163">
        <v>17369</v>
      </c>
      <c r="T191" s="163">
        <v>-17369</v>
      </c>
      <c r="U191" s="43">
        <v>-1</v>
      </c>
      <c r="V191" s="61"/>
      <c r="AC191" s="36"/>
      <c r="AD191" s="36"/>
      <c r="AE191" s="36"/>
      <c r="AF191" s="19"/>
    </row>
    <row r="192" spans="1:32">
      <c r="A192" s="64" t="s">
        <v>601</v>
      </c>
      <c r="B192" s="63" t="s">
        <v>311</v>
      </c>
      <c r="C192" s="63" t="s">
        <v>312</v>
      </c>
      <c r="D192" s="134">
        <v>61.63</v>
      </c>
      <c r="E192" s="67">
        <v>9332</v>
      </c>
      <c r="F192" s="146">
        <v>0</v>
      </c>
      <c r="G192" s="92">
        <v>0</v>
      </c>
      <c r="H192" s="91">
        <v>9332</v>
      </c>
      <c r="I192" s="67">
        <v>0</v>
      </c>
      <c r="J192" s="20">
        <v>9332</v>
      </c>
      <c r="K192" s="132" t="s">
        <v>621</v>
      </c>
      <c r="L192" s="151">
        <v>0</v>
      </c>
      <c r="M192" s="128">
        <v>61.63</v>
      </c>
      <c r="N192" s="67">
        <v>166</v>
      </c>
      <c r="O192" s="67">
        <v>9498</v>
      </c>
      <c r="Q192" s="71"/>
      <c r="S192" s="163">
        <v>6002</v>
      </c>
      <c r="T192" s="163">
        <v>3496</v>
      </c>
      <c r="U192" s="43">
        <v>0.58247250916361215</v>
      </c>
      <c r="V192" s="61"/>
      <c r="AC192" s="36"/>
      <c r="AD192" s="36"/>
      <c r="AE192" s="36"/>
      <c r="AF192" s="19"/>
    </row>
    <row r="193" spans="1:32">
      <c r="A193" s="64" t="s">
        <v>594</v>
      </c>
      <c r="B193" s="63" t="s">
        <v>270</v>
      </c>
      <c r="C193" s="63" t="s">
        <v>271</v>
      </c>
      <c r="D193" s="134">
        <v>10.38</v>
      </c>
      <c r="E193" s="67">
        <v>1572</v>
      </c>
      <c r="F193" s="146">
        <v>0</v>
      </c>
      <c r="G193" s="92">
        <v>0</v>
      </c>
      <c r="H193" s="91">
        <v>1572</v>
      </c>
      <c r="I193" s="67">
        <v>0</v>
      </c>
      <c r="J193" s="20">
        <v>1572</v>
      </c>
      <c r="K193" s="132" t="s">
        <v>644</v>
      </c>
      <c r="L193" s="151">
        <v>1572</v>
      </c>
      <c r="M193" s="128">
        <v>0</v>
      </c>
      <c r="N193" s="67">
        <v>0</v>
      </c>
      <c r="O193" s="67">
        <v>0</v>
      </c>
      <c r="Q193" s="71"/>
      <c r="S193" s="163">
        <v>0</v>
      </c>
      <c r="T193" s="163">
        <v>0</v>
      </c>
      <c r="U193" s="43">
        <v>0</v>
      </c>
      <c r="V193" s="61"/>
      <c r="AC193" s="36"/>
      <c r="AD193" s="36"/>
      <c r="AE193" s="36"/>
      <c r="AF193" s="19"/>
    </row>
    <row r="194" spans="1:32">
      <c r="A194" s="64" t="s">
        <v>603</v>
      </c>
      <c r="B194" s="63" t="s">
        <v>448</v>
      </c>
      <c r="C194" s="63" t="s">
        <v>449</v>
      </c>
      <c r="D194" s="134">
        <v>0</v>
      </c>
      <c r="E194" s="67">
        <v>0</v>
      </c>
      <c r="F194" s="146">
        <v>0</v>
      </c>
      <c r="G194" s="92">
        <v>0</v>
      </c>
      <c r="H194" s="91">
        <v>0</v>
      </c>
      <c r="I194" s="67">
        <v>0</v>
      </c>
      <c r="J194" s="20">
        <v>0</v>
      </c>
      <c r="K194" s="132" t="s">
        <v>644</v>
      </c>
      <c r="L194" s="151">
        <v>0</v>
      </c>
      <c r="M194" s="128">
        <v>0</v>
      </c>
      <c r="N194" s="67">
        <v>0</v>
      </c>
      <c r="O194" s="67">
        <v>0</v>
      </c>
      <c r="Q194" s="71"/>
      <c r="S194" s="163">
        <v>0</v>
      </c>
      <c r="T194" s="163">
        <v>0</v>
      </c>
      <c r="U194" s="43">
        <v>0</v>
      </c>
      <c r="V194" s="61"/>
      <c r="AC194" s="36"/>
      <c r="AD194" s="36"/>
      <c r="AE194" s="36"/>
      <c r="AF194" s="19"/>
    </row>
    <row r="195" spans="1:32">
      <c r="A195" s="64" t="s">
        <v>595</v>
      </c>
      <c r="B195" s="63" t="s">
        <v>372</v>
      </c>
      <c r="C195" s="63" t="s">
        <v>613</v>
      </c>
      <c r="D195" s="134">
        <v>7.13</v>
      </c>
      <c r="E195" s="67">
        <v>1080</v>
      </c>
      <c r="F195" s="146">
        <v>0</v>
      </c>
      <c r="G195" s="92">
        <v>0</v>
      </c>
      <c r="H195" s="91">
        <v>1080</v>
      </c>
      <c r="I195" s="67">
        <v>0</v>
      </c>
      <c r="J195" s="20">
        <v>1080</v>
      </c>
      <c r="K195" s="132" t="s">
        <v>644</v>
      </c>
      <c r="L195" s="151">
        <v>1080</v>
      </c>
      <c r="M195" s="128">
        <v>0</v>
      </c>
      <c r="N195" s="67">
        <v>0</v>
      </c>
      <c r="O195" s="67">
        <v>0</v>
      </c>
      <c r="Q195" s="71"/>
      <c r="S195" s="163">
        <v>0</v>
      </c>
      <c r="T195" s="163">
        <v>0</v>
      </c>
      <c r="U195" s="43">
        <v>0</v>
      </c>
      <c r="V195" s="61"/>
      <c r="AC195" s="36"/>
      <c r="AD195" s="36"/>
      <c r="AE195" s="36"/>
      <c r="AF195" s="19"/>
    </row>
    <row r="196" spans="1:32">
      <c r="A196" s="64" t="s">
        <v>603</v>
      </c>
      <c r="B196" s="63" t="s">
        <v>424</v>
      </c>
      <c r="C196" s="63" t="s">
        <v>425</v>
      </c>
      <c r="D196" s="134">
        <v>0</v>
      </c>
      <c r="E196" s="67">
        <v>0</v>
      </c>
      <c r="F196" s="146">
        <v>0</v>
      </c>
      <c r="G196" s="92">
        <v>0</v>
      </c>
      <c r="H196" s="91">
        <v>0</v>
      </c>
      <c r="I196" s="67">
        <v>0</v>
      </c>
      <c r="J196" s="20">
        <v>0</v>
      </c>
      <c r="K196" s="132" t="s">
        <v>644</v>
      </c>
      <c r="L196" s="151">
        <v>0</v>
      </c>
      <c r="M196" s="128">
        <v>0</v>
      </c>
      <c r="N196" s="67">
        <v>0</v>
      </c>
      <c r="O196" s="67">
        <v>0</v>
      </c>
      <c r="Q196" s="71"/>
      <c r="S196" s="163">
        <v>0</v>
      </c>
      <c r="T196" s="163">
        <v>0</v>
      </c>
      <c r="U196" s="4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98</v>
      </c>
      <c r="C197" s="63" t="s">
        <v>99</v>
      </c>
      <c r="D197" s="134">
        <v>0</v>
      </c>
      <c r="E197" s="67">
        <v>0</v>
      </c>
      <c r="F197" s="146">
        <v>0</v>
      </c>
      <c r="G197" s="92">
        <v>0</v>
      </c>
      <c r="H197" s="91">
        <v>0</v>
      </c>
      <c r="I197" s="67">
        <v>0</v>
      </c>
      <c r="J197" s="20">
        <v>0</v>
      </c>
      <c r="K197" s="132" t="s">
        <v>644</v>
      </c>
      <c r="L197" s="151">
        <v>0</v>
      </c>
      <c r="M197" s="128">
        <v>0</v>
      </c>
      <c r="N197" s="67">
        <v>0</v>
      </c>
      <c r="O197" s="67">
        <v>0</v>
      </c>
      <c r="Q197" s="71"/>
      <c r="S197" s="163">
        <v>0</v>
      </c>
      <c r="T197" s="163">
        <v>0</v>
      </c>
      <c r="U197" s="43">
        <v>0</v>
      </c>
      <c r="V197" s="61"/>
      <c r="AC197" s="36"/>
      <c r="AD197" s="36"/>
      <c r="AE197" s="36"/>
      <c r="AF197" s="19"/>
    </row>
    <row r="198" spans="1:32">
      <c r="A198" s="64" t="s">
        <v>601</v>
      </c>
      <c r="B198" s="63" t="s">
        <v>82</v>
      </c>
      <c r="C198" s="63" t="s">
        <v>83</v>
      </c>
      <c r="D198" s="134">
        <v>79.13</v>
      </c>
      <c r="E198" s="67">
        <v>11982</v>
      </c>
      <c r="F198" s="146">
        <v>0</v>
      </c>
      <c r="G198" s="92">
        <v>0</v>
      </c>
      <c r="H198" s="91">
        <v>11982</v>
      </c>
      <c r="I198" s="67">
        <v>0</v>
      </c>
      <c r="J198" s="20">
        <v>11982</v>
      </c>
      <c r="K198" s="132" t="s">
        <v>621</v>
      </c>
      <c r="L198" s="151">
        <v>0</v>
      </c>
      <c r="M198" s="128">
        <v>79.13</v>
      </c>
      <c r="N198" s="67">
        <v>213</v>
      </c>
      <c r="O198" s="67">
        <v>12195</v>
      </c>
      <c r="Q198" s="71"/>
      <c r="S198" s="163">
        <v>10881</v>
      </c>
      <c r="T198" s="163">
        <v>1314</v>
      </c>
      <c r="U198" s="43">
        <v>0.12076095947063689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323</v>
      </c>
      <c r="C199" s="63" t="s">
        <v>324</v>
      </c>
      <c r="D199" s="134">
        <v>90.13</v>
      </c>
      <c r="E199" s="67">
        <v>13648</v>
      </c>
      <c r="F199" s="146">
        <v>0</v>
      </c>
      <c r="G199" s="92">
        <v>0</v>
      </c>
      <c r="H199" s="91">
        <v>13648</v>
      </c>
      <c r="I199" s="67">
        <v>0</v>
      </c>
      <c r="J199" s="20">
        <v>13648</v>
      </c>
      <c r="K199" s="132" t="s">
        <v>621</v>
      </c>
      <c r="L199" s="151">
        <v>0</v>
      </c>
      <c r="M199" s="128">
        <v>90.13</v>
      </c>
      <c r="N199" s="67">
        <v>243</v>
      </c>
      <c r="O199" s="67">
        <v>13891</v>
      </c>
      <c r="Q199" s="71"/>
      <c r="S199" s="163">
        <v>10458</v>
      </c>
      <c r="T199" s="163">
        <v>3433</v>
      </c>
      <c r="U199" s="43">
        <v>0.32826544272327407</v>
      </c>
      <c r="V199" s="61"/>
      <c r="AC199" s="36"/>
      <c r="AD199" s="36"/>
      <c r="AE199" s="36"/>
      <c r="AF199" s="19"/>
    </row>
    <row r="200" spans="1:32">
      <c r="A200" s="64" t="s">
        <v>597</v>
      </c>
      <c r="B200" s="63" t="s">
        <v>355</v>
      </c>
      <c r="C200" s="63" t="s">
        <v>356</v>
      </c>
      <c r="D200" s="134">
        <v>28.63</v>
      </c>
      <c r="E200" s="67">
        <v>4335</v>
      </c>
      <c r="F200" s="146">
        <v>0</v>
      </c>
      <c r="G200" s="92">
        <v>0</v>
      </c>
      <c r="H200" s="91">
        <v>4335</v>
      </c>
      <c r="I200" s="67">
        <v>0</v>
      </c>
      <c r="J200" s="20">
        <v>4335</v>
      </c>
      <c r="K200" s="132" t="s">
        <v>644</v>
      </c>
      <c r="L200" s="151">
        <v>4335</v>
      </c>
      <c r="M200" s="128">
        <v>0</v>
      </c>
      <c r="N200" s="67">
        <v>0</v>
      </c>
      <c r="O200" s="67">
        <v>0</v>
      </c>
      <c r="Q200" s="71"/>
      <c r="S200" s="163">
        <v>0</v>
      </c>
      <c r="T200" s="163">
        <v>0</v>
      </c>
      <c r="U200" s="43">
        <v>0</v>
      </c>
      <c r="V200" s="61"/>
      <c r="AC200" s="36"/>
      <c r="AD200" s="36"/>
      <c r="AE200" s="36"/>
      <c r="AF200" s="19"/>
    </row>
    <row r="201" spans="1:32">
      <c r="A201" s="64" t="s">
        <v>596</v>
      </c>
      <c r="B201" s="63" t="s">
        <v>4</v>
      </c>
      <c r="C201" s="63" t="s">
        <v>5</v>
      </c>
      <c r="D201" s="134">
        <v>1260.1300000000001</v>
      </c>
      <c r="E201" s="67">
        <v>190811</v>
      </c>
      <c r="F201" s="146">
        <v>25000</v>
      </c>
      <c r="G201" s="92">
        <v>0</v>
      </c>
      <c r="H201" s="91">
        <v>215811</v>
      </c>
      <c r="I201" s="67">
        <v>0</v>
      </c>
      <c r="J201" s="20">
        <v>190811</v>
      </c>
      <c r="K201" s="132" t="s">
        <v>621</v>
      </c>
      <c r="L201" s="151">
        <v>0</v>
      </c>
      <c r="M201" s="128">
        <v>1260.1300000000001</v>
      </c>
      <c r="N201" s="67">
        <v>3391</v>
      </c>
      <c r="O201" s="67">
        <v>194202</v>
      </c>
      <c r="Q201" s="71"/>
      <c r="S201" s="163">
        <v>162909</v>
      </c>
      <c r="T201" s="163">
        <v>31293</v>
      </c>
      <c r="U201" s="43">
        <v>0.19208883487100159</v>
      </c>
      <c r="V201" s="61"/>
      <c r="AC201" s="36"/>
      <c r="AD201" s="36"/>
      <c r="AE201" s="36"/>
      <c r="AF201" s="19"/>
    </row>
    <row r="202" spans="1:32">
      <c r="A202" s="64" t="s">
        <v>601</v>
      </c>
      <c r="B202" s="63" t="s">
        <v>86</v>
      </c>
      <c r="C202" s="63" t="s">
        <v>87</v>
      </c>
      <c r="D202" s="134">
        <v>28.13</v>
      </c>
      <c r="E202" s="67">
        <v>4259</v>
      </c>
      <c r="F202" s="146">
        <v>0</v>
      </c>
      <c r="G202" s="92">
        <v>0</v>
      </c>
      <c r="H202" s="91">
        <v>4259</v>
      </c>
      <c r="I202" s="67">
        <v>0</v>
      </c>
      <c r="J202" s="20">
        <v>4259</v>
      </c>
      <c r="K202" s="132" t="s">
        <v>644</v>
      </c>
      <c r="L202" s="151">
        <v>4259</v>
      </c>
      <c r="M202" s="128">
        <v>0</v>
      </c>
      <c r="N202" s="67">
        <v>0</v>
      </c>
      <c r="O202" s="67">
        <v>0</v>
      </c>
      <c r="Q202" s="71"/>
      <c r="S202" s="163">
        <v>0</v>
      </c>
      <c r="T202" s="163">
        <v>0</v>
      </c>
      <c r="U202" s="43">
        <v>0</v>
      </c>
      <c r="V202" s="61"/>
      <c r="AC202" s="36"/>
      <c r="AD202" s="36"/>
      <c r="AE202" s="36"/>
      <c r="AF202" s="19"/>
    </row>
    <row r="203" spans="1:32">
      <c r="A203" s="64" t="s">
        <v>603</v>
      </c>
      <c r="B203" s="63" t="s">
        <v>527</v>
      </c>
      <c r="C203" s="63" t="s">
        <v>528</v>
      </c>
      <c r="D203" s="134">
        <v>0</v>
      </c>
      <c r="E203" s="67">
        <v>0</v>
      </c>
      <c r="F203" s="146">
        <v>0</v>
      </c>
      <c r="G203" s="92">
        <v>0</v>
      </c>
      <c r="H203" s="91">
        <v>0</v>
      </c>
      <c r="I203" s="67">
        <v>0</v>
      </c>
      <c r="J203" s="20">
        <v>0</v>
      </c>
      <c r="K203" s="132" t="s">
        <v>644</v>
      </c>
      <c r="L203" s="151">
        <v>0</v>
      </c>
      <c r="M203" s="128">
        <v>0</v>
      </c>
      <c r="N203" s="67">
        <v>0</v>
      </c>
      <c r="O203" s="67">
        <v>0</v>
      </c>
      <c r="Q203" s="71"/>
      <c r="S203" s="163">
        <v>0</v>
      </c>
      <c r="T203" s="163">
        <v>0</v>
      </c>
      <c r="U203" s="43">
        <v>0</v>
      </c>
      <c r="V203" s="61"/>
      <c r="AC203" s="36"/>
      <c r="AD203" s="36"/>
      <c r="AE203" s="36"/>
      <c r="AF203" s="19"/>
    </row>
    <row r="204" spans="1:32">
      <c r="A204" s="64" t="s">
        <v>596</v>
      </c>
      <c r="B204" s="63" t="s">
        <v>104</v>
      </c>
      <c r="C204" s="63" t="s">
        <v>105</v>
      </c>
      <c r="D204" s="134">
        <v>4574.88</v>
      </c>
      <c r="E204" s="67">
        <v>692735</v>
      </c>
      <c r="F204" s="146">
        <v>0</v>
      </c>
      <c r="G204" s="92">
        <v>0</v>
      </c>
      <c r="H204" s="91">
        <v>692735</v>
      </c>
      <c r="I204" s="67">
        <v>0</v>
      </c>
      <c r="J204" s="20">
        <v>692735</v>
      </c>
      <c r="K204" s="132" t="s">
        <v>621</v>
      </c>
      <c r="L204" s="151">
        <v>0</v>
      </c>
      <c r="M204" s="128">
        <v>4574.88</v>
      </c>
      <c r="N204" s="67">
        <v>12311</v>
      </c>
      <c r="O204" s="67">
        <v>705046</v>
      </c>
      <c r="Q204" s="71"/>
      <c r="S204" s="163">
        <v>548179</v>
      </c>
      <c r="T204" s="163">
        <v>156867</v>
      </c>
      <c r="U204" s="43">
        <v>0.28616017760621987</v>
      </c>
      <c r="V204" s="61"/>
      <c r="AC204" s="36"/>
      <c r="AD204" s="36"/>
      <c r="AE204" s="36"/>
      <c r="AF204" s="19"/>
    </row>
    <row r="205" spans="1:32">
      <c r="A205" s="64" t="s">
        <v>601</v>
      </c>
      <c r="B205" s="63" t="s">
        <v>317</v>
      </c>
      <c r="C205" s="63" t="s">
        <v>318</v>
      </c>
      <c r="D205" s="134">
        <v>38.5</v>
      </c>
      <c r="E205" s="67">
        <v>5830</v>
      </c>
      <c r="F205" s="146">
        <v>0</v>
      </c>
      <c r="G205" s="92">
        <v>0</v>
      </c>
      <c r="H205" s="91">
        <v>5830</v>
      </c>
      <c r="I205" s="67">
        <v>0</v>
      </c>
      <c r="J205" s="20">
        <v>5830</v>
      </c>
      <c r="K205" s="132" t="s">
        <v>621</v>
      </c>
      <c r="L205" s="151">
        <v>0</v>
      </c>
      <c r="M205" s="128">
        <v>38.5</v>
      </c>
      <c r="N205" s="67">
        <v>104</v>
      </c>
      <c r="O205" s="67">
        <v>5934</v>
      </c>
      <c r="Q205" s="71"/>
      <c r="S205" s="163">
        <v>4789</v>
      </c>
      <c r="T205" s="163">
        <v>1145</v>
      </c>
      <c r="U205" s="43">
        <v>0.23908958028816038</v>
      </c>
      <c r="V205" s="61"/>
      <c r="AC205" s="36"/>
      <c r="AD205" s="36"/>
      <c r="AE205" s="36"/>
      <c r="AF205" s="19"/>
    </row>
    <row r="206" spans="1:32">
      <c r="A206" s="64" t="s">
        <v>596</v>
      </c>
      <c r="B206" s="63" t="s">
        <v>16</v>
      </c>
      <c r="C206" s="63" t="s">
        <v>17</v>
      </c>
      <c r="D206" s="134">
        <v>32.630000000000003</v>
      </c>
      <c r="E206" s="67">
        <v>4941</v>
      </c>
      <c r="F206" s="146">
        <v>0</v>
      </c>
      <c r="G206" s="92">
        <v>0</v>
      </c>
      <c r="H206" s="91">
        <v>4941</v>
      </c>
      <c r="I206" s="67">
        <v>0</v>
      </c>
      <c r="J206" s="20">
        <v>4941</v>
      </c>
      <c r="K206" s="132" t="s">
        <v>621</v>
      </c>
      <c r="L206" s="151">
        <v>0</v>
      </c>
      <c r="M206" s="128">
        <v>32.630000000000003</v>
      </c>
      <c r="N206" s="67">
        <v>88</v>
      </c>
      <c r="O206" s="67">
        <v>5029</v>
      </c>
      <c r="Q206" s="71"/>
      <c r="S206" s="163">
        <v>4592</v>
      </c>
      <c r="T206" s="163">
        <v>437</v>
      </c>
      <c r="U206" s="43">
        <v>9.5165505226480832E-2</v>
      </c>
      <c r="V206" s="61"/>
      <c r="AC206" s="36"/>
      <c r="AD206" s="36"/>
      <c r="AE206" s="36"/>
      <c r="AF206" s="19"/>
    </row>
    <row r="207" spans="1:32">
      <c r="A207" s="64" t="s">
        <v>594</v>
      </c>
      <c r="B207" s="63" t="s">
        <v>272</v>
      </c>
      <c r="C207" s="63" t="s">
        <v>273</v>
      </c>
      <c r="D207" s="134">
        <v>0</v>
      </c>
      <c r="E207" s="67">
        <v>0</v>
      </c>
      <c r="F207" s="146">
        <v>0</v>
      </c>
      <c r="G207" s="92">
        <v>0</v>
      </c>
      <c r="H207" s="91">
        <v>0</v>
      </c>
      <c r="I207" s="67">
        <v>0</v>
      </c>
      <c r="J207" s="20">
        <v>0</v>
      </c>
      <c r="K207" s="132" t="s">
        <v>644</v>
      </c>
      <c r="L207" s="151">
        <v>0</v>
      </c>
      <c r="M207" s="128">
        <v>0</v>
      </c>
      <c r="N207" s="67">
        <v>0</v>
      </c>
      <c r="O207" s="67">
        <v>0</v>
      </c>
      <c r="Q207" s="71"/>
      <c r="S207" s="163">
        <v>0</v>
      </c>
      <c r="T207" s="163">
        <v>0</v>
      </c>
      <c r="U207" s="43">
        <v>0</v>
      </c>
      <c r="V207" s="61"/>
      <c r="AC207" s="36"/>
      <c r="AD207" s="36"/>
      <c r="AE207" s="36"/>
      <c r="AF207" s="19"/>
    </row>
    <row r="208" spans="1:32">
      <c r="A208" s="64" t="s">
        <v>597</v>
      </c>
      <c r="B208" s="63" t="s">
        <v>359</v>
      </c>
      <c r="C208" s="63" t="s">
        <v>360</v>
      </c>
      <c r="D208" s="134">
        <v>53.25</v>
      </c>
      <c r="E208" s="67">
        <v>8063</v>
      </c>
      <c r="F208" s="146">
        <v>10000</v>
      </c>
      <c r="G208" s="92">
        <v>0</v>
      </c>
      <c r="H208" s="91">
        <v>18063</v>
      </c>
      <c r="I208" s="67">
        <v>0</v>
      </c>
      <c r="J208" s="20">
        <v>8063</v>
      </c>
      <c r="K208" s="132" t="s">
        <v>644</v>
      </c>
      <c r="L208" s="151">
        <v>8063</v>
      </c>
      <c r="M208" s="128">
        <v>0</v>
      </c>
      <c r="N208" s="67">
        <v>0</v>
      </c>
      <c r="O208" s="67">
        <v>0</v>
      </c>
      <c r="Q208" s="71"/>
      <c r="S208" s="163">
        <v>0</v>
      </c>
      <c r="T208" s="163">
        <v>0</v>
      </c>
      <c r="U208" s="43">
        <v>0</v>
      </c>
      <c r="V208" s="61"/>
      <c r="AC208" s="36"/>
      <c r="AD208" s="36"/>
      <c r="AE208" s="36"/>
      <c r="AF208" s="19"/>
    </row>
    <row r="209" spans="1:32">
      <c r="A209" s="64" t="s">
        <v>594</v>
      </c>
      <c r="B209" s="63" t="s">
        <v>303</v>
      </c>
      <c r="C209" s="63" t="s">
        <v>304</v>
      </c>
      <c r="D209" s="134">
        <v>0</v>
      </c>
      <c r="E209" s="67">
        <v>0</v>
      </c>
      <c r="F209" s="146">
        <v>0</v>
      </c>
      <c r="G209" s="92">
        <v>0</v>
      </c>
      <c r="H209" s="91">
        <v>0</v>
      </c>
      <c r="I209" s="67">
        <v>0</v>
      </c>
      <c r="J209" s="20">
        <v>0</v>
      </c>
      <c r="K209" s="132" t="s">
        <v>644</v>
      </c>
      <c r="L209" s="151">
        <v>0</v>
      </c>
      <c r="M209" s="128">
        <v>0</v>
      </c>
      <c r="N209" s="67">
        <v>0</v>
      </c>
      <c r="O209" s="67">
        <v>0</v>
      </c>
      <c r="Q209" s="71"/>
      <c r="S209" s="163">
        <v>0</v>
      </c>
      <c r="T209" s="163">
        <v>0</v>
      </c>
      <c r="U209" s="43">
        <v>0</v>
      </c>
      <c r="V209" s="61"/>
      <c r="AC209" s="36"/>
      <c r="AD209" s="36"/>
      <c r="AE209" s="36"/>
      <c r="AF209" s="19"/>
    </row>
    <row r="210" spans="1:32">
      <c r="A210" s="64" t="s">
        <v>596</v>
      </c>
      <c r="B210" s="63" t="s">
        <v>112</v>
      </c>
      <c r="C210" s="63" t="s">
        <v>113</v>
      </c>
      <c r="D210" s="134">
        <v>10.38</v>
      </c>
      <c r="E210" s="67">
        <v>1572</v>
      </c>
      <c r="F210" s="146">
        <v>0</v>
      </c>
      <c r="G210" s="92">
        <v>0</v>
      </c>
      <c r="H210" s="91">
        <v>1572</v>
      </c>
      <c r="I210" s="67">
        <v>0</v>
      </c>
      <c r="J210" s="20">
        <v>1572</v>
      </c>
      <c r="K210" s="132" t="s">
        <v>644</v>
      </c>
      <c r="L210" s="151">
        <v>1572</v>
      </c>
      <c r="M210" s="128">
        <v>0</v>
      </c>
      <c r="N210" s="67">
        <v>0</v>
      </c>
      <c r="O210" s="67">
        <v>0</v>
      </c>
      <c r="Q210" s="71"/>
      <c r="S210" s="163">
        <v>0</v>
      </c>
      <c r="T210" s="163">
        <v>0</v>
      </c>
      <c r="U210" s="43">
        <v>0</v>
      </c>
      <c r="V210" s="61"/>
      <c r="AC210" s="36"/>
      <c r="AD210" s="36"/>
      <c r="AE210" s="36"/>
      <c r="AF210" s="19"/>
    </row>
    <row r="211" spans="1:32">
      <c r="A211" s="64" t="s">
        <v>600</v>
      </c>
      <c r="B211" s="63" t="s">
        <v>39</v>
      </c>
      <c r="C211" s="63" t="s">
        <v>40</v>
      </c>
      <c r="D211" s="134">
        <v>27.25</v>
      </c>
      <c r="E211" s="67">
        <v>4126</v>
      </c>
      <c r="F211" s="146">
        <v>0</v>
      </c>
      <c r="G211" s="92">
        <v>0</v>
      </c>
      <c r="H211" s="91">
        <v>4126</v>
      </c>
      <c r="I211" s="67">
        <v>0</v>
      </c>
      <c r="J211" s="20">
        <v>4126</v>
      </c>
      <c r="K211" s="132" t="s">
        <v>644</v>
      </c>
      <c r="L211" s="151">
        <v>4126</v>
      </c>
      <c r="M211" s="128">
        <v>0</v>
      </c>
      <c r="N211" s="67">
        <v>0</v>
      </c>
      <c r="O211" s="67">
        <v>0</v>
      </c>
      <c r="Q211" s="71"/>
      <c r="S211" s="163">
        <v>0</v>
      </c>
      <c r="T211" s="163">
        <v>0</v>
      </c>
      <c r="U211" s="4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171</v>
      </c>
      <c r="C212" s="63" t="s">
        <v>172</v>
      </c>
      <c r="D212" s="134">
        <v>25.75</v>
      </c>
      <c r="E212" s="67">
        <v>3899</v>
      </c>
      <c r="F212" s="146">
        <v>0</v>
      </c>
      <c r="G212" s="92">
        <v>0</v>
      </c>
      <c r="H212" s="91">
        <v>3899</v>
      </c>
      <c r="I212" s="67">
        <v>0</v>
      </c>
      <c r="J212" s="20">
        <v>3899</v>
      </c>
      <c r="K212" s="132" t="s">
        <v>644</v>
      </c>
      <c r="L212" s="151">
        <v>3899</v>
      </c>
      <c r="M212" s="128">
        <v>0</v>
      </c>
      <c r="N212" s="67">
        <v>0</v>
      </c>
      <c r="O212" s="67">
        <v>0</v>
      </c>
      <c r="Q212" s="71"/>
      <c r="S212" s="163">
        <v>0</v>
      </c>
      <c r="T212" s="163">
        <v>0</v>
      </c>
      <c r="U212" s="43">
        <v>0</v>
      </c>
      <c r="V212" s="61"/>
      <c r="AC212" s="36"/>
      <c r="AD212" s="36"/>
      <c r="AE212" s="36"/>
      <c r="AF212" s="19"/>
    </row>
    <row r="213" spans="1:32">
      <c r="A213" s="64" t="s">
        <v>596</v>
      </c>
      <c r="B213" s="63" t="s">
        <v>502</v>
      </c>
      <c r="C213" s="63" t="s">
        <v>503</v>
      </c>
      <c r="D213" s="134">
        <v>91.38</v>
      </c>
      <c r="E213" s="67">
        <v>13837</v>
      </c>
      <c r="F213" s="146">
        <v>0</v>
      </c>
      <c r="G213" s="92">
        <v>4950</v>
      </c>
      <c r="H213" s="91">
        <v>18787</v>
      </c>
      <c r="I213" s="67">
        <v>0</v>
      </c>
      <c r="J213" s="20">
        <v>13837</v>
      </c>
      <c r="K213" s="132" t="s">
        <v>621</v>
      </c>
      <c r="L213" s="151">
        <v>0</v>
      </c>
      <c r="M213" s="128">
        <v>91.38</v>
      </c>
      <c r="N213" s="67">
        <v>246</v>
      </c>
      <c r="O213" s="67">
        <v>14083</v>
      </c>
      <c r="Q213" s="71"/>
      <c r="S213" s="163">
        <v>10639</v>
      </c>
      <c r="T213" s="163">
        <v>3444</v>
      </c>
      <c r="U213" s="43">
        <v>0.32371463483410096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21</v>
      </c>
      <c r="C214" s="63" t="s">
        <v>22</v>
      </c>
      <c r="D214" s="134">
        <v>502.25</v>
      </c>
      <c r="E214" s="67">
        <v>76051</v>
      </c>
      <c r="F214" s="146">
        <v>0</v>
      </c>
      <c r="G214" s="92">
        <v>0</v>
      </c>
      <c r="H214" s="91">
        <v>76051</v>
      </c>
      <c r="I214" s="67">
        <v>0</v>
      </c>
      <c r="J214" s="20">
        <v>76051</v>
      </c>
      <c r="K214" s="132" t="s">
        <v>621</v>
      </c>
      <c r="L214" s="151">
        <v>0</v>
      </c>
      <c r="M214" s="128">
        <v>502.25</v>
      </c>
      <c r="N214" s="67">
        <v>1352</v>
      </c>
      <c r="O214" s="67">
        <v>77403</v>
      </c>
      <c r="Q214" s="71"/>
      <c r="S214" s="163">
        <v>64972</v>
      </c>
      <c r="T214" s="163">
        <v>12431</v>
      </c>
      <c r="U214" s="43">
        <v>0.19132857230807118</v>
      </c>
      <c r="V214" s="61"/>
      <c r="AC214" s="36"/>
      <c r="AD214" s="36"/>
      <c r="AE214" s="36"/>
      <c r="AF214" s="19"/>
    </row>
    <row r="215" spans="1:32">
      <c r="A215" s="64" t="s">
        <v>597</v>
      </c>
      <c r="B215" s="63" t="s">
        <v>657</v>
      </c>
      <c r="C215" s="63" t="s">
        <v>658</v>
      </c>
      <c r="D215" s="134">
        <v>0</v>
      </c>
      <c r="E215" s="67">
        <v>0</v>
      </c>
      <c r="F215" s="146">
        <v>0</v>
      </c>
      <c r="G215" s="92">
        <v>0</v>
      </c>
      <c r="H215" s="91">
        <v>0</v>
      </c>
      <c r="I215" s="67">
        <v>0</v>
      </c>
      <c r="J215" s="20">
        <v>0</v>
      </c>
      <c r="K215" s="132" t="s">
        <v>644</v>
      </c>
      <c r="L215" s="151">
        <v>0</v>
      </c>
      <c r="M215" s="128">
        <v>0</v>
      </c>
      <c r="N215" s="67">
        <v>0</v>
      </c>
      <c r="O215" s="67">
        <v>0</v>
      </c>
      <c r="Q215" s="71"/>
      <c r="S215" s="163">
        <v>0</v>
      </c>
      <c r="T215" s="163">
        <v>0</v>
      </c>
      <c r="U215" s="43">
        <v>0</v>
      </c>
      <c r="V215" s="61"/>
      <c r="AC215" s="36"/>
      <c r="AD215" s="36"/>
      <c r="AE215" s="36"/>
      <c r="AF215" s="19"/>
    </row>
    <row r="216" spans="1:32">
      <c r="A216" s="64" t="s">
        <v>603</v>
      </c>
      <c r="B216" s="63" t="s">
        <v>523</v>
      </c>
      <c r="C216" s="63" t="s">
        <v>524</v>
      </c>
      <c r="D216" s="134">
        <v>53</v>
      </c>
      <c r="E216" s="67">
        <v>8025</v>
      </c>
      <c r="F216" s="146">
        <v>0</v>
      </c>
      <c r="G216" s="92">
        <v>0</v>
      </c>
      <c r="H216" s="91">
        <v>8025</v>
      </c>
      <c r="I216" s="67">
        <v>0</v>
      </c>
      <c r="J216" s="20">
        <v>8025</v>
      </c>
      <c r="K216" s="132" t="s">
        <v>621</v>
      </c>
      <c r="L216" s="151">
        <v>0</v>
      </c>
      <c r="M216" s="128">
        <v>53</v>
      </c>
      <c r="N216" s="67">
        <v>143</v>
      </c>
      <c r="O216" s="67">
        <v>8168</v>
      </c>
      <c r="Q216" s="71"/>
      <c r="S216" s="163">
        <v>0</v>
      </c>
      <c r="T216" s="163">
        <v>8168</v>
      </c>
      <c r="U216" s="43">
        <v>0</v>
      </c>
      <c r="V216" s="61"/>
      <c r="AC216" s="36"/>
      <c r="AD216" s="36"/>
      <c r="AE216" s="36"/>
      <c r="AF216" s="19"/>
    </row>
    <row r="217" spans="1:32">
      <c r="A217" s="64" t="s">
        <v>597</v>
      </c>
      <c r="B217" s="63" t="s">
        <v>343</v>
      </c>
      <c r="C217" s="63" t="s">
        <v>344</v>
      </c>
      <c r="D217" s="134">
        <v>443.5</v>
      </c>
      <c r="E217" s="67">
        <v>67155</v>
      </c>
      <c r="F217" s="146">
        <v>0</v>
      </c>
      <c r="G217" s="92">
        <v>0</v>
      </c>
      <c r="H217" s="91">
        <v>67155</v>
      </c>
      <c r="I217" s="67">
        <v>0</v>
      </c>
      <c r="J217" s="20">
        <v>67155</v>
      </c>
      <c r="K217" s="132" t="s">
        <v>621</v>
      </c>
      <c r="L217" s="151">
        <v>0</v>
      </c>
      <c r="M217" s="128">
        <v>443.5</v>
      </c>
      <c r="N217" s="67">
        <v>1193</v>
      </c>
      <c r="O217" s="67">
        <v>68348</v>
      </c>
      <c r="Q217" s="71"/>
      <c r="S217" s="163">
        <v>46695</v>
      </c>
      <c r="T217" s="163">
        <v>21653</v>
      </c>
      <c r="U217" s="43">
        <v>0.46371131812827926</v>
      </c>
      <c r="V217" s="61"/>
      <c r="AC217" s="36"/>
      <c r="AD217" s="36"/>
      <c r="AE217" s="36"/>
      <c r="AF217" s="19"/>
    </row>
    <row r="218" spans="1:32">
      <c r="A218" s="64" t="s">
        <v>600</v>
      </c>
      <c r="B218" s="63" t="s">
        <v>163</v>
      </c>
      <c r="C218" s="63" t="s">
        <v>164</v>
      </c>
      <c r="D218" s="134">
        <v>0</v>
      </c>
      <c r="E218" s="67">
        <v>0</v>
      </c>
      <c r="F218" s="146">
        <v>0</v>
      </c>
      <c r="G218" s="92">
        <v>0</v>
      </c>
      <c r="H218" s="91">
        <v>0</v>
      </c>
      <c r="I218" s="67">
        <v>0</v>
      </c>
      <c r="J218" s="20">
        <v>0</v>
      </c>
      <c r="K218" s="132" t="s">
        <v>644</v>
      </c>
      <c r="L218" s="151">
        <v>0</v>
      </c>
      <c r="M218" s="128">
        <v>0</v>
      </c>
      <c r="N218" s="67">
        <v>0</v>
      </c>
      <c r="O218" s="67">
        <v>0</v>
      </c>
      <c r="Q218" s="71"/>
      <c r="S218" s="163">
        <v>0</v>
      </c>
      <c r="T218" s="163">
        <v>0</v>
      </c>
      <c r="U218" s="43">
        <v>0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167</v>
      </c>
      <c r="C219" s="63" t="s">
        <v>168</v>
      </c>
      <c r="D219" s="134">
        <v>0</v>
      </c>
      <c r="E219" s="67">
        <v>0</v>
      </c>
      <c r="F219" s="146">
        <v>0</v>
      </c>
      <c r="G219" s="92">
        <v>0</v>
      </c>
      <c r="H219" s="91">
        <v>0</v>
      </c>
      <c r="I219" s="67">
        <v>0</v>
      </c>
      <c r="J219" s="20">
        <v>0</v>
      </c>
      <c r="K219" s="132" t="s">
        <v>644</v>
      </c>
      <c r="L219" s="151">
        <v>0</v>
      </c>
      <c r="M219" s="128">
        <v>0</v>
      </c>
      <c r="N219" s="67">
        <v>0</v>
      </c>
      <c r="O219" s="67">
        <v>0</v>
      </c>
      <c r="Q219" s="71"/>
      <c r="S219" s="163">
        <v>0</v>
      </c>
      <c r="T219" s="163">
        <v>0</v>
      </c>
      <c r="U219" s="4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47</v>
      </c>
      <c r="C220" s="63" t="s">
        <v>48</v>
      </c>
      <c r="D220" s="134">
        <v>123.13</v>
      </c>
      <c r="E220" s="67">
        <v>18645</v>
      </c>
      <c r="F220" s="146">
        <v>0</v>
      </c>
      <c r="G220" s="92">
        <v>0</v>
      </c>
      <c r="H220" s="91">
        <v>18645</v>
      </c>
      <c r="I220" s="67">
        <v>0</v>
      </c>
      <c r="J220" s="20">
        <v>18645</v>
      </c>
      <c r="K220" s="132" t="s">
        <v>621</v>
      </c>
      <c r="L220" s="151">
        <v>0</v>
      </c>
      <c r="M220" s="128">
        <v>123.13</v>
      </c>
      <c r="N220" s="67">
        <v>331</v>
      </c>
      <c r="O220" s="67">
        <v>18976</v>
      </c>
      <c r="Q220" s="71"/>
      <c r="S220" s="163">
        <v>15762</v>
      </c>
      <c r="T220" s="163">
        <v>3214</v>
      </c>
      <c r="U220" s="43">
        <v>0.20390813348559828</v>
      </c>
      <c r="V220" s="61"/>
      <c r="AC220" s="36"/>
      <c r="AD220" s="36"/>
      <c r="AE220" s="36"/>
      <c r="AF220" s="19"/>
    </row>
    <row r="221" spans="1:32">
      <c r="A221" s="64" t="s">
        <v>594</v>
      </c>
      <c r="B221" s="63" t="s">
        <v>145</v>
      </c>
      <c r="C221" s="63" t="s">
        <v>146</v>
      </c>
      <c r="D221" s="134">
        <v>32.130000000000003</v>
      </c>
      <c r="E221" s="67">
        <v>4865</v>
      </c>
      <c r="F221" s="146">
        <v>0</v>
      </c>
      <c r="G221" s="92">
        <v>900</v>
      </c>
      <c r="H221" s="91">
        <v>5765</v>
      </c>
      <c r="I221" s="67">
        <v>0</v>
      </c>
      <c r="J221" s="20">
        <v>4865</v>
      </c>
      <c r="K221" s="132" t="s">
        <v>621</v>
      </c>
      <c r="L221" s="151">
        <v>0</v>
      </c>
      <c r="M221" s="128">
        <v>32.130000000000003</v>
      </c>
      <c r="N221" s="67">
        <v>86</v>
      </c>
      <c r="O221" s="67">
        <v>4951</v>
      </c>
      <c r="Q221" s="71"/>
      <c r="S221" s="163">
        <v>0</v>
      </c>
      <c r="T221" s="163">
        <v>4951</v>
      </c>
      <c r="U221" s="43">
        <v>0</v>
      </c>
      <c r="V221" s="61"/>
      <c r="AC221" s="36"/>
      <c r="AD221" s="36"/>
      <c r="AE221" s="36"/>
      <c r="AF221" s="19"/>
    </row>
    <row r="222" spans="1:32">
      <c r="A222" s="64" t="s">
        <v>601</v>
      </c>
      <c r="B222" s="63" t="s">
        <v>116</v>
      </c>
      <c r="C222" s="63" t="s">
        <v>117</v>
      </c>
      <c r="D222" s="134">
        <v>851.38</v>
      </c>
      <c r="E222" s="67">
        <v>128917</v>
      </c>
      <c r="F222" s="146">
        <v>0</v>
      </c>
      <c r="G222" s="92">
        <v>0</v>
      </c>
      <c r="H222" s="91">
        <v>128917</v>
      </c>
      <c r="I222" s="67">
        <v>0</v>
      </c>
      <c r="J222" s="20">
        <v>128917</v>
      </c>
      <c r="K222" s="132" t="s">
        <v>621</v>
      </c>
      <c r="L222" s="151">
        <v>0</v>
      </c>
      <c r="M222" s="128">
        <v>851.38</v>
      </c>
      <c r="N222" s="67">
        <v>2291</v>
      </c>
      <c r="O222" s="67">
        <v>131208</v>
      </c>
      <c r="Q222" s="71"/>
      <c r="S222" s="163">
        <v>112349</v>
      </c>
      <c r="T222" s="163">
        <v>18859</v>
      </c>
      <c r="U222" s="43">
        <v>0.16786086213495446</v>
      </c>
      <c r="V222" s="61"/>
      <c r="AC222" s="36"/>
      <c r="AD222" s="36"/>
      <c r="AE222" s="36"/>
      <c r="AF222" s="19"/>
    </row>
    <row r="223" spans="1:32">
      <c r="A223" s="64" t="s">
        <v>594</v>
      </c>
      <c r="B223" s="63" t="s">
        <v>480</v>
      </c>
      <c r="C223" s="63" t="s">
        <v>481</v>
      </c>
      <c r="D223" s="134">
        <v>0</v>
      </c>
      <c r="E223" s="67">
        <v>0</v>
      </c>
      <c r="F223" s="146">
        <v>0</v>
      </c>
      <c r="G223" s="92">
        <v>0</v>
      </c>
      <c r="H223" s="91">
        <v>0</v>
      </c>
      <c r="I223" s="67">
        <v>0</v>
      </c>
      <c r="J223" s="20">
        <v>0</v>
      </c>
      <c r="K223" s="132" t="s">
        <v>644</v>
      </c>
      <c r="L223" s="151">
        <v>0</v>
      </c>
      <c r="M223" s="128">
        <v>0</v>
      </c>
      <c r="N223" s="67">
        <v>0</v>
      </c>
      <c r="O223" s="67">
        <v>0</v>
      </c>
      <c r="Q223" s="71"/>
      <c r="S223" s="163">
        <v>0</v>
      </c>
      <c r="T223" s="163">
        <v>0</v>
      </c>
      <c r="U223" s="43">
        <v>0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327</v>
      </c>
      <c r="C224" s="63" t="s">
        <v>328</v>
      </c>
      <c r="D224" s="134">
        <v>49.5</v>
      </c>
      <c r="E224" s="67">
        <v>7495</v>
      </c>
      <c r="F224" s="146">
        <v>0</v>
      </c>
      <c r="G224" s="92">
        <v>0</v>
      </c>
      <c r="H224" s="91">
        <v>7495</v>
      </c>
      <c r="I224" s="67">
        <v>0</v>
      </c>
      <c r="J224" s="20">
        <v>7495</v>
      </c>
      <c r="K224" s="132" t="s">
        <v>621</v>
      </c>
      <c r="L224" s="151">
        <v>0</v>
      </c>
      <c r="M224" s="128">
        <v>49.5</v>
      </c>
      <c r="N224" s="67">
        <v>133</v>
      </c>
      <c r="O224" s="67">
        <v>7628</v>
      </c>
      <c r="Q224" s="71"/>
      <c r="S224" s="163">
        <v>6290</v>
      </c>
      <c r="T224" s="163">
        <v>1338</v>
      </c>
      <c r="U224" s="43">
        <v>0.21271860095389508</v>
      </c>
      <c r="V224" s="61"/>
      <c r="AC224" s="36"/>
      <c r="AD224" s="36"/>
      <c r="AE224" s="36"/>
      <c r="AF224" s="19"/>
    </row>
    <row r="225" spans="1:32">
      <c r="A225" s="64" t="s">
        <v>603</v>
      </c>
      <c r="B225" s="63" t="s">
        <v>282</v>
      </c>
      <c r="C225" s="63" t="s">
        <v>665</v>
      </c>
      <c r="D225" s="134">
        <v>0</v>
      </c>
      <c r="E225" s="67">
        <v>0</v>
      </c>
      <c r="F225" s="146">
        <v>0</v>
      </c>
      <c r="G225" s="92">
        <v>0</v>
      </c>
      <c r="H225" s="91">
        <v>0</v>
      </c>
      <c r="I225" s="67">
        <v>0</v>
      </c>
      <c r="J225" s="20">
        <v>0</v>
      </c>
      <c r="K225" s="132" t="s">
        <v>644</v>
      </c>
      <c r="L225" s="151">
        <v>0</v>
      </c>
      <c r="M225" s="128">
        <v>0</v>
      </c>
      <c r="N225" s="67">
        <v>0</v>
      </c>
      <c r="O225" s="67">
        <v>0</v>
      </c>
      <c r="Q225" s="71"/>
      <c r="S225" s="163">
        <v>0</v>
      </c>
      <c r="T225" s="163">
        <v>0</v>
      </c>
      <c r="U225" s="43">
        <v>0</v>
      </c>
      <c r="V225" s="61"/>
      <c r="AC225" s="36"/>
      <c r="AD225" s="36"/>
      <c r="AE225" s="36"/>
      <c r="AF225" s="19"/>
    </row>
    <row r="226" spans="1:32">
      <c r="A226" s="64" t="s">
        <v>597</v>
      </c>
      <c r="B226" s="63" t="s">
        <v>185</v>
      </c>
      <c r="C226" s="63" t="s">
        <v>186</v>
      </c>
      <c r="D226" s="134">
        <v>1732</v>
      </c>
      <c r="E226" s="67">
        <v>262262</v>
      </c>
      <c r="F226" s="146">
        <v>50000</v>
      </c>
      <c r="G226" s="92">
        <v>0</v>
      </c>
      <c r="H226" s="91">
        <v>312262</v>
      </c>
      <c r="I226" s="67">
        <v>0</v>
      </c>
      <c r="J226" s="20">
        <v>262262</v>
      </c>
      <c r="K226" s="132" t="s">
        <v>621</v>
      </c>
      <c r="L226" s="151">
        <v>0</v>
      </c>
      <c r="M226" s="128">
        <v>1732</v>
      </c>
      <c r="N226" s="67">
        <v>4661</v>
      </c>
      <c r="O226" s="67">
        <v>266923</v>
      </c>
      <c r="Q226" s="71"/>
      <c r="S226" s="163">
        <v>199569</v>
      </c>
      <c r="T226" s="163">
        <v>67354</v>
      </c>
      <c r="U226" s="43">
        <v>0.33749730669592976</v>
      </c>
      <c r="V226" s="61"/>
      <c r="AC226" s="36"/>
      <c r="AD226" s="36"/>
      <c r="AE226" s="36"/>
      <c r="AF226" s="19"/>
    </row>
    <row r="227" spans="1:32">
      <c r="A227" s="64" t="s">
        <v>603</v>
      </c>
      <c r="B227" s="63" t="s">
        <v>102</v>
      </c>
      <c r="C227" s="63" t="s">
        <v>103</v>
      </c>
      <c r="D227" s="134">
        <v>0</v>
      </c>
      <c r="E227" s="67">
        <v>0</v>
      </c>
      <c r="F227" s="146">
        <v>0</v>
      </c>
      <c r="G227" s="92">
        <v>0</v>
      </c>
      <c r="H227" s="91">
        <v>0</v>
      </c>
      <c r="I227" s="67">
        <v>0</v>
      </c>
      <c r="J227" s="20">
        <v>0</v>
      </c>
      <c r="K227" s="132" t="s">
        <v>644</v>
      </c>
      <c r="L227" s="151">
        <v>0</v>
      </c>
      <c r="M227" s="128">
        <v>0</v>
      </c>
      <c r="N227" s="67">
        <v>0</v>
      </c>
      <c r="O227" s="67">
        <v>0</v>
      </c>
      <c r="Q227" s="71"/>
      <c r="S227" s="163">
        <v>0</v>
      </c>
      <c r="T227" s="163">
        <v>0</v>
      </c>
      <c r="U227" s="43">
        <v>0</v>
      </c>
      <c r="V227" s="61"/>
      <c r="AC227" s="36"/>
      <c r="AD227" s="36"/>
      <c r="AE227" s="36"/>
      <c r="AF227" s="19"/>
    </row>
    <row r="228" spans="1:32">
      <c r="A228" s="64" t="s">
        <v>596</v>
      </c>
      <c r="B228" s="63" t="s">
        <v>23</v>
      </c>
      <c r="C228" s="63" t="s">
        <v>24</v>
      </c>
      <c r="D228" s="134">
        <v>202.63</v>
      </c>
      <c r="E228" s="67">
        <v>30683</v>
      </c>
      <c r="F228" s="146">
        <v>0</v>
      </c>
      <c r="G228" s="92">
        <v>0</v>
      </c>
      <c r="H228" s="91">
        <v>30683</v>
      </c>
      <c r="I228" s="67">
        <v>0</v>
      </c>
      <c r="J228" s="20">
        <v>30683</v>
      </c>
      <c r="K228" s="132" t="s">
        <v>621</v>
      </c>
      <c r="L228" s="151">
        <v>0</v>
      </c>
      <c r="M228" s="128">
        <v>202.63</v>
      </c>
      <c r="N228" s="67">
        <v>545</v>
      </c>
      <c r="O228" s="67">
        <v>31228</v>
      </c>
      <c r="Q228" s="71"/>
      <c r="S228" s="163">
        <v>31600</v>
      </c>
      <c r="T228" s="163">
        <v>-372</v>
      </c>
      <c r="U228" s="43">
        <v>-1.1772151898734177E-2</v>
      </c>
      <c r="V228" s="61"/>
      <c r="AC228" s="36"/>
      <c r="AD228" s="36"/>
      <c r="AE228" s="36"/>
      <c r="AF228" s="19"/>
    </row>
    <row r="229" spans="1:32">
      <c r="A229" s="64" t="s">
        <v>599</v>
      </c>
      <c r="B229" s="63" t="s">
        <v>64</v>
      </c>
      <c r="C229" s="63" t="s">
        <v>65</v>
      </c>
      <c r="D229" s="134">
        <v>55.5</v>
      </c>
      <c r="E229" s="67">
        <v>8404</v>
      </c>
      <c r="F229" s="146">
        <v>0</v>
      </c>
      <c r="G229" s="92">
        <v>3000</v>
      </c>
      <c r="H229" s="91">
        <v>11404</v>
      </c>
      <c r="I229" s="67">
        <v>0</v>
      </c>
      <c r="J229" s="20">
        <v>8404</v>
      </c>
      <c r="K229" s="132" t="s">
        <v>621</v>
      </c>
      <c r="L229" s="151">
        <v>0</v>
      </c>
      <c r="M229" s="128">
        <v>55.5</v>
      </c>
      <c r="N229" s="67">
        <v>149</v>
      </c>
      <c r="O229" s="67">
        <v>8553</v>
      </c>
      <c r="Q229" s="71"/>
      <c r="S229" s="163">
        <v>5789</v>
      </c>
      <c r="T229" s="163">
        <v>2764</v>
      </c>
      <c r="U229" s="43">
        <v>0.47745724650198651</v>
      </c>
      <c r="V229" s="61"/>
      <c r="AC229" s="36"/>
      <c r="AD229" s="36"/>
      <c r="AE229" s="36"/>
      <c r="AF229" s="19"/>
    </row>
    <row r="230" spans="1:32">
      <c r="A230" s="64" t="s">
        <v>603</v>
      </c>
      <c r="B230" s="63" t="s">
        <v>8</v>
      </c>
      <c r="C230" s="63" t="s">
        <v>9</v>
      </c>
      <c r="D230" s="134">
        <v>0</v>
      </c>
      <c r="E230" s="67">
        <v>0</v>
      </c>
      <c r="F230" s="146">
        <v>0</v>
      </c>
      <c r="G230" s="92">
        <v>0</v>
      </c>
      <c r="H230" s="91">
        <v>0</v>
      </c>
      <c r="I230" s="67">
        <v>0</v>
      </c>
      <c r="J230" s="20">
        <v>0</v>
      </c>
      <c r="K230" s="132" t="s">
        <v>644</v>
      </c>
      <c r="L230" s="151">
        <v>0</v>
      </c>
      <c r="M230" s="128">
        <v>0</v>
      </c>
      <c r="N230" s="67">
        <v>0</v>
      </c>
      <c r="O230" s="67">
        <v>0</v>
      </c>
      <c r="Q230" s="71"/>
      <c r="S230" s="163">
        <v>0</v>
      </c>
      <c r="T230" s="163">
        <v>0</v>
      </c>
      <c r="U230" s="43">
        <v>0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446</v>
      </c>
      <c r="C231" s="63" t="s">
        <v>447</v>
      </c>
      <c r="D231" s="134">
        <v>0</v>
      </c>
      <c r="E231" s="67">
        <v>0</v>
      </c>
      <c r="F231" s="146">
        <v>0</v>
      </c>
      <c r="G231" s="92">
        <v>0</v>
      </c>
      <c r="H231" s="91">
        <v>0</v>
      </c>
      <c r="I231" s="67">
        <v>0</v>
      </c>
      <c r="J231" s="20">
        <v>0</v>
      </c>
      <c r="K231" s="132" t="s">
        <v>644</v>
      </c>
      <c r="L231" s="151">
        <v>0</v>
      </c>
      <c r="M231" s="128">
        <v>0</v>
      </c>
      <c r="N231" s="67">
        <v>0</v>
      </c>
      <c r="O231" s="67">
        <v>0</v>
      </c>
      <c r="Q231" s="71"/>
      <c r="S231" s="163">
        <v>0</v>
      </c>
      <c r="T231" s="163">
        <v>0</v>
      </c>
      <c r="U231" s="43">
        <v>0</v>
      </c>
      <c r="V231" s="61"/>
      <c r="AC231" s="36"/>
      <c r="AD231" s="36"/>
      <c r="AE231" s="36"/>
      <c r="AF231" s="19"/>
    </row>
    <row r="232" spans="1:32">
      <c r="A232" s="64" t="s">
        <v>597</v>
      </c>
      <c r="B232" s="63" t="s">
        <v>193</v>
      </c>
      <c r="C232" s="63" t="s">
        <v>194</v>
      </c>
      <c r="D232" s="134">
        <v>62.88</v>
      </c>
      <c r="E232" s="67">
        <v>9521</v>
      </c>
      <c r="F232" s="146">
        <v>0</v>
      </c>
      <c r="G232" s="92">
        <v>0</v>
      </c>
      <c r="H232" s="91">
        <v>9521</v>
      </c>
      <c r="I232" s="67">
        <v>0</v>
      </c>
      <c r="J232" s="20">
        <v>9521</v>
      </c>
      <c r="K232" s="132" t="s">
        <v>621</v>
      </c>
      <c r="L232" s="151">
        <v>0</v>
      </c>
      <c r="M232" s="128">
        <v>62.88</v>
      </c>
      <c r="N232" s="67">
        <v>169</v>
      </c>
      <c r="O232" s="67">
        <v>9690</v>
      </c>
      <c r="Q232" s="71"/>
      <c r="S232" s="163">
        <v>0</v>
      </c>
      <c r="T232" s="163">
        <v>9690</v>
      </c>
      <c r="U232" s="43">
        <v>0</v>
      </c>
      <c r="V232" s="61"/>
      <c r="AC232" s="36"/>
      <c r="AD232" s="36"/>
      <c r="AE232" s="36"/>
      <c r="AF232" s="19"/>
    </row>
    <row r="233" spans="1:32">
      <c r="A233" s="64" t="s">
        <v>594</v>
      </c>
      <c r="B233" s="63" t="s">
        <v>484</v>
      </c>
      <c r="C233" s="63" t="s">
        <v>485</v>
      </c>
      <c r="D233" s="134">
        <v>107.88</v>
      </c>
      <c r="E233" s="67">
        <v>16335</v>
      </c>
      <c r="F233" s="146">
        <v>0</v>
      </c>
      <c r="G233" s="92">
        <v>4800</v>
      </c>
      <c r="H233" s="91">
        <v>21135</v>
      </c>
      <c r="I233" s="67">
        <v>0</v>
      </c>
      <c r="J233" s="20">
        <v>16335</v>
      </c>
      <c r="K233" s="132" t="s">
        <v>621</v>
      </c>
      <c r="L233" s="151">
        <v>0</v>
      </c>
      <c r="M233" s="128">
        <v>107.88</v>
      </c>
      <c r="N233" s="67">
        <v>290</v>
      </c>
      <c r="O233" s="67">
        <v>16625</v>
      </c>
      <c r="Q233" s="71"/>
      <c r="S233" s="163">
        <v>12231</v>
      </c>
      <c r="T233" s="163">
        <v>4394</v>
      </c>
      <c r="U233" s="43">
        <v>0.35925108331289346</v>
      </c>
      <c r="V233" s="61"/>
      <c r="AC233" s="36"/>
      <c r="AD233" s="36"/>
      <c r="AE233" s="36"/>
      <c r="AF233" s="19"/>
    </row>
    <row r="234" spans="1:32">
      <c r="A234" s="64" t="s">
        <v>599</v>
      </c>
      <c r="B234" s="63" t="s">
        <v>244</v>
      </c>
      <c r="C234" s="63" t="s">
        <v>245</v>
      </c>
      <c r="D234" s="134">
        <v>10</v>
      </c>
      <c r="E234" s="67">
        <v>1514</v>
      </c>
      <c r="F234" s="146">
        <v>0</v>
      </c>
      <c r="G234" s="92">
        <v>0</v>
      </c>
      <c r="H234" s="91">
        <v>1514</v>
      </c>
      <c r="I234" s="67">
        <v>0</v>
      </c>
      <c r="J234" s="20">
        <v>1514</v>
      </c>
      <c r="K234" s="132" t="s">
        <v>644</v>
      </c>
      <c r="L234" s="151">
        <v>1514</v>
      </c>
      <c r="M234" s="128">
        <v>0</v>
      </c>
      <c r="N234" s="67">
        <v>0</v>
      </c>
      <c r="O234" s="67">
        <v>0</v>
      </c>
      <c r="Q234" s="71"/>
      <c r="S234" s="163">
        <v>0</v>
      </c>
      <c r="T234" s="163">
        <v>0</v>
      </c>
      <c r="U234" s="43">
        <v>0</v>
      </c>
      <c r="V234" s="61"/>
      <c r="AC234" s="36"/>
      <c r="AD234" s="36"/>
      <c r="AE234" s="36"/>
      <c r="AF234" s="19"/>
    </row>
    <row r="235" spans="1:32">
      <c r="A235" s="64" t="s">
        <v>603</v>
      </c>
      <c r="B235" s="63" t="s">
        <v>537</v>
      </c>
      <c r="C235" s="63" t="s">
        <v>538</v>
      </c>
      <c r="D235" s="134">
        <v>0</v>
      </c>
      <c r="E235" s="67">
        <v>0</v>
      </c>
      <c r="F235" s="146">
        <v>0</v>
      </c>
      <c r="G235" s="92">
        <v>0</v>
      </c>
      <c r="H235" s="91">
        <v>0</v>
      </c>
      <c r="I235" s="67">
        <v>0</v>
      </c>
      <c r="J235" s="20">
        <v>0</v>
      </c>
      <c r="K235" s="132" t="s">
        <v>644</v>
      </c>
      <c r="L235" s="151">
        <v>0</v>
      </c>
      <c r="M235" s="128">
        <v>0</v>
      </c>
      <c r="N235" s="67">
        <v>0</v>
      </c>
      <c r="O235" s="67">
        <v>0</v>
      </c>
      <c r="Q235" s="71"/>
      <c r="S235" s="163">
        <v>0</v>
      </c>
      <c r="T235" s="163">
        <v>0</v>
      </c>
      <c r="U235" s="43">
        <v>0</v>
      </c>
      <c r="V235" s="61"/>
      <c r="AC235" s="36"/>
      <c r="AD235" s="36"/>
      <c r="AE235" s="36"/>
      <c r="AF235" s="19"/>
    </row>
    <row r="236" spans="1:32">
      <c r="A236" s="64" t="s">
        <v>605</v>
      </c>
      <c r="B236" s="63" t="s">
        <v>123</v>
      </c>
      <c r="C236" s="63" t="s">
        <v>124</v>
      </c>
      <c r="D236" s="134">
        <v>606.5</v>
      </c>
      <c r="E236" s="67">
        <v>91837</v>
      </c>
      <c r="F236" s="146">
        <v>0</v>
      </c>
      <c r="G236" s="92">
        <v>0</v>
      </c>
      <c r="H236" s="91">
        <v>91837</v>
      </c>
      <c r="I236" s="67">
        <v>0</v>
      </c>
      <c r="J236" s="20">
        <v>91837</v>
      </c>
      <c r="K236" s="132" t="s">
        <v>621</v>
      </c>
      <c r="L236" s="151">
        <v>0</v>
      </c>
      <c r="M236" s="128">
        <v>606.5</v>
      </c>
      <c r="N236" s="67">
        <v>1632</v>
      </c>
      <c r="O236" s="67">
        <v>93469</v>
      </c>
      <c r="Q236" s="71"/>
      <c r="S236" s="163">
        <v>73097</v>
      </c>
      <c r="T236" s="163">
        <v>20372</v>
      </c>
      <c r="U236" s="43">
        <v>0.27869816818747689</v>
      </c>
      <c r="V236" s="61"/>
      <c r="AC236" s="36"/>
      <c r="AD236" s="36"/>
      <c r="AE236" s="36"/>
      <c r="AF236" s="19"/>
    </row>
    <row r="237" spans="1:32">
      <c r="A237" s="64" t="s">
        <v>595</v>
      </c>
      <c r="B237" s="63" t="s">
        <v>375</v>
      </c>
      <c r="C237" s="63" t="s">
        <v>614</v>
      </c>
      <c r="D237" s="134">
        <v>21.88</v>
      </c>
      <c r="E237" s="67">
        <v>3313</v>
      </c>
      <c r="F237" s="146">
        <v>0</v>
      </c>
      <c r="G237" s="92">
        <v>0</v>
      </c>
      <c r="H237" s="91">
        <v>3313</v>
      </c>
      <c r="I237" s="67">
        <v>0</v>
      </c>
      <c r="J237" s="20">
        <v>3313</v>
      </c>
      <c r="K237" s="132" t="s">
        <v>644</v>
      </c>
      <c r="L237" s="151">
        <v>3313</v>
      </c>
      <c r="M237" s="128">
        <v>0</v>
      </c>
      <c r="N237" s="67">
        <v>0</v>
      </c>
      <c r="O237" s="67">
        <v>0</v>
      </c>
      <c r="Q237" s="73"/>
      <c r="S237" s="163">
        <v>0</v>
      </c>
      <c r="T237" s="163">
        <v>0</v>
      </c>
      <c r="U237" s="43">
        <v>0</v>
      </c>
      <c r="V237" s="61"/>
      <c r="AC237" s="36"/>
      <c r="AD237" s="36"/>
      <c r="AE237" s="36"/>
      <c r="AF237" s="19"/>
    </row>
    <row r="238" spans="1:32">
      <c r="A238" s="64" t="s">
        <v>594</v>
      </c>
      <c r="B238" s="63" t="s">
        <v>149</v>
      </c>
      <c r="C238" s="63" t="s">
        <v>150</v>
      </c>
      <c r="D238" s="134">
        <v>0</v>
      </c>
      <c r="E238" s="67">
        <v>0</v>
      </c>
      <c r="F238" s="146">
        <v>0</v>
      </c>
      <c r="G238" s="92">
        <v>0</v>
      </c>
      <c r="H238" s="91">
        <v>0</v>
      </c>
      <c r="I238" s="67">
        <v>0</v>
      </c>
      <c r="J238" s="20">
        <v>0</v>
      </c>
      <c r="K238" s="132" t="s">
        <v>644</v>
      </c>
      <c r="L238" s="151">
        <v>0</v>
      </c>
      <c r="M238" s="128">
        <v>0</v>
      </c>
      <c r="N238" s="67">
        <v>0</v>
      </c>
      <c r="O238" s="67">
        <v>0</v>
      </c>
      <c r="Q238" s="71"/>
      <c r="S238" s="163">
        <v>0</v>
      </c>
      <c r="T238" s="163">
        <v>0</v>
      </c>
      <c r="U238" s="43">
        <v>0</v>
      </c>
      <c r="V238" s="61"/>
      <c r="AC238" s="36"/>
      <c r="AD238" s="36"/>
      <c r="AE238" s="36"/>
      <c r="AF238" s="19"/>
    </row>
    <row r="239" spans="1:32">
      <c r="A239" s="64" t="s">
        <v>597</v>
      </c>
      <c r="B239" s="63" t="s">
        <v>173</v>
      </c>
      <c r="C239" s="63" t="s">
        <v>174</v>
      </c>
      <c r="D239" s="134">
        <v>4912.75</v>
      </c>
      <c r="E239" s="67">
        <v>743896</v>
      </c>
      <c r="F239" s="146">
        <v>0</v>
      </c>
      <c r="G239" s="92">
        <v>0</v>
      </c>
      <c r="H239" s="91">
        <v>743896</v>
      </c>
      <c r="I239" s="67">
        <v>0</v>
      </c>
      <c r="J239" s="20">
        <v>743896</v>
      </c>
      <c r="K239" s="132" t="s">
        <v>621</v>
      </c>
      <c r="L239" s="151">
        <v>0</v>
      </c>
      <c r="M239" s="128">
        <v>4912.75</v>
      </c>
      <c r="N239" s="67">
        <v>13220</v>
      </c>
      <c r="O239" s="67">
        <v>757119</v>
      </c>
      <c r="Q239" s="71"/>
      <c r="S239" s="163">
        <v>644561</v>
      </c>
      <c r="T239" s="163">
        <v>112558</v>
      </c>
      <c r="U239" s="43">
        <v>0.17462738204762621</v>
      </c>
      <c r="V239" s="61"/>
      <c r="AC239" s="36"/>
      <c r="AD239" s="36"/>
      <c r="AE239" s="36"/>
      <c r="AF239" s="19"/>
    </row>
    <row r="240" spans="1:32">
      <c r="A240" s="64" t="s">
        <v>595</v>
      </c>
      <c r="B240" s="63" t="s">
        <v>379</v>
      </c>
      <c r="C240" s="63" t="s">
        <v>615</v>
      </c>
      <c r="D240" s="134">
        <v>232.5</v>
      </c>
      <c r="E240" s="67">
        <v>35205</v>
      </c>
      <c r="F240" s="146">
        <v>0</v>
      </c>
      <c r="G240" s="92">
        <v>0</v>
      </c>
      <c r="H240" s="91">
        <v>35205</v>
      </c>
      <c r="I240" s="67">
        <v>0</v>
      </c>
      <c r="J240" s="20">
        <v>35205</v>
      </c>
      <c r="K240" s="132" t="s">
        <v>621</v>
      </c>
      <c r="L240" s="151">
        <v>0</v>
      </c>
      <c r="M240" s="128">
        <v>232.5</v>
      </c>
      <c r="N240" s="67">
        <v>626</v>
      </c>
      <c r="O240" s="67">
        <v>35831</v>
      </c>
      <c r="Q240" s="71"/>
      <c r="S240" s="163">
        <v>27371</v>
      </c>
      <c r="T240" s="163">
        <v>8460</v>
      </c>
      <c r="U240" s="43">
        <v>0.30908625917942345</v>
      </c>
      <c r="V240" s="61"/>
      <c r="AC240" s="36"/>
      <c r="AD240" s="36"/>
      <c r="AE240" s="36"/>
      <c r="AF240" s="19"/>
    </row>
    <row r="241" spans="1:32" s="112" customFormat="1">
      <c r="A241" s="138" t="s">
        <v>605</v>
      </c>
      <c r="B241" s="139" t="s">
        <v>551</v>
      </c>
      <c r="C241" s="139" t="s">
        <v>552</v>
      </c>
      <c r="D241" s="134">
        <v>156.13</v>
      </c>
      <c r="E241" s="67">
        <v>23641</v>
      </c>
      <c r="F241" s="146">
        <v>0</v>
      </c>
      <c r="G241" s="92">
        <v>0</v>
      </c>
      <c r="H241" s="91">
        <v>23641</v>
      </c>
      <c r="I241" s="67">
        <v>0</v>
      </c>
      <c r="J241" s="148">
        <v>23641</v>
      </c>
      <c r="K241" s="132" t="s">
        <v>621</v>
      </c>
      <c r="L241" s="151">
        <v>0</v>
      </c>
      <c r="M241" s="128">
        <v>156.13</v>
      </c>
      <c r="N241" s="67">
        <v>420</v>
      </c>
      <c r="O241" s="67">
        <v>24061</v>
      </c>
      <c r="P241" s="110"/>
      <c r="Q241" s="111"/>
      <c r="S241" s="163">
        <v>0</v>
      </c>
      <c r="T241" s="163">
        <v>24061</v>
      </c>
      <c r="U241" s="43">
        <v>0</v>
      </c>
      <c r="V241" s="115"/>
      <c r="X241" s="114"/>
      <c r="AC241" s="116"/>
      <c r="AD241" s="116"/>
      <c r="AE241" s="116"/>
      <c r="AF241" s="117"/>
    </row>
    <row r="242" spans="1:32">
      <c r="A242" s="64" t="s">
        <v>603</v>
      </c>
      <c r="B242" s="63" t="s">
        <v>340</v>
      </c>
      <c r="C242" s="63" t="s">
        <v>341</v>
      </c>
      <c r="D242" s="134">
        <v>0</v>
      </c>
      <c r="E242" s="67">
        <v>0</v>
      </c>
      <c r="F242" s="146">
        <v>0</v>
      </c>
      <c r="G242" s="92">
        <v>0</v>
      </c>
      <c r="H242" s="91">
        <v>0</v>
      </c>
      <c r="I242" s="67">
        <v>0</v>
      </c>
      <c r="J242" s="20">
        <v>0</v>
      </c>
      <c r="K242" s="132" t="s">
        <v>644</v>
      </c>
      <c r="L242" s="151">
        <v>0</v>
      </c>
      <c r="M242" s="128">
        <v>0</v>
      </c>
      <c r="N242" s="67">
        <v>0</v>
      </c>
      <c r="O242" s="67">
        <v>0</v>
      </c>
      <c r="Q242" s="71"/>
      <c r="S242" s="163">
        <v>0</v>
      </c>
      <c r="T242" s="163">
        <v>0</v>
      </c>
      <c r="U242" s="43">
        <v>0</v>
      </c>
      <c r="V242" s="61"/>
      <c r="AC242" s="36"/>
      <c r="AD242" s="36"/>
      <c r="AE242" s="36"/>
      <c r="AF242" s="19"/>
    </row>
    <row r="243" spans="1:32">
      <c r="A243" s="64" t="s">
        <v>600</v>
      </c>
      <c r="B243" s="63" t="s">
        <v>43</v>
      </c>
      <c r="C243" s="63" t="s">
        <v>44</v>
      </c>
      <c r="D243" s="134">
        <v>45.38</v>
      </c>
      <c r="E243" s="67">
        <v>6872</v>
      </c>
      <c r="F243" s="146">
        <v>0</v>
      </c>
      <c r="G243" s="92">
        <v>4950</v>
      </c>
      <c r="H243" s="91">
        <v>11822</v>
      </c>
      <c r="I243" s="67">
        <v>0</v>
      </c>
      <c r="J243" s="20">
        <v>6872</v>
      </c>
      <c r="K243" s="132" t="s">
        <v>644</v>
      </c>
      <c r="L243" s="151">
        <v>6872</v>
      </c>
      <c r="M243" s="128">
        <v>0</v>
      </c>
      <c r="N243" s="67">
        <v>0</v>
      </c>
      <c r="O243" s="67">
        <v>0</v>
      </c>
      <c r="Q243" s="71"/>
      <c r="S243" s="163">
        <v>0</v>
      </c>
      <c r="T243" s="163">
        <v>0</v>
      </c>
      <c r="U243" s="43">
        <v>0</v>
      </c>
      <c r="V243" s="61"/>
      <c r="AC243" s="36"/>
      <c r="AD243" s="36"/>
      <c r="AE243" s="36"/>
      <c r="AF243" s="19"/>
    </row>
    <row r="244" spans="1:32">
      <c r="A244" s="64" t="s">
        <v>595</v>
      </c>
      <c r="B244" s="63" t="s">
        <v>371</v>
      </c>
      <c r="C244" s="63" t="s">
        <v>670</v>
      </c>
      <c r="D244" s="134">
        <v>0</v>
      </c>
      <c r="E244" s="67">
        <v>0</v>
      </c>
      <c r="F244" s="146">
        <v>0</v>
      </c>
      <c r="G244" s="92">
        <v>0</v>
      </c>
      <c r="H244" s="91">
        <v>0</v>
      </c>
      <c r="I244" s="67">
        <v>0</v>
      </c>
      <c r="J244" s="20">
        <v>0</v>
      </c>
      <c r="K244" s="132" t="s">
        <v>644</v>
      </c>
      <c r="L244" s="151">
        <v>0</v>
      </c>
      <c r="M244" s="128">
        <v>0</v>
      </c>
      <c r="N244" s="67">
        <v>0</v>
      </c>
      <c r="O244" s="67">
        <v>0</v>
      </c>
      <c r="Q244" s="71"/>
      <c r="S244" s="163">
        <v>0</v>
      </c>
      <c r="T244" s="163">
        <v>0</v>
      </c>
      <c r="U244" s="43">
        <v>0</v>
      </c>
      <c r="V244" s="61"/>
      <c r="AC244" s="36"/>
      <c r="AD244" s="36"/>
      <c r="AE244" s="36"/>
      <c r="AF244" s="19"/>
    </row>
    <row r="245" spans="1:32">
      <c r="A245" s="64" t="s">
        <v>594</v>
      </c>
      <c r="B245" s="63" t="s">
        <v>299</v>
      </c>
      <c r="C245" s="63" t="s">
        <v>300</v>
      </c>
      <c r="D245" s="134">
        <v>241.13</v>
      </c>
      <c r="E245" s="67">
        <v>36512</v>
      </c>
      <c r="F245" s="146">
        <v>10000</v>
      </c>
      <c r="G245" s="92">
        <v>0</v>
      </c>
      <c r="H245" s="91">
        <v>46512</v>
      </c>
      <c r="I245" s="67">
        <v>0</v>
      </c>
      <c r="J245" s="20">
        <v>36512</v>
      </c>
      <c r="K245" s="132" t="s">
        <v>621</v>
      </c>
      <c r="L245" s="151">
        <v>0</v>
      </c>
      <c r="M245" s="128">
        <v>241.13</v>
      </c>
      <c r="N245" s="67">
        <v>649</v>
      </c>
      <c r="O245" s="67">
        <v>37161</v>
      </c>
      <c r="Q245" s="71"/>
      <c r="S245" s="163">
        <v>27630</v>
      </c>
      <c r="T245" s="163">
        <v>9531</v>
      </c>
      <c r="U245" s="43">
        <v>0.3449511400651466</v>
      </c>
      <c r="V245" s="61"/>
      <c r="AC245" s="36"/>
      <c r="AD245" s="36"/>
      <c r="AE245" s="36"/>
      <c r="AF245" s="19"/>
    </row>
    <row r="246" spans="1:32">
      <c r="A246" s="64" t="s">
        <v>597</v>
      </c>
      <c r="B246" s="63" t="s">
        <v>203</v>
      </c>
      <c r="C246" s="63" t="s">
        <v>204</v>
      </c>
      <c r="D246" s="134">
        <v>526</v>
      </c>
      <c r="E246" s="67">
        <v>79648</v>
      </c>
      <c r="F246" s="146">
        <v>0</v>
      </c>
      <c r="G246" s="92">
        <v>0</v>
      </c>
      <c r="H246" s="91">
        <v>79648</v>
      </c>
      <c r="I246" s="67">
        <v>0</v>
      </c>
      <c r="J246" s="20">
        <v>79648</v>
      </c>
      <c r="K246" s="132" t="s">
        <v>621</v>
      </c>
      <c r="L246" s="151">
        <v>0</v>
      </c>
      <c r="M246" s="128">
        <v>526</v>
      </c>
      <c r="N246" s="67">
        <v>1415</v>
      </c>
      <c r="O246" s="67">
        <v>81063</v>
      </c>
      <c r="Q246" s="71"/>
      <c r="S246" s="163">
        <v>62942</v>
      </c>
      <c r="T246" s="163">
        <v>18121</v>
      </c>
      <c r="U246" s="43">
        <v>0.28789997140224333</v>
      </c>
      <c r="V246" s="61"/>
      <c r="AC246" s="36"/>
      <c r="AD246" s="36"/>
      <c r="AE246" s="36"/>
      <c r="AF246" s="19"/>
    </row>
    <row r="247" spans="1:32">
      <c r="A247" s="64" t="s">
        <v>599</v>
      </c>
      <c r="B247" s="63" t="s">
        <v>387</v>
      </c>
      <c r="C247" s="63" t="s">
        <v>388</v>
      </c>
      <c r="D247" s="134">
        <v>0</v>
      </c>
      <c r="E247" s="67">
        <v>0</v>
      </c>
      <c r="F247" s="146">
        <v>0</v>
      </c>
      <c r="G247" s="92">
        <v>0</v>
      </c>
      <c r="H247" s="91">
        <v>0</v>
      </c>
      <c r="I247" s="67">
        <v>0</v>
      </c>
      <c r="J247" s="20">
        <v>0</v>
      </c>
      <c r="K247" s="132" t="s">
        <v>644</v>
      </c>
      <c r="L247" s="151">
        <v>0</v>
      </c>
      <c r="M247" s="128">
        <v>0</v>
      </c>
      <c r="N247" s="67">
        <v>0</v>
      </c>
      <c r="O247" s="67">
        <v>0</v>
      </c>
      <c r="Q247" s="71"/>
      <c r="S247" s="163">
        <v>0</v>
      </c>
      <c r="T247" s="163">
        <v>0</v>
      </c>
      <c r="U247" s="43">
        <v>0</v>
      </c>
      <c r="V247" s="61"/>
      <c r="AC247" s="36"/>
      <c r="AD247" s="36"/>
      <c r="AE247" s="36"/>
      <c r="AF247" s="19"/>
    </row>
    <row r="248" spans="1:32">
      <c r="A248" s="64" t="s">
        <v>597</v>
      </c>
      <c r="B248" s="63" t="s">
        <v>187</v>
      </c>
      <c r="C248" s="63" t="s">
        <v>188</v>
      </c>
      <c r="D248" s="134">
        <v>3</v>
      </c>
      <c r="E248" s="67">
        <v>454</v>
      </c>
      <c r="F248" s="146">
        <v>0</v>
      </c>
      <c r="G248" s="92">
        <v>0</v>
      </c>
      <c r="H248" s="91">
        <v>454</v>
      </c>
      <c r="I248" s="67">
        <v>0</v>
      </c>
      <c r="J248" s="20">
        <v>454</v>
      </c>
      <c r="K248" s="132" t="s">
        <v>644</v>
      </c>
      <c r="L248" s="151">
        <v>454</v>
      </c>
      <c r="M248" s="128">
        <v>0</v>
      </c>
      <c r="N248" s="67">
        <v>0</v>
      </c>
      <c r="O248" s="67">
        <v>0</v>
      </c>
      <c r="Q248" s="71"/>
      <c r="S248" s="163">
        <v>0</v>
      </c>
      <c r="T248" s="163">
        <v>0</v>
      </c>
      <c r="U248" s="43">
        <v>0</v>
      </c>
      <c r="V248" s="61"/>
      <c r="AC248" s="36"/>
      <c r="AD248" s="36"/>
      <c r="AE248" s="36"/>
      <c r="AF248" s="19"/>
    </row>
    <row r="249" spans="1:32">
      <c r="A249" s="64" t="s">
        <v>595</v>
      </c>
      <c r="B249" s="63" t="s">
        <v>411</v>
      </c>
      <c r="C249" s="63" t="s">
        <v>412</v>
      </c>
      <c r="D249" s="134">
        <v>160.88</v>
      </c>
      <c r="E249" s="67">
        <v>24361</v>
      </c>
      <c r="F249" s="146">
        <v>0</v>
      </c>
      <c r="G249" s="92">
        <v>0</v>
      </c>
      <c r="H249" s="91">
        <v>24361</v>
      </c>
      <c r="I249" s="67">
        <v>0</v>
      </c>
      <c r="J249" s="20">
        <v>24361</v>
      </c>
      <c r="K249" s="132" t="s">
        <v>621</v>
      </c>
      <c r="L249" s="151">
        <v>0</v>
      </c>
      <c r="M249" s="128">
        <v>160.88</v>
      </c>
      <c r="N249" s="67">
        <v>433</v>
      </c>
      <c r="O249" s="67">
        <v>24794</v>
      </c>
      <c r="Q249" s="71"/>
      <c r="S249" s="163">
        <v>16520</v>
      </c>
      <c r="T249" s="163">
        <v>8274</v>
      </c>
      <c r="U249" s="43">
        <v>0.50084745762711869</v>
      </c>
      <c r="V249" s="61"/>
      <c r="AC249" s="36"/>
      <c r="AD249" s="36"/>
      <c r="AE249" s="36"/>
      <c r="AF249" s="19"/>
    </row>
    <row r="250" spans="1:32">
      <c r="A250" s="64" t="s">
        <v>597</v>
      </c>
      <c r="B250" s="63" t="s">
        <v>199</v>
      </c>
      <c r="C250" s="63" t="s">
        <v>200</v>
      </c>
      <c r="D250" s="134">
        <v>51.88</v>
      </c>
      <c r="E250" s="67">
        <v>7856</v>
      </c>
      <c r="F250" s="146">
        <v>0</v>
      </c>
      <c r="G250" s="92">
        <v>0</v>
      </c>
      <c r="H250" s="91">
        <v>7856</v>
      </c>
      <c r="I250" s="67">
        <v>0</v>
      </c>
      <c r="J250" s="20">
        <v>7856</v>
      </c>
      <c r="K250" s="132" t="s">
        <v>621</v>
      </c>
      <c r="L250" s="151">
        <v>0</v>
      </c>
      <c r="M250" s="128">
        <v>51.88</v>
      </c>
      <c r="N250" s="67">
        <v>140</v>
      </c>
      <c r="O250" s="67">
        <v>7996</v>
      </c>
      <c r="Q250" s="71"/>
      <c r="S250" s="163">
        <v>0</v>
      </c>
      <c r="T250" s="163">
        <v>7996</v>
      </c>
      <c r="U250" s="43">
        <v>0</v>
      </c>
      <c r="V250" s="61"/>
      <c r="AC250" s="36"/>
      <c r="AD250" s="36"/>
      <c r="AE250" s="36"/>
      <c r="AF250" s="19"/>
    </row>
    <row r="251" spans="1:32">
      <c r="A251" s="64" t="s">
        <v>601</v>
      </c>
      <c r="B251" s="63" t="s">
        <v>121</v>
      </c>
      <c r="C251" s="63" t="s">
        <v>122</v>
      </c>
      <c r="D251" s="134">
        <v>123.25</v>
      </c>
      <c r="E251" s="67">
        <v>18663</v>
      </c>
      <c r="F251" s="146">
        <v>0</v>
      </c>
      <c r="G251" s="92">
        <v>0</v>
      </c>
      <c r="H251" s="91">
        <v>18663</v>
      </c>
      <c r="I251" s="67">
        <v>0</v>
      </c>
      <c r="J251" s="20">
        <v>18663</v>
      </c>
      <c r="K251" s="132" t="s">
        <v>621</v>
      </c>
      <c r="L251" s="151">
        <v>0</v>
      </c>
      <c r="M251" s="128">
        <v>123.25</v>
      </c>
      <c r="N251" s="67">
        <v>332</v>
      </c>
      <c r="O251" s="67">
        <v>18995</v>
      </c>
      <c r="Q251" s="71"/>
      <c r="S251" s="163">
        <v>15413</v>
      </c>
      <c r="T251" s="163">
        <v>3582</v>
      </c>
      <c r="U251" s="43">
        <v>0.23240121974956207</v>
      </c>
      <c r="V251" s="61"/>
      <c r="AC251" s="36"/>
      <c r="AD251" s="36"/>
      <c r="AE251" s="36"/>
      <c r="AF251" s="19"/>
    </row>
    <row r="252" spans="1:32">
      <c r="A252" s="64" t="s">
        <v>594</v>
      </c>
      <c r="B252" s="63" t="s">
        <v>329</v>
      </c>
      <c r="C252" s="63" t="s">
        <v>330</v>
      </c>
      <c r="D252" s="134">
        <v>85.88</v>
      </c>
      <c r="E252" s="67">
        <v>13004</v>
      </c>
      <c r="F252" s="146">
        <v>0</v>
      </c>
      <c r="G252" s="92">
        <v>0</v>
      </c>
      <c r="H252" s="91">
        <v>13004</v>
      </c>
      <c r="I252" s="67">
        <v>0</v>
      </c>
      <c r="J252" s="20">
        <v>13004</v>
      </c>
      <c r="K252" s="132" t="s">
        <v>621</v>
      </c>
      <c r="L252" s="151">
        <v>0</v>
      </c>
      <c r="M252" s="128">
        <v>85.88</v>
      </c>
      <c r="N252" s="67">
        <v>231</v>
      </c>
      <c r="O252" s="67">
        <v>13235</v>
      </c>
      <c r="Q252" s="71"/>
      <c r="S252" s="163">
        <v>11154</v>
      </c>
      <c r="T252" s="163">
        <v>2081</v>
      </c>
      <c r="U252" s="43">
        <v>0.18656984041599425</v>
      </c>
      <c r="V252" s="61"/>
      <c r="AC252" s="36"/>
      <c r="AD252" s="36"/>
      <c r="AE252" s="36"/>
      <c r="AF252" s="19"/>
    </row>
    <row r="253" spans="1:32">
      <c r="A253" s="64" t="s">
        <v>600</v>
      </c>
      <c r="B253" s="63" t="s">
        <v>218</v>
      </c>
      <c r="C253" s="63" t="s">
        <v>219</v>
      </c>
      <c r="D253" s="134">
        <v>52.75</v>
      </c>
      <c r="E253" s="67">
        <v>7987</v>
      </c>
      <c r="F253" s="146">
        <v>0</v>
      </c>
      <c r="G253" s="92">
        <v>3900</v>
      </c>
      <c r="H253" s="91">
        <v>11887</v>
      </c>
      <c r="I253" s="67">
        <v>0</v>
      </c>
      <c r="J253" s="20">
        <v>7987</v>
      </c>
      <c r="K253" s="132" t="s">
        <v>644</v>
      </c>
      <c r="L253" s="151">
        <v>7987</v>
      </c>
      <c r="M253" s="128">
        <v>0</v>
      </c>
      <c r="N253" s="67">
        <v>0</v>
      </c>
      <c r="O253" s="67">
        <v>0</v>
      </c>
      <c r="Q253" s="71"/>
      <c r="S253" s="163">
        <v>0</v>
      </c>
      <c r="T253" s="163">
        <v>0</v>
      </c>
      <c r="U253" s="43">
        <v>0</v>
      </c>
      <c r="V253" s="61"/>
      <c r="AC253" s="36"/>
      <c r="AD253" s="36"/>
      <c r="AE253" s="36"/>
      <c r="AF253" s="19"/>
    </row>
    <row r="254" spans="1:32">
      <c r="A254" s="64" t="s">
        <v>595</v>
      </c>
      <c r="B254" s="63" t="s">
        <v>161</v>
      </c>
      <c r="C254" s="63" t="s">
        <v>162</v>
      </c>
      <c r="D254" s="134">
        <v>7.5</v>
      </c>
      <c r="E254" s="67">
        <v>1136</v>
      </c>
      <c r="F254" s="146">
        <v>0</v>
      </c>
      <c r="G254" s="92">
        <v>0</v>
      </c>
      <c r="H254" s="91">
        <v>1136</v>
      </c>
      <c r="I254" s="67">
        <v>0</v>
      </c>
      <c r="J254" s="20">
        <v>1136</v>
      </c>
      <c r="K254" s="132" t="s">
        <v>621</v>
      </c>
      <c r="L254" s="151">
        <v>0</v>
      </c>
      <c r="M254" s="128">
        <v>7.5</v>
      </c>
      <c r="N254" s="67">
        <v>20</v>
      </c>
      <c r="O254" s="67">
        <v>1156</v>
      </c>
      <c r="Q254" s="71"/>
      <c r="S254" s="163">
        <v>1212</v>
      </c>
      <c r="T254" s="163">
        <v>-56</v>
      </c>
      <c r="U254" s="43">
        <v>-4.6204620462046202E-2</v>
      </c>
      <c r="V254" s="61"/>
      <c r="AC254" s="36"/>
      <c r="AD254" s="36"/>
      <c r="AE254" s="36"/>
      <c r="AF254" s="19"/>
    </row>
    <row r="255" spans="1:32">
      <c r="A255" s="64" t="s">
        <v>594</v>
      </c>
      <c r="B255" s="63" t="s">
        <v>295</v>
      </c>
      <c r="C255" s="63" t="s">
        <v>296</v>
      </c>
      <c r="D255" s="134">
        <v>0</v>
      </c>
      <c r="E255" s="67">
        <v>0</v>
      </c>
      <c r="F255" s="146">
        <v>0</v>
      </c>
      <c r="G255" s="92">
        <v>0</v>
      </c>
      <c r="H255" s="91">
        <v>0</v>
      </c>
      <c r="I255" s="67">
        <v>0</v>
      </c>
      <c r="J255" s="20">
        <v>0</v>
      </c>
      <c r="K255" s="132" t="s">
        <v>644</v>
      </c>
      <c r="L255" s="151">
        <v>0</v>
      </c>
      <c r="M255" s="128">
        <v>0</v>
      </c>
      <c r="N255" s="67">
        <v>0</v>
      </c>
      <c r="O255" s="67">
        <v>0</v>
      </c>
      <c r="Q255" s="71"/>
      <c r="S255" s="163">
        <v>0</v>
      </c>
      <c r="T255" s="163">
        <v>0</v>
      </c>
      <c r="U255" s="43">
        <v>0</v>
      </c>
      <c r="V255" s="61"/>
      <c r="AC255" s="36"/>
      <c r="AD255" s="36"/>
      <c r="AE255" s="36"/>
      <c r="AF255" s="19"/>
    </row>
    <row r="256" spans="1:32">
      <c r="A256" s="64" t="s">
        <v>603</v>
      </c>
      <c r="B256" s="63" t="s">
        <v>422</v>
      </c>
      <c r="C256" s="63" t="s">
        <v>423</v>
      </c>
      <c r="D256" s="134">
        <v>956.13</v>
      </c>
      <c r="E256" s="67">
        <v>144779</v>
      </c>
      <c r="F256" s="146">
        <v>0</v>
      </c>
      <c r="G256" s="92">
        <v>0</v>
      </c>
      <c r="H256" s="91">
        <v>144779</v>
      </c>
      <c r="I256" s="67">
        <v>0</v>
      </c>
      <c r="J256" s="20">
        <v>144779</v>
      </c>
      <c r="K256" s="132" t="s">
        <v>621</v>
      </c>
      <c r="L256" s="151">
        <v>0</v>
      </c>
      <c r="M256" s="128">
        <v>956.13</v>
      </c>
      <c r="N256" s="67">
        <v>2573</v>
      </c>
      <c r="O256" s="67">
        <v>147352</v>
      </c>
      <c r="Q256" s="71"/>
      <c r="S256" s="163">
        <v>117654</v>
      </c>
      <c r="T256" s="163">
        <v>29698</v>
      </c>
      <c r="U256" s="43">
        <v>0.25241810733166742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280</v>
      </c>
      <c r="C257" s="63" t="s">
        <v>281</v>
      </c>
      <c r="D257" s="134">
        <v>0</v>
      </c>
      <c r="E257" s="67">
        <v>0</v>
      </c>
      <c r="F257" s="146">
        <v>0</v>
      </c>
      <c r="G257" s="92">
        <v>0</v>
      </c>
      <c r="H257" s="91">
        <v>0</v>
      </c>
      <c r="I257" s="67">
        <v>0</v>
      </c>
      <c r="J257" s="20">
        <v>0</v>
      </c>
      <c r="K257" s="132" t="s">
        <v>644</v>
      </c>
      <c r="L257" s="151">
        <v>0</v>
      </c>
      <c r="M257" s="128">
        <v>0</v>
      </c>
      <c r="N257" s="67">
        <v>0</v>
      </c>
      <c r="O257" s="67">
        <v>0</v>
      </c>
      <c r="Q257" s="71"/>
      <c r="S257" s="163">
        <v>0</v>
      </c>
      <c r="T257" s="163">
        <v>0</v>
      </c>
      <c r="U257" s="43">
        <v>0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539</v>
      </c>
      <c r="C258" s="63" t="s">
        <v>540</v>
      </c>
      <c r="D258" s="134">
        <v>0</v>
      </c>
      <c r="E258" s="67">
        <v>0</v>
      </c>
      <c r="F258" s="146">
        <v>0</v>
      </c>
      <c r="G258" s="92">
        <v>0</v>
      </c>
      <c r="H258" s="91">
        <v>0</v>
      </c>
      <c r="I258" s="67">
        <v>0</v>
      </c>
      <c r="J258" s="20">
        <v>0</v>
      </c>
      <c r="K258" s="132" t="s">
        <v>644</v>
      </c>
      <c r="L258" s="151">
        <v>0</v>
      </c>
      <c r="M258" s="128">
        <v>0</v>
      </c>
      <c r="N258" s="67">
        <v>0</v>
      </c>
      <c r="O258" s="67">
        <v>0</v>
      </c>
      <c r="Q258" s="71"/>
      <c r="S258" s="163">
        <v>0</v>
      </c>
      <c r="T258" s="163">
        <v>0</v>
      </c>
      <c r="U258" s="43">
        <v>0</v>
      </c>
      <c r="V258" s="61"/>
      <c r="AC258" s="36"/>
      <c r="AD258" s="36"/>
      <c r="AE258" s="36"/>
      <c r="AF258" s="19"/>
    </row>
    <row r="259" spans="1:32">
      <c r="A259" s="64" t="s">
        <v>595</v>
      </c>
      <c r="B259" s="63" t="s">
        <v>421</v>
      </c>
      <c r="C259" s="63" t="s">
        <v>673</v>
      </c>
      <c r="D259" s="134">
        <v>80.5</v>
      </c>
      <c r="E259" s="67">
        <v>12189</v>
      </c>
      <c r="F259" s="146">
        <v>0</v>
      </c>
      <c r="G259" s="92">
        <v>3600</v>
      </c>
      <c r="H259" s="91">
        <v>15789</v>
      </c>
      <c r="I259" s="67">
        <v>0</v>
      </c>
      <c r="J259" s="20">
        <v>12189</v>
      </c>
      <c r="K259" s="132" t="s">
        <v>621</v>
      </c>
      <c r="L259" s="151">
        <v>0</v>
      </c>
      <c r="M259" s="128">
        <v>80.5</v>
      </c>
      <c r="N259" s="67">
        <v>217</v>
      </c>
      <c r="O259" s="67">
        <v>12406</v>
      </c>
      <c r="Q259" s="71"/>
      <c r="S259" s="163">
        <v>9413</v>
      </c>
      <c r="T259" s="163">
        <v>2993</v>
      </c>
      <c r="U259" s="43">
        <v>0.31796451715712315</v>
      </c>
      <c r="V259" s="61"/>
      <c r="AC259" s="36"/>
      <c r="AD259" s="36"/>
      <c r="AE259" s="36"/>
      <c r="AF259" s="19"/>
    </row>
    <row r="260" spans="1:32">
      <c r="A260" s="64" t="s">
        <v>596</v>
      </c>
      <c r="B260" s="63" t="s">
        <v>108</v>
      </c>
      <c r="C260" s="63" t="s">
        <v>109</v>
      </c>
      <c r="D260" s="134">
        <v>0</v>
      </c>
      <c r="E260" s="67">
        <v>0</v>
      </c>
      <c r="F260" s="146">
        <v>0</v>
      </c>
      <c r="G260" s="92">
        <v>0</v>
      </c>
      <c r="H260" s="91">
        <v>0</v>
      </c>
      <c r="I260" s="67">
        <v>0</v>
      </c>
      <c r="J260" s="20">
        <v>0</v>
      </c>
      <c r="K260" s="132" t="s">
        <v>644</v>
      </c>
      <c r="L260" s="151">
        <v>0</v>
      </c>
      <c r="M260" s="128">
        <v>0</v>
      </c>
      <c r="N260" s="67">
        <v>0</v>
      </c>
      <c r="O260" s="67">
        <v>0</v>
      </c>
      <c r="Q260" s="71"/>
      <c r="S260" s="163">
        <v>0</v>
      </c>
      <c r="T260" s="163">
        <v>0</v>
      </c>
      <c r="U260" s="43">
        <v>0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68</v>
      </c>
      <c r="C261" s="63" t="s">
        <v>69</v>
      </c>
      <c r="D261" s="134">
        <v>0</v>
      </c>
      <c r="E261" s="67">
        <v>0</v>
      </c>
      <c r="F261" s="146">
        <v>0</v>
      </c>
      <c r="G261" s="92">
        <v>0</v>
      </c>
      <c r="H261" s="91">
        <v>0</v>
      </c>
      <c r="I261" s="67">
        <v>0</v>
      </c>
      <c r="J261" s="20">
        <v>0</v>
      </c>
      <c r="K261" s="132" t="s">
        <v>644</v>
      </c>
      <c r="L261" s="151">
        <v>0</v>
      </c>
      <c r="M261" s="128">
        <v>0</v>
      </c>
      <c r="N261" s="67">
        <v>0</v>
      </c>
      <c r="O261" s="67">
        <v>0</v>
      </c>
      <c r="Q261" s="71"/>
      <c r="S261" s="163">
        <v>0</v>
      </c>
      <c r="T261" s="163">
        <v>0</v>
      </c>
      <c r="U261" s="43">
        <v>0</v>
      </c>
      <c r="V261" s="61"/>
      <c r="AC261" s="36"/>
      <c r="AD261" s="36"/>
      <c r="AE261" s="36"/>
      <c r="AF261" s="19"/>
    </row>
    <row r="262" spans="1:32">
      <c r="A262" s="64" t="s">
        <v>601</v>
      </c>
      <c r="B262" s="63" t="s">
        <v>27</v>
      </c>
      <c r="C262" s="63" t="s">
        <v>28</v>
      </c>
      <c r="D262" s="134">
        <v>0</v>
      </c>
      <c r="E262" s="67">
        <v>0</v>
      </c>
      <c r="F262" s="146">
        <v>0</v>
      </c>
      <c r="G262" s="92">
        <v>0</v>
      </c>
      <c r="H262" s="91">
        <v>0</v>
      </c>
      <c r="I262" s="67">
        <v>0</v>
      </c>
      <c r="J262" s="20">
        <v>0</v>
      </c>
      <c r="K262" s="132" t="s">
        <v>644</v>
      </c>
      <c r="L262" s="151">
        <v>0</v>
      </c>
      <c r="M262" s="128">
        <v>0</v>
      </c>
      <c r="N262" s="67">
        <v>0</v>
      </c>
      <c r="O262" s="67">
        <v>0</v>
      </c>
      <c r="Q262" s="71"/>
      <c r="S262" s="163">
        <v>0</v>
      </c>
      <c r="T262" s="163">
        <v>0</v>
      </c>
      <c r="U262" s="43">
        <v>0</v>
      </c>
      <c r="V262" s="61"/>
      <c r="AC262" s="36"/>
      <c r="AD262" s="36"/>
      <c r="AE262" s="36"/>
      <c r="AF262" s="19"/>
    </row>
    <row r="263" spans="1:32">
      <c r="A263" s="64" t="s">
        <v>597</v>
      </c>
      <c r="B263" s="63" t="s">
        <v>342</v>
      </c>
      <c r="C263" s="63" t="s">
        <v>617</v>
      </c>
      <c r="D263" s="134">
        <v>48.88</v>
      </c>
      <c r="E263" s="67">
        <v>7401</v>
      </c>
      <c r="F263" s="146">
        <v>0</v>
      </c>
      <c r="G263" s="92">
        <v>0</v>
      </c>
      <c r="H263" s="91">
        <v>7401</v>
      </c>
      <c r="I263" s="67">
        <v>0</v>
      </c>
      <c r="J263" s="20">
        <v>7401</v>
      </c>
      <c r="K263" s="132" t="s">
        <v>644</v>
      </c>
      <c r="L263" s="151">
        <v>7401</v>
      </c>
      <c r="M263" s="128">
        <v>0</v>
      </c>
      <c r="N263" s="67">
        <v>0</v>
      </c>
      <c r="O263" s="67">
        <v>0</v>
      </c>
      <c r="Q263" s="71"/>
      <c r="S263" s="163">
        <v>0</v>
      </c>
      <c r="T263" s="163">
        <v>0</v>
      </c>
      <c r="U263" s="43">
        <v>0</v>
      </c>
      <c r="V263" s="61"/>
      <c r="AC263" s="36"/>
      <c r="AD263" s="36"/>
      <c r="AE263" s="36"/>
      <c r="AF263" s="19"/>
    </row>
    <row r="264" spans="1:32">
      <c r="A264" s="64" t="s">
        <v>603</v>
      </c>
      <c r="B264" s="63" t="s">
        <v>531</v>
      </c>
      <c r="C264" s="63" t="s">
        <v>532</v>
      </c>
      <c r="D264" s="134">
        <v>0</v>
      </c>
      <c r="E264" s="67">
        <v>0</v>
      </c>
      <c r="F264" s="146">
        <v>0</v>
      </c>
      <c r="G264" s="92">
        <v>0</v>
      </c>
      <c r="H264" s="91">
        <v>0</v>
      </c>
      <c r="I264" s="67">
        <v>0</v>
      </c>
      <c r="J264" s="20">
        <v>0</v>
      </c>
      <c r="K264" s="132" t="s">
        <v>644</v>
      </c>
      <c r="L264" s="151">
        <v>0</v>
      </c>
      <c r="M264" s="128">
        <v>0</v>
      </c>
      <c r="N264" s="67">
        <v>0</v>
      </c>
      <c r="O264" s="67">
        <v>0</v>
      </c>
      <c r="Q264" s="71"/>
      <c r="S264" s="163">
        <v>0</v>
      </c>
      <c r="T264" s="163">
        <v>0</v>
      </c>
      <c r="U264" s="43">
        <v>0</v>
      </c>
      <c r="V264" s="61"/>
      <c r="AC264" s="36"/>
      <c r="AD264" s="36"/>
      <c r="AE264" s="36"/>
      <c r="AF264" s="19"/>
    </row>
    <row r="265" spans="1:32">
      <c r="A265" s="64" t="s">
        <v>599</v>
      </c>
      <c r="B265" s="63" t="s">
        <v>393</v>
      </c>
      <c r="C265" s="63" t="s">
        <v>394</v>
      </c>
      <c r="D265" s="134">
        <v>25.13</v>
      </c>
      <c r="E265" s="67">
        <v>3805</v>
      </c>
      <c r="F265" s="146">
        <v>0</v>
      </c>
      <c r="G265" s="92">
        <v>0</v>
      </c>
      <c r="H265" s="91">
        <v>3805</v>
      </c>
      <c r="I265" s="67">
        <v>0</v>
      </c>
      <c r="J265" s="20">
        <v>3805</v>
      </c>
      <c r="K265" s="132" t="s">
        <v>644</v>
      </c>
      <c r="L265" s="151">
        <v>3805</v>
      </c>
      <c r="M265" s="128">
        <v>0</v>
      </c>
      <c r="N265" s="67">
        <v>0</v>
      </c>
      <c r="O265" s="67">
        <v>0</v>
      </c>
      <c r="Q265" s="71"/>
      <c r="S265" s="163">
        <v>0</v>
      </c>
      <c r="T265" s="163">
        <v>0</v>
      </c>
      <c r="U265" s="43">
        <v>0</v>
      </c>
      <c r="V265" s="61"/>
      <c r="AC265" s="36"/>
      <c r="AD265" s="36"/>
      <c r="AE265" s="36"/>
      <c r="AF265" s="19"/>
    </row>
    <row r="266" spans="1:32">
      <c r="A266" s="64" t="s">
        <v>595</v>
      </c>
      <c r="B266" s="63" t="s">
        <v>415</v>
      </c>
      <c r="C266" s="63" t="s">
        <v>416</v>
      </c>
      <c r="D266" s="134">
        <v>79.25</v>
      </c>
      <c r="E266" s="67">
        <v>12000</v>
      </c>
      <c r="F266" s="146">
        <v>0</v>
      </c>
      <c r="G266" s="92">
        <v>0</v>
      </c>
      <c r="H266" s="91">
        <v>12000</v>
      </c>
      <c r="I266" s="67">
        <v>0</v>
      </c>
      <c r="J266" s="20">
        <v>12000</v>
      </c>
      <c r="K266" s="132" t="s">
        <v>621</v>
      </c>
      <c r="L266" s="151">
        <v>0</v>
      </c>
      <c r="M266" s="128">
        <v>79.25</v>
      </c>
      <c r="N266" s="67">
        <v>213</v>
      </c>
      <c r="O266" s="67">
        <v>12213</v>
      </c>
      <c r="Q266" s="71"/>
      <c r="S266" s="163">
        <v>0</v>
      </c>
      <c r="T266" s="163">
        <v>12213</v>
      </c>
      <c r="U266" s="43">
        <v>0</v>
      </c>
      <c r="V266" s="61"/>
      <c r="AC266" s="36"/>
      <c r="AD266" s="36"/>
      <c r="AE266" s="36"/>
      <c r="AF266" s="19"/>
    </row>
    <row r="267" spans="1:32">
      <c r="A267" s="64" t="s">
        <v>603</v>
      </c>
      <c r="B267" s="63" t="s">
        <v>460</v>
      </c>
      <c r="C267" s="63" t="s">
        <v>461</v>
      </c>
      <c r="D267" s="134">
        <v>0</v>
      </c>
      <c r="E267" s="67">
        <v>0</v>
      </c>
      <c r="F267" s="146">
        <v>0</v>
      </c>
      <c r="G267" s="92">
        <v>0</v>
      </c>
      <c r="H267" s="91">
        <v>0</v>
      </c>
      <c r="I267" s="67">
        <v>0</v>
      </c>
      <c r="J267" s="20">
        <v>0</v>
      </c>
      <c r="K267" s="132" t="s">
        <v>644</v>
      </c>
      <c r="L267" s="151">
        <v>0</v>
      </c>
      <c r="M267" s="128">
        <v>0</v>
      </c>
      <c r="N267" s="67">
        <v>0</v>
      </c>
      <c r="O267" s="67">
        <v>0</v>
      </c>
      <c r="Q267" s="71"/>
      <c r="S267" s="163">
        <v>0</v>
      </c>
      <c r="T267" s="163">
        <v>0</v>
      </c>
      <c r="U267" s="43">
        <v>0</v>
      </c>
      <c r="V267" s="61"/>
      <c r="AC267" s="36"/>
      <c r="AD267" s="36"/>
      <c r="AE267" s="36"/>
      <c r="AF267" s="19"/>
    </row>
    <row r="268" spans="1:32">
      <c r="A268" s="64" t="s">
        <v>597</v>
      </c>
      <c r="B268" s="63" t="s">
        <v>351</v>
      </c>
      <c r="C268" s="63" t="s">
        <v>352</v>
      </c>
      <c r="D268" s="134">
        <v>153.63</v>
      </c>
      <c r="E268" s="67">
        <v>23263</v>
      </c>
      <c r="F268" s="146">
        <v>0</v>
      </c>
      <c r="G268" s="92">
        <v>5400</v>
      </c>
      <c r="H268" s="91">
        <v>28663</v>
      </c>
      <c r="I268" s="67">
        <v>0</v>
      </c>
      <c r="J268" s="20">
        <v>23263</v>
      </c>
      <c r="K268" s="132" t="s">
        <v>621</v>
      </c>
      <c r="L268" s="151">
        <v>0</v>
      </c>
      <c r="M268" s="128">
        <v>153.63</v>
      </c>
      <c r="N268" s="67">
        <v>413</v>
      </c>
      <c r="O268" s="67">
        <v>23676</v>
      </c>
      <c r="Q268" s="71"/>
      <c r="S268" s="163">
        <v>15095</v>
      </c>
      <c r="T268" s="163">
        <v>8581</v>
      </c>
      <c r="U268" s="43">
        <v>0.56846637959589263</v>
      </c>
      <c r="V268" s="61"/>
      <c r="AC268" s="36"/>
      <c r="AD268" s="36"/>
      <c r="AE268" s="36"/>
      <c r="AF268" s="19"/>
    </row>
    <row r="269" spans="1:32">
      <c r="A269" s="64" t="s">
        <v>605</v>
      </c>
      <c r="B269" s="63" t="s">
        <v>557</v>
      </c>
      <c r="C269" s="63" t="s">
        <v>558</v>
      </c>
      <c r="D269" s="134">
        <v>1455.38</v>
      </c>
      <c r="E269" s="67">
        <v>220376</v>
      </c>
      <c r="F269" s="146">
        <v>0</v>
      </c>
      <c r="G269" s="92">
        <v>0</v>
      </c>
      <c r="H269" s="91">
        <v>220376</v>
      </c>
      <c r="I269" s="67">
        <v>0</v>
      </c>
      <c r="J269" s="20">
        <v>220376</v>
      </c>
      <c r="K269" s="132" t="s">
        <v>621</v>
      </c>
      <c r="L269" s="151">
        <v>0</v>
      </c>
      <c r="M269" s="128">
        <v>1455.38</v>
      </c>
      <c r="N269" s="67">
        <v>3916</v>
      </c>
      <c r="O269" s="67">
        <v>224292</v>
      </c>
      <c r="Q269" s="71"/>
      <c r="S269" s="163">
        <v>159952</v>
      </c>
      <c r="T269" s="163">
        <v>64340</v>
      </c>
      <c r="U269" s="43">
        <v>0.40224567370211062</v>
      </c>
      <c r="V269" s="61"/>
      <c r="AC269" s="36"/>
      <c r="AD269" s="36"/>
      <c r="AE269" s="36"/>
      <c r="AF269" s="19"/>
    </row>
    <row r="270" spans="1:32">
      <c r="A270" s="64" t="s">
        <v>597</v>
      </c>
      <c r="B270" s="65" t="s">
        <v>661</v>
      </c>
      <c r="C270" s="63" t="s">
        <v>662</v>
      </c>
      <c r="D270" s="134">
        <v>0</v>
      </c>
      <c r="E270" s="67">
        <v>0</v>
      </c>
      <c r="F270" s="146">
        <v>0</v>
      </c>
      <c r="G270" s="92">
        <v>0</v>
      </c>
      <c r="H270" s="91">
        <v>0</v>
      </c>
      <c r="I270" s="67">
        <v>0</v>
      </c>
      <c r="J270" s="20">
        <v>0</v>
      </c>
      <c r="K270" s="132" t="s">
        <v>644</v>
      </c>
      <c r="L270" s="151">
        <v>0</v>
      </c>
      <c r="M270" s="128">
        <v>0</v>
      </c>
      <c r="N270" s="67">
        <v>0</v>
      </c>
      <c r="O270" s="67">
        <v>0</v>
      </c>
      <c r="Q270" s="71"/>
      <c r="S270" s="163">
        <v>0</v>
      </c>
      <c r="T270" s="163">
        <v>0</v>
      </c>
      <c r="U270" s="43">
        <v>0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3" t="s">
        <v>345</v>
      </c>
      <c r="C271" s="63" t="s">
        <v>346</v>
      </c>
      <c r="D271" s="134">
        <v>1885.63</v>
      </c>
      <c r="E271" s="67">
        <v>285525</v>
      </c>
      <c r="F271" s="146">
        <v>0</v>
      </c>
      <c r="G271" s="92">
        <v>0</v>
      </c>
      <c r="H271" s="91">
        <v>285525</v>
      </c>
      <c r="I271" s="67">
        <v>0</v>
      </c>
      <c r="J271" s="20">
        <v>285525</v>
      </c>
      <c r="K271" s="132" t="s">
        <v>621</v>
      </c>
      <c r="L271" s="151">
        <v>0</v>
      </c>
      <c r="M271" s="128">
        <v>1885.63</v>
      </c>
      <c r="N271" s="67">
        <v>5074</v>
      </c>
      <c r="O271" s="67">
        <v>290599</v>
      </c>
      <c r="Q271" s="71"/>
      <c r="S271" s="163">
        <v>236398</v>
      </c>
      <c r="T271" s="163">
        <v>54201</v>
      </c>
      <c r="U271" s="43">
        <v>0.22927858949737306</v>
      </c>
      <c r="V271" s="61"/>
      <c r="AC271" s="36"/>
      <c r="AD271" s="36"/>
      <c r="AE271" s="36"/>
      <c r="AF271" s="19"/>
    </row>
    <row r="272" spans="1:32">
      <c r="A272" s="64" t="s">
        <v>594</v>
      </c>
      <c r="B272" s="63" t="s">
        <v>143</v>
      </c>
      <c r="C272" s="63" t="s">
        <v>144</v>
      </c>
      <c r="D272" s="134">
        <v>0</v>
      </c>
      <c r="E272" s="67">
        <v>0</v>
      </c>
      <c r="F272" s="146">
        <v>0</v>
      </c>
      <c r="G272" s="92">
        <v>0</v>
      </c>
      <c r="H272" s="91">
        <v>0</v>
      </c>
      <c r="I272" s="67">
        <v>0</v>
      </c>
      <c r="J272" s="20">
        <v>0</v>
      </c>
      <c r="K272" s="132" t="s">
        <v>644</v>
      </c>
      <c r="L272" s="151">
        <v>0</v>
      </c>
      <c r="M272" s="128">
        <v>0</v>
      </c>
      <c r="N272" s="67">
        <v>0</v>
      </c>
      <c r="O272" s="67">
        <v>0</v>
      </c>
      <c r="Q272" s="71"/>
      <c r="S272" s="163">
        <v>0</v>
      </c>
      <c r="T272" s="163">
        <v>0</v>
      </c>
      <c r="U272" s="43">
        <v>0</v>
      </c>
      <c r="V272" s="61"/>
      <c r="AC272" s="36"/>
      <c r="AD272" s="36"/>
      <c r="AE272" s="36"/>
      <c r="AF272" s="19"/>
    </row>
    <row r="273" spans="1:32">
      <c r="A273" s="64" t="s">
        <v>597</v>
      </c>
      <c r="B273" s="63" t="s">
        <v>197</v>
      </c>
      <c r="C273" s="63" t="s">
        <v>198</v>
      </c>
      <c r="D273" s="134">
        <v>139.88</v>
      </c>
      <c r="E273" s="67">
        <v>21181</v>
      </c>
      <c r="F273" s="146">
        <v>10000</v>
      </c>
      <c r="G273" s="92">
        <v>0</v>
      </c>
      <c r="H273" s="91">
        <v>31181</v>
      </c>
      <c r="I273" s="67">
        <v>0</v>
      </c>
      <c r="J273" s="20">
        <v>21181</v>
      </c>
      <c r="K273" s="132" t="s">
        <v>621</v>
      </c>
      <c r="L273" s="151">
        <v>0</v>
      </c>
      <c r="M273" s="128">
        <v>139.88</v>
      </c>
      <c r="N273" s="67">
        <v>376</v>
      </c>
      <c r="O273" s="67">
        <v>21557</v>
      </c>
      <c r="Q273" s="71"/>
      <c r="S273" s="163">
        <v>13686</v>
      </c>
      <c r="T273" s="163">
        <v>7871</v>
      </c>
      <c r="U273" s="43">
        <v>0.57511325442057581</v>
      </c>
      <c r="V273" s="61"/>
      <c r="AC273" s="36"/>
      <c r="AD273" s="36"/>
      <c r="AE273" s="36"/>
      <c r="AF273" s="19"/>
    </row>
    <row r="274" spans="1:32">
      <c r="A274" s="64" t="s">
        <v>603</v>
      </c>
      <c r="B274" s="63" t="s">
        <v>521</v>
      </c>
      <c r="C274" s="63" t="s">
        <v>522</v>
      </c>
      <c r="D274" s="134">
        <v>0</v>
      </c>
      <c r="E274" s="67">
        <v>0</v>
      </c>
      <c r="F274" s="146">
        <v>0</v>
      </c>
      <c r="G274" s="92">
        <v>0</v>
      </c>
      <c r="H274" s="91">
        <v>0</v>
      </c>
      <c r="I274" s="67">
        <v>0</v>
      </c>
      <c r="J274" s="20">
        <v>0</v>
      </c>
      <c r="K274" s="132" t="s">
        <v>644</v>
      </c>
      <c r="L274" s="151">
        <v>0</v>
      </c>
      <c r="M274" s="128">
        <v>0</v>
      </c>
      <c r="N274" s="67">
        <v>0</v>
      </c>
      <c r="O274" s="67">
        <v>0</v>
      </c>
      <c r="Q274" s="71"/>
      <c r="S274" s="163">
        <v>0</v>
      </c>
      <c r="T274" s="163">
        <v>0</v>
      </c>
      <c r="U274" s="43">
        <v>0</v>
      </c>
      <c r="V274" s="61"/>
      <c r="AC274" s="36"/>
      <c r="AD274" s="36"/>
      <c r="AE274" s="36"/>
      <c r="AF274" s="19"/>
    </row>
    <row r="275" spans="1:32">
      <c r="A275" s="64" t="s">
        <v>594</v>
      </c>
      <c r="B275" s="63" t="s">
        <v>486</v>
      </c>
      <c r="C275" s="63" t="s">
        <v>487</v>
      </c>
      <c r="D275" s="134">
        <v>11.88</v>
      </c>
      <c r="E275" s="67">
        <v>1799</v>
      </c>
      <c r="F275" s="146">
        <v>0</v>
      </c>
      <c r="G275" s="92">
        <v>0</v>
      </c>
      <c r="H275" s="91">
        <v>1799</v>
      </c>
      <c r="I275" s="67">
        <v>0</v>
      </c>
      <c r="J275" s="20">
        <v>1799</v>
      </c>
      <c r="K275" s="132" t="s">
        <v>644</v>
      </c>
      <c r="L275" s="151">
        <v>1799</v>
      </c>
      <c r="M275" s="128">
        <v>0</v>
      </c>
      <c r="N275" s="67">
        <v>0</v>
      </c>
      <c r="O275" s="67">
        <v>0</v>
      </c>
      <c r="Q275" s="71"/>
      <c r="S275" s="163">
        <v>0</v>
      </c>
      <c r="T275" s="163">
        <v>0</v>
      </c>
      <c r="U275" s="43">
        <v>0</v>
      </c>
      <c r="V275" s="61"/>
      <c r="AC275" s="36"/>
      <c r="AD275" s="36"/>
      <c r="AE275" s="36"/>
      <c r="AF275" s="19"/>
    </row>
    <row r="276" spans="1:32">
      <c r="A276" s="64" t="s">
        <v>605</v>
      </c>
      <c r="B276" s="63" t="s">
        <v>224</v>
      </c>
      <c r="C276" s="63" t="s">
        <v>225</v>
      </c>
      <c r="D276" s="134">
        <v>4</v>
      </c>
      <c r="E276" s="67">
        <v>606</v>
      </c>
      <c r="F276" s="146">
        <v>0</v>
      </c>
      <c r="G276" s="92">
        <v>0</v>
      </c>
      <c r="H276" s="91">
        <v>606</v>
      </c>
      <c r="I276" s="67">
        <v>0</v>
      </c>
      <c r="J276" s="20">
        <v>606</v>
      </c>
      <c r="K276" s="132" t="s">
        <v>621</v>
      </c>
      <c r="L276" s="151">
        <v>0</v>
      </c>
      <c r="M276" s="128">
        <v>4</v>
      </c>
      <c r="N276" s="67">
        <v>11</v>
      </c>
      <c r="O276" s="67">
        <v>617</v>
      </c>
      <c r="Q276" s="71"/>
      <c r="S276" s="163">
        <v>728</v>
      </c>
      <c r="T276" s="163">
        <v>-111</v>
      </c>
      <c r="U276" s="43">
        <v>-0.15247252747252749</v>
      </c>
      <c r="V276" s="61"/>
      <c r="AC276" s="36"/>
      <c r="AD276" s="36"/>
      <c r="AE276" s="36"/>
      <c r="AF276" s="19"/>
    </row>
    <row r="277" spans="1:32">
      <c r="A277" s="64" t="s">
        <v>594</v>
      </c>
      <c r="B277" s="63" t="s">
        <v>268</v>
      </c>
      <c r="C277" s="63" t="s">
        <v>269</v>
      </c>
      <c r="D277" s="134">
        <v>6.88</v>
      </c>
      <c r="E277" s="67">
        <v>1042</v>
      </c>
      <c r="F277" s="146">
        <v>0</v>
      </c>
      <c r="G277" s="92">
        <v>0</v>
      </c>
      <c r="H277" s="91">
        <v>1042</v>
      </c>
      <c r="I277" s="67">
        <v>0</v>
      </c>
      <c r="J277" s="20">
        <v>1042</v>
      </c>
      <c r="K277" s="132" t="s">
        <v>644</v>
      </c>
      <c r="L277" s="151">
        <v>1042</v>
      </c>
      <c r="M277" s="128">
        <v>0</v>
      </c>
      <c r="N277" s="67">
        <v>0</v>
      </c>
      <c r="O277" s="67">
        <v>0</v>
      </c>
      <c r="Q277" s="71"/>
      <c r="S277" s="163">
        <v>0</v>
      </c>
      <c r="T277" s="163">
        <v>0</v>
      </c>
      <c r="U277" s="43">
        <v>0</v>
      </c>
      <c r="V277" s="61"/>
      <c r="AC277" s="36"/>
      <c r="AD277" s="36"/>
      <c r="AE277" s="36"/>
      <c r="AF277" s="19"/>
    </row>
    <row r="278" spans="1:32">
      <c r="A278" s="64" t="s">
        <v>601</v>
      </c>
      <c r="B278" s="63" t="s">
        <v>321</v>
      </c>
      <c r="C278" s="63" t="s">
        <v>322</v>
      </c>
      <c r="D278" s="134">
        <v>92.13</v>
      </c>
      <c r="E278" s="67">
        <v>13950</v>
      </c>
      <c r="F278" s="146">
        <v>0</v>
      </c>
      <c r="G278" s="92">
        <v>0</v>
      </c>
      <c r="H278" s="91">
        <v>13950</v>
      </c>
      <c r="I278" s="67">
        <v>0</v>
      </c>
      <c r="J278" s="20">
        <v>13950</v>
      </c>
      <c r="K278" s="132" t="s">
        <v>621</v>
      </c>
      <c r="L278" s="151">
        <v>0</v>
      </c>
      <c r="M278" s="128">
        <v>92.13</v>
      </c>
      <c r="N278" s="67">
        <v>248</v>
      </c>
      <c r="O278" s="67">
        <v>14198</v>
      </c>
      <c r="Q278" s="135"/>
      <c r="S278" s="163">
        <v>10579</v>
      </c>
      <c r="T278" s="163">
        <v>3619</v>
      </c>
      <c r="U278" s="43">
        <v>0.34209282540882879</v>
      </c>
      <c r="V278" s="61"/>
      <c r="AC278" s="36"/>
      <c r="AD278" s="36"/>
      <c r="AE278" s="36"/>
      <c r="AF278" s="19"/>
    </row>
    <row r="279" spans="1:32">
      <c r="A279" s="64" t="s">
        <v>605</v>
      </c>
      <c r="B279" s="63" t="s">
        <v>559</v>
      </c>
      <c r="C279" s="63" t="s">
        <v>560</v>
      </c>
      <c r="D279" s="134">
        <v>1259.3800000000001</v>
      </c>
      <c r="E279" s="67">
        <v>190697</v>
      </c>
      <c r="F279" s="146">
        <v>0</v>
      </c>
      <c r="G279" s="92">
        <v>0</v>
      </c>
      <c r="H279" s="91">
        <v>190697</v>
      </c>
      <c r="I279" s="67">
        <v>0</v>
      </c>
      <c r="J279" s="20">
        <v>190697</v>
      </c>
      <c r="K279" s="132" t="s">
        <v>621</v>
      </c>
      <c r="L279" s="151">
        <v>0</v>
      </c>
      <c r="M279" s="128">
        <v>1259.3800000000001</v>
      </c>
      <c r="N279" s="67">
        <v>3389</v>
      </c>
      <c r="O279" s="67">
        <v>194086</v>
      </c>
      <c r="Q279" s="71"/>
      <c r="S279" s="163">
        <v>223728</v>
      </c>
      <c r="T279" s="163">
        <v>-29642</v>
      </c>
      <c r="U279" s="43">
        <v>-0.13249123936208254</v>
      </c>
      <c r="V279" s="61"/>
      <c r="AC279" s="36"/>
      <c r="AD279" s="36"/>
      <c r="AE279" s="36"/>
      <c r="AF279" s="19"/>
    </row>
    <row r="280" spans="1:32">
      <c r="A280" s="64" t="s">
        <v>596</v>
      </c>
      <c r="B280" s="63" t="s">
        <v>496</v>
      </c>
      <c r="C280" s="63" t="s">
        <v>497</v>
      </c>
      <c r="D280" s="134">
        <v>27.88</v>
      </c>
      <c r="E280" s="67">
        <v>4222</v>
      </c>
      <c r="F280" s="146">
        <v>0</v>
      </c>
      <c r="G280" s="92">
        <v>0</v>
      </c>
      <c r="H280" s="91">
        <v>4222</v>
      </c>
      <c r="I280" s="67">
        <v>0</v>
      </c>
      <c r="J280" s="20">
        <v>4222</v>
      </c>
      <c r="K280" s="132" t="s">
        <v>621</v>
      </c>
      <c r="L280" s="151">
        <v>0</v>
      </c>
      <c r="M280" s="128">
        <v>27.88</v>
      </c>
      <c r="N280" s="67">
        <v>75</v>
      </c>
      <c r="O280" s="67">
        <v>4297</v>
      </c>
      <c r="Q280" s="71"/>
      <c r="S280" s="163">
        <v>3880</v>
      </c>
      <c r="T280" s="163">
        <v>417</v>
      </c>
      <c r="U280" s="43">
        <v>0.10747422680412372</v>
      </c>
      <c r="V280" s="61"/>
      <c r="AC280" s="36"/>
      <c r="AD280" s="36"/>
      <c r="AE280" s="36"/>
      <c r="AF280" s="19"/>
    </row>
    <row r="281" spans="1:32">
      <c r="A281" s="64" t="s">
        <v>599</v>
      </c>
      <c r="B281" s="63" t="s">
        <v>72</v>
      </c>
      <c r="C281" s="63" t="s">
        <v>73</v>
      </c>
      <c r="D281" s="134">
        <v>0</v>
      </c>
      <c r="E281" s="67">
        <v>0</v>
      </c>
      <c r="F281" s="146">
        <v>0</v>
      </c>
      <c r="G281" s="92">
        <v>0</v>
      </c>
      <c r="H281" s="91">
        <v>0</v>
      </c>
      <c r="I281" s="67">
        <v>0</v>
      </c>
      <c r="J281" s="20">
        <v>0</v>
      </c>
      <c r="K281" s="132" t="s">
        <v>644</v>
      </c>
      <c r="L281" s="151">
        <v>0</v>
      </c>
      <c r="M281" s="128">
        <v>0</v>
      </c>
      <c r="N281" s="67">
        <v>0</v>
      </c>
      <c r="O281" s="67">
        <v>0</v>
      </c>
      <c r="Q281" s="71"/>
      <c r="S281" s="163">
        <v>0</v>
      </c>
      <c r="T281" s="163">
        <v>0</v>
      </c>
      <c r="U281" s="43">
        <v>0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238</v>
      </c>
      <c r="C282" s="63" t="s">
        <v>239</v>
      </c>
      <c r="D282" s="134">
        <v>0</v>
      </c>
      <c r="E282" s="67">
        <v>0</v>
      </c>
      <c r="F282" s="146">
        <v>0</v>
      </c>
      <c r="G282" s="92">
        <v>0</v>
      </c>
      <c r="H282" s="91">
        <v>0</v>
      </c>
      <c r="I282" s="67">
        <v>0</v>
      </c>
      <c r="J282" s="20">
        <v>0</v>
      </c>
      <c r="K282" s="132" t="s">
        <v>644</v>
      </c>
      <c r="L282" s="151">
        <v>0</v>
      </c>
      <c r="M282" s="128">
        <v>0</v>
      </c>
      <c r="N282" s="67">
        <v>0</v>
      </c>
      <c r="O282" s="67">
        <v>0</v>
      </c>
      <c r="Q282" s="71"/>
      <c r="S282" s="163">
        <v>0</v>
      </c>
      <c r="T282" s="163">
        <v>0</v>
      </c>
      <c r="U282" s="43">
        <v>0</v>
      </c>
      <c r="V282" s="61"/>
      <c r="AC282" s="36"/>
      <c r="AD282" s="36"/>
      <c r="AE282" s="36"/>
      <c r="AF282" s="19"/>
    </row>
    <row r="283" spans="1:32">
      <c r="A283" s="64" t="s">
        <v>597</v>
      </c>
      <c r="B283" s="63" t="s">
        <v>191</v>
      </c>
      <c r="C283" s="63" t="s">
        <v>192</v>
      </c>
      <c r="D283" s="134">
        <v>810.25</v>
      </c>
      <c r="E283" s="67">
        <v>122689</v>
      </c>
      <c r="F283" s="146">
        <v>0</v>
      </c>
      <c r="G283" s="92">
        <v>0</v>
      </c>
      <c r="H283" s="91">
        <v>122689</v>
      </c>
      <c r="I283" s="67">
        <v>0</v>
      </c>
      <c r="J283" s="20">
        <v>122689</v>
      </c>
      <c r="K283" s="132" t="s">
        <v>621</v>
      </c>
      <c r="L283" s="151">
        <v>0</v>
      </c>
      <c r="M283" s="128">
        <v>810.25</v>
      </c>
      <c r="N283" s="67">
        <v>2180</v>
      </c>
      <c r="O283" s="67">
        <v>124869</v>
      </c>
      <c r="Q283" s="71"/>
      <c r="S283" s="163">
        <v>94495</v>
      </c>
      <c r="T283" s="163">
        <v>30374</v>
      </c>
      <c r="U283" s="43">
        <v>0.3214349965606646</v>
      </c>
      <c r="V283" s="61"/>
      <c r="AC283" s="36"/>
      <c r="AD283" s="36"/>
      <c r="AE283" s="36"/>
      <c r="AF283" s="19"/>
    </row>
    <row r="284" spans="1:32">
      <c r="A284" s="64" t="s">
        <v>594</v>
      </c>
      <c r="B284" s="63" t="s">
        <v>476</v>
      </c>
      <c r="C284" s="63" t="s">
        <v>477</v>
      </c>
      <c r="D284" s="134">
        <v>65.38</v>
      </c>
      <c r="E284" s="67">
        <v>9900</v>
      </c>
      <c r="F284" s="146">
        <v>0</v>
      </c>
      <c r="G284" s="92">
        <v>0</v>
      </c>
      <c r="H284" s="91">
        <v>9900</v>
      </c>
      <c r="I284" s="67">
        <v>0</v>
      </c>
      <c r="J284" s="20">
        <v>9900</v>
      </c>
      <c r="K284" s="132" t="s">
        <v>644</v>
      </c>
      <c r="L284" s="151">
        <v>9900</v>
      </c>
      <c r="M284" s="128">
        <v>0</v>
      </c>
      <c r="N284" s="67">
        <v>0</v>
      </c>
      <c r="O284" s="67">
        <v>0</v>
      </c>
      <c r="Q284" s="71"/>
      <c r="S284" s="163">
        <v>0</v>
      </c>
      <c r="T284" s="163">
        <v>0</v>
      </c>
      <c r="U284" s="43">
        <v>0</v>
      </c>
      <c r="V284" s="61"/>
      <c r="AC284" s="36"/>
      <c r="AD284" s="36"/>
      <c r="AE284" s="36"/>
      <c r="AF284" s="19"/>
    </row>
    <row r="285" spans="1:32">
      <c r="A285" s="64" t="s">
        <v>605</v>
      </c>
      <c r="B285" s="63" t="s">
        <v>543</v>
      </c>
      <c r="C285" s="63" t="s">
        <v>544</v>
      </c>
      <c r="D285" s="134">
        <v>104.75</v>
      </c>
      <c r="E285" s="67">
        <v>15861</v>
      </c>
      <c r="F285" s="146">
        <v>0</v>
      </c>
      <c r="G285" s="92">
        <v>0</v>
      </c>
      <c r="H285" s="91">
        <v>15861</v>
      </c>
      <c r="I285" s="67">
        <v>0</v>
      </c>
      <c r="J285" s="20">
        <v>15861</v>
      </c>
      <c r="K285" s="132" t="s">
        <v>621</v>
      </c>
      <c r="L285" s="151">
        <v>0</v>
      </c>
      <c r="M285" s="128">
        <v>104.75</v>
      </c>
      <c r="N285" s="67">
        <v>282</v>
      </c>
      <c r="O285" s="67">
        <v>16143</v>
      </c>
      <c r="Q285" s="71"/>
      <c r="S285" s="163">
        <v>13245</v>
      </c>
      <c r="T285" s="163">
        <v>2898</v>
      </c>
      <c r="U285" s="43">
        <v>0.2187995469988675</v>
      </c>
      <c r="V285" s="61"/>
      <c r="AC285" s="36"/>
      <c r="AD285" s="36"/>
      <c r="AE285" s="36"/>
      <c r="AF285" s="19"/>
    </row>
    <row r="286" spans="1:32" s="112" customFormat="1">
      <c r="A286" s="138" t="s">
        <v>597</v>
      </c>
      <c r="B286" s="139" t="s">
        <v>349</v>
      </c>
      <c r="C286" s="139" t="s">
        <v>350</v>
      </c>
      <c r="D286" s="134">
        <v>99.63</v>
      </c>
      <c r="E286" s="67">
        <v>15086</v>
      </c>
      <c r="F286" s="146">
        <v>25000</v>
      </c>
      <c r="G286" s="92">
        <v>0</v>
      </c>
      <c r="H286" s="91">
        <v>40086</v>
      </c>
      <c r="I286" s="67">
        <v>0</v>
      </c>
      <c r="J286" s="148">
        <v>15086</v>
      </c>
      <c r="K286" s="132" t="s">
        <v>621</v>
      </c>
      <c r="L286" s="151">
        <v>0</v>
      </c>
      <c r="M286" s="128">
        <v>99.63</v>
      </c>
      <c r="N286" s="67">
        <v>268</v>
      </c>
      <c r="O286" s="67">
        <v>15354</v>
      </c>
      <c r="P286" s="110"/>
      <c r="Q286" s="111"/>
      <c r="S286" s="163">
        <v>0</v>
      </c>
      <c r="T286" s="163">
        <v>15354</v>
      </c>
      <c r="U286" s="43">
        <v>0</v>
      </c>
      <c r="V286" s="115"/>
      <c r="X286" s="114"/>
      <c r="AC286" s="116"/>
      <c r="AD286" s="116"/>
      <c r="AE286" s="116"/>
      <c r="AF286" s="117"/>
    </row>
    <row r="287" spans="1:32">
      <c r="A287" s="64" t="s">
        <v>594</v>
      </c>
      <c r="B287" s="63" t="s">
        <v>254</v>
      </c>
      <c r="C287" s="63" t="s">
        <v>255</v>
      </c>
      <c r="D287" s="134">
        <v>0</v>
      </c>
      <c r="E287" s="67">
        <v>0</v>
      </c>
      <c r="F287" s="146">
        <v>0</v>
      </c>
      <c r="G287" s="92">
        <v>0</v>
      </c>
      <c r="H287" s="91">
        <v>0</v>
      </c>
      <c r="I287" s="67">
        <v>0</v>
      </c>
      <c r="J287" s="20">
        <v>0</v>
      </c>
      <c r="K287" s="132" t="s">
        <v>644</v>
      </c>
      <c r="L287" s="151">
        <v>0</v>
      </c>
      <c r="M287" s="128">
        <v>0</v>
      </c>
      <c r="N287" s="67">
        <v>0</v>
      </c>
      <c r="O287" s="67">
        <v>0</v>
      </c>
      <c r="Q287" s="71"/>
      <c r="S287" s="163">
        <v>0</v>
      </c>
      <c r="T287" s="163">
        <v>0</v>
      </c>
      <c r="U287" s="43">
        <v>0</v>
      </c>
      <c r="V287" s="61"/>
      <c r="AC287" s="36"/>
      <c r="AD287" s="36"/>
      <c r="AE287" s="36"/>
      <c r="AF287" s="19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92">
        <v>0</v>
      </c>
      <c r="H288" s="91">
        <v>0</v>
      </c>
      <c r="I288" s="67">
        <v>0</v>
      </c>
      <c r="J288" s="20">
        <v>0</v>
      </c>
      <c r="K288" s="132" t="s">
        <v>644</v>
      </c>
      <c r="L288" s="151">
        <v>0</v>
      </c>
      <c r="M288" s="128">
        <v>0</v>
      </c>
      <c r="N288" s="67">
        <v>0</v>
      </c>
      <c r="O288" s="67">
        <v>0</v>
      </c>
      <c r="Q288" s="71"/>
      <c r="S288" s="163">
        <v>0</v>
      </c>
      <c r="T288" s="163">
        <v>0</v>
      </c>
      <c r="U288" s="43">
        <v>0</v>
      </c>
      <c r="V288" s="61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1719.88</v>
      </c>
      <c r="E289" s="67">
        <v>260427</v>
      </c>
      <c r="F289" s="146">
        <v>0</v>
      </c>
      <c r="G289" s="92">
        <v>0</v>
      </c>
      <c r="H289" s="91">
        <v>260427</v>
      </c>
      <c r="I289" s="67">
        <v>0</v>
      </c>
      <c r="J289" s="20">
        <v>260427</v>
      </c>
      <c r="K289" s="132" t="s">
        <v>621</v>
      </c>
      <c r="L289" s="151">
        <v>0</v>
      </c>
      <c r="M289" s="128">
        <v>1719.88</v>
      </c>
      <c r="N289" s="67">
        <v>4628</v>
      </c>
      <c r="O289" s="67">
        <v>265055</v>
      </c>
      <c r="Q289" s="71"/>
      <c r="S289" s="163">
        <v>204253</v>
      </c>
      <c r="T289" s="163">
        <v>60802</v>
      </c>
      <c r="U289" s="43">
        <v>0.29767983823983002</v>
      </c>
      <c r="V289" s="61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139" t="s">
        <v>184</v>
      </c>
      <c r="D290" s="134">
        <v>17.63</v>
      </c>
      <c r="E290" s="67">
        <v>2670</v>
      </c>
      <c r="F290" s="146">
        <v>0</v>
      </c>
      <c r="G290" s="92">
        <v>0</v>
      </c>
      <c r="H290" s="91">
        <v>2670</v>
      </c>
      <c r="I290" s="67">
        <v>0</v>
      </c>
      <c r="J290" s="148">
        <v>2670</v>
      </c>
      <c r="K290" s="132" t="s">
        <v>644</v>
      </c>
      <c r="L290" s="151">
        <v>2670</v>
      </c>
      <c r="M290" s="128">
        <v>0</v>
      </c>
      <c r="N290" s="67">
        <v>0</v>
      </c>
      <c r="O290" s="67">
        <v>0</v>
      </c>
      <c r="P290" s="110"/>
      <c r="Q290" s="111"/>
      <c r="S290" s="163">
        <v>0</v>
      </c>
      <c r="T290" s="163">
        <v>0</v>
      </c>
      <c r="U290" s="43">
        <v>0</v>
      </c>
      <c r="V290" s="115"/>
      <c r="X290" s="114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0</v>
      </c>
      <c r="E291" s="67">
        <v>0</v>
      </c>
      <c r="F291" s="146">
        <v>0</v>
      </c>
      <c r="G291" s="92">
        <v>0</v>
      </c>
      <c r="H291" s="91">
        <v>0</v>
      </c>
      <c r="I291" s="67">
        <v>0</v>
      </c>
      <c r="J291" s="20">
        <v>0</v>
      </c>
      <c r="K291" s="132" t="s">
        <v>644</v>
      </c>
      <c r="L291" s="151">
        <v>0</v>
      </c>
      <c r="M291" s="128">
        <v>0</v>
      </c>
      <c r="N291" s="67">
        <v>0</v>
      </c>
      <c r="O291" s="67">
        <v>0</v>
      </c>
      <c r="Q291" s="71"/>
      <c r="S291" s="163">
        <v>0</v>
      </c>
      <c r="T291" s="163">
        <v>0</v>
      </c>
      <c r="U291" s="43">
        <v>0</v>
      </c>
      <c r="V291" s="61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1086.1300000000001</v>
      </c>
      <c r="E292" s="67">
        <v>164463</v>
      </c>
      <c r="F292" s="146">
        <v>0</v>
      </c>
      <c r="G292" s="92">
        <v>0</v>
      </c>
      <c r="H292" s="91">
        <v>164463</v>
      </c>
      <c r="I292" s="67">
        <v>0</v>
      </c>
      <c r="J292" s="20">
        <v>164463</v>
      </c>
      <c r="K292" s="132" t="s">
        <v>621</v>
      </c>
      <c r="L292" s="151">
        <v>0</v>
      </c>
      <c r="M292" s="128">
        <v>1086.1300000000001</v>
      </c>
      <c r="N292" s="67">
        <v>2923</v>
      </c>
      <c r="O292" s="67">
        <v>167386</v>
      </c>
      <c r="Q292" s="71"/>
      <c r="S292" s="163">
        <v>129824</v>
      </c>
      <c r="T292" s="163">
        <v>37562</v>
      </c>
      <c r="U292" s="43">
        <v>0.28933017007641115</v>
      </c>
      <c r="V292" s="61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92">
        <v>0</v>
      </c>
      <c r="H293" s="91">
        <v>0</v>
      </c>
      <c r="I293" s="67">
        <v>0</v>
      </c>
      <c r="J293" s="20">
        <v>0</v>
      </c>
      <c r="K293" s="132" t="s">
        <v>644</v>
      </c>
      <c r="L293" s="151">
        <v>0</v>
      </c>
      <c r="M293" s="128">
        <v>0</v>
      </c>
      <c r="N293" s="67">
        <v>0</v>
      </c>
      <c r="O293" s="67">
        <v>0</v>
      </c>
      <c r="Q293" s="71"/>
      <c r="S293" s="163">
        <v>0</v>
      </c>
      <c r="T293" s="163">
        <v>0</v>
      </c>
      <c r="U293" s="43">
        <v>0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683</v>
      </c>
      <c r="E294" s="67">
        <v>103421</v>
      </c>
      <c r="F294" s="146">
        <v>0</v>
      </c>
      <c r="G294" s="92">
        <v>0</v>
      </c>
      <c r="H294" s="91">
        <v>103421</v>
      </c>
      <c r="I294" s="67">
        <v>0</v>
      </c>
      <c r="J294" s="20">
        <v>103421</v>
      </c>
      <c r="K294" s="132" t="s">
        <v>621</v>
      </c>
      <c r="L294" s="151">
        <v>0</v>
      </c>
      <c r="M294" s="128">
        <v>683</v>
      </c>
      <c r="N294" s="67">
        <v>1838</v>
      </c>
      <c r="O294" s="67">
        <v>105259</v>
      </c>
      <c r="Q294" s="71"/>
      <c r="S294" s="163">
        <v>81492</v>
      </c>
      <c r="T294" s="163">
        <v>23767</v>
      </c>
      <c r="U294" s="43">
        <v>0.29164825995189714</v>
      </c>
      <c r="V294" s="61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902.88</v>
      </c>
      <c r="E295" s="67">
        <v>136715</v>
      </c>
      <c r="F295" s="146">
        <v>0</v>
      </c>
      <c r="G295" s="92">
        <v>0</v>
      </c>
      <c r="H295" s="91">
        <v>136715</v>
      </c>
      <c r="I295" s="67">
        <v>0</v>
      </c>
      <c r="J295" s="20">
        <v>136715</v>
      </c>
      <c r="K295" s="132" t="s">
        <v>621</v>
      </c>
      <c r="L295" s="151">
        <v>0</v>
      </c>
      <c r="M295" s="128">
        <v>902.88</v>
      </c>
      <c r="N295" s="67">
        <v>2430</v>
      </c>
      <c r="O295" s="67">
        <v>139145</v>
      </c>
      <c r="Q295" s="71"/>
      <c r="S295" s="163">
        <v>114926</v>
      </c>
      <c r="T295" s="163">
        <v>24219</v>
      </c>
      <c r="U295" s="43">
        <v>0.21073560377982353</v>
      </c>
      <c r="V295" s="61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314.75</v>
      </c>
      <c r="E296" s="67">
        <v>47660</v>
      </c>
      <c r="F296" s="146">
        <v>0</v>
      </c>
      <c r="G296" s="92">
        <v>0</v>
      </c>
      <c r="H296" s="91">
        <v>47660</v>
      </c>
      <c r="I296" s="67">
        <v>0</v>
      </c>
      <c r="J296" s="20">
        <v>47660</v>
      </c>
      <c r="K296" s="132" t="s">
        <v>621</v>
      </c>
      <c r="L296" s="151">
        <v>0</v>
      </c>
      <c r="M296" s="128">
        <v>314.75</v>
      </c>
      <c r="N296" s="67">
        <v>847</v>
      </c>
      <c r="O296" s="67">
        <v>48507</v>
      </c>
      <c r="Q296" s="71"/>
      <c r="S296" s="163">
        <v>39768</v>
      </c>
      <c r="T296" s="163">
        <v>8739</v>
      </c>
      <c r="U296" s="43">
        <v>0.21974954737477367</v>
      </c>
      <c r="V296" s="61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57.13</v>
      </c>
      <c r="E297" s="67">
        <v>8651</v>
      </c>
      <c r="F297" s="146">
        <v>0</v>
      </c>
      <c r="G297" s="92">
        <v>3450</v>
      </c>
      <c r="H297" s="91">
        <v>12101</v>
      </c>
      <c r="I297" s="67">
        <v>0</v>
      </c>
      <c r="J297" s="20">
        <v>8651</v>
      </c>
      <c r="K297" s="132" t="s">
        <v>621</v>
      </c>
      <c r="L297" s="151">
        <v>0</v>
      </c>
      <c r="M297" s="128">
        <v>57.13</v>
      </c>
      <c r="N297" s="67">
        <v>154</v>
      </c>
      <c r="O297" s="67">
        <v>8805</v>
      </c>
      <c r="Q297" s="71"/>
      <c r="S297" s="163">
        <v>6274</v>
      </c>
      <c r="T297" s="163">
        <v>2531</v>
      </c>
      <c r="U297" s="43">
        <v>0.40341090213579855</v>
      </c>
      <c r="V297" s="61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92">
        <v>0</v>
      </c>
      <c r="H298" s="91">
        <v>0</v>
      </c>
      <c r="I298" s="67">
        <v>0</v>
      </c>
      <c r="J298" s="20">
        <v>0</v>
      </c>
      <c r="K298" s="132" t="s">
        <v>644</v>
      </c>
      <c r="L298" s="151">
        <v>0</v>
      </c>
      <c r="M298" s="128">
        <v>0</v>
      </c>
      <c r="N298" s="67">
        <v>0</v>
      </c>
      <c r="O298" s="67">
        <v>0</v>
      </c>
      <c r="Q298" s="71"/>
      <c r="S298" s="163">
        <v>0</v>
      </c>
      <c r="T298" s="163">
        <v>0</v>
      </c>
      <c r="U298" s="43">
        <v>0</v>
      </c>
      <c r="V298" s="61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29</v>
      </c>
      <c r="E299" s="67">
        <v>4391</v>
      </c>
      <c r="F299" s="146">
        <v>0</v>
      </c>
      <c r="G299" s="92">
        <v>0</v>
      </c>
      <c r="H299" s="91">
        <v>4391</v>
      </c>
      <c r="I299" s="67">
        <v>0</v>
      </c>
      <c r="J299" s="20">
        <v>4391</v>
      </c>
      <c r="K299" s="132" t="s">
        <v>644</v>
      </c>
      <c r="L299" s="151">
        <v>4391</v>
      </c>
      <c r="M299" s="128">
        <v>0</v>
      </c>
      <c r="N299" s="67">
        <v>0</v>
      </c>
      <c r="O299" s="67">
        <v>0</v>
      </c>
      <c r="Q299" s="71"/>
      <c r="S299" s="163">
        <v>0</v>
      </c>
      <c r="T299" s="163">
        <v>0</v>
      </c>
      <c r="U299" s="43">
        <v>0</v>
      </c>
      <c r="V299" s="61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92">
        <v>0</v>
      </c>
      <c r="H300" s="91">
        <v>0</v>
      </c>
      <c r="I300" s="67">
        <v>0</v>
      </c>
      <c r="J300" s="20">
        <v>0</v>
      </c>
      <c r="K300" s="132" t="s">
        <v>644</v>
      </c>
      <c r="L300" s="151">
        <v>0</v>
      </c>
      <c r="M300" s="128">
        <v>0</v>
      </c>
      <c r="N300" s="67">
        <v>0</v>
      </c>
      <c r="O300" s="67">
        <v>0</v>
      </c>
      <c r="Q300" s="71"/>
      <c r="S300" s="163">
        <v>0</v>
      </c>
      <c r="T300" s="163">
        <v>0</v>
      </c>
      <c r="U300" s="43">
        <v>0</v>
      </c>
      <c r="V300" s="61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1505</v>
      </c>
      <c r="E301" s="67">
        <v>227889</v>
      </c>
      <c r="F301" s="146">
        <v>0</v>
      </c>
      <c r="G301" s="92">
        <v>0</v>
      </c>
      <c r="H301" s="91">
        <v>227889</v>
      </c>
      <c r="I301" s="67">
        <v>0</v>
      </c>
      <c r="J301" s="20">
        <v>227889</v>
      </c>
      <c r="K301" s="132" t="s">
        <v>621</v>
      </c>
      <c r="L301" s="151">
        <v>0</v>
      </c>
      <c r="M301" s="128">
        <v>1505</v>
      </c>
      <c r="N301" s="67">
        <v>4050</v>
      </c>
      <c r="O301" s="67">
        <v>231939</v>
      </c>
      <c r="Q301" s="71"/>
      <c r="S301" s="163">
        <v>185475</v>
      </c>
      <c r="T301" s="163">
        <v>46464</v>
      </c>
      <c r="U301" s="43">
        <v>0.25051354630004041</v>
      </c>
      <c r="V301" s="61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131" t="s">
        <v>675</v>
      </c>
      <c r="D302" s="134">
        <v>82.63</v>
      </c>
      <c r="E302" s="67">
        <v>12512</v>
      </c>
      <c r="F302" s="146">
        <v>0</v>
      </c>
      <c r="G302" s="92">
        <v>1950</v>
      </c>
      <c r="H302" s="91">
        <v>14462</v>
      </c>
      <c r="I302" s="67">
        <v>0</v>
      </c>
      <c r="J302" s="100">
        <v>12512</v>
      </c>
      <c r="K302" s="132" t="s">
        <v>621</v>
      </c>
      <c r="L302" s="151">
        <v>0</v>
      </c>
      <c r="M302" s="128">
        <v>82.63</v>
      </c>
      <c r="N302" s="67">
        <v>222</v>
      </c>
      <c r="O302" s="67">
        <v>12734</v>
      </c>
      <c r="Q302" s="71"/>
      <c r="S302" s="163">
        <v>0</v>
      </c>
      <c r="T302" s="163">
        <v>12734</v>
      </c>
      <c r="U302" s="43">
        <v>0</v>
      </c>
      <c r="V302" s="61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51.63</v>
      </c>
      <c r="E303" s="67">
        <v>7818</v>
      </c>
      <c r="F303" s="146">
        <v>0</v>
      </c>
      <c r="G303" s="92">
        <v>0</v>
      </c>
      <c r="H303" s="91">
        <v>7818</v>
      </c>
      <c r="I303" s="67">
        <v>0</v>
      </c>
      <c r="J303" s="20">
        <v>7818</v>
      </c>
      <c r="K303" s="132" t="s">
        <v>621</v>
      </c>
      <c r="L303" s="151">
        <v>0</v>
      </c>
      <c r="M303" s="128">
        <v>51.63</v>
      </c>
      <c r="N303" s="67">
        <v>139</v>
      </c>
      <c r="O303" s="67">
        <v>7957</v>
      </c>
      <c r="Q303" s="71"/>
      <c r="S303" s="163">
        <v>4668</v>
      </c>
      <c r="T303" s="163">
        <v>3289</v>
      </c>
      <c r="U303" s="43">
        <v>0.70458440445586978</v>
      </c>
      <c r="V303" s="61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92">
        <v>0</v>
      </c>
      <c r="H304" s="91">
        <v>0</v>
      </c>
      <c r="I304" s="67">
        <v>0</v>
      </c>
      <c r="J304" s="20">
        <v>0</v>
      </c>
      <c r="K304" s="132" t="s">
        <v>644</v>
      </c>
      <c r="L304" s="151">
        <v>0</v>
      </c>
      <c r="M304" s="128">
        <v>0</v>
      </c>
      <c r="N304" s="67">
        <v>0</v>
      </c>
      <c r="O304" s="67">
        <v>0</v>
      </c>
      <c r="Q304" s="71"/>
      <c r="S304" s="163">
        <v>0</v>
      </c>
      <c r="T304" s="163">
        <v>0</v>
      </c>
      <c r="U304" s="43">
        <v>0</v>
      </c>
      <c r="V304" s="61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28.38</v>
      </c>
      <c r="E305" s="67">
        <v>4297</v>
      </c>
      <c r="F305" s="146">
        <v>0</v>
      </c>
      <c r="G305" s="92">
        <v>0</v>
      </c>
      <c r="H305" s="91">
        <v>4297</v>
      </c>
      <c r="I305" s="67">
        <v>0</v>
      </c>
      <c r="J305" s="20">
        <v>4297</v>
      </c>
      <c r="K305" s="132" t="s">
        <v>644</v>
      </c>
      <c r="L305" s="151">
        <v>4297</v>
      </c>
      <c r="M305" s="128">
        <v>0</v>
      </c>
      <c r="N305" s="67">
        <v>0</v>
      </c>
      <c r="O305" s="67">
        <v>0</v>
      </c>
      <c r="Q305" s="71"/>
      <c r="S305" s="163">
        <v>0</v>
      </c>
      <c r="T305" s="163">
        <v>0</v>
      </c>
      <c r="U305" s="43">
        <v>0</v>
      </c>
      <c r="V305" s="61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175.63</v>
      </c>
      <c r="E306" s="67">
        <v>26594</v>
      </c>
      <c r="F306" s="146">
        <v>0</v>
      </c>
      <c r="G306" s="92">
        <v>4350</v>
      </c>
      <c r="H306" s="91">
        <v>30944</v>
      </c>
      <c r="I306" s="67">
        <v>0</v>
      </c>
      <c r="J306" s="20">
        <v>26594</v>
      </c>
      <c r="K306" s="132" t="s">
        <v>621</v>
      </c>
      <c r="L306" s="151">
        <v>0</v>
      </c>
      <c r="M306" s="128">
        <v>175.63</v>
      </c>
      <c r="N306" s="67">
        <v>473</v>
      </c>
      <c r="O306" s="67">
        <v>27067</v>
      </c>
      <c r="Q306" s="71"/>
      <c r="S306" s="163">
        <v>22703</v>
      </c>
      <c r="T306" s="163">
        <v>4364</v>
      </c>
      <c r="U306" s="43">
        <v>0.19222129234021934</v>
      </c>
      <c r="V306" s="61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92">
        <v>0</v>
      </c>
      <c r="H307" s="91">
        <v>0</v>
      </c>
      <c r="I307" s="67">
        <v>0</v>
      </c>
      <c r="J307" s="20">
        <v>0</v>
      </c>
      <c r="K307" s="132" t="s">
        <v>644</v>
      </c>
      <c r="L307" s="151">
        <v>0</v>
      </c>
      <c r="M307" s="128">
        <v>0</v>
      </c>
      <c r="N307" s="67">
        <v>0</v>
      </c>
      <c r="O307" s="67">
        <v>0</v>
      </c>
      <c r="Q307" s="71"/>
      <c r="S307" s="163">
        <v>0</v>
      </c>
      <c r="T307" s="163">
        <v>0</v>
      </c>
      <c r="U307" s="43">
        <v>0</v>
      </c>
      <c r="V307" s="61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0</v>
      </c>
      <c r="E308" s="67">
        <v>0</v>
      </c>
      <c r="F308" s="146">
        <v>0</v>
      </c>
      <c r="G308" s="92">
        <v>0</v>
      </c>
      <c r="H308" s="91">
        <v>0</v>
      </c>
      <c r="I308" s="67">
        <v>0</v>
      </c>
      <c r="J308" s="20">
        <v>0</v>
      </c>
      <c r="K308" s="132" t="s">
        <v>644</v>
      </c>
      <c r="L308" s="151">
        <v>0</v>
      </c>
      <c r="M308" s="128">
        <v>0</v>
      </c>
      <c r="N308" s="67">
        <v>0</v>
      </c>
      <c r="O308" s="67">
        <v>0</v>
      </c>
      <c r="Q308" s="71"/>
      <c r="S308" s="163">
        <v>0</v>
      </c>
      <c r="T308" s="163">
        <v>0</v>
      </c>
      <c r="U308" s="43">
        <v>0</v>
      </c>
      <c r="V308" s="61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92">
        <v>0</v>
      </c>
      <c r="H309" s="91">
        <v>0</v>
      </c>
      <c r="I309" s="67">
        <v>0</v>
      </c>
      <c r="J309" s="20">
        <v>0</v>
      </c>
      <c r="K309" s="132" t="s">
        <v>644</v>
      </c>
      <c r="L309" s="151">
        <v>0</v>
      </c>
      <c r="M309" s="128">
        <v>0</v>
      </c>
      <c r="N309" s="67">
        <v>0</v>
      </c>
      <c r="O309" s="67">
        <v>0</v>
      </c>
      <c r="Q309" s="71"/>
      <c r="S309" s="163">
        <v>0</v>
      </c>
      <c r="T309" s="163">
        <v>0</v>
      </c>
      <c r="U309" s="43">
        <v>0</v>
      </c>
      <c r="V309" s="61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76.63</v>
      </c>
      <c r="E310" s="67">
        <v>11603</v>
      </c>
      <c r="F310" s="146">
        <v>0</v>
      </c>
      <c r="G310" s="92">
        <v>0</v>
      </c>
      <c r="H310" s="91">
        <v>11603</v>
      </c>
      <c r="I310" s="67">
        <v>0</v>
      </c>
      <c r="J310" s="20">
        <v>11603</v>
      </c>
      <c r="K310" s="132" t="s">
        <v>621</v>
      </c>
      <c r="L310" s="151">
        <v>0</v>
      </c>
      <c r="M310" s="128">
        <v>76.63</v>
      </c>
      <c r="N310" s="67">
        <v>206</v>
      </c>
      <c r="O310" s="67">
        <v>11809</v>
      </c>
      <c r="Q310" s="71"/>
      <c r="S310" s="163">
        <v>9534</v>
      </c>
      <c r="T310" s="163">
        <v>2275</v>
      </c>
      <c r="U310" s="43">
        <v>0.23861967694566813</v>
      </c>
      <c r="V310" s="60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92">
        <v>0</v>
      </c>
      <c r="H311" s="91">
        <v>0</v>
      </c>
      <c r="I311" s="67">
        <v>0</v>
      </c>
      <c r="J311" s="20">
        <v>0</v>
      </c>
      <c r="K311" s="132" t="s">
        <v>644</v>
      </c>
      <c r="L311" s="151">
        <v>0</v>
      </c>
      <c r="M311" s="128">
        <v>0</v>
      </c>
      <c r="N311" s="67">
        <v>0</v>
      </c>
      <c r="O311" s="67">
        <v>0</v>
      </c>
      <c r="Q311" s="71"/>
      <c r="S311" s="163">
        <v>0</v>
      </c>
      <c r="T311" s="163">
        <v>0</v>
      </c>
      <c r="U311" s="43">
        <v>0</v>
      </c>
      <c r="V311" s="6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92">
        <v>0</v>
      </c>
      <c r="H312" s="91">
        <v>0</v>
      </c>
      <c r="I312" s="67">
        <v>0</v>
      </c>
      <c r="J312" s="20">
        <v>0</v>
      </c>
      <c r="K312" s="132" t="s">
        <v>644</v>
      </c>
      <c r="L312" s="151">
        <v>0</v>
      </c>
      <c r="M312" s="128">
        <v>0</v>
      </c>
      <c r="N312" s="67">
        <v>0</v>
      </c>
      <c r="O312" s="67">
        <v>0</v>
      </c>
      <c r="Q312" s="71"/>
      <c r="S312" s="163">
        <v>0</v>
      </c>
      <c r="T312" s="163">
        <v>0</v>
      </c>
      <c r="U312" s="43">
        <v>0</v>
      </c>
    </row>
    <row r="313" spans="1:32">
      <c r="A313" s="64" t="s">
        <v>599</v>
      </c>
      <c r="B313" s="63" t="s">
        <v>78</v>
      </c>
      <c r="C313" s="63" t="s">
        <v>79</v>
      </c>
      <c r="D313" s="134">
        <v>102.5</v>
      </c>
      <c r="E313" s="67">
        <v>15521</v>
      </c>
      <c r="F313" s="146">
        <v>10000</v>
      </c>
      <c r="G313" s="92">
        <v>0</v>
      </c>
      <c r="H313" s="91">
        <v>25521</v>
      </c>
      <c r="I313" s="67">
        <v>0</v>
      </c>
      <c r="J313" s="20">
        <v>15521</v>
      </c>
      <c r="K313" s="132" t="s">
        <v>621</v>
      </c>
      <c r="L313" s="151">
        <v>0</v>
      </c>
      <c r="M313" s="128">
        <v>102.5</v>
      </c>
      <c r="N313" s="67">
        <v>276</v>
      </c>
      <c r="O313" s="67">
        <v>15797</v>
      </c>
      <c r="Q313" s="71"/>
      <c r="S313" s="163">
        <v>11171</v>
      </c>
      <c r="T313" s="163">
        <v>4626</v>
      </c>
      <c r="U313" s="43">
        <v>0.41410795810580969</v>
      </c>
    </row>
    <row r="314" spans="1:32">
      <c r="A314" s="64" t="s">
        <v>605</v>
      </c>
      <c r="B314" s="63" t="s">
        <v>547</v>
      </c>
      <c r="C314" s="63" t="s">
        <v>548</v>
      </c>
      <c r="D314" s="134">
        <v>3901.75</v>
      </c>
      <c r="E314" s="67">
        <v>590809</v>
      </c>
      <c r="F314" s="146">
        <v>0</v>
      </c>
      <c r="G314" s="92">
        <v>0</v>
      </c>
      <c r="H314" s="91">
        <v>590809</v>
      </c>
      <c r="I314" s="67">
        <v>0</v>
      </c>
      <c r="J314" s="20">
        <v>590809</v>
      </c>
      <c r="K314" s="132" t="s">
        <v>621</v>
      </c>
      <c r="L314" s="151">
        <v>0</v>
      </c>
      <c r="M314" s="128">
        <v>3901.75</v>
      </c>
      <c r="N314" s="67">
        <v>10500</v>
      </c>
      <c r="O314" s="67">
        <v>601309</v>
      </c>
      <c r="Q314" s="71"/>
      <c r="S314" s="163">
        <v>519809</v>
      </c>
      <c r="T314" s="163">
        <v>81500</v>
      </c>
      <c r="U314" s="43">
        <v>0.15678835880102115</v>
      </c>
    </row>
    <row r="315" spans="1:32">
      <c r="A315" s="64" t="s">
        <v>594</v>
      </c>
      <c r="B315" s="63" t="s">
        <v>472</v>
      </c>
      <c r="C315" s="63" t="s">
        <v>473</v>
      </c>
      <c r="D315" s="134">
        <v>31.88</v>
      </c>
      <c r="E315" s="67">
        <v>4827</v>
      </c>
      <c r="F315" s="146">
        <v>0</v>
      </c>
      <c r="G315" s="92">
        <v>0</v>
      </c>
      <c r="H315" s="91">
        <v>4827</v>
      </c>
      <c r="I315" s="67">
        <v>0</v>
      </c>
      <c r="J315" s="20">
        <v>4827</v>
      </c>
      <c r="K315" s="132" t="s">
        <v>644</v>
      </c>
      <c r="L315" s="151">
        <v>4827</v>
      </c>
      <c r="M315" s="128">
        <v>0</v>
      </c>
      <c r="N315" s="67">
        <v>0</v>
      </c>
      <c r="O315" s="67">
        <v>0</v>
      </c>
      <c r="Q315" s="71"/>
      <c r="S315" s="163">
        <v>0</v>
      </c>
      <c r="T315" s="163">
        <v>0</v>
      </c>
      <c r="U315" s="43">
        <v>0</v>
      </c>
    </row>
    <row r="316" spans="1:32">
      <c r="A316" s="64" t="s">
        <v>605</v>
      </c>
      <c r="B316" s="63" t="s">
        <v>565</v>
      </c>
      <c r="C316" s="63" t="s">
        <v>566</v>
      </c>
      <c r="D316" s="134">
        <v>128.63</v>
      </c>
      <c r="E316" s="67">
        <v>19477</v>
      </c>
      <c r="F316" s="146">
        <v>0</v>
      </c>
      <c r="G316" s="92">
        <v>0</v>
      </c>
      <c r="H316" s="91">
        <v>19477</v>
      </c>
      <c r="I316" s="67">
        <v>0</v>
      </c>
      <c r="J316" s="20">
        <v>19477</v>
      </c>
      <c r="K316" s="132" t="s">
        <v>621</v>
      </c>
      <c r="L316" s="151">
        <v>0</v>
      </c>
      <c r="M316" s="128">
        <v>128.63</v>
      </c>
      <c r="N316" s="67">
        <v>346</v>
      </c>
      <c r="O316" s="67">
        <v>19823</v>
      </c>
      <c r="Q316" s="73"/>
      <c r="S316" s="163">
        <v>14307</v>
      </c>
      <c r="T316" s="163">
        <v>5516</v>
      </c>
      <c r="U316" s="43">
        <v>0.38554553714964701</v>
      </c>
    </row>
    <row r="317" spans="1:32">
      <c r="C317" s="105" t="s">
        <v>620</v>
      </c>
      <c r="D317" s="67">
        <v>76832.989999999947</v>
      </c>
      <c r="E317" s="67">
        <v>11634161</v>
      </c>
      <c r="F317" s="147">
        <v>465000</v>
      </c>
      <c r="G317" s="67">
        <v>55650</v>
      </c>
      <c r="H317" s="91">
        <v>12154811</v>
      </c>
      <c r="I317" s="71">
        <v>0</v>
      </c>
      <c r="J317" s="73">
        <v>11634161</v>
      </c>
      <c r="K317" s="72">
        <v>139</v>
      </c>
      <c r="L317" s="88">
        <v>203148</v>
      </c>
      <c r="M317" s="67">
        <v>75491.369999999952</v>
      </c>
      <c r="N317" s="88">
        <v>203149</v>
      </c>
      <c r="O317" s="88">
        <v>11634165</v>
      </c>
      <c r="P317" s="88"/>
      <c r="Q317" s="88"/>
      <c r="R317" s="72"/>
      <c r="S317" s="91">
        <v>9151934</v>
      </c>
      <c r="T317" s="91">
        <v>2482231</v>
      </c>
      <c r="U317" s="161"/>
      <c r="V317" s="72"/>
      <c r="W317" s="72"/>
      <c r="X317" s="72"/>
    </row>
    <row r="318" spans="1:32">
      <c r="F318" s="83">
        <v>520650</v>
      </c>
    </row>
  </sheetData>
  <mergeCells count="3">
    <mergeCell ref="E2:H2"/>
    <mergeCell ref="K2:O2"/>
    <mergeCell ref="I2:J2"/>
  </mergeCells>
  <phoneticPr fontId="0" type="noConversion"/>
  <printOptions horizontalCentered="1"/>
  <pageMargins left="0.5" right="0.5" top="0.75" bottom="0.75" header="0.5" footer="0.5"/>
  <pageSetup scale="64" fitToHeight="6" orientation="landscape" r:id="rId1"/>
  <headerFooter alignWithMargins="0">
    <oddHeader>&amp;CTitle III Allocation 2006–07</oddHeader>
    <oddFooter>Page &amp;P of &amp;N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1"/>
  <dimension ref="A1:AF319"/>
  <sheetViews>
    <sheetView workbookViewId="0">
      <pane xSplit="3" ySplit="7" topLeftCell="D8" activePane="bottomRight" state="frozen"/>
      <selection activeCell="H39" sqref="H39"/>
      <selection pane="topRight" activeCell="H39" sqref="H39"/>
      <selection pane="bottomLeft" activeCell="H39" sqref="H39"/>
      <selection pane="bottomRight" activeCell="H39" sqref="H39"/>
    </sheetView>
  </sheetViews>
  <sheetFormatPr defaultColWidth="9.140625" defaultRowHeight="12.75"/>
  <cols>
    <col min="1" max="1" width="3.5703125" style="23" customWidth="1"/>
    <col min="2" max="2" width="6.5703125" style="23" customWidth="1"/>
    <col min="3" max="3" width="17.5703125" style="23" customWidth="1"/>
    <col min="4" max="4" width="10" style="67" bestFit="1" customWidth="1"/>
    <col min="5" max="5" width="15.140625" style="67" customWidth="1"/>
    <col min="6" max="6" width="11" style="67" customWidth="1"/>
    <col min="7" max="7" width="10" style="67" bestFit="1" customWidth="1"/>
    <col min="8" max="8" width="13.42578125" style="71" customWidth="1"/>
    <col min="9" max="9" width="15.42578125" style="71" customWidth="1"/>
    <col min="10" max="10" width="13" style="71" customWidth="1"/>
    <col min="11" max="11" width="9" style="67" customWidth="1"/>
    <col min="12" max="12" width="15.140625" style="88" customWidth="1"/>
    <col min="13" max="13" width="14.140625" style="67" customWidth="1"/>
    <col min="14" max="14" width="12.5703125" style="67" customWidth="1"/>
    <col min="15" max="15" width="12.42578125" style="67" bestFit="1" customWidth="1"/>
    <col min="16" max="16" width="2.5703125" style="67" customWidth="1"/>
    <col min="17" max="17" width="12.140625" style="67" customWidth="1"/>
    <col min="18" max="18" width="15.85546875" style="23" customWidth="1"/>
    <col min="19" max="19" width="13.42578125" style="24" customWidth="1"/>
    <col min="20" max="20" width="12.5703125" style="24" customWidth="1"/>
    <col min="21" max="21" width="12.85546875" style="23" customWidth="1"/>
    <col min="22" max="22" width="13" style="29" customWidth="1"/>
    <col min="23" max="23" width="4.5703125" style="23" customWidth="1"/>
    <col min="24" max="24" width="12.85546875" style="28" bestFit="1" customWidth="1"/>
    <col min="25" max="29" width="9.140625" style="23"/>
    <col min="30" max="30" width="22.42578125" style="23" bestFit="1" customWidth="1"/>
    <col min="31" max="31" width="5.85546875" style="23" bestFit="1" customWidth="1"/>
    <col min="32" max="32" width="10.140625" style="23" bestFit="1" customWidth="1"/>
    <col min="33" max="16384" width="9.140625" style="23"/>
  </cols>
  <sheetData>
    <row r="1" spans="1:32">
      <c r="B1" s="23">
        <v>1</v>
      </c>
      <c r="C1" s="23">
        <v>2</v>
      </c>
      <c r="D1" s="24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4">
        <v>12</v>
      </c>
      <c r="N1" s="23">
        <v>13</v>
      </c>
      <c r="O1" s="23">
        <v>14</v>
      </c>
      <c r="P1" s="23">
        <v>15</v>
      </c>
      <c r="Q1" s="23">
        <v>16</v>
      </c>
      <c r="R1" s="23">
        <v>20</v>
      </c>
      <c r="S1" s="23">
        <v>21</v>
      </c>
      <c r="T1" s="23">
        <v>22</v>
      </c>
      <c r="U1" s="23">
        <v>23</v>
      </c>
      <c r="V1" s="23">
        <v>24</v>
      </c>
    </row>
    <row r="2" spans="1:32">
      <c r="A2" s="149" t="s">
        <v>734</v>
      </c>
      <c r="E2" s="884" t="s">
        <v>698</v>
      </c>
      <c r="F2" s="885"/>
      <c r="G2" s="885"/>
      <c r="H2" s="885"/>
      <c r="I2" s="886" t="s">
        <v>700</v>
      </c>
      <c r="J2" s="887"/>
      <c r="K2" s="889" t="s">
        <v>705</v>
      </c>
      <c r="L2" s="889"/>
      <c r="M2" s="889"/>
      <c r="N2" s="889"/>
      <c r="O2" s="889"/>
      <c r="P2" s="70"/>
      <c r="Q2" s="70"/>
      <c r="R2" s="90"/>
      <c r="S2" s="90"/>
    </row>
    <row r="3" spans="1:32">
      <c r="I3" s="136" t="s">
        <v>717</v>
      </c>
      <c r="J3" s="137"/>
      <c r="L3" s="68">
        <v>235865</v>
      </c>
      <c r="O3" s="67">
        <v>9151934</v>
      </c>
      <c r="Q3" s="151" t="s">
        <v>737</v>
      </c>
    </row>
    <row r="4" spans="1:32" ht="48">
      <c r="A4" s="77" t="s">
        <v>591</v>
      </c>
      <c r="B4" s="78" t="s">
        <v>592</v>
      </c>
      <c r="C4" s="78" t="s">
        <v>593</v>
      </c>
      <c r="D4" s="133" t="s">
        <v>682</v>
      </c>
      <c r="E4" s="76" t="s">
        <v>703</v>
      </c>
      <c r="F4" s="76" t="s">
        <v>684</v>
      </c>
      <c r="G4" s="76" t="s">
        <v>683</v>
      </c>
      <c r="H4" s="75" t="s">
        <v>699</v>
      </c>
      <c r="I4" s="75" t="s">
        <v>729</v>
      </c>
      <c r="J4" s="75" t="s">
        <v>718</v>
      </c>
      <c r="K4" s="76" t="s">
        <v>728</v>
      </c>
      <c r="L4" s="76" t="s">
        <v>727</v>
      </c>
      <c r="M4" s="76" t="s">
        <v>704</v>
      </c>
      <c r="N4" s="76" t="s">
        <v>701</v>
      </c>
      <c r="O4" s="75" t="s">
        <v>711</v>
      </c>
      <c r="P4" s="76"/>
      <c r="Q4" s="76"/>
      <c r="R4" s="45"/>
      <c r="S4" s="81" t="s">
        <v>731</v>
      </c>
      <c r="T4" s="143" t="s">
        <v>732</v>
      </c>
      <c r="U4" s="23" t="s">
        <v>733</v>
      </c>
    </row>
    <row r="5" spans="1:32">
      <c r="A5" s="46"/>
      <c r="B5" s="47"/>
      <c r="C5" s="47"/>
      <c r="E5" s="68">
        <v>8212660</v>
      </c>
      <c r="I5" s="68">
        <v>939274</v>
      </c>
      <c r="J5" s="73"/>
      <c r="K5" s="150" t="s">
        <v>735</v>
      </c>
      <c r="L5" s="68">
        <v>10000</v>
      </c>
      <c r="M5" s="71"/>
      <c r="N5" s="69"/>
      <c r="T5" s="80"/>
      <c r="U5" s="26"/>
      <c r="V5" s="27"/>
      <c r="W5" s="26"/>
    </row>
    <row r="6" spans="1:32">
      <c r="A6" s="46"/>
      <c r="B6" s="47"/>
      <c r="C6" s="47" t="s">
        <v>620</v>
      </c>
      <c r="D6" s="67">
        <v>77479.72</v>
      </c>
      <c r="E6" s="72">
        <v>8212651</v>
      </c>
      <c r="F6" s="72">
        <v>510000</v>
      </c>
      <c r="G6" s="72">
        <v>90600</v>
      </c>
      <c r="H6" s="73">
        <v>8813251</v>
      </c>
      <c r="I6" s="73">
        <v>939268</v>
      </c>
      <c r="J6" s="73">
        <v>9151919</v>
      </c>
      <c r="K6" s="72"/>
      <c r="L6" s="67">
        <v>235865</v>
      </c>
      <c r="M6" s="67">
        <v>75482.83</v>
      </c>
      <c r="N6" s="67">
        <v>235856</v>
      </c>
      <c r="O6" s="67">
        <v>9151934</v>
      </c>
      <c r="S6" s="67">
        <v>7366115</v>
      </c>
      <c r="T6" s="142">
        <v>0.24243702413008758</v>
      </c>
      <c r="U6" s="26"/>
      <c r="V6" s="27"/>
      <c r="W6" s="26"/>
    </row>
    <row r="7" spans="1:32">
      <c r="A7" s="77"/>
      <c r="B7" s="78"/>
      <c r="C7" s="78"/>
      <c r="D7" s="70"/>
      <c r="E7" s="74">
        <v>9</v>
      </c>
      <c r="F7" s="69"/>
      <c r="G7" s="76"/>
      <c r="H7" s="75"/>
      <c r="I7" s="70">
        <v>6</v>
      </c>
      <c r="J7" s="76"/>
      <c r="K7" s="152"/>
      <c r="L7" s="157" t="s">
        <v>736</v>
      </c>
      <c r="M7" s="153"/>
      <c r="O7" s="74">
        <v>0</v>
      </c>
      <c r="P7" s="76"/>
      <c r="Q7" s="76"/>
      <c r="R7" s="45"/>
    </row>
    <row r="8" spans="1:32">
      <c r="A8" s="64" t="s">
        <v>594</v>
      </c>
      <c r="B8" s="63" t="s">
        <v>132</v>
      </c>
      <c r="C8" s="63" t="s">
        <v>133</v>
      </c>
      <c r="D8" s="134">
        <v>317.25</v>
      </c>
      <c r="E8" s="67">
        <v>33628</v>
      </c>
      <c r="F8" s="146">
        <v>0</v>
      </c>
      <c r="G8" s="92">
        <v>0</v>
      </c>
      <c r="H8" s="71">
        <v>33628</v>
      </c>
      <c r="I8" s="67">
        <v>3846</v>
      </c>
      <c r="J8" s="20">
        <v>37474</v>
      </c>
      <c r="K8" s="132" t="s">
        <v>621</v>
      </c>
      <c r="L8" s="151">
        <v>0</v>
      </c>
      <c r="M8" s="154">
        <v>317.25</v>
      </c>
      <c r="N8" s="67">
        <v>991</v>
      </c>
      <c r="O8" s="67">
        <v>38465</v>
      </c>
      <c r="Q8" s="71"/>
      <c r="R8" s="26"/>
      <c r="S8" s="80">
        <v>32619</v>
      </c>
      <c r="T8" s="80">
        <v>5846</v>
      </c>
      <c r="U8" s="93">
        <v>0.17922069959226217</v>
      </c>
    </row>
    <row r="9" spans="1:32">
      <c r="A9" s="64" t="s">
        <v>594</v>
      </c>
      <c r="B9" s="63" t="s">
        <v>262</v>
      </c>
      <c r="C9" s="63" t="s">
        <v>263</v>
      </c>
      <c r="D9" s="134">
        <v>0</v>
      </c>
      <c r="E9" s="67">
        <v>0</v>
      </c>
      <c r="F9" s="146">
        <v>0</v>
      </c>
      <c r="G9" s="92">
        <v>0</v>
      </c>
      <c r="H9" s="71">
        <v>0</v>
      </c>
      <c r="I9" s="67">
        <v>0</v>
      </c>
      <c r="J9" s="20">
        <v>0</v>
      </c>
      <c r="K9" s="132" t="s">
        <v>723</v>
      </c>
      <c r="L9" s="89">
        <v>0</v>
      </c>
      <c r="M9" s="154">
        <v>0</v>
      </c>
      <c r="N9" s="67">
        <v>0</v>
      </c>
      <c r="O9" s="67">
        <v>0</v>
      </c>
      <c r="Q9" s="71"/>
      <c r="R9" s="30"/>
      <c r="S9" s="80">
        <v>0</v>
      </c>
      <c r="T9" s="80">
        <v>0</v>
      </c>
      <c r="U9" s="93">
        <v>0</v>
      </c>
      <c r="V9" s="31"/>
      <c r="X9" s="32"/>
      <c r="Z9" s="33"/>
      <c r="AC9" s="45"/>
      <c r="AD9" s="45"/>
    </row>
    <row r="10" spans="1:32">
      <c r="A10" s="64" t="s">
        <v>603</v>
      </c>
      <c r="B10" s="63" t="s">
        <v>283</v>
      </c>
      <c r="C10" s="63" t="s">
        <v>284</v>
      </c>
      <c r="D10" s="134">
        <v>0</v>
      </c>
      <c r="E10" s="67">
        <v>0</v>
      </c>
      <c r="F10" s="146">
        <v>0</v>
      </c>
      <c r="G10" s="92">
        <v>0</v>
      </c>
      <c r="H10" s="71">
        <v>0</v>
      </c>
      <c r="I10" s="67">
        <v>0</v>
      </c>
      <c r="J10" s="20">
        <v>0</v>
      </c>
      <c r="K10" s="132" t="s">
        <v>723</v>
      </c>
      <c r="L10" s="89">
        <v>0</v>
      </c>
      <c r="M10" s="154">
        <v>0</v>
      </c>
      <c r="N10" s="67">
        <v>0</v>
      </c>
      <c r="O10" s="67">
        <v>0</v>
      </c>
      <c r="Q10" s="71"/>
      <c r="R10" s="25"/>
      <c r="S10" s="80">
        <v>0</v>
      </c>
      <c r="T10" s="80">
        <v>0</v>
      </c>
      <c r="U10" s="93">
        <v>0</v>
      </c>
      <c r="V10" s="34"/>
      <c r="X10" s="35"/>
      <c r="Y10" s="28"/>
      <c r="AC10" s="36"/>
      <c r="AD10" s="36"/>
      <c r="AE10" s="36"/>
      <c r="AF10" s="19"/>
    </row>
    <row r="11" spans="1:32" s="112" customFormat="1">
      <c r="A11" s="138" t="s">
        <v>595</v>
      </c>
      <c r="B11" s="139" t="s">
        <v>380</v>
      </c>
      <c r="C11" s="139" t="s">
        <v>381</v>
      </c>
      <c r="D11" s="67">
        <v>36.880000000000003</v>
      </c>
      <c r="E11" s="67">
        <v>3909</v>
      </c>
      <c r="F11" s="147">
        <v>0</v>
      </c>
      <c r="G11" s="72">
        <v>4650</v>
      </c>
      <c r="H11" s="140">
        <v>8559</v>
      </c>
      <c r="I11" s="67">
        <v>447</v>
      </c>
      <c r="J11" s="155">
        <v>4356</v>
      </c>
      <c r="K11" s="132" t="s">
        <v>644</v>
      </c>
      <c r="L11" s="89">
        <v>4356</v>
      </c>
      <c r="M11" s="141">
        <v>0</v>
      </c>
      <c r="N11" s="110">
        <v>0</v>
      </c>
      <c r="O11" s="110">
        <v>0</v>
      </c>
      <c r="P11" s="110"/>
      <c r="Q11" s="111"/>
      <c r="S11" s="80">
        <v>0</v>
      </c>
      <c r="T11" s="80">
        <v>0</v>
      </c>
      <c r="U11" s="93">
        <v>0</v>
      </c>
      <c r="V11" s="113"/>
      <c r="X11" s="114"/>
      <c r="Y11" s="114"/>
    </row>
    <row r="12" spans="1:32">
      <c r="A12" s="64" t="s">
        <v>595</v>
      </c>
      <c r="B12" s="63" t="s">
        <v>403</v>
      </c>
      <c r="C12" s="63" t="s">
        <v>404</v>
      </c>
      <c r="D12" s="134">
        <v>132.38</v>
      </c>
      <c r="E12" s="67">
        <v>14032</v>
      </c>
      <c r="F12" s="146">
        <v>0</v>
      </c>
      <c r="G12" s="92">
        <v>4500</v>
      </c>
      <c r="H12" s="71">
        <v>18532</v>
      </c>
      <c r="I12" s="67">
        <v>1605</v>
      </c>
      <c r="J12" s="20">
        <v>15637</v>
      </c>
      <c r="K12" s="132" t="s">
        <v>621</v>
      </c>
      <c r="L12" s="89">
        <v>0</v>
      </c>
      <c r="M12" s="154">
        <v>132.38</v>
      </c>
      <c r="N12" s="67">
        <v>414</v>
      </c>
      <c r="O12" s="67">
        <v>16051</v>
      </c>
      <c r="Q12" s="71"/>
      <c r="S12" s="80">
        <v>11031</v>
      </c>
      <c r="T12" s="80">
        <v>5020</v>
      </c>
      <c r="U12" s="93">
        <v>0.45508113498322911</v>
      </c>
      <c r="V12" s="61"/>
      <c r="AC12" s="36"/>
      <c r="AD12" s="36"/>
      <c r="AE12" s="36"/>
      <c r="AF12" s="19"/>
    </row>
    <row r="13" spans="1:32">
      <c r="A13" s="64" t="s">
        <v>596</v>
      </c>
      <c r="B13" s="63" t="s">
        <v>12</v>
      </c>
      <c r="C13" s="63" t="s">
        <v>13</v>
      </c>
      <c r="D13" s="134">
        <v>1.38</v>
      </c>
      <c r="E13" s="67">
        <v>146</v>
      </c>
      <c r="F13" s="146">
        <v>0</v>
      </c>
      <c r="G13" s="92">
        <v>0</v>
      </c>
      <c r="H13" s="71">
        <v>146</v>
      </c>
      <c r="I13" s="67">
        <v>17</v>
      </c>
      <c r="J13" s="20">
        <v>163</v>
      </c>
      <c r="K13" s="132" t="s">
        <v>724</v>
      </c>
      <c r="L13" s="89">
        <v>163</v>
      </c>
      <c r="M13" s="154">
        <v>0</v>
      </c>
      <c r="N13" s="67">
        <v>0</v>
      </c>
      <c r="O13" s="67">
        <v>0</v>
      </c>
      <c r="Q13" s="71"/>
      <c r="S13" s="80">
        <v>0</v>
      </c>
      <c r="T13" s="80">
        <v>0</v>
      </c>
      <c r="U13" s="93">
        <v>0</v>
      </c>
      <c r="V13" s="61"/>
      <c r="AC13" s="36"/>
      <c r="AD13" s="36"/>
      <c r="AE13" s="36"/>
      <c r="AF13" s="19"/>
    </row>
    <row r="14" spans="1:32">
      <c r="A14" s="64" t="s">
        <v>597</v>
      </c>
      <c r="B14" s="63" t="s">
        <v>195</v>
      </c>
      <c r="C14" s="63" t="s">
        <v>196</v>
      </c>
      <c r="D14" s="134">
        <v>1292.3800000000001</v>
      </c>
      <c r="E14" s="67">
        <v>136989</v>
      </c>
      <c r="F14" s="146">
        <v>0</v>
      </c>
      <c r="G14" s="92">
        <v>0</v>
      </c>
      <c r="H14" s="71">
        <v>136989</v>
      </c>
      <c r="I14" s="67">
        <v>15667</v>
      </c>
      <c r="J14" s="20">
        <v>152656</v>
      </c>
      <c r="K14" s="132" t="s">
        <v>621</v>
      </c>
      <c r="L14" s="89">
        <v>0</v>
      </c>
      <c r="M14" s="154">
        <v>1292.3800000000001</v>
      </c>
      <c r="N14" s="67">
        <v>4038</v>
      </c>
      <c r="O14" s="67">
        <v>156694</v>
      </c>
      <c r="Q14" s="71"/>
      <c r="S14" s="80">
        <v>120043</v>
      </c>
      <c r="T14" s="80">
        <v>36651</v>
      </c>
      <c r="U14" s="93">
        <v>0.30531559524503721</v>
      </c>
      <c r="V14" s="61"/>
      <c r="AC14" s="36"/>
      <c r="AD14" s="36"/>
      <c r="AE14" s="36"/>
      <c r="AF14" s="19"/>
    </row>
    <row r="15" spans="1:32">
      <c r="A15" s="64" t="s">
        <v>597</v>
      </c>
      <c r="B15" s="63" t="s">
        <v>213</v>
      </c>
      <c r="C15" s="63" t="s">
        <v>598</v>
      </c>
      <c r="D15" s="134">
        <v>27.5</v>
      </c>
      <c r="E15" s="67">
        <v>2915</v>
      </c>
      <c r="F15" s="146">
        <v>0</v>
      </c>
      <c r="G15" s="92">
        <v>0</v>
      </c>
      <c r="H15" s="71">
        <v>2915</v>
      </c>
      <c r="I15" s="67">
        <v>333</v>
      </c>
      <c r="J15" s="20">
        <v>3248</v>
      </c>
      <c r="K15" s="132" t="s">
        <v>724</v>
      </c>
      <c r="L15" s="89">
        <v>3248</v>
      </c>
      <c r="M15" s="154">
        <v>0</v>
      </c>
      <c r="N15" s="67">
        <v>0</v>
      </c>
      <c r="O15" s="67">
        <v>0</v>
      </c>
      <c r="Q15" s="71"/>
      <c r="S15" s="80">
        <v>0</v>
      </c>
      <c r="T15" s="80">
        <v>0</v>
      </c>
      <c r="U15" s="93">
        <v>0</v>
      </c>
      <c r="V15" s="61"/>
      <c r="AC15" s="36"/>
      <c r="AD15" s="36"/>
      <c r="AE15" s="36"/>
      <c r="AF15" s="19"/>
    </row>
    <row r="16" spans="1:32">
      <c r="A16" s="64" t="s">
        <v>597</v>
      </c>
      <c r="B16" s="65" t="s">
        <v>666</v>
      </c>
      <c r="C16" s="63" t="s">
        <v>667</v>
      </c>
      <c r="D16" s="134">
        <v>0</v>
      </c>
      <c r="E16" s="67">
        <v>0</v>
      </c>
      <c r="F16" s="146">
        <v>0</v>
      </c>
      <c r="G16" s="92">
        <v>0</v>
      </c>
      <c r="H16" s="71">
        <v>0</v>
      </c>
      <c r="I16" s="67">
        <v>0</v>
      </c>
      <c r="J16" s="20">
        <v>0</v>
      </c>
      <c r="K16" s="132" t="s">
        <v>723</v>
      </c>
      <c r="L16" s="89">
        <v>0</v>
      </c>
      <c r="M16" s="154">
        <v>0</v>
      </c>
      <c r="N16" s="67">
        <v>0</v>
      </c>
      <c r="O16" s="67">
        <v>0</v>
      </c>
      <c r="Q16" s="71"/>
      <c r="S16" s="80">
        <v>0</v>
      </c>
      <c r="T16" s="80">
        <v>0</v>
      </c>
      <c r="U16" s="93">
        <v>0</v>
      </c>
      <c r="V16" s="61"/>
      <c r="AC16" s="36"/>
      <c r="AD16" s="36"/>
      <c r="AE16" s="36"/>
      <c r="AF16" s="19"/>
    </row>
    <row r="17" spans="1:32">
      <c r="A17" s="64" t="s">
        <v>599</v>
      </c>
      <c r="B17" s="63" t="s">
        <v>62</v>
      </c>
      <c r="C17" s="63" t="s">
        <v>63</v>
      </c>
      <c r="D17" s="134">
        <v>598.13</v>
      </c>
      <c r="E17" s="67">
        <v>63400</v>
      </c>
      <c r="F17" s="146">
        <v>0</v>
      </c>
      <c r="G17" s="92">
        <v>0</v>
      </c>
      <c r="H17" s="71">
        <v>63400</v>
      </c>
      <c r="I17" s="67">
        <v>7251</v>
      </c>
      <c r="J17" s="20">
        <v>70651</v>
      </c>
      <c r="K17" s="132" t="s">
        <v>621</v>
      </c>
      <c r="L17" s="89">
        <v>0</v>
      </c>
      <c r="M17" s="154">
        <v>598.13</v>
      </c>
      <c r="N17" s="67">
        <v>1869</v>
      </c>
      <c r="O17" s="67">
        <v>72520</v>
      </c>
      <c r="Q17" s="71"/>
      <c r="S17" s="80">
        <v>47318</v>
      </c>
      <c r="T17" s="80">
        <v>25202</v>
      </c>
      <c r="U17" s="93">
        <v>0.53260915507840567</v>
      </c>
      <c r="V17" s="61"/>
      <c r="AC17" s="36"/>
      <c r="AD17" s="36"/>
      <c r="AE17" s="36"/>
      <c r="AF17" s="19"/>
    </row>
    <row r="18" spans="1:32">
      <c r="A18" s="64" t="s">
        <v>597</v>
      </c>
      <c r="B18" s="63" t="s">
        <v>189</v>
      </c>
      <c r="C18" s="63" t="s">
        <v>190</v>
      </c>
      <c r="D18" s="134">
        <v>1419.25</v>
      </c>
      <c r="E18" s="67">
        <v>150437</v>
      </c>
      <c r="F18" s="146">
        <v>50000</v>
      </c>
      <c r="G18" s="92">
        <v>0</v>
      </c>
      <c r="H18" s="71">
        <v>200437</v>
      </c>
      <c r="I18" s="67">
        <v>17205</v>
      </c>
      <c r="J18" s="20">
        <v>167642</v>
      </c>
      <c r="K18" s="132" t="s">
        <v>621</v>
      </c>
      <c r="L18" s="89">
        <v>0</v>
      </c>
      <c r="M18" s="154">
        <v>1419.25</v>
      </c>
      <c r="N18" s="67">
        <v>4435</v>
      </c>
      <c r="O18" s="67">
        <v>172077</v>
      </c>
      <c r="Q18" s="71"/>
      <c r="S18" s="80">
        <v>133785</v>
      </c>
      <c r="T18" s="80">
        <v>38292</v>
      </c>
      <c r="U18" s="93">
        <v>0.28622042829913669</v>
      </c>
      <c r="V18" s="61"/>
      <c r="AC18" s="36"/>
      <c r="AD18" s="36"/>
      <c r="AE18" s="36"/>
      <c r="AF18" s="19"/>
    </row>
    <row r="19" spans="1:32">
      <c r="A19" s="64" t="s">
        <v>595</v>
      </c>
      <c r="B19" s="63" t="s">
        <v>504</v>
      </c>
      <c r="C19" s="63" t="s">
        <v>505</v>
      </c>
      <c r="D19" s="134">
        <v>524.88</v>
      </c>
      <c r="E19" s="67">
        <v>55636</v>
      </c>
      <c r="F19" s="146">
        <v>0</v>
      </c>
      <c r="G19" s="92">
        <v>0</v>
      </c>
      <c r="H19" s="71">
        <v>55636</v>
      </c>
      <c r="I19" s="67">
        <v>6363</v>
      </c>
      <c r="J19" s="20">
        <v>61999</v>
      </c>
      <c r="K19" s="132" t="s">
        <v>621</v>
      </c>
      <c r="L19" s="89">
        <v>0</v>
      </c>
      <c r="M19" s="154">
        <v>524.88</v>
      </c>
      <c r="N19" s="67">
        <v>1640</v>
      </c>
      <c r="O19" s="67">
        <v>63639</v>
      </c>
      <c r="Q19" s="71"/>
      <c r="S19" s="80">
        <v>53014</v>
      </c>
      <c r="T19" s="80">
        <v>10625</v>
      </c>
      <c r="U19" s="93">
        <v>0.20041875730938996</v>
      </c>
      <c r="V19" s="61"/>
      <c r="AC19" s="36"/>
      <c r="AD19" s="36"/>
      <c r="AE19" s="36"/>
      <c r="AF19" s="19"/>
    </row>
    <row r="20" spans="1:32">
      <c r="A20" s="64" t="s">
        <v>603</v>
      </c>
      <c r="B20" s="63" t="s">
        <v>2</v>
      </c>
      <c r="C20" s="63" t="s">
        <v>3</v>
      </c>
      <c r="D20" s="134">
        <v>0</v>
      </c>
      <c r="E20" s="67">
        <v>0</v>
      </c>
      <c r="F20" s="146">
        <v>0</v>
      </c>
      <c r="G20" s="92">
        <v>0</v>
      </c>
      <c r="H20" s="71">
        <v>0</v>
      </c>
      <c r="I20" s="67">
        <v>0</v>
      </c>
      <c r="J20" s="20">
        <v>0</v>
      </c>
      <c r="K20" s="132" t="s">
        <v>723</v>
      </c>
      <c r="L20" s="89">
        <v>0</v>
      </c>
      <c r="M20" s="154">
        <v>0</v>
      </c>
      <c r="N20" s="67">
        <v>0</v>
      </c>
      <c r="O20" s="67">
        <v>0</v>
      </c>
      <c r="Q20" s="71"/>
      <c r="S20" s="80">
        <v>0</v>
      </c>
      <c r="T20" s="80">
        <v>0</v>
      </c>
      <c r="U20" s="93">
        <v>0</v>
      </c>
      <c r="V20" s="61"/>
      <c r="AC20" s="36"/>
      <c r="AD20" s="36"/>
      <c r="AE20" s="36"/>
      <c r="AF20" s="19"/>
    </row>
    <row r="21" spans="1:32">
      <c r="A21" s="64" t="s">
        <v>597</v>
      </c>
      <c r="B21" s="63" t="s">
        <v>363</v>
      </c>
      <c r="C21" s="63" t="s">
        <v>364</v>
      </c>
      <c r="D21" s="134">
        <v>243.88</v>
      </c>
      <c r="E21" s="67">
        <v>25851</v>
      </c>
      <c r="F21" s="146">
        <v>0</v>
      </c>
      <c r="G21" s="92">
        <v>0</v>
      </c>
      <c r="H21" s="71">
        <v>25851</v>
      </c>
      <c r="I21" s="67">
        <v>2957</v>
      </c>
      <c r="J21" s="20">
        <v>28808</v>
      </c>
      <c r="K21" s="132" t="s">
        <v>621</v>
      </c>
      <c r="L21" s="89">
        <v>0</v>
      </c>
      <c r="M21" s="154">
        <v>243.88</v>
      </c>
      <c r="N21" s="67">
        <v>762</v>
      </c>
      <c r="O21" s="67">
        <v>29570</v>
      </c>
      <c r="Q21" s="71"/>
      <c r="S21" s="80">
        <v>15309</v>
      </c>
      <c r="T21" s="80">
        <v>14261</v>
      </c>
      <c r="U21" s="93">
        <v>0.9315435364818081</v>
      </c>
      <c r="V21" s="61"/>
      <c r="AC21" s="36"/>
      <c r="AD21" s="36"/>
      <c r="AE21" s="36"/>
      <c r="AF21" s="19"/>
    </row>
    <row r="22" spans="1:32">
      <c r="A22" s="64" t="s">
        <v>605</v>
      </c>
      <c r="B22" s="63" t="s">
        <v>234</v>
      </c>
      <c r="C22" s="63" t="s">
        <v>235</v>
      </c>
      <c r="D22" s="134">
        <v>0</v>
      </c>
      <c r="E22" s="67">
        <v>0</v>
      </c>
      <c r="F22" s="146">
        <v>0</v>
      </c>
      <c r="G22" s="92">
        <v>0</v>
      </c>
      <c r="H22" s="71">
        <v>0</v>
      </c>
      <c r="I22" s="67">
        <v>0</v>
      </c>
      <c r="J22" s="20">
        <v>0</v>
      </c>
      <c r="K22" s="132" t="s">
        <v>723</v>
      </c>
      <c r="L22" s="89">
        <v>0</v>
      </c>
      <c r="M22" s="154">
        <v>0</v>
      </c>
      <c r="N22" s="67">
        <v>0</v>
      </c>
      <c r="O22" s="67">
        <v>0</v>
      </c>
      <c r="Q22" s="71"/>
      <c r="S22" s="80">
        <v>0</v>
      </c>
      <c r="T22" s="80">
        <v>0</v>
      </c>
      <c r="U22" s="93">
        <v>0</v>
      </c>
      <c r="V22" s="61"/>
      <c r="AC22" s="36"/>
      <c r="AD22" s="36"/>
      <c r="AE22" s="36"/>
      <c r="AF22" s="19"/>
    </row>
    <row r="23" spans="1:32">
      <c r="A23" s="64" t="s">
        <v>595</v>
      </c>
      <c r="B23" s="63" t="s">
        <v>508</v>
      </c>
      <c r="C23" s="63" t="s">
        <v>509</v>
      </c>
      <c r="D23" s="134">
        <v>102.75</v>
      </c>
      <c r="E23" s="67">
        <v>10891</v>
      </c>
      <c r="F23" s="146">
        <v>0</v>
      </c>
      <c r="G23" s="92">
        <v>0</v>
      </c>
      <c r="H23" s="71">
        <v>10891</v>
      </c>
      <c r="I23" s="67">
        <v>1246</v>
      </c>
      <c r="J23" s="20">
        <v>12137</v>
      </c>
      <c r="K23" s="132" t="s">
        <v>621</v>
      </c>
      <c r="L23" s="89">
        <v>0</v>
      </c>
      <c r="M23" s="154">
        <v>102.75</v>
      </c>
      <c r="N23" s="67">
        <v>321</v>
      </c>
      <c r="O23" s="67">
        <v>12458</v>
      </c>
      <c r="Q23" s="71"/>
      <c r="S23" s="80">
        <v>12672</v>
      </c>
      <c r="T23" s="80">
        <v>-214</v>
      </c>
      <c r="U23" s="93">
        <v>-1.6887626262626264E-2</v>
      </c>
      <c r="V23" s="61"/>
      <c r="AC23" s="36"/>
      <c r="AD23" s="36"/>
      <c r="AE23" s="36"/>
      <c r="AF23" s="19"/>
    </row>
    <row r="24" spans="1:32">
      <c r="A24" s="64" t="s">
        <v>594</v>
      </c>
      <c r="B24" s="63" t="s">
        <v>266</v>
      </c>
      <c r="C24" s="63" t="s">
        <v>267</v>
      </c>
      <c r="D24" s="134">
        <v>0</v>
      </c>
      <c r="E24" s="67">
        <v>0</v>
      </c>
      <c r="F24" s="146">
        <v>0</v>
      </c>
      <c r="G24" s="92">
        <v>0</v>
      </c>
      <c r="H24" s="71">
        <v>0</v>
      </c>
      <c r="I24" s="67">
        <v>0</v>
      </c>
      <c r="J24" s="20">
        <v>0</v>
      </c>
      <c r="K24" s="132" t="s">
        <v>723</v>
      </c>
      <c r="L24" s="89">
        <v>0</v>
      </c>
      <c r="M24" s="154">
        <v>0</v>
      </c>
      <c r="N24" s="67">
        <v>0</v>
      </c>
      <c r="O24" s="67">
        <v>0</v>
      </c>
      <c r="Q24" s="71"/>
      <c r="S24" s="80">
        <v>0</v>
      </c>
      <c r="T24" s="80">
        <v>0</v>
      </c>
      <c r="U24" s="93">
        <v>0</v>
      </c>
      <c r="V24" s="61"/>
      <c r="AC24" s="36"/>
      <c r="AD24" s="36"/>
      <c r="AE24" s="36"/>
      <c r="AF24" s="19"/>
    </row>
    <row r="25" spans="1:32">
      <c r="A25" s="64" t="s">
        <v>600</v>
      </c>
      <c r="B25" s="63" t="s">
        <v>211</v>
      </c>
      <c r="C25" s="63" t="s">
        <v>212</v>
      </c>
      <c r="D25" s="134">
        <v>110.5</v>
      </c>
      <c r="E25" s="67">
        <v>11713</v>
      </c>
      <c r="F25" s="146">
        <v>0</v>
      </c>
      <c r="G25" s="92">
        <v>0</v>
      </c>
      <c r="H25" s="71">
        <v>11713</v>
      </c>
      <c r="I25" s="67">
        <v>1340</v>
      </c>
      <c r="J25" s="20">
        <v>13053</v>
      </c>
      <c r="K25" s="132" t="s">
        <v>621</v>
      </c>
      <c r="L25" s="89">
        <v>0</v>
      </c>
      <c r="M25" s="154">
        <v>110.5</v>
      </c>
      <c r="N25" s="67">
        <v>345</v>
      </c>
      <c r="O25" s="67">
        <v>13398</v>
      </c>
      <c r="Q25" s="71"/>
      <c r="S25" s="80">
        <v>0</v>
      </c>
      <c r="T25" s="80">
        <v>13398</v>
      </c>
      <c r="U25" s="93">
        <v>0</v>
      </c>
      <c r="V25" s="61"/>
      <c r="AC25" s="36"/>
      <c r="AD25" s="36"/>
      <c r="AE25" s="36"/>
      <c r="AF25" s="19"/>
    </row>
    <row r="26" spans="1:32">
      <c r="A26" s="64" t="s">
        <v>601</v>
      </c>
      <c r="B26" s="63" t="s">
        <v>315</v>
      </c>
      <c r="C26" s="63" t="s">
        <v>316</v>
      </c>
      <c r="D26" s="134">
        <v>417.88</v>
      </c>
      <c r="E26" s="67">
        <v>44294</v>
      </c>
      <c r="F26" s="146">
        <v>0</v>
      </c>
      <c r="G26" s="92">
        <v>0</v>
      </c>
      <c r="H26" s="71">
        <v>44294</v>
      </c>
      <c r="I26" s="67">
        <v>5066</v>
      </c>
      <c r="J26" s="20">
        <v>49360</v>
      </c>
      <c r="K26" s="132" t="s">
        <v>621</v>
      </c>
      <c r="L26" s="89">
        <v>0</v>
      </c>
      <c r="M26" s="154">
        <v>417.88</v>
      </c>
      <c r="N26" s="67">
        <v>1306</v>
      </c>
      <c r="O26" s="67">
        <v>50666</v>
      </c>
      <c r="Q26" s="71"/>
      <c r="S26" s="80">
        <v>32371</v>
      </c>
      <c r="T26" s="80">
        <v>18295</v>
      </c>
      <c r="U26" s="93">
        <v>0.56516635259954895</v>
      </c>
      <c r="V26" s="61"/>
      <c r="AC26" s="36"/>
      <c r="AD26" s="36"/>
      <c r="AE26" s="36"/>
      <c r="AF26" s="19"/>
    </row>
    <row r="27" spans="1:32">
      <c r="A27" s="64" t="s">
        <v>601</v>
      </c>
      <c r="B27" s="63" t="s">
        <v>84</v>
      </c>
      <c r="C27" s="63" t="s">
        <v>85</v>
      </c>
      <c r="D27" s="134">
        <v>400.75</v>
      </c>
      <c r="E27" s="67">
        <v>42479</v>
      </c>
      <c r="F27" s="146">
        <v>75000</v>
      </c>
      <c r="G27" s="92">
        <v>0</v>
      </c>
      <c r="H27" s="71">
        <v>117479</v>
      </c>
      <c r="I27" s="67">
        <v>4858</v>
      </c>
      <c r="J27" s="20">
        <v>47337</v>
      </c>
      <c r="K27" s="132" t="s">
        <v>621</v>
      </c>
      <c r="L27" s="89">
        <v>0</v>
      </c>
      <c r="M27" s="154">
        <v>400.75</v>
      </c>
      <c r="N27" s="67">
        <v>1252</v>
      </c>
      <c r="O27" s="67">
        <v>48589</v>
      </c>
      <c r="Q27" s="71"/>
      <c r="S27" s="80">
        <v>30517</v>
      </c>
      <c r="T27" s="80">
        <v>18072</v>
      </c>
      <c r="U27" s="93">
        <v>0.5921945145328833</v>
      </c>
      <c r="V27" s="61"/>
      <c r="AC27" s="36"/>
      <c r="AD27" s="36"/>
      <c r="AE27" s="36"/>
      <c r="AF27" s="19"/>
    </row>
    <row r="28" spans="1:32">
      <c r="A28" s="64" t="s">
        <v>600</v>
      </c>
      <c r="B28" s="63" t="s">
        <v>165</v>
      </c>
      <c r="C28" s="63" t="s">
        <v>166</v>
      </c>
      <c r="D28" s="134">
        <v>0</v>
      </c>
      <c r="E28" s="67">
        <v>0</v>
      </c>
      <c r="F28" s="146">
        <v>0</v>
      </c>
      <c r="G28" s="92">
        <v>0</v>
      </c>
      <c r="H28" s="71">
        <v>0</v>
      </c>
      <c r="I28" s="67">
        <v>0</v>
      </c>
      <c r="J28" s="20">
        <v>0</v>
      </c>
      <c r="K28" s="132" t="s">
        <v>723</v>
      </c>
      <c r="L28" s="89">
        <v>0</v>
      </c>
      <c r="M28" s="154">
        <v>0</v>
      </c>
      <c r="N28" s="67">
        <v>0</v>
      </c>
      <c r="O28" s="67">
        <v>0</v>
      </c>
      <c r="Q28" s="71"/>
      <c r="S28" s="80">
        <v>0</v>
      </c>
      <c r="T28" s="80">
        <v>0</v>
      </c>
      <c r="U28" s="93">
        <v>0</v>
      </c>
      <c r="V28" s="61"/>
      <c r="AC28" s="36"/>
      <c r="AD28" s="36"/>
      <c r="AE28" s="36"/>
      <c r="AF28" s="19"/>
    </row>
    <row r="29" spans="1:32">
      <c r="A29" s="64" t="s">
        <v>595</v>
      </c>
      <c r="B29" s="63" t="s">
        <v>378</v>
      </c>
      <c r="C29" s="63" t="s">
        <v>602</v>
      </c>
      <c r="D29" s="134">
        <v>521.25</v>
      </c>
      <c r="E29" s="67">
        <v>55251</v>
      </c>
      <c r="F29" s="146">
        <v>0</v>
      </c>
      <c r="G29" s="92">
        <v>0</v>
      </c>
      <c r="H29" s="71">
        <v>55251</v>
      </c>
      <c r="I29" s="67">
        <v>6319</v>
      </c>
      <c r="J29" s="20">
        <v>61570</v>
      </c>
      <c r="K29" s="132" t="s">
        <v>621</v>
      </c>
      <c r="L29" s="89">
        <v>0</v>
      </c>
      <c r="M29" s="154">
        <v>521.25</v>
      </c>
      <c r="N29" s="67">
        <v>1629</v>
      </c>
      <c r="O29" s="67">
        <v>63199</v>
      </c>
      <c r="Q29" s="71"/>
      <c r="S29" s="80">
        <v>51770</v>
      </c>
      <c r="T29" s="80">
        <v>11429</v>
      </c>
      <c r="U29" s="93">
        <v>0.22076492176936449</v>
      </c>
      <c r="V29" s="61"/>
      <c r="AC29" s="36"/>
      <c r="AD29" s="36"/>
      <c r="AE29" s="36"/>
      <c r="AF29" s="19"/>
    </row>
    <row r="30" spans="1:32">
      <c r="A30" s="64" t="s">
        <v>599</v>
      </c>
      <c r="B30" s="63" t="s">
        <v>60</v>
      </c>
      <c r="C30" s="63" t="s">
        <v>61</v>
      </c>
      <c r="D30" s="134">
        <v>123.75</v>
      </c>
      <c r="E30" s="67">
        <v>13117</v>
      </c>
      <c r="F30" s="146">
        <v>0</v>
      </c>
      <c r="G30" s="92">
        <v>0</v>
      </c>
      <c r="H30" s="71">
        <v>13117</v>
      </c>
      <c r="I30" s="67">
        <v>1500</v>
      </c>
      <c r="J30" s="20">
        <v>14617</v>
      </c>
      <c r="K30" s="132" t="s">
        <v>621</v>
      </c>
      <c r="L30" s="89">
        <v>0</v>
      </c>
      <c r="M30" s="154">
        <v>123.75</v>
      </c>
      <c r="N30" s="67">
        <v>387</v>
      </c>
      <c r="O30" s="67">
        <v>15004</v>
      </c>
      <c r="Q30" s="71"/>
      <c r="S30" s="80">
        <v>9315</v>
      </c>
      <c r="T30" s="80">
        <v>5689</v>
      </c>
      <c r="U30" s="93">
        <v>0.61073537305421366</v>
      </c>
      <c r="V30" s="61"/>
      <c r="AC30" s="36"/>
      <c r="AD30" s="36"/>
      <c r="AE30" s="36"/>
      <c r="AF30" s="19"/>
    </row>
    <row r="31" spans="1:32">
      <c r="A31" s="64" t="s">
        <v>600</v>
      </c>
      <c r="B31" s="63" t="s">
        <v>45</v>
      </c>
      <c r="C31" s="63" t="s">
        <v>46</v>
      </c>
      <c r="D31" s="134">
        <v>182.88</v>
      </c>
      <c r="E31" s="67">
        <v>19385</v>
      </c>
      <c r="F31" s="146">
        <v>0</v>
      </c>
      <c r="G31" s="92">
        <v>0</v>
      </c>
      <c r="H31" s="71">
        <v>19385</v>
      </c>
      <c r="I31" s="67">
        <v>2217</v>
      </c>
      <c r="J31" s="20">
        <v>21602</v>
      </c>
      <c r="K31" s="132" t="s">
        <v>621</v>
      </c>
      <c r="L31" s="89">
        <v>0</v>
      </c>
      <c r="M31" s="154">
        <v>182.88</v>
      </c>
      <c r="N31" s="67">
        <v>571</v>
      </c>
      <c r="O31" s="67">
        <v>22173</v>
      </c>
      <c r="Q31" s="71"/>
      <c r="S31" s="80">
        <v>11952</v>
      </c>
      <c r="T31" s="80">
        <v>10221</v>
      </c>
      <c r="U31" s="93">
        <v>0.85517068273092367</v>
      </c>
      <c r="V31" s="61"/>
      <c r="AC31" s="36"/>
      <c r="AD31" s="36"/>
      <c r="AE31" s="36"/>
      <c r="AF31" s="19"/>
    </row>
    <row r="32" spans="1:32">
      <c r="A32" s="64" t="s">
        <v>597</v>
      </c>
      <c r="B32" s="63" t="s">
        <v>347</v>
      </c>
      <c r="C32" s="63" t="s">
        <v>348</v>
      </c>
      <c r="D32" s="134">
        <v>0</v>
      </c>
      <c r="E32" s="67">
        <v>0</v>
      </c>
      <c r="F32" s="146">
        <v>0</v>
      </c>
      <c r="G32" s="92">
        <v>0</v>
      </c>
      <c r="H32" s="71">
        <v>0</v>
      </c>
      <c r="I32" s="67">
        <v>0</v>
      </c>
      <c r="J32" s="20">
        <v>0</v>
      </c>
      <c r="K32" s="132" t="s">
        <v>723</v>
      </c>
      <c r="L32" s="89">
        <v>0</v>
      </c>
      <c r="M32" s="154">
        <v>0</v>
      </c>
      <c r="N32" s="67">
        <v>0</v>
      </c>
      <c r="O32" s="67">
        <v>0</v>
      </c>
      <c r="Q32" s="71"/>
      <c r="S32" s="80">
        <v>0</v>
      </c>
      <c r="T32" s="80">
        <v>0</v>
      </c>
      <c r="U32" s="93">
        <v>0</v>
      </c>
      <c r="V32" s="61"/>
      <c r="AC32" s="36"/>
      <c r="AD32" s="36"/>
      <c r="AE32" s="36"/>
      <c r="AF32" s="19"/>
    </row>
    <row r="33" spans="1:32">
      <c r="A33" s="64" t="s">
        <v>601</v>
      </c>
      <c r="B33" s="63" t="s">
        <v>35</v>
      </c>
      <c r="C33" s="63" t="s">
        <v>36</v>
      </c>
      <c r="D33" s="134">
        <v>160</v>
      </c>
      <c r="E33" s="67">
        <v>16960</v>
      </c>
      <c r="F33" s="146">
        <v>0</v>
      </c>
      <c r="G33" s="92">
        <v>0</v>
      </c>
      <c r="H33" s="71">
        <v>16960</v>
      </c>
      <c r="I33" s="67">
        <v>1940</v>
      </c>
      <c r="J33" s="20">
        <v>18900</v>
      </c>
      <c r="K33" s="132" t="s">
        <v>621</v>
      </c>
      <c r="L33" s="89">
        <v>0</v>
      </c>
      <c r="M33" s="154">
        <v>160</v>
      </c>
      <c r="N33" s="67">
        <v>500</v>
      </c>
      <c r="O33" s="67">
        <v>19400</v>
      </c>
      <c r="Q33" s="71"/>
      <c r="S33" s="80">
        <v>19549</v>
      </c>
      <c r="T33" s="80">
        <v>-149</v>
      </c>
      <c r="U33" s="93">
        <v>-7.6218732415980353E-3</v>
      </c>
      <c r="V33" s="61"/>
      <c r="AC33" s="36"/>
      <c r="AD33" s="36"/>
      <c r="AE33" s="36"/>
      <c r="AF33" s="19"/>
    </row>
    <row r="34" spans="1:32">
      <c r="A34" s="64" t="s">
        <v>601</v>
      </c>
      <c r="B34" s="63" t="s">
        <v>33</v>
      </c>
      <c r="C34" s="63" t="s">
        <v>34</v>
      </c>
      <c r="D34" s="134">
        <v>212</v>
      </c>
      <c r="E34" s="67">
        <v>22471</v>
      </c>
      <c r="F34" s="146">
        <v>0</v>
      </c>
      <c r="G34" s="92">
        <v>0</v>
      </c>
      <c r="H34" s="71">
        <v>22471</v>
      </c>
      <c r="I34" s="67">
        <v>2570</v>
      </c>
      <c r="J34" s="20">
        <v>25041</v>
      </c>
      <c r="K34" s="132" t="s">
        <v>621</v>
      </c>
      <c r="L34" s="89">
        <v>0</v>
      </c>
      <c r="M34" s="154">
        <v>212</v>
      </c>
      <c r="N34" s="67">
        <v>662</v>
      </c>
      <c r="O34" s="67">
        <v>25703</v>
      </c>
      <c r="Q34" s="71"/>
      <c r="S34" s="80">
        <v>17547</v>
      </c>
      <c r="T34" s="80">
        <v>8156</v>
      </c>
      <c r="U34" s="93">
        <v>0.46480879922493873</v>
      </c>
      <c r="V34" s="61"/>
      <c r="AC34" s="36"/>
      <c r="AD34" s="36"/>
      <c r="AE34" s="36"/>
      <c r="AF34" s="19"/>
    </row>
    <row r="35" spans="1:32">
      <c r="A35" s="64" t="s">
        <v>599</v>
      </c>
      <c r="B35" s="63" t="s">
        <v>74</v>
      </c>
      <c r="C35" s="63" t="s">
        <v>75</v>
      </c>
      <c r="D35" s="134">
        <v>10.5</v>
      </c>
      <c r="E35" s="67">
        <v>1113</v>
      </c>
      <c r="F35" s="146">
        <v>0</v>
      </c>
      <c r="G35" s="92">
        <v>0</v>
      </c>
      <c r="H35" s="71">
        <v>1113</v>
      </c>
      <c r="I35" s="67">
        <v>127</v>
      </c>
      <c r="J35" s="20">
        <v>1240</v>
      </c>
      <c r="K35" s="132" t="s">
        <v>724</v>
      </c>
      <c r="L35" s="89">
        <v>1240</v>
      </c>
      <c r="M35" s="154">
        <v>0</v>
      </c>
      <c r="N35" s="67">
        <v>0</v>
      </c>
      <c r="O35" s="67">
        <v>0</v>
      </c>
      <c r="Q35" s="71"/>
      <c r="S35" s="80">
        <v>0</v>
      </c>
      <c r="T35" s="80">
        <v>0</v>
      </c>
      <c r="U35" s="93">
        <v>0</v>
      </c>
      <c r="V35" s="61"/>
      <c r="AC35" s="36"/>
      <c r="AD35" s="36"/>
      <c r="AE35" s="36"/>
      <c r="AF35" s="19"/>
    </row>
    <row r="36" spans="1:32">
      <c r="A36" s="64" t="s">
        <v>599</v>
      </c>
      <c r="B36" s="63" t="s">
        <v>236</v>
      </c>
      <c r="C36" s="63" t="s">
        <v>237</v>
      </c>
      <c r="D36" s="134">
        <v>0</v>
      </c>
      <c r="E36" s="67">
        <v>0</v>
      </c>
      <c r="F36" s="146">
        <v>0</v>
      </c>
      <c r="G36" s="92">
        <v>0</v>
      </c>
      <c r="H36" s="71">
        <v>0</v>
      </c>
      <c r="I36" s="67">
        <v>0</v>
      </c>
      <c r="J36" s="20">
        <v>0</v>
      </c>
      <c r="K36" s="132" t="s">
        <v>723</v>
      </c>
      <c r="L36" s="89">
        <v>0</v>
      </c>
      <c r="M36" s="154">
        <v>0</v>
      </c>
      <c r="N36" s="67">
        <v>0</v>
      </c>
      <c r="O36" s="67">
        <v>0</v>
      </c>
      <c r="Q36" s="71"/>
      <c r="S36" s="80">
        <v>0</v>
      </c>
      <c r="T36" s="80">
        <v>0</v>
      </c>
      <c r="U36" s="93">
        <v>0</v>
      </c>
      <c r="V36" s="61"/>
      <c r="AC36" s="36"/>
      <c r="AD36" s="36"/>
      <c r="AE36" s="36"/>
      <c r="AF36" s="19"/>
    </row>
    <row r="37" spans="1:32">
      <c r="A37" s="64" t="s">
        <v>600</v>
      </c>
      <c r="B37" s="63" t="s">
        <v>216</v>
      </c>
      <c r="C37" s="63" t="s">
        <v>217</v>
      </c>
      <c r="D37" s="134">
        <v>208</v>
      </c>
      <c r="E37" s="67">
        <v>22047</v>
      </c>
      <c r="F37" s="146">
        <v>0</v>
      </c>
      <c r="G37" s="92">
        <v>0</v>
      </c>
      <c r="H37" s="71">
        <v>22047</v>
      </c>
      <c r="I37" s="67">
        <v>2522</v>
      </c>
      <c r="J37" s="20">
        <v>24569</v>
      </c>
      <c r="K37" s="132" t="s">
        <v>621</v>
      </c>
      <c r="L37" s="89">
        <v>0</v>
      </c>
      <c r="M37" s="154">
        <v>208</v>
      </c>
      <c r="N37" s="67">
        <v>650</v>
      </c>
      <c r="O37" s="67">
        <v>25219</v>
      </c>
      <c r="Q37" s="71"/>
      <c r="S37" s="80">
        <v>22522</v>
      </c>
      <c r="T37" s="80">
        <v>2697</v>
      </c>
      <c r="U37" s="93">
        <v>0.11974957819021401</v>
      </c>
      <c r="V37" s="61"/>
      <c r="AC37" s="36"/>
      <c r="AD37" s="36"/>
      <c r="AE37" s="36"/>
      <c r="AF37" s="19"/>
    </row>
    <row r="38" spans="1:32">
      <c r="A38" s="64" t="s">
        <v>603</v>
      </c>
      <c r="B38" s="63" t="s">
        <v>434</v>
      </c>
      <c r="C38" s="63" t="s">
        <v>435</v>
      </c>
      <c r="D38" s="134">
        <v>182.13</v>
      </c>
      <c r="E38" s="67">
        <v>19305</v>
      </c>
      <c r="F38" s="146">
        <v>25000</v>
      </c>
      <c r="G38" s="92">
        <v>0</v>
      </c>
      <c r="H38" s="71">
        <v>44305</v>
      </c>
      <c r="I38" s="67">
        <v>2208</v>
      </c>
      <c r="J38" s="20">
        <v>21513</v>
      </c>
      <c r="K38" s="132" t="s">
        <v>621</v>
      </c>
      <c r="L38" s="89">
        <v>0</v>
      </c>
      <c r="M38" s="154">
        <v>182.13</v>
      </c>
      <c r="N38" s="67">
        <v>569</v>
      </c>
      <c r="O38" s="67">
        <v>22082</v>
      </c>
      <c r="Q38" s="71"/>
      <c r="S38" s="80">
        <v>15011</v>
      </c>
      <c r="T38" s="80">
        <v>7071</v>
      </c>
      <c r="U38" s="93">
        <v>0.47105455998934115</v>
      </c>
      <c r="V38" s="61"/>
      <c r="AC38" s="36"/>
      <c r="AD38" s="36"/>
      <c r="AE38" s="36"/>
      <c r="AF38" s="19"/>
    </row>
    <row r="39" spans="1:32">
      <c r="A39" s="64" t="s">
        <v>594</v>
      </c>
      <c r="B39" s="63" t="s">
        <v>278</v>
      </c>
      <c r="C39" s="63" t="s">
        <v>279</v>
      </c>
      <c r="D39" s="134">
        <v>226.38</v>
      </c>
      <c r="E39" s="67">
        <v>23996</v>
      </c>
      <c r="F39" s="146">
        <v>10000</v>
      </c>
      <c r="G39" s="92">
        <v>0</v>
      </c>
      <c r="H39" s="71">
        <v>33996</v>
      </c>
      <c r="I39" s="67">
        <v>2744</v>
      </c>
      <c r="J39" s="20">
        <v>26740</v>
      </c>
      <c r="K39" s="132" t="s">
        <v>621</v>
      </c>
      <c r="L39" s="89">
        <v>0</v>
      </c>
      <c r="M39" s="154">
        <v>226.38</v>
      </c>
      <c r="N39" s="67">
        <v>707</v>
      </c>
      <c r="O39" s="67">
        <v>27447</v>
      </c>
      <c r="Q39" s="71"/>
      <c r="S39" s="80">
        <v>19822</v>
      </c>
      <c r="T39" s="80">
        <v>7625</v>
      </c>
      <c r="U39" s="93">
        <v>0.38467359499545961</v>
      </c>
      <c r="V39" s="61"/>
      <c r="AC39" s="36"/>
      <c r="AD39" s="36"/>
      <c r="AE39" s="36"/>
      <c r="AF39" s="19"/>
    </row>
    <row r="40" spans="1:32">
      <c r="A40" s="64" t="s">
        <v>594</v>
      </c>
      <c r="B40" s="63" t="s">
        <v>274</v>
      </c>
      <c r="C40" s="63" t="s">
        <v>275</v>
      </c>
      <c r="D40" s="134">
        <v>68.5</v>
      </c>
      <c r="E40" s="67">
        <v>7261</v>
      </c>
      <c r="F40" s="146">
        <v>0</v>
      </c>
      <c r="G40" s="92">
        <v>0</v>
      </c>
      <c r="H40" s="71">
        <v>7261</v>
      </c>
      <c r="I40" s="67">
        <v>830</v>
      </c>
      <c r="J40" s="20">
        <v>8091</v>
      </c>
      <c r="K40" s="132" t="s">
        <v>724</v>
      </c>
      <c r="L40" s="89">
        <v>8091</v>
      </c>
      <c r="M40" s="154">
        <v>0</v>
      </c>
      <c r="N40" s="67">
        <v>0</v>
      </c>
      <c r="O40" s="67">
        <v>0</v>
      </c>
      <c r="Q40" s="71"/>
      <c r="S40" s="80">
        <v>0</v>
      </c>
      <c r="T40" s="80">
        <v>0</v>
      </c>
      <c r="U40" s="93">
        <v>0</v>
      </c>
      <c r="V40" s="61"/>
      <c r="AC40" s="36"/>
      <c r="AD40" s="36"/>
      <c r="AE40" s="36"/>
      <c r="AF40" s="19"/>
    </row>
    <row r="41" spans="1:32">
      <c r="A41" s="64" t="s">
        <v>603</v>
      </c>
      <c r="B41" s="63" t="s">
        <v>438</v>
      </c>
      <c r="C41" s="63" t="s">
        <v>439</v>
      </c>
      <c r="D41" s="134">
        <v>39.380000000000003</v>
      </c>
      <c r="E41" s="67">
        <v>4174</v>
      </c>
      <c r="F41" s="146">
        <v>0</v>
      </c>
      <c r="G41" s="92">
        <v>0</v>
      </c>
      <c r="H41" s="71">
        <v>4174</v>
      </c>
      <c r="I41" s="67">
        <v>477</v>
      </c>
      <c r="J41" s="20">
        <v>4651</v>
      </c>
      <c r="K41" s="132" t="s">
        <v>724</v>
      </c>
      <c r="L41" s="89">
        <v>4651</v>
      </c>
      <c r="M41" s="154">
        <v>0</v>
      </c>
      <c r="N41" s="67">
        <v>0</v>
      </c>
      <c r="O41" s="67">
        <v>0</v>
      </c>
      <c r="Q41" s="71"/>
      <c r="S41" s="80">
        <v>0</v>
      </c>
      <c r="T41" s="80">
        <v>0</v>
      </c>
      <c r="U41" s="93">
        <v>0</v>
      </c>
      <c r="V41" s="61"/>
      <c r="AC41" s="36"/>
      <c r="AD41" s="36"/>
      <c r="AE41" s="36"/>
      <c r="AF41" s="19"/>
    </row>
    <row r="42" spans="1:32">
      <c r="A42" s="64" t="s">
        <v>603</v>
      </c>
      <c r="B42" s="63" t="s">
        <v>450</v>
      </c>
      <c r="C42" s="63" t="s">
        <v>451</v>
      </c>
      <c r="D42" s="134">
        <v>2</v>
      </c>
      <c r="E42" s="67">
        <v>212</v>
      </c>
      <c r="F42" s="146">
        <v>0</v>
      </c>
      <c r="G42" s="92">
        <v>0</v>
      </c>
      <c r="H42" s="71">
        <v>212</v>
      </c>
      <c r="I42" s="67">
        <v>24</v>
      </c>
      <c r="J42" s="20">
        <v>236</v>
      </c>
      <c r="K42" s="132" t="s">
        <v>724</v>
      </c>
      <c r="L42" s="89">
        <v>236</v>
      </c>
      <c r="M42" s="154">
        <v>0</v>
      </c>
      <c r="N42" s="67">
        <v>0</v>
      </c>
      <c r="O42" s="67">
        <v>0</v>
      </c>
      <c r="Q42" s="71"/>
      <c r="S42" s="80">
        <v>0</v>
      </c>
      <c r="T42" s="80">
        <v>0</v>
      </c>
      <c r="U42" s="93">
        <v>0</v>
      </c>
      <c r="V42" s="61"/>
      <c r="AC42" s="36"/>
      <c r="AD42" s="36"/>
      <c r="AE42" s="36"/>
      <c r="AF42" s="19"/>
    </row>
    <row r="43" spans="1:32">
      <c r="A43" s="64" t="s">
        <v>600</v>
      </c>
      <c r="B43" s="63" t="s">
        <v>169</v>
      </c>
      <c r="C43" s="63" t="s">
        <v>170</v>
      </c>
      <c r="D43" s="134">
        <v>4</v>
      </c>
      <c r="E43" s="67">
        <v>424</v>
      </c>
      <c r="F43" s="146">
        <v>0</v>
      </c>
      <c r="G43" s="92">
        <v>0</v>
      </c>
      <c r="H43" s="71">
        <v>424</v>
      </c>
      <c r="I43" s="67">
        <v>48</v>
      </c>
      <c r="J43" s="20">
        <v>472</v>
      </c>
      <c r="K43" s="132" t="s">
        <v>724</v>
      </c>
      <c r="L43" s="89">
        <v>472</v>
      </c>
      <c r="M43" s="154">
        <v>0</v>
      </c>
      <c r="N43" s="67">
        <v>0</v>
      </c>
      <c r="O43" s="67">
        <v>0</v>
      </c>
      <c r="Q43" s="71"/>
      <c r="S43" s="80">
        <v>0</v>
      </c>
      <c r="T43" s="80">
        <v>0</v>
      </c>
      <c r="U43" s="93">
        <v>0</v>
      </c>
      <c r="V43" s="61"/>
      <c r="AC43" s="36"/>
      <c r="AD43" s="36"/>
      <c r="AE43" s="36"/>
      <c r="AF43" s="19"/>
    </row>
    <row r="44" spans="1:32">
      <c r="A44" s="64" t="s">
        <v>596</v>
      </c>
      <c r="B44" s="63" t="s">
        <v>10</v>
      </c>
      <c r="C44" s="63" t="s">
        <v>11</v>
      </c>
      <c r="D44" s="134">
        <v>21.13</v>
      </c>
      <c r="E44" s="67">
        <v>2240</v>
      </c>
      <c r="F44" s="146">
        <v>0</v>
      </c>
      <c r="G44" s="92">
        <v>0</v>
      </c>
      <c r="H44" s="71">
        <v>2240</v>
      </c>
      <c r="I44" s="67">
        <v>256</v>
      </c>
      <c r="J44" s="20">
        <v>2496</v>
      </c>
      <c r="K44" s="132" t="s">
        <v>621</v>
      </c>
      <c r="L44" s="89">
        <v>0</v>
      </c>
      <c r="M44" s="154">
        <v>21.13</v>
      </c>
      <c r="N44" s="67">
        <v>66</v>
      </c>
      <c r="O44" s="67">
        <v>2562</v>
      </c>
      <c r="Q44" s="71"/>
      <c r="S44" s="80">
        <v>1778</v>
      </c>
      <c r="T44" s="80">
        <v>784</v>
      </c>
      <c r="U44" s="93">
        <v>0.44094488188976377</v>
      </c>
      <c r="V44" s="61"/>
      <c r="AC44" s="36"/>
      <c r="AD44" s="36"/>
      <c r="AE44" s="36"/>
      <c r="AF44" s="19"/>
    </row>
    <row r="45" spans="1:32">
      <c r="A45" s="64" t="s">
        <v>605</v>
      </c>
      <c r="B45" s="63" t="s">
        <v>230</v>
      </c>
      <c r="C45" s="63" t="s">
        <v>231</v>
      </c>
      <c r="D45" s="134">
        <v>11</v>
      </c>
      <c r="E45" s="67">
        <v>1166</v>
      </c>
      <c r="F45" s="146">
        <v>0</v>
      </c>
      <c r="G45" s="92">
        <v>0</v>
      </c>
      <c r="H45" s="71">
        <v>1166</v>
      </c>
      <c r="I45" s="67">
        <v>133</v>
      </c>
      <c r="J45" s="20">
        <v>1299</v>
      </c>
      <c r="K45" s="132" t="s">
        <v>621</v>
      </c>
      <c r="L45" s="89">
        <v>0</v>
      </c>
      <c r="M45" s="154">
        <v>11</v>
      </c>
      <c r="N45" s="67">
        <v>34</v>
      </c>
      <c r="O45" s="67">
        <v>1333</v>
      </c>
      <c r="Q45" s="71"/>
      <c r="S45" s="80">
        <v>498</v>
      </c>
      <c r="T45" s="80">
        <v>835</v>
      </c>
      <c r="U45" s="93">
        <v>1.6767068273092369</v>
      </c>
      <c r="V45" s="61"/>
      <c r="AC45" s="36"/>
      <c r="AD45" s="36"/>
      <c r="AE45" s="36"/>
      <c r="AF45" s="19"/>
    </row>
    <row r="46" spans="1:32">
      <c r="A46" s="64" t="s">
        <v>597</v>
      </c>
      <c r="B46" s="63" t="s">
        <v>357</v>
      </c>
      <c r="C46" s="63" t="s">
        <v>358</v>
      </c>
      <c r="D46" s="134">
        <v>1008.75</v>
      </c>
      <c r="E46" s="67">
        <v>106925</v>
      </c>
      <c r="F46" s="146">
        <v>0</v>
      </c>
      <c r="G46" s="92">
        <v>0</v>
      </c>
      <c r="H46" s="71">
        <v>106925</v>
      </c>
      <c r="I46" s="67">
        <v>12229</v>
      </c>
      <c r="J46" s="20">
        <v>119154</v>
      </c>
      <c r="K46" s="132" t="s">
        <v>621</v>
      </c>
      <c r="L46" s="89">
        <v>0</v>
      </c>
      <c r="M46" s="154">
        <v>1008.75</v>
      </c>
      <c r="N46" s="67">
        <v>3152</v>
      </c>
      <c r="O46" s="67">
        <v>122306</v>
      </c>
      <c r="Q46" s="71"/>
      <c r="S46" s="80">
        <v>89999</v>
      </c>
      <c r="T46" s="80">
        <v>32307</v>
      </c>
      <c r="U46" s="93">
        <v>0.35897065522950256</v>
      </c>
      <c r="V46" s="61"/>
      <c r="AC46" s="36"/>
      <c r="AD46" s="36"/>
      <c r="AE46" s="36"/>
      <c r="AF46" s="19"/>
    </row>
    <row r="47" spans="1:32">
      <c r="A47" s="64" t="s">
        <v>597</v>
      </c>
      <c r="B47" s="65" t="s">
        <v>668</v>
      </c>
      <c r="C47" s="63" t="s">
        <v>669</v>
      </c>
      <c r="D47" s="134">
        <v>0</v>
      </c>
      <c r="E47" s="67">
        <v>0</v>
      </c>
      <c r="F47" s="146">
        <v>0</v>
      </c>
      <c r="G47" s="92">
        <v>0</v>
      </c>
      <c r="H47" s="71">
        <v>0</v>
      </c>
      <c r="I47" s="67">
        <v>0</v>
      </c>
      <c r="J47" s="20">
        <v>0</v>
      </c>
      <c r="K47" s="132" t="s">
        <v>723</v>
      </c>
      <c r="L47" s="89">
        <v>0</v>
      </c>
      <c r="M47" s="154">
        <v>0</v>
      </c>
      <c r="N47" s="67">
        <v>0</v>
      </c>
      <c r="O47" s="67">
        <v>0</v>
      </c>
      <c r="Q47" s="71"/>
      <c r="S47" s="80">
        <v>0</v>
      </c>
      <c r="T47" s="80">
        <v>0</v>
      </c>
      <c r="U47" s="93">
        <v>0</v>
      </c>
      <c r="V47" s="61"/>
      <c r="AC47" s="36"/>
      <c r="AD47" s="36"/>
      <c r="AE47" s="36"/>
      <c r="AF47" s="19"/>
    </row>
    <row r="48" spans="1:32">
      <c r="A48" s="64" t="s">
        <v>603</v>
      </c>
      <c r="B48" s="63" t="s">
        <v>525</v>
      </c>
      <c r="C48" s="63" t="s">
        <v>526</v>
      </c>
      <c r="D48" s="134">
        <v>0</v>
      </c>
      <c r="E48" s="67">
        <v>0</v>
      </c>
      <c r="F48" s="146">
        <v>0</v>
      </c>
      <c r="G48" s="92">
        <v>0</v>
      </c>
      <c r="H48" s="71">
        <v>0</v>
      </c>
      <c r="I48" s="67">
        <v>0</v>
      </c>
      <c r="J48" s="20">
        <v>0</v>
      </c>
      <c r="K48" s="132" t="s">
        <v>723</v>
      </c>
      <c r="L48" s="89">
        <v>0</v>
      </c>
      <c r="M48" s="154">
        <v>0</v>
      </c>
      <c r="N48" s="67">
        <v>0</v>
      </c>
      <c r="O48" s="67">
        <v>0</v>
      </c>
      <c r="Q48" s="71"/>
      <c r="S48" s="80">
        <v>0</v>
      </c>
      <c r="T48" s="80">
        <v>0</v>
      </c>
      <c r="U48" s="93">
        <v>0</v>
      </c>
      <c r="V48" s="61"/>
      <c r="AC48" s="36"/>
      <c r="AD48" s="36"/>
      <c r="AE48" s="36"/>
      <c r="AF48" s="19"/>
    </row>
    <row r="49" spans="1:32">
      <c r="A49" s="64" t="s">
        <v>596</v>
      </c>
      <c r="B49" s="63" t="s">
        <v>494</v>
      </c>
      <c r="C49" s="63" t="s">
        <v>495</v>
      </c>
      <c r="D49" s="134">
        <v>164.5</v>
      </c>
      <c r="E49" s="67">
        <v>17437</v>
      </c>
      <c r="F49" s="146">
        <v>10000</v>
      </c>
      <c r="G49" s="92">
        <v>0</v>
      </c>
      <c r="H49" s="71">
        <v>27437</v>
      </c>
      <c r="I49" s="67">
        <v>1994</v>
      </c>
      <c r="J49" s="20">
        <v>19431</v>
      </c>
      <c r="K49" s="132" t="s">
        <v>621</v>
      </c>
      <c r="L49" s="89">
        <v>0</v>
      </c>
      <c r="M49" s="154">
        <v>164.5</v>
      </c>
      <c r="N49" s="67">
        <v>514</v>
      </c>
      <c r="O49" s="67">
        <v>19945</v>
      </c>
      <c r="Q49" s="71"/>
      <c r="S49" s="80">
        <v>18244</v>
      </c>
      <c r="T49" s="80">
        <v>1701</v>
      </c>
      <c r="U49" s="93">
        <v>9.3236132427099314E-2</v>
      </c>
      <c r="V49" s="61"/>
      <c r="AC49" s="36"/>
      <c r="AD49" s="36"/>
      <c r="AE49" s="36"/>
      <c r="AF49" s="19"/>
    </row>
    <row r="50" spans="1:32">
      <c r="A50" s="64" t="s">
        <v>603</v>
      </c>
      <c r="B50" s="63" t="s">
        <v>533</v>
      </c>
      <c r="C50" s="63" t="s">
        <v>534</v>
      </c>
      <c r="D50" s="134">
        <v>0</v>
      </c>
      <c r="E50" s="67">
        <v>0</v>
      </c>
      <c r="F50" s="146">
        <v>0</v>
      </c>
      <c r="G50" s="92">
        <v>0</v>
      </c>
      <c r="H50" s="71">
        <v>0</v>
      </c>
      <c r="I50" s="67">
        <v>0</v>
      </c>
      <c r="J50" s="20">
        <v>0</v>
      </c>
      <c r="K50" s="132" t="s">
        <v>723</v>
      </c>
      <c r="L50" s="89">
        <v>0</v>
      </c>
      <c r="M50" s="154">
        <v>0</v>
      </c>
      <c r="N50" s="67">
        <v>0</v>
      </c>
      <c r="O50" s="67">
        <v>0</v>
      </c>
      <c r="Q50" s="71"/>
      <c r="S50" s="80">
        <v>0</v>
      </c>
      <c r="T50" s="80">
        <v>0</v>
      </c>
      <c r="U50" s="93">
        <v>0</v>
      </c>
      <c r="V50" s="61"/>
      <c r="AC50" s="36"/>
      <c r="AD50" s="36"/>
      <c r="AE50" s="36"/>
      <c r="AF50" s="19"/>
    </row>
    <row r="51" spans="1:32">
      <c r="A51" s="64" t="s">
        <v>603</v>
      </c>
      <c r="B51" s="63" t="s">
        <v>464</v>
      </c>
      <c r="C51" s="63" t="s">
        <v>465</v>
      </c>
      <c r="D51" s="134">
        <v>0</v>
      </c>
      <c r="E51" s="67">
        <v>0</v>
      </c>
      <c r="F51" s="146">
        <v>0</v>
      </c>
      <c r="G51" s="92">
        <v>0</v>
      </c>
      <c r="H51" s="71">
        <v>0</v>
      </c>
      <c r="I51" s="67">
        <v>0</v>
      </c>
      <c r="J51" s="20">
        <v>0</v>
      </c>
      <c r="K51" s="132" t="s">
        <v>723</v>
      </c>
      <c r="L51" s="89">
        <v>0</v>
      </c>
      <c r="M51" s="154">
        <v>0</v>
      </c>
      <c r="N51" s="67">
        <v>0</v>
      </c>
      <c r="O51" s="67">
        <v>0</v>
      </c>
      <c r="Q51" s="71"/>
      <c r="S51" s="80">
        <v>0</v>
      </c>
      <c r="T51" s="80">
        <v>0</v>
      </c>
      <c r="U51" s="93">
        <v>0</v>
      </c>
      <c r="V51" s="61"/>
      <c r="AC51" s="36"/>
      <c r="AD51" s="36"/>
      <c r="AE51" s="36"/>
      <c r="AF51" s="19"/>
    </row>
    <row r="52" spans="1:32">
      <c r="A52" s="64" t="s">
        <v>596</v>
      </c>
      <c r="B52" s="63" t="s">
        <v>498</v>
      </c>
      <c r="C52" s="63" t="s">
        <v>499</v>
      </c>
      <c r="D52" s="134">
        <v>80.38</v>
      </c>
      <c r="E52" s="67">
        <v>8520</v>
      </c>
      <c r="F52" s="146">
        <v>0</v>
      </c>
      <c r="G52" s="92">
        <v>0</v>
      </c>
      <c r="H52" s="71">
        <v>8520</v>
      </c>
      <c r="I52" s="67">
        <v>974</v>
      </c>
      <c r="J52" s="20">
        <v>9494</v>
      </c>
      <c r="K52" s="132" t="s">
        <v>621</v>
      </c>
      <c r="L52" s="89">
        <v>0</v>
      </c>
      <c r="M52" s="154">
        <v>80.38</v>
      </c>
      <c r="N52" s="67">
        <v>251</v>
      </c>
      <c r="O52" s="67">
        <v>9745</v>
      </c>
      <c r="Q52" s="71"/>
      <c r="S52" s="80">
        <v>7412</v>
      </c>
      <c r="T52" s="80">
        <v>2333</v>
      </c>
      <c r="U52" s="93">
        <v>0.31475984889368591</v>
      </c>
      <c r="V52" s="61"/>
      <c r="AC52" s="36"/>
      <c r="AD52" s="36"/>
      <c r="AE52" s="36"/>
      <c r="AF52" s="19"/>
    </row>
    <row r="53" spans="1:32">
      <c r="A53" s="64" t="s">
        <v>603</v>
      </c>
      <c r="B53" s="63" t="s">
        <v>456</v>
      </c>
      <c r="C53" s="63" t="s">
        <v>457</v>
      </c>
      <c r="D53" s="134">
        <v>49.25</v>
      </c>
      <c r="E53" s="67">
        <v>5220</v>
      </c>
      <c r="F53" s="146">
        <v>0</v>
      </c>
      <c r="G53" s="92">
        <v>0</v>
      </c>
      <c r="H53" s="71">
        <v>5220</v>
      </c>
      <c r="I53" s="67">
        <v>597</v>
      </c>
      <c r="J53" s="20">
        <v>5817</v>
      </c>
      <c r="K53" s="132" t="s">
        <v>644</v>
      </c>
      <c r="L53" s="89">
        <v>5817</v>
      </c>
      <c r="M53" s="154">
        <v>0</v>
      </c>
      <c r="N53" s="67">
        <v>0</v>
      </c>
      <c r="O53" s="67">
        <v>0</v>
      </c>
      <c r="Q53" s="71"/>
      <c r="S53" s="80">
        <v>0</v>
      </c>
      <c r="T53" s="80">
        <v>0</v>
      </c>
      <c r="U53" s="93">
        <v>0</v>
      </c>
      <c r="V53" s="61"/>
      <c r="AC53" s="36"/>
      <c r="AD53" s="36"/>
      <c r="AE53" s="36"/>
      <c r="AF53" s="19"/>
    </row>
    <row r="54" spans="1:32">
      <c r="A54" s="64" t="s">
        <v>595</v>
      </c>
      <c r="B54" s="63" t="s">
        <v>376</v>
      </c>
      <c r="C54" s="63" t="s">
        <v>377</v>
      </c>
      <c r="D54" s="134">
        <v>0</v>
      </c>
      <c r="E54" s="67">
        <v>0</v>
      </c>
      <c r="F54" s="146">
        <v>0</v>
      </c>
      <c r="G54" s="92">
        <v>0</v>
      </c>
      <c r="H54" s="71">
        <v>0</v>
      </c>
      <c r="I54" s="67">
        <v>0</v>
      </c>
      <c r="J54" s="20">
        <v>0</v>
      </c>
      <c r="K54" s="132" t="s">
        <v>724</v>
      </c>
      <c r="L54" s="89">
        <v>0</v>
      </c>
      <c r="M54" s="154">
        <v>0</v>
      </c>
      <c r="N54" s="67">
        <v>0</v>
      </c>
      <c r="O54" s="67">
        <v>0</v>
      </c>
      <c r="Q54" s="71"/>
      <c r="S54" s="80">
        <v>0</v>
      </c>
      <c r="T54" s="80">
        <v>0</v>
      </c>
      <c r="U54" s="93">
        <v>0</v>
      </c>
      <c r="V54" s="61"/>
      <c r="AC54" s="36"/>
      <c r="AD54" s="36"/>
      <c r="AE54" s="36"/>
      <c r="AF54" s="19"/>
    </row>
    <row r="55" spans="1:32">
      <c r="A55" s="64" t="s">
        <v>595</v>
      </c>
      <c r="B55" s="63" t="s">
        <v>384</v>
      </c>
      <c r="C55" s="63" t="s">
        <v>385</v>
      </c>
      <c r="D55" s="134">
        <v>22.38</v>
      </c>
      <c r="E55" s="67">
        <v>2372</v>
      </c>
      <c r="F55" s="146">
        <v>0</v>
      </c>
      <c r="G55" s="92">
        <v>0</v>
      </c>
      <c r="H55" s="71">
        <v>2372</v>
      </c>
      <c r="I55" s="67">
        <v>271</v>
      </c>
      <c r="J55" s="20">
        <v>2643</v>
      </c>
      <c r="K55" s="132" t="s">
        <v>724</v>
      </c>
      <c r="L55" s="89">
        <v>2643</v>
      </c>
      <c r="M55" s="154">
        <v>0</v>
      </c>
      <c r="N55" s="67">
        <v>0</v>
      </c>
      <c r="O55" s="67">
        <v>0</v>
      </c>
      <c r="Q55" s="71"/>
      <c r="S55" s="80">
        <v>0</v>
      </c>
      <c r="T55" s="80">
        <v>0</v>
      </c>
      <c r="U55" s="93">
        <v>0</v>
      </c>
      <c r="V55" s="61"/>
      <c r="AC55" s="36"/>
      <c r="AD55" s="36"/>
      <c r="AE55" s="36"/>
      <c r="AF55" s="19"/>
    </row>
    <row r="56" spans="1:32">
      <c r="A56" s="64" t="s">
        <v>594</v>
      </c>
      <c r="B56" s="63" t="s">
        <v>147</v>
      </c>
      <c r="C56" s="63" t="s">
        <v>148</v>
      </c>
      <c r="D56" s="134">
        <v>0</v>
      </c>
      <c r="E56" s="67">
        <v>0</v>
      </c>
      <c r="F56" s="146">
        <v>0</v>
      </c>
      <c r="G56" s="92">
        <v>0</v>
      </c>
      <c r="H56" s="71">
        <v>0</v>
      </c>
      <c r="I56" s="67">
        <v>0</v>
      </c>
      <c r="J56" s="20">
        <v>0</v>
      </c>
      <c r="K56" s="132" t="s">
        <v>723</v>
      </c>
      <c r="L56" s="89">
        <v>0</v>
      </c>
      <c r="M56" s="154">
        <v>0</v>
      </c>
      <c r="N56" s="67">
        <v>0</v>
      </c>
      <c r="O56" s="67">
        <v>0</v>
      </c>
      <c r="Q56" s="71"/>
      <c r="S56" s="80">
        <v>0</v>
      </c>
      <c r="T56" s="80">
        <v>0</v>
      </c>
      <c r="U56" s="93">
        <v>0</v>
      </c>
      <c r="V56" s="61"/>
      <c r="AC56" s="36"/>
      <c r="AD56" s="36"/>
      <c r="AE56" s="36"/>
      <c r="AF56" s="19"/>
    </row>
    <row r="57" spans="1:32">
      <c r="A57" s="64" t="s">
        <v>601</v>
      </c>
      <c r="B57" s="63" t="s">
        <v>120</v>
      </c>
      <c r="C57" s="63" t="s">
        <v>654</v>
      </c>
      <c r="D57" s="134">
        <v>0</v>
      </c>
      <c r="E57" s="67">
        <v>0</v>
      </c>
      <c r="F57" s="146">
        <v>0</v>
      </c>
      <c r="G57" s="92">
        <v>0</v>
      </c>
      <c r="H57" s="71">
        <v>0</v>
      </c>
      <c r="I57" s="67">
        <v>0</v>
      </c>
      <c r="J57" s="20">
        <v>0</v>
      </c>
      <c r="K57" s="132" t="s">
        <v>723</v>
      </c>
      <c r="L57" s="89">
        <v>0</v>
      </c>
      <c r="M57" s="154">
        <v>0</v>
      </c>
      <c r="N57" s="67">
        <v>0</v>
      </c>
      <c r="O57" s="67">
        <v>0</v>
      </c>
      <c r="Q57" s="71"/>
      <c r="S57" s="80">
        <v>0</v>
      </c>
      <c r="T57" s="80">
        <v>0</v>
      </c>
      <c r="U57" s="93">
        <v>0</v>
      </c>
      <c r="V57" s="61"/>
      <c r="AC57" s="36"/>
      <c r="AD57" s="36"/>
      <c r="AE57" s="36"/>
      <c r="AF57" s="19"/>
    </row>
    <row r="58" spans="1:32">
      <c r="A58" s="64" t="s">
        <v>595</v>
      </c>
      <c r="B58" s="63" t="s">
        <v>159</v>
      </c>
      <c r="C58" s="63" t="s">
        <v>160</v>
      </c>
      <c r="D58" s="134">
        <v>29.13</v>
      </c>
      <c r="E58" s="67">
        <v>3088</v>
      </c>
      <c r="F58" s="146">
        <v>0</v>
      </c>
      <c r="G58" s="92">
        <v>3300</v>
      </c>
      <c r="H58" s="71">
        <v>6388</v>
      </c>
      <c r="I58" s="67">
        <v>353</v>
      </c>
      <c r="J58" s="20">
        <v>3441</v>
      </c>
      <c r="K58" s="132" t="s">
        <v>724</v>
      </c>
      <c r="L58" s="89">
        <v>3441</v>
      </c>
      <c r="M58" s="154">
        <v>0</v>
      </c>
      <c r="N58" s="67">
        <v>0</v>
      </c>
      <c r="O58" s="67">
        <v>0</v>
      </c>
      <c r="Q58" s="71"/>
      <c r="S58" s="80">
        <v>0</v>
      </c>
      <c r="T58" s="80">
        <v>0</v>
      </c>
      <c r="U58" s="93">
        <v>0</v>
      </c>
      <c r="V58" s="61"/>
      <c r="AC58" s="36"/>
      <c r="AD58" s="36"/>
      <c r="AE58" s="36"/>
      <c r="AF58" s="19"/>
    </row>
    <row r="59" spans="1:32">
      <c r="A59" s="64" t="s">
        <v>600</v>
      </c>
      <c r="B59" s="63" t="s">
        <v>41</v>
      </c>
      <c r="C59" s="63" t="s">
        <v>42</v>
      </c>
      <c r="D59" s="134">
        <v>0</v>
      </c>
      <c r="E59" s="67">
        <v>0</v>
      </c>
      <c r="F59" s="146">
        <v>0</v>
      </c>
      <c r="G59" s="92">
        <v>0</v>
      </c>
      <c r="H59" s="71">
        <v>0</v>
      </c>
      <c r="I59" s="67">
        <v>0</v>
      </c>
      <c r="J59" s="20">
        <v>0</v>
      </c>
      <c r="K59" s="132" t="s">
        <v>723</v>
      </c>
      <c r="L59" s="89">
        <v>0</v>
      </c>
      <c r="M59" s="154">
        <v>0</v>
      </c>
      <c r="N59" s="67">
        <v>0</v>
      </c>
      <c r="O59" s="67">
        <v>0</v>
      </c>
      <c r="Q59" s="71"/>
      <c r="S59" s="80">
        <v>0</v>
      </c>
      <c r="T59" s="80">
        <v>0</v>
      </c>
      <c r="U59" s="93">
        <v>0</v>
      </c>
      <c r="V59" s="61"/>
      <c r="AC59" s="36"/>
      <c r="AD59" s="36"/>
      <c r="AE59" s="36"/>
      <c r="AF59" s="19"/>
    </row>
    <row r="60" spans="1:32">
      <c r="A60" s="64" t="s">
        <v>603</v>
      </c>
      <c r="B60" s="63" t="s">
        <v>285</v>
      </c>
      <c r="C60" s="63" t="s">
        <v>286</v>
      </c>
      <c r="D60" s="134">
        <v>0</v>
      </c>
      <c r="E60" s="67">
        <v>0</v>
      </c>
      <c r="F60" s="146">
        <v>0</v>
      </c>
      <c r="G60" s="92">
        <v>0</v>
      </c>
      <c r="H60" s="71">
        <v>0</v>
      </c>
      <c r="I60" s="67">
        <v>0</v>
      </c>
      <c r="J60" s="20">
        <v>0</v>
      </c>
      <c r="K60" s="132" t="s">
        <v>723</v>
      </c>
      <c r="L60" s="89">
        <v>0</v>
      </c>
      <c r="M60" s="154">
        <v>0</v>
      </c>
      <c r="N60" s="67">
        <v>0</v>
      </c>
      <c r="O60" s="67">
        <v>0</v>
      </c>
      <c r="Q60" s="71"/>
      <c r="S60" s="80">
        <v>0</v>
      </c>
      <c r="T60" s="80">
        <v>0</v>
      </c>
      <c r="U60" s="93">
        <v>0</v>
      </c>
      <c r="V60" s="61"/>
      <c r="AC60" s="36"/>
      <c r="AD60" s="36"/>
      <c r="AE60" s="36"/>
      <c r="AF60" s="19"/>
    </row>
    <row r="61" spans="1:32">
      <c r="A61" s="64" t="s">
        <v>603</v>
      </c>
      <c r="B61" s="63" t="s">
        <v>96</v>
      </c>
      <c r="C61" s="63" t="s">
        <v>97</v>
      </c>
      <c r="D61" s="134">
        <v>0</v>
      </c>
      <c r="E61" s="67">
        <v>0</v>
      </c>
      <c r="F61" s="146">
        <v>0</v>
      </c>
      <c r="G61" s="92">
        <v>0</v>
      </c>
      <c r="H61" s="71">
        <v>0</v>
      </c>
      <c r="I61" s="67">
        <v>0</v>
      </c>
      <c r="J61" s="20">
        <v>0</v>
      </c>
      <c r="K61" s="132" t="s">
        <v>723</v>
      </c>
      <c r="L61" s="89">
        <v>0</v>
      </c>
      <c r="M61" s="154">
        <v>0</v>
      </c>
      <c r="N61" s="67">
        <v>0</v>
      </c>
      <c r="O61" s="67">
        <v>0</v>
      </c>
      <c r="Q61" s="71"/>
      <c r="S61" s="80">
        <v>0</v>
      </c>
      <c r="T61" s="80">
        <v>0</v>
      </c>
      <c r="U61" s="93">
        <v>0</v>
      </c>
      <c r="V61" s="61"/>
      <c r="AC61" s="36"/>
      <c r="AD61" s="36"/>
      <c r="AE61" s="36"/>
      <c r="AF61" s="19"/>
    </row>
    <row r="62" spans="1:32">
      <c r="A62" s="64" t="s">
        <v>603</v>
      </c>
      <c r="B62" s="63" t="s">
        <v>338</v>
      </c>
      <c r="C62" s="63" t="s">
        <v>339</v>
      </c>
      <c r="D62" s="134">
        <v>1.5</v>
      </c>
      <c r="E62" s="67">
        <v>159</v>
      </c>
      <c r="F62" s="146">
        <v>0</v>
      </c>
      <c r="G62" s="92">
        <v>0</v>
      </c>
      <c r="H62" s="71">
        <v>159</v>
      </c>
      <c r="I62" s="67">
        <v>18</v>
      </c>
      <c r="J62" s="20">
        <v>177</v>
      </c>
      <c r="K62" s="132" t="s">
        <v>724</v>
      </c>
      <c r="L62" s="89">
        <v>177</v>
      </c>
      <c r="M62" s="154">
        <v>0</v>
      </c>
      <c r="N62" s="67">
        <v>0</v>
      </c>
      <c r="O62" s="67">
        <v>0</v>
      </c>
      <c r="Q62" s="71"/>
      <c r="S62" s="80">
        <v>0</v>
      </c>
      <c r="T62" s="80">
        <v>0</v>
      </c>
      <c r="U62" s="93">
        <v>0</v>
      </c>
      <c r="V62" s="61"/>
      <c r="AC62" s="36"/>
      <c r="AD62" s="36"/>
      <c r="AE62" s="36"/>
      <c r="AF62" s="19"/>
    </row>
    <row r="63" spans="1:32">
      <c r="A63" s="64" t="s">
        <v>605</v>
      </c>
      <c r="B63" s="63" t="s">
        <v>220</v>
      </c>
      <c r="C63" s="63" t="s">
        <v>221</v>
      </c>
      <c r="D63" s="134">
        <v>0</v>
      </c>
      <c r="E63" s="67">
        <v>0</v>
      </c>
      <c r="F63" s="146">
        <v>0</v>
      </c>
      <c r="G63" s="92">
        <v>0</v>
      </c>
      <c r="H63" s="71">
        <v>0</v>
      </c>
      <c r="I63" s="67">
        <v>0</v>
      </c>
      <c r="J63" s="20">
        <v>0</v>
      </c>
      <c r="K63" s="132" t="s">
        <v>723</v>
      </c>
      <c r="L63" s="89">
        <v>0</v>
      </c>
      <c r="M63" s="154">
        <v>0</v>
      </c>
      <c r="N63" s="67">
        <v>0</v>
      </c>
      <c r="O63" s="67">
        <v>0</v>
      </c>
      <c r="Q63" s="71"/>
      <c r="S63" s="80">
        <v>0</v>
      </c>
      <c r="T63" s="80">
        <v>0</v>
      </c>
      <c r="U63" s="93">
        <v>0</v>
      </c>
      <c r="V63" s="61"/>
      <c r="AC63" s="36"/>
      <c r="AD63" s="36"/>
      <c r="AE63" s="36"/>
      <c r="AF63" s="19"/>
    </row>
    <row r="64" spans="1:32">
      <c r="A64" s="64" t="s">
        <v>595</v>
      </c>
      <c r="B64" s="63" t="s">
        <v>417</v>
      </c>
      <c r="C64" s="63" t="s">
        <v>418</v>
      </c>
      <c r="D64" s="134">
        <v>0</v>
      </c>
      <c r="E64" s="67">
        <v>0</v>
      </c>
      <c r="F64" s="146">
        <v>0</v>
      </c>
      <c r="G64" s="92">
        <v>0</v>
      </c>
      <c r="H64" s="71">
        <v>0</v>
      </c>
      <c r="I64" s="67">
        <v>0</v>
      </c>
      <c r="J64" s="20">
        <v>0</v>
      </c>
      <c r="K64" s="132" t="s">
        <v>723</v>
      </c>
      <c r="L64" s="89">
        <v>0</v>
      </c>
      <c r="M64" s="154">
        <v>0</v>
      </c>
      <c r="N64" s="67">
        <v>0</v>
      </c>
      <c r="O64" s="67">
        <v>0</v>
      </c>
      <c r="Q64" s="71"/>
      <c r="S64" s="80">
        <v>0</v>
      </c>
      <c r="T64" s="80">
        <v>0</v>
      </c>
      <c r="U64" s="93">
        <v>0</v>
      </c>
      <c r="V64" s="61"/>
      <c r="AC64" s="36"/>
      <c r="AD64" s="36"/>
      <c r="AE64" s="36"/>
      <c r="AF64" s="19"/>
    </row>
    <row r="65" spans="1:32">
      <c r="A65" s="64" t="s">
        <v>603</v>
      </c>
      <c r="B65" s="63" t="s">
        <v>293</v>
      </c>
      <c r="C65" s="63" t="s">
        <v>294</v>
      </c>
      <c r="D65" s="134">
        <v>0</v>
      </c>
      <c r="E65" s="67">
        <v>0</v>
      </c>
      <c r="F65" s="146">
        <v>0</v>
      </c>
      <c r="G65" s="92">
        <v>0</v>
      </c>
      <c r="H65" s="71">
        <v>0</v>
      </c>
      <c r="I65" s="67">
        <v>0</v>
      </c>
      <c r="J65" s="20">
        <v>0</v>
      </c>
      <c r="K65" s="132" t="s">
        <v>723</v>
      </c>
      <c r="L65" s="89">
        <v>0</v>
      </c>
      <c r="M65" s="154">
        <v>0</v>
      </c>
      <c r="N65" s="67">
        <v>0</v>
      </c>
      <c r="O65" s="67">
        <v>0</v>
      </c>
      <c r="Q65" s="71"/>
      <c r="S65" s="80">
        <v>0</v>
      </c>
      <c r="T65" s="80">
        <v>0</v>
      </c>
      <c r="U65" s="93">
        <v>0</v>
      </c>
      <c r="V65" s="61"/>
      <c r="AC65" s="36"/>
      <c r="AD65" s="36"/>
      <c r="AE65" s="36"/>
      <c r="AF65" s="19"/>
    </row>
    <row r="66" spans="1:32">
      <c r="A66" s="64" t="s">
        <v>596</v>
      </c>
      <c r="B66" s="63" t="s">
        <v>66</v>
      </c>
      <c r="C66" s="63" t="s">
        <v>67</v>
      </c>
      <c r="D66" s="134">
        <v>9.8800000000000008</v>
      </c>
      <c r="E66" s="67">
        <v>1047</v>
      </c>
      <c r="F66" s="146">
        <v>0</v>
      </c>
      <c r="G66" s="92">
        <v>0</v>
      </c>
      <c r="H66" s="71">
        <v>1047</v>
      </c>
      <c r="I66" s="67">
        <v>120</v>
      </c>
      <c r="J66" s="20">
        <v>1167</v>
      </c>
      <c r="K66" s="132" t="s">
        <v>725</v>
      </c>
      <c r="L66" s="89">
        <v>0</v>
      </c>
      <c r="M66" s="154">
        <v>9.8800000000000008</v>
      </c>
      <c r="N66" s="67">
        <v>31</v>
      </c>
      <c r="O66" s="67">
        <v>1198</v>
      </c>
      <c r="Q66" s="71"/>
      <c r="S66" s="80">
        <v>1854</v>
      </c>
      <c r="T66" s="80">
        <v>-656</v>
      </c>
      <c r="U66" s="93">
        <v>-0.35382955771305286</v>
      </c>
      <c r="V66" s="61"/>
      <c r="AC66" s="36"/>
      <c r="AD66" s="36"/>
      <c r="AE66" s="36"/>
      <c r="AF66" s="19"/>
    </row>
    <row r="67" spans="1:32">
      <c r="A67" s="64" t="s">
        <v>603</v>
      </c>
      <c r="B67" s="63" t="s">
        <v>444</v>
      </c>
      <c r="C67" s="63" t="s">
        <v>445</v>
      </c>
      <c r="D67" s="134">
        <v>7</v>
      </c>
      <c r="E67" s="67">
        <v>742</v>
      </c>
      <c r="F67" s="146">
        <v>0</v>
      </c>
      <c r="G67" s="92">
        <v>0</v>
      </c>
      <c r="H67" s="71">
        <v>742</v>
      </c>
      <c r="I67" s="67">
        <v>85</v>
      </c>
      <c r="J67" s="20">
        <v>827</v>
      </c>
      <c r="K67" s="132" t="s">
        <v>724</v>
      </c>
      <c r="L67" s="89">
        <v>827</v>
      </c>
      <c r="M67" s="154">
        <v>0</v>
      </c>
      <c r="N67" s="67">
        <v>0</v>
      </c>
      <c r="O67" s="67">
        <v>0</v>
      </c>
      <c r="Q67" s="71"/>
      <c r="S67" s="80">
        <v>0</v>
      </c>
      <c r="T67" s="80">
        <v>0</v>
      </c>
      <c r="U67" s="93">
        <v>0</v>
      </c>
      <c r="V67" s="61"/>
      <c r="AC67" s="36"/>
      <c r="AD67" s="36"/>
      <c r="AE67" s="36"/>
      <c r="AF67" s="19"/>
    </row>
    <row r="68" spans="1:32">
      <c r="A68" s="64" t="s">
        <v>597</v>
      </c>
      <c r="B68" s="63" t="s">
        <v>353</v>
      </c>
      <c r="C68" s="63" t="s">
        <v>354</v>
      </c>
      <c r="D68" s="134">
        <v>0</v>
      </c>
      <c r="E68" s="67">
        <v>0</v>
      </c>
      <c r="F68" s="146">
        <v>0</v>
      </c>
      <c r="G68" s="92">
        <v>0</v>
      </c>
      <c r="H68" s="71">
        <v>0</v>
      </c>
      <c r="I68" s="67">
        <v>0</v>
      </c>
      <c r="J68" s="20">
        <v>0</v>
      </c>
      <c r="K68" s="132" t="s">
        <v>723</v>
      </c>
      <c r="L68" s="89">
        <v>0</v>
      </c>
      <c r="M68" s="154">
        <v>0</v>
      </c>
      <c r="N68" s="67">
        <v>0</v>
      </c>
      <c r="O68" s="67">
        <v>0</v>
      </c>
      <c r="Q68" s="71"/>
      <c r="S68" s="80">
        <v>0</v>
      </c>
      <c r="T68" s="80">
        <v>0</v>
      </c>
      <c r="U68" s="93">
        <v>0</v>
      </c>
      <c r="V68" s="61"/>
      <c r="AC68" s="36"/>
      <c r="AD68" s="36"/>
      <c r="AE68" s="36"/>
      <c r="AF68" s="19"/>
    </row>
    <row r="69" spans="1:32">
      <c r="A69" s="64" t="s">
        <v>596</v>
      </c>
      <c r="B69" s="63" t="s">
        <v>490</v>
      </c>
      <c r="C69" s="63" t="s">
        <v>491</v>
      </c>
      <c r="D69" s="134">
        <v>1</v>
      </c>
      <c r="E69" s="67">
        <v>106</v>
      </c>
      <c r="F69" s="146">
        <v>0</v>
      </c>
      <c r="G69" s="92">
        <v>0</v>
      </c>
      <c r="H69" s="71">
        <v>106</v>
      </c>
      <c r="I69" s="67">
        <v>12</v>
      </c>
      <c r="J69" s="20">
        <v>118</v>
      </c>
      <c r="K69" s="132" t="s">
        <v>724</v>
      </c>
      <c r="L69" s="89">
        <v>118</v>
      </c>
      <c r="M69" s="154">
        <v>0</v>
      </c>
      <c r="N69" s="67">
        <v>0</v>
      </c>
      <c r="O69" s="67">
        <v>0</v>
      </c>
      <c r="Q69" s="71"/>
      <c r="S69" s="80">
        <v>0</v>
      </c>
      <c r="T69" s="80">
        <v>0</v>
      </c>
      <c r="U69" s="93">
        <v>0</v>
      </c>
      <c r="V69" s="61"/>
      <c r="AC69" s="36"/>
      <c r="AD69" s="36"/>
      <c r="AE69" s="36"/>
      <c r="AF69" s="19"/>
    </row>
    <row r="70" spans="1:32">
      <c r="A70" s="64" t="s">
        <v>603</v>
      </c>
      <c r="B70" s="63" t="s">
        <v>440</v>
      </c>
      <c r="C70" s="63" t="s">
        <v>674</v>
      </c>
      <c r="D70" s="134">
        <v>122.38</v>
      </c>
      <c r="E70" s="67">
        <v>12972</v>
      </c>
      <c r="F70" s="146">
        <v>0</v>
      </c>
      <c r="G70" s="92">
        <v>0</v>
      </c>
      <c r="H70" s="71">
        <v>12972</v>
      </c>
      <c r="I70" s="67">
        <v>1484</v>
      </c>
      <c r="J70" s="20">
        <v>14456</v>
      </c>
      <c r="K70" s="132" t="s">
        <v>644</v>
      </c>
      <c r="L70" s="89">
        <v>14456</v>
      </c>
      <c r="M70" s="154">
        <v>0</v>
      </c>
      <c r="N70" s="67">
        <v>0</v>
      </c>
      <c r="O70" s="67">
        <v>0</v>
      </c>
      <c r="Q70" s="71"/>
      <c r="S70" s="80">
        <v>0</v>
      </c>
      <c r="T70" s="80">
        <v>0</v>
      </c>
      <c r="U70" s="93">
        <v>0</v>
      </c>
      <c r="V70" s="61"/>
      <c r="AC70" s="36"/>
      <c r="AD70" s="36"/>
      <c r="AE70" s="36"/>
      <c r="AF70" s="19"/>
    </row>
    <row r="71" spans="1:32">
      <c r="A71" s="64" t="s">
        <v>605</v>
      </c>
      <c r="B71" s="63" t="s">
        <v>549</v>
      </c>
      <c r="C71" s="63" t="s">
        <v>550</v>
      </c>
      <c r="D71" s="134">
        <v>154.25</v>
      </c>
      <c r="E71" s="67">
        <v>16350</v>
      </c>
      <c r="F71" s="146">
        <v>0</v>
      </c>
      <c r="G71" s="92">
        <v>0</v>
      </c>
      <c r="H71" s="71">
        <v>16350</v>
      </c>
      <c r="I71" s="67">
        <v>1870</v>
      </c>
      <c r="J71" s="20">
        <v>18220</v>
      </c>
      <c r="K71" s="132" t="s">
        <v>621</v>
      </c>
      <c r="L71" s="89">
        <v>0</v>
      </c>
      <c r="M71" s="154">
        <v>154.25</v>
      </c>
      <c r="N71" s="67">
        <v>482</v>
      </c>
      <c r="O71" s="67">
        <v>18702</v>
      </c>
      <c r="Q71" s="71"/>
      <c r="S71" s="80">
        <v>11479</v>
      </c>
      <c r="T71" s="80">
        <v>7223</v>
      </c>
      <c r="U71" s="93">
        <v>0.6292359961669135</v>
      </c>
      <c r="V71" s="61"/>
      <c r="AC71" s="36"/>
      <c r="AD71" s="36"/>
      <c r="AE71" s="36"/>
      <c r="AF71" s="19"/>
    </row>
    <row r="72" spans="1:32">
      <c r="A72" s="64" t="s">
        <v>601</v>
      </c>
      <c r="B72" s="63" t="s">
        <v>88</v>
      </c>
      <c r="C72" s="63" t="s">
        <v>89</v>
      </c>
      <c r="D72" s="134">
        <v>813.63</v>
      </c>
      <c r="E72" s="67">
        <v>86243</v>
      </c>
      <c r="F72" s="146">
        <v>25000</v>
      </c>
      <c r="G72" s="92">
        <v>0</v>
      </c>
      <c r="H72" s="71">
        <v>111243</v>
      </c>
      <c r="I72" s="67">
        <v>9864</v>
      </c>
      <c r="J72" s="20">
        <v>96107</v>
      </c>
      <c r="K72" s="132" t="s">
        <v>621</v>
      </c>
      <c r="L72" s="89">
        <v>0</v>
      </c>
      <c r="M72" s="154">
        <v>813.63</v>
      </c>
      <c r="N72" s="67">
        <v>2542</v>
      </c>
      <c r="O72" s="67">
        <v>98649</v>
      </c>
      <c r="Q72" s="71"/>
      <c r="S72" s="80">
        <v>76494</v>
      </c>
      <c r="T72" s="80">
        <v>22155</v>
      </c>
      <c r="U72" s="93">
        <v>0.28963055925954978</v>
      </c>
      <c r="V72" s="61"/>
      <c r="AC72" s="36"/>
      <c r="AD72" s="36"/>
      <c r="AE72" s="36"/>
      <c r="AF72" s="19"/>
    </row>
    <row r="73" spans="1:32">
      <c r="A73" s="64" t="s">
        <v>605</v>
      </c>
      <c r="B73" s="63" t="s">
        <v>222</v>
      </c>
      <c r="C73" s="63" t="s">
        <v>223</v>
      </c>
      <c r="D73" s="134">
        <v>3</v>
      </c>
      <c r="E73" s="67">
        <v>318</v>
      </c>
      <c r="F73" s="146">
        <v>0</v>
      </c>
      <c r="G73" s="92">
        <v>0</v>
      </c>
      <c r="H73" s="71">
        <v>318</v>
      </c>
      <c r="I73" s="67">
        <v>36</v>
      </c>
      <c r="J73" s="20">
        <v>354</v>
      </c>
      <c r="K73" s="132" t="s">
        <v>724</v>
      </c>
      <c r="L73" s="89">
        <v>354</v>
      </c>
      <c r="M73" s="154">
        <v>0</v>
      </c>
      <c r="N73" s="67">
        <v>0</v>
      </c>
      <c r="O73" s="67">
        <v>0</v>
      </c>
      <c r="Q73" s="71"/>
      <c r="S73" s="80">
        <v>0</v>
      </c>
      <c r="T73" s="80">
        <v>0</v>
      </c>
      <c r="U73" s="93">
        <v>0</v>
      </c>
      <c r="V73" s="61"/>
      <c r="AC73" s="36"/>
      <c r="AD73" s="36"/>
      <c r="AE73" s="36"/>
      <c r="AF73" s="19"/>
    </row>
    <row r="74" spans="1:32">
      <c r="A74" s="64" t="s">
        <v>597</v>
      </c>
      <c r="B74" s="63" t="s">
        <v>365</v>
      </c>
      <c r="C74" s="63" t="s">
        <v>366</v>
      </c>
      <c r="D74" s="134">
        <v>9.3800000000000008</v>
      </c>
      <c r="E74" s="67">
        <v>994</v>
      </c>
      <c r="F74" s="146">
        <v>0</v>
      </c>
      <c r="G74" s="92">
        <v>0</v>
      </c>
      <c r="H74" s="71">
        <v>994</v>
      </c>
      <c r="I74" s="67">
        <v>114</v>
      </c>
      <c r="J74" s="20">
        <v>1108</v>
      </c>
      <c r="K74" s="132" t="s">
        <v>724</v>
      </c>
      <c r="L74" s="89">
        <v>1108</v>
      </c>
      <c r="M74" s="154">
        <v>0</v>
      </c>
      <c r="N74" s="67">
        <v>0</v>
      </c>
      <c r="O74" s="67">
        <v>0</v>
      </c>
      <c r="Q74" s="71"/>
      <c r="S74" s="80">
        <v>0</v>
      </c>
      <c r="T74" s="80">
        <v>0</v>
      </c>
      <c r="U74" s="93">
        <v>0</v>
      </c>
      <c r="V74" s="61"/>
      <c r="AC74" s="36"/>
      <c r="AD74" s="36"/>
      <c r="AE74" s="36"/>
      <c r="AF74" s="19"/>
    </row>
    <row r="75" spans="1:32">
      <c r="A75" s="64" t="s">
        <v>595</v>
      </c>
      <c r="B75" s="63" t="s">
        <v>401</v>
      </c>
      <c r="C75" s="63" t="s">
        <v>402</v>
      </c>
      <c r="D75" s="134">
        <v>1627.88</v>
      </c>
      <c r="E75" s="67">
        <v>172551</v>
      </c>
      <c r="F75" s="146">
        <v>0</v>
      </c>
      <c r="G75" s="92">
        <v>0</v>
      </c>
      <c r="H75" s="71">
        <v>172551</v>
      </c>
      <c r="I75" s="67">
        <v>19735</v>
      </c>
      <c r="J75" s="20">
        <v>192286</v>
      </c>
      <c r="K75" s="132" t="s">
        <v>621</v>
      </c>
      <c r="L75" s="89">
        <v>0</v>
      </c>
      <c r="M75" s="154">
        <v>1627.88</v>
      </c>
      <c r="N75" s="67">
        <v>5087</v>
      </c>
      <c r="O75" s="67">
        <v>197373</v>
      </c>
      <c r="Q75" s="71"/>
      <c r="S75" s="80">
        <v>164091</v>
      </c>
      <c r="T75" s="80">
        <v>33282</v>
      </c>
      <c r="U75" s="93">
        <v>0.2028264804285427</v>
      </c>
      <c r="V75" s="61"/>
      <c r="AC75" s="36"/>
      <c r="AD75" s="36"/>
      <c r="AE75" s="36"/>
      <c r="AF75" s="19"/>
    </row>
    <row r="76" spans="1:32">
      <c r="A76" s="64" t="s">
        <v>605</v>
      </c>
      <c r="B76" s="63" t="s">
        <v>226</v>
      </c>
      <c r="C76" s="63" t="s">
        <v>227</v>
      </c>
      <c r="D76" s="134">
        <v>150.88</v>
      </c>
      <c r="E76" s="67">
        <v>15993</v>
      </c>
      <c r="F76" s="146">
        <v>0</v>
      </c>
      <c r="G76" s="92">
        <v>0</v>
      </c>
      <c r="H76" s="71">
        <v>15993</v>
      </c>
      <c r="I76" s="67">
        <v>1829</v>
      </c>
      <c r="J76" s="20">
        <v>17822</v>
      </c>
      <c r="K76" s="132" t="s">
        <v>621</v>
      </c>
      <c r="L76" s="89">
        <v>0</v>
      </c>
      <c r="M76" s="154">
        <v>150.88</v>
      </c>
      <c r="N76" s="67">
        <v>471</v>
      </c>
      <c r="O76" s="67">
        <v>18293</v>
      </c>
      <c r="Q76" s="71"/>
      <c r="S76" s="80">
        <v>13543</v>
      </c>
      <c r="T76" s="80">
        <v>4750</v>
      </c>
      <c r="U76" s="93">
        <v>0.35073469689138298</v>
      </c>
      <c r="V76" s="61"/>
      <c r="AC76" s="36"/>
      <c r="AD76" s="36"/>
      <c r="AE76" s="36"/>
      <c r="AF76" s="19"/>
    </row>
    <row r="77" spans="1:32">
      <c r="A77" s="64" t="s">
        <v>594</v>
      </c>
      <c r="B77" s="63" t="s">
        <v>141</v>
      </c>
      <c r="C77" s="63" t="s">
        <v>142</v>
      </c>
      <c r="D77" s="134">
        <v>52.75</v>
      </c>
      <c r="E77" s="67">
        <v>5591</v>
      </c>
      <c r="F77" s="146">
        <v>0</v>
      </c>
      <c r="G77" s="92">
        <v>0</v>
      </c>
      <c r="H77" s="71">
        <v>5591</v>
      </c>
      <c r="I77" s="67">
        <v>639</v>
      </c>
      <c r="J77" s="20">
        <v>6230</v>
      </c>
      <c r="K77" s="132" t="s">
        <v>724</v>
      </c>
      <c r="L77" s="89">
        <v>6230</v>
      </c>
      <c r="M77" s="154">
        <v>0</v>
      </c>
      <c r="N77" s="67">
        <v>0</v>
      </c>
      <c r="O77" s="67">
        <v>0</v>
      </c>
      <c r="Q77" s="71"/>
      <c r="S77" s="80">
        <v>6330</v>
      </c>
      <c r="T77" s="80">
        <v>-6330</v>
      </c>
      <c r="U77" s="93">
        <v>-1</v>
      </c>
      <c r="V77" s="61"/>
      <c r="AC77" s="36"/>
      <c r="AD77" s="36"/>
      <c r="AE77" s="36"/>
      <c r="AF77" s="19"/>
    </row>
    <row r="78" spans="1:32">
      <c r="A78" s="64" t="s">
        <v>603</v>
      </c>
      <c r="B78" s="63" t="s">
        <v>535</v>
      </c>
      <c r="C78" s="63" t="s">
        <v>536</v>
      </c>
      <c r="D78" s="134">
        <v>0</v>
      </c>
      <c r="E78" s="67">
        <v>0</v>
      </c>
      <c r="F78" s="146">
        <v>0</v>
      </c>
      <c r="G78" s="92">
        <v>0</v>
      </c>
      <c r="H78" s="71">
        <v>0</v>
      </c>
      <c r="I78" s="67">
        <v>0</v>
      </c>
      <c r="J78" s="20">
        <v>0</v>
      </c>
      <c r="K78" s="132" t="s">
        <v>723</v>
      </c>
      <c r="L78" s="89">
        <v>0</v>
      </c>
      <c r="M78" s="154">
        <v>0</v>
      </c>
      <c r="N78" s="67">
        <v>0</v>
      </c>
      <c r="O78" s="67">
        <v>0</v>
      </c>
      <c r="Q78" s="71"/>
      <c r="S78" s="80">
        <v>0</v>
      </c>
      <c r="T78" s="80">
        <v>0</v>
      </c>
      <c r="U78" s="93">
        <v>0</v>
      </c>
      <c r="V78" s="61"/>
      <c r="AC78" s="36"/>
      <c r="AD78" s="36"/>
      <c r="AE78" s="36"/>
      <c r="AF78" s="19"/>
    </row>
    <row r="79" spans="1:32">
      <c r="A79" s="64" t="s">
        <v>601</v>
      </c>
      <c r="B79" s="63" t="s">
        <v>29</v>
      </c>
      <c r="C79" s="63" t="s">
        <v>30</v>
      </c>
      <c r="D79" s="134">
        <v>70.13</v>
      </c>
      <c r="E79" s="67">
        <v>7434</v>
      </c>
      <c r="F79" s="146">
        <v>0</v>
      </c>
      <c r="G79" s="92">
        <v>0</v>
      </c>
      <c r="H79" s="71">
        <v>7434</v>
      </c>
      <c r="I79" s="67">
        <v>850</v>
      </c>
      <c r="J79" s="20">
        <v>8284</v>
      </c>
      <c r="K79" s="132" t="s">
        <v>724</v>
      </c>
      <c r="L79" s="89">
        <v>8284</v>
      </c>
      <c r="M79" s="154">
        <v>0</v>
      </c>
      <c r="N79" s="67">
        <v>0</v>
      </c>
      <c r="O79" s="67">
        <v>0</v>
      </c>
      <c r="Q79" s="71"/>
      <c r="S79" s="80">
        <v>0</v>
      </c>
      <c r="T79" s="80">
        <v>0</v>
      </c>
      <c r="U79" s="93">
        <v>0</v>
      </c>
      <c r="V79" s="61"/>
      <c r="AC79" s="36"/>
      <c r="AD79" s="36"/>
      <c r="AE79" s="36"/>
      <c r="AF79" s="19"/>
    </row>
    <row r="80" spans="1:32">
      <c r="A80" s="64" t="s">
        <v>597</v>
      </c>
      <c r="B80" s="63" t="s">
        <v>177</v>
      </c>
      <c r="C80" s="63" t="s">
        <v>178</v>
      </c>
      <c r="D80" s="134">
        <v>90.75</v>
      </c>
      <c r="E80" s="67">
        <v>9619</v>
      </c>
      <c r="F80" s="146">
        <v>0</v>
      </c>
      <c r="G80" s="92">
        <v>0</v>
      </c>
      <c r="H80" s="71">
        <v>9619</v>
      </c>
      <c r="I80" s="67">
        <v>1100</v>
      </c>
      <c r="J80" s="20">
        <v>10719</v>
      </c>
      <c r="K80" s="132" t="s">
        <v>644</v>
      </c>
      <c r="L80" s="89">
        <v>10719</v>
      </c>
      <c r="M80" s="154">
        <v>0</v>
      </c>
      <c r="N80" s="67">
        <v>0</v>
      </c>
      <c r="O80" s="67">
        <v>0</v>
      </c>
      <c r="Q80" s="71"/>
      <c r="S80" s="80">
        <v>0</v>
      </c>
      <c r="T80" s="80">
        <v>0</v>
      </c>
      <c r="U80" s="93">
        <v>0</v>
      </c>
      <c r="V80" s="61"/>
      <c r="AC80" s="36"/>
      <c r="AD80" s="36"/>
      <c r="AE80" s="36"/>
      <c r="AF80" s="19"/>
    </row>
    <row r="81" spans="1:32">
      <c r="A81" s="64" t="s">
        <v>601</v>
      </c>
      <c r="B81" s="63" t="s">
        <v>127</v>
      </c>
      <c r="C81" s="63" t="s">
        <v>128</v>
      </c>
      <c r="D81" s="134">
        <v>197.63</v>
      </c>
      <c r="E81" s="67">
        <v>20948</v>
      </c>
      <c r="F81" s="146">
        <v>0</v>
      </c>
      <c r="G81" s="92">
        <v>0</v>
      </c>
      <c r="H81" s="71">
        <v>20948</v>
      </c>
      <c r="I81" s="67">
        <v>2396</v>
      </c>
      <c r="J81" s="20">
        <v>23344</v>
      </c>
      <c r="K81" s="132" t="s">
        <v>621</v>
      </c>
      <c r="L81" s="89">
        <v>0</v>
      </c>
      <c r="M81" s="154">
        <v>197.63</v>
      </c>
      <c r="N81" s="67">
        <v>618</v>
      </c>
      <c r="O81" s="67">
        <v>23962</v>
      </c>
      <c r="Q81" s="71"/>
      <c r="S81" s="80">
        <v>20096</v>
      </c>
      <c r="T81" s="80">
        <v>3866</v>
      </c>
      <c r="U81" s="93">
        <v>0.19237659235668789</v>
      </c>
      <c r="V81" s="61"/>
      <c r="AC81" s="36"/>
      <c r="AD81" s="36"/>
      <c r="AE81" s="36"/>
      <c r="AF81" s="19"/>
    </row>
    <row r="82" spans="1:32">
      <c r="A82" s="64" t="s">
        <v>603</v>
      </c>
      <c r="B82" s="65" t="s">
        <v>676</v>
      </c>
      <c r="C82" s="63" t="s">
        <v>677</v>
      </c>
      <c r="D82" s="134">
        <v>0</v>
      </c>
      <c r="E82" s="67">
        <v>0</v>
      </c>
      <c r="F82" s="146">
        <v>0</v>
      </c>
      <c r="G82" s="92">
        <v>0</v>
      </c>
      <c r="H82" s="71">
        <v>0</v>
      </c>
      <c r="I82" s="67">
        <v>0</v>
      </c>
      <c r="J82" s="20">
        <v>0</v>
      </c>
      <c r="K82" s="132" t="s">
        <v>723</v>
      </c>
      <c r="L82" s="89">
        <v>0</v>
      </c>
      <c r="M82" s="154">
        <v>0</v>
      </c>
      <c r="N82" s="67">
        <v>0</v>
      </c>
      <c r="O82" s="67">
        <v>0</v>
      </c>
      <c r="Q82" s="71"/>
      <c r="S82" s="80">
        <v>0</v>
      </c>
      <c r="T82" s="80">
        <v>0</v>
      </c>
      <c r="U82" s="93">
        <v>0</v>
      </c>
      <c r="V82" s="61"/>
      <c r="AC82" s="36"/>
      <c r="AD82" s="36"/>
      <c r="AE82" s="36"/>
      <c r="AF82" s="19"/>
    </row>
    <row r="83" spans="1:32">
      <c r="A83" s="64" t="s">
        <v>599</v>
      </c>
      <c r="B83" s="63" t="s">
        <v>651</v>
      </c>
      <c r="C83" s="63" t="s">
        <v>652</v>
      </c>
      <c r="D83" s="134">
        <v>0</v>
      </c>
      <c r="E83" s="67">
        <v>0</v>
      </c>
      <c r="F83" s="146">
        <v>0</v>
      </c>
      <c r="G83" s="92">
        <v>0</v>
      </c>
      <c r="H83" s="71">
        <v>0</v>
      </c>
      <c r="I83" s="67">
        <v>0</v>
      </c>
      <c r="J83" s="20">
        <v>0</v>
      </c>
      <c r="K83" s="132" t="s">
        <v>723</v>
      </c>
      <c r="L83" s="89">
        <v>0</v>
      </c>
      <c r="M83" s="154">
        <v>0</v>
      </c>
      <c r="N83" s="67">
        <v>0</v>
      </c>
      <c r="O83" s="67">
        <v>0</v>
      </c>
      <c r="Q83" s="71"/>
      <c r="S83" s="80">
        <v>0</v>
      </c>
      <c r="T83" s="80">
        <v>0</v>
      </c>
      <c r="U83" s="93">
        <v>0</v>
      </c>
      <c r="V83" s="61"/>
      <c r="AC83" s="36"/>
      <c r="AD83" s="36"/>
      <c r="AE83" s="36"/>
      <c r="AF83" s="19"/>
    </row>
    <row r="84" spans="1:32">
      <c r="A84" s="64" t="s">
        <v>594</v>
      </c>
      <c r="B84" s="63" t="s">
        <v>678</v>
      </c>
      <c r="C84" s="63" t="s">
        <v>679</v>
      </c>
      <c r="D84" s="134">
        <v>0</v>
      </c>
      <c r="E84" s="67">
        <v>0</v>
      </c>
      <c r="F84" s="146">
        <v>0</v>
      </c>
      <c r="G84" s="92">
        <v>0</v>
      </c>
      <c r="H84" s="71">
        <v>0</v>
      </c>
      <c r="I84" s="67">
        <v>0</v>
      </c>
      <c r="J84" s="20">
        <v>0</v>
      </c>
      <c r="K84" s="132" t="s">
        <v>723</v>
      </c>
      <c r="L84" s="89">
        <v>0</v>
      </c>
      <c r="M84" s="154">
        <v>0</v>
      </c>
      <c r="N84" s="67">
        <v>0</v>
      </c>
      <c r="O84" s="67">
        <v>0</v>
      </c>
      <c r="Q84" s="71"/>
      <c r="S84" s="80">
        <v>0</v>
      </c>
      <c r="T84" s="80">
        <v>0</v>
      </c>
      <c r="U84" s="93">
        <v>0</v>
      </c>
      <c r="V84" s="61"/>
      <c r="AC84" s="36"/>
      <c r="AD84" s="36"/>
      <c r="AE84" s="36"/>
      <c r="AF84" s="19"/>
    </row>
    <row r="85" spans="1:32">
      <c r="A85" s="64" t="s">
        <v>600</v>
      </c>
      <c r="B85" s="65" t="s">
        <v>663</v>
      </c>
      <c r="C85" s="63" t="s">
        <v>664</v>
      </c>
      <c r="D85" s="134">
        <v>0</v>
      </c>
      <c r="E85" s="67">
        <v>0</v>
      </c>
      <c r="F85" s="146">
        <v>0</v>
      </c>
      <c r="G85" s="92">
        <v>0</v>
      </c>
      <c r="H85" s="71">
        <v>0</v>
      </c>
      <c r="I85" s="67">
        <v>0</v>
      </c>
      <c r="J85" s="20">
        <v>0</v>
      </c>
      <c r="K85" s="132" t="s">
        <v>723</v>
      </c>
      <c r="L85" s="89">
        <v>0</v>
      </c>
      <c r="M85" s="154">
        <v>0</v>
      </c>
      <c r="N85" s="67">
        <v>0</v>
      </c>
      <c r="O85" s="67">
        <v>0</v>
      </c>
      <c r="Q85" s="71"/>
      <c r="S85" s="80">
        <v>0</v>
      </c>
      <c r="T85" s="80">
        <v>0</v>
      </c>
      <c r="U85" s="93">
        <v>0</v>
      </c>
      <c r="V85" s="61"/>
      <c r="AC85" s="36"/>
      <c r="AD85" s="36"/>
      <c r="AE85" s="36"/>
      <c r="AF85" s="19"/>
    </row>
    <row r="86" spans="1:32">
      <c r="A86" s="64" t="s">
        <v>596</v>
      </c>
      <c r="B86" s="65" t="s">
        <v>653</v>
      </c>
      <c r="C86" s="63" t="s">
        <v>604</v>
      </c>
      <c r="D86" s="134">
        <v>0</v>
      </c>
      <c r="E86" s="67">
        <v>0</v>
      </c>
      <c r="F86" s="146">
        <v>0</v>
      </c>
      <c r="G86" s="92">
        <v>0</v>
      </c>
      <c r="H86" s="71">
        <v>0</v>
      </c>
      <c r="I86" s="67">
        <v>0</v>
      </c>
      <c r="J86" s="20">
        <v>0</v>
      </c>
      <c r="K86" s="132" t="s">
        <v>723</v>
      </c>
      <c r="L86" s="89">
        <v>0</v>
      </c>
      <c r="M86" s="154">
        <v>0</v>
      </c>
      <c r="N86" s="67">
        <v>0</v>
      </c>
      <c r="O86" s="67">
        <v>0</v>
      </c>
      <c r="Q86" s="71"/>
      <c r="S86" s="80">
        <v>0</v>
      </c>
      <c r="T86" s="80">
        <v>0</v>
      </c>
      <c r="U86" s="93">
        <v>0</v>
      </c>
      <c r="V86" s="61"/>
      <c r="AC86" s="36"/>
      <c r="AD86" s="36"/>
      <c r="AE86" s="36"/>
      <c r="AF86" s="19"/>
    </row>
    <row r="87" spans="1:32">
      <c r="A87" s="64" t="s">
        <v>596</v>
      </c>
      <c r="B87" s="63" t="s">
        <v>680</v>
      </c>
      <c r="C87" s="63" t="s">
        <v>604</v>
      </c>
      <c r="D87" s="134">
        <v>0</v>
      </c>
      <c r="E87" s="67">
        <v>0</v>
      </c>
      <c r="F87" s="146">
        <v>0</v>
      </c>
      <c r="G87" s="92">
        <v>0</v>
      </c>
      <c r="H87" s="71">
        <v>0</v>
      </c>
      <c r="I87" s="67">
        <v>0</v>
      </c>
      <c r="J87" s="20">
        <v>0</v>
      </c>
      <c r="K87" s="132" t="s">
        <v>723</v>
      </c>
      <c r="L87" s="89">
        <v>0</v>
      </c>
      <c r="M87" s="154">
        <v>0</v>
      </c>
      <c r="N87" s="67">
        <v>0</v>
      </c>
      <c r="O87" s="67">
        <v>0</v>
      </c>
      <c r="Q87" s="71"/>
      <c r="S87" s="80">
        <v>0</v>
      </c>
      <c r="T87" s="80">
        <v>0</v>
      </c>
      <c r="U87" s="93">
        <v>0</v>
      </c>
      <c r="V87" s="61"/>
      <c r="AC87" s="36"/>
      <c r="AD87" s="36"/>
      <c r="AE87" s="36"/>
      <c r="AF87" s="19"/>
    </row>
    <row r="88" spans="1:32">
      <c r="A88" s="64" t="s">
        <v>601</v>
      </c>
      <c r="B88" s="65" t="s">
        <v>649</v>
      </c>
      <c r="C88" s="63" t="s">
        <v>650</v>
      </c>
      <c r="D88" s="134">
        <v>0</v>
      </c>
      <c r="E88" s="67">
        <v>0</v>
      </c>
      <c r="F88" s="146">
        <v>0</v>
      </c>
      <c r="G88" s="92">
        <v>0</v>
      </c>
      <c r="H88" s="71">
        <v>0</v>
      </c>
      <c r="I88" s="67">
        <v>0</v>
      </c>
      <c r="J88" s="20">
        <v>0</v>
      </c>
      <c r="K88" s="132" t="s">
        <v>723</v>
      </c>
      <c r="L88" s="89">
        <v>0</v>
      </c>
      <c r="M88" s="154">
        <v>0</v>
      </c>
      <c r="N88" s="67">
        <v>0</v>
      </c>
      <c r="O88" s="67">
        <v>0</v>
      </c>
      <c r="Q88" s="71"/>
      <c r="S88" s="80">
        <v>0</v>
      </c>
      <c r="T88" s="80">
        <v>0</v>
      </c>
      <c r="U88" s="93">
        <v>0</v>
      </c>
      <c r="V88" s="61"/>
      <c r="AC88" s="36"/>
      <c r="AD88" s="36"/>
      <c r="AE88" s="36"/>
      <c r="AF88" s="19"/>
    </row>
    <row r="89" spans="1:32">
      <c r="A89" s="64" t="s">
        <v>595</v>
      </c>
      <c r="B89" s="63" t="s">
        <v>671</v>
      </c>
      <c r="C89" s="63" t="s">
        <v>672</v>
      </c>
      <c r="D89" s="134">
        <v>0</v>
      </c>
      <c r="E89" s="67">
        <v>0</v>
      </c>
      <c r="F89" s="146">
        <v>0</v>
      </c>
      <c r="G89" s="92">
        <v>0</v>
      </c>
      <c r="H89" s="71">
        <v>0</v>
      </c>
      <c r="I89" s="67">
        <v>0</v>
      </c>
      <c r="J89" s="20">
        <v>0</v>
      </c>
      <c r="K89" s="132" t="s">
        <v>723</v>
      </c>
      <c r="L89" s="89">
        <v>0</v>
      </c>
      <c r="M89" s="154">
        <v>0</v>
      </c>
      <c r="N89" s="67">
        <v>0</v>
      </c>
      <c r="O89" s="67">
        <v>0</v>
      </c>
      <c r="Q89" s="71"/>
      <c r="S89" s="80">
        <v>0</v>
      </c>
      <c r="T89" s="80">
        <v>0</v>
      </c>
      <c r="U89" s="93">
        <v>0</v>
      </c>
      <c r="V89" s="61"/>
      <c r="AC89" s="36"/>
      <c r="AD89" s="36"/>
      <c r="AE89" s="36"/>
      <c r="AF89" s="19"/>
    </row>
    <row r="90" spans="1:32">
      <c r="A90" s="64" t="s">
        <v>594</v>
      </c>
      <c r="B90" s="63" t="s">
        <v>256</v>
      </c>
      <c r="C90" s="63" t="s">
        <v>257</v>
      </c>
      <c r="D90" s="134">
        <v>0</v>
      </c>
      <c r="E90" s="67">
        <v>0</v>
      </c>
      <c r="F90" s="146">
        <v>0</v>
      </c>
      <c r="G90" s="92">
        <v>0</v>
      </c>
      <c r="H90" s="71">
        <v>0</v>
      </c>
      <c r="I90" s="67">
        <v>0</v>
      </c>
      <c r="J90" s="20">
        <v>0</v>
      </c>
      <c r="K90" s="132" t="s">
        <v>723</v>
      </c>
      <c r="L90" s="89">
        <v>0</v>
      </c>
      <c r="M90" s="154">
        <v>0</v>
      </c>
      <c r="N90" s="67">
        <v>0</v>
      </c>
      <c r="O90" s="67">
        <v>0</v>
      </c>
      <c r="Q90" s="71"/>
      <c r="S90" s="80">
        <v>0</v>
      </c>
      <c r="T90" s="80">
        <v>0</v>
      </c>
      <c r="U90" s="93">
        <v>0</v>
      </c>
      <c r="V90" s="61"/>
      <c r="AC90" s="36"/>
      <c r="AD90" s="36"/>
      <c r="AE90" s="36"/>
      <c r="AF90" s="19"/>
    </row>
    <row r="91" spans="1:32">
      <c r="A91" s="64" t="s">
        <v>595</v>
      </c>
      <c r="B91" s="63" t="s">
        <v>395</v>
      </c>
      <c r="C91" s="63" t="s">
        <v>396</v>
      </c>
      <c r="D91" s="134">
        <v>1408.25</v>
      </c>
      <c r="E91" s="67">
        <v>149271</v>
      </c>
      <c r="F91" s="146">
        <v>0</v>
      </c>
      <c r="G91" s="92">
        <v>0</v>
      </c>
      <c r="H91" s="71">
        <v>149271</v>
      </c>
      <c r="I91" s="67">
        <v>17072</v>
      </c>
      <c r="J91" s="20">
        <v>166343</v>
      </c>
      <c r="K91" s="132" t="s">
        <v>621</v>
      </c>
      <c r="L91" s="89">
        <v>0</v>
      </c>
      <c r="M91" s="154">
        <v>1408.25</v>
      </c>
      <c r="N91" s="67">
        <v>4400</v>
      </c>
      <c r="O91" s="67">
        <v>170743</v>
      </c>
      <c r="Q91" s="71"/>
      <c r="S91" s="80">
        <v>136545</v>
      </c>
      <c r="T91" s="80">
        <v>34198</v>
      </c>
      <c r="U91" s="93">
        <v>0.25045223186495297</v>
      </c>
      <c r="V91" s="61"/>
      <c r="AC91" s="36"/>
      <c r="AD91" s="36"/>
      <c r="AE91" s="36"/>
      <c r="AF91" s="19"/>
    </row>
    <row r="92" spans="1:32">
      <c r="A92" s="64" t="s">
        <v>599</v>
      </c>
      <c r="B92" s="63" t="s">
        <v>58</v>
      </c>
      <c r="C92" s="63" t="s">
        <v>59</v>
      </c>
      <c r="D92" s="134">
        <v>1947.63</v>
      </c>
      <c r="E92" s="67">
        <v>206444</v>
      </c>
      <c r="F92" s="146">
        <v>50000</v>
      </c>
      <c r="G92" s="92">
        <v>0</v>
      </c>
      <c r="H92" s="71">
        <v>256444</v>
      </c>
      <c r="I92" s="67">
        <v>23611</v>
      </c>
      <c r="J92" s="20">
        <v>230055</v>
      </c>
      <c r="K92" s="132" t="s">
        <v>621</v>
      </c>
      <c r="L92" s="89">
        <v>0</v>
      </c>
      <c r="M92" s="154">
        <v>1947.63</v>
      </c>
      <c r="N92" s="67">
        <v>6086</v>
      </c>
      <c r="O92" s="67">
        <v>236141</v>
      </c>
      <c r="Q92" s="71"/>
      <c r="S92" s="80">
        <v>177149</v>
      </c>
      <c r="T92" s="80">
        <v>58992</v>
      </c>
      <c r="U92" s="93">
        <v>0.33300780698733834</v>
      </c>
      <c r="V92" s="61"/>
      <c r="AC92" s="36"/>
      <c r="AD92" s="36"/>
      <c r="AE92" s="36"/>
      <c r="AF92" s="19"/>
    </row>
    <row r="93" spans="1:32">
      <c r="A93" s="64" t="s">
        <v>603</v>
      </c>
      <c r="B93" s="63" t="s">
        <v>462</v>
      </c>
      <c r="C93" s="63" t="s">
        <v>463</v>
      </c>
      <c r="D93" s="134">
        <v>0</v>
      </c>
      <c r="E93" s="67">
        <v>0</v>
      </c>
      <c r="F93" s="146">
        <v>0</v>
      </c>
      <c r="G93" s="92">
        <v>0</v>
      </c>
      <c r="H93" s="71">
        <v>0</v>
      </c>
      <c r="I93" s="67">
        <v>0</v>
      </c>
      <c r="J93" s="20">
        <v>0</v>
      </c>
      <c r="K93" s="132" t="s">
        <v>723</v>
      </c>
      <c r="L93" s="89">
        <v>0</v>
      </c>
      <c r="M93" s="154">
        <v>0</v>
      </c>
      <c r="N93" s="67">
        <v>0</v>
      </c>
      <c r="O93" s="67">
        <v>0</v>
      </c>
      <c r="Q93" s="71"/>
      <c r="S93" s="80">
        <v>0</v>
      </c>
      <c r="T93" s="80">
        <v>0</v>
      </c>
      <c r="U93" s="93">
        <v>0</v>
      </c>
      <c r="V93" s="61"/>
      <c r="AC93" s="36"/>
      <c r="AD93" s="36"/>
      <c r="AE93" s="36"/>
      <c r="AF93" s="19"/>
    </row>
    <row r="94" spans="1:32">
      <c r="A94" s="64" t="s">
        <v>597</v>
      </c>
      <c r="B94" s="63" t="s">
        <v>175</v>
      </c>
      <c r="C94" s="63" t="s">
        <v>176</v>
      </c>
      <c r="D94" s="134">
        <v>2306.75</v>
      </c>
      <c r="E94" s="67">
        <v>244510</v>
      </c>
      <c r="F94" s="146">
        <v>0</v>
      </c>
      <c r="G94" s="92">
        <v>0</v>
      </c>
      <c r="H94" s="71">
        <v>244510</v>
      </c>
      <c r="I94" s="67">
        <v>27964</v>
      </c>
      <c r="J94" s="20">
        <v>272474</v>
      </c>
      <c r="K94" s="132" t="s">
        <v>621</v>
      </c>
      <c r="L94" s="89">
        <v>0</v>
      </c>
      <c r="M94" s="154">
        <v>2306.75</v>
      </c>
      <c r="N94" s="67">
        <v>7208</v>
      </c>
      <c r="O94" s="67">
        <v>279682</v>
      </c>
      <c r="Q94" s="71"/>
      <c r="S94" s="80">
        <v>230684</v>
      </c>
      <c r="T94" s="80">
        <v>48998</v>
      </c>
      <c r="U94" s="93">
        <v>0.21240311421685076</v>
      </c>
      <c r="V94" s="61"/>
      <c r="AC94" s="36"/>
      <c r="AD94" s="36"/>
      <c r="AE94" s="36"/>
      <c r="AF94" s="19"/>
    </row>
    <row r="95" spans="1:32">
      <c r="A95" s="64" t="s">
        <v>595</v>
      </c>
      <c r="B95" s="63" t="s">
        <v>506</v>
      </c>
      <c r="C95" s="63" t="s">
        <v>507</v>
      </c>
      <c r="D95" s="134">
        <v>252.5</v>
      </c>
      <c r="E95" s="67">
        <v>26764</v>
      </c>
      <c r="F95" s="146">
        <v>0</v>
      </c>
      <c r="G95" s="92">
        <v>0</v>
      </c>
      <c r="H95" s="71">
        <v>26764</v>
      </c>
      <c r="I95" s="67">
        <v>3061</v>
      </c>
      <c r="J95" s="20">
        <v>29825</v>
      </c>
      <c r="K95" s="132" t="s">
        <v>621</v>
      </c>
      <c r="L95" s="89">
        <v>0</v>
      </c>
      <c r="M95" s="154">
        <v>252.5</v>
      </c>
      <c r="N95" s="67">
        <v>789</v>
      </c>
      <c r="O95" s="67">
        <v>30614</v>
      </c>
      <c r="Q95" s="71"/>
      <c r="S95" s="80">
        <v>22832</v>
      </c>
      <c r="T95" s="80">
        <v>7782</v>
      </c>
      <c r="U95" s="93">
        <v>0.34083742116327959</v>
      </c>
      <c r="V95" s="61"/>
      <c r="AC95" s="36"/>
      <c r="AD95" s="36"/>
      <c r="AE95" s="36"/>
      <c r="AF95" s="19"/>
    </row>
    <row r="96" spans="1:32">
      <c r="A96" s="64" t="s">
        <v>597</v>
      </c>
      <c r="B96" s="63" t="s">
        <v>369</v>
      </c>
      <c r="C96" s="63" t="s">
        <v>370</v>
      </c>
      <c r="D96" s="134">
        <v>266.63</v>
      </c>
      <c r="E96" s="67">
        <v>28262</v>
      </c>
      <c r="F96" s="146">
        <v>0</v>
      </c>
      <c r="G96" s="92">
        <v>0</v>
      </c>
      <c r="H96" s="71">
        <v>28262</v>
      </c>
      <c r="I96" s="67">
        <v>3232</v>
      </c>
      <c r="J96" s="20">
        <v>31494</v>
      </c>
      <c r="K96" s="132" t="s">
        <v>621</v>
      </c>
      <c r="L96" s="89">
        <v>0</v>
      </c>
      <c r="M96" s="154">
        <v>266.63</v>
      </c>
      <c r="N96" s="67">
        <v>833</v>
      </c>
      <c r="O96" s="67">
        <v>32327</v>
      </c>
      <c r="Q96" s="71"/>
      <c r="S96" s="80">
        <v>20707</v>
      </c>
      <c r="T96" s="80">
        <v>11620</v>
      </c>
      <c r="U96" s="93">
        <v>0.56116289177572798</v>
      </c>
      <c r="V96" s="61"/>
      <c r="AC96" s="36"/>
      <c r="AD96" s="36"/>
      <c r="AE96" s="36"/>
      <c r="AF96" s="19"/>
    </row>
    <row r="97" spans="1:32">
      <c r="A97" s="64" t="s">
        <v>596</v>
      </c>
      <c r="B97" s="63" t="s">
        <v>19</v>
      </c>
      <c r="C97" s="63" t="s">
        <v>20</v>
      </c>
      <c r="D97" s="134">
        <v>84</v>
      </c>
      <c r="E97" s="67">
        <v>8904</v>
      </c>
      <c r="F97" s="146">
        <v>0</v>
      </c>
      <c r="G97" s="92">
        <v>0</v>
      </c>
      <c r="H97" s="71">
        <v>8904</v>
      </c>
      <c r="I97" s="67">
        <v>1018</v>
      </c>
      <c r="J97" s="20">
        <v>9922</v>
      </c>
      <c r="K97" s="132" t="s">
        <v>621</v>
      </c>
      <c r="L97" s="89">
        <v>0</v>
      </c>
      <c r="M97" s="154">
        <v>84</v>
      </c>
      <c r="N97" s="67">
        <v>262</v>
      </c>
      <c r="O97" s="67">
        <v>10184</v>
      </c>
      <c r="Q97" s="71"/>
      <c r="S97" s="80">
        <v>8470</v>
      </c>
      <c r="T97" s="80">
        <v>1714</v>
      </c>
      <c r="U97" s="93">
        <v>0.20236127508854782</v>
      </c>
      <c r="V97" s="61"/>
      <c r="AC97" s="36"/>
      <c r="AD97" s="36"/>
      <c r="AE97" s="36"/>
      <c r="AF97" s="19"/>
    </row>
    <row r="98" spans="1:32">
      <c r="A98" s="64" t="s">
        <v>597</v>
      </c>
      <c r="B98" s="63" t="s">
        <v>361</v>
      </c>
      <c r="C98" s="63" t="s">
        <v>362</v>
      </c>
      <c r="D98" s="134">
        <v>367.5</v>
      </c>
      <c r="E98" s="67">
        <v>38954</v>
      </c>
      <c r="F98" s="146">
        <v>0</v>
      </c>
      <c r="G98" s="92">
        <v>0</v>
      </c>
      <c r="H98" s="71">
        <v>38954</v>
      </c>
      <c r="I98" s="67">
        <v>4455</v>
      </c>
      <c r="J98" s="20">
        <v>43409</v>
      </c>
      <c r="K98" s="132" t="s">
        <v>621</v>
      </c>
      <c r="L98" s="89">
        <v>0</v>
      </c>
      <c r="M98" s="154">
        <v>367.5</v>
      </c>
      <c r="N98" s="67">
        <v>1148</v>
      </c>
      <c r="O98" s="67">
        <v>44557</v>
      </c>
      <c r="Q98" s="71"/>
      <c r="S98" s="80">
        <v>30792</v>
      </c>
      <c r="T98" s="80">
        <v>13765</v>
      </c>
      <c r="U98" s="93">
        <v>0.44703169654455704</v>
      </c>
      <c r="V98" s="61"/>
      <c r="AC98" s="36"/>
      <c r="AD98" s="36"/>
      <c r="AE98" s="36"/>
      <c r="AF98" s="19"/>
    </row>
    <row r="99" spans="1:32">
      <c r="A99" s="64" t="s">
        <v>603</v>
      </c>
      <c r="B99" s="63" t="s">
        <v>436</v>
      </c>
      <c r="C99" s="63" t="s">
        <v>437</v>
      </c>
      <c r="D99" s="134">
        <v>0</v>
      </c>
      <c r="E99" s="67">
        <v>0</v>
      </c>
      <c r="F99" s="146">
        <v>0</v>
      </c>
      <c r="G99" s="92">
        <v>0</v>
      </c>
      <c r="H99" s="71">
        <v>0</v>
      </c>
      <c r="I99" s="67">
        <v>0</v>
      </c>
      <c r="J99" s="20">
        <v>0</v>
      </c>
      <c r="K99" s="132" t="s">
        <v>723</v>
      </c>
      <c r="L99" s="89">
        <v>0</v>
      </c>
      <c r="M99" s="154">
        <v>0</v>
      </c>
      <c r="N99" s="67">
        <v>0</v>
      </c>
      <c r="O99" s="67">
        <v>0</v>
      </c>
      <c r="Q99" s="71"/>
      <c r="S99" s="80">
        <v>0</v>
      </c>
      <c r="T99" s="80">
        <v>0</v>
      </c>
      <c r="U99" s="93">
        <v>0</v>
      </c>
      <c r="V99" s="61"/>
      <c r="AC99" s="36"/>
      <c r="AD99" s="36"/>
      <c r="AE99" s="36"/>
      <c r="AF99" s="19"/>
    </row>
    <row r="100" spans="1:32">
      <c r="A100" s="64" t="s">
        <v>603</v>
      </c>
      <c r="B100" s="63" t="s">
        <v>529</v>
      </c>
      <c r="C100" s="63" t="s">
        <v>530</v>
      </c>
      <c r="D100" s="134">
        <v>0</v>
      </c>
      <c r="E100" s="67">
        <v>0</v>
      </c>
      <c r="F100" s="146">
        <v>0</v>
      </c>
      <c r="G100" s="92">
        <v>0</v>
      </c>
      <c r="H100" s="71">
        <v>0</v>
      </c>
      <c r="I100" s="67">
        <v>0</v>
      </c>
      <c r="J100" s="20">
        <v>0</v>
      </c>
      <c r="K100" s="132" t="s">
        <v>723</v>
      </c>
      <c r="L100" s="89">
        <v>0</v>
      </c>
      <c r="M100" s="154">
        <v>0</v>
      </c>
      <c r="N100" s="67">
        <v>0</v>
      </c>
      <c r="O100" s="67">
        <v>0</v>
      </c>
      <c r="Q100" s="71"/>
      <c r="S100" s="80">
        <v>0</v>
      </c>
      <c r="T100" s="80">
        <v>0</v>
      </c>
      <c r="U100" s="93">
        <v>0</v>
      </c>
      <c r="V100" s="61"/>
      <c r="AC100" s="36"/>
      <c r="AD100" s="36"/>
      <c r="AE100" s="36"/>
      <c r="AF100" s="19"/>
    </row>
    <row r="101" spans="1:32">
      <c r="A101" s="64" t="s">
        <v>599</v>
      </c>
      <c r="B101" s="63" t="s">
        <v>240</v>
      </c>
      <c r="C101" s="63" t="s">
        <v>241</v>
      </c>
      <c r="D101" s="134">
        <v>0</v>
      </c>
      <c r="E101" s="67">
        <v>0</v>
      </c>
      <c r="F101" s="146">
        <v>0</v>
      </c>
      <c r="G101" s="92">
        <v>0</v>
      </c>
      <c r="H101" s="71">
        <v>0</v>
      </c>
      <c r="I101" s="67">
        <v>0</v>
      </c>
      <c r="J101" s="20">
        <v>0</v>
      </c>
      <c r="K101" s="132" t="s">
        <v>723</v>
      </c>
      <c r="L101" s="89">
        <v>0</v>
      </c>
      <c r="M101" s="154">
        <v>0</v>
      </c>
      <c r="N101" s="67">
        <v>0</v>
      </c>
      <c r="O101" s="67">
        <v>0</v>
      </c>
      <c r="Q101" s="71"/>
      <c r="S101" s="80">
        <v>0</v>
      </c>
      <c r="T101" s="80">
        <v>0</v>
      </c>
      <c r="U101" s="93">
        <v>0</v>
      </c>
      <c r="V101" s="61"/>
      <c r="AC101" s="36"/>
      <c r="AD101" s="36"/>
      <c r="AE101" s="36"/>
      <c r="AF101" s="19"/>
    </row>
    <row r="102" spans="1:32">
      <c r="A102" s="64" t="s">
        <v>605</v>
      </c>
      <c r="B102" s="63" t="s">
        <v>246</v>
      </c>
      <c r="C102" s="63" t="s">
        <v>247</v>
      </c>
      <c r="D102" s="134">
        <v>41.75</v>
      </c>
      <c r="E102" s="67">
        <v>4425</v>
      </c>
      <c r="F102" s="146">
        <v>0</v>
      </c>
      <c r="G102" s="92">
        <v>0</v>
      </c>
      <c r="H102" s="71">
        <v>4425</v>
      </c>
      <c r="I102" s="67">
        <v>506</v>
      </c>
      <c r="J102" s="20">
        <v>4931</v>
      </c>
      <c r="K102" s="132" t="s">
        <v>621</v>
      </c>
      <c r="L102" s="89">
        <v>0</v>
      </c>
      <c r="M102" s="154">
        <v>41.75</v>
      </c>
      <c r="N102" s="67">
        <v>130</v>
      </c>
      <c r="O102" s="67">
        <v>5061</v>
      </c>
      <c r="Q102" s="71"/>
      <c r="S102" s="80">
        <v>3979</v>
      </c>
      <c r="T102" s="80">
        <v>1082</v>
      </c>
      <c r="U102" s="93">
        <v>0.2719276200050264</v>
      </c>
      <c r="V102" s="61"/>
      <c r="AC102" s="36"/>
      <c r="AD102" s="36"/>
      <c r="AE102" s="36"/>
      <c r="AF102" s="19"/>
    </row>
    <row r="103" spans="1:32">
      <c r="A103" s="64" t="s">
        <v>601</v>
      </c>
      <c r="B103" s="63" t="s">
        <v>131</v>
      </c>
      <c r="C103" s="63" t="s">
        <v>655</v>
      </c>
      <c r="D103" s="134">
        <v>0</v>
      </c>
      <c r="E103" s="67">
        <v>0</v>
      </c>
      <c r="F103" s="146">
        <v>0</v>
      </c>
      <c r="G103" s="92">
        <v>0</v>
      </c>
      <c r="H103" s="71">
        <v>0</v>
      </c>
      <c r="I103" s="67">
        <v>0</v>
      </c>
      <c r="J103" s="20">
        <v>0</v>
      </c>
      <c r="K103" s="132" t="s">
        <v>723</v>
      </c>
      <c r="L103" s="89">
        <v>0</v>
      </c>
      <c r="M103" s="154">
        <v>0</v>
      </c>
      <c r="N103" s="67">
        <v>0</v>
      </c>
      <c r="O103" s="67">
        <v>0</v>
      </c>
      <c r="Q103" s="71"/>
      <c r="S103" s="80">
        <v>0</v>
      </c>
      <c r="T103" s="80">
        <v>0</v>
      </c>
      <c r="U103" s="93">
        <v>0</v>
      </c>
      <c r="V103" s="61"/>
      <c r="AC103" s="36"/>
      <c r="AD103" s="36"/>
      <c r="AE103" s="36"/>
      <c r="AF103" s="19"/>
    </row>
    <row r="104" spans="1:32">
      <c r="A104" s="64" t="s">
        <v>605</v>
      </c>
      <c r="B104" s="63" t="s">
        <v>555</v>
      </c>
      <c r="C104" s="63" t="s">
        <v>556</v>
      </c>
      <c r="D104" s="134">
        <v>849</v>
      </c>
      <c r="E104" s="67">
        <v>89992</v>
      </c>
      <c r="F104" s="146">
        <v>0</v>
      </c>
      <c r="G104" s="92">
        <v>0</v>
      </c>
      <c r="H104" s="71">
        <v>89992</v>
      </c>
      <c r="I104" s="67">
        <v>10292</v>
      </c>
      <c r="J104" s="20">
        <v>100284</v>
      </c>
      <c r="K104" s="132" t="s">
        <v>621</v>
      </c>
      <c r="L104" s="89">
        <v>0</v>
      </c>
      <c r="M104" s="154">
        <v>849</v>
      </c>
      <c r="N104" s="67">
        <v>2653</v>
      </c>
      <c r="O104" s="67">
        <v>102937</v>
      </c>
      <c r="Q104" s="71"/>
      <c r="S104" s="80">
        <v>78096</v>
      </c>
      <c r="T104" s="80">
        <v>24841</v>
      </c>
      <c r="U104" s="93">
        <v>0.31808287236222088</v>
      </c>
      <c r="V104" s="61"/>
      <c r="AC104" s="36"/>
      <c r="AD104" s="36"/>
      <c r="AE104" s="36"/>
      <c r="AF104" s="19"/>
    </row>
    <row r="105" spans="1:32">
      <c r="A105" s="64" t="s">
        <v>605</v>
      </c>
      <c r="B105" s="63" t="s">
        <v>563</v>
      </c>
      <c r="C105" s="63" t="s">
        <v>564</v>
      </c>
      <c r="D105" s="134">
        <v>457.88</v>
      </c>
      <c r="E105" s="67">
        <v>48534</v>
      </c>
      <c r="F105" s="146">
        <v>0</v>
      </c>
      <c r="G105" s="92">
        <v>0</v>
      </c>
      <c r="H105" s="71">
        <v>48534</v>
      </c>
      <c r="I105" s="67">
        <v>5551</v>
      </c>
      <c r="J105" s="20">
        <v>54085</v>
      </c>
      <c r="K105" s="132" t="s">
        <v>621</v>
      </c>
      <c r="L105" s="89">
        <v>0</v>
      </c>
      <c r="M105" s="154">
        <v>457.88</v>
      </c>
      <c r="N105" s="67">
        <v>1431</v>
      </c>
      <c r="O105" s="67">
        <v>55516</v>
      </c>
      <c r="Q105" s="71"/>
      <c r="S105" s="80">
        <v>44856</v>
      </c>
      <c r="T105" s="80">
        <v>10660</v>
      </c>
      <c r="U105" s="93">
        <v>0.23764936686285001</v>
      </c>
      <c r="V105" s="61"/>
      <c r="AC105" s="36"/>
      <c r="AD105" s="36"/>
      <c r="AE105" s="36"/>
      <c r="AF105" s="19"/>
    </row>
    <row r="106" spans="1:32">
      <c r="A106" s="64" t="s">
        <v>595</v>
      </c>
      <c r="B106" s="63" t="s">
        <v>419</v>
      </c>
      <c r="C106" s="63" t="s">
        <v>420</v>
      </c>
      <c r="D106" s="134">
        <v>24.13</v>
      </c>
      <c r="E106" s="67">
        <v>2558</v>
      </c>
      <c r="F106" s="146">
        <v>0</v>
      </c>
      <c r="G106" s="92">
        <v>0</v>
      </c>
      <c r="H106" s="71">
        <v>2558</v>
      </c>
      <c r="I106" s="67">
        <v>293</v>
      </c>
      <c r="J106" s="20">
        <v>2851</v>
      </c>
      <c r="K106" s="132" t="s">
        <v>724</v>
      </c>
      <c r="L106" s="89">
        <v>2851</v>
      </c>
      <c r="M106" s="154">
        <v>0</v>
      </c>
      <c r="N106" s="67">
        <v>0</v>
      </c>
      <c r="O106" s="67">
        <v>0</v>
      </c>
      <c r="Q106" s="71"/>
      <c r="S106" s="80">
        <v>0</v>
      </c>
      <c r="T106" s="80">
        <v>0</v>
      </c>
      <c r="U106" s="93">
        <v>0</v>
      </c>
      <c r="V106" s="61"/>
      <c r="AC106" s="36"/>
      <c r="AD106" s="36"/>
      <c r="AE106" s="36"/>
      <c r="AF106" s="19"/>
    </row>
    <row r="107" spans="1:32">
      <c r="A107" s="64" t="s">
        <v>594</v>
      </c>
      <c r="B107" s="63" t="s">
        <v>297</v>
      </c>
      <c r="C107" s="63" t="s">
        <v>298</v>
      </c>
      <c r="D107" s="134">
        <v>0</v>
      </c>
      <c r="E107" s="67">
        <v>0</v>
      </c>
      <c r="F107" s="146">
        <v>0</v>
      </c>
      <c r="G107" s="92">
        <v>0</v>
      </c>
      <c r="H107" s="71">
        <v>0</v>
      </c>
      <c r="I107" s="67">
        <v>0</v>
      </c>
      <c r="J107" s="20">
        <v>0</v>
      </c>
      <c r="K107" s="132" t="s">
        <v>723</v>
      </c>
      <c r="L107" s="89">
        <v>0</v>
      </c>
      <c r="M107" s="154">
        <v>0</v>
      </c>
      <c r="N107" s="67">
        <v>0</v>
      </c>
      <c r="O107" s="67">
        <v>0</v>
      </c>
      <c r="Q107" s="71"/>
      <c r="S107" s="80">
        <v>0</v>
      </c>
      <c r="T107" s="80">
        <v>0</v>
      </c>
      <c r="U107" s="93">
        <v>0</v>
      </c>
      <c r="V107" s="61"/>
      <c r="AC107" s="36"/>
      <c r="AD107" s="36"/>
      <c r="AE107" s="36"/>
      <c r="AF107" s="19"/>
    </row>
    <row r="108" spans="1:32">
      <c r="A108" s="64" t="s">
        <v>603</v>
      </c>
      <c r="B108" s="63" t="s">
        <v>426</v>
      </c>
      <c r="C108" s="63" t="s">
        <v>427</v>
      </c>
      <c r="D108" s="134">
        <v>0</v>
      </c>
      <c r="E108" s="67">
        <v>0</v>
      </c>
      <c r="F108" s="146">
        <v>0</v>
      </c>
      <c r="G108" s="92">
        <v>0</v>
      </c>
      <c r="H108" s="71">
        <v>0</v>
      </c>
      <c r="I108" s="67">
        <v>0</v>
      </c>
      <c r="J108" s="20">
        <v>0</v>
      </c>
      <c r="K108" s="132" t="s">
        <v>723</v>
      </c>
      <c r="L108" s="89">
        <v>0</v>
      </c>
      <c r="M108" s="154">
        <v>0</v>
      </c>
      <c r="N108" s="67">
        <v>0</v>
      </c>
      <c r="O108" s="67">
        <v>0</v>
      </c>
      <c r="Q108" s="71"/>
      <c r="S108" s="80">
        <v>0</v>
      </c>
      <c r="T108" s="80">
        <v>0</v>
      </c>
      <c r="U108" s="93">
        <v>0</v>
      </c>
      <c r="V108" s="61"/>
      <c r="AC108" s="36"/>
      <c r="AD108" s="36"/>
      <c r="AE108" s="36"/>
      <c r="AF108" s="19"/>
    </row>
    <row r="109" spans="1:32">
      <c r="A109" s="64" t="s">
        <v>599</v>
      </c>
      <c r="B109" s="63" t="s">
        <v>54</v>
      </c>
      <c r="C109" s="63" t="s">
        <v>55</v>
      </c>
      <c r="D109" s="134">
        <v>0</v>
      </c>
      <c r="E109" s="67">
        <v>0</v>
      </c>
      <c r="F109" s="146">
        <v>0</v>
      </c>
      <c r="G109" s="92">
        <v>0</v>
      </c>
      <c r="H109" s="71">
        <v>0</v>
      </c>
      <c r="I109" s="67">
        <v>0</v>
      </c>
      <c r="J109" s="20">
        <v>0</v>
      </c>
      <c r="K109" s="132" t="s">
        <v>723</v>
      </c>
      <c r="L109" s="89">
        <v>0</v>
      </c>
      <c r="M109" s="154">
        <v>0</v>
      </c>
      <c r="N109" s="67">
        <v>0</v>
      </c>
      <c r="O109" s="67">
        <v>0</v>
      </c>
      <c r="Q109" s="71"/>
      <c r="S109" s="80">
        <v>0</v>
      </c>
      <c r="T109" s="80">
        <v>0</v>
      </c>
      <c r="U109" s="93">
        <v>0</v>
      </c>
      <c r="V109" s="61"/>
      <c r="AC109" s="36"/>
      <c r="AD109" s="36"/>
      <c r="AE109" s="36"/>
      <c r="AF109" s="19"/>
    </row>
    <row r="110" spans="1:32">
      <c r="A110" s="64" t="s">
        <v>594</v>
      </c>
      <c r="B110" s="63" t="s">
        <v>482</v>
      </c>
      <c r="C110" s="63" t="s">
        <v>483</v>
      </c>
      <c r="D110" s="134">
        <v>0</v>
      </c>
      <c r="E110" s="67">
        <v>0</v>
      </c>
      <c r="F110" s="146">
        <v>0</v>
      </c>
      <c r="G110" s="92">
        <v>0</v>
      </c>
      <c r="H110" s="71">
        <v>0</v>
      </c>
      <c r="I110" s="67">
        <v>0</v>
      </c>
      <c r="J110" s="20">
        <v>0</v>
      </c>
      <c r="K110" s="132" t="s">
        <v>723</v>
      </c>
      <c r="L110" s="89">
        <v>0</v>
      </c>
      <c r="M110" s="154">
        <v>0</v>
      </c>
      <c r="N110" s="67">
        <v>0</v>
      </c>
      <c r="O110" s="67">
        <v>0</v>
      </c>
      <c r="Q110" s="71"/>
      <c r="S110" s="80">
        <v>0</v>
      </c>
      <c r="T110" s="80">
        <v>0</v>
      </c>
      <c r="U110" s="93">
        <v>0</v>
      </c>
      <c r="V110" s="61"/>
      <c r="AC110" s="36"/>
      <c r="AD110" s="36"/>
      <c r="AE110" s="36"/>
      <c r="AF110" s="19"/>
    </row>
    <row r="111" spans="1:32">
      <c r="A111" s="64" t="s">
        <v>603</v>
      </c>
      <c r="B111" s="63" t="s">
        <v>291</v>
      </c>
      <c r="C111" s="63" t="s">
        <v>292</v>
      </c>
      <c r="D111" s="134">
        <v>0</v>
      </c>
      <c r="E111" s="67">
        <v>0</v>
      </c>
      <c r="F111" s="146">
        <v>0</v>
      </c>
      <c r="G111" s="92">
        <v>0</v>
      </c>
      <c r="H111" s="71">
        <v>0</v>
      </c>
      <c r="I111" s="67">
        <v>0</v>
      </c>
      <c r="J111" s="20">
        <v>0</v>
      </c>
      <c r="K111" s="132" t="s">
        <v>723</v>
      </c>
      <c r="L111" s="89">
        <v>0</v>
      </c>
      <c r="M111" s="154">
        <v>0</v>
      </c>
      <c r="N111" s="67">
        <v>0</v>
      </c>
      <c r="O111" s="67">
        <v>0</v>
      </c>
      <c r="Q111" s="71"/>
      <c r="S111" s="80">
        <v>0</v>
      </c>
      <c r="T111" s="80">
        <v>0</v>
      </c>
      <c r="U111" s="93">
        <v>0</v>
      </c>
      <c r="V111" s="61"/>
      <c r="AC111" s="36"/>
      <c r="AD111" s="36"/>
      <c r="AE111" s="36"/>
      <c r="AF111" s="19"/>
    </row>
    <row r="112" spans="1:32">
      <c r="A112" s="64" t="s">
        <v>605</v>
      </c>
      <c r="B112" s="63" t="s">
        <v>561</v>
      </c>
      <c r="C112" s="63" t="s">
        <v>562</v>
      </c>
      <c r="D112" s="134">
        <v>237.25</v>
      </c>
      <c r="E112" s="67">
        <v>25148</v>
      </c>
      <c r="F112" s="146">
        <v>0</v>
      </c>
      <c r="G112" s="92">
        <v>0</v>
      </c>
      <c r="H112" s="71">
        <v>25148</v>
      </c>
      <c r="I112" s="67">
        <v>2876</v>
      </c>
      <c r="J112" s="20">
        <v>28024</v>
      </c>
      <c r="K112" s="132" t="s">
        <v>621</v>
      </c>
      <c r="L112" s="89">
        <v>0</v>
      </c>
      <c r="M112" s="154">
        <v>237.25</v>
      </c>
      <c r="N112" s="67">
        <v>741</v>
      </c>
      <c r="O112" s="67">
        <v>28765</v>
      </c>
      <c r="Q112" s="71"/>
      <c r="S112" s="80">
        <v>24399</v>
      </c>
      <c r="T112" s="80">
        <v>4366</v>
      </c>
      <c r="U112" s="93">
        <v>0.17894175990819297</v>
      </c>
      <c r="V112" s="61"/>
      <c r="AC112" s="36"/>
      <c r="AD112" s="36"/>
      <c r="AE112" s="36"/>
      <c r="AF112" s="19"/>
    </row>
    <row r="113" spans="1:32">
      <c r="A113" s="64" t="s">
        <v>597</v>
      </c>
      <c r="B113" s="63" t="s">
        <v>181</v>
      </c>
      <c r="C113" s="63" t="s">
        <v>182</v>
      </c>
      <c r="D113" s="134">
        <v>2839</v>
      </c>
      <c r="E113" s="67">
        <v>300927</v>
      </c>
      <c r="F113" s="146">
        <v>0</v>
      </c>
      <c r="G113" s="92">
        <v>0</v>
      </c>
      <c r="H113" s="71">
        <v>300927</v>
      </c>
      <c r="I113" s="67">
        <v>34417</v>
      </c>
      <c r="J113" s="20">
        <v>335344</v>
      </c>
      <c r="K113" s="132" t="s">
        <v>621</v>
      </c>
      <c r="L113" s="89">
        <v>0</v>
      </c>
      <c r="M113" s="154">
        <v>2839</v>
      </c>
      <c r="N113" s="67">
        <v>8871</v>
      </c>
      <c r="O113" s="67">
        <v>344215</v>
      </c>
      <c r="Q113" s="71"/>
      <c r="S113" s="80">
        <v>245595</v>
      </c>
      <c r="T113" s="80">
        <v>98620</v>
      </c>
      <c r="U113" s="93">
        <v>0.40155540625827074</v>
      </c>
      <c r="V113" s="61"/>
      <c r="AC113" s="36"/>
      <c r="AD113" s="36"/>
      <c r="AE113" s="36"/>
      <c r="AF113" s="19"/>
    </row>
    <row r="114" spans="1:32">
      <c r="A114" s="64" t="s">
        <v>599</v>
      </c>
      <c r="B114" s="63" t="s">
        <v>51</v>
      </c>
      <c r="C114" s="63" t="s">
        <v>52</v>
      </c>
      <c r="D114" s="134">
        <v>17.38</v>
      </c>
      <c r="E114" s="67">
        <v>1842</v>
      </c>
      <c r="F114" s="146">
        <v>0</v>
      </c>
      <c r="G114" s="92">
        <v>0</v>
      </c>
      <c r="H114" s="71">
        <v>1842</v>
      </c>
      <c r="I114" s="67">
        <v>211</v>
      </c>
      <c r="J114" s="20">
        <v>2053</v>
      </c>
      <c r="K114" s="132" t="s">
        <v>724</v>
      </c>
      <c r="L114" s="89">
        <v>2053</v>
      </c>
      <c r="M114" s="154">
        <v>0</v>
      </c>
      <c r="N114" s="67">
        <v>0</v>
      </c>
      <c r="O114" s="67">
        <v>0</v>
      </c>
      <c r="Q114" s="71"/>
      <c r="S114" s="80">
        <v>0</v>
      </c>
      <c r="T114" s="80">
        <v>0</v>
      </c>
      <c r="U114" s="93">
        <v>0</v>
      </c>
      <c r="V114" s="61"/>
      <c r="AC114" s="36"/>
      <c r="AD114" s="36"/>
      <c r="AE114" s="36"/>
      <c r="AF114" s="19"/>
    </row>
    <row r="115" spans="1:32">
      <c r="A115" s="64" t="s">
        <v>594</v>
      </c>
      <c r="B115" s="63" t="s">
        <v>307</v>
      </c>
      <c r="C115" s="63" t="s">
        <v>308</v>
      </c>
      <c r="D115" s="134">
        <v>0</v>
      </c>
      <c r="E115" s="67">
        <v>0</v>
      </c>
      <c r="F115" s="146">
        <v>0</v>
      </c>
      <c r="G115" s="92">
        <v>0</v>
      </c>
      <c r="H115" s="71">
        <v>0</v>
      </c>
      <c r="I115" s="67">
        <v>0</v>
      </c>
      <c r="J115" s="20">
        <v>0</v>
      </c>
      <c r="K115" s="132" t="s">
        <v>723</v>
      </c>
      <c r="L115" s="89">
        <v>0</v>
      </c>
      <c r="M115" s="154">
        <v>0</v>
      </c>
      <c r="N115" s="67">
        <v>0</v>
      </c>
      <c r="O115" s="67">
        <v>0</v>
      </c>
      <c r="Q115" s="71"/>
      <c r="S115" s="80">
        <v>0</v>
      </c>
      <c r="T115" s="80">
        <v>0</v>
      </c>
      <c r="U115" s="93">
        <v>0</v>
      </c>
      <c r="V115" s="61"/>
      <c r="AC115" s="36"/>
      <c r="AD115" s="36"/>
      <c r="AE115" s="36"/>
      <c r="AF115" s="19"/>
    </row>
    <row r="116" spans="1:32">
      <c r="A116" s="64" t="s">
        <v>594</v>
      </c>
      <c r="B116" s="63" t="s">
        <v>134</v>
      </c>
      <c r="C116" s="63" t="s">
        <v>135</v>
      </c>
      <c r="D116" s="134">
        <v>82.38</v>
      </c>
      <c r="E116" s="67">
        <v>8732</v>
      </c>
      <c r="F116" s="146">
        <v>0</v>
      </c>
      <c r="G116" s="92">
        <v>0</v>
      </c>
      <c r="H116" s="71">
        <v>8732</v>
      </c>
      <c r="I116" s="67">
        <v>999</v>
      </c>
      <c r="J116" s="20">
        <v>9731</v>
      </c>
      <c r="K116" s="132" t="s">
        <v>724</v>
      </c>
      <c r="L116" s="89">
        <v>9731</v>
      </c>
      <c r="M116" s="154">
        <v>0</v>
      </c>
      <c r="N116" s="67">
        <v>0</v>
      </c>
      <c r="O116" s="67">
        <v>0</v>
      </c>
      <c r="Q116" s="71"/>
      <c r="S116" s="80">
        <v>0</v>
      </c>
      <c r="T116" s="80">
        <v>0</v>
      </c>
      <c r="U116" s="93">
        <v>0</v>
      </c>
      <c r="V116" s="61"/>
      <c r="AC116" s="36"/>
      <c r="AD116" s="36"/>
      <c r="AE116" s="36"/>
      <c r="AF116" s="19"/>
    </row>
    <row r="117" spans="1:32">
      <c r="A117" s="64" t="s">
        <v>603</v>
      </c>
      <c r="B117" s="63" t="s">
        <v>100</v>
      </c>
      <c r="C117" s="63" t="s">
        <v>101</v>
      </c>
      <c r="D117" s="134">
        <v>0</v>
      </c>
      <c r="E117" s="67">
        <v>0</v>
      </c>
      <c r="F117" s="146">
        <v>0</v>
      </c>
      <c r="G117" s="92">
        <v>0</v>
      </c>
      <c r="H117" s="71">
        <v>0</v>
      </c>
      <c r="I117" s="67">
        <v>0</v>
      </c>
      <c r="J117" s="20">
        <v>0</v>
      </c>
      <c r="K117" s="132" t="s">
        <v>723</v>
      </c>
      <c r="L117" s="89">
        <v>0</v>
      </c>
      <c r="M117" s="154">
        <v>0</v>
      </c>
      <c r="N117" s="67">
        <v>0</v>
      </c>
      <c r="O117" s="67">
        <v>0</v>
      </c>
      <c r="Q117" s="71"/>
      <c r="S117" s="80">
        <v>0</v>
      </c>
      <c r="T117" s="80">
        <v>0</v>
      </c>
      <c r="U117" s="93">
        <v>0</v>
      </c>
      <c r="V117" s="61"/>
      <c r="AC117" s="36"/>
      <c r="AD117" s="36"/>
      <c r="AE117" s="36"/>
      <c r="AF117" s="19"/>
    </row>
    <row r="118" spans="1:32">
      <c r="A118" s="64" t="s">
        <v>595</v>
      </c>
      <c r="B118" s="63" t="s">
        <v>407</v>
      </c>
      <c r="C118" s="63" t="s">
        <v>408</v>
      </c>
      <c r="D118" s="134">
        <v>0</v>
      </c>
      <c r="E118" s="67">
        <v>0</v>
      </c>
      <c r="F118" s="146">
        <v>0</v>
      </c>
      <c r="G118" s="92">
        <v>0</v>
      </c>
      <c r="H118" s="71">
        <v>0</v>
      </c>
      <c r="I118" s="67">
        <v>0</v>
      </c>
      <c r="J118" s="20">
        <v>0</v>
      </c>
      <c r="K118" s="132" t="s">
        <v>723</v>
      </c>
      <c r="L118" s="89">
        <v>0</v>
      </c>
      <c r="M118" s="154">
        <v>0</v>
      </c>
      <c r="N118" s="67">
        <v>0</v>
      </c>
      <c r="O118" s="67">
        <v>0</v>
      </c>
      <c r="Q118" s="71"/>
      <c r="S118" s="80">
        <v>0</v>
      </c>
      <c r="T118" s="80">
        <v>0</v>
      </c>
      <c r="U118" s="93">
        <v>0</v>
      </c>
      <c r="V118" s="61"/>
      <c r="AC118" s="36"/>
      <c r="AD118" s="36"/>
      <c r="AE118" s="36"/>
      <c r="AF118" s="19"/>
    </row>
    <row r="119" spans="1:32">
      <c r="A119" s="64" t="s">
        <v>597</v>
      </c>
      <c r="B119" s="63" t="s">
        <v>201</v>
      </c>
      <c r="C119" s="63" t="s">
        <v>202</v>
      </c>
      <c r="D119" s="134">
        <v>357.5</v>
      </c>
      <c r="E119" s="67">
        <v>37894</v>
      </c>
      <c r="F119" s="146">
        <v>25000</v>
      </c>
      <c r="G119" s="92">
        <v>0</v>
      </c>
      <c r="H119" s="71">
        <v>62894</v>
      </c>
      <c r="I119" s="67">
        <v>4334</v>
      </c>
      <c r="J119" s="20">
        <v>42228</v>
      </c>
      <c r="K119" s="132" t="s">
        <v>621</v>
      </c>
      <c r="L119" s="89">
        <v>0</v>
      </c>
      <c r="M119" s="154">
        <v>357.5</v>
      </c>
      <c r="N119" s="67">
        <v>1117</v>
      </c>
      <c r="O119" s="67">
        <v>43345</v>
      </c>
      <c r="Q119" s="71"/>
      <c r="S119" s="80">
        <v>28168</v>
      </c>
      <c r="T119" s="80">
        <v>15177</v>
      </c>
      <c r="U119" s="93">
        <v>0.53880289690428851</v>
      </c>
      <c r="V119" s="61"/>
      <c r="AC119" s="36"/>
      <c r="AD119" s="36"/>
      <c r="AE119" s="36"/>
      <c r="AF119" s="19"/>
    </row>
    <row r="120" spans="1:32">
      <c r="A120" s="64" t="s">
        <v>596</v>
      </c>
      <c r="B120" s="63" t="s">
        <v>110</v>
      </c>
      <c r="C120" s="63" t="s">
        <v>111</v>
      </c>
      <c r="D120" s="134">
        <v>0</v>
      </c>
      <c r="E120" s="67">
        <v>0</v>
      </c>
      <c r="F120" s="146">
        <v>0</v>
      </c>
      <c r="G120" s="92">
        <v>0</v>
      </c>
      <c r="H120" s="71">
        <v>0</v>
      </c>
      <c r="I120" s="67">
        <v>0</v>
      </c>
      <c r="J120" s="20">
        <v>0</v>
      </c>
      <c r="K120" s="132" t="s">
        <v>723</v>
      </c>
      <c r="L120" s="89">
        <v>0</v>
      </c>
      <c r="M120" s="154">
        <v>0</v>
      </c>
      <c r="N120" s="67">
        <v>0</v>
      </c>
      <c r="O120" s="67">
        <v>0</v>
      </c>
      <c r="Q120" s="71"/>
      <c r="S120" s="80">
        <v>0</v>
      </c>
      <c r="T120" s="80">
        <v>0</v>
      </c>
      <c r="U120" s="93">
        <v>0</v>
      </c>
      <c r="V120" s="61"/>
      <c r="AC120" s="36"/>
      <c r="AD120" s="36"/>
      <c r="AE120" s="36"/>
      <c r="AF120" s="19"/>
    </row>
    <row r="121" spans="1:32">
      <c r="A121" s="64" t="s">
        <v>599</v>
      </c>
      <c r="B121" s="63" t="s">
        <v>76</v>
      </c>
      <c r="C121" s="63" t="s">
        <v>77</v>
      </c>
      <c r="D121" s="134">
        <v>0</v>
      </c>
      <c r="E121" s="67">
        <v>0</v>
      </c>
      <c r="F121" s="146">
        <v>0</v>
      </c>
      <c r="G121" s="92">
        <v>0</v>
      </c>
      <c r="H121" s="71">
        <v>0</v>
      </c>
      <c r="I121" s="67">
        <v>0</v>
      </c>
      <c r="J121" s="20">
        <v>0</v>
      </c>
      <c r="K121" s="132" t="s">
        <v>723</v>
      </c>
      <c r="L121" s="89">
        <v>0</v>
      </c>
      <c r="M121" s="154">
        <v>0</v>
      </c>
      <c r="N121" s="67">
        <v>0</v>
      </c>
      <c r="O121" s="67">
        <v>0</v>
      </c>
      <c r="Q121" s="71"/>
      <c r="S121" s="80">
        <v>0</v>
      </c>
      <c r="T121" s="80">
        <v>0</v>
      </c>
      <c r="U121" s="93">
        <v>0</v>
      </c>
      <c r="V121" s="61"/>
      <c r="AC121" s="36"/>
      <c r="AD121" s="36"/>
      <c r="AE121" s="36"/>
      <c r="AF121" s="19"/>
    </row>
    <row r="122" spans="1:32">
      <c r="A122" s="64" t="s">
        <v>603</v>
      </c>
      <c r="B122" s="66" t="s">
        <v>94</v>
      </c>
      <c r="C122" s="63" t="s">
        <v>95</v>
      </c>
      <c r="D122" s="134">
        <v>0</v>
      </c>
      <c r="E122" s="67">
        <v>0</v>
      </c>
      <c r="F122" s="146">
        <v>0</v>
      </c>
      <c r="G122" s="92">
        <v>0</v>
      </c>
      <c r="H122" s="71">
        <v>0</v>
      </c>
      <c r="I122" s="67">
        <v>0</v>
      </c>
      <c r="J122" s="20">
        <v>0</v>
      </c>
      <c r="K122" s="132" t="s">
        <v>723</v>
      </c>
      <c r="L122" s="89">
        <v>0</v>
      </c>
      <c r="M122" s="154">
        <v>0</v>
      </c>
      <c r="N122" s="67">
        <v>0</v>
      </c>
      <c r="O122" s="67">
        <v>0</v>
      </c>
      <c r="Q122" s="71"/>
      <c r="S122" s="80">
        <v>0</v>
      </c>
      <c r="T122" s="80">
        <v>0</v>
      </c>
      <c r="U122" s="93">
        <v>0</v>
      </c>
      <c r="V122" s="61"/>
      <c r="AC122" s="36"/>
      <c r="AD122" s="36"/>
      <c r="AE122" s="36"/>
      <c r="AF122" s="19"/>
    </row>
    <row r="123" spans="1:32">
      <c r="A123" s="64" t="s">
        <v>599</v>
      </c>
      <c r="B123" s="63" t="s">
        <v>80</v>
      </c>
      <c r="C123" s="63" t="s">
        <v>81</v>
      </c>
      <c r="D123" s="134">
        <v>185.13</v>
      </c>
      <c r="E123" s="67">
        <v>19623</v>
      </c>
      <c r="F123" s="146">
        <v>0</v>
      </c>
      <c r="G123" s="92">
        <v>5850</v>
      </c>
      <c r="H123" s="71">
        <v>25473</v>
      </c>
      <c r="I123" s="67">
        <v>2244</v>
      </c>
      <c r="J123" s="20">
        <v>21867</v>
      </c>
      <c r="K123" s="132" t="s">
        <v>621</v>
      </c>
      <c r="L123" s="89">
        <v>0</v>
      </c>
      <c r="M123" s="154">
        <v>185.13</v>
      </c>
      <c r="N123" s="67">
        <v>578</v>
      </c>
      <c r="O123" s="67">
        <v>22445</v>
      </c>
      <c r="Q123" s="71"/>
      <c r="S123" s="80">
        <v>14886</v>
      </c>
      <c r="T123" s="80">
        <v>7559</v>
      </c>
      <c r="U123" s="93">
        <v>0.50779255676474544</v>
      </c>
      <c r="V123" s="61"/>
      <c r="AC123" s="36"/>
      <c r="AD123" s="36"/>
      <c r="AE123" s="36"/>
      <c r="AF123" s="19"/>
    </row>
    <row r="124" spans="1:32">
      <c r="A124" s="64" t="s">
        <v>596</v>
      </c>
      <c r="B124" s="63" t="s">
        <v>14</v>
      </c>
      <c r="C124" s="63" t="s">
        <v>15</v>
      </c>
      <c r="D124" s="134">
        <v>1296</v>
      </c>
      <c r="E124" s="67">
        <v>137373</v>
      </c>
      <c r="F124" s="146">
        <v>0</v>
      </c>
      <c r="G124" s="92">
        <v>0</v>
      </c>
      <c r="H124" s="71">
        <v>137373</v>
      </c>
      <c r="I124" s="67">
        <v>15711</v>
      </c>
      <c r="J124" s="20">
        <v>153084</v>
      </c>
      <c r="K124" s="132" t="s">
        <v>621</v>
      </c>
      <c r="L124" s="89">
        <v>0</v>
      </c>
      <c r="M124" s="154">
        <v>1296</v>
      </c>
      <c r="N124" s="67">
        <v>4050</v>
      </c>
      <c r="O124" s="67">
        <v>157134</v>
      </c>
      <c r="Q124" s="71"/>
      <c r="S124" s="80">
        <v>120342</v>
      </c>
      <c r="T124" s="80">
        <v>36792</v>
      </c>
      <c r="U124" s="93">
        <v>0.30572867328114872</v>
      </c>
      <c r="V124" s="61"/>
      <c r="AC124" s="36"/>
      <c r="AD124" s="36"/>
      <c r="AE124" s="36"/>
      <c r="AF124" s="19"/>
    </row>
    <row r="125" spans="1:32">
      <c r="A125" s="64" t="s">
        <v>597</v>
      </c>
      <c r="B125" s="63" t="s">
        <v>207</v>
      </c>
      <c r="C125" s="63" t="s">
        <v>208</v>
      </c>
      <c r="D125" s="134">
        <v>3693.13</v>
      </c>
      <c r="E125" s="67">
        <v>391463</v>
      </c>
      <c r="F125" s="146">
        <v>0</v>
      </c>
      <c r="G125" s="92">
        <v>0</v>
      </c>
      <c r="H125" s="71">
        <v>391463</v>
      </c>
      <c r="I125" s="67">
        <v>44771</v>
      </c>
      <c r="J125" s="20">
        <v>436234</v>
      </c>
      <c r="K125" s="132" t="s">
        <v>621</v>
      </c>
      <c r="L125" s="89">
        <v>0</v>
      </c>
      <c r="M125" s="154">
        <v>3693.13</v>
      </c>
      <c r="N125" s="67">
        <v>11540</v>
      </c>
      <c r="O125" s="67">
        <v>447774</v>
      </c>
      <c r="Q125" s="71"/>
      <c r="S125" s="80">
        <v>363810</v>
      </c>
      <c r="T125" s="80">
        <v>83964</v>
      </c>
      <c r="U125" s="93">
        <v>0.23079079739424424</v>
      </c>
      <c r="V125" s="61"/>
      <c r="AC125" s="36"/>
      <c r="AD125" s="36"/>
      <c r="AE125" s="36"/>
      <c r="AF125" s="19"/>
    </row>
    <row r="126" spans="1:32">
      <c r="A126" s="64" t="s">
        <v>603</v>
      </c>
      <c r="B126" s="63" t="s">
        <v>470</v>
      </c>
      <c r="C126" s="63" t="s">
        <v>471</v>
      </c>
      <c r="D126" s="134">
        <v>0</v>
      </c>
      <c r="E126" s="67">
        <v>0</v>
      </c>
      <c r="F126" s="146">
        <v>0</v>
      </c>
      <c r="G126" s="92">
        <v>0</v>
      </c>
      <c r="H126" s="71">
        <v>0</v>
      </c>
      <c r="I126" s="67">
        <v>0</v>
      </c>
      <c r="J126" s="20">
        <v>0</v>
      </c>
      <c r="K126" s="132" t="s">
        <v>723</v>
      </c>
      <c r="L126" s="89">
        <v>0</v>
      </c>
      <c r="M126" s="154">
        <v>0</v>
      </c>
      <c r="N126" s="67">
        <v>0</v>
      </c>
      <c r="O126" s="67">
        <v>0</v>
      </c>
      <c r="Q126" s="71"/>
      <c r="S126" s="80">
        <v>0</v>
      </c>
      <c r="T126" s="80">
        <v>0</v>
      </c>
      <c r="U126" s="93">
        <v>0</v>
      </c>
      <c r="V126" s="61"/>
      <c r="AC126" s="36"/>
      <c r="AD126" s="36"/>
      <c r="AE126" s="36"/>
      <c r="AF126" s="19"/>
    </row>
    <row r="127" spans="1:32">
      <c r="A127" s="64" t="s">
        <v>596</v>
      </c>
      <c r="B127" s="63" t="s">
        <v>18</v>
      </c>
      <c r="C127" s="63" t="s">
        <v>608</v>
      </c>
      <c r="D127" s="134">
        <v>177.13</v>
      </c>
      <c r="E127" s="67">
        <v>18775</v>
      </c>
      <c r="F127" s="146">
        <v>0</v>
      </c>
      <c r="G127" s="92">
        <v>3450</v>
      </c>
      <c r="H127" s="71">
        <v>22225</v>
      </c>
      <c r="I127" s="67">
        <v>2147</v>
      </c>
      <c r="J127" s="20">
        <v>20922</v>
      </c>
      <c r="K127" s="132" t="s">
        <v>621</v>
      </c>
      <c r="L127" s="89">
        <v>0</v>
      </c>
      <c r="M127" s="154">
        <v>177.13</v>
      </c>
      <c r="N127" s="67">
        <v>553</v>
      </c>
      <c r="O127" s="67">
        <v>21475</v>
      </c>
      <c r="Q127" s="71"/>
      <c r="S127" s="80">
        <v>16453</v>
      </c>
      <c r="T127" s="80">
        <v>5022</v>
      </c>
      <c r="U127" s="93">
        <v>0.30523308819060352</v>
      </c>
      <c r="V127" s="61"/>
      <c r="AC127" s="36"/>
      <c r="AD127" s="36"/>
      <c r="AE127" s="36"/>
      <c r="AF127" s="19"/>
    </row>
    <row r="128" spans="1:32">
      <c r="A128" s="64" t="s">
        <v>605</v>
      </c>
      <c r="B128" s="63" t="s">
        <v>228</v>
      </c>
      <c r="C128" s="63" t="s">
        <v>229</v>
      </c>
      <c r="D128" s="134">
        <v>38.75</v>
      </c>
      <c r="E128" s="67">
        <v>4107</v>
      </c>
      <c r="F128" s="146">
        <v>0</v>
      </c>
      <c r="G128" s="92">
        <v>0</v>
      </c>
      <c r="H128" s="71">
        <v>4107</v>
      </c>
      <c r="I128" s="67">
        <v>470</v>
      </c>
      <c r="J128" s="20">
        <v>4577</v>
      </c>
      <c r="K128" s="132" t="s">
        <v>621</v>
      </c>
      <c r="L128" s="89">
        <v>0</v>
      </c>
      <c r="M128" s="154">
        <v>38.75</v>
      </c>
      <c r="N128" s="67">
        <v>121</v>
      </c>
      <c r="O128" s="67">
        <v>4698</v>
      </c>
      <c r="Q128" s="71"/>
      <c r="S128" s="80">
        <v>3755</v>
      </c>
      <c r="T128" s="80">
        <v>943</v>
      </c>
      <c r="U128" s="93">
        <v>0.25113182423435421</v>
      </c>
      <c r="V128" s="61"/>
      <c r="AC128" s="36"/>
      <c r="AD128" s="36"/>
      <c r="AE128" s="36"/>
      <c r="AF128" s="19"/>
    </row>
    <row r="129" spans="1:32">
      <c r="A129" s="64" t="s">
        <v>599</v>
      </c>
      <c r="B129" s="63" t="s">
        <v>242</v>
      </c>
      <c r="C129" s="63" t="s">
        <v>243</v>
      </c>
      <c r="D129" s="134">
        <v>0</v>
      </c>
      <c r="E129" s="67">
        <v>0</v>
      </c>
      <c r="F129" s="146">
        <v>0</v>
      </c>
      <c r="G129" s="92">
        <v>0</v>
      </c>
      <c r="H129" s="71">
        <v>0</v>
      </c>
      <c r="I129" s="67">
        <v>0</v>
      </c>
      <c r="J129" s="20">
        <v>0</v>
      </c>
      <c r="K129" s="132" t="s">
        <v>723</v>
      </c>
      <c r="L129" s="89">
        <v>0</v>
      </c>
      <c r="M129" s="154">
        <v>0</v>
      </c>
      <c r="N129" s="67">
        <v>0</v>
      </c>
      <c r="O129" s="67">
        <v>0</v>
      </c>
      <c r="Q129" s="71"/>
      <c r="S129" s="80">
        <v>0</v>
      </c>
      <c r="T129" s="80">
        <v>0</v>
      </c>
      <c r="U129" s="93">
        <v>0</v>
      </c>
      <c r="V129" s="61"/>
      <c r="AC129" s="36"/>
      <c r="AD129" s="36"/>
      <c r="AE129" s="36"/>
      <c r="AF129" s="19"/>
    </row>
    <row r="130" spans="1:32">
      <c r="A130" s="64" t="s">
        <v>595</v>
      </c>
      <c r="B130" s="63" t="s">
        <v>382</v>
      </c>
      <c r="C130" s="63" t="s">
        <v>383</v>
      </c>
      <c r="D130" s="134">
        <v>0</v>
      </c>
      <c r="E130" s="67">
        <v>0</v>
      </c>
      <c r="F130" s="146">
        <v>0</v>
      </c>
      <c r="G130" s="92">
        <v>0</v>
      </c>
      <c r="H130" s="71">
        <v>0</v>
      </c>
      <c r="I130" s="67">
        <v>0</v>
      </c>
      <c r="J130" s="20">
        <v>0</v>
      </c>
      <c r="K130" s="132" t="s">
        <v>723</v>
      </c>
      <c r="L130" s="89">
        <v>0</v>
      </c>
      <c r="M130" s="154">
        <v>0</v>
      </c>
      <c r="N130" s="67">
        <v>0</v>
      </c>
      <c r="O130" s="67">
        <v>0</v>
      </c>
      <c r="Q130" s="71"/>
      <c r="S130" s="80">
        <v>0</v>
      </c>
      <c r="T130" s="80">
        <v>0</v>
      </c>
      <c r="U130" s="93">
        <v>0</v>
      </c>
      <c r="V130" s="61"/>
      <c r="AC130" s="36"/>
      <c r="AD130" s="36"/>
      <c r="AE130" s="36"/>
      <c r="AF130" s="19"/>
    </row>
    <row r="131" spans="1:32">
      <c r="A131" s="64" t="s">
        <v>599</v>
      </c>
      <c r="B131" s="63" t="s">
        <v>53</v>
      </c>
      <c r="C131" s="63" t="s">
        <v>609</v>
      </c>
      <c r="D131" s="134">
        <v>13</v>
      </c>
      <c r="E131" s="67">
        <v>1378</v>
      </c>
      <c r="F131" s="146">
        <v>0</v>
      </c>
      <c r="G131" s="92">
        <v>0</v>
      </c>
      <c r="H131" s="71">
        <v>1378</v>
      </c>
      <c r="I131" s="67">
        <v>158</v>
      </c>
      <c r="J131" s="20">
        <v>1536</v>
      </c>
      <c r="K131" s="132" t="s">
        <v>621</v>
      </c>
      <c r="L131" s="89">
        <v>0</v>
      </c>
      <c r="M131" s="154">
        <v>13</v>
      </c>
      <c r="N131" s="67">
        <v>41</v>
      </c>
      <c r="O131" s="67">
        <v>1577</v>
      </c>
      <c r="Q131" s="71"/>
      <c r="S131" s="80">
        <v>0</v>
      </c>
      <c r="T131" s="80">
        <v>1577</v>
      </c>
      <c r="U131" s="93">
        <v>0</v>
      </c>
      <c r="V131" s="61"/>
      <c r="AC131" s="36"/>
      <c r="AD131" s="36"/>
      <c r="AE131" s="36"/>
      <c r="AF131" s="19"/>
    </row>
    <row r="132" spans="1:32">
      <c r="A132" s="64" t="s">
        <v>603</v>
      </c>
      <c r="B132" s="63" t="s">
        <v>518</v>
      </c>
      <c r="C132" s="63" t="s">
        <v>645</v>
      </c>
      <c r="D132" s="134">
        <v>0</v>
      </c>
      <c r="E132" s="67">
        <v>0</v>
      </c>
      <c r="F132" s="146">
        <v>0</v>
      </c>
      <c r="G132" s="92">
        <v>0</v>
      </c>
      <c r="H132" s="71">
        <v>0</v>
      </c>
      <c r="I132" s="67">
        <v>0</v>
      </c>
      <c r="J132" s="20">
        <v>0</v>
      </c>
      <c r="K132" s="132" t="s">
        <v>723</v>
      </c>
      <c r="L132" s="89">
        <v>0</v>
      </c>
      <c r="M132" s="154">
        <v>0</v>
      </c>
      <c r="N132" s="67">
        <v>0</v>
      </c>
      <c r="O132" s="67">
        <v>0</v>
      </c>
      <c r="Q132" s="71"/>
      <c r="S132" s="80">
        <v>0</v>
      </c>
      <c r="T132" s="80">
        <v>0</v>
      </c>
      <c r="U132" s="93">
        <v>0</v>
      </c>
      <c r="V132" s="61"/>
      <c r="AC132" s="36"/>
      <c r="AD132" s="36"/>
      <c r="AE132" s="36"/>
      <c r="AF132" s="19"/>
    </row>
    <row r="133" spans="1:32">
      <c r="A133" s="64" t="s">
        <v>601</v>
      </c>
      <c r="B133" s="63" t="s">
        <v>31</v>
      </c>
      <c r="C133" s="63" t="s">
        <v>32</v>
      </c>
      <c r="D133" s="134">
        <v>229.13</v>
      </c>
      <c r="E133" s="67">
        <v>24287</v>
      </c>
      <c r="F133" s="146">
        <v>0</v>
      </c>
      <c r="G133" s="92">
        <v>0</v>
      </c>
      <c r="H133" s="71">
        <v>24287</v>
      </c>
      <c r="I133" s="67">
        <v>2778</v>
      </c>
      <c r="J133" s="20">
        <v>27065</v>
      </c>
      <c r="K133" s="132" t="s">
        <v>621</v>
      </c>
      <c r="L133" s="89">
        <v>0</v>
      </c>
      <c r="M133" s="154">
        <v>229.13</v>
      </c>
      <c r="N133" s="67">
        <v>716</v>
      </c>
      <c r="O133" s="67">
        <v>27781</v>
      </c>
      <c r="Q133" s="71"/>
      <c r="S133" s="80">
        <v>21254</v>
      </c>
      <c r="T133" s="80">
        <v>6527</v>
      </c>
      <c r="U133" s="93">
        <v>0.30709513503340546</v>
      </c>
      <c r="V133" s="61"/>
      <c r="AC133" s="36"/>
      <c r="AD133" s="36"/>
      <c r="AE133" s="36"/>
      <c r="AF133" s="19"/>
    </row>
    <row r="134" spans="1:32">
      <c r="A134" s="64" t="s">
        <v>595</v>
      </c>
      <c r="B134" s="63" t="s">
        <v>397</v>
      </c>
      <c r="C134" s="63" t="s">
        <v>398</v>
      </c>
      <c r="D134" s="134">
        <v>145.88</v>
      </c>
      <c r="E134" s="67">
        <v>15463</v>
      </c>
      <c r="F134" s="146">
        <v>0</v>
      </c>
      <c r="G134" s="92">
        <v>0</v>
      </c>
      <c r="H134" s="71">
        <v>15463</v>
      </c>
      <c r="I134" s="67">
        <v>1768</v>
      </c>
      <c r="J134" s="20">
        <v>17231</v>
      </c>
      <c r="K134" s="132" t="s">
        <v>621</v>
      </c>
      <c r="L134" s="89">
        <v>0</v>
      </c>
      <c r="M134" s="154">
        <v>145.88</v>
      </c>
      <c r="N134" s="67">
        <v>456</v>
      </c>
      <c r="O134" s="67">
        <v>17687</v>
      </c>
      <c r="Q134" s="71"/>
      <c r="S134" s="80">
        <v>11590</v>
      </c>
      <c r="T134" s="80">
        <v>6097</v>
      </c>
      <c r="U134" s="93">
        <v>0.52605694564279548</v>
      </c>
      <c r="V134" s="61"/>
      <c r="AC134" s="36"/>
      <c r="AD134" s="36"/>
      <c r="AE134" s="36"/>
      <c r="AF134" s="19"/>
    </row>
    <row r="135" spans="1:32">
      <c r="A135" s="64" t="s">
        <v>597</v>
      </c>
      <c r="B135" s="65" t="s">
        <v>659</v>
      </c>
      <c r="C135" s="63" t="s">
        <v>660</v>
      </c>
      <c r="D135" s="134">
        <v>1</v>
      </c>
      <c r="E135" s="67">
        <v>106</v>
      </c>
      <c r="F135" s="146">
        <v>0</v>
      </c>
      <c r="G135" s="92">
        <v>0</v>
      </c>
      <c r="H135" s="71">
        <v>106</v>
      </c>
      <c r="I135" s="67">
        <v>12</v>
      </c>
      <c r="J135" s="20">
        <v>118</v>
      </c>
      <c r="K135" s="132" t="s">
        <v>723</v>
      </c>
      <c r="L135" s="89">
        <v>0</v>
      </c>
      <c r="M135" s="154">
        <v>1</v>
      </c>
      <c r="N135" s="67">
        <v>3</v>
      </c>
      <c r="O135" s="67">
        <v>121</v>
      </c>
      <c r="Q135" s="71"/>
      <c r="S135" s="80">
        <v>0</v>
      </c>
      <c r="T135" s="80">
        <v>121</v>
      </c>
      <c r="U135" s="93">
        <v>0</v>
      </c>
      <c r="V135" s="61"/>
      <c r="AC135" s="36"/>
      <c r="AD135" s="36"/>
      <c r="AE135" s="36"/>
      <c r="AF135" s="19"/>
    </row>
    <row r="136" spans="1:32">
      <c r="A136" s="64" t="s">
        <v>597</v>
      </c>
      <c r="B136" s="63" t="s">
        <v>205</v>
      </c>
      <c r="C136" s="63" t="s">
        <v>206</v>
      </c>
      <c r="D136" s="134">
        <v>973.63</v>
      </c>
      <c r="E136" s="67">
        <v>103202</v>
      </c>
      <c r="F136" s="146">
        <v>0</v>
      </c>
      <c r="G136" s="92">
        <v>0</v>
      </c>
      <c r="H136" s="71">
        <v>103202</v>
      </c>
      <c r="I136" s="67">
        <v>11803</v>
      </c>
      <c r="J136" s="20">
        <v>115005</v>
      </c>
      <c r="K136" s="132" t="s">
        <v>621</v>
      </c>
      <c r="L136" s="89">
        <v>0</v>
      </c>
      <c r="M136" s="154">
        <v>973.63</v>
      </c>
      <c r="N136" s="67">
        <v>3042</v>
      </c>
      <c r="O136" s="67">
        <v>118047</v>
      </c>
      <c r="Q136" s="71"/>
      <c r="S136" s="80">
        <v>95855</v>
      </c>
      <c r="T136" s="80">
        <v>22192</v>
      </c>
      <c r="U136" s="93">
        <v>0.2315163528245788</v>
      </c>
      <c r="V136" s="61"/>
      <c r="AC136" s="36"/>
      <c r="AD136" s="36"/>
      <c r="AE136" s="36"/>
      <c r="AF136" s="19"/>
    </row>
    <row r="137" spans="1:32">
      <c r="A137" s="64" t="s">
        <v>595</v>
      </c>
      <c r="B137" s="63" t="s">
        <v>413</v>
      </c>
      <c r="C137" s="63" t="s">
        <v>414</v>
      </c>
      <c r="D137" s="134">
        <v>61.88</v>
      </c>
      <c r="E137" s="67">
        <v>6559</v>
      </c>
      <c r="F137" s="146">
        <v>0</v>
      </c>
      <c r="G137" s="92">
        <v>2250</v>
      </c>
      <c r="H137" s="71">
        <v>8809</v>
      </c>
      <c r="I137" s="67">
        <v>750</v>
      </c>
      <c r="J137" s="20">
        <v>7309</v>
      </c>
      <c r="K137" s="132" t="s">
        <v>621</v>
      </c>
      <c r="L137" s="89">
        <v>0</v>
      </c>
      <c r="M137" s="154">
        <v>61.88</v>
      </c>
      <c r="N137" s="67">
        <v>193</v>
      </c>
      <c r="O137" s="67">
        <v>7502</v>
      </c>
      <c r="Q137" s="71"/>
      <c r="S137" s="80">
        <v>5049</v>
      </c>
      <c r="T137" s="80">
        <v>2453</v>
      </c>
      <c r="U137" s="93">
        <v>0.48583877995642699</v>
      </c>
      <c r="V137" s="61"/>
      <c r="AC137" s="36"/>
      <c r="AD137" s="36"/>
      <c r="AE137" s="36"/>
      <c r="AF137" s="19"/>
    </row>
    <row r="138" spans="1:32">
      <c r="A138" s="64" t="s">
        <v>603</v>
      </c>
      <c r="B138" s="63" t="s">
        <v>519</v>
      </c>
      <c r="C138" s="63" t="s">
        <v>520</v>
      </c>
      <c r="D138" s="134">
        <v>0</v>
      </c>
      <c r="E138" s="67">
        <v>0</v>
      </c>
      <c r="F138" s="146">
        <v>0</v>
      </c>
      <c r="G138" s="92">
        <v>0</v>
      </c>
      <c r="H138" s="71">
        <v>0</v>
      </c>
      <c r="I138" s="67">
        <v>0</v>
      </c>
      <c r="J138" s="20">
        <v>0</v>
      </c>
      <c r="K138" s="132" t="s">
        <v>723</v>
      </c>
      <c r="L138" s="89">
        <v>0</v>
      </c>
      <c r="M138" s="154">
        <v>0</v>
      </c>
      <c r="N138" s="67">
        <v>0</v>
      </c>
      <c r="O138" s="67">
        <v>0</v>
      </c>
      <c r="Q138" s="71"/>
      <c r="S138" s="80">
        <v>0</v>
      </c>
      <c r="T138" s="80">
        <v>0</v>
      </c>
      <c r="U138" s="93">
        <v>0</v>
      </c>
      <c r="V138" s="61"/>
      <c r="AC138" s="36"/>
      <c r="AD138" s="36"/>
      <c r="AE138" s="36"/>
      <c r="AF138" s="19"/>
    </row>
    <row r="139" spans="1:32">
      <c r="A139" s="64" t="s">
        <v>603</v>
      </c>
      <c r="B139" s="63" t="s">
        <v>441</v>
      </c>
      <c r="C139" s="63" t="s">
        <v>442</v>
      </c>
      <c r="D139" s="134">
        <v>0</v>
      </c>
      <c r="E139" s="67">
        <v>0</v>
      </c>
      <c r="F139" s="146">
        <v>0</v>
      </c>
      <c r="G139" s="92">
        <v>0</v>
      </c>
      <c r="H139" s="71">
        <v>0</v>
      </c>
      <c r="I139" s="67">
        <v>0</v>
      </c>
      <c r="J139" s="20">
        <v>0</v>
      </c>
      <c r="K139" s="132" t="s">
        <v>723</v>
      </c>
      <c r="L139" s="89">
        <v>0</v>
      </c>
      <c r="M139" s="154">
        <v>0</v>
      </c>
      <c r="N139" s="67">
        <v>0</v>
      </c>
      <c r="O139" s="67">
        <v>0</v>
      </c>
      <c r="Q139" s="71"/>
      <c r="S139" s="80">
        <v>0</v>
      </c>
      <c r="T139" s="80">
        <v>0</v>
      </c>
      <c r="U139" s="93">
        <v>0</v>
      </c>
      <c r="V139" s="61"/>
      <c r="AC139" s="36"/>
      <c r="AD139" s="36"/>
      <c r="AE139" s="36"/>
      <c r="AF139" s="19"/>
    </row>
    <row r="140" spans="1:32">
      <c r="A140" s="64" t="s">
        <v>603</v>
      </c>
      <c r="B140" s="63" t="s">
        <v>6</v>
      </c>
      <c r="C140" s="63" t="s">
        <v>7</v>
      </c>
      <c r="D140" s="134">
        <v>29.88</v>
      </c>
      <c r="E140" s="67">
        <v>3167</v>
      </c>
      <c r="F140" s="146">
        <v>0</v>
      </c>
      <c r="G140" s="92">
        <v>0</v>
      </c>
      <c r="H140" s="71">
        <v>3167</v>
      </c>
      <c r="I140" s="67">
        <v>362</v>
      </c>
      <c r="J140" s="20">
        <v>3529</v>
      </c>
      <c r="K140" s="132" t="s">
        <v>724</v>
      </c>
      <c r="L140" s="89">
        <v>3529</v>
      </c>
      <c r="M140" s="154">
        <v>0</v>
      </c>
      <c r="N140" s="67">
        <v>0</v>
      </c>
      <c r="O140" s="67">
        <v>0</v>
      </c>
      <c r="Q140" s="71"/>
      <c r="S140" s="80">
        <v>0</v>
      </c>
      <c r="T140" s="80">
        <v>0</v>
      </c>
      <c r="U140" s="93">
        <v>0</v>
      </c>
      <c r="V140" s="61"/>
      <c r="AC140" s="36"/>
      <c r="AD140" s="36"/>
      <c r="AE140" s="36"/>
      <c r="AF140" s="19"/>
    </row>
    <row r="141" spans="1:32">
      <c r="A141" s="64" t="s">
        <v>599</v>
      </c>
      <c r="B141" s="63" t="s">
        <v>70</v>
      </c>
      <c r="C141" s="63" t="s">
        <v>71</v>
      </c>
      <c r="D141" s="134">
        <v>313.63</v>
      </c>
      <c r="E141" s="67">
        <v>33244</v>
      </c>
      <c r="F141" s="146">
        <v>0</v>
      </c>
      <c r="G141" s="92">
        <v>0</v>
      </c>
      <c r="H141" s="71">
        <v>33244</v>
      </c>
      <c r="I141" s="67">
        <v>3802</v>
      </c>
      <c r="J141" s="20">
        <v>37046</v>
      </c>
      <c r="K141" s="132" t="s">
        <v>621</v>
      </c>
      <c r="L141" s="89">
        <v>0</v>
      </c>
      <c r="M141" s="154">
        <v>313.63</v>
      </c>
      <c r="N141" s="67">
        <v>980</v>
      </c>
      <c r="O141" s="67">
        <v>38026</v>
      </c>
      <c r="Q141" s="71"/>
      <c r="S141" s="80">
        <v>30406</v>
      </c>
      <c r="T141" s="80">
        <v>7620</v>
      </c>
      <c r="U141" s="93">
        <v>0.25060843254620796</v>
      </c>
      <c r="V141" s="61"/>
      <c r="AC141" s="36"/>
      <c r="AD141" s="36"/>
      <c r="AE141" s="36"/>
      <c r="AF141" s="19"/>
    </row>
    <row r="142" spans="1:32">
      <c r="A142" s="64" t="s">
        <v>603</v>
      </c>
      <c r="B142" s="63" t="s">
        <v>458</v>
      </c>
      <c r="C142" s="63" t="s">
        <v>459</v>
      </c>
      <c r="D142" s="134">
        <v>0</v>
      </c>
      <c r="E142" s="67">
        <v>0</v>
      </c>
      <c r="F142" s="146">
        <v>0</v>
      </c>
      <c r="G142" s="92">
        <v>0</v>
      </c>
      <c r="H142" s="71">
        <v>0</v>
      </c>
      <c r="I142" s="67">
        <v>0</v>
      </c>
      <c r="J142" s="20">
        <v>0</v>
      </c>
      <c r="K142" s="132" t="s">
        <v>723</v>
      </c>
      <c r="L142" s="89">
        <v>0</v>
      </c>
      <c r="M142" s="154">
        <v>0</v>
      </c>
      <c r="N142" s="67">
        <v>0</v>
      </c>
      <c r="O142" s="67">
        <v>0</v>
      </c>
      <c r="Q142" s="71"/>
      <c r="S142" s="80">
        <v>0</v>
      </c>
      <c r="T142" s="80">
        <v>0</v>
      </c>
      <c r="U142" s="93">
        <v>0</v>
      </c>
      <c r="V142" s="61"/>
      <c r="AC142" s="36"/>
      <c r="AD142" s="36"/>
      <c r="AE142" s="36"/>
      <c r="AF142" s="19"/>
    </row>
    <row r="143" spans="1:32">
      <c r="A143" s="64" t="s">
        <v>595</v>
      </c>
      <c r="B143" s="63" t="s">
        <v>373</v>
      </c>
      <c r="C143" s="63" t="s">
        <v>374</v>
      </c>
      <c r="D143" s="134">
        <v>12</v>
      </c>
      <c r="E143" s="67">
        <v>1272</v>
      </c>
      <c r="F143" s="146">
        <v>0</v>
      </c>
      <c r="G143" s="92">
        <v>0</v>
      </c>
      <c r="H143" s="71">
        <v>1272</v>
      </c>
      <c r="I143" s="67">
        <v>145</v>
      </c>
      <c r="J143" s="20">
        <v>1417</v>
      </c>
      <c r="K143" s="132" t="s">
        <v>724</v>
      </c>
      <c r="L143" s="89">
        <v>1417</v>
      </c>
      <c r="M143" s="154">
        <v>0</v>
      </c>
      <c r="N143" s="67">
        <v>0</v>
      </c>
      <c r="O143" s="67">
        <v>0</v>
      </c>
      <c r="Q143" s="71"/>
      <c r="S143" s="80">
        <v>0</v>
      </c>
      <c r="T143" s="80">
        <v>0</v>
      </c>
      <c r="U143" s="93">
        <v>0</v>
      </c>
      <c r="V143" s="61"/>
      <c r="AC143" s="36"/>
      <c r="AD143" s="36"/>
      <c r="AE143" s="36"/>
      <c r="AF143" s="19"/>
    </row>
    <row r="144" spans="1:32">
      <c r="A144" s="64" t="s">
        <v>599</v>
      </c>
      <c r="B144" s="63" t="s">
        <v>250</v>
      </c>
      <c r="C144" s="63" t="s">
        <v>251</v>
      </c>
      <c r="D144" s="134">
        <v>5.88</v>
      </c>
      <c r="E144" s="67">
        <v>623</v>
      </c>
      <c r="F144" s="146">
        <v>0</v>
      </c>
      <c r="G144" s="92">
        <v>0</v>
      </c>
      <c r="H144" s="71">
        <v>623</v>
      </c>
      <c r="I144" s="67">
        <v>71</v>
      </c>
      <c r="J144" s="20">
        <v>694</v>
      </c>
      <c r="K144" s="132" t="s">
        <v>724</v>
      </c>
      <c r="L144" s="89">
        <v>694</v>
      </c>
      <c r="M144" s="154">
        <v>0</v>
      </c>
      <c r="N144" s="67">
        <v>0</v>
      </c>
      <c r="O144" s="67">
        <v>0</v>
      </c>
      <c r="Q144" s="71"/>
      <c r="S144" s="80">
        <v>0</v>
      </c>
      <c r="T144" s="80">
        <v>0</v>
      </c>
      <c r="U144" s="93">
        <v>0</v>
      </c>
      <c r="V144" s="61"/>
      <c r="AC144" s="36"/>
      <c r="AD144" s="36"/>
      <c r="AE144" s="36"/>
      <c r="AF144" s="19"/>
    </row>
    <row r="145" spans="1:32">
      <c r="A145" s="64" t="s">
        <v>595</v>
      </c>
      <c r="B145" s="63" t="s">
        <v>510</v>
      </c>
      <c r="C145" s="63" t="s">
        <v>511</v>
      </c>
      <c r="D145" s="134">
        <v>232.38</v>
      </c>
      <c r="E145" s="67">
        <v>24632</v>
      </c>
      <c r="F145" s="146">
        <v>0</v>
      </c>
      <c r="G145" s="92">
        <v>4800</v>
      </c>
      <c r="H145" s="71">
        <v>29432</v>
      </c>
      <c r="I145" s="67">
        <v>2817</v>
      </c>
      <c r="J145" s="20">
        <v>27449</v>
      </c>
      <c r="K145" s="132" t="s">
        <v>621</v>
      </c>
      <c r="L145" s="89">
        <v>0</v>
      </c>
      <c r="M145" s="154">
        <v>232.38</v>
      </c>
      <c r="N145" s="67">
        <v>726</v>
      </c>
      <c r="O145" s="67">
        <v>28175</v>
      </c>
      <c r="Q145" s="71"/>
      <c r="S145" s="80">
        <v>26414</v>
      </c>
      <c r="T145" s="80">
        <v>1761</v>
      </c>
      <c r="U145" s="93">
        <v>6.666919058075263E-2</v>
      </c>
      <c r="V145" s="61"/>
      <c r="AC145" s="36"/>
      <c r="AD145" s="36"/>
      <c r="AE145" s="36"/>
      <c r="AF145" s="19"/>
    </row>
    <row r="146" spans="1:32">
      <c r="A146" s="64" t="s">
        <v>605</v>
      </c>
      <c r="B146" s="63" t="s">
        <v>553</v>
      </c>
      <c r="C146" s="63" t="s">
        <v>554</v>
      </c>
      <c r="D146" s="134">
        <v>326.13</v>
      </c>
      <c r="E146" s="67">
        <v>34569</v>
      </c>
      <c r="F146" s="146">
        <v>10000</v>
      </c>
      <c r="G146" s="92">
        <v>0</v>
      </c>
      <c r="H146" s="71">
        <v>44569</v>
      </c>
      <c r="I146" s="67">
        <v>3954</v>
      </c>
      <c r="J146" s="20">
        <v>38523</v>
      </c>
      <c r="K146" s="132" t="s">
        <v>621</v>
      </c>
      <c r="L146" s="89">
        <v>0</v>
      </c>
      <c r="M146" s="154">
        <v>326.13</v>
      </c>
      <c r="N146" s="67">
        <v>1019</v>
      </c>
      <c r="O146" s="67">
        <v>39542</v>
      </c>
      <c r="Q146" s="71"/>
      <c r="S146" s="80">
        <v>31587</v>
      </c>
      <c r="T146" s="80">
        <v>7955</v>
      </c>
      <c r="U146" s="93">
        <v>0.25184411308449678</v>
      </c>
      <c r="V146" s="61"/>
      <c r="AC146" s="36"/>
      <c r="AD146" s="36"/>
      <c r="AE146" s="36"/>
      <c r="AF146" s="19"/>
    </row>
    <row r="147" spans="1:32">
      <c r="A147" s="64" t="s">
        <v>601</v>
      </c>
      <c r="B147" s="63" t="s">
        <v>90</v>
      </c>
      <c r="C147" s="63" t="s">
        <v>91</v>
      </c>
      <c r="D147" s="134">
        <v>0</v>
      </c>
      <c r="E147" s="67">
        <v>0</v>
      </c>
      <c r="F147" s="146">
        <v>0</v>
      </c>
      <c r="G147" s="92">
        <v>0</v>
      </c>
      <c r="H147" s="71">
        <v>0</v>
      </c>
      <c r="I147" s="67">
        <v>0</v>
      </c>
      <c r="J147" s="20">
        <v>0</v>
      </c>
      <c r="K147" s="132" t="s">
        <v>723</v>
      </c>
      <c r="L147" s="89">
        <v>0</v>
      </c>
      <c r="M147" s="154">
        <v>0</v>
      </c>
      <c r="N147" s="67">
        <v>0</v>
      </c>
      <c r="O147" s="67">
        <v>0</v>
      </c>
      <c r="Q147" s="71"/>
      <c r="S147" s="80">
        <v>0</v>
      </c>
      <c r="T147" s="80">
        <v>0</v>
      </c>
      <c r="U147" s="93">
        <v>0</v>
      </c>
      <c r="V147" s="61"/>
      <c r="AC147" s="36"/>
      <c r="AD147" s="36"/>
      <c r="AE147" s="36"/>
      <c r="AF147" s="19"/>
    </row>
    <row r="148" spans="1:32">
      <c r="A148" s="64" t="s">
        <v>601</v>
      </c>
      <c r="B148" s="63" t="s">
        <v>25</v>
      </c>
      <c r="C148" s="63" t="s">
        <v>26</v>
      </c>
      <c r="D148" s="134">
        <v>212.63</v>
      </c>
      <c r="E148" s="67">
        <v>22538</v>
      </c>
      <c r="F148" s="146">
        <v>0</v>
      </c>
      <c r="G148" s="92">
        <v>0</v>
      </c>
      <c r="H148" s="71">
        <v>22538</v>
      </c>
      <c r="I148" s="67">
        <v>2578</v>
      </c>
      <c r="J148" s="20">
        <v>25116</v>
      </c>
      <c r="K148" s="132" t="s">
        <v>621</v>
      </c>
      <c r="L148" s="89">
        <v>0</v>
      </c>
      <c r="M148" s="154">
        <v>212.63</v>
      </c>
      <c r="N148" s="67">
        <v>664</v>
      </c>
      <c r="O148" s="67">
        <v>25780</v>
      </c>
      <c r="Q148" s="71"/>
      <c r="S148" s="80">
        <v>23403</v>
      </c>
      <c r="T148" s="80">
        <v>2377</v>
      </c>
      <c r="U148" s="93">
        <v>0.10156817502029654</v>
      </c>
      <c r="V148" s="61"/>
      <c r="AC148" s="36"/>
      <c r="AD148" s="36"/>
      <c r="AE148" s="36"/>
      <c r="AF148" s="19"/>
    </row>
    <row r="149" spans="1:32">
      <c r="A149" s="64" t="s">
        <v>594</v>
      </c>
      <c r="B149" s="63" t="s">
        <v>301</v>
      </c>
      <c r="C149" s="63" t="s">
        <v>302</v>
      </c>
      <c r="D149" s="134">
        <v>0</v>
      </c>
      <c r="E149" s="67">
        <v>0</v>
      </c>
      <c r="F149" s="146">
        <v>0</v>
      </c>
      <c r="G149" s="92">
        <v>0</v>
      </c>
      <c r="H149" s="71">
        <v>0</v>
      </c>
      <c r="I149" s="67">
        <v>0</v>
      </c>
      <c r="J149" s="20">
        <v>0</v>
      </c>
      <c r="K149" s="132" t="s">
        <v>723</v>
      </c>
      <c r="L149" s="89">
        <v>0</v>
      </c>
      <c r="M149" s="154">
        <v>0</v>
      </c>
      <c r="N149" s="67">
        <v>0</v>
      </c>
      <c r="O149" s="67">
        <v>0</v>
      </c>
      <c r="Q149" s="71"/>
      <c r="S149" s="80">
        <v>0</v>
      </c>
      <c r="T149" s="80">
        <v>0</v>
      </c>
      <c r="U149" s="93">
        <v>0</v>
      </c>
      <c r="V149" s="61"/>
      <c r="AC149" s="36"/>
      <c r="AD149" s="36"/>
      <c r="AE149" s="36"/>
      <c r="AF149" s="19"/>
    </row>
    <row r="150" spans="1:32">
      <c r="A150" s="64" t="s">
        <v>603</v>
      </c>
      <c r="B150" s="63" t="s">
        <v>466</v>
      </c>
      <c r="C150" s="63" t="s">
        <v>467</v>
      </c>
      <c r="D150" s="134">
        <v>0</v>
      </c>
      <c r="E150" s="67">
        <v>0</v>
      </c>
      <c r="F150" s="146">
        <v>0</v>
      </c>
      <c r="G150" s="92">
        <v>0</v>
      </c>
      <c r="H150" s="71">
        <v>0</v>
      </c>
      <c r="I150" s="67">
        <v>0</v>
      </c>
      <c r="J150" s="20">
        <v>0</v>
      </c>
      <c r="K150" s="132" t="s">
        <v>723</v>
      </c>
      <c r="L150" s="89">
        <v>0</v>
      </c>
      <c r="M150" s="154">
        <v>0</v>
      </c>
      <c r="N150" s="67">
        <v>0</v>
      </c>
      <c r="O150" s="67">
        <v>0</v>
      </c>
      <c r="Q150" s="71"/>
      <c r="S150" s="80">
        <v>0</v>
      </c>
      <c r="T150" s="80">
        <v>0</v>
      </c>
      <c r="U150" s="93">
        <v>0</v>
      </c>
      <c r="V150" s="61"/>
      <c r="AC150" s="36"/>
      <c r="AD150" s="36"/>
      <c r="AE150" s="36"/>
      <c r="AF150" s="19"/>
    </row>
    <row r="151" spans="1:32">
      <c r="A151" s="64" t="s">
        <v>595</v>
      </c>
      <c r="B151" s="63" t="s">
        <v>405</v>
      </c>
      <c r="C151" s="63" t="s">
        <v>406</v>
      </c>
      <c r="D151" s="134">
        <v>646.88</v>
      </c>
      <c r="E151" s="67">
        <v>68568</v>
      </c>
      <c r="F151" s="146">
        <v>0</v>
      </c>
      <c r="G151" s="92">
        <v>0</v>
      </c>
      <c r="H151" s="71">
        <v>68568</v>
      </c>
      <c r="I151" s="67">
        <v>7842</v>
      </c>
      <c r="J151" s="20">
        <v>76410</v>
      </c>
      <c r="K151" s="132" t="s">
        <v>621</v>
      </c>
      <c r="L151" s="89">
        <v>0</v>
      </c>
      <c r="M151" s="154">
        <v>646.88</v>
      </c>
      <c r="N151" s="67">
        <v>2021</v>
      </c>
      <c r="O151" s="67">
        <v>78431</v>
      </c>
      <c r="Q151" s="71"/>
      <c r="S151" s="80">
        <v>55090</v>
      </c>
      <c r="T151" s="80">
        <v>23341</v>
      </c>
      <c r="U151" s="93">
        <v>0.42368850971138139</v>
      </c>
      <c r="V151" s="61"/>
      <c r="AC151" s="36"/>
      <c r="AD151" s="36"/>
      <c r="AE151" s="36"/>
      <c r="AF151" s="19"/>
    </row>
    <row r="152" spans="1:32">
      <c r="A152" s="64" t="s">
        <v>594</v>
      </c>
      <c r="B152" s="63" t="s">
        <v>138</v>
      </c>
      <c r="C152" s="63" t="s">
        <v>656</v>
      </c>
      <c r="D152" s="134">
        <v>0</v>
      </c>
      <c r="E152" s="67">
        <v>0</v>
      </c>
      <c r="F152" s="146">
        <v>0</v>
      </c>
      <c r="G152" s="92">
        <v>0</v>
      </c>
      <c r="H152" s="71">
        <v>0</v>
      </c>
      <c r="I152" s="67">
        <v>0</v>
      </c>
      <c r="J152" s="20">
        <v>0</v>
      </c>
      <c r="K152" s="132" t="s">
        <v>723</v>
      </c>
      <c r="L152" s="89">
        <v>0</v>
      </c>
      <c r="M152" s="154">
        <v>0</v>
      </c>
      <c r="N152" s="67">
        <v>0</v>
      </c>
      <c r="O152" s="67">
        <v>0</v>
      </c>
      <c r="Q152" s="71"/>
      <c r="S152" s="80">
        <v>0</v>
      </c>
      <c r="T152" s="80">
        <v>0</v>
      </c>
      <c r="U152" s="93">
        <v>0</v>
      </c>
      <c r="V152" s="61"/>
      <c r="AC152" s="36"/>
      <c r="AD152" s="36"/>
      <c r="AE152" s="36"/>
      <c r="AF152" s="19"/>
    </row>
    <row r="153" spans="1:32">
      <c r="A153" s="64" t="s">
        <v>603</v>
      </c>
      <c r="B153" s="63" t="s">
        <v>432</v>
      </c>
      <c r="C153" s="63" t="s">
        <v>433</v>
      </c>
      <c r="D153" s="134">
        <v>126.63</v>
      </c>
      <c r="E153" s="67">
        <v>13422</v>
      </c>
      <c r="F153" s="146">
        <v>0</v>
      </c>
      <c r="G153" s="92">
        <v>0</v>
      </c>
      <c r="H153" s="71">
        <v>13422</v>
      </c>
      <c r="I153" s="67">
        <v>1535</v>
      </c>
      <c r="J153" s="20">
        <v>14957</v>
      </c>
      <c r="K153" s="132" t="s">
        <v>621</v>
      </c>
      <c r="L153" s="89">
        <v>0</v>
      </c>
      <c r="M153" s="154">
        <v>126.63</v>
      </c>
      <c r="N153" s="67">
        <v>396</v>
      </c>
      <c r="O153" s="67">
        <v>15353</v>
      </c>
      <c r="Q153" s="71"/>
      <c r="S153" s="80">
        <v>10844</v>
      </c>
      <c r="T153" s="80">
        <v>4509</v>
      </c>
      <c r="U153" s="93">
        <v>0.41580597565473992</v>
      </c>
      <c r="V153" s="61"/>
      <c r="AC153" s="36"/>
      <c r="AD153" s="36"/>
      <c r="AE153" s="36"/>
      <c r="AF153" s="19"/>
    </row>
    <row r="154" spans="1:32">
      <c r="A154" s="64" t="s">
        <v>603</v>
      </c>
      <c r="B154" s="63" t="s">
        <v>430</v>
      </c>
      <c r="C154" s="63" t="s">
        <v>431</v>
      </c>
      <c r="D154" s="134">
        <v>7.13</v>
      </c>
      <c r="E154" s="67">
        <v>756</v>
      </c>
      <c r="F154" s="146">
        <v>0</v>
      </c>
      <c r="G154" s="92">
        <v>0</v>
      </c>
      <c r="H154" s="71">
        <v>756</v>
      </c>
      <c r="I154" s="67">
        <v>86</v>
      </c>
      <c r="J154" s="20">
        <v>842</v>
      </c>
      <c r="K154" s="132" t="s">
        <v>724</v>
      </c>
      <c r="L154" s="89">
        <v>842</v>
      </c>
      <c r="M154" s="154">
        <v>0</v>
      </c>
      <c r="N154" s="67">
        <v>0</v>
      </c>
      <c r="O154" s="67">
        <v>0</v>
      </c>
      <c r="Q154" s="71"/>
      <c r="S154" s="80">
        <v>0</v>
      </c>
      <c r="T154" s="80">
        <v>0</v>
      </c>
      <c r="U154" s="93">
        <v>0</v>
      </c>
      <c r="V154" s="61"/>
      <c r="AC154" s="36"/>
      <c r="AD154" s="36"/>
      <c r="AE154" s="36"/>
      <c r="AF154" s="19"/>
    </row>
    <row r="155" spans="1:32">
      <c r="A155" s="64" t="s">
        <v>597</v>
      </c>
      <c r="B155" s="63" t="s">
        <v>179</v>
      </c>
      <c r="C155" s="63" t="s">
        <v>180</v>
      </c>
      <c r="D155" s="134">
        <v>68.5</v>
      </c>
      <c r="E155" s="67">
        <v>7261</v>
      </c>
      <c r="F155" s="146">
        <v>0</v>
      </c>
      <c r="G155" s="92">
        <v>0</v>
      </c>
      <c r="H155" s="71">
        <v>7261</v>
      </c>
      <c r="I155" s="67">
        <v>830</v>
      </c>
      <c r="J155" s="20">
        <v>8091</v>
      </c>
      <c r="K155" s="132" t="s">
        <v>726</v>
      </c>
      <c r="L155" s="89">
        <v>0</v>
      </c>
      <c r="M155" s="154">
        <v>68.5</v>
      </c>
      <c r="N155" s="67">
        <v>214</v>
      </c>
      <c r="O155" s="67">
        <v>8305</v>
      </c>
      <c r="Q155" s="73"/>
      <c r="S155" s="80">
        <v>0</v>
      </c>
      <c r="T155" s="80">
        <v>8305</v>
      </c>
      <c r="U155" s="93">
        <v>0</v>
      </c>
      <c r="V155" s="61"/>
      <c r="AC155" s="36"/>
      <c r="AD155" s="36"/>
      <c r="AE155" s="36"/>
      <c r="AF155" s="19"/>
    </row>
    <row r="156" spans="1:32">
      <c r="A156" s="64" t="s">
        <v>595</v>
      </c>
      <c r="B156" s="63" t="s">
        <v>512</v>
      </c>
      <c r="C156" s="63" t="s">
        <v>513</v>
      </c>
      <c r="D156" s="134">
        <v>152.63</v>
      </c>
      <c r="E156" s="67">
        <v>16178</v>
      </c>
      <c r="F156" s="146">
        <v>0</v>
      </c>
      <c r="G156" s="92">
        <v>0</v>
      </c>
      <c r="H156" s="71">
        <v>16178</v>
      </c>
      <c r="I156" s="67">
        <v>1850</v>
      </c>
      <c r="J156" s="20">
        <v>18028</v>
      </c>
      <c r="K156" s="132" t="s">
        <v>621</v>
      </c>
      <c r="L156" s="89">
        <v>0</v>
      </c>
      <c r="M156" s="154">
        <v>152.63</v>
      </c>
      <c r="N156" s="67">
        <v>477</v>
      </c>
      <c r="O156" s="67">
        <v>18505</v>
      </c>
      <c r="Q156" s="71"/>
      <c r="S156" s="80">
        <v>15409</v>
      </c>
      <c r="T156" s="80">
        <v>3096</v>
      </c>
      <c r="U156" s="93">
        <v>0.20092153936011423</v>
      </c>
      <c r="V156" s="61"/>
      <c r="AC156" s="36"/>
      <c r="AD156" s="36"/>
      <c r="AE156" s="36"/>
      <c r="AF156" s="19"/>
    </row>
    <row r="157" spans="1:32">
      <c r="A157" s="64" t="s">
        <v>601</v>
      </c>
      <c r="B157" s="63" t="s">
        <v>319</v>
      </c>
      <c r="C157" s="63" t="s">
        <v>320</v>
      </c>
      <c r="D157" s="134">
        <v>5.88</v>
      </c>
      <c r="E157" s="67">
        <v>623</v>
      </c>
      <c r="F157" s="146">
        <v>0</v>
      </c>
      <c r="G157" s="92">
        <v>0</v>
      </c>
      <c r="H157" s="71">
        <v>623</v>
      </c>
      <c r="I157" s="67">
        <v>71</v>
      </c>
      <c r="J157" s="20">
        <v>694</v>
      </c>
      <c r="K157" s="132" t="s">
        <v>724</v>
      </c>
      <c r="L157" s="89">
        <v>694</v>
      </c>
      <c r="M157" s="154">
        <v>0</v>
      </c>
      <c r="N157" s="67">
        <v>0</v>
      </c>
      <c r="O157" s="67">
        <v>0</v>
      </c>
      <c r="Q157" s="71"/>
      <c r="S157" s="80">
        <v>0</v>
      </c>
      <c r="T157" s="80">
        <v>0</v>
      </c>
      <c r="U157" s="93">
        <v>0</v>
      </c>
      <c r="V157" s="61"/>
      <c r="AC157" s="36"/>
      <c r="AD157" s="36"/>
      <c r="AE157" s="36"/>
      <c r="AF157" s="19"/>
    </row>
    <row r="158" spans="1:32">
      <c r="A158" s="64" t="s">
        <v>599</v>
      </c>
      <c r="B158" s="63" t="s">
        <v>391</v>
      </c>
      <c r="C158" s="63" t="s">
        <v>392</v>
      </c>
      <c r="D158" s="134">
        <v>0</v>
      </c>
      <c r="E158" s="67">
        <v>0</v>
      </c>
      <c r="F158" s="146">
        <v>0</v>
      </c>
      <c r="G158" s="92">
        <v>0</v>
      </c>
      <c r="H158" s="71">
        <v>0</v>
      </c>
      <c r="I158" s="67">
        <v>0</v>
      </c>
      <c r="J158" s="20">
        <v>0</v>
      </c>
      <c r="K158" s="132" t="s">
        <v>723</v>
      </c>
      <c r="L158" s="89">
        <v>0</v>
      </c>
      <c r="M158" s="154">
        <v>0</v>
      </c>
      <c r="N158" s="67">
        <v>0</v>
      </c>
      <c r="O158" s="67">
        <v>0</v>
      </c>
      <c r="Q158" s="71"/>
      <c r="S158" s="80">
        <v>0</v>
      </c>
      <c r="T158" s="80">
        <v>0</v>
      </c>
      <c r="U158" s="93">
        <v>0</v>
      </c>
      <c r="V158" s="61"/>
      <c r="AC158" s="36"/>
      <c r="AD158" s="36"/>
      <c r="AE158" s="36"/>
      <c r="AF158" s="19"/>
    </row>
    <row r="159" spans="1:32">
      <c r="A159" s="64" t="s">
        <v>595</v>
      </c>
      <c r="B159" s="63" t="s">
        <v>409</v>
      </c>
      <c r="C159" s="63" t="s">
        <v>410</v>
      </c>
      <c r="D159" s="134">
        <v>310.38</v>
      </c>
      <c r="E159" s="67">
        <v>32900</v>
      </c>
      <c r="F159" s="146">
        <v>25000</v>
      </c>
      <c r="G159" s="92">
        <v>0</v>
      </c>
      <c r="H159" s="71">
        <v>57900</v>
      </c>
      <c r="I159" s="67">
        <v>3763</v>
      </c>
      <c r="J159" s="20">
        <v>36663</v>
      </c>
      <c r="K159" s="132" t="s">
        <v>621</v>
      </c>
      <c r="L159" s="89">
        <v>0</v>
      </c>
      <c r="M159" s="154">
        <v>310.38</v>
      </c>
      <c r="N159" s="67">
        <v>970</v>
      </c>
      <c r="O159" s="67">
        <v>37633</v>
      </c>
      <c r="Q159" s="71"/>
      <c r="S159" s="80">
        <v>28478</v>
      </c>
      <c r="T159" s="80">
        <v>9155</v>
      </c>
      <c r="U159" s="93">
        <v>0.3214762272631505</v>
      </c>
      <c r="V159" s="61"/>
      <c r="AC159" s="36"/>
      <c r="AD159" s="36"/>
      <c r="AE159" s="36"/>
      <c r="AF159" s="19"/>
    </row>
    <row r="160" spans="1:32">
      <c r="A160" s="64" t="s">
        <v>594</v>
      </c>
      <c r="B160" s="63" t="s">
        <v>139</v>
      </c>
      <c r="C160" s="63" t="s">
        <v>140</v>
      </c>
      <c r="D160" s="134">
        <v>16.25</v>
      </c>
      <c r="E160" s="67">
        <v>1722</v>
      </c>
      <c r="F160" s="146">
        <v>0</v>
      </c>
      <c r="G160" s="92">
        <v>0</v>
      </c>
      <c r="H160" s="71">
        <v>1722</v>
      </c>
      <c r="I160" s="67">
        <v>197</v>
      </c>
      <c r="J160" s="20">
        <v>1919</v>
      </c>
      <c r="K160" s="132" t="s">
        <v>644</v>
      </c>
      <c r="L160" s="89">
        <v>1919</v>
      </c>
      <c r="M160" s="154">
        <v>0</v>
      </c>
      <c r="N160" s="67">
        <v>0</v>
      </c>
      <c r="O160" s="67">
        <v>0</v>
      </c>
      <c r="Q160" s="71"/>
      <c r="S160" s="80">
        <v>1157</v>
      </c>
      <c r="T160" s="80">
        <v>-1157</v>
      </c>
      <c r="U160" s="93">
        <v>-1</v>
      </c>
      <c r="V160" s="61"/>
      <c r="AC160" s="36"/>
      <c r="AD160" s="36"/>
      <c r="AE160" s="36"/>
      <c r="AF160" s="19"/>
    </row>
    <row r="161" spans="1:32">
      <c r="A161" s="64" t="s">
        <v>594</v>
      </c>
      <c r="B161" s="63" t="s">
        <v>260</v>
      </c>
      <c r="C161" s="63" t="s">
        <v>261</v>
      </c>
      <c r="D161" s="134">
        <v>0</v>
      </c>
      <c r="E161" s="67">
        <v>0</v>
      </c>
      <c r="F161" s="146">
        <v>0</v>
      </c>
      <c r="G161" s="92">
        <v>0</v>
      </c>
      <c r="H161" s="71">
        <v>0</v>
      </c>
      <c r="I161" s="67">
        <v>0</v>
      </c>
      <c r="J161" s="20">
        <v>0</v>
      </c>
      <c r="K161" s="132" t="s">
        <v>723</v>
      </c>
      <c r="L161" s="89">
        <v>0</v>
      </c>
      <c r="M161" s="154">
        <v>0</v>
      </c>
      <c r="N161" s="67">
        <v>0</v>
      </c>
      <c r="O161" s="67">
        <v>0</v>
      </c>
      <c r="Q161" s="71"/>
      <c r="S161" s="80">
        <v>0</v>
      </c>
      <c r="T161" s="80">
        <v>0</v>
      </c>
      <c r="U161" s="93">
        <v>0</v>
      </c>
      <c r="V161" s="61"/>
      <c r="AC161" s="36"/>
      <c r="AD161" s="36"/>
      <c r="AE161" s="36"/>
      <c r="AF161" s="19"/>
    </row>
    <row r="162" spans="1:32">
      <c r="A162" s="64" t="s">
        <v>601</v>
      </c>
      <c r="B162" s="63" t="s">
        <v>125</v>
      </c>
      <c r="C162" s="63" t="s">
        <v>126</v>
      </c>
      <c r="D162" s="134">
        <v>632.63</v>
      </c>
      <c r="E162" s="67">
        <v>67057</v>
      </c>
      <c r="F162" s="146">
        <v>0</v>
      </c>
      <c r="G162" s="92">
        <v>0</v>
      </c>
      <c r="H162" s="71">
        <v>67057</v>
      </c>
      <c r="I162" s="67">
        <v>7669</v>
      </c>
      <c r="J162" s="20">
        <v>74726</v>
      </c>
      <c r="K162" s="132" t="s">
        <v>621</v>
      </c>
      <c r="L162" s="89">
        <v>0</v>
      </c>
      <c r="M162" s="154">
        <v>632.63</v>
      </c>
      <c r="N162" s="67">
        <v>1977</v>
      </c>
      <c r="O162" s="67">
        <v>76703</v>
      </c>
      <c r="Q162" s="71"/>
      <c r="S162" s="80">
        <v>70275</v>
      </c>
      <c r="T162" s="80">
        <v>6428</v>
      </c>
      <c r="U162" s="93">
        <v>9.1469228032728569E-2</v>
      </c>
      <c r="V162" s="61"/>
      <c r="AC162" s="36"/>
      <c r="AD162" s="36"/>
      <c r="AE162" s="36"/>
      <c r="AF162" s="19"/>
    </row>
    <row r="163" spans="1:32">
      <c r="A163" s="64" t="s">
        <v>594</v>
      </c>
      <c r="B163" s="63" t="s">
        <v>258</v>
      </c>
      <c r="C163" s="63" t="s">
        <v>259</v>
      </c>
      <c r="D163" s="134">
        <v>14</v>
      </c>
      <c r="E163" s="67">
        <v>1484</v>
      </c>
      <c r="F163" s="146">
        <v>0</v>
      </c>
      <c r="G163" s="92">
        <v>0</v>
      </c>
      <c r="H163" s="71">
        <v>1484</v>
      </c>
      <c r="I163" s="67">
        <v>170</v>
      </c>
      <c r="J163" s="20">
        <v>1654</v>
      </c>
      <c r="K163" s="132" t="s">
        <v>724</v>
      </c>
      <c r="L163" s="89">
        <v>1654</v>
      </c>
      <c r="M163" s="154">
        <v>0</v>
      </c>
      <c r="N163" s="67">
        <v>0</v>
      </c>
      <c r="O163" s="67">
        <v>0</v>
      </c>
      <c r="Q163" s="71"/>
      <c r="S163" s="80">
        <v>0</v>
      </c>
      <c r="T163" s="80">
        <v>0</v>
      </c>
      <c r="U163" s="93">
        <v>0</v>
      </c>
      <c r="V163" s="61"/>
      <c r="AC163" s="36"/>
      <c r="AD163" s="36"/>
      <c r="AE163" s="36"/>
      <c r="AF163" s="19"/>
    </row>
    <row r="164" spans="1:32">
      <c r="A164" s="64" t="s">
        <v>605</v>
      </c>
      <c r="B164" s="63" t="s">
        <v>571</v>
      </c>
      <c r="C164" s="63" t="s">
        <v>572</v>
      </c>
      <c r="D164" s="134">
        <v>238.13</v>
      </c>
      <c r="E164" s="67">
        <v>25241</v>
      </c>
      <c r="F164" s="146">
        <v>0</v>
      </c>
      <c r="G164" s="92">
        <v>0</v>
      </c>
      <c r="H164" s="71">
        <v>25241</v>
      </c>
      <c r="I164" s="67">
        <v>2887</v>
      </c>
      <c r="J164" s="20">
        <v>28128</v>
      </c>
      <c r="K164" s="132" t="s">
        <v>621</v>
      </c>
      <c r="L164" s="89">
        <v>0</v>
      </c>
      <c r="M164" s="154">
        <v>238.13</v>
      </c>
      <c r="N164" s="67">
        <v>744</v>
      </c>
      <c r="O164" s="67">
        <v>28872</v>
      </c>
      <c r="Q164" s="71"/>
      <c r="S164" s="80">
        <v>24786</v>
      </c>
      <c r="T164" s="80">
        <v>4086</v>
      </c>
      <c r="U164" s="93">
        <v>0.16485112563543936</v>
      </c>
      <c r="V164" s="61"/>
      <c r="AC164" s="36"/>
      <c r="AD164" s="36"/>
      <c r="AE164" s="36"/>
      <c r="AF164" s="19"/>
    </row>
    <row r="165" spans="1:32">
      <c r="A165" s="64" t="s">
        <v>595</v>
      </c>
      <c r="B165" s="63" t="s">
        <v>516</v>
      </c>
      <c r="C165" s="63" t="s">
        <v>517</v>
      </c>
      <c r="D165" s="134">
        <v>226.63</v>
      </c>
      <c r="E165" s="67">
        <v>24022</v>
      </c>
      <c r="F165" s="146">
        <v>0</v>
      </c>
      <c r="G165" s="92">
        <v>0</v>
      </c>
      <c r="H165" s="71">
        <v>24022</v>
      </c>
      <c r="I165" s="67">
        <v>2747</v>
      </c>
      <c r="J165" s="20">
        <v>26769</v>
      </c>
      <c r="K165" s="132" t="s">
        <v>621</v>
      </c>
      <c r="L165" s="89">
        <v>0</v>
      </c>
      <c r="M165" s="154">
        <v>226.63</v>
      </c>
      <c r="N165" s="67">
        <v>708</v>
      </c>
      <c r="O165" s="67">
        <v>27477</v>
      </c>
      <c r="Q165" s="71"/>
      <c r="S165" s="80">
        <v>23118</v>
      </c>
      <c r="T165" s="80">
        <v>4359</v>
      </c>
      <c r="U165" s="93">
        <v>0.18855437321567609</v>
      </c>
      <c r="V165" s="61"/>
      <c r="AC165" s="36"/>
      <c r="AD165" s="36"/>
      <c r="AE165" s="36"/>
      <c r="AF165" s="19"/>
    </row>
    <row r="166" spans="1:32">
      <c r="A166" s="64" t="s">
        <v>599</v>
      </c>
      <c r="B166" s="63" t="s">
        <v>389</v>
      </c>
      <c r="C166" s="63" t="s">
        <v>390</v>
      </c>
      <c r="D166" s="134">
        <v>0</v>
      </c>
      <c r="E166" s="67">
        <v>0</v>
      </c>
      <c r="F166" s="146">
        <v>0</v>
      </c>
      <c r="G166" s="92">
        <v>0</v>
      </c>
      <c r="H166" s="71">
        <v>0</v>
      </c>
      <c r="I166" s="67">
        <v>0</v>
      </c>
      <c r="J166" s="20">
        <v>0</v>
      </c>
      <c r="K166" s="132" t="s">
        <v>723</v>
      </c>
      <c r="L166" s="89">
        <v>0</v>
      </c>
      <c r="M166" s="154">
        <v>0</v>
      </c>
      <c r="N166" s="67">
        <v>0</v>
      </c>
      <c r="O166" s="67">
        <v>0</v>
      </c>
      <c r="Q166" s="71"/>
      <c r="S166" s="80">
        <v>0</v>
      </c>
      <c r="T166" s="80">
        <v>0</v>
      </c>
      <c r="U166" s="93">
        <v>0</v>
      </c>
      <c r="V166" s="61"/>
      <c r="AC166" s="36"/>
      <c r="AD166" s="36"/>
      <c r="AE166" s="36"/>
      <c r="AF166" s="19"/>
    </row>
    <row r="167" spans="1:32">
      <c r="A167" s="64" t="s">
        <v>595</v>
      </c>
      <c r="B167" s="63" t="s">
        <v>386</v>
      </c>
      <c r="C167" s="63" t="s">
        <v>610</v>
      </c>
      <c r="D167" s="134">
        <v>1550.38</v>
      </c>
      <c r="E167" s="67">
        <v>164336</v>
      </c>
      <c r="F167" s="146">
        <v>0</v>
      </c>
      <c r="G167" s="92">
        <v>0</v>
      </c>
      <c r="H167" s="71">
        <v>164336</v>
      </c>
      <c r="I167" s="67">
        <v>18795</v>
      </c>
      <c r="J167" s="20">
        <v>183131</v>
      </c>
      <c r="K167" s="132" t="s">
        <v>621</v>
      </c>
      <c r="L167" s="89">
        <v>0</v>
      </c>
      <c r="M167" s="154">
        <v>1550.38</v>
      </c>
      <c r="N167" s="67">
        <v>4845</v>
      </c>
      <c r="O167" s="67">
        <v>187976</v>
      </c>
      <c r="Q167" s="71"/>
      <c r="S167" s="80">
        <v>149404</v>
      </c>
      <c r="T167" s="80">
        <v>38572</v>
      </c>
      <c r="U167" s="93">
        <v>0.25817247195523546</v>
      </c>
      <c r="V167" s="61"/>
      <c r="AC167" s="36"/>
      <c r="AD167" s="36"/>
      <c r="AE167" s="36"/>
      <c r="AF167" s="19"/>
    </row>
    <row r="168" spans="1:32">
      <c r="A168" s="64" t="s">
        <v>595</v>
      </c>
      <c r="B168" s="63" t="s">
        <v>399</v>
      </c>
      <c r="C168" s="63" t="s">
        <v>400</v>
      </c>
      <c r="D168" s="134">
        <v>1916.25</v>
      </c>
      <c r="E168" s="67">
        <v>203118</v>
      </c>
      <c r="F168" s="146">
        <v>50000</v>
      </c>
      <c r="G168" s="92">
        <v>0</v>
      </c>
      <c r="H168" s="71">
        <v>253118</v>
      </c>
      <c r="I168" s="67">
        <v>23230</v>
      </c>
      <c r="J168" s="20">
        <v>226348</v>
      </c>
      <c r="K168" s="132" t="s">
        <v>621</v>
      </c>
      <c r="L168" s="89">
        <v>0</v>
      </c>
      <c r="M168" s="154">
        <v>1916.25</v>
      </c>
      <c r="N168" s="67">
        <v>5988</v>
      </c>
      <c r="O168" s="67">
        <v>232336</v>
      </c>
      <c r="Q168" s="71"/>
      <c r="S168" s="80">
        <v>177111</v>
      </c>
      <c r="T168" s="80">
        <v>55225</v>
      </c>
      <c r="U168" s="93">
        <v>0.31181010778551305</v>
      </c>
      <c r="V168" s="61"/>
      <c r="AC168" s="36"/>
      <c r="AD168" s="36"/>
      <c r="AE168" s="36"/>
      <c r="AF168" s="19"/>
    </row>
    <row r="169" spans="1:32">
      <c r="A169" s="64" t="s">
        <v>605</v>
      </c>
      <c r="B169" s="63" t="s">
        <v>545</v>
      </c>
      <c r="C169" s="63" t="s">
        <v>546</v>
      </c>
      <c r="D169" s="134">
        <v>76.88</v>
      </c>
      <c r="E169" s="67">
        <v>8149</v>
      </c>
      <c r="F169" s="146">
        <v>0</v>
      </c>
      <c r="G169" s="92">
        <v>0</v>
      </c>
      <c r="H169" s="71">
        <v>8149</v>
      </c>
      <c r="I169" s="67">
        <v>932</v>
      </c>
      <c r="J169" s="20">
        <v>9081</v>
      </c>
      <c r="K169" s="132" t="s">
        <v>621</v>
      </c>
      <c r="L169" s="89">
        <v>0</v>
      </c>
      <c r="M169" s="154">
        <v>76.88</v>
      </c>
      <c r="N169" s="67">
        <v>240</v>
      </c>
      <c r="O169" s="67">
        <v>9321</v>
      </c>
      <c r="Q169" s="71"/>
      <c r="S169" s="80">
        <v>7237</v>
      </c>
      <c r="T169" s="80">
        <v>2084</v>
      </c>
      <c r="U169" s="93">
        <v>0.28796462622633689</v>
      </c>
      <c r="V169" s="61"/>
      <c r="AC169" s="36"/>
      <c r="AD169" s="36"/>
      <c r="AE169" s="36"/>
      <c r="AF169" s="19"/>
    </row>
    <row r="170" spans="1:32">
      <c r="A170" s="64" t="s">
        <v>594</v>
      </c>
      <c r="B170" s="63" t="s">
        <v>252</v>
      </c>
      <c r="C170" s="63" t="s">
        <v>253</v>
      </c>
      <c r="D170" s="134">
        <v>0</v>
      </c>
      <c r="E170" s="67">
        <v>0</v>
      </c>
      <c r="F170" s="146">
        <v>0</v>
      </c>
      <c r="G170" s="92">
        <v>0</v>
      </c>
      <c r="H170" s="71">
        <v>0</v>
      </c>
      <c r="I170" s="67">
        <v>0</v>
      </c>
      <c r="J170" s="20">
        <v>0</v>
      </c>
      <c r="K170" s="132" t="s">
        <v>723</v>
      </c>
      <c r="L170" s="89">
        <v>0</v>
      </c>
      <c r="M170" s="154">
        <v>0</v>
      </c>
      <c r="N170" s="67">
        <v>0</v>
      </c>
      <c r="O170" s="67">
        <v>0</v>
      </c>
      <c r="Q170" s="71"/>
      <c r="S170" s="80">
        <v>0</v>
      </c>
      <c r="T170" s="80">
        <v>0</v>
      </c>
      <c r="U170" s="93">
        <v>0</v>
      </c>
      <c r="V170" s="61"/>
      <c r="AC170" s="36"/>
      <c r="AD170" s="36"/>
      <c r="AE170" s="36"/>
      <c r="AF170" s="19"/>
    </row>
    <row r="171" spans="1:32">
      <c r="A171" s="64" t="s">
        <v>599</v>
      </c>
      <c r="B171" s="63" t="s">
        <v>331</v>
      </c>
      <c r="C171" s="63" t="s">
        <v>611</v>
      </c>
      <c r="D171" s="134">
        <v>8.3800000000000008</v>
      </c>
      <c r="E171" s="67">
        <v>888</v>
      </c>
      <c r="F171" s="146">
        <v>0</v>
      </c>
      <c r="G171" s="92">
        <v>0</v>
      </c>
      <c r="H171" s="71">
        <v>888</v>
      </c>
      <c r="I171" s="67">
        <v>102</v>
      </c>
      <c r="J171" s="20">
        <v>990</v>
      </c>
      <c r="K171" s="132" t="s">
        <v>621</v>
      </c>
      <c r="L171" s="89">
        <v>0</v>
      </c>
      <c r="M171" s="154">
        <v>8.3800000000000008</v>
      </c>
      <c r="N171" s="67">
        <v>26</v>
      </c>
      <c r="O171" s="67">
        <v>1016</v>
      </c>
      <c r="Q171" s="71"/>
      <c r="S171" s="80">
        <v>1492</v>
      </c>
      <c r="T171" s="80">
        <v>-476</v>
      </c>
      <c r="U171" s="93">
        <v>-0.31903485254691688</v>
      </c>
      <c r="V171" s="61"/>
      <c r="AC171" s="36"/>
      <c r="AD171" s="36"/>
      <c r="AE171" s="36"/>
      <c r="AF171" s="19"/>
    </row>
    <row r="172" spans="1:32">
      <c r="A172" s="64" t="s">
        <v>601</v>
      </c>
      <c r="B172" s="63" t="s">
        <v>309</v>
      </c>
      <c r="C172" s="63" t="s">
        <v>310</v>
      </c>
      <c r="D172" s="134">
        <v>0</v>
      </c>
      <c r="E172" s="67">
        <v>0</v>
      </c>
      <c r="F172" s="146">
        <v>0</v>
      </c>
      <c r="G172" s="92">
        <v>0</v>
      </c>
      <c r="H172" s="71">
        <v>0</v>
      </c>
      <c r="I172" s="67">
        <v>0</v>
      </c>
      <c r="J172" s="20">
        <v>0</v>
      </c>
      <c r="K172" s="132" t="s">
        <v>723</v>
      </c>
      <c r="L172" s="89">
        <v>0</v>
      </c>
      <c r="M172" s="154">
        <v>0</v>
      </c>
      <c r="N172" s="67">
        <v>0</v>
      </c>
      <c r="O172" s="67">
        <v>0</v>
      </c>
      <c r="Q172" s="71"/>
      <c r="S172" s="80">
        <v>0</v>
      </c>
      <c r="T172" s="80">
        <v>0</v>
      </c>
      <c r="U172" s="93">
        <v>0</v>
      </c>
      <c r="V172" s="61"/>
      <c r="AC172" s="36"/>
      <c r="AD172" s="36"/>
      <c r="AE172" s="36"/>
      <c r="AF172" s="19"/>
    </row>
    <row r="173" spans="1:32">
      <c r="A173" s="64" t="s">
        <v>603</v>
      </c>
      <c r="B173" s="63" t="s">
        <v>336</v>
      </c>
      <c r="C173" s="63" t="s">
        <v>337</v>
      </c>
      <c r="D173" s="134">
        <v>0</v>
      </c>
      <c r="E173" s="67">
        <v>0</v>
      </c>
      <c r="F173" s="146">
        <v>0</v>
      </c>
      <c r="G173" s="92">
        <v>0</v>
      </c>
      <c r="H173" s="71">
        <v>0</v>
      </c>
      <c r="I173" s="67">
        <v>0</v>
      </c>
      <c r="J173" s="20">
        <v>0</v>
      </c>
      <c r="K173" s="132" t="s">
        <v>723</v>
      </c>
      <c r="L173" s="89">
        <v>0</v>
      </c>
      <c r="M173" s="154">
        <v>0</v>
      </c>
      <c r="N173" s="67">
        <v>0</v>
      </c>
      <c r="O173" s="67">
        <v>0</v>
      </c>
      <c r="Q173" s="71"/>
      <c r="S173" s="80">
        <v>0</v>
      </c>
      <c r="T173" s="80">
        <v>0</v>
      </c>
      <c r="U173" s="93">
        <v>0</v>
      </c>
      <c r="V173" s="61"/>
      <c r="AC173" s="36"/>
      <c r="AD173" s="36"/>
      <c r="AE173" s="36"/>
      <c r="AF173" s="19"/>
    </row>
    <row r="174" spans="1:32">
      <c r="A174" s="64" t="s">
        <v>603</v>
      </c>
      <c r="B174" s="63" t="s">
        <v>428</v>
      </c>
      <c r="C174" s="63" t="s">
        <v>429</v>
      </c>
      <c r="D174" s="134">
        <v>0</v>
      </c>
      <c r="E174" s="67">
        <v>0</v>
      </c>
      <c r="F174" s="146">
        <v>0</v>
      </c>
      <c r="G174" s="92">
        <v>0</v>
      </c>
      <c r="H174" s="71">
        <v>0</v>
      </c>
      <c r="I174" s="67">
        <v>0</v>
      </c>
      <c r="J174" s="20">
        <v>0</v>
      </c>
      <c r="K174" s="132" t="s">
        <v>723</v>
      </c>
      <c r="L174" s="89">
        <v>0</v>
      </c>
      <c r="M174" s="154">
        <v>0</v>
      </c>
      <c r="N174" s="67">
        <v>0</v>
      </c>
      <c r="O174" s="67">
        <v>0</v>
      </c>
      <c r="Q174" s="71"/>
      <c r="S174" s="80">
        <v>0</v>
      </c>
      <c r="T174" s="80">
        <v>0</v>
      </c>
      <c r="U174" s="93">
        <v>0</v>
      </c>
      <c r="V174" s="61"/>
      <c r="AC174" s="36"/>
      <c r="AD174" s="36"/>
      <c r="AE174" s="36"/>
      <c r="AF174" s="19"/>
    </row>
    <row r="175" spans="1:32">
      <c r="A175" s="64" t="s">
        <v>595</v>
      </c>
      <c r="B175" s="63" t="s">
        <v>514</v>
      </c>
      <c r="C175" s="63" t="s">
        <v>515</v>
      </c>
      <c r="D175" s="134">
        <v>172.38</v>
      </c>
      <c r="E175" s="67">
        <v>18272</v>
      </c>
      <c r="F175" s="146">
        <v>0</v>
      </c>
      <c r="G175" s="92">
        <v>0</v>
      </c>
      <c r="H175" s="71">
        <v>18272</v>
      </c>
      <c r="I175" s="67">
        <v>2090</v>
      </c>
      <c r="J175" s="20">
        <v>20362</v>
      </c>
      <c r="K175" s="132" t="s">
        <v>621</v>
      </c>
      <c r="L175" s="89">
        <v>0</v>
      </c>
      <c r="M175" s="154">
        <v>172.38</v>
      </c>
      <c r="N175" s="67">
        <v>539</v>
      </c>
      <c r="O175" s="67">
        <v>20901</v>
      </c>
      <c r="Q175" s="71"/>
      <c r="S175" s="80">
        <v>17783</v>
      </c>
      <c r="T175" s="80">
        <v>3118</v>
      </c>
      <c r="U175" s="93">
        <v>0.17533599505145364</v>
      </c>
      <c r="V175" s="61"/>
      <c r="AC175" s="36"/>
      <c r="AD175" s="36"/>
      <c r="AE175" s="36"/>
      <c r="AF175" s="19"/>
    </row>
    <row r="176" spans="1:32">
      <c r="A176" s="64" t="s">
        <v>594</v>
      </c>
      <c r="B176" s="63" t="s">
        <v>136</v>
      </c>
      <c r="C176" s="63" t="s">
        <v>137</v>
      </c>
      <c r="D176" s="134">
        <v>0</v>
      </c>
      <c r="E176" s="67">
        <v>0</v>
      </c>
      <c r="F176" s="146">
        <v>0</v>
      </c>
      <c r="G176" s="92">
        <v>0</v>
      </c>
      <c r="H176" s="71">
        <v>0</v>
      </c>
      <c r="I176" s="67">
        <v>0</v>
      </c>
      <c r="J176" s="20">
        <v>0</v>
      </c>
      <c r="K176" s="132" t="s">
        <v>723</v>
      </c>
      <c r="L176" s="89">
        <v>0</v>
      </c>
      <c r="M176" s="154">
        <v>0</v>
      </c>
      <c r="N176" s="67">
        <v>0</v>
      </c>
      <c r="O176" s="67">
        <v>0</v>
      </c>
      <c r="Q176" s="71"/>
      <c r="S176" s="80">
        <v>0</v>
      </c>
      <c r="T176" s="80">
        <v>0</v>
      </c>
      <c r="U176" s="93">
        <v>0</v>
      </c>
      <c r="V176" s="61"/>
      <c r="AC176" s="36"/>
      <c r="AD176" s="36"/>
      <c r="AE176" s="36"/>
      <c r="AF176" s="19"/>
    </row>
    <row r="177" spans="1:32">
      <c r="A177" s="64" t="s">
        <v>596</v>
      </c>
      <c r="B177" s="63" t="s">
        <v>106</v>
      </c>
      <c r="C177" s="63" t="s">
        <v>107</v>
      </c>
      <c r="D177" s="134">
        <v>720.75</v>
      </c>
      <c r="E177" s="67">
        <v>76398</v>
      </c>
      <c r="F177" s="146">
        <v>0</v>
      </c>
      <c r="G177" s="92">
        <v>0</v>
      </c>
      <c r="H177" s="71">
        <v>76398</v>
      </c>
      <c r="I177" s="67">
        <v>8738</v>
      </c>
      <c r="J177" s="20">
        <v>85136</v>
      </c>
      <c r="K177" s="132" t="s">
        <v>621</v>
      </c>
      <c r="L177" s="89">
        <v>0</v>
      </c>
      <c r="M177" s="154">
        <v>720.75</v>
      </c>
      <c r="N177" s="67">
        <v>2252</v>
      </c>
      <c r="O177" s="67">
        <v>87388</v>
      </c>
      <c r="Q177" s="71"/>
      <c r="S177" s="80">
        <v>69665</v>
      </c>
      <c r="T177" s="80">
        <v>17723</v>
      </c>
      <c r="U177" s="93">
        <v>0.25440321538792793</v>
      </c>
      <c r="V177" s="61"/>
      <c r="AC177" s="36"/>
      <c r="AD177" s="36"/>
      <c r="AE177" s="36"/>
      <c r="AF177" s="19"/>
    </row>
    <row r="178" spans="1:32">
      <c r="A178" s="64" t="s">
        <v>600</v>
      </c>
      <c r="B178" s="63" t="s">
        <v>214</v>
      </c>
      <c r="C178" s="63" t="s">
        <v>215</v>
      </c>
      <c r="D178" s="134">
        <v>173.88</v>
      </c>
      <c r="E178" s="67">
        <v>18431</v>
      </c>
      <c r="F178" s="146">
        <v>10000</v>
      </c>
      <c r="G178" s="92">
        <v>0</v>
      </c>
      <c r="H178" s="71">
        <v>28431</v>
      </c>
      <c r="I178" s="67">
        <v>2108</v>
      </c>
      <c r="J178" s="20">
        <v>20539</v>
      </c>
      <c r="K178" s="132" t="s">
        <v>621</v>
      </c>
      <c r="L178" s="89">
        <v>0</v>
      </c>
      <c r="M178" s="154">
        <v>173.88</v>
      </c>
      <c r="N178" s="67">
        <v>543</v>
      </c>
      <c r="O178" s="67">
        <v>21082</v>
      </c>
      <c r="Q178" s="71"/>
      <c r="S178" s="80">
        <v>15036</v>
      </c>
      <c r="T178" s="80">
        <v>6046</v>
      </c>
      <c r="U178" s="93">
        <v>0.40210162277201383</v>
      </c>
      <c r="V178" s="61"/>
      <c r="AC178" s="36"/>
      <c r="AD178" s="36"/>
      <c r="AE178" s="36"/>
      <c r="AF178" s="19"/>
    </row>
    <row r="179" spans="1:32">
      <c r="A179" s="64" t="s">
        <v>600</v>
      </c>
      <c r="B179" s="63" t="s">
        <v>305</v>
      </c>
      <c r="C179" s="63" t="s">
        <v>306</v>
      </c>
      <c r="D179" s="134">
        <v>49.25</v>
      </c>
      <c r="E179" s="67">
        <v>5220</v>
      </c>
      <c r="F179" s="146">
        <v>0</v>
      </c>
      <c r="G179" s="92">
        <v>0</v>
      </c>
      <c r="H179" s="71">
        <v>5220</v>
      </c>
      <c r="I179" s="67">
        <v>597</v>
      </c>
      <c r="J179" s="20">
        <v>5817</v>
      </c>
      <c r="K179" s="132" t="s">
        <v>644</v>
      </c>
      <c r="L179" s="89">
        <v>5817</v>
      </c>
      <c r="M179" s="154">
        <v>0</v>
      </c>
      <c r="N179" s="67">
        <v>0</v>
      </c>
      <c r="O179" s="67">
        <v>0</v>
      </c>
      <c r="Q179" s="71"/>
      <c r="S179" s="80">
        <v>0</v>
      </c>
      <c r="T179" s="80">
        <v>0</v>
      </c>
      <c r="U179" s="93">
        <v>0</v>
      </c>
      <c r="V179" s="61"/>
      <c r="AC179" s="36"/>
      <c r="AD179" s="36"/>
      <c r="AE179" s="36"/>
      <c r="AF179" s="19"/>
    </row>
    <row r="180" spans="1:32">
      <c r="A180" s="64" t="s">
        <v>594</v>
      </c>
      <c r="B180" s="63" t="s">
        <v>334</v>
      </c>
      <c r="C180" s="63" t="s">
        <v>335</v>
      </c>
      <c r="D180" s="134">
        <v>0</v>
      </c>
      <c r="E180" s="67">
        <v>0</v>
      </c>
      <c r="F180" s="146">
        <v>0</v>
      </c>
      <c r="G180" s="92">
        <v>0</v>
      </c>
      <c r="H180" s="71">
        <v>0</v>
      </c>
      <c r="I180" s="67">
        <v>0</v>
      </c>
      <c r="J180" s="20">
        <v>0</v>
      </c>
      <c r="K180" s="132" t="s">
        <v>723</v>
      </c>
      <c r="L180" s="89">
        <v>0</v>
      </c>
      <c r="M180" s="154">
        <v>0</v>
      </c>
      <c r="N180" s="67">
        <v>0</v>
      </c>
      <c r="O180" s="67">
        <v>0</v>
      </c>
      <c r="Q180" s="71"/>
      <c r="S180" s="80">
        <v>0</v>
      </c>
      <c r="T180" s="80">
        <v>0</v>
      </c>
      <c r="U180" s="93">
        <v>0</v>
      </c>
      <c r="V180" s="61"/>
      <c r="AC180" s="36"/>
      <c r="AD180" s="36"/>
      <c r="AE180" s="36"/>
      <c r="AF180" s="19"/>
    </row>
    <row r="181" spans="1:32">
      <c r="A181" s="64" t="s">
        <v>594</v>
      </c>
      <c r="B181" s="63" t="s">
        <v>474</v>
      </c>
      <c r="C181" s="63" t="s">
        <v>475</v>
      </c>
      <c r="D181" s="134">
        <v>178.25</v>
      </c>
      <c r="E181" s="67">
        <v>18894</v>
      </c>
      <c r="F181" s="146">
        <v>25000</v>
      </c>
      <c r="G181" s="92">
        <v>0</v>
      </c>
      <c r="H181" s="71">
        <v>43894</v>
      </c>
      <c r="I181" s="67">
        <v>2161</v>
      </c>
      <c r="J181" s="20">
        <v>21055</v>
      </c>
      <c r="K181" s="132" t="s">
        <v>621</v>
      </c>
      <c r="L181" s="89">
        <v>0</v>
      </c>
      <c r="M181" s="154">
        <v>178.25</v>
      </c>
      <c r="N181" s="67">
        <v>557</v>
      </c>
      <c r="O181" s="67">
        <v>21612</v>
      </c>
      <c r="Q181" s="71"/>
      <c r="S181" s="80">
        <v>16378</v>
      </c>
      <c r="T181" s="80">
        <v>5234</v>
      </c>
      <c r="U181" s="93">
        <v>0.31957503968738554</v>
      </c>
      <c r="V181" s="61"/>
      <c r="AC181" s="36"/>
      <c r="AD181" s="36"/>
      <c r="AE181" s="36"/>
      <c r="AF181" s="19"/>
    </row>
    <row r="182" spans="1:32">
      <c r="A182" s="64" t="s">
        <v>603</v>
      </c>
      <c r="B182" s="63" t="s">
        <v>468</v>
      </c>
      <c r="C182" s="63" t="s">
        <v>469</v>
      </c>
      <c r="D182" s="134">
        <v>0</v>
      </c>
      <c r="E182" s="67">
        <v>0</v>
      </c>
      <c r="F182" s="146">
        <v>0</v>
      </c>
      <c r="G182" s="92">
        <v>0</v>
      </c>
      <c r="H182" s="71">
        <v>0</v>
      </c>
      <c r="I182" s="67">
        <v>0</v>
      </c>
      <c r="J182" s="20">
        <v>0</v>
      </c>
      <c r="K182" s="132" t="s">
        <v>723</v>
      </c>
      <c r="L182" s="89">
        <v>0</v>
      </c>
      <c r="M182" s="154">
        <v>0</v>
      </c>
      <c r="N182" s="67">
        <v>0</v>
      </c>
      <c r="O182" s="67">
        <v>0</v>
      </c>
      <c r="Q182" s="71"/>
      <c r="S182" s="80">
        <v>0</v>
      </c>
      <c r="T182" s="80">
        <v>0</v>
      </c>
      <c r="U182" s="93">
        <v>0</v>
      </c>
      <c r="V182" s="61"/>
      <c r="AC182" s="36"/>
      <c r="AD182" s="36"/>
      <c r="AE182" s="36"/>
      <c r="AF182" s="19"/>
    </row>
    <row r="183" spans="1:32">
      <c r="A183" s="64" t="s">
        <v>597</v>
      </c>
      <c r="B183" s="63" t="s">
        <v>209</v>
      </c>
      <c r="C183" s="63" t="s">
        <v>210</v>
      </c>
      <c r="D183" s="134">
        <v>747.38</v>
      </c>
      <c r="E183" s="67">
        <v>79220</v>
      </c>
      <c r="F183" s="146">
        <v>0</v>
      </c>
      <c r="G183" s="92">
        <v>0</v>
      </c>
      <c r="H183" s="71">
        <v>79220</v>
      </c>
      <c r="I183" s="67">
        <v>9060</v>
      </c>
      <c r="J183" s="20">
        <v>88280</v>
      </c>
      <c r="K183" s="132" t="s">
        <v>621</v>
      </c>
      <c r="L183" s="89">
        <v>0</v>
      </c>
      <c r="M183" s="154">
        <v>747.38</v>
      </c>
      <c r="N183" s="67">
        <v>2335</v>
      </c>
      <c r="O183" s="67">
        <v>90615</v>
      </c>
      <c r="Q183" s="71"/>
      <c r="S183" s="80">
        <v>64405</v>
      </c>
      <c r="T183" s="80">
        <v>26210</v>
      </c>
      <c r="U183" s="93">
        <v>0.4069559816784411</v>
      </c>
      <c r="V183" s="61"/>
      <c r="AC183" s="36"/>
      <c r="AD183" s="36"/>
      <c r="AE183" s="36"/>
      <c r="AF183" s="19"/>
    </row>
    <row r="184" spans="1:32">
      <c r="A184" s="64" t="s">
        <v>595</v>
      </c>
      <c r="B184" s="63" t="s">
        <v>157</v>
      </c>
      <c r="C184" s="63" t="s">
        <v>158</v>
      </c>
      <c r="D184" s="134">
        <v>183.88</v>
      </c>
      <c r="E184" s="67">
        <v>19491</v>
      </c>
      <c r="F184" s="146">
        <v>0</v>
      </c>
      <c r="G184" s="92">
        <v>0</v>
      </c>
      <c r="H184" s="71">
        <v>19491</v>
      </c>
      <c r="I184" s="67">
        <v>2229</v>
      </c>
      <c r="J184" s="20">
        <v>21720</v>
      </c>
      <c r="K184" s="132" t="s">
        <v>621</v>
      </c>
      <c r="L184" s="89">
        <v>0</v>
      </c>
      <c r="M184" s="154">
        <v>183.88</v>
      </c>
      <c r="N184" s="67">
        <v>575</v>
      </c>
      <c r="O184" s="67">
        <v>22295</v>
      </c>
      <c r="Q184" s="71"/>
      <c r="S184" s="80">
        <v>17684</v>
      </c>
      <c r="T184" s="80">
        <v>4611</v>
      </c>
      <c r="U184" s="93">
        <v>0.26074417552589912</v>
      </c>
      <c r="V184" s="61"/>
      <c r="AC184" s="36"/>
      <c r="AD184" s="36"/>
      <c r="AE184" s="36"/>
      <c r="AF184" s="19"/>
    </row>
    <row r="185" spans="1:32">
      <c r="A185" s="64" t="s">
        <v>603</v>
      </c>
      <c r="B185" s="63" t="s">
        <v>541</v>
      </c>
      <c r="C185" s="63" t="s">
        <v>542</v>
      </c>
      <c r="D185" s="134">
        <v>0</v>
      </c>
      <c r="E185" s="67">
        <v>0</v>
      </c>
      <c r="F185" s="146">
        <v>0</v>
      </c>
      <c r="G185" s="92">
        <v>0</v>
      </c>
      <c r="H185" s="71">
        <v>0</v>
      </c>
      <c r="I185" s="67">
        <v>0</v>
      </c>
      <c r="J185" s="20">
        <v>0</v>
      </c>
      <c r="K185" s="132" t="s">
        <v>723</v>
      </c>
      <c r="L185" s="89">
        <v>0</v>
      </c>
      <c r="M185" s="154">
        <v>0</v>
      </c>
      <c r="N185" s="67">
        <v>0</v>
      </c>
      <c r="O185" s="67">
        <v>0</v>
      </c>
      <c r="Q185" s="71"/>
      <c r="S185" s="80">
        <v>0</v>
      </c>
      <c r="T185" s="80">
        <v>0</v>
      </c>
      <c r="U185" s="93">
        <v>0</v>
      </c>
      <c r="V185" s="61"/>
      <c r="AC185" s="36"/>
      <c r="AD185" s="36"/>
      <c r="AE185" s="36"/>
      <c r="AF185" s="19"/>
    </row>
    <row r="186" spans="1:32">
      <c r="A186" s="64" t="s">
        <v>594</v>
      </c>
      <c r="B186" s="63" t="s">
        <v>155</v>
      </c>
      <c r="C186" s="63" t="s">
        <v>156</v>
      </c>
      <c r="D186" s="134">
        <v>0</v>
      </c>
      <c r="E186" s="67">
        <v>0</v>
      </c>
      <c r="F186" s="146">
        <v>0</v>
      </c>
      <c r="G186" s="92">
        <v>0</v>
      </c>
      <c r="H186" s="71">
        <v>0</v>
      </c>
      <c r="I186" s="67">
        <v>0</v>
      </c>
      <c r="J186" s="20">
        <v>0</v>
      </c>
      <c r="K186" s="132" t="s">
        <v>723</v>
      </c>
      <c r="L186" s="89">
        <v>0</v>
      </c>
      <c r="M186" s="154">
        <v>0</v>
      </c>
      <c r="N186" s="67">
        <v>0</v>
      </c>
      <c r="O186" s="67">
        <v>0</v>
      </c>
      <c r="Q186" s="71"/>
      <c r="S186" s="80">
        <v>0</v>
      </c>
      <c r="T186" s="80">
        <v>0</v>
      </c>
      <c r="U186" s="93">
        <v>0</v>
      </c>
      <c r="V186" s="61"/>
      <c r="AC186" s="36"/>
      <c r="AD186" s="36"/>
      <c r="AE186" s="36"/>
      <c r="AF186" s="19"/>
    </row>
    <row r="187" spans="1:32">
      <c r="A187" s="64" t="s">
        <v>599</v>
      </c>
      <c r="B187" s="63" t="s">
        <v>325</v>
      </c>
      <c r="C187" s="63" t="s">
        <v>326</v>
      </c>
      <c r="D187" s="134">
        <v>42.75</v>
      </c>
      <c r="E187" s="67">
        <v>4531</v>
      </c>
      <c r="F187" s="146">
        <v>0</v>
      </c>
      <c r="G187" s="92">
        <v>0</v>
      </c>
      <c r="H187" s="71">
        <v>4531</v>
      </c>
      <c r="I187" s="67">
        <v>518</v>
      </c>
      <c r="J187" s="20">
        <v>5049</v>
      </c>
      <c r="K187" s="132" t="s">
        <v>621</v>
      </c>
      <c r="L187" s="89">
        <v>0</v>
      </c>
      <c r="M187" s="154">
        <v>42.75</v>
      </c>
      <c r="N187" s="67">
        <v>134</v>
      </c>
      <c r="O187" s="67">
        <v>5183</v>
      </c>
      <c r="Q187" s="71"/>
      <c r="S187" s="80">
        <v>4838</v>
      </c>
      <c r="T187" s="80">
        <v>345</v>
      </c>
      <c r="U187" s="93">
        <v>7.1310458867300544E-2</v>
      </c>
      <c r="V187" s="61"/>
      <c r="AC187" s="36"/>
      <c r="AD187" s="36"/>
      <c r="AE187" s="36"/>
      <c r="AF187" s="19"/>
    </row>
    <row r="188" spans="1:32">
      <c r="A188" s="64" t="s">
        <v>594</v>
      </c>
      <c r="B188" s="63" t="s">
        <v>153</v>
      </c>
      <c r="C188" s="63" t="s">
        <v>154</v>
      </c>
      <c r="D188" s="134">
        <v>24.75</v>
      </c>
      <c r="E188" s="67">
        <v>2623</v>
      </c>
      <c r="F188" s="146">
        <v>0</v>
      </c>
      <c r="G188" s="92">
        <v>0</v>
      </c>
      <c r="H188" s="71">
        <v>2623</v>
      </c>
      <c r="I188" s="67">
        <v>300</v>
      </c>
      <c r="J188" s="20">
        <v>2923</v>
      </c>
      <c r="K188" s="132" t="s">
        <v>621</v>
      </c>
      <c r="L188" s="89">
        <v>0</v>
      </c>
      <c r="M188" s="154">
        <v>24.75</v>
      </c>
      <c r="N188" s="67">
        <v>77</v>
      </c>
      <c r="O188" s="67">
        <v>3000</v>
      </c>
      <c r="Q188" s="71"/>
      <c r="S188" s="80">
        <v>2040</v>
      </c>
      <c r="T188" s="80">
        <v>960</v>
      </c>
      <c r="U188" s="93">
        <v>0.47058823529411764</v>
      </c>
      <c r="V188" s="61"/>
      <c r="AC188" s="36"/>
      <c r="AD188" s="36"/>
      <c r="AE188" s="36"/>
      <c r="AF188" s="19"/>
    </row>
    <row r="189" spans="1:32">
      <c r="A189" s="64" t="s">
        <v>603</v>
      </c>
      <c r="B189" s="63" t="s">
        <v>287</v>
      </c>
      <c r="C189" s="63" t="s">
        <v>288</v>
      </c>
      <c r="D189" s="134">
        <v>0</v>
      </c>
      <c r="E189" s="67">
        <v>0</v>
      </c>
      <c r="F189" s="146">
        <v>0</v>
      </c>
      <c r="G189" s="92">
        <v>0</v>
      </c>
      <c r="H189" s="71">
        <v>0</v>
      </c>
      <c r="I189" s="67">
        <v>0</v>
      </c>
      <c r="J189" s="20">
        <v>0</v>
      </c>
      <c r="K189" s="132" t="s">
        <v>723</v>
      </c>
      <c r="L189" s="89">
        <v>0</v>
      </c>
      <c r="M189" s="154">
        <v>0</v>
      </c>
      <c r="N189" s="67">
        <v>0</v>
      </c>
      <c r="O189" s="67">
        <v>0</v>
      </c>
      <c r="Q189" s="71"/>
      <c r="S189" s="80">
        <v>0</v>
      </c>
      <c r="T189" s="80">
        <v>0</v>
      </c>
      <c r="U189" s="93">
        <v>0</v>
      </c>
      <c r="V189" s="61"/>
      <c r="AC189" s="36"/>
      <c r="AD189" s="36"/>
      <c r="AE189" s="36"/>
      <c r="AF189" s="19"/>
    </row>
    <row r="190" spans="1:32">
      <c r="A190" s="64" t="s">
        <v>601</v>
      </c>
      <c r="B190" s="63" t="s">
        <v>313</v>
      </c>
      <c r="C190" s="63" t="s">
        <v>314</v>
      </c>
      <c r="D190" s="134">
        <v>112.38</v>
      </c>
      <c r="E190" s="67">
        <v>11912</v>
      </c>
      <c r="F190" s="146">
        <v>0</v>
      </c>
      <c r="G190" s="92">
        <v>4350</v>
      </c>
      <c r="H190" s="71">
        <v>16262</v>
      </c>
      <c r="I190" s="67">
        <v>1362</v>
      </c>
      <c r="J190" s="20">
        <v>13274</v>
      </c>
      <c r="K190" s="132" t="s">
        <v>621</v>
      </c>
      <c r="L190" s="89">
        <v>0</v>
      </c>
      <c r="M190" s="154">
        <v>112.38</v>
      </c>
      <c r="N190" s="67">
        <v>351</v>
      </c>
      <c r="O190" s="67">
        <v>13625</v>
      </c>
      <c r="Q190" s="71"/>
      <c r="S190" s="80">
        <v>11604</v>
      </c>
      <c r="T190" s="80">
        <v>2021</v>
      </c>
      <c r="U190" s="93">
        <v>0.17416408135125819</v>
      </c>
      <c r="V190" s="61"/>
      <c r="AC190" s="36"/>
      <c r="AD190" s="36"/>
      <c r="AE190" s="36"/>
      <c r="AF190" s="19"/>
    </row>
    <row r="191" spans="1:32">
      <c r="A191" s="64" t="s">
        <v>594</v>
      </c>
      <c r="B191" s="63" t="s">
        <v>478</v>
      </c>
      <c r="C191" s="63" t="s">
        <v>479</v>
      </c>
      <c r="D191" s="134">
        <v>143.25</v>
      </c>
      <c r="E191" s="67">
        <v>15184</v>
      </c>
      <c r="F191" s="146">
        <v>0</v>
      </c>
      <c r="G191" s="92">
        <v>0</v>
      </c>
      <c r="H191" s="71">
        <v>15184</v>
      </c>
      <c r="I191" s="67">
        <v>1737</v>
      </c>
      <c r="J191" s="20">
        <v>16921</v>
      </c>
      <c r="K191" s="132" t="s">
        <v>621</v>
      </c>
      <c r="L191" s="89">
        <v>0</v>
      </c>
      <c r="M191" s="154">
        <v>143.25</v>
      </c>
      <c r="N191" s="67">
        <v>448</v>
      </c>
      <c r="O191" s="67">
        <v>17369</v>
      </c>
      <c r="Q191" s="71"/>
      <c r="S191" s="80">
        <v>12983</v>
      </c>
      <c r="T191" s="80">
        <v>4386</v>
      </c>
      <c r="U191" s="93">
        <v>0.33782638835400136</v>
      </c>
      <c r="V191" s="61"/>
      <c r="AC191" s="36"/>
      <c r="AD191" s="36"/>
      <c r="AE191" s="36"/>
      <c r="AF191" s="19"/>
    </row>
    <row r="192" spans="1:32">
      <c r="A192" s="64" t="s">
        <v>601</v>
      </c>
      <c r="B192" s="63" t="s">
        <v>311</v>
      </c>
      <c r="C192" s="63" t="s">
        <v>312</v>
      </c>
      <c r="D192" s="134">
        <v>49.5</v>
      </c>
      <c r="E192" s="67">
        <v>5247</v>
      </c>
      <c r="F192" s="146">
        <v>0</v>
      </c>
      <c r="G192" s="92">
        <v>0</v>
      </c>
      <c r="H192" s="71">
        <v>5247</v>
      </c>
      <c r="I192" s="67">
        <v>600</v>
      </c>
      <c r="J192" s="20">
        <v>5847</v>
      </c>
      <c r="K192" s="132" t="s">
        <v>621</v>
      </c>
      <c r="L192" s="89">
        <v>0</v>
      </c>
      <c r="M192" s="154">
        <v>49.5</v>
      </c>
      <c r="N192" s="67">
        <v>155</v>
      </c>
      <c r="O192" s="67">
        <v>6002</v>
      </c>
      <c r="Q192" s="71"/>
      <c r="S192" s="80">
        <v>5496</v>
      </c>
      <c r="T192" s="80">
        <v>506</v>
      </c>
      <c r="U192" s="93">
        <v>9.2066957787481807E-2</v>
      </c>
      <c r="V192" s="61"/>
      <c r="AC192" s="36"/>
      <c r="AD192" s="36"/>
      <c r="AE192" s="36"/>
      <c r="AF192" s="19"/>
    </row>
    <row r="193" spans="1:32">
      <c r="A193" s="64" t="s">
        <v>594</v>
      </c>
      <c r="B193" s="63" t="s">
        <v>270</v>
      </c>
      <c r="C193" s="63" t="s">
        <v>271</v>
      </c>
      <c r="D193" s="134">
        <v>22.25</v>
      </c>
      <c r="E193" s="67">
        <v>2358</v>
      </c>
      <c r="F193" s="146">
        <v>0</v>
      </c>
      <c r="G193" s="92">
        <v>0</v>
      </c>
      <c r="H193" s="71">
        <v>2358</v>
      </c>
      <c r="I193" s="67">
        <v>270</v>
      </c>
      <c r="J193" s="20">
        <v>2628</v>
      </c>
      <c r="K193" s="132" t="s">
        <v>724</v>
      </c>
      <c r="L193" s="89">
        <v>2628</v>
      </c>
      <c r="M193" s="154">
        <v>0</v>
      </c>
      <c r="N193" s="67">
        <v>0</v>
      </c>
      <c r="O193" s="67">
        <v>0</v>
      </c>
      <c r="Q193" s="71"/>
      <c r="S193" s="80">
        <v>0</v>
      </c>
      <c r="T193" s="80">
        <v>0</v>
      </c>
      <c r="U193" s="93">
        <v>0</v>
      </c>
      <c r="V193" s="61"/>
      <c r="AC193" s="36"/>
      <c r="AD193" s="36"/>
      <c r="AE193" s="36"/>
      <c r="AF193" s="19"/>
    </row>
    <row r="194" spans="1:32">
      <c r="A194" s="64" t="s">
        <v>603</v>
      </c>
      <c r="B194" s="63" t="s">
        <v>448</v>
      </c>
      <c r="C194" s="63" t="s">
        <v>449</v>
      </c>
      <c r="D194" s="134">
        <v>0</v>
      </c>
      <c r="E194" s="67">
        <v>0</v>
      </c>
      <c r="F194" s="146">
        <v>0</v>
      </c>
      <c r="G194" s="92">
        <v>0</v>
      </c>
      <c r="H194" s="71">
        <v>0</v>
      </c>
      <c r="I194" s="67">
        <v>0</v>
      </c>
      <c r="J194" s="20">
        <v>0</v>
      </c>
      <c r="K194" s="132" t="s">
        <v>723</v>
      </c>
      <c r="L194" s="89">
        <v>0</v>
      </c>
      <c r="M194" s="154">
        <v>0</v>
      </c>
      <c r="N194" s="67">
        <v>0</v>
      </c>
      <c r="O194" s="67">
        <v>0</v>
      </c>
      <c r="Q194" s="71"/>
      <c r="S194" s="80">
        <v>0</v>
      </c>
      <c r="T194" s="80">
        <v>0</v>
      </c>
      <c r="U194" s="93">
        <v>0</v>
      </c>
      <c r="V194" s="61"/>
      <c r="AC194" s="36"/>
      <c r="AD194" s="36"/>
      <c r="AE194" s="36"/>
      <c r="AF194" s="19"/>
    </row>
    <row r="195" spans="1:32">
      <c r="A195" s="64" t="s">
        <v>595</v>
      </c>
      <c r="B195" s="63" t="s">
        <v>372</v>
      </c>
      <c r="C195" s="63" t="s">
        <v>613</v>
      </c>
      <c r="D195" s="134">
        <v>4.25</v>
      </c>
      <c r="E195" s="67">
        <v>450</v>
      </c>
      <c r="F195" s="146">
        <v>0</v>
      </c>
      <c r="G195" s="92">
        <v>0</v>
      </c>
      <c r="H195" s="71">
        <v>450</v>
      </c>
      <c r="I195" s="67">
        <v>52</v>
      </c>
      <c r="J195" s="20">
        <v>502</v>
      </c>
      <c r="K195" s="132" t="s">
        <v>724</v>
      </c>
      <c r="L195" s="89">
        <v>502</v>
      </c>
      <c r="M195" s="154">
        <v>0</v>
      </c>
      <c r="N195" s="67">
        <v>0</v>
      </c>
      <c r="O195" s="67">
        <v>0</v>
      </c>
      <c r="Q195" s="71"/>
      <c r="S195" s="80">
        <v>0</v>
      </c>
      <c r="T195" s="80">
        <v>0</v>
      </c>
      <c r="U195" s="93">
        <v>0</v>
      </c>
      <c r="V195" s="61"/>
      <c r="AC195" s="36"/>
      <c r="AD195" s="36"/>
      <c r="AE195" s="36"/>
      <c r="AF195" s="19"/>
    </row>
    <row r="196" spans="1:32">
      <c r="A196" s="64" t="s">
        <v>603</v>
      </c>
      <c r="B196" s="63" t="s">
        <v>424</v>
      </c>
      <c r="C196" s="63" t="s">
        <v>425</v>
      </c>
      <c r="D196" s="134">
        <v>0</v>
      </c>
      <c r="E196" s="67">
        <v>0</v>
      </c>
      <c r="F196" s="146">
        <v>0</v>
      </c>
      <c r="G196" s="92">
        <v>0</v>
      </c>
      <c r="H196" s="71">
        <v>0</v>
      </c>
      <c r="I196" s="67">
        <v>0</v>
      </c>
      <c r="J196" s="20">
        <v>0</v>
      </c>
      <c r="K196" s="132" t="s">
        <v>723</v>
      </c>
      <c r="L196" s="89">
        <v>0</v>
      </c>
      <c r="M196" s="154">
        <v>0</v>
      </c>
      <c r="N196" s="67">
        <v>0</v>
      </c>
      <c r="O196" s="67">
        <v>0</v>
      </c>
      <c r="Q196" s="71"/>
      <c r="S196" s="80">
        <v>0</v>
      </c>
      <c r="T196" s="80">
        <v>0</v>
      </c>
      <c r="U196" s="93">
        <v>0</v>
      </c>
      <c r="V196" s="61"/>
      <c r="AC196" s="36"/>
      <c r="AD196" s="36"/>
      <c r="AE196" s="36"/>
      <c r="AF196" s="19"/>
    </row>
    <row r="197" spans="1:32">
      <c r="A197" s="64" t="s">
        <v>603</v>
      </c>
      <c r="B197" s="63" t="s">
        <v>98</v>
      </c>
      <c r="C197" s="63" t="s">
        <v>99</v>
      </c>
      <c r="D197" s="134">
        <v>0</v>
      </c>
      <c r="E197" s="67">
        <v>0</v>
      </c>
      <c r="F197" s="146">
        <v>0</v>
      </c>
      <c r="G197" s="92">
        <v>0</v>
      </c>
      <c r="H197" s="71">
        <v>0</v>
      </c>
      <c r="I197" s="67">
        <v>0</v>
      </c>
      <c r="J197" s="20">
        <v>0</v>
      </c>
      <c r="K197" s="132" t="s">
        <v>723</v>
      </c>
      <c r="L197" s="89">
        <v>0</v>
      </c>
      <c r="M197" s="154">
        <v>0</v>
      </c>
      <c r="N197" s="67">
        <v>0</v>
      </c>
      <c r="O197" s="67">
        <v>0</v>
      </c>
      <c r="Q197" s="71"/>
      <c r="S197" s="80">
        <v>0</v>
      </c>
      <c r="T197" s="80">
        <v>0</v>
      </c>
      <c r="U197" s="93">
        <v>0</v>
      </c>
      <c r="V197" s="61"/>
      <c r="AC197" s="36"/>
      <c r="AD197" s="36"/>
      <c r="AE197" s="36"/>
      <c r="AF197" s="19"/>
    </row>
    <row r="198" spans="1:32">
      <c r="A198" s="64" t="s">
        <v>601</v>
      </c>
      <c r="B198" s="63" t="s">
        <v>82</v>
      </c>
      <c r="C198" s="63" t="s">
        <v>83</v>
      </c>
      <c r="D198" s="134">
        <v>89.75</v>
      </c>
      <c r="E198" s="67">
        <v>9513</v>
      </c>
      <c r="F198" s="146">
        <v>0</v>
      </c>
      <c r="G198" s="92">
        <v>0</v>
      </c>
      <c r="H198" s="71">
        <v>9513</v>
      </c>
      <c r="I198" s="67">
        <v>1088</v>
      </c>
      <c r="J198" s="20">
        <v>10601</v>
      </c>
      <c r="K198" s="132" t="s">
        <v>621</v>
      </c>
      <c r="L198" s="89">
        <v>0</v>
      </c>
      <c r="M198" s="154">
        <v>89.75</v>
      </c>
      <c r="N198" s="67">
        <v>280</v>
      </c>
      <c r="O198" s="67">
        <v>10881</v>
      </c>
      <c r="Q198" s="71"/>
      <c r="S198" s="80">
        <v>8892</v>
      </c>
      <c r="T198" s="80">
        <v>1989</v>
      </c>
      <c r="U198" s="93">
        <v>0.22368421052631579</v>
      </c>
      <c r="V198" s="61"/>
      <c r="AC198" s="36"/>
      <c r="AD198" s="36"/>
      <c r="AE198" s="36"/>
      <c r="AF198" s="19"/>
    </row>
    <row r="199" spans="1:32">
      <c r="A199" s="64" t="s">
        <v>601</v>
      </c>
      <c r="B199" s="63" t="s">
        <v>323</v>
      </c>
      <c r="C199" s="63" t="s">
        <v>324</v>
      </c>
      <c r="D199" s="134">
        <v>86.25</v>
      </c>
      <c r="E199" s="67">
        <v>9142</v>
      </c>
      <c r="F199" s="146">
        <v>0</v>
      </c>
      <c r="G199" s="92">
        <v>1650</v>
      </c>
      <c r="H199" s="71">
        <v>10792</v>
      </c>
      <c r="I199" s="67">
        <v>1046</v>
      </c>
      <c r="J199" s="20">
        <v>10188</v>
      </c>
      <c r="K199" s="132" t="s">
        <v>621</v>
      </c>
      <c r="L199" s="89">
        <v>0</v>
      </c>
      <c r="M199" s="154">
        <v>86.25</v>
      </c>
      <c r="N199" s="67">
        <v>270</v>
      </c>
      <c r="O199" s="67">
        <v>10458</v>
      </c>
      <c r="Q199" s="71"/>
      <c r="S199" s="80">
        <v>10782</v>
      </c>
      <c r="T199" s="80">
        <v>-324</v>
      </c>
      <c r="U199" s="93">
        <v>-3.0050083472454091E-2</v>
      </c>
      <c r="V199" s="61"/>
      <c r="AC199" s="36"/>
      <c r="AD199" s="36"/>
      <c r="AE199" s="36"/>
      <c r="AF199" s="19"/>
    </row>
    <row r="200" spans="1:32">
      <c r="A200" s="64" t="s">
        <v>597</v>
      </c>
      <c r="B200" s="63" t="s">
        <v>355</v>
      </c>
      <c r="C200" s="63" t="s">
        <v>356</v>
      </c>
      <c r="D200" s="134">
        <v>22.25</v>
      </c>
      <c r="E200" s="67">
        <v>2358</v>
      </c>
      <c r="F200" s="146">
        <v>0</v>
      </c>
      <c r="G200" s="92">
        <v>0</v>
      </c>
      <c r="H200" s="71">
        <v>2358</v>
      </c>
      <c r="I200" s="67">
        <v>270</v>
      </c>
      <c r="J200" s="20">
        <v>2628</v>
      </c>
      <c r="K200" s="132" t="s">
        <v>724</v>
      </c>
      <c r="L200" s="89">
        <v>2628</v>
      </c>
      <c r="M200" s="154">
        <v>0</v>
      </c>
      <c r="N200" s="67">
        <v>0</v>
      </c>
      <c r="O200" s="67">
        <v>0</v>
      </c>
      <c r="Q200" s="71"/>
      <c r="S200" s="80">
        <v>0</v>
      </c>
      <c r="T200" s="80">
        <v>0</v>
      </c>
      <c r="U200" s="93">
        <v>0</v>
      </c>
      <c r="V200" s="61"/>
      <c r="AC200" s="36"/>
      <c r="AD200" s="36"/>
      <c r="AE200" s="36"/>
      <c r="AF200" s="19"/>
    </row>
    <row r="201" spans="1:32">
      <c r="A201" s="64" t="s">
        <v>596</v>
      </c>
      <c r="B201" s="63" t="s">
        <v>4</v>
      </c>
      <c r="C201" s="63" t="s">
        <v>5</v>
      </c>
      <c r="D201" s="134">
        <v>1343.63</v>
      </c>
      <c r="E201" s="67">
        <v>142421</v>
      </c>
      <c r="F201" s="146">
        <v>25000</v>
      </c>
      <c r="G201" s="92">
        <v>0</v>
      </c>
      <c r="H201" s="71">
        <v>167421</v>
      </c>
      <c r="I201" s="67">
        <v>16289</v>
      </c>
      <c r="J201" s="20">
        <v>158710</v>
      </c>
      <c r="K201" s="132" t="s">
        <v>621</v>
      </c>
      <c r="L201" s="89">
        <v>0</v>
      </c>
      <c r="M201" s="154">
        <v>1343.63</v>
      </c>
      <c r="N201" s="67">
        <v>4199</v>
      </c>
      <c r="O201" s="67">
        <v>162909</v>
      </c>
      <c r="Q201" s="71"/>
      <c r="S201" s="80">
        <v>134742</v>
      </c>
      <c r="T201" s="80">
        <v>28167</v>
      </c>
      <c r="U201" s="93">
        <v>0.20904395066126374</v>
      </c>
      <c r="V201" s="61"/>
      <c r="AC201" s="36"/>
      <c r="AD201" s="36"/>
      <c r="AE201" s="36"/>
      <c r="AF201" s="19"/>
    </row>
    <row r="202" spans="1:32">
      <c r="A202" s="64" t="s">
        <v>601</v>
      </c>
      <c r="B202" s="63" t="s">
        <v>86</v>
      </c>
      <c r="C202" s="63" t="s">
        <v>87</v>
      </c>
      <c r="D202" s="134">
        <v>26.25</v>
      </c>
      <c r="E202" s="67">
        <v>2782</v>
      </c>
      <c r="F202" s="146">
        <v>0</v>
      </c>
      <c r="G202" s="92">
        <v>0</v>
      </c>
      <c r="H202" s="71">
        <v>2782</v>
      </c>
      <c r="I202" s="67">
        <v>318</v>
      </c>
      <c r="J202" s="20">
        <v>3100</v>
      </c>
      <c r="K202" s="132" t="s">
        <v>644</v>
      </c>
      <c r="L202" s="89">
        <v>3100</v>
      </c>
      <c r="M202" s="154">
        <v>0</v>
      </c>
      <c r="N202" s="67">
        <v>0</v>
      </c>
      <c r="O202" s="67">
        <v>0</v>
      </c>
      <c r="Q202" s="71"/>
      <c r="S202" s="80">
        <v>0</v>
      </c>
      <c r="T202" s="80">
        <v>0</v>
      </c>
      <c r="U202" s="93">
        <v>0</v>
      </c>
      <c r="V202" s="61"/>
      <c r="AC202" s="36"/>
      <c r="AD202" s="36"/>
      <c r="AE202" s="36"/>
      <c r="AF202" s="19"/>
    </row>
    <row r="203" spans="1:32">
      <c r="A203" s="64" t="s">
        <v>603</v>
      </c>
      <c r="B203" s="63" t="s">
        <v>527</v>
      </c>
      <c r="C203" s="63" t="s">
        <v>528</v>
      </c>
      <c r="D203" s="134">
        <v>0</v>
      </c>
      <c r="E203" s="67">
        <v>0</v>
      </c>
      <c r="F203" s="146">
        <v>0</v>
      </c>
      <c r="G203" s="92">
        <v>0</v>
      </c>
      <c r="H203" s="71">
        <v>0</v>
      </c>
      <c r="I203" s="67">
        <v>0</v>
      </c>
      <c r="J203" s="20">
        <v>0</v>
      </c>
      <c r="K203" s="132" t="s">
        <v>723</v>
      </c>
      <c r="L203" s="89">
        <v>0</v>
      </c>
      <c r="M203" s="154">
        <v>0</v>
      </c>
      <c r="N203" s="67">
        <v>0</v>
      </c>
      <c r="O203" s="67">
        <v>0</v>
      </c>
      <c r="Q203" s="71"/>
      <c r="S203" s="80">
        <v>0</v>
      </c>
      <c r="T203" s="80">
        <v>0</v>
      </c>
      <c r="U203" s="93">
        <v>0</v>
      </c>
      <c r="V203" s="61"/>
      <c r="AC203" s="36"/>
      <c r="AD203" s="36"/>
      <c r="AE203" s="36"/>
      <c r="AF203" s="19"/>
    </row>
    <row r="204" spans="1:32">
      <c r="A204" s="64" t="s">
        <v>596</v>
      </c>
      <c r="B204" s="63" t="s">
        <v>104</v>
      </c>
      <c r="C204" s="63" t="s">
        <v>105</v>
      </c>
      <c r="D204" s="134">
        <v>4521.25</v>
      </c>
      <c r="E204" s="67">
        <v>479241</v>
      </c>
      <c r="F204" s="146">
        <v>0</v>
      </c>
      <c r="G204" s="92">
        <v>0</v>
      </c>
      <c r="H204" s="71">
        <v>479241</v>
      </c>
      <c r="I204" s="67">
        <v>54810</v>
      </c>
      <c r="J204" s="20">
        <v>534051</v>
      </c>
      <c r="K204" s="132" t="s">
        <v>621</v>
      </c>
      <c r="L204" s="89">
        <v>0</v>
      </c>
      <c r="M204" s="154">
        <v>4521.25</v>
      </c>
      <c r="N204" s="67">
        <v>14128</v>
      </c>
      <c r="O204" s="67">
        <v>548179</v>
      </c>
      <c r="Q204" s="71"/>
      <c r="S204" s="80">
        <v>427307</v>
      </c>
      <c r="T204" s="80">
        <v>120872</v>
      </c>
      <c r="U204" s="93">
        <v>0.28286922517066182</v>
      </c>
      <c r="V204" s="61"/>
      <c r="AC204" s="36"/>
      <c r="AD204" s="36"/>
      <c r="AE204" s="36"/>
      <c r="AF204" s="19"/>
    </row>
    <row r="205" spans="1:32">
      <c r="A205" s="64" t="s">
        <v>601</v>
      </c>
      <c r="B205" s="63" t="s">
        <v>317</v>
      </c>
      <c r="C205" s="63" t="s">
        <v>318</v>
      </c>
      <c r="D205" s="134">
        <v>39.5</v>
      </c>
      <c r="E205" s="67">
        <v>4187</v>
      </c>
      <c r="F205" s="146">
        <v>0</v>
      </c>
      <c r="G205" s="92">
        <v>0</v>
      </c>
      <c r="H205" s="71">
        <v>4187</v>
      </c>
      <c r="I205" s="67">
        <v>479</v>
      </c>
      <c r="J205" s="20">
        <v>4666</v>
      </c>
      <c r="K205" s="132" t="s">
        <v>621</v>
      </c>
      <c r="L205" s="89">
        <v>0</v>
      </c>
      <c r="M205" s="154">
        <v>39.5</v>
      </c>
      <c r="N205" s="67">
        <v>123</v>
      </c>
      <c r="O205" s="67">
        <v>4789</v>
      </c>
      <c r="Q205" s="71"/>
      <c r="S205" s="80">
        <v>3457</v>
      </c>
      <c r="T205" s="80">
        <v>1332</v>
      </c>
      <c r="U205" s="93">
        <v>0.3853051778999132</v>
      </c>
      <c r="V205" s="61"/>
      <c r="AC205" s="36"/>
      <c r="AD205" s="36"/>
      <c r="AE205" s="36"/>
      <c r="AF205" s="19"/>
    </row>
    <row r="206" spans="1:32">
      <c r="A206" s="64" t="s">
        <v>596</v>
      </c>
      <c r="B206" s="63" t="s">
        <v>16</v>
      </c>
      <c r="C206" s="63" t="s">
        <v>17</v>
      </c>
      <c r="D206" s="134">
        <v>37.880000000000003</v>
      </c>
      <c r="E206" s="67">
        <v>4015</v>
      </c>
      <c r="F206" s="146">
        <v>0</v>
      </c>
      <c r="G206" s="92">
        <v>0</v>
      </c>
      <c r="H206" s="71">
        <v>4015</v>
      </c>
      <c r="I206" s="67">
        <v>459</v>
      </c>
      <c r="J206" s="20">
        <v>4474</v>
      </c>
      <c r="K206" s="132" t="s">
        <v>725</v>
      </c>
      <c r="L206" s="89">
        <v>0</v>
      </c>
      <c r="M206" s="154">
        <v>37.880000000000003</v>
      </c>
      <c r="N206" s="67">
        <v>118</v>
      </c>
      <c r="O206" s="67">
        <v>4592</v>
      </c>
      <c r="Q206" s="71"/>
      <c r="S206" s="80">
        <v>4763</v>
      </c>
      <c r="T206" s="80">
        <v>-171</v>
      </c>
      <c r="U206" s="93">
        <v>-3.5901742599202181E-2</v>
      </c>
      <c r="V206" s="61"/>
      <c r="AC206" s="36"/>
      <c r="AD206" s="36"/>
      <c r="AE206" s="36"/>
      <c r="AF206" s="19"/>
    </row>
    <row r="207" spans="1:32">
      <c r="A207" s="64" t="s">
        <v>594</v>
      </c>
      <c r="B207" s="63" t="s">
        <v>272</v>
      </c>
      <c r="C207" s="63" t="s">
        <v>273</v>
      </c>
      <c r="D207" s="134">
        <v>0</v>
      </c>
      <c r="E207" s="67">
        <v>0</v>
      </c>
      <c r="F207" s="146">
        <v>0</v>
      </c>
      <c r="G207" s="92">
        <v>0</v>
      </c>
      <c r="H207" s="71">
        <v>0</v>
      </c>
      <c r="I207" s="67">
        <v>0</v>
      </c>
      <c r="J207" s="20">
        <v>0</v>
      </c>
      <c r="K207" s="132" t="s">
        <v>723</v>
      </c>
      <c r="L207" s="89">
        <v>0</v>
      </c>
      <c r="M207" s="154">
        <v>0</v>
      </c>
      <c r="N207" s="67">
        <v>0</v>
      </c>
      <c r="O207" s="67">
        <v>0</v>
      </c>
      <c r="Q207" s="71"/>
      <c r="S207" s="80">
        <v>0</v>
      </c>
      <c r="T207" s="80">
        <v>0</v>
      </c>
      <c r="U207" s="93">
        <v>0</v>
      </c>
      <c r="V207" s="61"/>
      <c r="AC207" s="36"/>
      <c r="AD207" s="36"/>
      <c r="AE207" s="36"/>
      <c r="AF207" s="19"/>
    </row>
    <row r="208" spans="1:32">
      <c r="A208" s="64" t="s">
        <v>597</v>
      </c>
      <c r="B208" s="63" t="s">
        <v>359</v>
      </c>
      <c r="C208" s="63" t="s">
        <v>360</v>
      </c>
      <c r="D208" s="134">
        <v>37.380000000000003</v>
      </c>
      <c r="E208" s="67">
        <v>3962</v>
      </c>
      <c r="F208" s="146">
        <v>0</v>
      </c>
      <c r="G208" s="92">
        <v>0</v>
      </c>
      <c r="H208" s="71">
        <v>3962</v>
      </c>
      <c r="I208" s="67">
        <v>453</v>
      </c>
      <c r="J208" s="20">
        <v>4415</v>
      </c>
      <c r="K208" s="132" t="s">
        <v>644</v>
      </c>
      <c r="L208" s="89">
        <v>4415</v>
      </c>
      <c r="M208" s="154">
        <v>0</v>
      </c>
      <c r="N208" s="67">
        <v>0</v>
      </c>
      <c r="O208" s="67">
        <v>0</v>
      </c>
      <c r="Q208" s="71"/>
      <c r="S208" s="80">
        <v>0</v>
      </c>
      <c r="T208" s="80">
        <v>0</v>
      </c>
      <c r="U208" s="93">
        <v>0</v>
      </c>
      <c r="V208" s="61"/>
      <c r="AC208" s="36"/>
      <c r="AD208" s="36"/>
      <c r="AE208" s="36"/>
      <c r="AF208" s="19"/>
    </row>
    <row r="209" spans="1:32">
      <c r="A209" s="64" t="s">
        <v>594</v>
      </c>
      <c r="B209" s="63" t="s">
        <v>303</v>
      </c>
      <c r="C209" s="63" t="s">
        <v>304</v>
      </c>
      <c r="D209" s="134">
        <v>0</v>
      </c>
      <c r="E209" s="67">
        <v>0</v>
      </c>
      <c r="F209" s="146">
        <v>0</v>
      </c>
      <c r="G209" s="92">
        <v>0</v>
      </c>
      <c r="H209" s="71">
        <v>0</v>
      </c>
      <c r="I209" s="67">
        <v>0</v>
      </c>
      <c r="J209" s="20">
        <v>0</v>
      </c>
      <c r="K209" s="132" t="s">
        <v>723</v>
      </c>
      <c r="L209" s="89">
        <v>0</v>
      </c>
      <c r="M209" s="154">
        <v>0</v>
      </c>
      <c r="N209" s="67">
        <v>0</v>
      </c>
      <c r="O209" s="67">
        <v>0</v>
      </c>
      <c r="Q209" s="71"/>
      <c r="S209" s="80">
        <v>0</v>
      </c>
      <c r="T209" s="80">
        <v>0</v>
      </c>
      <c r="U209" s="93">
        <v>0</v>
      </c>
      <c r="V209" s="61"/>
      <c r="AC209" s="36"/>
      <c r="AD209" s="36"/>
      <c r="AE209" s="36"/>
      <c r="AF209" s="19"/>
    </row>
    <row r="210" spans="1:32">
      <c r="A210" s="64" t="s">
        <v>596</v>
      </c>
      <c r="B210" s="63" t="s">
        <v>112</v>
      </c>
      <c r="C210" s="63" t="s">
        <v>113</v>
      </c>
      <c r="D210" s="134">
        <v>9.25</v>
      </c>
      <c r="E210" s="67">
        <v>980</v>
      </c>
      <c r="F210" s="146">
        <v>0</v>
      </c>
      <c r="G210" s="92">
        <v>0</v>
      </c>
      <c r="H210" s="71">
        <v>980</v>
      </c>
      <c r="I210" s="67">
        <v>112</v>
      </c>
      <c r="J210" s="20">
        <v>1092</v>
      </c>
      <c r="K210" s="132" t="s">
        <v>724</v>
      </c>
      <c r="L210" s="89">
        <v>1092</v>
      </c>
      <c r="M210" s="154">
        <v>0</v>
      </c>
      <c r="N210" s="67">
        <v>0</v>
      </c>
      <c r="O210" s="67">
        <v>0</v>
      </c>
      <c r="Q210" s="71"/>
      <c r="S210" s="80">
        <v>0</v>
      </c>
      <c r="T210" s="80">
        <v>0</v>
      </c>
      <c r="U210" s="93">
        <v>0</v>
      </c>
      <c r="V210" s="61"/>
      <c r="AC210" s="36"/>
      <c r="AD210" s="36"/>
      <c r="AE210" s="36"/>
      <c r="AF210" s="19"/>
    </row>
    <row r="211" spans="1:32">
      <c r="A211" s="64" t="s">
        <v>600</v>
      </c>
      <c r="B211" s="63" t="s">
        <v>39</v>
      </c>
      <c r="C211" s="63" t="s">
        <v>40</v>
      </c>
      <c r="D211" s="134">
        <v>34.130000000000003</v>
      </c>
      <c r="E211" s="67">
        <v>3618</v>
      </c>
      <c r="F211" s="146">
        <v>0</v>
      </c>
      <c r="G211" s="92">
        <v>0</v>
      </c>
      <c r="H211" s="71">
        <v>3618</v>
      </c>
      <c r="I211" s="67">
        <v>414</v>
      </c>
      <c r="J211" s="20">
        <v>4032</v>
      </c>
      <c r="K211" s="132" t="s">
        <v>644</v>
      </c>
      <c r="L211" s="89">
        <v>4032</v>
      </c>
      <c r="M211" s="154">
        <v>0</v>
      </c>
      <c r="N211" s="67">
        <v>0</v>
      </c>
      <c r="O211" s="67">
        <v>0</v>
      </c>
      <c r="Q211" s="71"/>
      <c r="S211" s="80">
        <v>0</v>
      </c>
      <c r="T211" s="80">
        <v>0</v>
      </c>
      <c r="U211" s="93">
        <v>0</v>
      </c>
      <c r="V211" s="61"/>
      <c r="AC211" s="36"/>
      <c r="AD211" s="36"/>
      <c r="AE211" s="36"/>
      <c r="AF211" s="19"/>
    </row>
    <row r="212" spans="1:32">
      <c r="A212" s="64" t="s">
        <v>600</v>
      </c>
      <c r="B212" s="63" t="s">
        <v>171</v>
      </c>
      <c r="C212" s="63" t="s">
        <v>172</v>
      </c>
      <c r="D212" s="134">
        <v>19.75</v>
      </c>
      <c r="E212" s="67">
        <v>2093</v>
      </c>
      <c r="F212" s="146">
        <v>0</v>
      </c>
      <c r="G212" s="92">
        <v>0</v>
      </c>
      <c r="H212" s="71">
        <v>2093</v>
      </c>
      <c r="I212" s="67">
        <v>239</v>
      </c>
      <c r="J212" s="20">
        <v>2332</v>
      </c>
      <c r="K212" s="132" t="s">
        <v>724</v>
      </c>
      <c r="L212" s="89">
        <v>2332</v>
      </c>
      <c r="M212" s="154">
        <v>0</v>
      </c>
      <c r="N212" s="67">
        <v>0</v>
      </c>
      <c r="O212" s="67">
        <v>0</v>
      </c>
      <c r="Q212" s="71"/>
      <c r="S212" s="80">
        <v>0</v>
      </c>
      <c r="T212" s="80">
        <v>0</v>
      </c>
      <c r="U212" s="93">
        <v>0</v>
      </c>
      <c r="V212" s="61"/>
      <c r="AC212" s="36"/>
      <c r="AD212" s="36"/>
      <c r="AE212" s="36"/>
      <c r="AF212" s="19"/>
    </row>
    <row r="213" spans="1:32">
      <c r="A213" s="64" t="s">
        <v>596</v>
      </c>
      <c r="B213" s="63" t="s">
        <v>502</v>
      </c>
      <c r="C213" s="63" t="s">
        <v>503</v>
      </c>
      <c r="D213" s="134">
        <v>87.75</v>
      </c>
      <c r="E213" s="67">
        <v>9301</v>
      </c>
      <c r="F213" s="146">
        <v>0</v>
      </c>
      <c r="G213" s="92">
        <v>5100</v>
      </c>
      <c r="H213" s="71">
        <v>14401</v>
      </c>
      <c r="I213" s="67">
        <v>1064</v>
      </c>
      <c r="J213" s="20">
        <v>10365</v>
      </c>
      <c r="K213" s="132" t="s">
        <v>621</v>
      </c>
      <c r="L213" s="89">
        <v>0</v>
      </c>
      <c r="M213" s="154">
        <v>87.75</v>
      </c>
      <c r="N213" s="67">
        <v>274</v>
      </c>
      <c r="O213" s="67">
        <v>10639</v>
      </c>
      <c r="Q213" s="71"/>
      <c r="S213" s="80">
        <v>8619</v>
      </c>
      <c r="T213" s="80">
        <v>2020</v>
      </c>
      <c r="U213" s="93">
        <v>0.23436593572340178</v>
      </c>
      <c r="V213" s="61"/>
      <c r="AC213" s="36"/>
      <c r="AD213" s="36"/>
      <c r="AE213" s="36"/>
      <c r="AF213" s="19"/>
    </row>
    <row r="214" spans="1:32">
      <c r="A214" s="64" t="s">
        <v>596</v>
      </c>
      <c r="B214" s="63" t="s">
        <v>21</v>
      </c>
      <c r="C214" s="63" t="s">
        <v>22</v>
      </c>
      <c r="D214" s="134">
        <v>535.88</v>
      </c>
      <c r="E214" s="67">
        <v>56802</v>
      </c>
      <c r="F214" s="146">
        <v>0</v>
      </c>
      <c r="G214" s="92">
        <v>0</v>
      </c>
      <c r="H214" s="71">
        <v>56802</v>
      </c>
      <c r="I214" s="67">
        <v>6496</v>
      </c>
      <c r="J214" s="20">
        <v>63298</v>
      </c>
      <c r="K214" s="132" t="s">
        <v>621</v>
      </c>
      <c r="L214" s="89">
        <v>0</v>
      </c>
      <c r="M214" s="154">
        <v>535.88</v>
      </c>
      <c r="N214" s="67">
        <v>1674</v>
      </c>
      <c r="O214" s="67">
        <v>64972</v>
      </c>
      <c r="Q214" s="71"/>
      <c r="S214" s="80">
        <v>56558</v>
      </c>
      <c r="T214" s="80">
        <v>8414</v>
      </c>
      <c r="U214" s="93">
        <v>0.14876763676226176</v>
      </c>
      <c r="V214" s="61"/>
      <c r="AC214" s="36"/>
      <c r="AD214" s="36"/>
      <c r="AE214" s="36"/>
      <c r="AF214" s="19"/>
    </row>
    <row r="215" spans="1:32">
      <c r="A215" s="64" t="s">
        <v>597</v>
      </c>
      <c r="B215" s="63" t="s">
        <v>657</v>
      </c>
      <c r="C215" s="63" t="s">
        <v>658</v>
      </c>
      <c r="D215" s="134">
        <v>0</v>
      </c>
      <c r="E215" s="67">
        <v>0</v>
      </c>
      <c r="F215" s="146">
        <v>0</v>
      </c>
      <c r="G215" s="92">
        <v>0</v>
      </c>
      <c r="H215" s="71">
        <v>0</v>
      </c>
      <c r="I215" s="67">
        <v>0</v>
      </c>
      <c r="J215" s="20">
        <v>0</v>
      </c>
      <c r="K215" s="132" t="s">
        <v>723</v>
      </c>
      <c r="L215" s="89">
        <v>0</v>
      </c>
      <c r="M215" s="154">
        <v>0</v>
      </c>
      <c r="N215" s="67">
        <v>0</v>
      </c>
      <c r="O215" s="67">
        <v>0</v>
      </c>
      <c r="Q215" s="71"/>
      <c r="S215" s="80">
        <v>0</v>
      </c>
      <c r="T215" s="80">
        <v>0</v>
      </c>
      <c r="U215" s="93">
        <v>0</v>
      </c>
      <c r="V215" s="61"/>
      <c r="AC215" s="36"/>
      <c r="AD215" s="36"/>
      <c r="AE215" s="36"/>
      <c r="AF215" s="19"/>
    </row>
    <row r="216" spans="1:32">
      <c r="A216" s="64" t="s">
        <v>603</v>
      </c>
      <c r="B216" s="63" t="s">
        <v>523</v>
      </c>
      <c r="C216" s="63" t="s">
        <v>524</v>
      </c>
      <c r="D216" s="134">
        <v>50.88</v>
      </c>
      <c r="E216" s="67">
        <v>5393</v>
      </c>
      <c r="F216" s="146">
        <v>0</v>
      </c>
      <c r="G216" s="92">
        <v>0</v>
      </c>
      <c r="H216" s="71">
        <v>5393</v>
      </c>
      <c r="I216" s="67">
        <v>617</v>
      </c>
      <c r="J216" s="20">
        <v>6010</v>
      </c>
      <c r="K216" s="132" t="s">
        <v>724</v>
      </c>
      <c r="L216" s="89">
        <v>6010</v>
      </c>
      <c r="M216" s="154">
        <v>0</v>
      </c>
      <c r="N216" s="67">
        <v>0</v>
      </c>
      <c r="O216" s="67">
        <v>0</v>
      </c>
      <c r="Q216" s="71"/>
      <c r="S216" s="80">
        <v>0</v>
      </c>
      <c r="T216" s="80">
        <v>0</v>
      </c>
      <c r="U216" s="93">
        <v>0</v>
      </c>
      <c r="V216" s="61"/>
      <c r="AC216" s="36"/>
      <c r="AD216" s="36"/>
      <c r="AE216" s="36"/>
      <c r="AF216" s="19"/>
    </row>
    <row r="217" spans="1:32">
      <c r="A217" s="64" t="s">
        <v>597</v>
      </c>
      <c r="B217" s="63" t="s">
        <v>343</v>
      </c>
      <c r="C217" s="63" t="s">
        <v>344</v>
      </c>
      <c r="D217" s="134">
        <v>385.13</v>
      </c>
      <c r="E217" s="67">
        <v>40823</v>
      </c>
      <c r="F217" s="146">
        <v>0</v>
      </c>
      <c r="G217" s="92">
        <v>0</v>
      </c>
      <c r="H217" s="71">
        <v>40823</v>
      </c>
      <c r="I217" s="67">
        <v>4669</v>
      </c>
      <c r="J217" s="20">
        <v>45492</v>
      </c>
      <c r="K217" s="132" t="s">
        <v>621</v>
      </c>
      <c r="L217" s="89">
        <v>0</v>
      </c>
      <c r="M217" s="154">
        <v>385.13</v>
      </c>
      <c r="N217" s="67">
        <v>1203</v>
      </c>
      <c r="O217" s="67">
        <v>46695</v>
      </c>
      <c r="Q217" s="71"/>
      <c r="S217" s="80">
        <v>27223</v>
      </c>
      <c r="T217" s="80">
        <v>19472</v>
      </c>
      <c r="U217" s="93">
        <v>0.71527752268302536</v>
      </c>
      <c r="V217" s="61"/>
      <c r="AC217" s="36"/>
      <c r="AD217" s="36"/>
      <c r="AE217" s="36"/>
      <c r="AF217" s="19"/>
    </row>
    <row r="218" spans="1:32">
      <c r="A218" s="64" t="s">
        <v>600</v>
      </c>
      <c r="B218" s="63" t="s">
        <v>163</v>
      </c>
      <c r="C218" s="63" t="s">
        <v>164</v>
      </c>
      <c r="D218" s="134">
        <v>0</v>
      </c>
      <c r="E218" s="67">
        <v>0</v>
      </c>
      <c r="F218" s="146">
        <v>0</v>
      </c>
      <c r="G218" s="92">
        <v>0</v>
      </c>
      <c r="H218" s="71">
        <v>0</v>
      </c>
      <c r="I218" s="67">
        <v>0</v>
      </c>
      <c r="J218" s="20">
        <v>0</v>
      </c>
      <c r="K218" s="132" t="s">
        <v>723</v>
      </c>
      <c r="L218" s="89">
        <v>0</v>
      </c>
      <c r="M218" s="154">
        <v>0</v>
      </c>
      <c r="N218" s="67">
        <v>0</v>
      </c>
      <c r="O218" s="67">
        <v>0</v>
      </c>
      <c r="Q218" s="71"/>
      <c r="S218" s="80">
        <v>0</v>
      </c>
      <c r="T218" s="80">
        <v>0</v>
      </c>
      <c r="U218" s="93">
        <v>0</v>
      </c>
      <c r="V218" s="61"/>
      <c r="AC218" s="36"/>
      <c r="AD218" s="36"/>
      <c r="AE218" s="36"/>
      <c r="AF218" s="19"/>
    </row>
    <row r="219" spans="1:32">
      <c r="A219" s="64" t="s">
        <v>600</v>
      </c>
      <c r="B219" s="63" t="s">
        <v>167</v>
      </c>
      <c r="C219" s="63" t="s">
        <v>168</v>
      </c>
      <c r="D219" s="134">
        <v>0</v>
      </c>
      <c r="E219" s="67">
        <v>0</v>
      </c>
      <c r="F219" s="146">
        <v>0</v>
      </c>
      <c r="G219" s="92">
        <v>0</v>
      </c>
      <c r="H219" s="71">
        <v>0</v>
      </c>
      <c r="I219" s="67">
        <v>0</v>
      </c>
      <c r="J219" s="20">
        <v>0</v>
      </c>
      <c r="K219" s="132" t="s">
        <v>723</v>
      </c>
      <c r="L219" s="89">
        <v>0</v>
      </c>
      <c r="M219" s="154">
        <v>0</v>
      </c>
      <c r="N219" s="67">
        <v>0</v>
      </c>
      <c r="O219" s="67">
        <v>0</v>
      </c>
      <c r="Q219" s="71"/>
      <c r="S219" s="80">
        <v>0</v>
      </c>
      <c r="T219" s="80">
        <v>0</v>
      </c>
      <c r="U219" s="93">
        <v>0</v>
      </c>
      <c r="V219" s="61"/>
      <c r="AC219" s="36"/>
      <c r="AD219" s="36"/>
      <c r="AE219" s="36"/>
      <c r="AF219" s="19"/>
    </row>
    <row r="220" spans="1:32">
      <c r="A220" s="64" t="s">
        <v>600</v>
      </c>
      <c r="B220" s="63" t="s">
        <v>47</v>
      </c>
      <c r="C220" s="63" t="s">
        <v>48</v>
      </c>
      <c r="D220" s="134">
        <v>130</v>
      </c>
      <c r="E220" s="67">
        <v>13780</v>
      </c>
      <c r="F220" s="146">
        <v>0</v>
      </c>
      <c r="G220" s="92">
        <v>0</v>
      </c>
      <c r="H220" s="71">
        <v>13780</v>
      </c>
      <c r="I220" s="67">
        <v>1576</v>
      </c>
      <c r="J220" s="20">
        <v>15356</v>
      </c>
      <c r="K220" s="132" t="s">
        <v>621</v>
      </c>
      <c r="L220" s="89">
        <v>0</v>
      </c>
      <c r="M220" s="154">
        <v>130</v>
      </c>
      <c r="N220" s="67">
        <v>406</v>
      </c>
      <c r="O220" s="67">
        <v>15762</v>
      </c>
      <c r="Q220" s="71"/>
      <c r="S220" s="80">
        <v>11653</v>
      </c>
      <c r="T220" s="80">
        <v>4109</v>
      </c>
      <c r="U220" s="93">
        <v>0.3526130610143311</v>
      </c>
      <c r="V220" s="61"/>
      <c r="AC220" s="36"/>
      <c r="AD220" s="36"/>
      <c r="AE220" s="36"/>
      <c r="AF220" s="19"/>
    </row>
    <row r="221" spans="1:32">
      <c r="A221" s="64" t="s">
        <v>594</v>
      </c>
      <c r="B221" s="63" t="s">
        <v>145</v>
      </c>
      <c r="C221" s="63" t="s">
        <v>146</v>
      </c>
      <c r="D221" s="134">
        <v>23.63</v>
      </c>
      <c r="E221" s="67">
        <v>2505</v>
      </c>
      <c r="F221" s="146">
        <v>0</v>
      </c>
      <c r="G221" s="92">
        <v>0</v>
      </c>
      <c r="H221" s="71">
        <v>2505</v>
      </c>
      <c r="I221" s="67">
        <v>286</v>
      </c>
      <c r="J221" s="20">
        <v>2791</v>
      </c>
      <c r="K221" s="132" t="s">
        <v>724</v>
      </c>
      <c r="L221" s="89">
        <v>2791</v>
      </c>
      <c r="M221" s="154">
        <v>0</v>
      </c>
      <c r="N221" s="67">
        <v>0</v>
      </c>
      <c r="O221" s="67">
        <v>0</v>
      </c>
      <c r="Q221" s="71"/>
      <c r="S221" s="80">
        <v>3844</v>
      </c>
      <c r="T221" s="80">
        <v>-3844</v>
      </c>
      <c r="U221" s="93">
        <v>-1</v>
      </c>
      <c r="V221" s="61"/>
      <c r="AC221" s="36"/>
      <c r="AD221" s="36"/>
      <c r="AE221" s="36"/>
      <c r="AF221" s="19"/>
    </row>
    <row r="222" spans="1:32">
      <c r="A222" s="64" t="s">
        <v>601</v>
      </c>
      <c r="B222" s="63" t="s">
        <v>116</v>
      </c>
      <c r="C222" s="63" t="s">
        <v>117</v>
      </c>
      <c r="D222" s="134">
        <v>926.63</v>
      </c>
      <c r="E222" s="67">
        <v>98221</v>
      </c>
      <c r="F222" s="146">
        <v>0</v>
      </c>
      <c r="G222" s="92">
        <v>0</v>
      </c>
      <c r="H222" s="71">
        <v>98221</v>
      </c>
      <c r="I222" s="67">
        <v>11233</v>
      </c>
      <c r="J222" s="20">
        <v>109454</v>
      </c>
      <c r="K222" s="132" t="s">
        <v>621</v>
      </c>
      <c r="L222" s="89">
        <v>0</v>
      </c>
      <c r="M222" s="154">
        <v>926.63</v>
      </c>
      <c r="N222" s="67">
        <v>2895</v>
      </c>
      <c r="O222" s="67">
        <v>112349</v>
      </c>
      <c r="Q222" s="71"/>
      <c r="S222" s="80">
        <v>93978</v>
      </c>
      <c r="T222" s="80">
        <v>18371</v>
      </c>
      <c r="U222" s="93">
        <v>0.19548192130072997</v>
      </c>
      <c r="V222" s="61"/>
      <c r="AC222" s="36"/>
      <c r="AD222" s="36"/>
      <c r="AE222" s="36"/>
      <c r="AF222" s="19"/>
    </row>
    <row r="223" spans="1:32">
      <c r="A223" s="64" t="s">
        <v>594</v>
      </c>
      <c r="B223" s="63" t="s">
        <v>480</v>
      </c>
      <c r="C223" s="63" t="s">
        <v>481</v>
      </c>
      <c r="D223" s="134">
        <v>0</v>
      </c>
      <c r="E223" s="67">
        <v>0</v>
      </c>
      <c r="F223" s="146">
        <v>0</v>
      </c>
      <c r="G223" s="92">
        <v>0</v>
      </c>
      <c r="H223" s="71">
        <v>0</v>
      </c>
      <c r="I223" s="67">
        <v>0</v>
      </c>
      <c r="J223" s="20">
        <v>0</v>
      </c>
      <c r="K223" s="132" t="s">
        <v>723</v>
      </c>
      <c r="L223" s="89">
        <v>0</v>
      </c>
      <c r="M223" s="154">
        <v>0</v>
      </c>
      <c r="N223" s="67">
        <v>0</v>
      </c>
      <c r="O223" s="67">
        <v>0</v>
      </c>
      <c r="Q223" s="71"/>
      <c r="S223" s="80">
        <v>0</v>
      </c>
      <c r="T223" s="80">
        <v>0</v>
      </c>
      <c r="U223" s="93">
        <v>0</v>
      </c>
      <c r="V223" s="61"/>
      <c r="AC223" s="36"/>
      <c r="AD223" s="36"/>
      <c r="AE223" s="36"/>
      <c r="AF223" s="19"/>
    </row>
    <row r="224" spans="1:32">
      <c r="A224" s="64" t="s">
        <v>594</v>
      </c>
      <c r="B224" s="63" t="s">
        <v>327</v>
      </c>
      <c r="C224" s="63" t="s">
        <v>328</v>
      </c>
      <c r="D224" s="134">
        <v>51.88</v>
      </c>
      <c r="E224" s="67">
        <v>5499</v>
      </c>
      <c r="F224" s="146">
        <v>0</v>
      </c>
      <c r="G224" s="92">
        <v>1500</v>
      </c>
      <c r="H224" s="71">
        <v>6999</v>
      </c>
      <c r="I224" s="67">
        <v>629</v>
      </c>
      <c r="J224" s="20">
        <v>6128</v>
      </c>
      <c r="K224" s="132" t="s">
        <v>621</v>
      </c>
      <c r="L224" s="89">
        <v>0</v>
      </c>
      <c r="M224" s="154">
        <v>51.88</v>
      </c>
      <c r="N224" s="67">
        <v>162</v>
      </c>
      <c r="O224" s="67">
        <v>6290</v>
      </c>
      <c r="Q224" s="71"/>
      <c r="S224" s="80">
        <v>5024</v>
      </c>
      <c r="T224" s="80">
        <v>1266</v>
      </c>
      <c r="U224" s="93">
        <v>0.25199044585987262</v>
      </c>
      <c r="V224" s="61"/>
      <c r="AC224" s="36"/>
      <c r="AD224" s="36"/>
      <c r="AE224" s="36"/>
      <c r="AF224" s="19"/>
    </row>
    <row r="225" spans="1:32">
      <c r="A225" s="64" t="s">
        <v>603</v>
      </c>
      <c r="B225" s="63" t="s">
        <v>282</v>
      </c>
      <c r="C225" s="63" t="s">
        <v>665</v>
      </c>
      <c r="D225" s="134">
        <v>0</v>
      </c>
      <c r="E225" s="67">
        <v>0</v>
      </c>
      <c r="F225" s="146">
        <v>0</v>
      </c>
      <c r="G225" s="92">
        <v>0</v>
      </c>
      <c r="H225" s="71">
        <v>0</v>
      </c>
      <c r="I225" s="67">
        <v>0</v>
      </c>
      <c r="J225" s="20">
        <v>0</v>
      </c>
      <c r="K225" s="132" t="s">
        <v>723</v>
      </c>
      <c r="L225" s="89">
        <v>0</v>
      </c>
      <c r="M225" s="154">
        <v>0</v>
      </c>
      <c r="N225" s="67">
        <v>0</v>
      </c>
      <c r="O225" s="67">
        <v>0</v>
      </c>
      <c r="Q225" s="71"/>
      <c r="S225" s="80">
        <v>0</v>
      </c>
      <c r="T225" s="80">
        <v>0</v>
      </c>
      <c r="U225" s="93">
        <v>0</v>
      </c>
      <c r="V225" s="61"/>
      <c r="AC225" s="36"/>
      <c r="AD225" s="36"/>
      <c r="AE225" s="36"/>
      <c r="AF225" s="19"/>
    </row>
    <row r="226" spans="1:32">
      <c r="A226" s="64" t="s">
        <v>597</v>
      </c>
      <c r="B226" s="63" t="s">
        <v>185</v>
      </c>
      <c r="C226" s="63" t="s">
        <v>186</v>
      </c>
      <c r="D226" s="134">
        <v>1646</v>
      </c>
      <c r="E226" s="67">
        <v>174472</v>
      </c>
      <c r="F226" s="146">
        <v>0</v>
      </c>
      <c r="G226" s="92">
        <v>0</v>
      </c>
      <c r="H226" s="71">
        <v>174472</v>
      </c>
      <c r="I226" s="67">
        <v>19954</v>
      </c>
      <c r="J226" s="20">
        <v>194426</v>
      </c>
      <c r="K226" s="132" t="s">
        <v>621</v>
      </c>
      <c r="L226" s="89">
        <v>0</v>
      </c>
      <c r="M226" s="154">
        <v>1646</v>
      </c>
      <c r="N226" s="67">
        <v>5143</v>
      </c>
      <c r="O226" s="67">
        <v>199569</v>
      </c>
      <c r="Q226" s="71"/>
      <c r="S226" s="80">
        <v>147701</v>
      </c>
      <c r="T226" s="80">
        <v>51868</v>
      </c>
      <c r="U226" s="93">
        <v>0.35116891557944768</v>
      </c>
      <c r="V226" s="61"/>
      <c r="AC226" s="36"/>
      <c r="AD226" s="36"/>
      <c r="AE226" s="36"/>
      <c r="AF226" s="19"/>
    </row>
    <row r="227" spans="1:32">
      <c r="A227" s="64" t="s">
        <v>603</v>
      </c>
      <c r="B227" s="63" t="s">
        <v>102</v>
      </c>
      <c r="C227" s="63" t="s">
        <v>103</v>
      </c>
      <c r="D227" s="134">
        <v>0</v>
      </c>
      <c r="E227" s="67">
        <v>0</v>
      </c>
      <c r="F227" s="146">
        <v>0</v>
      </c>
      <c r="G227" s="92">
        <v>0</v>
      </c>
      <c r="H227" s="71">
        <v>0</v>
      </c>
      <c r="I227" s="67">
        <v>0</v>
      </c>
      <c r="J227" s="20">
        <v>0</v>
      </c>
      <c r="K227" s="132" t="s">
        <v>723</v>
      </c>
      <c r="L227" s="89">
        <v>0</v>
      </c>
      <c r="M227" s="154">
        <v>0</v>
      </c>
      <c r="N227" s="67">
        <v>0</v>
      </c>
      <c r="O227" s="67">
        <v>0</v>
      </c>
      <c r="Q227" s="71"/>
      <c r="S227" s="80">
        <v>0</v>
      </c>
      <c r="T227" s="80">
        <v>0</v>
      </c>
      <c r="U227" s="93">
        <v>0</v>
      </c>
      <c r="V227" s="61"/>
      <c r="AC227" s="36"/>
      <c r="AD227" s="36"/>
      <c r="AE227" s="36"/>
      <c r="AF227" s="19"/>
    </row>
    <row r="228" spans="1:32">
      <c r="A228" s="64" t="s">
        <v>596</v>
      </c>
      <c r="B228" s="63" t="s">
        <v>23</v>
      </c>
      <c r="C228" s="63" t="s">
        <v>24</v>
      </c>
      <c r="D228" s="134">
        <v>260.63</v>
      </c>
      <c r="E228" s="67">
        <v>27626</v>
      </c>
      <c r="F228" s="146">
        <v>0</v>
      </c>
      <c r="G228" s="92">
        <v>0</v>
      </c>
      <c r="H228" s="71">
        <v>27626</v>
      </c>
      <c r="I228" s="67">
        <v>3160</v>
      </c>
      <c r="J228" s="20">
        <v>30786</v>
      </c>
      <c r="K228" s="132" t="s">
        <v>621</v>
      </c>
      <c r="L228" s="89">
        <v>0</v>
      </c>
      <c r="M228" s="154">
        <v>260.63</v>
      </c>
      <c r="N228" s="67">
        <v>814</v>
      </c>
      <c r="O228" s="67">
        <v>31600</v>
      </c>
      <c r="Q228" s="71"/>
      <c r="S228" s="80">
        <v>26875</v>
      </c>
      <c r="T228" s="80">
        <v>4725</v>
      </c>
      <c r="U228" s="93">
        <v>0.17581395348837209</v>
      </c>
      <c r="V228" s="61"/>
      <c r="AC228" s="36"/>
      <c r="AD228" s="36"/>
      <c r="AE228" s="36"/>
      <c r="AF228" s="19"/>
    </row>
    <row r="229" spans="1:32">
      <c r="A229" s="64" t="s">
        <v>599</v>
      </c>
      <c r="B229" s="63" t="s">
        <v>64</v>
      </c>
      <c r="C229" s="63" t="s">
        <v>65</v>
      </c>
      <c r="D229" s="134">
        <v>47.75</v>
      </c>
      <c r="E229" s="67">
        <v>5061</v>
      </c>
      <c r="F229" s="146">
        <v>0</v>
      </c>
      <c r="G229" s="92">
        <v>4800</v>
      </c>
      <c r="H229" s="71">
        <v>9861</v>
      </c>
      <c r="I229" s="67">
        <v>579</v>
      </c>
      <c r="J229" s="20">
        <v>5640</v>
      </c>
      <c r="K229" s="132" t="s">
        <v>621</v>
      </c>
      <c r="L229" s="89">
        <v>0</v>
      </c>
      <c r="M229" s="154">
        <v>47.75</v>
      </c>
      <c r="N229" s="67">
        <v>149</v>
      </c>
      <c r="O229" s="67">
        <v>5789</v>
      </c>
      <c r="Q229" s="71"/>
      <c r="S229" s="80">
        <v>2014</v>
      </c>
      <c r="T229" s="80">
        <v>3775</v>
      </c>
      <c r="U229" s="93">
        <v>1.8743793445878849</v>
      </c>
      <c r="V229" s="61"/>
      <c r="AC229" s="36"/>
      <c r="AD229" s="36"/>
      <c r="AE229" s="36"/>
      <c r="AF229" s="19"/>
    </row>
    <row r="230" spans="1:32">
      <c r="A230" s="64" t="s">
        <v>603</v>
      </c>
      <c r="B230" s="63" t="s">
        <v>8</v>
      </c>
      <c r="C230" s="63" t="s">
        <v>9</v>
      </c>
      <c r="D230" s="134">
        <v>0</v>
      </c>
      <c r="E230" s="67">
        <v>0</v>
      </c>
      <c r="F230" s="146">
        <v>0</v>
      </c>
      <c r="G230" s="92">
        <v>0</v>
      </c>
      <c r="H230" s="71">
        <v>0</v>
      </c>
      <c r="I230" s="67">
        <v>0</v>
      </c>
      <c r="J230" s="20">
        <v>0</v>
      </c>
      <c r="K230" s="132" t="s">
        <v>723</v>
      </c>
      <c r="L230" s="89">
        <v>0</v>
      </c>
      <c r="M230" s="154">
        <v>0</v>
      </c>
      <c r="N230" s="67">
        <v>0</v>
      </c>
      <c r="O230" s="67">
        <v>0</v>
      </c>
      <c r="Q230" s="71"/>
      <c r="S230" s="80">
        <v>0</v>
      </c>
      <c r="T230" s="80">
        <v>0</v>
      </c>
      <c r="U230" s="93">
        <v>0</v>
      </c>
      <c r="V230" s="61"/>
      <c r="AC230" s="36"/>
      <c r="AD230" s="36"/>
      <c r="AE230" s="36"/>
      <c r="AF230" s="19"/>
    </row>
    <row r="231" spans="1:32">
      <c r="A231" s="64" t="s">
        <v>603</v>
      </c>
      <c r="B231" s="63" t="s">
        <v>446</v>
      </c>
      <c r="C231" s="63" t="s">
        <v>447</v>
      </c>
      <c r="D231" s="134">
        <v>0</v>
      </c>
      <c r="E231" s="67">
        <v>0</v>
      </c>
      <c r="F231" s="146">
        <v>0</v>
      </c>
      <c r="G231" s="92">
        <v>0</v>
      </c>
      <c r="H231" s="71">
        <v>0</v>
      </c>
      <c r="I231" s="67">
        <v>0</v>
      </c>
      <c r="J231" s="20">
        <v>0</v>
      </c>
      <c r="K231" s="132" t="s">
        <v>723</v>
      </c>
      <c r="L231" s="89">
        <v>0</v>
      </c>
      <c r="M231" s="154">
        <v>0</v>
      </c>
      <c r="N231" s="67">
        <v>0</v>
      </c>
      <c r="O231" s="67">
        <v>0</v>
      </c>
      <c r="Q231" s="71"/>
      <c r="S231" s="80">
        <v>0</v>
      </c>
      <c r="T231" s="80">
        <v>0</v>
      </c>
      <c r="U231" s="93">
        <v>0</v>
      </c>
      <c r="V231" s="61"/>
      <c r="AC231" s="36"/>
      <c r="AD231" s="36"/>
      <c r="AE231" s="36"/>
      <c r="AF231" s="19"/>
    </row>
    <row r="232" spans="1:32">
      <c r="A232" s="64" t="s">
        <v>597</v>
      </c>
      <c r="B232" s="63" t="s">
        <v>193</v>
      </c>
      <c r="C232" s="63" t="s">
        <v>194</v>
      </c>
      <c r="D232" s="134">
        <v>76</v>
      </c>
      <c r="E232" s="67">
        <v>8056</v>
      </c>
      <c r="F232" s="146">
        <v>10000</v>
      </c>
      <c r="G232" s="92">
        <v>0</v>
      </c>
      <c r="H232" s="71">
        <v>18056</v>
      </c>
      <c r="I232" s="67">
        <v>921</v>
      </c>
      <c r="J232" s="20">
        <v>8977</v>
      </c>
      <c r="K232" s="132" t="s">
        <v>644</v>
      </c>
      <c r="L232" s="89">
        <v>8977</v>
      </c>
      <c r="M232" s="154">
        <v>0</v>
      </c>
      <c r="N232" s="67">
        <v>0</v>
      </c>
      <c r="O232" s="67">
        <v>0</v>
      </c>
      <c r="Q232" s="71"/>
      <c r="S232" s="80">
        <v>0</v>
      </c>
      <c r="T232" s="80">
        <v>0</v>
      </c>
      <c r="U232" s="93">
        <v>0</v>
      </c>
      <c r="V232" s="61"/>
      <c r="AC232" s="36"/>
      <c r="AD232" s="36"/>
      <c r="AE232" s="36"/>
      <c r="AF232" s="19"/>
    </row>
    <row r="233" spans="1:32">
      <c r="A233" s="64" t="s">
        <v>594</v>
      </c>
      <c r="B233" s="63" t="s">
        <v>484</v>
      </c>
      <c r="C233" s="63" t="s">
        <v>485</v>
      </c>
      <c r="D233" s="134">
        <v>100.88</v>
      </c>
      <c r="E233" s="67">
        <v>10693</v>
      </c>
      <c r="F233" s="146">
        <v>0</v>
      </c>
      <c r="G233" s="92">
        <v>0</v>
      </c>
      <c r="H233" s="71">
        <v>10693</v>
      </c>
      <c r="I233" s="67">
        <v>1223</v>
      </c>
      <c r="J233" s="20">
        <v>11916</v>
      </c>
      <c r="K233" s="132" t="s">
        <v>621</v>
      </c>
      <c r="L233" s="89">
        <v>0</v>
      </c>
      <c r="M233" s="154">
        <v>100.88</v>
      </c>
      <c r="N233" s="67">
        <v>315</v>
      </c>
      <c r="O233" s="67">
        <v>12231</v>
      </c>
      <c r="Q233" s="71"/>
      <c r="S233" s="80">
        <v>8643</v>
      </c>
      <c r="T233" s="80">
        <v>3588</v>
      </c>
      <c r="U233" s="93">
        <v>0.41513363415480736</v>
      </c>
      <c r="V233" s="61"/>
      <c r="AC233" s="36"/>
      <c r="AD233" s="36"/>
      <c r="AE233" s="36"/>
      <c r="AF233" s="19"/>
    </row>
    <row r="234" spans="1:32">
      <c r="A234" s="64" t="s">
        <v>599</v>
      </c>
      <c r="B234" s="63" t="s">
        <v>244</v>
      </c>
      <c r="C234" s="63" t="s">
        <v>245</v>
      </c>
      <c r="D234" s="134">
        <v>14.75</v>
      </c>
      <c r="E234" s="67">
        <v>1563</v>
      </c>
      <c r="F234" s="146">
        <v>0</v>
      </c>
      <c r="G234" s="92">
        <v>0</v>
      </c>
      <c r="H234" s="71">
        <v>1563</v>
      </c>
      <c r="I234" s="67">
        <v>179</v>
      </c>
      <c r="J234" s="20">
        <v>1742</v>
      </c>
      <c r="K234" s="132" t="s">
        <v>724</v>
      </c>
      <c r="L234" s="89">
        <v>1742</v>
      </c>
      <c r="M234" s="154">
        <v>0</v>
      </c>
      <c r="N234" s="67">
        <v>0</v>
      </c>
      <c r="O234" s="67">
        <v>0</v>
      </c>
      <c r="Q234" s="71"/>
      <c r="S234" s="80">
        <v>0</v>
      </c>
      <c r="T234" s="80">
        <v>0</v>
      </c>
      <c r="U234" s="93">
        <v>0</v>
      </c>
      <c r="V234" s="61"/>
      <c r="AC234" s="36"/>
      <c r="AD234" s="36"/>
      <c r="AE234" s="36"/>
      <c r="AF234" s="19"/>
    </row>
    <row r="235" spans="1:32">
      <c r="A235" s="64" t="s">
        <v>603</v>
      </c>
      <c r="B235" s="63" t="s">
        <v>537</v>
      </c>
      <c r="C235" s="63" t="s">
        <v>538</v>
      </c>
      <c r="D235" s="134">
        <v>0</v>
      </c>
      <c r="E235" s="67">
        <v>0</v>
      </c>
      <c r="F235" s="146">
        <v>0</v>
      </c>
      <c r="G235" s="92">
        <v>0</v>
      </c>
      <c r="H235" s="71">
        <v>0</v>
      </c>
      <c r="I235" s="67">
        <v>0</v>
      </c>
      <c r="J235" s="20">
        <v>0</v>
      </c>
      <c r="K235" s="132" t="s">
        <v>723</v>
      </c>
      <c r="L235" s="89">
        <v>0</v>
      </c>
      <c r="M235" s="154">
        <v>0</v>
      </c>
      <c r="N235" s="67">
        <v>0</v>
      </c>
      <c r="O235" s="67">
        <v>0</v>
      </c>
      <c r="Q235" s="71"/>
      <c r="S235" s="80">
        <v>0</v>
      </c>
      <c r="T235" s="80">
        <v>0</v>
      </c>
      <c r="U235" s="93">
        <v>0</v>
      </c>
      <c r="V235" s="61"/>
      <c r="AC235" s="36"/>
      <c r="AD235" s="36"/>
      <c r="AE235" s="36"/>
      <c r="AF235" s="19"/>
    </row>
    <row r="236" spans="1:32">
      <c r="A236" s="64" t="s">
        <v>605</v>
      </c>
      <c r="B236" s="63" t="s">
        <v>123</v>
      </c>
      <c r="C236" s="63" t="s">
        <v>124</v>
      </c>
      <c r="D236" s="134">
        <v>602.88</v>
      </c>
      <c r="E236" s="67">
        <v>63904</v>
      </c>
      <c r="F236" s="146">
        <v>0</v>
      </c>
      <c r="G236" s="92">
        <v>0</v>
      </c>
      <c r="H236" s="71">
        <v>63904</v>
      </c>
      <c r="I236" s="67">
        <v>7309</v>
      </c>
      <c r="J236" s="20">
        <v>71213</v>
      </c>
      <c r="K236" s="132" t="s">
        <v>621</v>
      </c>
      <c r="L236" s="89">
        <v>0</v>
      </c>
      <c r="M236" s="154">
        <v>602.88</v>
      </c>
      <c r="N236" s="67">
        <v>1884</v>
      </c>
      <c r="O236" s="67">
        <v>73097</v>
      </c>
      <c r="Q236" s="71"/>
      <c r="S236" s="80">
        <v>56745</v>
      </c>
      <c r="T236" s="80">
        <v>16352</v>
      </c>
      <c r="U236" s="93">
        <v>0.28816635826945103</v>
      </c>
      <c r="V236" s="61"/>
      <c r="AC236" s="36"/>
      <c r="AD236" s="36"/>
      <c r="AE236" s="36"/>
      <c r="AF236" s="19"/>
    </row>
    <row r="237" spans="1:32">
      <c r="A237" s="64" t="s">
        <v>595</v>
      </c>
      <c r="B237" s="63" t="s">
        <v>375</v>
      </c>
      <c r="C237" s="63" t="s">
        <v>614</v>
      </c>
      <c r="D237" s="134">
        <v>23.75</v>
      </c>
      <c r="E237" s="67">
        <v>2517</v>
      </c>
      <c r="F237" s="146">
        <v>0</v>
      </c>
      <c r="G237" s="92">
        <v>0</v>
      </c>
      <c r="H237" s="71">
        <v>2517</v>
      </c>
      <c r="I237" s="67">
        <v>288</v>
      </c>
      <c r="J237" s="20">
        <v>2805</v>
      </c>
      <c r="K237" s="132" t="s">
        <v>644</v>
      </c>
      <c r="L237" s="89">
        <v>2805</v>
      </c>
      <c r="M237" s="154">
        <v>0</v>
      </c>
      <c r="N237" s="67">
        <v>0</v>
      </c>
      <c r="O237" s="67">
        <v>0</v>
      </c>
      <c r="Q237" s="73"/>
      <c r="S237" s="80">
        <v>0</v>
      </c>
      <c r="T237" s="80">
        <v>0</v>
      </c>
      <c r="U237" s="93">
        <v>0</v>
      </c>
      <c r="V237" s="61"/>
      <c r="AC237" s="36"/>
      <c r="AD237" s="36"/>
      <c r="AE237" s="36"/>
      <c r="AF237" s="19"/>
    </row>
    <row r="238" spans="1:32">
      <c r="A238" s="64" t="s">
        <v>594</v>
      </c>
      <c r="B238" s="63" t="s">
        <v>149</v>
      </c>
      <c r="C238" s="63" t="s">
        <v>150</v>
      </c>
      <c r="D238" s="134">
        <v>0</v>
      </c>
      <c r="E238" s="67">
        <v>0</v>
      </c>
      <c r="F238" s="146">
        <v>0</v>
      </c>
      <c r="G238" s="92">
        <v>0</v>
      </c>
      <c r="H238" s="71">
        <v>0</v>
      </c>
      <c r="I238" s="67">
        <v>0</v>
      </c>
      <c r="J238" s="20">
        <v>0</v>
      </c>
      <c r="K238" s="132" t="s">
        <v>723</v>
      </c>
      <c r="L238" s="89">
        <v>0</v>
      </c>
      <c r="M238" s="154">
        <v>0</v>
      </c>
      <c r="N238" s="67">
        <v>0</v>
      </c>
      <c r="O238" s="67">
        <v>0</v>
      </c>
      <c r="Q238" s="71"/>
      <c r="S238" s="80">
        <v>0</v>
      </c>
      <c r="T238" s="80">
        <v>0</v>
      </c>
      <c r="U238" s="93">
        <v>0</v>
      </c>
      <c r="V238" s="61"/>
      <c r="AC238" s="36"/>
      <c r="AD238" s="36"/>
      <c r="AE238" s="36"/>
      <c r="AF238" s="19"/>
    </row>
    <row r="239" spans="1:32">
      <c r="A239" s="64" t="s">
        <v>597</v>
      </c>
      <c r="B239" s="63" t="s">
        <v>173</v>
      </c>
      <c r="C239" s="63" t="s">
        <v>174</v>
      </c>
      <c r="D239" s="134">
        <v>5316</v>
      </c>
      <c r="E239" s="67">
        <v>563481</v>
      </c>
      <c r="F239" s="146">
        <v>0</v>
      </c>
      <c r="G239" s="92">
        <v>0</v>
      </c>
      <c r="H239" s="71">
        <v>563481</v>
      </c>
      <c r="I239" s="67">
        <v>64445</v>
      </c>
      <c r="J239" s="20">
        <v>627926</v>
      </c>
      <c r="K239" s="132" t="s">
        <v>621</v>
      </c>
      <c r="L239" s="89">
        <v>0</v>
      </c>
      <c r="M239" s="154">
        <v>5316</v>
      </c>
      <c r="N239" s="67">
        <v>16611</v>
      </c>
      <c r="O239" s="67">
        <v>644561</v>
      </c>
      <c r="Q239" s="71"/>
      <c r="S239" s="80">
        <v>572419</v>
      </c>
      <c r="T239" s="80">
        <v>72142</v>
      </c>
      <c r="U239" s="93">
        <v>0.12603005840127599</v>
      </c>
      <c r="V239" s="61"/>
      <c r="AC239" s="36"/>
      <c r="AD239" s="36"/>
      <c r="AE239" s="36"/>
      <c r="AF239" s="19"/>
    </row>
    <row r="240" spans="1:32">
      <c r="A240" s="64" t="s">
        <v>595</v>
      </c>
      <c r="B240" s="63" t="s">
        <v>379</v>
      </c>
      <c r="C240" s="63" t="s">
        <v>615</v>
      </c>
      <c r="D240" s="134">
        <v>225.75</v>
      </c>
      <c r="E240" s="67">
        <v>23929</v>
      </c>
      <c r="F240" s="146">
        <v>0</v>
      </c>
      <c r="G240" s="92">
        <v>0</v>
      </c>
      <c r="H240" s="71">
        <v>23929</v>
      </c>
      <c r="I240" s="67">
        <v>2737</v>
      </c>
      <c r="J240" s="20">
        <v>26666</v>
      </c>
      <c r="K240" s="132" t="s">
        <v>621</v>
      </c>
      <c r="L240" s="89">
        <v>0</v>
      </c>
      <c r="M240" s="154">
        <v>225.75</v>
      </c>
      <c r="N240" s="67">
        <v>705</v>
      </c>
      <c r="O240" s="67">
        <v>27371</v>
      </c>
      <c r="Q240" s="71"/>
      <c r="S240" s="80">
        <v>25817</v>
      </c>
      <c r="T240" s="80">
        <v>1554</v>
      </c>
      <c r="U240" s="93">
        <v>6.0192896153697176E-2</v>
      </c>
      <c r="V240" s="61"/>
      <c r="AC240" s="36"/>
      <c r="AD240" s="36"/>
      <c r="AE240" s="36"/>
      <c r="AF240" s="19"/>
    </row>
    <row r="241" spans="1:32" s="112" customFormat="1">
      <c r="A241" s="138" t="s">
        <v>605</v>
      </c>
      <c r="B241" s="139" t="s">
        <v>551</v>
      </c>
      <c r="C241" s="139" t="s">
        <v>552</v>
      </c>
      <c r="D241" s="67">
        <v>152.88</v>
      </c>
      <c r="E241" s="67">
        <v>16205</v>
      </c>
      <c r="F241" s="147">
        <v>0</v>
      </c>
      <c r="G241" s="72">
        <v>0</v>
      </c>
      <c r="H241" s="140">
        <v>16205</v>
      </c>
      <c r="I241" s="67">
        <v>1853</v>
      </c>
      <c r="J241" s="155">
        <v>18058</v>
      </c>
      <c r="K241" s="132" t="s">
        <v>644</v>
      </c>
      <c r="L241" s="89">
        <v>18058</v>
      </c>
      <c r="M241" s="141">
        <v>0</v>
      </c>
      <c r="N241" s="110">
        <v>0</v>
      </c>
      <c r="O241" s="110">
        <v>0</v>
      </c>
      <c r="P241" s="110"/>
      <c r="Q241" s="111"/>
      <c r="S241" s="80">
        <v>0</v>
      </c>
      <c r="T241" s="80">
        <v>0</v>
      </c>
      <c r="U241" s="93">
        <v>0</v>
      </c>
      <c r="V241" s="115"/>
      <c r="X241" s="114"/>
      <c r="AC241" s="116"/>
      <c r="AD241" s="116"/>
      <c r="AE241" s="116"/>
      <c r="AF241" s="117"/>
    </row>
    <row r="242" spans="1:32">
      <c r="A242" s="64" t="s">
        <v>603</v>
      </c>
      <c r="B242" s="63" t="s">
        <v>340</v>
      </c>
      <c r="C242" s="63" t="s">
        <v>341</v>
      </c>
      <c r="D242" s="134">
        <v>0</v>
      </c>
      <c r="E242" s="67">
        <v>0</v>
      </c>
      <c r="F242" s="146">
        <v>0</v>
      </c>
      <c r="G242" s="92">
        <v>0</v>
      </c>
      <c r="H242" s="71">
        <v>0</v>
      </c>
      <c r="I242" s="67">
        <v>0</v>
      </c>
      <c r="J242" s="20">
        <v>0</v>
      </c>
      <c r="K242" s="132" t="s">
        <v>723</v>
      </c>
      <c r="L242" s="89">
        <v>0</v>
      </c>
      <c r="M242" s="154">
        <v>0</v>
      </c>
      <c r="N242" s="67">
        <v>0</v>
      </c>
      <c r="O242" s="67">
        <v>0</v>
      </c>
      <c r="Q242" s="71"/>
      <c r="S242" s="80">
        <v>0</v>
      </c>
      <c r="T242" s="80">
        <v>0</v>
      </c>
      <c r="U242" s="93">
        <v>0</v>
      </c>
      <c r="V242" s="61"/>
      <c r="AC242" s="36"/>
      <c r="AD242" s="36"/>
      <c r="AE242" s="36"/>
      <c r="AF242" s="19"/>
    </row>
    <row r="243" spans="1:32">
      <c r="A243" s="64" t="s">
        <v>600</v>
      </c>
      <c r="B243" s="63" t="s">
        <v>43</v>
      </c>
      <c r="C243" s="63" t="s">
        <v>44</v>
      </c>
      <c r="D243" s="134">
        <v>47.38</v>
      </c>
      <c r="E243" s="67">
        <v>5022</v>
      </c>
      <c r="F243" s="146">
        <v>0</v>
      </c>
      <c r="G243" s="92">
        <v>4800</v>
      </c>
      <c r="H243" s="71">
        <v>9822</v>
      </c>
      <c r="I243" s="67">
        <v>574</v>
      </c>
      <c r="J243" s="20">
        <v>5596</v>
      </c>
      <c r="K243" s="132" t="s">
        <v>644</v>
      </c>
      <c r="L243" s="89">
        <v>5596</v>
      </c>
      <c r="M243" s="154">
        <v>0</v>
      </c>
      <c r="N243" s="67">
        <v>0</v>
      </c>
      <c r="O243" s="67">
        <v>0</v>
      </c>
      <c r="Q243" s="71"/>
      <c r="S243" s="80">
        <v>0</v>
      </c>
      <c r="T243" s="80">
        <v>0</v>
      </c>
      <c r="U243" s="93">
        <v>0</v>
      </c>
      <c r="V243" s="61"/>
      <c r="AC243" s="36"/>
      <c r="AD243" s="36"/>
      <c r="AE243" s="36"/>
      <c r="AF243" s="19"/>
    </row>
    <row r="244" spans="1:32">
      <c r="A244" s="64" t="s">
        <v>595</v>
      </c>
      <c r="B244" s="63" t="s">
        <v>371</v>
      </c>
      <c r="C244" s="63" t="s">
        <v>670</v>
      </c>
      <c r="D244" s="134">
        <v>0</v>
      </c>
      <c r="E244" s="67">
        <v>0</v>
      </c>
      <c r="F244" s="146">
        <v>0</v>
      </c>
      <c r="G244" s="92">
        <v>0</v>
      </c>
      <c r="H244" s="71">
        <v>0</v>
      </c>
      <c r="I244" s="67">
        <v>0</v>
      </c>
      <c r="J244" s="20">
        <v>0</v>
      </c>
      <c r="K244" s="132" t="s">
        <v>723</v>
      </c>
      <c r="L244" s="89">
        <v>0</v>
      </c>
      <c r="M244" s="154">
        <v>0</v>
      </c>
      <c r="N244" s="67">
        <v>0</v>
      </c>
      <c r="O244" s="67">
        <v>0</v>
      </c>
      <c r="Q244" s="71"/>
      <c r="S244" s="80">
        <v>0</v>
      </c>
      <c r="T244" s="80">
        <v>0</v>
      </c>
      <c r="U244" s="93">
        <v>0</v>
      </c>
      <c r="V244" s="61"/>
      <c r="AC244" s="36"/>
      <c r="AD244" s="36"/>
      <c r="AE244" s="36"/>
      <c r="AF244" s="19"/>
    </row>
    <row r="245" spans="1:32">
      <c r="A245" s="64" t="s">
        <v>594</v>
      </c>
      <c r="B245" s="63" t="s">
        <v>299</v>
      </c>
      <c r="C245" s="63" t="s">
        <v>300</v>
      </c>
      <c r="D245" s="134">
        <v>227.88</v>
      </c>
      <c r="E245" s="67">
        <v>24155</v>
      </c>
      <c r="F245" s="146">
        <v>75000</v>
      </c>
      <c r="G245" s="92">
        <v>0</v>
      </c>
      <c r="H245" s="71">
        <v>99155</v>
      </c>
      <c r="I245" s="67">
        <v>2763</v>
      </c>
      <c r="J245" s="20">
        <v>26918</v>
      </c>
      <c r="K245" s="132" t="s">
        <v>621</v>
      </c>
      <c r="L245" s="89">
        <v>0</v>
      </c>
      <c r="M245" s="154">
        <v>227.88</v>
      </c>
      <c r="N245" s="67">
        <v>712</v>
      </c>
      <c r="O245" s="67">
        <v>27630</v>
      </c>
      <c r="Q245" s="71"/>
      <c r="S245" s="80">
        <v>19363</v>
      </c>
      <c r="T245" s="80">
        <v>8267</v>
      </c>
      <c r="U245" s="93">
        <v>0.4269483034653721</v>
      </c>
      <c r="V245" s="61"/>
      <c r="AC245" s="36"/>
      <c r="AD245" s="36"/>
      <c r="AE245" s="36"/>
      <c r="AF245" s="19"/>
    </row>
    <row r="246" spans="1:32">
      <c r="A246" s="64" t="s">
        <v>597</v>
      </c>
      <c r="B246" s="63" t="s">
        <v>203</v>
      </c>
      <c r="C246" s="63" t="s">
        <v>204</v>
      </c>
      <c r="D246" s="134">
        <v>519.13</v>
      </c>
      <c r="E246" s="67">
        <v>55027</v>
      </c>
      <c r="F246" s="146">
        <v>0</v>
      </c>
      <c r="G246" s="92">
        <v>0</v>
      </c>
      <c r="H246" s="71">
        <v>55027</v>
      </c>
      <c r="I246" s="67">
        <v>6293</v>
      </c>
      <c r="J246" s="20">
        <v>61320</v>
      </c>
      <c r="K246" s="132" t="s">
        <v>621</v>
      </c>
      <c r="L246" s="89">
        <v>0</v>
      </c>
      <c r="M246" s="154">
        <v>519.13</v>
      </c>
      <c r="N246" s="67">
        <v>1622</v>
      </c>
      <c r="O246" s="67">
        <v>62942</v>
      </c>
      <c r="Q246" s="71"/>
      <c r="S246" s="80">
        <v>55874</v>
      </c>
      <c r="T246" s="80">
        <v>7068</v>
      </c>
      <c r="U246" s="93">
        <v>0.12649890825786592</v>
      </c>
      <c r="V246" s="61"/>
      <c r="AC246" s="36"/>
      <c r="AD246" s="36"/>
      <c r="AE246" s="36"/>
      <c r="AF246" s="19"/>
    </row>
    <row r="247" spans="1:32">
      <c r="A247" s="64" t="s">
        <v>599</v>
      </c>
      <c r="B247" s="63" t="s">
        <v>387</v>
      </c>
      <c r="C247" s="63" t="s">
        <v>388</v>
      </c>
      <c r="D247" s="134">
        <v>0</v>
      </c>
      <c r="E247" s="67">
        <v>0</v>
      </c>
      <c r="F247" s="146">
        <v>0</v>
      </c>
      <c r="G247" s="92">
        <v>0</v>
      </c>
      <c r="H247" s="71">
        <v>0</v>
      </c>
      <c r="I247" s="67">
        <v>0</v>
      </c>
      <c r="J247" s="20">
        <v>0</v>
      </c>
      <c r="K247" s="132" t="s">
        <v>723</v>
      </c>
      <c r="L247" s="89">
        <v>0</v>
      </c>
      <c r="M247" s="154">
        <v>0</v>
      </c>
      <c r="N247" s="67">
        <v>0</v>
      </c>
      <c r="O247" s="67">
        <v>0</v>
      </c>
      <c r="Q247" s="71"/>
      <c r="S247" s="80">
        <v>0</v>
      </c>
      <c r="T247" s="80">
        <v>0</v>
      </c>
      <c r="U247" s="93">
        <v>0</v>
      </c>
      <c r="V247" s="61"/>
      <c r="AC247" s="36"/>
      <c r="AD247" s="36"/>
      <c r="AE247" s="36"/>
      <c r="AF247" s="19"/>
    </row>
    <row r="248" spans="1:32">
      <c r="A248" s="64" t="s">
        <v>597</v>
      </c>
      <c r="B248" s="63" t="s">
        <v>187</v>
      </c>
      <c r="C248" s="63" t="s">
        <v>188</v>
      </c>
      <c r="D248" s="134">
        <v>3</v>
      </c>
      <c r="E248" s="67">
        <v>318</v>
      </c>
      <c r="F248" s="146">
        <v>0</v>
      </c>
      <c r="G248" s="92">
        <v>0</v>
      </c>
      <c r="H248" s="71">
        <v>318</v>
      </c>
      <c r="I248" s="67">
        <v>36</v>
      </c>
      <c r="J248" s="20">
        <v>354</v>
      </c>
      <c r="K248" s="132" t="s">
        <v>724</v>
      </c>
      <c r="L248" s="89">
        <v>354</v>
      </c>
      <c r="M248" s="154">
        <v>0</v>
      </c>
      <c r="N248" s="67">
        <v>0</v>
      </c>
      <c r="O248" s="67">
        <v>0</v>
      </c>
      <c r="Q248" s="71"/>
      <c r="S248" s="80">
        <v>0</v>
      </c>
      <c r="T248" s="80">
        <v>0</v>
      </c>
      <c r="U248" s="93">
        <v>0</v>
      </c>
      <c r="V248" s="61"/>
      <c r="AC248" s="36"/>
      <c r="AD248" s="36"/>
      <c r="AE248" s="36"/>
      <c r="AF248" s="19"/>
    </row>
    <row r="249" spans="1:32">
      <c r="A249" s="64" t="s">
        <v>595</v>
      </c>
      <c r="B249" s="63" t="s">
        <v>411</v>
      </c>
      <c r="C249" s="63" t="s">
        <v>412</v>
      </c>
      <c r="D249" s="134">
        <v>136.25</v>
      </c>
      <c r="E249" s="67">
        <v>14442</v>
      </c>
      <c r="F249" s="146">
        <v>0</v>
      </c>
      <c r="G249" s="92">
        <v>5850</v>
      </c>
      <c r="H249" s="71">
        <v>20292</v>
      </c>
      <c r="I249" s="67">
        <v>1652</v>
      </c>
      <c r="J249" s="20">
        <v>16094</v>
      </c>
      <c r="K249" s="132" t="s">
        <v>621</v>
      </c>
      <c r="L249" s="89">
        <v>0</v>
      </c>
      <c r="M249" s="154">
        <v>136.25</v>
      </c>
      <c r="N249" s="67">
        <v>426</v>
      </c>
      <c r="O249" s="67">
        <v>16520</v>
      </c>
      <c r="Q249" s="71"/>
      <c r="S249" s="80">
        <v>10334</v>
      </c>
      <c r="T249" s="80">
        <v>6186</v>
      </c>
      <c r="U249" s="93">
        <v>0.59860654151345072</v>
      </c>
      <c r="V249" s="61"/>
      <c r="AC249" s="36"/>
      <c r="AD249" s="36"/>
      <c r="AE249" s="36"/>
      <c r="AF249" s="19"/>
    </row>
    <row r="250" spans="1:32">
      <c r="A250" s="64" t="s">
        <v>597</v>
      </c>
      <c r="B250" s="63" t="s">
        <v>199</v>
      </c>
      <c r="C250" s="63" t="s">
        <v>200</v>
      </c>
      <c r="D250" s="134">
        <v>36</v>
      </c>
      <c r="E250" s="67">
        <v>3816</v>
      </c>
      <c r="F250" s="146">
        <v>0</v>
      </c>
      <c r="G250" s="92">
        <v>0</v>
      </c>
      <c r="H250" s="71">
        <v>3816</v>
      </c>
      <c r="I250" s="67">
        <v>436</v>
      </c>
      <c r="J250" s="20">
        <v>4252</v>
      </c>
      <c r="K250" s="132" t="s">
        <v>644</v>
      </c>
      <c r="L250" s="89">
        <v>4252</v>
      </c>
      <c r="M250" s="154">
        <v>0</v>
      </c>
      <c r="N250" s="67">
        <v>0</v>
      </c>
      <c r="O250" s="67">
        <v>0</v>
      </c>
      <c r="Q250" s="71"/>
      <c r="S250" s="80">
        <v>0</v>
      </c>
      <c r="T250" s="80">
        <v>0</v>
      </c>
      <c r="U250" s="93">
        <v>0</v>
      </c>
      <c r="V250" s="61"/>
      <c r="AC250" s="36"/>
      <c r="AD250" s="36"/>
      <c r="AE250" s="36"/>
      <c r="AF250" s="19"/>
    </row>
    <row r="251" spans="1:32">
      <c r="A251" s="64" t="s">
        <v>601</v>
      </c>
      <c r="B251" s="63" t="s">
        <v>121</v>
      </c>
      <c r="C251" s="63" t="s">
        <v>122</v>
      </c>
      <c r="D251" s="134">
        <v>127.13</v>
      </c>
      <c r="E251" s="67">
        <v>13475</v>
      </c>
      <c r="F251" s="146">
        <v>0</v>
      </c>
      <c r="G251" s="92">
        <v>0</v>
      </c>
      <c r="H251" s="71">
        <v>13475</v>
      </c>
      <c r="I251" s="67">
        <v>1541</v>
      </c>
      <c r="J251" s="20">
        <v>15016</v>
      </c>
      <c r="K251" s="132" t="s">
        <v>621</v>
      </c>
      <c r="L251" s="89">
        <v>0</v>
      </c>
      <c r="M251" s="154">
        <v>127.13</v>
      </c>
      <c r="N251" s="67">
        <v>397</v>
      </c>
      <c r="O251" s="67">
        <v>15413</v>
      </c>
      <c r="Q251" s="71"/>
      <c r="S251" s="80">
        <v>12684</v>
      </c>
      <c r="T251" s="80">
        <v>2729</v>
      </c>
      <c r="U251" s="93">
        <v>0.21515294859665721</v>
      </c>
      <c r="V251" s="61"/>
      <c r="AC251" s="36"/>
      <c r="AD251" s="36"/>
      <c r="AE251" s="36"/>
      <c r="AF251" s="19"/>
    </row>
    <row r="252" spans="1:32">
      <c r="A252" s="64" t="s">
        <v>594</v>
      </c>
      <c r="B252" s="63" t="s">
        <v>329</v>
      </c>
      <c r="C252" s="63" t="s">
        <v>330</v>
      </c>
      <c r="D252" s="134">
        <v>92</v>
      </c>
      <c r="E252" s="67">
        <v>9752</v>
      </c>
      <c r="F252" s="146">
        <v>0</v>
      </c>
      <c r="G252" s="92">
        <v>0</v>
      </c>
      <c r="H252" s="71">
        <v>9752</v>
      </c>
      <c r="I252" s="67">
        <v>1115</v>
      </c>
      <c r="J252" s="20">
        <v>10867</v>
      </c>
      <c r="K252" s="132" t="s">
        <v>621</v>
      </c>
      <c r="L252" s="89">
        <v>0</v>
      </c>
      <c r="M252" s="154">
        <v>92</v>
      </c>
      <c r="N252" s="67">
        <v>287</v>
      </c>
      <c r="O252" s="67">
        <v>11154</v>
      </c>
      <c r="Q252" s="71"/>
      <c r="S252" s="80">
        <v>9763</v>
      </c>
      <c r="T252" s="80">
        <v>1391</v>
      </c>
      <c r="U252" s="93">
        <v>0.14247669773635152</v>
      </c>
      <c r="V252" s="61"/>
      <c r="AC252" s="36"/>
      <c r="AD252" s="36"/>
      <c r="AE252" s="36"/>
      <c r="AF252" s="19"/>
    </row>
    <row r="253" spans="1:32">
      <c r="A253" s="64" t="s">
        <v>600</v>
      </c>
      <c r="B253" s="63" t="s">
        <v>218</v>
      </c>
      <c r="C253" s="63" t="s">
        <v>219</v>
      </c>
      <c r="D253" s="134">
        <v>44.63</v>
      </c>
      <c r="E253" s="67">
        <v>4731</v>
      </c>
      <c r="F253" s="146">
        <v>0</v>
      </c>
      <c r="G253" s="92">
        <v>3150</v>
      </c>
      <c r="H253" s="71">
        <v>7881</v>
      </c>
      <c r="I253" s="67">
        <v>541</v>
      </c>
      <c r="J253" s="20">
        <v>5272</v>
      </c>
      <c r="K253" s="132" t="s">
        <v>644</v>
      </c>
      <c r="L253" s="89">
        <v>5272</v>
      </c>
      <c r="M253" s="154">
        <v>0</v>
      </c>
      <c r="N253" s="67">
        <v>0</v>
      </c>
      <c r="O253" s="67">
        <v>0</v>
      </c>
      <c r="Q253" s="71"/>
      <c r="S253" s="80">
        <v>0</v>
      </c>
      <c r="T253" s="80">
        <v>0</v>
      </c>
      <c r="U253" s="93">
        <v>0</v>
      </c>
      <c r="V253" s="61"/>
      <c r="AC253" s="36"/>
      <c r="AD253" s="36"/>
      <c r="AE253" s="36"/>
      <c r="AF253" s="19"/>
    </row>
    <row r="254" spans="1:32">
      <c r="A254" s="64" t="s">
        <v>595</v>
      </c>
      <c r="B254" s="63" t="s">
        <v>161</v>
      </c>
      <c r="C254" s="63" t="s">
        <v>162</v>
      </c>
      <c r="D254" s="134">
        <v>10</v>
      </c>
      <c r="E254" s="67">
        <v>1060</v>
      </c>
      <c r="F254" s="146">
        <v>0</v>
      </c>
      <c r="G254" s="92">
        <v>0</v>
      </c>
      <c r="H254" s="71">
        <v>1060</v>
      </c>
      <c r="I254" s="67">
        <v>121</v>
      </c>
      <c r="J254" s="20">
        <v>1181</v>
      </c>
      <c r="K254" s="132" t="s">
        <v>621</v>
      </c>
      <c r="L254" s="89">
        <v>0</v>
      </c>
      <c r="M254" s="154">
        <v>10</v>
      </c>
      <c r="N254" s="67">
        <v>31</v>
      </c>
      <c r="O254" s="67">
        <v>1212</v>
      </c>
      <c r="Q254" s="71"/>
      <c r="S254" s="80">
        <v>0</v>
      </c>
      <c r="T254" s="80">
        <v>1212</v>
      </c>
      <c r="U254" s="93">
        <v>0</v>
      </c>
      <c r="V254" s="61"/>
      <c r="AC254" s="36"/>
      <c r="AD254" s="36"/>
      <c r="AE254" s="36"/>
      <c r="AF254" s="19"/>
    </row>
    <row r="255" spans="1:32">
      <c r="A255" s="64" t="s">
        <v>594</v>
      </c>
      <c r="B255" s="63" t="s">
        <v>295</v>
      </c>
      <c r="C255" s="63" t="s">
        <v>296</v>
      </c>
      <c r="D255" s="134">
        <v>0</v>
      </c>
      <c r="E255" s="67">
        <v>0</v>
      </c>
      <c r="F255" s="146">
        <v>0</v>
      </c>
      <c r="G255" s="92">
        <v>0</v>
      </c>
      <c r="H255" s="71">
        <v>0</v>
      </c>
      <c r="I255" s="67">
        <v>0</v>
      </c>
      <c r="J255" s="20">
        <v>0</v>
      </c>
      <c r="K255" s="132" t="s">
        <v>723</v>
      </c>
      <c r="L255" s="89">
        <v>0</v>
      </c>
      <c r="M255" s="154">
        <v>0</v>
      </c>
      <c r="N255" s="67">
        <v>0</v>
      </c>
      <c r="O255" s="67">
        <v>0</v>
      </c>
      <c r="Q255" s="71"/>
      <c r="S255" s="80">
        <v>0</v>
      </c>
      <c r="T255" s="80">
        <v>0</v>
      </c>
      <c r="U255" s="93">
        <v>0</v>
      </c>
      <c r="V255" s="61"/>
      <c r="AC255" s="36"/>
      <c r="AD255" s="36"/>
      <c r="AE255" s="36"/>
      <c r="AF255" s="19"/>
    </row>
    <row r="256" spans="1:32">
      <c r="A256" s="64" t="s">
        <v>603</v>
      </c>
      <c r="B256" s="63" t="s">
        <v>422</v>
      </c>
      <c r="C256" s="63" t="s">
        <v>423</v>
      </c>
      <c r="D256" s="134">
        <v>970.38</v>
      </c>
      <c r="E256" s="67">
        <v>102858</v>
      </c>
      <c r="F256" s="146">
        <v>0</v>
      </c>
      <c r="G256" s="92">
        <v>0</v>
      </c>
      <c r="H256" s="71">
        <v>102858</v>
      </c>
      <c r="I256" s="67">
        <v>11764</v>
      </c>
      <c r="J256" s="20">
        <v>114622</v>
      </c>
      <c r="K256" s="132" t="s">
        <v>621</v>
      </c>
      <c r="L256" s="89">
        <v>0</v>
      </c>
      <c r="M256" s="154">
        <v>970.38</v>
      </c>
      <c r="N256" s="67">
        <v>3032</v>
      </c>
      <c r="O256" s="67">
        <v>117654</v>
      </c>
      <c r="Q256" s="71"/>
      <c r="S256" s="80">
        <v>104212</v>
      </c>
      <c r="T256" s="80">
        <v>13442</v>
      </c>
      <c r="U256" s="93">
        <v>0.12898706482938624</v>
      </c>
      <c r="V256" s="61"/>
      <c r="AC256" s="36"/>
      <c r="AD256" s="36"/>
      <c r="AE256" s="36"/>
      <c r="AF256" s="19"/>
    </row>
    <row r="257" spans="1:32">
      <c r="A257" s="64" t="s">
        <v>603</v>
      </c>
      <c r="B257" s="63" t="s">
        <v>280</v>
      </c>
      <c r="C257" s="63" t="s">
        <v>281</v>
      </c>
      <c r="D257" s="134">
        <v>0</v>
      </c>
      <c r="E257" s="67">
        <v>0</v>
      </c>
      <c r="F257" s="146">
        <v>0</v>
      </c>
      <c r="G257" s="92">
        <v>0</v>
      </c>
      <c r="H257" s="71">
        <v>0</v>
      </c>
      <c r="I257" s="67">
        <v>0</v>
      </c>
      <c r="J257" s="20">
        <v>0</v>
      </c>
      <c r="K257" s="132" t="s">
        <v>723</v>
      </c>
      <c r="L257" s="89">
        <v>0</v>
      </c>
      <c r="M257" s="154">
        <v>0</v>
      </c>
      <c r="N257" s="67">
        <v>0</v>
      </c>
      <c r="O257" s="67">
        <v>0</v>
      </c>
      <c r="Q257" s="71"/>
      <c r="S257" s="80">
        <v>0</v>
      </c>
      <c r="T257" s="80">
        <v>0</v>
      </c>
      <c r="U257" s="93">
        <v>0</v>
      </c>
      <c r="V257" s="61"/>
      <c r="AC257" s="36"/>
      <c r="AD257" s="36"/>
      <c r="AE257" s="36"/>
      <c r="AF257" s="19"/>
    </row>
    <row r="258" spans="1:32">
      <c r="A258" s="64" t="s">
        <v>603</v>
      </c>
      <c r="B258" s="63" t="s">
        <v>539</v>
      </c>
      <c r="C258" s="63" t="s">
        <v>540</v>
      </c>
      <c r="D258" s="134">
        <v>0</v>
      </c>
      <c r="E258" s="67">
        <v>0</v>
      </c>
      <c r="F258" s="146">
        <v>0</v>
      </c>
      <c r="G258" s="92">
        <v>0</v>
      </c>
      <c r="H258" s="71">
        <v>0</v>
      </c>
      <c r="I258" s="67">
        <v>0</v>
      </c>
      <c r="J258" s="20">
        <v>0</v>
      </c>
      <c r="K258" s="132" t="s">
        <v>723</v>
      </c>
      <c r="L258" s="89">
        <v>0</v>
      </c>
      <c r="M258" s="154">
        <v>0</v>
      </c>
      <c r="N258" s="67">
        <v>0</v>
      </c>
      <c r="O258" s="67">
        <v>0</v>
      </c>
      <c r="Q258" s="71"/>
      <c r="S258" s="80">
        <v>0</v>
      </c>
      <c r="T258" s="80">
        <v>0</v>
      </c>
      <c r="U258" s="93">
        <v>0</v>
      </c>
      <c r="V258" s="61"/>
      <c r="AC258" s="36"/>
      <c r="AD258" s="36"/>
      <c r="AE258" s="36"/>
      <c r="AF258" s="19"/>
    </row>
    <row r="259" spans="1:32">
      <c r="A259" s="64" t="s">
        <v>595</v>
      </c>
      <c r="B259" s="63" t="s">
        <v>421</v>
      </c>
      <c r="C259" s="63" t="s">
        <v>673</v>
      </c>
      <c r="D259" s="134">
        <v>77.63</v>
      </c>
      <c r="E259" s="67">
        <v>8229</v>
      </c>
      <c r="F259" s="146">
        <v>0</v>
      </c>
      <c r="G259" s="92">
        <v>3450</v>
      </c>
      <c r="H259" s="71">
        <v>11679</v>
      </c>
      <c r="I259" s="67">
        <v>941</v>
      </c>
      <c r="J259" s="20">
        <v>9170</v>
      </c>
      <c r="K259" s="132" t="s">
        <v>621</v>
      </c>
      <c r="L259" s="89">
        <v>0</v>
      </c>
      <c r="M259" s="154">
        <v>77.63</v>
      </c>
      <c r="N259" s="67">
        <v>243</v>
      </c>
      <c r="O259" s="67">
        <v>9413</v>
      </c>
      <c r="Q259" s="71"/>
      <c r="S259" s="80">
        <v>6317</v>
      </c>
      <c r="T259" s="80">
        <v>3096</v>
      </c>
      <c r="U259" s="93">
        <v>0.49010606300459081</v>
      </c>
      <c r="V259" s="61"/>
      <c r="AC259" s="36"/>
      <c r="AD259" s="36"/>
      <c r="AE259" s="36"/>
      <c r="AF259" s="19"/>
    </row>
    <row r="260" spans="1:32">
      <c r="A260" s="64" t="s">
        <v>596</v>
      </c>
      <c r="B260" s="63" t="s">
        <v>108</v>
      </c>
      <c r="C260" s="63" t="s">
        <v>109</v>
      </c>
      <c r="D260" s="134">
        <v>0</v>
      </c>
      <c r="E260" s="67">
        <v>0</v>
      </c>
      <c r="F260" s="146">
        <v>0</v>
      </c>
      <c r="G260" s="92">
        <v>0</v>
      </c>
      <c r="H260" s="71">
        <v>0</v>
      </c>
      <c r="I260" s="67">
        <v>0</v>
      </c>
      <c r="J260" s="20">
        <v>0</v>
      </c>
      <c r="K260" s="132" t="s">
        <v>723</v>
      </c>
      <c r="L260" s="89">
        <v>0</v>
      </c>
      <c r="M260" s="154">
        <v>0</v>
      </c>
      <c r="N260" s="67">
        <v>0</v>
      </c>
      <c r="O260" s="67">
        <v>0</v>
      </c>
      <c r="Q260" s="71"/>
      <c r="S260" s="80">
        <v>0</v>
      </c>
      <c r="T260" s="80">
        <v>0</v>
      </c>
      <c r="U260" s="93">
        <v>0</v>
      </c>
      <c r="V260" s="61"/>
      <c r="AC260" s="36"/>
      <c r="AD260" s="36"/>
      <c r="AE260" s="36"/>
      <c r="AF260" s="19"/>
    </row>
    <row r="261" spans="1:32">
      <c r="A261" s="64" t="s">
        <v>596</v>
      </c>
      <c r="B261" s="63" t="s">
        <v>68</v>
      </c>
      <c r="C261" s="63" t="s">
        <v>69</v>
      </c>
      <c r="D261" s="134">
        <v>0</v>
      </c>
      <c r="E261" s="67">
        <v>0</v>
      </c>
      <c r="F261" s="146">
        <v>0</v>
      </c>
      <c r="G261" s="92">
        <v>0</v>
      </c>
      <c r="H261" s="71">
        <v>0</v>
      </c>
      <c r="I261" s="67">
        <v>0</v>
      </c>
      <c r="J261" s="20">
        <v>0</v>
      </c>
      <c r="K261" s="132" t="s">
        <v>723</v>
      </c>
      <c r="L261" s="89">
        <v>0</v>
      </c>
      <c r="M261" s="154">
        <v>0</v>
      </c>
      <c r="N261" s="67">
        <v>0</v>
      </c>
      <c r="O261" s="67">
        <v>0</v>
      </c>
      <c r="Q261" s="71"/>
      <c r="S261" s="80">
        <v>0</v>
      </c>
      <c r="T261" s="80">
        <v>0</v>
      </c>
      <c r="U261" s="93">
        <v>0</v>
      </c>
      <c r="V261" s="61"/>
      <c r="AC261" s="36"/>
      <c r="AD261" s="36"/>
      <c r="AE261" s="36"/>
      <c r="AF261" s="19"/>
    </row>
    <row r="262" spans="1:32">
      <c r="A262" s="64" t="s">
        <v>601</v>
      </c>
      <c r="B262" s="63" t="s">
        <v>27</v>
      </c>
      <c r="C262" s="63" t="s">
        <v>28</v>
      </c>
      <c r="D262" s="134">
        <v>0</v>
      </c>
      <c r="E262" s="67">
        <v>0</v>
      </c>
      <c r="F262" s="146">
        <v>0</v>
      </c>
      <c r="G262" s="92">
        <v>0</v>
      </c>
      <c r="H262" s="71">
        <v>0</v>
      </c>
      <c r="I262" s="67">
        <v>0</v>
      </c>
      <c r="J262" s="20">
        <v>0</v>
      </c>
      <c r="K262" s="132" t="s">
        <v>723</v>
      </c>
      <c r="L262" s="89">
        <v>0</v>
      </c>
      <c r="M262" s="154">
        <v>0</v>
      </c>
      <c r="N262" s="67">
        <v>0</v>
      </c>
      <c r="O262" s="67">
        <v>0</v>
      </c>
      <c r="Q262" s="71"/>
      <c r="S262" s="80">
        <v>0</v>
      </c>
      <c r="T262" s="80">
        <v>0</v>
      </c>
      <c r="U262" s="93">
        <v>0</v>
      </c>
      <c r="V262" s="61"/>
      <c r="AC262" s="36"/>
      <c r="AD262" s="36"/>
      <c r="AE262" s="36"/>
      <c r="AF262" s="19"/>
    </row>
    <row r="263" spans="1:32">
      <c r="A263" s="64" t="s">
        <v>597</v>
      </c>
      <c r="B263" s="63" t="s">
        <v>342</v>
      </c>
      <c r="C263" s="63" t="s">
        <v>617</v>
      </c>
      <c r="D263" s="134">
        <v>36.130000000000003</v>
      </c>
      <c r="E263" s="67">
        <v>3830</v>
      </c>
      <c r="F263" s="146">
        <v>0</v>
      </c>
      <c r="G263" s="92">
        <v>0</v>
      </c>
      <c r="H263" s="71">
        <v>3830</v>
      </c>
      <c r="I263" s="67">
        <v>438</v>
      </c>
      <c r="J263" s="20">
        <v>4268</v>
      </c>
      <c r="K263" s="132" t="s">
        <v>644</v>
      </c>
      <c r="L263" s="89">
        <v>4268</v>
      </c>
      <c r="M263" s="154">
        <v>0</v>
      </c>
      <c r="N263" s="67">
        <v>0</v>
      </c>
      <c r="O263" s="67">
        <v>0</v>
      </c>
      <c r="Q263" s="71"/>
      <c r="S263" s="80">
        <v>0</v>
      </c>
      <c r="T263" s="80">
        <v>0</v>
      </c>
      <c r="U263" s="93">
        <v>0</v>
      </c>
      <c r="V263" s="61"/>
      <c r="AC263" s="36"/>
      <c r="AD263" s="36"/>
      <c r="AE263" s="36"/>
      <c r="AF263" s="19"/>
    </row>
    <row r="264" spans="1:32">
      <c r="A264" s="64" t="s">
        <v>603</v>
      </c>
      <c r="B264" s="63" t="s">
        <v>531</v>
      </c>
      <c r="C264" s="63" t="s">
        <v>532</v>
      </c>
      <c r="D264" s="134">
        <v>0</v>
      </c>
      <c r="E264" s="67">
        <v>0</v>
      </c>
      <c r="F264" s="146">
        <v>0</v>
      </c>
      <c r="G264" s="92">
        <v>0</v>
      </c>
      <c r="H264" s="71">
        <v>0</v>
      </c>
      <c r="I264" s="67">
        <v>0</v>
      </c>
      <c r="J264" s="20">
        <v>0</v>
      </c>
      <c r="K264" s="132" t="s">
        <v>723</v>
      </c>
      <c r="L264" s="89">
        <v>0</v>
      </c>
      <c r="M264" s="154">
        <v>0</v>
      </c>
      <c r="N264" s="67">
        <v>0</v>
      </c>
      <c r="O264" s="67">
        <v>0</v>
      </c>
      <c r="Q264" s="71"/>
      <c r="S264" s="80">
        <v>0</v>
      </c>
      <c r="T264" s="80">
        <v>0</v>
      </c>
      <c r="U264" s="93">
        <v>0</v>
      </c>
      <c r="V264" s="61"/>
      <c r="AC264" s="36"/>
      <c r="AD264" s="36"/>
      <c r="AE264" s="36"/>
      <c r="AF264" s="19"/>
    </row>
    <row r="265" spans="1:32">
      <c r="A265" s="64" t="s">
        <v>599</v>
      </c>
      <c r="B265" s="63" t="s">
        <v>393</v>
      </c>
      <c r="C265" s="63" t="s">
        <v>394</v>
      </c>
      <c r="D265" s="134">
        <v>15.75</v>
      </c>
      <c r="E265" s="67">
        <v>1669</v>
      </c>
      <c r="F265" s="146">
        <v>0</v>
      </c>
      <c r="G265" s="92">
        <v>0</v>
      </c>
      <c r="H265" s="71">
        <v>1669</v>
      </c>
      <c r="I265" s="67">
        <v>191</v>
      </c>
      <c r="J265" s="20">
        <v>1860</v>
      </c>
      <c r="K265" s="132" t="s">
        <v>644</v>
      </c>
      <c r="L265" s="89">
        <v>1860</v>
      </c>
      <c r="M265" s="154">
        <v>0</v>
      </c>
      <c r="N265" s="67">
        <v>0</v>
      </c>
      <c r="O265" s="67">
        <v>0</v>
      </c>
      <c r="Q265" s="71"/>
      <c r="S265" s="80">
        <v>0</v>
      </c>
      <c r="T265" s="80">
        <v>0</v>
      </c>
      <c r="U265" s="93">
        <v>0</v>
      </c>
      <c r="V265" s="61"/>
      <c r="AC265" s="36"/>
      <c r="AD265" s="36"/>
      <c r="AE265" s="36"/>
      <c r="AF265" s="19"/>
    </row>
    <row r="266" spans="1:32">
      <c r="A266" s="64" t="s">
        <v>595</v>
      </c>
      <c r="B266" s="63" t="s">
        <v>415</v>
      </c>
      <c r="C266" s="63" t="s">
        <v>416</v>
      </c>
      <c r="D266" s="134">
        <v>70.13</v>
      </c>
      <c r="E266" s="67">
        <v>7434</v>
      </c>
      <c r="F266" s="146">
        <v>0</v>
      </c>
      <c r="G266" s="92">
        <v>0</v>
      </c>
      <c r="H266" s="71">
        <v>7434</v>
      </c>
      <c r="I266" s="67">
        <v>850</v>
      </c>
      <c r="J266" s="20">
        <v>8284</v>
      </c>
      <c r="K266" s="132" t="s">
        <v>724</v>
      </c>
      <c r="L266" s="89">
        <v>8284</v>
      </c>
      <c r="M266" s="154">
        <v>0</v>
      </c>
      <c r="N266" s="67">
        <v>0</v>
      </c>
      <c r="O266" s="67">
        <v>0</v>
      </c>
      <c r="Q266" s="71"/>
      <c r="S266" s="80">
        <v>0</v>
      </c>
      <c r="T266" s="80">
        <v>0</v>
      </c>
      <c r="U266" s="93">
        <v>0</v>
      </c>
      <c r="V266" s="61"/>
      <c r="AC266" s="36"/>
      <c r="AD266" s="36"/>
      <c r="AE266" s="36"/>
      <c r="AF266" s="19"/>
    </row>
    <row r="267" spans="1:32">
      <c r="A267" s="64" t="s">
        <v>603</v>
      </c>
      <c r="B267" s="63" t="s">
        <v>460</v>
      </c>
      <c r="C267" s="63" t="s">
        <v>461</v>
      </c>
      <c r="D267" s="134">
        <v>0</v>
      </c>
      <c r="E267" s="67">
        <v>0</v>
      </c>
      <c r="F267" s="146">
        <v>0</v>
      </c>
      <c r="G267" s="92">
        <v>0</v>
      </c>
      <c r="H267" s="71">
        <v>0</v>
      </c>
      <c r="I267" s="67">
        <v>0</v>
      </c>
      <c r="J267" s="20">
        <v>0</v>
      </c>
      <c r="K267" s="132" t="s">
        <v>723</v>
      </c>
      <c r="L267" s="89">
        <v>0</v>
      </c>
      <c r="M267" s="154">
        <v>0</v>
      </c>
      <c r="N267" s="67">
        <v>0</v>
      </c>
      <c r="O267" s="67">
        <v>0</v>
      </c>
      <c r="Q267" s="71"/>
      <c r="S267" s="80">
        <v>0</v>
      </c>
      <c r="T267" s="80">
        <v>0</v>
      </c>
      <c r="U267" s="93">
        <v>0</v>
      </c>
      <c r="V267" s="61"/>
      <c r="AC267" s="36"/>
      <c r="AD267" s="36"/>
      <c r="AE267" s="36"/>
      <c r="AF267" s="19"/>
    </row>
    <row r="268" spans="1:32">
      <c r="A268" s="64" t="s">
        <v>597</v>
      </c>
      <c r="B268" s="63" t="s">
        <v>351</v>
      </c>
      <c r="C268" s="63" t="s">
        <v>352</v>
      </c>
      <c r="D268" s="134">
        <v>124.5</v>
      </c>
      <c r="E268" s="67">
        <v>13197</v>
      </c>
      <c r="F268" s="146">
        <v>0</v>
      </c>
      <c r="G268" s="92">
        <v>4800</v>
      </c>
      <c r="H268" s="71">
        <v>17997</v>
      </c>
      <c r="I268" s="67">
        <v>1509</v>
      </c>
      <c r="J268" s="20">
        <v>14706</v>
      </c>
      <c r="K268" s="132" t="s">
        <v>621</v>
      </c>
      <c r="L268" s="89">
        <v>0</v>
      </c>
      <c r="M268" s="154">
        <v>124.5</v>
      </c>
      <c r="N268" s="67">
        <v>389</v>
      </c>
      <c r="O268" s="67">
        <v>15095</v>
      </c>
      <c r="Q268" s="71"/>
      <c r="S268" s="80">
        <v>12137</v>
      </c>
      <c r="T268" s="80">
        <v>2958</v>
      </c>
      <c r="U268" s="93">
        <v>0.24371755788086019</v>
      </c>
      <c r="V268" s="61"/>
      <c r="AC268" s="36"/>
      <c r="AD268" s="36"/>
      <c r="AE268" s="36"/>
      <c r="AF268" s="19"/>
    </row>
    <row r="269" spans="1:32">
      <c r="A269" s="64" t="s">
        <v>605</v>
      </c>
      <c r="B269" s="63" t="s">
        <v>557</v>
      </c>
      <c r="C269" s="63" t="s">
        <v>558</v>
      </c>
      <c r="D269" s="134">
        <v>1319.25</v>
      </c>
      <c r="E269" s="67">
        <v>139837</v>
      </c>
      <c r="F269" s="146">
        <v>0</v>
      </c>
      <c r="G269" s="92">
        <v>0</v>
      </c>
      <c r="H269" s="71">
        <v>139837</v>
      </c>
      <c r="I269" s="67">
        <v>15993</v>
      </c>
      <c r="J269" s="20">
        <v>155830</v>
      </c>
      <c r="K269" s="132" t="s">
        <v>621</v>
      </c>
      <c r="L269" s="89">
        <v>0</v>
      </c>
      <c r="M269" s="154">
        <v>1319.25</v>
      </c>
      <c r="N269" s="67">
        <v>4122</v>
      </c>
      <c r="O269" s="67">
        <v>159952</v>
      </c>
      <c r="Q269" s="71"/>
      <c r="S269" s="80">
        <v>137876</v>
      </c>
      <c r="T269" s="80">
        <v>22076</v>
      </c>
      <c r="U269" s="93">
        <v>0.16011488583944994</v>
      </c>
      <c r="V269" s="61"/>
      <c r="AC269" s="36"/>
      <c r="AD269" s="36"/>
      <c r="AE269" s="36"/>
      <c r="AF269" s="19"/>
    </row>
    <row r="270" spans="1:32">
      <c r="A270" s="64" t="s">
        <v>597</v>
      </c>
      <c r="B270" s="65" t="s">
        <v>661</v>
      </c>
      <c r="C270" s="63" t="s">
        <v>662</v>
      </c>
      <c r="D270" s="134">
        <v>0</v>
      </c>
      <c r="E270" s="67">
        <v>0</v>
      </c>
      <c r="F270" s="146">
        <v>0</v>
      </c>
      <c r="G270" s="92">
        <v>0</v>
      </c>
      <c r="H270" s="71">
        <v>0</v>
      </c>
      <c r="I270" s="67">
        <v>0</v>
      </c>
      <c r="J270" s="20">
        <v>0</v>
      </c>
      <c r="K270" s="132" t="s">
        <v>723</v>
      </c>
      <c r="L270" s="89">
        <v>0</v>
      </c>
      <c r="M270" s="154">
        <v>0</v>
      </c>
      <c r="N270" s="67">
        <v>0</v>
      </c>
      <c r="O270" s="67">
        <v>0</v>
      </c>
      <c r="Q270" s="71"/>
      <c r="S270" s="80">
        <v>0</v>
      </c>
      <c r="T270" s="80">
        <v>0</v>
      </c>
      <c r="U270" s="93">
        <v>0</v>
      </c>
      <c r="V270" s="61"/>
      <c r="AC270" s="36"/>
      <c r="AD270" s="36"/>
      <c r="AE270" s="36"/>
      <c r="AF270" s="19"/>
    </row>
    <row r="271" spans="1:32">
      <c r="A271" s="64" t="s">
        <v>597</v>
      </c>
      <c r="B271" s="63" t="s">
        <v>345</v>
      </c>
      <c r="C271" s="63" t="s">
        <v>346</v>
      </c>
      <c r="D271" s="134">
        <v>1949.75</v>
      </c>
      <c r="E271" s="67">
        <v>206669</v>
      </c>
      <c r="F271" s="146">
        <v>0</v>
      </c>
      <c r="G271" s="92">
        <v>0</v>
      </c>
      <c r="H271" s="71">
        <v>206669</v>
      </c>
      <c r="I271" s="67">
        <v>23637</v>
      </c>
      <c r="J271" s="20">
        <v>230306</v>
      </c>
      <c r="K271" s="132" t="s">
        <v>621</v>
      </c>
      <c r="L271" s="89">
        <v>0</v>
      </c>
      <c r="M271" s="154">
        <v>1949.75</v>
      </c>
      <c r="N271" s="67">
        <v>6092</v>
      </c>
      <c r="O271" s="67">
        <v>236398</v>
      </c>
      <c r="Q271" s="71"/>
      <c r="S271" s="80">
        <v>211881</v>
      </c>
      <c r="T271" s="80">
        <v>24517</v>
      </c>
      <c r="U271" s="93">
        <v>0.11571117750057816</v>
      </c>
      <c r="V271" s="61"/>
      <c r="AC271" s="36"/>
      <c r="AD271" s="36"/>
      <c r="AE271" s="36"/>
      <c r="AF271" s="19"/>
    </row>
    <row r="272" spans="1:32">
      <c r="A272" s="64" t="s">
        <v>594</v>
      </c>
      <c r="B272" s="63" t="s">
        <v>143</v>
      </c>
      <c r="C272" s="63" t="s">
        <v>144</v>
      </c>
      <c r="D272" s="134">
        <v>0</v>
      </c>
      <c r="E272" s="67">
        <v>0</v>
      </c>
      <c r="F272" s="146">
        <v>0</v>
      </c>
      <c r="G272" s="92">
        <v>0</v>
      </c>
      <c r="H272" s="71">
        <v>0</v>
      </c>
      <c r="I272" s="67">
        <v>0</v>
      </c>
      <c r="J272" s="20">
        <v>0</v>
      </c>
      <c r="K272" s="132" t="s">
        <v>644</v>
      </c>
      <c r="L272" s="89">
        <v>0</v>
      </c>
      <c r="M272" s="154">
        <v>0</v>
      </c>
      <c r="N272" s="67">
        <v>0</v>
      </c>
      <c r="O272" s="67">
        <v>0</v>
      </c>
      <c r="Q272" s="71"/>
      <c r="S272" s="80">
        <v>0</v>
      </c>
      <c r="T272" s="80">
        <v>0</v>
      </c>
      <c r="U272" s="93">
        <v>0</v>
      </c>
      <c r="V272" s="61"/>
      <c r="AC272" s="36"/>
      <c r="AD272" s="36"/>
      <c r="AE272" s="36"/>
      <c r="AF272" s="19"/>
    </row>
    <row r="273" spans="1:32">
      <c r="A273" s="64" t="s">
        <v>597</v>
      </c>
      <c r="B273" s="63" t="s">
        <v>197</v>
      </c>
      <c r="C273" s="63" t="s">
        <v>198</v>
      </c>
      <c r="D273" s="134">
        <v>112.88</v>
      </c>
      <c r="E273" s="67">
        <v>11965</v>
      </c>
      <c r="F273" s="146">
        <v>10000</v>
      </c>
      <c r="G273" s="92">
        <v>0</v>
      </c>
      <c r="H273" s="71">
        <v>21965</v>
      </c>
      <c r="I273" s="67">
        <v>1368</v>
      </c>
      <c r="J273" s="20">
        <v>13333</v>
      </c>
      <c r="K273" s="132" t="s">
        <v>621</v>
      </c>
      <c r="L273" s="89">
        <v>0</v>
      </c>
      <c r="M273" s="154">
        <v>112.88</v>
      </c>
      <c r="N273" s="67">
        <v>353</v>
      </c>
      <c r="O273" s="67">
        <v>13686</v>
      </c>
      <c r="Q273" s="71"/>
      <c r="S273" s="80">
        <v>0</v>
      </c>
      <c r="T273" s="80">
        <v>13686</v>
      </c>
      <c r="U273" s="93">
        <v>0</v>
      </c>
      <c r="V273" s="61"/>
      <c r="AC273" s="36"/>
      <c r="AD273" s="36"/>
      <c r="AE273" s="36"/>
      <c r="AF273" s="19"/>
    </row>
    <row r="274" spans="1:32">
      <c r="A274" s="64" t="s">
        <v>603</v>
      </c>
      <c r="B274" s="63" t="s">
        <v>521</v>
      </c>
      <c r="C274" s="63" t="s">
        <v>522</v>
      </c>
      <c r="D274" s="134">
        <v>0</v>
      </c>
      <c r="E274" s="67">
        <v>0</v>
      </c>
      <c r="F274" s="146">
        <v>0</v>
      </c>
      <c r="G274" s="92">
        <v>0</v>
      </c>
      <c r="H274" s="71">
        <v>0</v>
      </c>
      <c r="I274" s="67">
        <v>0</v>
      </c>
      <c r="J274" s="20">
        <v>0</v>
      </c>
      <c r="K274" s="132" t="s">
        <v>723</v>
      </c>
      <c r="L274" s="89">
        <v>0</v>
      </c>
      <c r="M274" s="154">
        <v>0</v>
      </c>
      <c r="N274" s="67">
        <v>0</v>
      </c>
      <c r="O274" s="67">
        <v>0</v>
      </c>
      <c r="Q274" s="71"/>
      <c r="S274" s="80">
        <v>0</v>
      </c>
      <c r="T274" s="80">
        <v>0</v>
      </c>
      <c r="U274" s="93">
        <v>0</v>
      </c>
      <c r="V274" s="61"/>
      <c r="AC274" s="36"/>
      <c r="AD274" s="36"/>
      <c r="AE274" s="36"/>
      <c r="AF274" s="19"/>
    </row>
    <row r="275" spans="1:32">
      <c r="A275" s="64" t="s">
        <v>594</v>
      </c>
      <c r="B275" s="63" t="s">
        <v>486</v>
      </c>
      <c r="C275" s="63" t="s">
        <v>487</v>
      </c>
      <c r="D275" s="134">
        <v>14</v>
      </c>
      <c r="E275" s="67">
        <v>1484</v>
      </c>
      <c r="F275" s="146">
        <v>0</v>
      </c>
      <c r="G275" s="92">
        <v>0</v>
      </c>
      <c r="H275" s="71">
        <v>1484</v>
      </c>
      <c r="I275" s="67">
        <v>170</v>
      </c>
      <c r="J275" s="20">
        <v>1654</v>
      </c>
      <c r="K275" s="132" t="s">
        <v>724</v>
      </c>
      <c r="L275" s="89">
        <v>1654</v>
      </c>
      <c r="M275" s="154">
        <v>0</v>
      </c>
      <c r="N275" s="67">
        <v>0</v>
      </c>
      <c r="O275" s="67">
        <v>0</v>
      </c>
      <c r="Q275" s="71"/>
      <c r="S275" s="80">
        <v>0</v>
      </c>
      <c r="T275" s="80">
        <v>0</v>
      </c>
      <c r="U275" s="93">
        <v>0</v>
      </c>
      <c r="V275" s="61"/>
      <c r="AC275" s="36"/>
      <c r="AD275" s="36"/>
      <c r="AE275" s="36"/>
      <c r="AF275" s="19"/>
    </row>
    <row r="276" spans="1:32">
      <c r="A276" s="64" t="s">
        <v>605</v>
      </c>
      <c r="B276" s="63" t="s">
        <v>224</v>
      </c>
      <c r="C276" s="63" t="s">
        <v>225</v>
      </c>
      <c r="D276" s="134">
        <v>6</v>
      </c>
      <c r="E276" s="67">
        <v>636</v>
      </c>
      <c r="F276" s="146">
        <v>0</v>
      </c>
      <c r="G276" s="92">
        <v>0</v>
      </c>
      <c r="H276" s="71">
        <v>636</v>
      </c>
      <c r="I276" s="67">
        <v>73</v>
      </c>
      <c r="J276" s="20">
        <v>709</v>
      </c>
      <c r="K276" s="132" t="s">
        <v>621</v>
      </c>
      <c r="L276" s="89">
        <v>0</v>
      </c>
      <c r="M276" s="154">
        <v>6</v>
      </c>
      <c r="N276" s="67">
        <v>19</v>
      </c>
      <c r="O276" s="67">
        <v>728</v>
      </c>
      <c r="Q276" s="71"/>
      <c r="S276" s="80">
        <v>697</v>
      </c>
      <c r="T276" s="80">
        <v>31</v>
      </c>
      <c r="U276" s="93">
        <v>4.4476327116212341E-2</v>
      </c>
      <c r="V276" s="61"/>
      <c r="AC276" s="36"/>
      <c r="AD276" s="36"/>
      <c r="AE276" s="36"/>
      <c r="AF276" s="19"/>
    </row>
    <row r="277" spans="1:32">
      <c r="A277" s="64" t="s">
        <v>594</v>
      </c>
      <c r="B277" s="63" t="s">
        <v>268</v>
      </c>
      <c r="C277" s="63" t="s">
        <v>269</v>
      </c>
      <c r="D277" s="134">
        <v>4</v>
      </c>
      <c r="E277" s="67">
        <v>424</v>
      </c>
      <c r="F277" s="146">
        <v>0</v>
      </c>
      <c r="G277" s="92">
        <v>0</v>
      </c>
      <c r="H277" s="71">
        <v>424</v>
      </c>
      <c r="I277" s="67">
        <v>48</v>
      </c>
      <c r="J277" s="20">
        <v>472</v>
      </c>
      <c r="K277" s="132" t="s">
        <v>724</v>
      </c>
      <c r="L277" s="89">
        <v>472</v>
      </c>
      <c r="M277" s="154">
        <v>0</v>
      </c>
      <c r="N277" s="67">
        <v>0</v>
      </c>
      <c r="O277" s="67">
        <v>0</v>
      </c>
      <c r="Q277" s="71"/>
      <c r="S277" s="80">
        <v>0</v>
      </c>
      <c r="T277" s="80">
        <v>0</v>
      </c>
      <c r="U277" s="93">
        <v>0</v>
      </c>
      <c r="V277" s="61"/>
      <c r="AC277" s="36"/>
      <c r="AD277" s="36"/>
      <c r="AE277" s="36"/>
      <c r="AF277" s="19"/>
    </row>
    <row r="278" spans="1:32">
      <c r="A278" s="64" t="s">
        <v>601</v>
      </c>
      <c r="B278" s="63" t="s">
        <v>321</v>
      </c>
      <c r="C278" s="63" t="s">
        <v>322</v>
      </c>
      <c r="D278" s="134">
        <v>87.25</v>
      </c>
      <c r="E278" s="67">
        <v>9248</v>
      </c>
      <c r="F278" s="146">
        <v>0</v>
      </c>
      <c r="G278" s="92">
        <v>3450</v>
      </c>
      <c r="H278" s="71">
        <v>12698</v>
      </c>
      <c r="I278" s="67">
        <v>1058</v>
      </c>
      <c r="J278" s="20">
        <v>10306</v>
      </c>
      <c r="K278" s="132" t="s">
        <v>621</v>
      </c>
      <c r="L278" s="89">
        <v>0</v>
      </c>
      <c r="M278" s="154">
        <v>87.25</v>
      </c>
      <c r="N278" s="67">
        <v>273</v>
      </c>
      <c r="O278" s="67">
        <v>10579</v>
      </c>
      <c r="Q278" s="135"/>
      <c r="S278" s="80">
        <v>9688</v>
      </c>
      <c r="T278" s="80">
        <v>891</v>
      </c>
      <c r="U278" s="93">
        <v>9.196944673823286E-2</v>
      </c>
      <c r="V278" s="61"/>
      <c r="AC278" s="36"/>
      <c r="AD278" s="36"/>
      <c r="AE278" s="36"/>
      <c r="AF278" s="19"/>
    </row>
    <row r="279" spans="1:32">
      <c r="A279" s="64" t="s">
        <v>605</v>
      </c>
      <c r="B279" s="63" t="s">
        <v>559</v>
      </c>
      <c r="C279" s="63" t="s">
        <v>560</v>
      </c>
      <c r="D279" s="134">
        <v>1845.25</v>
      </c>
      <c r="E279" s="67">
        <v>195592</v>
      </c>
      <c r="F279" s="146">
        <v>0</v>
      </c>
      <c r="G279" s="92">
        <v>0</v>
      </c>
      <c r="H279" s="71">
        <v>195592</v>
      </c>
      <c r="I279" s="67">
        <v>22370</v>
      </c>
      <c r="J279" s="20">
        <v>217962</v>
      </c>
      <c r="K279" s="132" t="s">
        <v>621</v>
      </c>
      <c r="L279" s="89">
        <v>0</v>
      </c>
      <c r="M279" s="154">
        <v>1845.25</v>
      </c>
      <c r="N279" s="67">
        <v>5766</v>
      </c>
      <c r="O279" s="67">
        <v>223728</v>
      </c>
      <c r="Q279" s="71"/>
      <c r="S279" s="80">
        <v>217528</v>
      </c>
      <c r="T279" s="80">
        <v>6200</v>
      </c>
      <c r="U279" s="93">
        <v>2.8502077893420616E-2</v>
      </c>
      <c r="V279" s="61"/>
      <c r="AC279" s="36"/>
      <c r="AD279" s="36"/>
      <c r="AE279" s="36"/>
      <c r="AF279" s="19"/>
    </row>
    <row r="280" spans="1:32">
      <c r="A280" s="64" t="s">
        <v>596</v>
      </c>
      <c r="B280" s="63" t="s">
        <v>496</v>
      </c>
      <c r="C280" s="63" t="s">
        <v>497</v>
      </c>
      <c r="D280" s="134">
        <v>32</v>
      </c>
      <c r="E280" s="67">
        <v>3392</v>
      </c>
      <c r="F280" s="146">
        <v>0</v>
      </c>
      <c r="G280" s="92">
        <v>0</v>
      </c>
      <c r="H280" s="71">
        <v>3392</v>
      </c>
      <c r="I280" s="67">
        <v>388</v>
      </c>
      <c r="J280" s="20">
        <v>3780</v>
      </c>
      <c r="K280" s="132" t="s">
        <v>621</v>
      </c>
      <c r="L280" s="89">
        <v>0</v>
      </c>
      <c r="M280" s="154">
        <v>32</v>
      </c>
      <c r="N280" s="67">
        <v>100</v>
      </c>
      <c r="O280" s="67">
        <v>3880</v>
      </c>
      <c r="Q280" s="71"/>
      <c r="S280" s="80">
        <v>3645</v>
      </c>
      <c r="T280" s="80">
        <v>235</v>
      </c>
      <c r="U280" s="93">
        <v>6.4471879286694095E-2</v>
      </c>
      <c r="V280" s="61"/>
      <c r="AC280" s="36"/>
      <c r="AD280" s="36"/>
      <c r="AE280" s="36"/>
      <c r="AF280" s="19"/>
    </row>
    <row r="281" spans="1:32">
      <c r="A281" s="64" t="s">
        <v>599</v>
      </c>
      <c r="B281" s="63" t="s">
        <v>72</v>
      </c>
      <c r="C281" s="63" t="s">
        <v>73</v>
      </c>
      <c r="D281" s="134">
        <v>0</v>
      </c>
      <c r="E281" s="67">
        <v>0</v>
      </c>
      <c r="F281" s="146">
        <v>0</v>
      </c>
      <c r="G281" s="92">
        <v>0</v>
      </c>
      <c r="H281" s="71">
        <v>0</v>
      </c>
      <c r="I281" s="67">
        <v>0</v>
      </c>
      <c r="J281" s="20">
        <v>0</v>
      </c>
      <c r="K281" s="132" t="s">
        <v>723</v>
      </c>
      <c r="L281" s="89">
        <v>0</v>
      </c>
      <c r="M281" s="154">
        <v>0</v>
      </c>
      <c r="N281" s="67">
        <v>0</v>
      </c>
      <c r="O281" s="67">
        <v>0</v>
      </c>
      <c r="Q281" s="71"/>
      <c r="S281" s="80">
        <v>0</v>
      </c>
      <c r="T281" s="80">
        <v>0</v>
      </c>
      <c r="U281" s="93">
        <v>0</v>
      </c>
      <c r="V281" s="61"/>
      <c r="AC281" s="36"/>
      <c r="AD281" s="36"/>
      <c r="AE281" s="36"/>
      <c r="AF281" s="19"/>
    </row>
    <row r="282" spans="1:32">
      <c r="A282" s="64" t="s">
        <v>599</v>
      </c>
      <c r="B282" s="63" t="s">
        <v>238</v>
      </c>
      <c r="C282" s="63" t="s">
        <v>239</v>
      </c>
      <c r="D282" s="134">
        <v>0</v>
      </c>
      <c r="E282" s="67">
        <v>0</v>
      </c>
      <c r="F282" s="146">
        <v>0</v>
      </c>
      <c r="G282" s="92">
        <v>0</v>
      </c>
      <c r="H282" s="71">
        <v>0</v>
      </c>
      <c r="I282" s="67">
        <v>0</v>
      </c>
      <c r="J282" s="20">
        <v>0</v>
      </c>
      <c r="K282" s="132" t="s">
        <v>723</v>
      </c>
      <c r="L282" s="89">
        <v>0</v>
      </c>
      <c r="M282" s="154">
        <v>0</v>
      </c>
      <c r="N282" s="67">
        <v>0</v>
      </c>
      <c r="O282" s="67">
        <v>0</v>
      </c>
      <c r="Q282" s="71"/>
      <c r="S282" s="80">
        <v>0</v>
      </c>
      <c r="T282" s="80">
        <v>0</v>
      </c>
      <c r="U282" s="93">
        <v>0</v>
      </c>
      <c r="V282" s="61"/>
      <c r="AC282" s="36"/>
      <c r="AD282" s="36"/>
      <c r="AE282" s="36"/>
      <c r="AF282" s="19"/>
    </row>
    <row r="283" spans="1:32">
      <c r="A283" s="64" t="s">
        <v>597</v>
      </c>
      <c r="B283" s="63" t="s">
        <v>191</v>
      </c>
      <c r="C283" s="63" t="s">
        <v>192</v>
      </c>
      <c r="D283" s="134">
        <v>779.38</v>
      </c>
      <c r="E283" s="67">
        <v>82612</v>
      </c>
      <c r="F283" s="146">
        <v>0</v>
      </c>
      <c r="G283" s="92">
        <v>0</v>
      </c>
      <c r="H283" s="71">
        <v>82612</v>
      </c>
      <c r="I283" s="67">
        <v>9448</v>
      </c>
      <c r="J283" s="20">
        <v>92060</v>
      </c>
      <c r="K283" s="132" t="s">
        <v>621</v>
      </c>
      <c r="L283" s="89">
        <v>0</v>
      </c>
      <c r="M283" s="154">
        <v>779.38</v>
      </c>
      <c r="N283" s="67">
        <v>2435</v>
      </c>
      <c r="O283" s="67">
        <v>94495</v>
      </c>
      <c r="Q283" s="71"/>
      <c r="S283" s="80">
        <v>79677</v>
      </c>
      <c r="T283" s="80">
        <v>14818</v>
      </c>
      <c r="U283" s="93">
        <v>0.18597587760583356</v>
      </c>
      <c r="V283" s="61"/>
      <c r="AC283" s="36"/>
      <c r="AD283" s="36"/>
      <c r="AE283" s="36"/>
      <c r="AF283" s="19"/>
    </row>
    <row r="284" spans="1:32">
      <c r="A284" s="64" t="s">
        <v>594</v>
      </c>
      <c r="B284" s="63" t="s">
        <v>476</v>
      </c>
      <c r="C284" s="63" t="s">
        <v>477</v>
      </c>
      <c r="D284" s="134">
        <v>41.13</v>
      </c>
      <c r="E284" s="67">
        <v>4360</v>
      </c>
      <c r="F284" s="146">
        <v>0</v>
      </c>
      <c r="G284" s="92">
        <v>0</v>
      </c>
      <c r="H284" s="71">
        <v>4360</v>
      </c>
      <c r="I284" s="67">
        <v>499</v>
      </c>
      <c r="J284" s="20">
        <v>4859</v>
      </c>
      <c r="K284" s="132" t="s">
        <v>724</v>
      </c>
      <c r="L284" s="89">
        <v>4859</v>
      </c>
      <c r="M284" s="154">
        <v>0</v>
      </c>
      <c r="N284" s="67">
        <v>0</v>
      </c>
      <c r="O284" s="67">
        <v>0</v>
      </c>
      <c r="Q284" s="71"/>
      <c r="S284" s="80">
        <v>0</v>
      </c>
      <c r="T284" s="80">
        <v>0</v>
      </c>
      <c r="U284" s="93">
        <v>0</v>
      </c>
      <c r="V284" s="61"/>
      <c r="AC284" s="36"/>
      <c r="AD284" s="36"/>
      <c r="AE284" s="36"/>
      <c r="AF284" s="19"/>
    </row>
    <row r="285" spans="1:32">
      <c r="A285" s="64" t="s">
        <v>605</v>
      </c>
      <c r="B285" s="63" t="s">
        <v>543</v>
      </c>
      <c r="C285" s="63" t="s">
        <v>544</v>
      </c>
      <c r="D285" s="134">
        <v>109.25</v>
      </c>
      <c r="E285" s="67">
        <v>11580</v>
      </c>
      <c r="F285" s="146">
        <v>0</v>
      </c>
      <c r="G285" s="92">
        <v>0</v>
      </c>
      <c r="H285" s="71">
        <v>11580</v>
      </c>
      <c r="I285" s="67">
        <v>1324</v>
      </c>
      <c r="J285" s="20">
        <v>12904</v>
      </c>
      <c r="K285" s="132" t="s">
        <v>621</v>
      </c>
      <c r="L285" s="89">
        <v>0</v>
      </c>
      <c r="M285" s="154">
        <v>109.25</v>
      </c>
      <c r="N285" s="67">
        <v>341</v>
      </c>
      <c r="O285" s="67">
        <v>13245</v>
      </c>
      <c r="Q285" s="71"/>
      <c r="S285" s="80">
        <v>9054</v>
      </c>
      <c r="T285" s="80">
        <v>4191</v>
      </c>
      <c r="U285" s="93">
        <v>0.46288933068257127</v>
      </c>
      <c r="V285" s="61"/>
      <c r="AC285" s="36"/>
      <c r="AD285" s="36"/>
      <c r="AE285" s="36"/>
      <c r="AF285" s="19"/>
    </row>
    <row r="286" spans="1:32" s="112" customFormat="1">
      <c r="A286" s="138" t="s">
        <v>597</v>
      </c>
      <c r="B286" s="139" t="s">
        <v>349</v>
      </c>
      <c r="C286" s="139" t="s">
        <v>350</v>
      </c>
      <c r="D286" s="67">
        <v>73.13</v>
      </c>
      <c r="E286" s="67">
        <v>7752</v>
      </c>
      <c r="F286" s="147">
        <v>0</v>
      </c>
      <c r="G286" s="72">
        <v>0</v>
      </c>
      <c r="H286" s="140">
        <v>7752</v>
      </c>
      <c r="I286" s="67">
        <v>887</v>
      </c>
      <c r="J286" s="155">
        <v>8639</v>
      </c>
      <c r="K286" s="132" t="s">
        <v>724</v>
      </c>
      <c r="L286" s="89">
        <v>8639</v>
      </c>
      <c r="M286" s="141">
        <v>0</v>
      </c>
      <c r="N286" s="110">
        <v>0</v>
      </c>
      <c r="O286" s="110">
        <v>0</v>
      </c>
      <c r="P286" s="110"/>
      <c r="Q286" s="111"/>
      <c r="S286" s="80">
        <v>0</v>
      </c>
      <c r="T286" s="80">
        <v>0</v>
      </c>
      <c r="U286" s="93">
        <v>0</v>
      </c>
      <c r="V286" s="115"/>
      <c r="X286" s="114"/>
      <c r="AC286" s="116"/>
      <c r="AD286" s="116"/>
      <c r="AE286" s="116"/>
      <c r="AF286" s="117"/>
    </row>
    <row r="287" spans="1:32">
      <c r="A287" s="64" t="s">
        <v>594</v>
      </c>
      <c r="B287" s="63" t="s">
        <v>254</v>
      </c>
      <c r="C287" s="63" t="s">
        <v>255</v>
      </c>
      <c r="D287" s="134">
        <v>0</v>
      </c>
      <c r="E287" s="67">
        <v>0</v>
      </c>
      <c r="F287" s="146">
        <v>0</v>
      </c>
      <c r="G287" s="92">
        <v>0</v>
      </c>
      <c r="H287" s="71">
        <v>0</v>
      </c>
      <c r="I287" s="67">
        <v>0</v>
      </c>
      <c r="J287" s="20">
        <v>0</v>
      </c>
      <c r="K287" s="132" t="s">
        <v>723</v>
      </c>
      <c r="L287" s="89">
        <v>0</v>
      </c>
      <c r="M287" s="154">
        <v>0</v>
      </c>
      <c r="N287" s="67">
        <v>0</v>
      </c>
      <c r="O287" s="67">
        <v>0</v>
      </c>
      <c r="Q287" s="71"/>
      <c r="S287" s="80">
        <v>0</v>
      </c>
      <c r="T287" s="80">
        <v>0</v>
      </c>
      <c r="U287" s="93">
        <v>0</v>
      </c>
      <c r="V287" s="61"/>
      <c r="AC287" s="36"/>
      <c r="AD287" s="36"/>
      <c r="AE287" s="36"/>
      <c r="AF287" s="19"/>
    </row>
    <row r="288" spans="1:32">
      <c r="A288" s="64" t="s">
        <v>603</v>
      </c>
      <c r="B288" s="63" t="s">
        <v>454</v>
      </c>
      <c r="C288" s="63" t="s">
        <v>455</v>
      </c>
      <c r="D288" s="134">
        <v>0</v>
      </c>
      <c r="E288" s="67">
        <v>0</v>
      </c>
      <c r="F288" s="146">
        <v>0</v>
      </c>
      <c r="G288" s="92">
        <v>0</v>
      </c>
      <c r="H288" s="71">
        <v>0</v>
      </c>
      <c r="I288" s="67">
        <v>0</v>
      </c>
      <c r="J288" s="20">
        <v>0</v>
      </c>
      <c r="K288" s="132" t="s">
        <v>723</v>
      </c>
      <c r="L288" s="89">
        <v>0</v>
      </c>
      <c r="M288" s="154">
        <v>0</v>
      </c>
      <c r="N288" s="67">
        <v>0</v>
      </c>
      <c r="O288" s="67">
        <v>0</v>
      </c>
      <c r="Q288" s="71"/>
      <c r="S288" s="80">
        <v>0</v>
      </c>
      <c r="T288" s="80">
        <v>0</v>
      </c>
      <c r="U288" s="93">
        <v>0</v>
      </c>
      <c r="V288" s="61"/>
      <c r="AC288" s="36"/>
      <c r="AD288" s="36"/>
      <c r="AE288" s="36"/>
      <c r="AF288" s="19"/>
    </row>
    <row r="289" spans="1:32">
      <c r="A289" s="64" t="s">
        <v>599</v>
      </c>
      <c r="B289" s="63" t="s">
        <v>49</v>
      </c>
      <c r="C289" s="63" t="s">
        <v>50</v>
      </c>
      <c r="D289" s="134">
        <v>1684.63</v>
      </c>
      <c r="E289" s="67">
        <v>178567</v>
      </c>
      <c r="F289" s="146">
        <v>0</v>
      </c>
      <c r="G289" s="92">
        <v>0</v>
      </c>
      <c r="H289" s="71">
        <v>178567</v>
      </c>
      <c r="I289" s="67">
        <v>20422</v>
      </c>
      <c r="J289" s="20">
        <v>198989</v>
      </c>
      <c r="K289" s="132" t="s">
        <v>621</v>
      </c>
      <c r="L289" s="89">
        <v>0</v>
      </c>
      <c r="M289" s="154">
        <v>1684.63</v>
      </c>
      <c r="N289" s="67">
        <v>5264</v>
      </c>
      <c r="O289" s="67">
        <v>204253</v>
      </c>
      <c r="Q289" s="71"/>
      <c r="S289" s="80">
        <v>175469</v>
      </c>
      <c r="T289" s="80">
        <v>28784</v>
      </c>
      <c r="U289" s="93">
        <v>0.16404037180356645</v>
      </c>
      <c r="V289" s="61"/>
      <c r="AC289" s="36"/>
      <c r="AD289" s="36"/>
      <c r="AE289" s="36"/>
      <c r="AF289" s="19"/>
    </row>
    <row r="290" spans="1:32" s="112" customFormat="1">
      <c r="A290" s="138" t="s">
        <v>597</v>
      </c>
      <c r="B290" s="139" t="s">
        <v>183</v>
      </c>
      <c r="C290" s="139" t="s">
        <v>184</v>
      </c>
      <c r="D290" s="67">
        <v>20.13</v>
      </c>
      <c r="E290" s="67">
        <v>2134</v>
      </c>
      <c r="F290" s="147">
        <v>0</v>
      </c>
      <c r="G290" s="72">
        <v>4200</v>
      </c>
      <c r="H290" s="140">
        <v>6334</v>
      </c>
      <c r="I290" s="67">
        <v>244</v>
      </c>
      <c r="J290" s="155">
        <v>2378</v>
      </c>
      <c r="K290" s="132" t="s">
        <v>644</v>
      </c>
      <c r="L290" s="89">
        <v>2378</v>
      </c>
      <c r="M290" s="141">
        <v>0</v>
      </c>
      <c r="N290" s="110">
        <v>0</v>
      </c>
      <c r="O290" s="110">
        <v>0</v>
      </c>
      <c r="P290" s="110"/>
      <c r="Q290" s="111"/>
      <c r="S290" s="80">
        <v>0</v>
      </c>
      <c r="T290" s="80">
        <v>0</v>
      </c>
      <c r="U290" s="93">
        <v>0</v>
      </c>
      <c r="V290" s="115"/>
      <c r="X290" s="114"/>
      <c r="AC290" s="116"/>
      <c r="AD290" s="116"/>
      <c r="AE290" s="116"/>
      <c r="AF290" s="117"/>
    </row>
    <row r="291" spans="1:32">
      <c r="A291" s="64" t="s">
        <v>599</v>
      </c>
      <c r="B291" s="63" t="s">
        <v>488</v>
      </c>
      <c r="C291" s="63" t="s">
        <v>489</v>
      </c>
      <c r="D291" s="134">
        <v>0</v>
      </c>
      <c r="E291" s="67">
        <v>0</v>
      </c>
      <c r="F291" s="146">
        <v>0</v>
      </c>
      <c r="G291" s="92">
        <v>0</v>
      </c>
      <c r="H291" s="71">
        <v>0</v>
      </c>
      <c r="I291" s="67">
        <v>0</v>
      </c>
      <c r="J291" s="20">
        <v>0</v>
      </c>
      <c r="K291" s="132" t="s">
        <v>723</v>
      </c>
      <c r="L291" s="89">
        <v>0</v>
      </c>
      <c r="M291" s="154">
        <v>0</v>
      </c>
      <c r="N291" s="67">
        <v>0</v>
      </c>
      <c r="O291" s="67">
        <v>0</v>
      </c>
      <c r="Q291" s="71"/>
      <c r="S291" s="80">
        <v>0</v>
      </c>
      <c r="T291" s="80">
        <v>0</v>
      </c>
      <c r="U291" s="93">
        <v>0</v>
      </c>
      <c r="V291" s="61"/>
      <c r="AC291" s="36"/>
      <c r="AD291" s="36"/>
      <c r="AE291" s="36"/>
      <c r="AF291" s="19"/>
    </row>
    <row r="292" spans="1:32">
      <c r="A292" s="64" t="s">
        <v>605</v>
      </c>
      <c r="B292" s="63" t="s">
        <v>114</v>
      </c>
      <c r="C292" s="63" t="s">
        <v>115</v>
      </c>
      <c r="D292" s="134">
        <v>1070.75</v>
      </c>
      <c r="E292" s="67">
        <v>113497</v>
      </c>
      <c r="F292" s="146">
        <v>0</v>
      </c>
      <c r="G292" s="92">
        <v>0</v>
      </c>
      <c r="H292" s="71">
        <v>113497</v>
      </c>
      <c r="I292" s="67">
        <v>12981</v>
      </c>
      <c r="J292" s="20">
        <v>126478</v>
      </c>
      <c r="K292" s="132" t="s">
        <v>621</v>
      </c>
      <c r="L292" s="89">
        <v>0</v>
      </c>
      <c r="M292" s="154">
        <v>1070.75</v>
      </c>
      <c r="N292" s="67">
        <v>3346</v>
      </c>
      <c r="O292" s="67">
        <v>129824</v>
      </c>
      <c r="Q292" s="71"/>
      <c r="S292" s="80">
        <v>103827</v>
      </c>
      <c r="T292" s="80">
        <v>25997</v>
      </c>
      <c r="U292" s="93">
        <v>0.25038766409508123</v>
      </c>
      <c r="V292" s="61"/>
      <c r="AC292" s="36"/>
      <c r="AD292" s="36"/>
      <c r="AE292" s="36"/>
      <c r="AF292" s="19"/>
    </row>
    <row r="293" spans="1:32">
      <c r="A293" s="64" t="s">
        <v>596</v>
      </c>
      <c r="B293" s="63" t="s">
        <v>500</v>
      </c>
      <c r="C293" s="63" t="s">
        <v>501</v>
      </c>
      <c r="D293" s="134">
        <v>0</v>
      </c>
      <c r="E293" s="67">
        <v>0</v>
      </c>
      <c r="F293" s="146">
        <v>0</v>
      </c>
      <c r="G293" s="92">
        <v>0</v>
      </c>
      <c r="H293" s="71">
        <v>0</v>
      </c>
      <c r="I293" s="67">
        <v>0</v>
      </c>
      <c r="J293" s="20">
        <v>0</v>
      </c>
      <c r="K293" s="132" t="s">
        <v>723</v>
      </c>
      <c r="L293" s="89">
        <v>0</v>
      </c>
      <c r="M293" s="154">
        <v>0</v>
      </c>
      <c r="N293" s="67">
        <v>0</v>
      </c>
      <c r="O293" s="67">
        <v>0</v>
      </c>
      <c r="Q293" s="71"/>
      <c r="S293" s="80">
        <v>0</v>
      </c>
      <c r="T293" s="80">
        <v>0</v>
      </c>
      <c r="U293" s="93">
        <v>0</v>
      </c>
      <c r="V293" s="61"/>
      <c r="AC293" s="36"/>
      <c r="AD293" s="36"/>
      <c r="AE293" s="36"/>
      <c r="AF293" s="19"/>
    </row>
    <row r="294" spans="1:32">
      <c r="A294" s="64" t="s">
        <v>596</v>
      </c>
      <c r="B294" s="63" t="s">
        <v>492</v>
      </c>
      <c r="C294" s="63" t="s">
        <v>493</v>
      </c>
      <c r="D294" s="134">
        <v>672.13</v>
      </c>
      <c r="E294" s="67">
        <v>71244</v>
      </c>
      <c r="F294" s="146">
        <v>0</v>
      </c>
      <c r="G294" s="92">
        <v>0</v>
      </c>
      <c r="H294" s="71">
        <v>71244</v>
      </c>
      <c r="I294" s="67">
        <v>8148</v>
      </c>
      <c r="J294" s="20">
        <v>79392</v>
      </c>
      <c r="K294" s="132" t="s">
        <v>621</v>
      </c>
      <c r="L294" s="89">
        <v>0</v>
      </c>
      <c r="M294" s="154">
        <v>672.13</v>
      </c>
      <c r="N294" s="67">
        <v>2100</v>
      </c>
      <c r="O294" s="67">
        <v>81492</v>
      </c>
      <c r="Q294" s="71"/>
      <c r="S294" s="80">
        <v>67515</v>
      </c>
      <c r="T294" s="80">
        <v>13977</v>
      </c>
      <c r="U294" s="93">
        <v>0.20702066207509442</v>
      </c>
      <c r="V294" s="61"/>
      <c r="AC294" s="36"/>
      <c r="AD294" s="36"/>
      <c r="AE294" s="36"/>
      <c r="AF294" s="19"/>
    </row>
    <row r="295" spans="1:32">
      <c r="A295" s="64" t="s">
        <v>605</v>
      </c>
      <c r="B295" s="63" t="s">
        <v>567</v>
      </c>
      <c r="C295" s="63" t="s">
        <v>568</v>
      </c>
      <c r="D295" s="134">
        <v>947.88</v>
      </c>
      <c r="E295" s="67">
        <v>100473</v>
      </c>
      <c r="F295" s="146">
        <v>0</v>
      </c>
      <c r="G295" s="92">
        <v>0</v>
      </c>
      <c r="H295" s="71">
        <v>100473</v>
      </c>
      <c r="I295" s="67">
        <v>11491</v>
      </c>
      <c r="J295" s="20">
        <v>111964</v>
      </c>
      <c r="K295" s="132" t="s">
        <v>621</v>
      </c>
      <c r="L295" s="89">
        <v>0</v>
      </c>
      <c r="M295" s="154">
        <v>947.88</v>
      </c>
      <c r="N295" s="67">
        <v>2962</v>
      </c>
      <c r="O295" s="67">
        <v>114926</v>
      </c>
      <c r="Q295" s="71"/>
      <c r="S295" s="80">
        <v>100122</v>
      </c>
      <c r="T295" s="80">
        <v>14804</v>
      </c>
      <c r="U295" s="93">
        <v>0.14785961127424543</v>
      </c>
      <c r="V295" s="61"/>
      <c r="AC295" s="36"/>
      <c r="AD295" s="36"/>
      <c r="AE295" s="36"/>
      <c r="AF295" s="19"/>
    </row>
    <row r="296" spans="1:32">
      <c r="A296" s="64" t="s">
        <v>601</v>
      </c>
      <c r="B296" s="63" t="s">
        <v>118</v>
      </c>
      <c r="C296" s="63" t="s">
        <v>119</v>
      </c>
      <c r="D296" s="134">
        <v>328</v>
      </c>
      <c r="E296" s="67">
        <v>34767</v>
      </c>
      <c r="F296" s="146">
        <v>0</v>
      </c>
      <c r="G296" s="92">
        <v>0</v>
      </c>
      <c r="H296" s="71">
        <v>34767</v>
      </c>
      <c r="I296" s="67">
        <v>3976</v>
      </c>
      <c r="J296" s="20">
        <v>38743</v>
      </c>
      <c r="K296" s="132" t="s">
        <v>621</v>
      </c>
      <c r="L296" s="89">
        <v>0</v>
      </c>
      <c r="M296" s="154">
        <v>328</v>
      </c>
      <c r="N296" s="67">
        <v>1025</v>
      </c>
      <c r="O296" s="67">
        <v>39768</v>
      </c>
      <c r="Q296" s="71"/>
      <c r="S296" s="80">
        <v>32445</v>
      </c>
      <c r="T296" s="80">
        <v>7323</v>
      </c>
      <c r="U296" s="93">
        <v>0.22570503929727231</v>
      </c>
      <c r="V296" s="61"/>
      <c r="AC296" s="36"/>
      <c r="AD296" s="36"/>
      <c r="AE296" s="36"/>
      <c r="AF296" s="19"/>
    </row>
    <row r="297" spans="1:32">
      <c r="A297" s="64" t="s">
        <v>599</v>
      </c>
      <c r="B297" s="63" t="s">
        <v>56</v>
      </c>
      <c r="C297" s="63" t="s">
        <v>57</v>
      </c>
      <c r="D297" s="134">
        <v>51.75</v>
      </c>
      <c r="E297" s="67">
        <v>5485</v>
      </c>
      <c r="F297" s="146">
        <v>0</v>
      </c>
      <c r="G297" s="92">
        <v>4200</v>
      </c>
      <c r="H297" s="71">
        <v>9685</v>
      </c>
      <c r="I297" s="67">
        <v>627</v>
      </c>
      <c r="J297" s="20">
        <v>6112</v>
      </c>
      <c r="K297" s="132" t="s">
        <v>621</v>
      </c>
      <c r="L297" s="89">
        <v>0</v>
      </c>
      <c r="M297" s="154">
        <v>51.75</v>
      </c>
      <c r="N297" s="67">
        <v>162</v>
      </c>
      <c r="O297" s="67">
        <v>6274</v>
      </c>
      <c r="Q297" s="71"/>
      <c r="S297" s="80">
        <v>3506</v>
      </c>
      <c r="T297" s="80">
        <v>2768</v>
      </c>
      <c r="U297" s="93">
        <v>0.78950370792926416</v>
      </c>
      <c r="V297" s="61"/>
      <c r="AC297" s="36"/>
      <c r="AD297" s="36"/>
      <c r="AE297" s="36"/>
      <c r="AF297" s="19"/>
    </row>
    <row r="298" spans="1:32">
      <c r="A298" s="64" t="s">
        <v>603</v>
      </c>
      <c r="B298" s="63" t="s">
        <v>0</v>
      </c>
      <c r="C298" s="63" t="s">
        <v>1</v>
      </c>
      <c r="D298" s="134">
        <v>0</v>
      </c>
      <c r="E298" s="67">
        <v>0</v>
      </c>
      <c r="F298" s="146">
        <v>0</v>
      </c>
      <c r="G298" s="92">
        <v>0</v>
      </c>
      <c r="H298" s="71">
        <v>0</v>
      </c>
      <c r="I298" s="67">
        <v>0</v>
      </c>
      <c r="J298" s="20">
        <v>0</v>
      </c>
      <c r="K298" s="132" t="s">
        <v>723</v>
      </c>
      <c r="L298" s="89">
        <v>0</v>
      </c>
      <c r="M298" s="154">
        <v>0</v>
      </c>
      <c r="N298" s="67">
        <v>0</v>
      </c>
      <c r="O298" s="67">
        <v>0</v>
      </c>
      <c r="Q298" s="71"/>
      <c r="S298" s="80">
        <v>0</v>
      </c>
      <c r="T298" s="80">
        <v>0</v>
      </c>
      <c r="U298" s="93">
        <v>0</v>
      </c>
      <c r="V298" s="61"/>
      <c r="AC298" s="36"/>
      <c r="AD298" s="36"/>
      <c r="AE298" s="36"/>
      <c r="AF298" s="19"/>
    </row>
    <row r="299" spans="1:32">
      <c r="A299" s="64" t="s">
        <v>601</v>
      </c>
      <c r="B299" s="63" t="s">
        <v>92</v>
      </c>
      <c r="C299" s="63" t="s">
        <v>93</v>
      </c>
      <c r="D299" s="134">
        <v>29.63</v>
      </c>
      <c r="E299" s="67">
        <v>3141</v>
      </c>
      <c r="F299" s="146">
        <v>0</v>
      </c>
      <c r="G299" s="92">
        <v>0</v>
      </c>
      <c r="H299" s="71">
        <v>3141</v>
      </c>
      <c r="I299" s="67">
        <v>359</v>
      </c>
      <c r="J299" s="20">
        <v>3500</v>
      </c>
      <c r="K299" s="132" t="s">
        <v>724</v>
      </c>
      <c r="L299" s="89">
        <v>3500</v>
      </c>
      <c r="M299" s="154">
        <v>0</v>
      </c>
      <c r="N299" s="67">
        <v>0</v>
      </c>
      <c r="O299" s="67">
        <v>0</v>
      </c>
      <c r="Q299" s="71"/>
      <c r="S299" s="80">
        <v>2997</v>
      </c>
      <c r="T299" s="80">
        <v>-2997</v>
      </c>
      <c r="U299" s="93">
        <v>-1</v>
      </c>
      <c r="V299" s="61"/>
      <c r="AC299" s="36"/>
      <c r="AD299" s="36"/>
      <c r="AE299" s="36"/>
      <c r="AF299" s="19"/>
    </row>
    <row r="300" spans="1:32">
      <c r="A300" s="64" t="s">
        <v>603</v>
      </c>
      <c r="B300" s="63" t="s">
        <v>452</v>
      </c>
      <c r="C300" s="63" t="s">
        <v>453</v>
      </c>
      <c r="D300" s="134">
        <v>0</v>
      </c>
      <c r="E300" s="67">
        <v>0</v>
      </c>
      <c r="F300" s="146">
        <v>0</v>
      </c>
      <c r="G300" s="92">
        <v>0</v>
      </c>
      <c r="H300" s="71">
        <v>0</v>
      </c>
      <c r="I300" s="67">
        <v>0</v>
      </c>
      <c r="J300" s="20">
        <v>0</v>
      </c>
      <c r="K300" s="132" t="s">
        <v>723</v>
      </c>
      <c r="L300" s="89">
        <v>0</v>
      </c>
      <c r="M300" s="154">
        <v>0</v>
      </c>
      <c r="N300" s="67">
        <v>0</v>
      </c>
      <c r="O300" s="67">
        <v>0</v>
      </c>
      <c r="Q300" s="71"/>
      <c r="S300" s="80">
        <v>0</v>
      </c>
      <c r="T300" s="80">
        <v>0</v>
      </c>
      <c r="U300" s="93">
        <v>0</v>
      </c>
      <c r="V300" s="61"/>
      <c r="AC300" s="36"/>
      <c r="AD300" s="36"/>
      <c r="AE300" s="36"/>
      <c r="AF300" s="19"/>
    </row>
    <row r="301" spans="1:32">
      <c r="A301" s="64" t="s">
        <v>601</v>
      </c>
      <c r="B301" s="63" t="s">
        <v>37</v>
      </c>
      <c r="C301" s="63" t="s">
        <v>38</v>
      </c>
      <c r="D301" s="134">
        <v>1529.75</v>
      </c>
      <c r="E301" s="67">
        <v>162150</v>
      </c>
      <c r="F301" s="146">
        <v>0</v>
      </c>
      <c r="G301" s="92">
        <v>0</v>
      </c>
      <c r="H301" s="71">
        <v>162150</v>
      </c>
      <c r="I301" s="67">
        <v>18545</v>
      </c>
      <c r="J301" s="20">
        <v>180695</v>
      </c>
      <c r="K301" s="132" t="s">
        <v>621</v>
      </c>
      <c r="L301" s="89">
        <v>0</v>
      </c>
      <c r="M301" s="154">
        <v>1529.75</v>
      </c>
      <c r="N301" s="67">
        <v>4780</v>
      </c>
      <c r="O301" s="67">
        <v>185475</v>
      </c>
      <c r="Q301" s="71"/>
      <c r="S301" s="80">
        <v>154851</v>
      </c>
      <c r="T301" s="80">
        <v>30624</v>
      </c>
      <c r="U301" s="93">
        <v>0.19776430245849236</v>
      </c>
      <c r="V301" s="61"/>
      <c r="AC301" s="36"/>
      <c r="AD301" s="36"/>
      <c r="AE301" s="36"/>
      <c r="AF301" s="19"/>
    </row>
    <row r="302" spans="1:32">
      <c r="A302" s="144" t="s">
        <v>603</v>
      </c>
      <c r="B302" s="131" t="s">
        <v>443</v>
      </c>
      <c r="C302" s="131" t="s">
        <v>675</v>
      </c>
      <c r="D302" s="134">
        <v>66</v>
      </c>
      <c r="E302" s="67">
        <v>6996</v>
      </c>
      <c r="F302" s="146">
        <v>0</v>
      </c>
      <c r="G302" s="92">
        <v>0</v>
      </c>
      <c r="H302" s="71">
        <v>6996</v>
      </c>
      <c r="I302" s="67">
        <v>800</v>
      </c>
      <c r="J302" s="100">
        <v>7796</v>
      </c>
      <c r="K302" s="132" t="s">
        <v>724</v>
      </c>
      <c r="L302" s="145">
        <v>7796</v>
      </c>
      <c r="M302" s="156">
        <v>0</v>
      </c>
      <c r="N302" s="67">
        <v>0</v>
      </c>
      <c r="O302" s="67">
        <v>0</v>
      </c>
      <c r="Q302" s="71"/>
      <c r="S302" s="80">
        <v>0</v>
      </c>
      <c r="T302" s="80">
        <v>0</v>
      </c>
      <c r="U302" s="93">
        <v>0</v>
      </c>
      <c r="V302" s="61"/>
      <c r="AC302" s="36"/>
      <c r="AD302" s="36"/>
      <c r="AE302" s="36"/>
      <c r="AF302" s="19"/>
    </row>
    <row r="303" spans="1:32">
      <c r="A303" s="64" t="s">
        <v>605</v>
      </c>
      <c r="B303" s="63" t="s">
        <v>569</v>
      </c>
      <c r="C303" s="63" t="s">
        <v>570</v>
      </c>
      <c r="D303" s="134">
        <v>38.5</v>
      </c>
      <c r="E303" s="67">
        <v>4081</v>
      </c>
      <c r="F303" s="146">
        <v>0</v>
      </c>
      <c r="G303" s="92">
        <v>0</v>
      </c>
      <c r="H303" s="71">
        <v>4081</v>
      </c>
      <c r="I303" s="67">
        <v>467</v>
      </c>
      <c r="J303" s="20">
        <v>4548</v>
      </c>
      <c r="K303" s="132" t="s">
        <v>621</v>
      </c>
      <c r="L303" s="89">
        <v>0</v>
      </c>
      <c r="M303" s="154">
        <v>38.5</v>
      </c>
      <c r="N303" s="67">
        <v>120</v>
      </c>
      <c r="O303" s="67">
        <v>4668</v>
      </c>
      <c r="Q303" s="71"/>
      <c r="S303" s="80">
        <v>4278</v>
      </c>
      <c r="T303" s="80">
        <v>390</v>
      </c>
      <c r="U303" s="93">
        <v>9.1164095371669002E-2</v>
      </c>
      <c r="V303" s="61"/>
      <c r="AC303" s="36"/>
      <c r="AD303" s="36"/>
      <c r="AE303" s="36"/>
      <c r="AF303" s="19"/>
    </row>
    <row r="304" spans="1:32">
      <c r="A304" s="64" t="s">
        <v>594</v>
      </c>
      <c r="B304" s="63" t="s">
        <v>276</v>
      </c>
      <c r="C304" s="63" t="s">
        <v>277</v>
      </c>
      <c r="D304" s="134">
        <v>0</v>
      </c>
      <c r="E304" s="67">
        <v>0</v>
      </c>
      <c r="F304" s="146">
        <v>0</v>
      </c>
      <c r="G304" s="92">
        <v>0</v>
      </c>
      <c r="H304" s="71">
        <v>0</v>
      </c>
      <c r="I304" s="67">
        <v>0</v>
      </c>
      <c r="J304" s="20">
        <v>0</v>
      </c>
      <c r="K304" s="132" t="s">
        <v>723</v>
      </c>
      <c r="L304" s="89">
        <v>0</v>
      </c>
      <c r="M304" s="154">
        <v>0</v>
      </c>
      <c r="N304" s="67">
        <v>0</v>
      </c>
      <c r="O304" s="67">
        <v>0</v>
      </c>
      <c r="Q304" s="71"/>
      <c r="S304" s="80">
        <v>0</v>
      </c>
      <c r="T304" s="80">
        <v>0</v>
      </c>
      <c r="U304" s="93">
        <v>0</v>
      </c>
      <c r="V304" s="61"/>
      <c r="AC304" s="36"/>
      <c r="AD304" s="36"/>
      <c r="AE304" s="36"/>
      <c r="AF304" s="19"/>
    </row>
    <row r="305" spans="1:32">
      <c r="A305" s="64" t="s">
        <v>597</v>
      </c>
      <c r="B305" s="63" t="s">
        <v>367</v>
      </c>
      <c r="C305" s="63" t="s">
        <v>368</v>
      </c>
      <c r="D305" s="134">
        <v>32.5</v>
      </c>
      <c r="E305" s="67">
        <v>3445</v>
      </c>
      <c r="F305" s="146">
        <v>0</v>
      </c>
      <c r="G305" s="92">
        <v>1650</v>
      </c>
      <c r="H305" s="71">
        <v>5095</v>
      </c>
      <c r="I305" s="67">
        <v>394</v>
      </c>
      <c r="J305" s="20">
        <v>3839</v>
      </c>
      <c r="K305" s="132" t="s">
        <v>724</v>
      </c>
      <c r="L305" s="89">
        <v>3839</v>
      </c>
      <c r="M305" s="154">
        <v>0</v>
      </c>
      <c r="N305" s="67">
        <v>0</v>
      </c>
      <c r="O305" s="67">
        <v>0</v>
      </c>
      <c r="Q305" s="71"/>
      <c r="S305" s="80">
        <v>0</v>
      </c>
      <c r="T305" s="80">
        <v>0</v>
      </c>
      <c r="U305" s="93">
        <v>0</v>
      </c>
      <c r="V305" s="61"/>
      <c r="AC305" s="36"/>
      <c r="AD305" s="36"/>
      <c r="AE305" s="36"/>
      <c r="AF305" s="19"/>
    </row>
    <row r="306" spans="1:32">
      <c r="A306" s="64" t="s">
        <v>599</v>
      </c>
      <c r="B306" s="63" t="s">
        <v>248</v>
      </c>
      <c r="C306" s="63" t="s">
        <v>249</v>
      </c>
      <c r="D306" s="134">
        <v>187.25</v>
      </c>
      <c r="E306" s="67">
        <v>19848</v>
      </c>
      <c r="F306" s="146">
        <v>0</v>
      </c>
      <c r="G306" s="92">
        <v>4500</v>
      </c>
      <c r="H306" s="71">
        <v>24348</v>
      </c>
      <c r="I306" s="67">
        <v>2270</v>
      </c>
      <c r="J306" s="20">
        <v>22118</v>
      </c>
      <c r="K306" s="132" t="s">
        <v>621</v>
      </c>
      <c r="L306" s="89">
        <v>0</v>
      </c>
      <c r="M306" s="154">
        <v>187.25</v>
      </c>
      <c r="N306" s="67">
        <v>585</v>
      </c>
      <c r="O306" s="67">
        <v>22703</v>
      </c>
      <c r="Q306" s="71"/>
      <c r="S306" s="80">
        <v>19961</v>
      </c>
      <c r="T306" s="80">
        <v>2742</v>
      </c>
      <c r="U306" s="93">
        <v>0.13736786734131556</v>
      </c>
      <c r="V306" s="61"/>
      <c r="AC306" s="36"/>
      <c r="AD306" s="36"/>
      <c r="AE306" s="36"/>
      <c r="AF306" s="19"/>
    </row>
    <row r="307" spans="1:32">
      <c r="A307" s="64" t="s">
        <v>603</v>
      </c>
      <c r="B307" s="63" t="s">
        <v>289</v>
      </c>
      <c r="C307" s="63" t="s">
        <v>290</v>
      </c>
      <c r="D307" s="134">
        <v>0</v>
      </c>
      <c r="E307" s="67">
        <v>0</v>
      </c>
      <c r="F307" s="146">
        <v>0</v>
      </c>
      <c r="G307" s="92">
        <v>0</v>
      </c>
      <c r="H307" s="71">
        <v>0</v>
      </c>
      <c r="I307" s="67">
        <v>0</v>
      </c>
      <c r="J307" s="20">
        <v>0</v>
      </c>
      <c r="K307" s="132" t="s">
        <v>723</v>
      </c>
      <c r="L307" s="89">
        <v>0</v>
      </c>
      <c r="M307" s="154">
        <v>0</v>
      </c>
      <c r="N307" s="67">
        <v>0</v>
      </c>
      <c r="O307" s="67">
        <v>0</v>
      </c>
      <c r="Q307" s="71"/>
      <c r="S307" s="80">
        <v>0</v>
      </c>
      <c r="T307" s="80">
        <v>0</v>
      </c>
      <c r="U307" s="93">
        <v>0</v>
      </c>
      <c r="V307" s="61"/>
      <c r="AC307" s="36"/>
      <c r="AD307" s="36"/>
      <c r="AE307" s="36"/>
      <c r="AF307" s="19"/>
    </row>
    <row r="308" spans="1:32">
      <c r="A308" s="64" t="s">
        <v>594</v>
      </c>
      <c r="B308" s="63" t="s">
        <v>332</v>
      </c>
      <c r="C308" s="63" t="s">
        <v>333</v>
      </c>
      <c r="D308" s="134">
        <v>0</v>
      </c>
      <c r="E308" s="67">
        <v>0</v>
      </c>
      <c r="F308" s="146">
        <v>0</v>
      </c>
      <c r="G308" s="92">
        <v>0</v>
      </c>
      <c r="H308" s="71">
        <v>0</v>
      </c>
      <c r="I308" s="67">
        <v>0</v>
      </c>
      <c r="J308" s="20">
        <v>0</v>
      </c>
      <c r="K308" s="132" t="s">
        <v>723</v>
      </c>
      <c r="L308" s="89">
        <v>0</v>
      </c>
      <c r="M308" s="154">
        <v>0</v>
      </c>
      <c r="N308" s="67">
        <v>0</v>
      </c>
      <c r="O308" s="67">
        <v>0</v>
      </c>
      <c r="Q308" s="71"/>
      <c r="S308" s="80">
        <v>0</v>
      </c>
      <c r="T308" s="80">
        <v>0</v>
      </c>
      <c r="U308" s="93">
        <v>0</v>
      </c>
      <c r="V308" s="61"/>
      <c r="AC308" s="36"/>
      <c r="AD308" s="36"/>
      <c r="AE308" s="36"/>
      <c r="AF308" s="19"/>
    </row>
    <row r="309" spans="1:32">
      <c r="A309" s="64" t="s">
        <v>601</v>
      </c>
      <c r="B309" s="63" t="s">
        <v>129</v>
      </c>
      <c r="C309" s="63" t="s">
        <v>130</v>
      </c>
      <c r="D309" s="134">
        <v>0</v>
      </c>
      <c r="E309" s="67">
        <v>0</v>
      </c>
      <c r="F309" s="146">
        <v>0</v>
      </c>
      <c r="G309" s="92">
        <v>0</v>
      </c>
      <c r="H309" s="71">
        <v>0</v>
      </c>
      <c r="I309" s="67">
        <v>0</v>
      </c>
      <c r="J309" s="20">
        <v>0</v>
      </c>
      <c r="K309" s="132" t="s">
        <v>723</v>
      </c>
      <c r="L309" s="89">
        <v>0</v>
      </c>
      <c r="M309" s="154">
        <v>0</v>
      </c>
      <c r="N309" s="67">
        <v>0</v>
      </c>
      <c r="O309" s="67">
        <v>0</v>
      </c>
      <c r="Q309" s="71"/>
      <c r="S309" s="80">
        <v>0</v>
      </c>
      <c r="T309" s="80">
        <v>0</v>
      </c>
      <c r="U309" s="93">
        <v>0</v>
      </c>
      <c r="V309" s="61"/>
      <c r="AC309" s="36"/>
      <c r="AD309" s="36"/>
      <c r="AE309" s="36"/>
      <c r="AF309" s="19"/>
    </row>
    <row r="310" spans="1:32">
      <c r="A310" s="64" t="s">
        <v>594</v>
      </c>
      <c r="B310" s="63" t="s">
        <v>264</v>
      </c>
      <c r="C310" s="63" t="s">
        <v>265</v>
      </c>
      <c r="D310" s="134">
        <v>78.63</v>
      </c>
      <c r="E310" s="67">
        <v>8335</v>
      </c>
      <c r="F310" s="146">
        <v>0</v>
      </c>
      <c r="G310" s="92">
        <v>0</v>
      </c>
      <c r="H310" s="71">
        <v>8335</v>
      </c>
      <c r="I310" s="67">
        <v>953</v>
      </c>
      <c r="J310" s="20">
        <v>9288</v>
      </c>
      <c r="K310" s="132" t="s">
        <v>621</v>
      </c>
      <c r="L310" s="89">
        <v>0</v>
      </c>
      <c r="M310" s="154">
        <v>78.63</v>
      </c>
      <c r="N310" s="67">
        <v>246</v>
      </c>
      <c r="O310" s="67">
        <v>9534</v>
      </c>
      <c r="Q310" s="71"/>
      <c r="S310" s="80">
        <v>7724</v>
      </c>
      <c r="T310" s="80">
        <v>1810</v>
      </c>
      <c r="U310" s="93">
        <v>0.23433454168824444</v>
      </c>
      <c r="V310" s="60"/>
    </row>
    <row r="311" spans="1:32">
      <c r="A311" s="64" t="s">
        <v>594</v>
      </c>
      <c r="B311" s="63" t="s">
        <v>151</v>
      </c>
      <c r="C311" s="63" t="s">
        <v>152</v>
      </c>
      <c r="D311" s="134">
        <v>0</v>
      </c>
      <c r="E311" s="67">
        <v>0</v>
      </c>
      <c r="F311" s="146">
        <v>0</v>
      </c>
      <c r="G311" s="92">
        <v>0</v>
      </c>
      <c r="H311" s="71">
        <v>0</v>
      </c>
      <c r="I311" s="67">
        <v>0</v>
      </c>
      <c r="J311" s="20">
        <v>0</v>
      </c>
      <c r="K311" s="132" t="s">
        <v>723</v>
      </c>
      <c r="L311" s="89">
        <v>0</v>
      </c>
      <c r="M311" s="154">
        <v>0</v>
      </c>
      <c r="N311" s="67">
        <v>0</v>
      </c>
      <c r="O311" s="67">
        <v>0</v>
      </c>
      <c r="Q311" s="71"/>
      <c r="S311" s="80">
        <v>0</v>
      </c>
      <c r="T311" s="80">
        <v>0</v>
      </c>
      <c r="U311" s="93">
        <v>0</v>
      </c>
      <c r="V311" s="62"/>
    </row>
    <row r="312" spans="1:32">
      <c r="A312" s="64" t="s">
        <v>599</v>
      </c>
      <c r="B312" s="63" t="s">
        <v>232</v>
      </c>
      <c r="C312" s="63" t="s">
        <v>233</v>
      </c>
      <c r="D312" s="134">
        <v>0</v>
      </c>
      <c r="E312" s="67">
        <v>0</v>
      </c>
      <c r="F312" s="146">
        <v>0</v>
      </c>
      <c r="G312" s="92">
        <v>0</v>
      </c>
      <c r="H312" s="71">
        <v>0</v>
      </c>
      <c r="I312" s="67">
        <v>0</v>
      </c>
      <c r="J312" s="20">
        <v>0</v>
      </c>
      <c r="K312" s="132" t="s">
        <v>723</v>
      </c>
      <c r="L312" s="89">
        <v>0</v>
      </c>
      <c r="M312" s="154">
        <v>0</v>
      </c>
      <c r="N312" s="67">
        <v>0</v>
      </c>
      <c r="O312" s="67">
        <v>0</v>
      </c>
      <c r="Q312" s="71"/>
      <c r="S312" s="80">
        <v>0</v>
      </c>
      <c r="T312" s="80">
        <v>0</v>
      </c>
      <c r="U312" s="93">
        <v>0</v>
      </c>
    </row>
    <row r="313" spans="1:32">
      <c r="A313" s="64" t="s">
        <v>599</v>
      </c>
      <c r="B313" s="63" t="s">
        <v>78</v>
      </c>
      <c r="C313" s="63" t="s">
        <v>79</v>
      </c>
      <c r="D313" s="134">
        <v>92.13</v>
      </c>
      <c r="E313" s="67">
        <v>9766</v>
      </c>
      <c r="F313" s="146">
        <v>0</v>
      </c>
      <c r="G313" s="92">
        <v>0</v>
      </c>
      <c r="H313" s="71">
        <v>9766</v>
      </c>
      <c r="I313" s="67">
        <v>1117</v>
      </c>
      <c r="J313" s="20">
        <v>10883</v>
      </c>
      <c r="K313" s="132" t="s">
        <v>621</v>
      </c>
      <c r="L313" s="89">
        <v>0</v>
      </c>
      <c r="M313" s="154">
        <v>92.13</v>
      </c>
      <c r="N313" s="67">
        <v>288</v>
      </c>
      <c r="O313" s="67">
        <v>11171</v>
      </c>
      <c r="Q313" s="71"/>
      <c r="S313" s="80">
        <v>6580</v>
      </c>
      <c r="T313" s="80">
        <v>4591</v>
      </c>
      <c r="U313" s="93">
        <v>0.69772036474164134</v>
      </c>
    </row>
    <row r="314" spans="1:32">
      <c r="A314" s="64" t="s">
        <v>605</v>
      </c>
      <c r="B314" s="63" t="s">
        <v>547</v>
      </c>
      <c r="C314" s="63" t="s">
        <v>548</v>
      </c>
      <c r="D314" s="134">
        <v>4287.25</v>
      </c>
      <c r="E314" s="67">
        <v>454438</v>
      </c>
      <c r="F314" s="146">
        <v>0</v>
      </c>
      <c r="G314" s="92">
        <v>0</v>
      </c>
      <c r="H314" s="71">
        <v>454438</v>
      </c>
      <c r="I314" s="67">
        <v>51974</v>
      </c>
      <c r="J314" s="20">
        <v>506412</v>
      </c>
      <c r="K314" s="132" t="s">
        <v>621</v>
      </c>
      <c r="L314" s="89">
        <v>0</v>
      </c>
      <c r="M314" s="154">
        <v>4287.25</v>
      </c>
      <c r="N314" s="67">
        <v>13397</v>
      </c>
      <c r="O314" s="67">
        <v>519809</v>
      </c>
      <c r="Q314" s="71"/>
      <c r="S314" s="80">
        <v>451035</v>
      </c>
      <c r="T314" s="80">
        <v>68774</v>
      </c>
      <c r="U314" s="93">
        <v>0.15248040617690423</v>
      </c>
    </row>
    <row r="315" spans="1:32">
      <c r="A315" s="64" t="s">
        <v>594</v>
      </c>
      <c r="B315" s="63" t="s">
        <v>472</v>
      </c>
      <c r="C315" s="63" t="s">
        <v>473</v>
      </c>
      <c r="D315" s="134">
        <v>33</v>
      </c>
      <c r="E315" s="67">
        <v>3498</v>
      </c>
      <c r="F315" s="146">
        <v>0</v>
      </c>
      <c r="G315" s="92">
        <v>1500</v>
      </c>
      <c r="H315" s="71">
        <v>4998</v>
      </c>
      <c r="I315" s="67">
        <v>400</v>
      </c>
      <c r="J315" s="20">
        <v>3898</v>
      </c>
      <c r="K315" s="132" t="s">
        <v>724</v>
      </c>
      <c r="L315" s="89">
        <v>3898</v>
      </c>
      <c r="M315" s="154">
        <v>0</v>
      </c>
      <c r="N315" s="67">
        <v>0</v>
      </c>
      <c r="O315" s="67">
        <v>0</v>
      </c>
      <c r="Q315" s="71"/>
      <c r="S315" s="80">
        <v>0</v>
      </c>
      <c r="T315" s="80">
        <v>0</v>
      </c>
      <c r="U315" s="93">
        <v>0</v>
      </c>
    </row>
    <row r="316" spans="1:32">
      <c r="A316" s="64" t="s">
        <v>605</v>
      </c>
      <c r="B316" s="63" t="s">
        <v>565</v>
      </c>
      <c r="C316" s="63" t="s">
        <v>566</v>
      </c>
      <c r="D316" s="134">
        <v>118</v>
      </c>
      <c r="E316" s="67">
        <v>12508</v>
      </c>
      <c r="F316" s="146">
        <v>0</v>
      </c>
      <c r="G316" s="92">
        <v>2850</v>
      </c>
      <c r="H316" s="71">
        <v>15358</v>
      </c>
      <c r="I316" s="67">
        <v>1430</v>
      </c>
      <c r="J316" s="20">
        <v>13938</v>
      </c>
      <c r="K316" s="132" t="s">
        <v>621</v>
      </c>
      <c r="L316" s="89">
        <v>0</v>
      </c>
      <c r="M316" s="154">
        <v>118</v>
      </c>
      <c r="N316" s="67">
        <v>369</v>
      </c>
      <c r="O316" s="67">
        <v>14307</v>
      </c>
      <c r="Q316" s="73"/>
      <c r="S316" s="80">
        <v>10645</v>
      </c>
      <c r="T316" s="80">
        <v>3662</v>
      </c>
      <c r="U316" s="93">
        <v>0.34401127289807421</v>
      </c>
    </row>
    <row r="317" spans="1:32">
      <c r="C317" s="105" t="s">
        <v>620</v>
      </c>
      <c r="D317" s="67">
        <v>77479.72</v>
      </c>
      <c r="E317" s="67">
        <v>8212651</v>
      </c>
      <c r="F317" s="147">
        <v>510000</v>
      </c>
      <c r="G317" s="67">
        <v>90600</v>
      </c>
      <c r="H317" s="71">
        <v>8813251</v>
      </c>
      <c r="I317" s="71">
        <v>939268</v>
      </c>
      <c r="J317" s="73">
        <v>9151919</v>
      </c>
      <c r="K317" s="72"/>
      <c r="L317" s="67">
        <v>235865</v>
      </c>
      <c r="M317" s="67">
        <v>75482.83</v>
      </c>
      <c r="N317" s="67">
        <v>235856</v>
      </c>
      <c r="O317" s="67">
        <v>9151934</v>
      </c>
      <c r="R317" s="72"/>
      <c r="S317" s="67">
        <v>7366115</v>
      </c>
      <c r="T317" s="67">
        <v>1785819</v>
      </c>
      <c r="U317" s="72"/>
      <c r="V317" s="72"/>
      <c r="W317" s="72"/>
      <c r="X317" s="72"/>
    </row>
    <row r="318" spans="1:32">
      <c r="F318" s="83">
        <v>600600</v>
      </c>
      <c r="L318" s="67"/>
    </row>
    <row r="319" spans="1:32">
      <c r="F319" s="67">
        <v>939274</v>
      </c>
      <c r="L319" s="67"/>
    </row>
  </sheetData>
  <mergeCells count="3">
    <mergeCell ref="E2:H2"/>
    <mergeCell ref="K2:O2"/>
    <mergeCell ref="I2:J2"/>
  </mergeCells>
  <phoneticPr fontId="0" type="noConversion"/>
  <pageMargins left="0.5" right="0.5" top="0.75" bottom="0.75" header="0.5" footer="0.5"/>
  <pageSetup scale="64" fitToHeight="6" orientation="portrait" r:id="rId1"/>
  <headerFooter alignWithMargins="0">
    <oddHeader>&amp;CTitle III Allocation 2006–07</oddHeader>
    <oddFooter>Page &amp;P of &amp;N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1"/>
  <dimension ref="A1:J311"/>
  <sheetViews>
    <sheetView workbookViewId="0">
      <selection activeCell="A13" sqref="A13"/>
    </sheetView>
  </sheetViews>
  <sheetFormatPr defaultColWidth="9.140625" defaultRowHeight="15"/>
  <cols>
    <col min="1" max="1" width="9.140625" style="181"/>
    <col min="2" max="2" width="15" style="181" customWidth="1"/>
    <col min="3" max="3" width="12.42578125" style="181" customWidth="1"/>
    <col min="4" max="4" width="24.85546875" style="181" customWidth="1"/>
    <col min="5" max="5" width="15.42578125" style="181" customWidth="1"/>
    <col min="6" max="6" width="19.5703125" style="218" customWidth="1"/>
    <col min="7" max="7" width="15.140625" style="181" customWidth="1"/>
    <col min="8" max="8" width="22.140625" style="181" customWidth="1"/>
    <col min="9" max="9" width="21.42578125" style="181" customWidth="1"/>
    <col min="10" max="16384" width="9.140625" style="181"/>
  </cols>
  <sheetData>
    <row r="1" spans="1:10" ht="31.5">
      <c r="A1" s="176" t="s">
        <v>709</v>
      </c>
      <c r="B1" s="176" t="s">
        <v>578</v>
      </c>
      <c r="C1" s="177" t="s">
        <v>710</v>
      </c>
      <c r="D1" s="178" t="s">
        <v>593</v>
      </c>
      <c r="E1" s="179" t="s">
        <v>743</v>
      </c>
      <c r="F1" s="180" t="s">
        <v>744</v>
      </c>
      <c r="G1" s="178" t="s">
        <v>745</v>
      </c>
      <c r="H1" s="178" t="s">
        <v>746</v>
      </c>
      <c r="I1" s="178" t="s">
        <v>747</v>
      </c>
    </row>
    <row r="2" spans="1:10" ht="15.75">
      <c r="A2" s="182" t="s">
        <v>10</v>
      </c>
      <c r="B2" s="182" t="s">
        <v>11</v>
      </c>
      <c r="C2" s="183">
        <v>4066</v>
      </c>
      <c r="D2" s="184" t="s">
        <v>11</v>
      </c>
      <c r="E2" s="187">
        <v>123</v>
      </c>
      <c r="F2" s="188"/>
      <c r="G2" s="188"/>
      <c r="H2" s="189"/>
      <c r="I2" s="188"/>
      <c r="J2" s="190"/>
    </row>
    <row r="3" spans="1:10" ht="15.75">
      <c r="A3" s="182" t="s">
        <v>498</v>
      </c>
      <c r="B3" s="182" t="s">
        <v>499</v>
      </c>
      <c r="C3" s="183">
        <v>12089</v>
      </c>
      <c r="D3" s="184" t="s">
        <v>499</v>
      </c>
      <c r="E3" s="187">
        <v>123</v>
      </c>
      <c r="F3" s="188"/>
      <c r="G3" s="188"/>
      <c r="H3" s="189"/>
      <c r="I3" s="188"/>
    </row>
    <row r="4" spans="1:10" ht="15.75">
      <c r="A4" s="182" t="s">
        <v>66</v>
      </c>
      <c r="B4" s="182" t="s">
        <v>67</v>
      </c>
      <c r="C4" s="183">
        <v>623</v>
      </c>
      <c r="D4" s="184" t="s">
        <v>67</v>
      </c>
      <c r="E4" s="187">
        <v>123</v>
      </c>
      <c r="F4" s="188"/>
      <c r="G4" s="188"/>
      <c r="H4" s="189"/>
      <c r="I4" s="188"/>
    </row>
    <row r="5" spans="1:10" ht="15.75">
      <c r="A5" s="182" t="s">
        <v>16</v>
      </c>
      <c r="B5" s="182" t="s">
        <v>17</v>
      </c>
      <c r="C5" s="183">
        <v>4781</v>
      </c>
      <c r="D5" s="184" t="s">
        <v>17</v>
      </c>
      <c r="E5" s="191">
        <v>123</v>
      </c>
      <c r="F5" s="188"/>
      <c r="G5" s="188"/>
      <c r="H5" s="189"/>
      <c r="I5" s="188"/>
    </row>
    <row r="6" spans="1:10" ht="15.75">
      <c r="A6" s="182" t="s">
        <v>496</v>
      </c>
      <c r="B6" s="182" t="s">
        <v>497</v>
      </c>
      <c r="C6" s="183">
        <v>4085</v>
      </c>
      <c r="D6" s="184" t="s">
        <v>497</v>
      </c>
      <c r="E6" s="192" t="s">
        <v>596</v>
      </c>
      <c r="F6" s="188"/>
      <c r="G6" s="188"/>
      <c r="H6" s="189"/>
      <c r="I6" s="188"/>
    </row>
    <row r="7" spans="1:10" ht="15.75">
      <c r="A7" s="182" t="s">
        <v>355</v>
      </c>
      <c r="B7" s="182" t="s">
        <v>356</v>
      </c>
      <c r="C7" s="183">
        <v>4195</v>
      </c>
      <c r="D7" s="193" t="s">
        <v>356</v>
      </c>
      <c r="E7" s="187" t="s">
        <v>644</v>
      </c>
      <c r="F7" s="188"/>
      <c r="G7" s="188"/>
      <c r="H7" s="189"/>
      <c r="I7" s="188"/>
    </row>
    <row r="8" spans="1:10" ht="15.75">
      <c r="A8" s="182" t="s">
        <v>230</v>
      </c>
      <c r="B8" s="182" t="s">
        <v>231</v>
      </c>
      <c r="C8" s="183">
        <v>1502</v>
      </c>
      <c r="D8" s="184" t="s">
        <v>231</v>
      </c>
      <c r="E8" s="194" t="s">
        <v>681</v>
      </c>
      <c r="F8" s="188"/>
      <c r="G8" s="188"/>
      <c r="H8" s="189"/>
      <c r="I8" s="188"/>
    </row>
    <row r="9" spans="1:10" ht="15.75">
      <c r="A9" s="182" t="s">
        <v>246</v>
      </c>
      <c r="B9" s="182" t="s">
        <v>247</v>
      </c>
      <c r="C9" s="183">
        <v>6521</v>
      </c>
      <c r="D9" s="184" t="s">
        <v>247</v>
      </c>
      <c r="E9" s="194" t="s">
        <v>681</v>
      </c>
      <c r="F9" s="188"/>
      <c r="G9" s="188"/>
      <c r="H9" s="189"/>
      <c r="I9" s="188"/>
    </row>
    <row r="10" spans="1:10" ht="15.75">
      <c r="A10" s="182" t="s">
        <v>228</v>
      </c>
      <c r="B10" s="182" t="s">
        <v>229</v>
      </c>
      <c r="C10" s="183">
        <v>5605</v>
      </c>
      <c r="D10" s="184" t="s">
        <v>229</v>
      </c>
      <c r="E10" s="194" t="s">
        <v>681</v>
      </c>
      <c r="F10" s="188"/>
      <c r="G10" s="188"/>
      <c r="H10" s="189"/>
      <c r="I10" s="188"/>
    </row>
    <row r="11" spans="1:10" ht="15.75">
      <c r="A11" s="182" t="s">
        <v>545</v>
      </c>
      <c r="B11" s="182" t="s">
        <v>546</v>
      </c>
      <c r="C11" s="183">
        <v>9763</v>
      </c>
      <c r="D11" s="184" t="s">
        <v>546</v>
      </c>
      <c r="E11" s="194" t="s">
        <v>681</v>
      </c>
      <c r="F11" s="188"/>
      <c r="G11" s="188"/>
      <c r="H11" s="189"/>
      <c r="I11" s="188"/>
    </row>
    <row r="12" spans="1:10" ht="15.75">
      <c r="A12" s="182" t="s">
        <v>224</v>
      </c>
      <c r="B12" s="182" t="s">
        <v>225</v>
      </c>
      <c r="C12" s="183">
        <v>586</v>
      </c>
      <c r="D12" s="184" t="s">
        <v>225</v>
      </c>
      <c r="E12" s="194" t="s">
        <v>681</v>
      </c>
      <c r="F12" s="188"/>
      <c r="G12" s="188"/>
      <c r="H12" s="189"/>
      <c r="I12" s="188"/>
    </row>
    <row r="13" spans="1:10" ht="15.75">
      <c r="A13" s="182" t="s">
        <v>543</v>
      </c>
      <c r="B13" s="182" t="s">
        <v>544</v>
      </c>
      <c r="C13" s="183">
        <v>15349</v>
      </c>
      <c r="D13" s="184" t="s">
        <v>544</v>
      </c>
      <c r="E13" s="194" t="s">
        <v>681</v>
      </c>
      <c r="F13" s="185"/>
      <c r="G13" s="188" t="s">
        <v>644</v>
      </c>
      <c r="H13" s="189"/>
      <c r="I13" s="188"/>
    </row>
    <row r="14" spans="1:10" ht="15.75">
      <c r="A14" s="182" t="s">
        <v>569</v>
      </c>
      <c r="B14" s="182" t="s">
        <v>570</v>
      </c>
      <c r="C14" s="183">
        <v>7565</v>
      </c>
      <c r="D14" s="184" t="s">
        <v>570</v>
      </c>
      <c r="E14" s="194" t="s">
        <v>681</v>
      </c>
      <c r="F14" s="188"/>
      <c r="G14" s="188"/>
      <c r="H14" s="189"/>
      <c r="I14" s="188"/>
    </row>
    <row r="15" spans="1:10" ht="15.75">
      <c r="A15" s="182" t="s">
        <v>134</v>
      </c>
      <c r="B15" s="182" t="s">
        <v>135</v>
      </c>
      <c r="C15" s="183">
        <v>9891</v>
      </c>
      <c r="D15" s="184" t="s">
        <v>135</v>
      </c>
      <c r="E15" s="187" t="s">
        <v>748</v>
      </c>
      <c r="F15" s="188"/>
      <c r="G15" s="188"/>
      <c r="H15" s="189"/>
      <c r="I15" s="188"/>
    </row>
    <row r="16" spans="1:10" ht="15.75">
      <c r="A16" s="182" t="s">
        <v>145</v>
      </c>
      <c r="B16" s="182" t="s">
        <v>146</v>
      </c>
      <c r="C16" s="183">
        <v>4708</v>
      </c>
      <c r="D16" s="195" t="s">
        <v>146</v>
      </c>
      <c r="E16" s="196" t="s">
        <v>748</v>
      </c>
      <c r="F16" s="197"/>
      <c r="G16" s="188"/>
      <c r="H16" s="189"/>
      <c r="I16" s="198">
        <v>900</v>
      </c>
    </row>
    <row r="17" spans="1:9" ht="15.75">
      <c r="A17" s="182" t="s">
        <v>380</v>
      </c>
      <c r="B17" s="182" t="s">
        <v>381</v>
      </c>
      <c r="C17" s="183">
        <v>4982</v>
      </c>
      <c r="D17" s="193" t="s">
        <v>381</v>
      </c>
      <c r="E17" s="187" t="s">
        <v>644</v>
      </c>
      <c r="F17" s="188"/>
      <c r="G17" s="188"/>
      <c r="H17" s="188"/>
      <c r="I17" s="188"/>
    </row>
    <row r="18" spans="1:9" ht="15.75">
      <c r="A18" s="182" t="s">
        <v>213</v>
      </c>
      <c r="B18" s="182" t="s">
        <v>598</v>
      </c>
      <c r="C18" s="183">
        <v>4268</v>
      </c>
      <c r="D18" s="193" t="s">
        <v>598</v>
      </c>
      <c r="E18" s="187" t="s">
        <v>644</v>
      </c>
      <c r="F18" s="188"/>
      <c r="G18" s="188"/>
      <c r="H18" s="189"/>
      <c r="I18" s="188"/>
    </row>
    <row r="19" spans="1:9" ht="15.75">
      <c r="A19" s="182" t="s">
        <v>438</v>
      </c>
      <c r="B19" s="182" t="s">
        <v>439</v>
      </c>
      <c r="C19" s="183">
        <v>10001</v>
      </c>
      <c r="D19" s="193" t="s">
        <v>439</v>
      </c>
      <c r="E19" s="199" t="s">
        <v>644</v>
      </c>
      <c r="F19" s="188"/>
      <c r="G19" s="188" t="s">
        <v>644</v>
      </c>
      <c r="H19" s="189"/>
      <c r="I19" s="200">
        <v>1200</v>
      </c>
    </row>
    <row r="20" spans="1:9" ht="15.75">
      <c r="A20" s="182" t="s">
        <v>450</v>
      </c>
      <c r="B20" s="182" t="s">
        <v>451</v>
      </c>
      <c r="C20" s="183">
        <v>659</v>
      </c>
      <c r="D20" s="193" t="s">
        <v>451</v>
      </c>
      <c r="E20" s="199" t="s">
        <v>644</v>
      </c>
      <c r="F20" s="188"/>
      <c r="G20" s="188"/>
      <c r="H20" s="189"/>
      <c r="I20" s="188"/>
    </row>
    <row r="21" spans="1:9" ht="15.75">
      <c r="A21" s="182" t="s">
        <v>169</v>
      </c>
      <c r="B21" s="182" t="s">
        <v>170</v>
      </c>
      <c r="C21" s="183">
        <v>769</v>
      </c>
      <c r="D21" s="193" t="s">
        <v>170</v>
      </c>
      <c r="E21" s="199" t="s">
        <v>644</v>
      </c>
      <c r="F21" s="188"/>
      <c r="G21" s="188"/>
      <c r="H21" s="189"/>
      <c r="I21" s="188"/>
    </row>
    <row r="22" spans="1:9" ht="15.75">
      <c r="A22" s="182" t="s">
        <v>384</v>
      </c>
      <c r="B22" s="182" t="s">
        <v>385</v>
      </c>
      <c r="C22" s="183">
        <v>2894</v>
      </c>
      <c r="D22" s="193" t="s">
        <v>385</v>
      </c>
      <c r="E22" s="199" t="s">
        <v>644</v>
      </c>
      <c r="F22" s="188"/>
      <c r="G22" s="188"/>
      <c r="H22" s="189"/>
      <c r="I22" s="188"/>
    </row>
    <row r="23" spans="1:9" ht="15.75">
      <c r="A23" s="182" t="s">
        <v>159</v>
      </c>
      <c r="B23" s="182" t="s">
        <v>160</v>
      </c>
      <c r="C23" s="183">
        <v>3773</v>
      </c>
      <c r="D23" s="193" t="s">
        <v>160</v>
      </c>
      <c r="E23" s="199" t="s">
        <v>644</v>
      </c>
      <c r="F23" s="188"/>
      <c r="G23" s="188"/>
      <c r="H23" s="189"/>
      <c r="I23" s="188"/>
    </row>
    <row r="24" spans="1:9" ht="15.75">
      <c r="A24" s="182" t="s">
        <v>338</v>
      </c>
      <c r="B24" s="182" t="s">
        <v>339</v>
      </c>
      <c r="C24" s="183">
        <v>293</v>
      </c>
      <c r="D24" s="193" t="s">
        <v>339</v>
      </c>
      <c r="E24" s="199" t="s">
        <v>644</v>
      </c>
      <c r="F24" s="188"/>
      <c r="G24" s="188"/>
      <c r="H24" s="189"/>
      <c r="I24" s="188"/>
    </row>
    <row r="25" spans="1:9" ht="15.75">
      <c r="A25" s="182" t="s">
        <v>419</v>
      </c>
      <c r="B25" s="182" t="s">
        <v>420</v>
      </c>
      <c r="C25" s="183">
        <v>3773</v>
      </c>
      <c r="D25" s="193" t="s">
        <v>420</v>
      </c>
      <c r="E25" s="199" t="s">
        <v>644</v>
      </c>
      <c r="F25" s="188"/>
      <c r="G25" s="188" t="s">
        <v>644</v>
      </c>
      <c r="H25" s="189"/>
      <c r="I25" s="188"/>
    </row>
    <row r="26" spans="1:9" ht="15.75">
      <c r="A26" s="182" t="s">
        <v>51</v>
      </c>
      <c r="B26" s="182" t="s">
        <v>52</v>
      </c>
      <c r="C26" s="183">
        <v>2217</v>
      </c>
      <c r="D26" s="193" t="s">
        <v>52</v>
      </c>
      <c r="E26" s="199" t="s">
        <v>644</v>
      </c>
      <c r="F26" s="188"/>
      <c r="G26" s="188" t="s">
        <v>644</v>
      </c>
      <c r="H26" s="189"/>
      <c r="I26" s="188"/>
    </row>
    <row r="27" spans="1:9" ht="15.75">
      <c r="A27" s="182" t="s">
        <v>53</v>
      </c>
      <c r="B27" s="182" t="s">
        <v>609</v>
      </c>
      <c r="C27" s="183">
        <v>2161</v>
      </c>
      <c r="D27" s="193" t="s">
        <v>609</v>
      </c>
      <c r="E27" s="199" t="s">
        <v>644</v>
      </c>
      <c r="F27" s="188"/>
      <c r="G27" s="188" t="s">
        <v>644</v>
      </c>
      <c r="H27" s="189"/>
      <c r="I27" s="188"/>
    </row>
    <row r="28" spans="1:9" ht="15.75">
      <c r="A28" s="182" t="s">
        <v>441</v>
      </c>
      <c r="B28" s="182" t="s">
        <v>442</v>
      </c>
      <c r="C28" s="183">
        <v>19</v>
      </c>
      <c r="D28" s="193" t="s">
        <v>442</v>
      </c>
      <c r="E28" s="199" t="s">
        <v>644</v>
      </c>
      <c r="F28" s="188"/>
      <c r="G28" s="188"/>
      <c r="H28" s="189"/>
      <c r="I28" s="188"/>
    </row>
    <row r="29" spans="1:9" ht="15.75">
      <c r="A29" s="182" t="s">
        <v>6</v>
      </c>
      <c r="B29" s="182" t="s">
        <v>7</v>
      </c>
      <c r="C29" s="183">
        <v>2857</v>
      </c>
      <c r="D29" s="193" t="s">
        <v>7</v>
      </c>
      <c r="E29" s="199" t="s">
        <v>644</v>
      </c>
      <c r="F29" s="188"/>
      <c r="G29" s="188"/>
      <c r="H29" s="189"/>
      <c r="I29" s="188"/>
    </row>
    <row r="30" spans="1:9" ht="15.75">
      <c r="A30" s="182" t="s">
        <v>478</v>
      </c>
      <c r="B30" s="182" t="s">
        <v>479</v>
      </c>
      <c r="C30" s="183">
        <v>20441</v>
      </c>
      <c r="D30" s="193" t="s">
        <v>479</v>
      </c>
      <c r="E30" s="199" t="s">
        <v>644</v>
      </c>
      <c r="F30" s="188"/>
      <c r="G30" s="188" t="s">
        <v>644</v>
      </c>
      <c r="H30" s="189"/>
      <c r="I30" s="188"/>
    </row>
    <row r="31" spans="1:9" ht="15.75">
      <c r="A31" s="182" t="s">
        <v>270</v>
      </c>
      <c r="B31" s="182" t="s">
        <v>271</v>
      </c>
      <c r="C31" s="183">
        <v>1521</v>
      </c>
      <c r="D31" s="193" t="s">
        <v>271</v>
      </c>
      <c r="E31" s="199" t="s">
        <v>644</v>
      </c>
      <c r="F31" s="188"/>
      <c r="G31" s="188"/>
      <c r="H31" s="189"/>
      <c r="I31" s="188"/>
    </row>
    <row r="32" spans="1:9" ht="15.75">
      <c r="A32" s="182" t="s">
        <v>372</v>
      </c>
      <c r="B32" s="182" t="s">
        <v>613</v>
      </c>
      <c r="C32" s="183">
        <v>1045</v>
      </c>
      <c r="D32" s="193" t="s">
        <v>613</v>
      </c>
      <c r="E32" s="199" t="s">
        <v>644</v>
      </c>
      <c r="F32" s="188"/>
      <c r="G32" s="188"/>
      <c r="H32" s="189"/>
      <c r="I32" s="188"/>
    </row>
    <row r="33" spans="1:9" ht="15.75">
      <c r="A33" s="182" t="s">
        <v>86</v>
      </c>
      <c r="B33" s="182" t="s">
        <v>87</v>
      </c>
      <c r="C33" s="183">
        <v>4122</v>
      </c>
      <c r="D33" s="193" t="s">
        <v>87</v>
      </c>
      <c r="E33" s="199" t="s">
        <v>644</v>
      </c>
      <c r="F33" s="188"/>
      <c r="G33" s="188" t="s">
        <v>644</v>
      </c>
      <c r="H33" s="189"/>
      <c r="I33" s="188"/>
    </row>
    <row r="34" spans="1:9" ht="15.75">
      <c r="A34" s="182" t="s">
        <v>359</v>
      </c>
      <c r="B34" s="182" t="s">
        <v>360</v>
      </c>
      <c r="C34" s="183">
        <v>7803</v>
      </c>
      <c r="D34" s="193" t="s">
        <v>360</v>
      </c>
      <c r="E34" s="199" t="s">
        <v>644</v>
      </c>
      <c r="F34" s="188"/>
      <c r="G34" s="188" t="s">
        <v>644</v>
      </c>
      <c r="H34" s="189">
        <v>10000</v>
      </c>
      <c r="I34" s="188"/>
    </row>
    <row r="35" spans="1:9" ht="16.5" thickBot="1">
      <c r="A35" s="182" t="s">
        <v>112</v>
      </c>
      <c r="B35" s="182" t="s">
        <v>113</v>
      </c>
      <c r="C35" s="183">
        <v>1521</v>
      </c>
      <c r="D35" s="193" t="s">
        <v>113</v>
      </c>
      <c r="E35" s="199" t="s">
        <v>644</v>
      </c>
      <c r="F35" s="188"/>
      <c r="G35" s="188"/>
      <c r="H35" s="189"/>
      <c r="I35" s="201"/>
    </row>
    <row r="36" spans="1:9" ht="15.75">
      <c r="A36" s="182" t="s">
        <v>39</v>
      </c>
      <c r="B36" s="182" t="s">
        <v>40</v>
      </c>
      <c r="C36" s="183">
        <v>3993</v>
      </c>
      <c r="D36" s="193" t="s">
        <v>40</v>
      </c>
      <c r="E36" s="199" t="s">
        <v>644</v>
      </c>
      <c r="F36" s="188"/>
      <c r="G36" s="188"/>
      <c r="H36" s="189"/>
      <c r="I36" s="188"/>
    </row>
    <row r="37" spans="1:9" ht="15.75">
      <c r="A37" s="182" t="s">
        <v>171</v>
      </c>
      <c r="B37" s="182" t="s">
        <v>172</v>
      </c>
      <c r="C37" s="183">
        <v>3773</v>
      </c>
      <c r="D37" s="193" t="s">
        <v>172</v>
      </c>
      <c r="E37" s="199" t="s">
        <v>644</v>
      </c>
      <c r="F37" s="188"/>
      <c r="G37" s="188"/>
      <c r="H37" s="189"/>
      <c r="I37" s="188"/>
    </row>
    <row r="38" spans="1:9" ht="15.75">
      <c r="A38" s="182" t="s">
        <v>375</v>
      </c>
      <c r="B38" s="182" t="s">
        <v>614</v>
      </c>
      <c r="C38" s="183">
        <v>3206</v>
      </c>
      <c r="D38" s="193" t="s">
        <v>614</v>
      </c>
      <c r="E38" s="199" t="s">
        <v>644</v>
      </c>
      <c r="F38" s="188"/>
      <c r="G38" s="188"/>
      <c r="H38" s="189"/>
      <c r="I38" s="188"/>
    </row>
    <row r="39" spans="1:9" ht="15.75">
      <c r="A39" s="182" t="s">
        <v>43</v>
      </c>
      <c r="B39" s="182" t="s">
        <v>44</v>
      </c>
      <c r="C39" s="183">
        <v>6650</v>
      </c>
      <c r="D39" s="193" t="s">
        <v>44</v>
      </c>
      <c r="E39" s="199" t="s">
        <v>644</v>
      </c>
      <c r="F39" s="188"/>
      <c r="G39" s="188"/>
      <c r="H39" s="189"/>
      <c r="I39" s="198">
        <v>4950</v>
      </c>
    </row>
    <row r="40" spans="1:9" ht="15.75">
      <c r="A40" s="182" t="s">
        <v>342</v>
      </c>
      <c r="B40" s="182" t="s">
        <v>617</v>
      </c>
      <c r="C40" s="183">
        <v>7162</v>
      </c>
      <c r="D40" s="193" t="s">
        <v>617</v>
      </c>
      <c r="E40" s="199" t="s">
        <v>644</v>
      </c>
      <c r="F40" s="188"/>
      <c r="G40" s="188" t="s">
        <v>644</v>
      </c>
      <c r="H40" s="189"/>
      <c r="I40" s="188"/>
    </row>
    <row r="41" spans="1:9" ht="15.75">
      <c r="A41" s="182" t="s">
        <v>393</v>
      </c>
      <c r="B41" s="182" t="s">
        <v>394</v>
      </c>
      <c r="C41" s="183">
        <v>3682</v>
      </c>
      <c r="D41" s="193" t="s">
        <v>394</v>
      </c>
      <c r="E41" s="199" t="s">
        <v>644</v>
      </c>
      <c r="F41" s="188"/>
      <c r="G41" s="188"/>
      <c r="H41" s="189"/>
      <c r="I41" s="188"/>
    </row>
    <row r="42" spans="1:9" ht="15.75">
      <c r="A42" s="182" t="s">
        <v>367</v>
      </c>
      <c r="B42" s="182" t="s">
        <v>368</v>
      </c>
      <c r="C42" s="183">
        <v>4159</v>
      </c>
      <c r="D42" s="193" t="s">
        <v>368</v>
      </c>
      <c r="E42" s="199" t="s">
        <v>644</v>
      </c>
      <c r="F42" s="188"/>
      <c r="G42" s="188"/>
      <c r="H42" s="189"/>
      <c r="I42" s="188"/>
    </row>
    <row r="43" spans="1:9" ht="15.75">
      <c r="A43" s="182" t="s">
        <v>472</v>
      </c>
      <c r="B43" s="182" t="s">
        <v>473</v>
      </c>
      <c r="C43" s="183">
        <v>4671</v>
      </c>
      <c r="D43" s="193" t="s">
        <v>619</v>
      </c>
      <c r="E43" s="199" t="s">
        <v>644</v>
      </c>
      <c r="F43" s="188"/>
      <c r="G43" s="202"/>
      <c r="H43" s="203"/>
      <c r="I43" s="202"/>
    </row>
    <row r="44" spans="1:9" ht="15.75">
      <c r="A44" s="182" t="s">
        <v>331</v>
      </c>
      <c r="B44" s="182" t="s">
        <v>611</v>
      </c>
      <c r="C44" s="183">
        <v>1026</v>
      </c>
      <c r="D44" s="184" t="s">
        <v>611</v>
      </c>
      <c r="E44" s="194" t="s">
        <v>326</v>
      </c>
      <c r="F44" s="188"/>
      <c r="G44" s="188"/>
      <c r="H44" s="189"/>
      <c r="I44" s="188"/>
    </row>
    <row r="45" spans="1:9" ht="15.75">
      <c r="A45" s="182" t="s">
        <v>325</v>
      </c>
      <c r="B45" s="182" t="s">
        <v>326</v>
      </c>
      <c r="C45" s="183">
        <v>5275</v>
      </c>
      <c r="D45" s="184" t="s">
        <v>326</v>
      </c>
      <c r="E45" s="191" t="s">
        <v>326</v>
      </c>
      <c r="F45" s="188"/>
      <c r="G45" s="188"/>
      <c r="H45" s="189"/>
      <c r="I45" s="188"/>
    </row>
    <row r="46" spans="1:9" ht="15.75">
      <c r="A46" s="182" t="s">
        <v>327</v>
      </c>
      <c r="B46" s="182" t="s">
        <v>328</v>
      </c>
      <c r="C46" s="183">
        <v>7253</v>
      </c>
      <c r="D46" s="184" t="s">
        <v>328</v>
      </c>
      <c r="E46" s="191" t="s">
        <v>326</v>
      </c>
      <c r="F46" s="188"/>
      <c r="G46" s="188"/>
      <c r="H46" s="189"/>
      <c r="I46" s="188"/>
    </row>
    <row r="47" spans="1:9" ht="15.75">
      <c r="A47" s="182" t="s">
        <v>413</v>
      </c>
      <c r="B47" s="182" t="s">
        <v>414</v>
      </c>
      <c r="C47" s="183">
        <v>8975</v>
      </c>
      <c r="D47" s="184" t="s">
        <v>414</v>
      </c>
      <c r="E47" s="187" t="s">
        <v>749</v>
      </c>
      <c r="F47" s="188"/>
      <c r="G47" s="188" t="s">
        <v>644</v>
      </c>
      <c r="H47" s="189"/>
      <c r="I47" s="188"/>
    </row>
    <row r="48" spans="1:9" ht="15.75">
      <c r="A48" s="182" t="s">
        <v>421</v>
      </c>
      <c r="B48" s="182" t="s">
        <v>673</v>
      </c>
      <c r="C48" s="183">
        <v>11796</v>
      </c>
      <c r="D48" s="184" t="s">
        <v>616</v>
      </c>
      <c r="E48" s="187" t="s">
        <v>749</v>
      </c>
      <c r="F48" s="188"/>
      <c r="G48" s="188"/>
      <c r="H48" s="189"/>
      <c r="I48" s="198">
        <v>3600</v>
      </c>
    </row>
    <row r="49" spans="1:10" ht="15.75">
      <c r="A49" s="182" t="s">
        <v>311</v>
      </c>
      <c r="B49" s="182" t="s">
        <v>312</v>
      </c>
      <c r="C49" s="183">
        <v>9031</v>
      </c>
      <c r="D49" s="184" t="s">
        <v>312</v>
      </c>
      <c r="E49" s="187" t="s">
        <v>612</v>
      </c>
      <c r="F49" s="188"/>
      <c r="G49" s="188"/>
      <c r="H49" s="189"/>
      <c r="I49" s="188"/>
    </row>
    <row r="50" spans="1:10" ht="15.75">
      <c r="A50" s="182" t="s">
        <v>317</v>
      </c>
      <c r="B50" s="182" t="s">
        <v>318</v>
      </c>
      <c r="C50" s="183">
        <v>5641</v>
      </c>
      <c r="D50" s="184" t="s">
        <v>318</v>
      </c>
      <c r="E50" s="187" t="s">
        <v>612</v>
      </c>
      <c r="F50" s="188"/>
      <c r="G50" s="188"/>
      <c r="H50" s="189"/>
      <c r="I50" s="188"/>
    </row>
    <row r="51" spans="1:10" ht="15.75">
      <c r="A51" s="182" t="s">
        <v>321</v>
      </c>
      <c r="B51" s="182" t="s">
        <v>322</v>
      </c>
      <c r="C51" s="183">
        <v>13500</v>
      </c>
      <c r="D51" s="184" t="s">
        <v>322</v>
      </c>
      <c r="E51" s="187" t="s">
        <v>612</v>
      </c>
      <c r="F51" s="188"/>
      <c r="G51" s="188" t="s">
        <v>644</v>
      </c>
      <c r="H51" s="189"/>
      <c r="I51" s="188"/>
    </row>
    <row r="52" spans="1:10" ht="15.75">
      <c r="A52" s="182" t="s">
        <v>64</v>
      </c>
      <c r="B52" s="182" t="s">
        <v>65</v>
      </c>
      <c r="C52" s="183">
        <v>8132</v>
      </c>
      <c r="D52" s="184" t="s">
        <v>65</v>
      </c>
      <c r="E52" s="187" t="s">
        <v>750</v>
      </c>
      <c r="F52" s="188"/>
      <c r="G52" s="188" t="s">
        <v>644</v>
      </c>
      <c r="H52" s="189"/>
      <c r="I52" s="198">
        <v>3000</v>
      </c>
    </row>
    <row r="53" spans="1:10" ht="15.75">
      <c r="A53" s="182" t="s">
        <v>56</v>
      </c>
      <c r="B53" s="182" t="s">
        <v>57</v>
      </c>
      <c r="C53" s="183">
        <v>8371</v>
      </c>
      <c r="D53" s="184" t="s">
        <v>57</v>
      </c>
      <c r="E53" s="187" t="s">
        <v>750</v>
      </c>
      <c r="F53" s="188"/>
      <c r="G53" s="188"/>
      <c r="H53" s="189"/>
      <c r="I53" s="198">
        <v>3450</v>
      </c>
    </row>
    <row r="54" spans="1:10" ht="15.75">
      <c r="A54" s="182" t="s">
        <v>78</v>
      </c>
      <c r="B54" s="182" t="s">
        <v>79</v>
      </c>
      <c r="C54" s="183">
        <v>15019</v>
      </c>
      <c r="D54" s="184" t="s">
        <v>79</v>
      </c>
      <c r="E54" s="187" t="s">
        <v>621</v>
      </c>
      <c r="F54" s="188"/>
      <c r="G54" s="188" t="s">
        <v>644</v>
      </c>
      <c r="H54" s="189">
        <v>10000</v>
      </c>
      <c r="I54" s="188"/>
    </row>
    <row r="55" spans="1:10" ht="15.75">
      <c r="A55" s="182" t="s">
        <v>132</v>
      </c>
      <c r="B55" s="182" t="s">
        <v>133</v>
      </c>
      <c r="C55" s="183">
        <v>39600</v>
      </c>
      <c r="D55" s="204" t="s">
        <v>133</v>
      </c>
      <c r="E55" s="187" t="s">
        <v>621</v>
      </c>
      <c r="F55" s="205">
        <v>9</v>
      </c>
      <c r="G55" s="206" t="s">
        <v>723</v>
      </c>
      <c r="H55" s="206"/>
      <c r="I55" s="206"/>
      <c r="J55" s="207"/>
    </row>
    <row r="56" spans="1:10" ht="15.75">
      <c r="A56" s="182" t="s">
        <v>403</v>
      </c>
      <c r="B56" s="182" t="s">
        <v>404</v>
      </c>
      <c r="C56" s="183">
        <v>24031</v>
      </c>
      <c r="D56" s="184" t="s">
        <v>404</v>
      </c>
      <c r="E56" s="208" t="s">
        <v>621</v>
      </c>
      <c r="F56" s="188"/>
      <c r="G56" s="188"/>
      <c r="H56" s="188"/>
      <c r="I56" s="188"/>
    </row>
    <row r="57" spans="1:10" ht="15.75">
      <c r="A57" s="182" t="s">
        <v>195</v>
      </c>
      <c r="B57" s="182" t="s">
        <v>196</v>
      </c>
      <c r="C57" s="183">
        <v>205234</v>
      </c>
      <c r="D57" s="184" t="s">
        <v>196</v>
      </c>
      <c r="E57" s="187" t="s">
        <v>621</v>
      </c>
      <c r="F57" s="188"/>
      <c r="G57" s="188" t="s">
        <v>644</v>
      </c>
      <c r="H57" s="189">
        <v>50000</v>
      </c>
      <c r="I57" s="188"/>
    </row>
    <row r="58" spans="1:10" ht="15.75">
      <c r="A58" s="182" t="s">
        <v>62</v>
      </c>
      <c r="B58" s="182" t="s">
        <v>63</v>
      </c>
      <c r="C58" s="183">
        <v>83375</v>
      </c>
      <c r="D58" s="184" t="s">
        <v>63</v>
      </c>
      <c r="E58" s="187" t="s">
        <v>621</v>
      </c>
      <c r="F58" s="188"/>
      <c r="G58" s="188" t="s">
        <v>644</v>
      </c>
      <c r="H58" s="189"/>
      <c r="I58" s="188"/>
    </row>
    <row r="59" spans="1:10" ht="15.75">
      <c r="A59" s="182" t="s">
        <v>189</v>
      </c>
      <c r="B59" s="182" t="s">
        <v>190</v>
      </c>
      <c r="C59" s="183">
        <v>200782</v>
      </c>
      <c r="D59" s="184" t="s">
        <v>190</v>
      </c>
      <c r="E59" s="187" t="s">
        <v>621</v>
      </c>
      <c r="F59" s="188"/>
      <c r="G59" s="188" t="s">
        <v>644</v>
      </c>
      <c r="H59" s="189">
        <v>50000</v>
      </c>
      <c r="I59" s="188"/>
    </row>
    <row r="60" spans="1:10" ht="15.75">
      <c r="A60" s="182" t="s">
        <v>504</v>
      </c>
      <c r="B60" s="182" t="s">
        <v>505</v>
      </c>
      <c r="C60" s="183">
        <v>77863</v>
      </c>
      <c r="D60" s="184" t="s">
        <v>505</v>
      </c>
      <c r="E60" s="187" t="s">
        <v>621</v>
      </c>
      <c r="F60" s="188"/>
      <c r="G60" s="188" t="s">
        <v>644</v>
      </c>
      <c r="H60" s="189"/>
      <c r="I60" s="188"/>
    </row>
    <row r="61" spans="1:10" ht="15.75">
      <c r="A61" s="182" t="s">
        <v>363</v>
      </c>
      <c r="B61" s="182" t="s">
        <v>364</v>
      </c>
      <c r="C61" s="183">
        <v>35699</v>
      </c>
      <c r="D61" s="184" t="s">
        <v>364</v>
      </c>
      <c r="E61" s="187" t="s">
        <v>621</v>
      </c>
      <c r="F61" s="188"/>
      <c r="G61" s="188"/>
      <c r="H61" s="189"/>
      <c r="I61" s="188"/>
    </row>
    <row r="62" spans="1:10" ht="15.75">
      <c r="A62" s="182" t="s">
        <v>508</v>
      </c>
      <c r="B62" s="182" t="s">
        <v>509</v>
      </c>
      <c r="C62" s="183">
        <v>14213</v>
      </c>
      <c r="D62" s="184" t="s">
        <v>509</v>
      </c>
      <c r="E62" s="187" t="s">
        <v>621</v>
      </c>
      <c r="F62" s="188"/>
      <c r="G62" s="188" t="s">
        <v>644</v>
      </c>
      <c r="H62" s="189"/>
      <c r="I62" s="188"/>
    </row>
    <row r="63" spans="1:10" ht="15.75">
      <c r="A63" s="182" t="s">
        <v>211</v>
      </c>
      <c r="B63" s="182" t="s">
        <v>212</v>
      </c>
      <c r="C63" s="183">
        <v>17877</v>
      </c>
      <c r="D63" s="184" t="s">
        <v>212</v>
      </c>
      <c r="E63" s="187" t="s">
        <v>621</v>
      </c>
      <c r="F63" s="188"/>
      <c r="G63" s="188"/>
      <c r="H63" s="189"/>
      <c r="I63" s="188"/>
    </row>
    <row r="64" spans="1:10" ht="15.75">
      <c r="A64" s="182" t="s">
        <v>315</v>
      </c>
      <c r="B64" s="182" t="s">
        <v>316</v>
      </c>
      <c r="C64" s="183">
        <v>52623</v>
      </c>
      <c r="D64" s="184" t="s">
        <v>316</v>
      </c>
      <c r="E64" s="187" t="s">
        <v>621</v>
      </c>
      <c r="F64" s="188"/>
      <c r="G64" s="188" t="s">
        <v>644</v>
      </c>
      <c r="H64" s="189"/>
      <c r="I64" s="188"/>
    </row>
    <row r="65" spans="1:9" ht="15.75">
      <c r="A65" s="182" t="s">
        <v>84</v>
      </c>
      <c r="B65" s="182" t="s">
        <v>85</v>
      </c>
      <c r="C65" s="183">
        <v>45461</v>
      </c>
      <c r="D65" s="184" t="s">
        <v>85</v>
      </c>
      <c r="E65" s="187" t="s">
        <v>621</v>
      </c>
      <c r="F65" s="185">
        <v>4</v>
      </c>
      <c r="G65" s="188" t="s">
        <v>644</v>
      </c>
      <c r="H65" s="189"/>
      <c r="I65" s="188"/>
    </row>
    <row r="66" spans="1:9" ht="15.75">
      <c r="A66" s="182" t="s">
        <v>378</v>
      </c>
      <c r="B66" s="182" t="s">
        <v>602</v>
      </c>
      <c r="C66" s="183">
        <v>81233</v>
      </c>
      <c r="D66" s="184" t="s">
        <v>602</v>
      </c>
      <c r="E66" s="187" t="s">
        <v>621</v>
      </c>
      <c r="F66" s="188"/>
      <c r="G66" s="188"/>
      <c r="H66" s="189"/>
      <c r="I66" s="188"/>
    </row>
    <row r="67" spans="1:9" ht="15.75">
      <c r="A67" s="182" t="s">
        <v>60</v>
      </c>
      <c r="B67" s="182" t="s">
        <v>61</v>
      </c>
      <c r="C67" s="183">
        <v>18829</v>
      </c>
      <c r="D67" s="184" t="s">
        <v>61</v>
      </c>
      <c r="E67" s="187" t="s">
        <v>621</v>
      </c>
      <c r="F67" s="188"/>
      <c r="G67" s="188" t="s">
        <v>644</v>
      </c>
      <c r="H67" s="189"/>
      <c r="I67" s="188"/>
    </row>
    <row r="68" spans="1:9" ht="15.75">
      <c r="A68" s="182" t="s">
        <v>45</v>
      </c>
      <c r="B68" s="182" t="s">
        <v>46</v>
      </c>
      <c r="C68" s="183">
        <v>13517</v>
      </c>
      <c r="D68" s="184" t="s">
        <v>46</v>
      </c>
      <c r="E68" s="187" t="s">
        <v>621</v>
      </c>
      <c r="F68" s="209"/>
      <c r="G68" s="188" t="s">
        <v>644</v>
      </c>
      <c r="H68" s="189"/>
      <c r="I68" s="188"/>
    </row>
    <row r="69" spans="1:9" ht="15.75">
      <c r="A69" s="182" t="s">
        <v>35</v>
      </c>
      <c r="B69" s="182" t="s">
        <v>36</v>
      </c>
      <c r="C69" s="183">
        <v>22199</v>
      </c>
      <c r="D69" s="184" t="s">
        <v>36</v>
      </c>
      <c r="E69" s="187" t="s">
        <v>621</v>
      </c>
      <c r="F69" s="188"/>
      <c r="G69" s="188" t="s">
        <v>644</v>
      </c>
      <c r="H69" s="189"/>
      <c r="I69" s="188"/>
    </row>
    <row r="70" spans="1:9" ht="15.75">
      <c r="A70" s="182" t="s">
        <v>33</v>
      </c>
      <c r="B70" s="182" t="s">
        <v>34</v>
      </c>
      <c r="C70" s="183">
        <v>28446</v>
      </c>
      <c r="D70" s="184" t="s">
        <v>34</v>
      </c>
      <c r="E70" s="187" t="s">
        <v>621</v>
      </c>
      <c r="F70" s="188"/>
      <c r="G70" s="188"/>
      <c r="H70" s="189"/>
      <c r="I70" s="188"/>
    </row>
    <row r="71" spans="1:9" ht="15.75">
      <c r="A71" s="182" t="s">
        <v>216</v>
      </c>
      <c r="B71" s="182" t="s">
        <v>217</v>
      </c>
      <c r="C71" s="183">
        <v>26321</v>
      </c>
      <c r="D71" s="184" t="s">
        <v>217</v>
      </c>
      <c r="E71" s="187" t="s">
        <v>621</v>
      </c>
      <c r="F71" s="188"/>
      <c r="G71" s="188" t="s">
        <v>644</v>
      </c>
      <c r="H71" s="189"/>
      <c r="I71" s="188"/>
    </row>
    <row r="72" spans="1:9" ht="15.75">
      <c r="A72" s="182" t="s">
        <v>434</v>
      </c>
      <c r="B72" s="182" t="s">
        <v>435</v>
      </c>
      <c r="C72" s="183">
        <v>29142</v>
      </c>
      <c r="D72" s="184" t="s">
        <v>435</v>
      </c>
      <c r="E72" s="187" t="s">
        <v>621</v>
      </c>
      <c r="F72" s="188"/>
      <c r="G72" s="188" t="s">
        <v>644</v>
      </c>
      <c r="H72" s="189"/>
      <c r="I72" s="188"/>
    </row>
    <row r="73" spans="1:9" ht="15.75">
      <c r="A73" s="182" t="s">
        <v>278</v>
      </c>
      <c r="B73" s="182" t="s">
        <v>279</v>
      </c>
      <c r="C73" s="183">
        <v>37018</v>
      </c>
      <c r="D73" s="184" t="s">
        <v>279</v>
      </c>
      <c r="E73" s="208" t="s">
        <v>621</v>
      </c>
      <c r="F73" s="188"/>
      <c r="G73" s="188"/>
      <c r="H73" s="189">
        <v>10000</v>
      </c>
      <c r="I73" s="188"/>
    </row>
    <row r="74" spans="1:9" ht="15.75">
      <c r="A74" s="182" t="s">
        <v>274</v>
      </c>
      <c r="B74" s="182" t="s">
        <v>275</v>
      </c>
      <c r="C74" s="183">
        <v>10074</v>
      </c>
      <c r="D74" s="184" t="s">
        <v>275</v>
      </c>
      <c r="E74" s="187" t="s">
        <v>621</v>
      </c>
      <c r="F74" s="188"/>
      <c r="G74" s="188"/>
      <c r="H74" s="189"/>
      <c r="I74" s="188"/>
    </row>
    <row r="75" spans="1:9" ht="15.75">
      <c r="A75" s="182" t="s">
        <v>357</v>
      </c>
      <c r="B75" s="182" t="s">
        <v>358</v>
      </c>
      <c r="C75" s="183">
        <v>155285</v>
      </c>
      <c r="D75" s="184" t="s">
        <v>358</v>
      </c>
      <c r="E75" s="187" t="s">
        <v>621</v>
      </c>
      <c r="F75" s="188"/>
      <c r="G75" s="188"/>
      <c r="H75" s="189"/>
      <c r="I75" s="188"/>
    </row>
    <row r="76" spans="1:9" ht="15.75">
      <c r="A76" s="182" t="s">
        <v>494</v>
      </c>
      <c r="B76" s="182" t="s">
        <v>495</v>
      </c>
      <c r="C76" s="183">
        <v>20753</v>
      </c>
      <c r="D76" s="184" t="s">
        <v>495</v>
      </c>
      <c r="E76" s="187" t="s">
        <v>621</v>
      </c>
      <c r="F76" s="188"/>
      <c r="G76" s="188" t="s">
        <v>644</v>
      </c>
      <c r="H76" s="189"/>
      <c r="I76" s="188"/>
    </row>
    <row r="77" spans="1:9" ht="15.75">
      <c r="A77" s="182" t="s">
        <v>456</v>
      </c>
      <c r="B77" s="182" t="s">
        <v>457</v>
      </c>
      <c r="C77" s="183">
        <v>7052</v>
      </c>
      <c r="D77" s="184" t="s">
        <v>457</v>
      </c>
      <c r="E77" s="187" t="s">
        <v>621</v>
      </c>
      <c r="F77" s="185"/>
      <c r="G77" s="188" t="s">
        <v>644</v>
      </c>
      <c r="H77" s="189"/>
      <c r="I77" s="188"/>
    </row>
    <row r="78" spans="1:9" ht="15.75">
      <c r="A78" s="182" t="s">
        <v>440</v>
      </c>
      <c r="B78" s="182" t="s">
        <v>674</v>
      </c>
      <c r="C78" s="183">
        <v>18206</v>
      </c>
      <c r="D78" s="184" t="s">
        <v>606</v>
      </c>
      <c r="E78" s="187" t="s">
        <v>621</v>
      </c>
      <c r="F78" s="188"/>
      <c r="G78" s="188" t="s">
        <v>644</v>
      </c>
      <c r="H78" s="189">
        <v>10000</v>
      </c>
      <c r="I78" s="188"/>
    </row>
    <row r="79" spans="1:9" ht="15.75">
      <c r="A79" s="182" t="s">
        <v>549</v>
      </c>
      <c r="B79" s="182" t="s">
        <v>550</v>
      </c>
      <c r="C79" s="183">
        <v>28866</v>
      </c>
      <c r="D79" s="184" t="s">
        <v>550</v>
      </c>
      <c r="E79" s="187" t="s">
        <v>621</v>
      </c>
      <c r="F79" s="188"/>
      <c r="G79" s="188" t="s">
        <v>644</v>
      </c>
      <c r="H79" s="189"/>
      <c r="I79" s="188"/>
    </row>
    <row r="80" spans="1:9" ht="15.75">
      <c r="A80" s="182" t="s">
        <v>88</v>
      </c>
      <c r="B80" s="182" t="s">
        <v>89</v>
      </c>
      <c r="C80" s="183">
        <v>117334</v>
      </c>
      <c r="D80" s="184" t="s">
        <v>89</v>
      </c>
      <c r="E80" s="187" t="s">
        <v>621</v>
      </c>
      <c r="F80" s="185"/>
      <c r="G80" s="188"/>
      <c r="H80" s="189"/>
      <c r="I80" s="188"/>
    </row>
    <row r="81" spans="1:9" ht="15.75">
      <c r="A81" s="182" t="s">
        <v>401</v>
      </c>
      <c r="B81" s="182" t="s">
        <v>402</v>
      </c>
      <c r="C81" s="183">
        <v>249486</v>
      </c>
      <c r="D81" s="184" t="s">
        <v>402</v>
      </c>
      <c r="E81" s="187" t="s">
        <v>621</v>
      </c>
      <c r="F81" s="188"/>
      <c r="G81" s="188" t="s">
        <v>644</v>
      </c>
      <c r="H81" s="189"/>
      <c r="I81" s="188"/>
    </row>
    <row r="82" spans="1:9" ht="15.75">
      <c r="A82" s="182" t="s">
        <v>226</v>
      </c>
      <c r="B82" s="182" t="s">
        <v>227</v>
      </c>
      <c r="C82" s="183">
        <v>25808</v>
      </c>
      <c r="D82" s="184" t="s">
        <v>227</v>
      </c>
      <c r="E82" s="187" t="s">
        <v>621</v>
      </c>
      <c r="F82" s="188"/>
      <c r="G82" s="188" t="s">
        <v>644</v>
      </c>
      <c r="H82" s="189">
        <v>10000</v>
      </c>
      <c r="I82" s="188"/>
    </row>
    <row r="83" spans="1:9" ht="15.75">
      <c r="A83" s="182" t="s">
        <v>177</v>
      </c>
      <c r="B83" s="210" t="s">
        <v>178</v>
      </c>
      <c r="C83" s="211">
        <v>16448</v>
      </c>
      <c r="D83" s="184" t="s">
        <v>178</v>
      </c>
      <c r="E83" s="187" t="s">
        <v>621</v>
      </c>
      <c r="F83" s="188"/>
      <c r="G83" s="188"/>
      <c r="H83" s="189"/>
      <c r="I83" s="188"/>
    </row>
    <row r="84" spans="1:9" ht="15.75">
      <c r="A84" s="182" t="s">
        <v>127</v>
      </c>
      <c r="B84" s="182" t="s">
        <v>128</v>
      </c>
      <c r="C84" s="183">
        <v>24104</v>
      </c>
      <c r="D84" s="184" t="s">
        <v>128</v>
      </c>
      <c r="E84" s="187" t="s">
        <v>621</v>
      </c>
      <c r="F84" s="188"/>
      <c r="G84" s="188" t="s">
        <v>644</v>
      </c>
      <c r="H84" s="189"/>
      <c r="I84" s="188"/>
    </row>
    <row r="85" spans="1:9" ht="15.75">
      <c r="A85" s="182" t="s">
        <v>395</v>
      </c>
      <c r="B85" s="182" t="s">
        <v>396</v>
      </c>
      <c r="C85" s="183">
        <v>214099</v>
      </c>
      <c r="D85" s="184" t="s">
        <v>396</v>
      </c>
      <c r="E85" s="187" t="s">
        <v>621</v>
      </c>
      <c r="F85" s="188"/>
      <c r="G85" s="188" t="s">
        <v>644</v>
      </c>
      <c r="H85" s="189">
        <v>50000</v>
      </c>
      <c r="I85" s="188"/>
    </row>
    <row r="86" spans="1:9" ht="15.75">
      <c r="A86" s="182" t="s">
        <v>58</v>
      </c>
      <c r="B86" s="182" t="s">
        <v>59</v>
      </c>
      <c r="C86" s="183">
        <v>292785</v>
      </c>
      <c r="D86" s="184" t="s">
        <v>59</v>
      </c>
      <c r="E86" s="187" t="s">
        <v>621</v>
      </c>
      <c r="F86" s="188"/>
      <c r="G86" s="188" t="s">
        <v>723</v>
      </c>
      <c r="H86" s="189"/>
      <c r="I86" s="188"/>
    </row>
    <row r="87" spans="1:9" ht="15.75">
      <c r="A87" s="182" t="s">
        <v>175</v>
      </c>
      <c r="B87" s="182" t="s">
        <v>176</v>
      </c>
      <c r="C87" s="183">
        <v>337916</v>
      </c>
      <c r="D87" s="184" t="s">
        <v>176</v>
      </c>
      <c r="E87" s="187" t="s">
        <v>621</v>
      </c>
      <c r="F87" s="188"/>
      <c r="G87" s="188"/>
      <c r="H87" s="189"/>
      <c r="I87" s="188"/>
    </row>
    <row r="88" spans="1:9" ht="15.75">
      <c r="A88" s="182" t="s">
        <v>506</v>
      </c>
      <c r="B88" s="182" t="s">
        <v>507</v>
      </c>
      <c r="C88" s="183">
        <v>33098</v>
      </c>
      <c r="D88" s="184" t="s">
        <v>507</v>
      </c>
      <c r="E88" s="187" t="s">
        <v>621</v>
      </c>
      <c r="F88" s="188"/>
      <c r="G88" s="188" t="s">
        <v>644</v>
      </c>
      <c r="H88" s="189"/>
      <c r="I88" s="188"/>
    </row>
    <row r="89" spans="1:9" ht="15.75">
      <c r="A89" s="182" t="s">
        <v>369</v>
      </c>
      <c r="B89" s="182" t="s">
        <v>370</v>
      </c>
      <c r="C89" s="183">
        <v>41670</v>
      </c>
      <c r="D89" s="184" t="s">
        <v>370</v>
      </c>
      <c r="E89" s="187" t="s">
        <v>621</v>
      </c>
      <c r="F89" s="188"/>
      <c r="G89" s="188" t="s">
        <v>644</v>
      </c>
      <c r="H89" s="189"/>
      <c r="I89" s="188"/>
    </row>
    <row r="90" spans="1:9" ht="15.75">
      <c r="A90" s="182" t="s">
        <v>19</v>
      </c>
      <c r="B90" s="182" t="s">
        <v>20</v>
      </c>
      <c r="C90" s="183">
        <v>13188</v>
      </c>
      <c r="D90" s="184" t="s">
        <v>20</v>
      </c>
      <c r="E90" s="187" t="s">
        <v>621</v>
      </c>
      <c r="F90" s="188"/>
      <c r="G90" s="188"/>
      <c r="H90" s="189"/>
      <c r="I90" s="188"/>
    </row>
    <row r="91" spans="1:9" ht="15.75">
      <c r="A91" s="182" t="s">
        <v>361</v>
      </c>
      <c r="B91" s="182" t="s">
        <v>362</v>
      </c>
      <c r="C91" s="183">
        <v>57275</v>
      </c>
      <c r="D91" s="184" t="s">
        <v>362</v>
      </c>
      <c r="E91" s="187" t="s">
        <v>621</v>
      </c>
      <c r="F91" s="188"/>
      <c r="G91" s="188" t="s">
        <v>644</v>
      </c>
      <c r="H91" s="189"/>
      <c r="I91" s="188"/>
    </row>
    <row r="92" spans="1:9" ht="15.75">
      <c r="A92" s="182" t="s">
        <v>555</v>
      </c>
      <c r="B92" s="182" t="s">
        <v>556</v>
      </c>
      <c r="C92" s="183">
        <v>125063</v>
      </c>
      <c r="D92" s="184" t="s">
        <v>556</v>
      </c>
      <c r="E92" s="187" t="s">
        <v>621</v>
      </c>
      <c r="F92" s="188"/>
      <c r="G92" s="188" t="s">
        <v>644</v>
      </c>
      <c r="H92" s="189"/>
      <c r="I92" s="188"/>
    </row>
    <row r="93" spans="1:9" ht="15.75">
      <c r="A93" s="182" t="s">
        <v>563</v>
      </c>
      <c r="B93" s="182" t="s">
        <v>564</v>
      </c>
      <c r="C93" s="183">
        <v>74767</v>
      </c>
      <c r="D93" s="184" t="s">
        <v>564</v>
      </c>
      <c r="E93" s="187" t="s">
        <v>621</v>
      </c>
      <c r="F93" s="188">
        <v>21</v>
      </c>
      <c r="G93" s="188"/>
      <c r="H93" s="189"/>
      <c r="I93" s="188"/>
    </row>
    <row r="94" spans="1:9" ht="15.75">
      <c r="A94" s="182" t="s">
        <v>561</v>
      </c>
      <c r="B94" s="182" t="s">
        <v>562</v>
      </c>
      <c r="C94" s="183">
        <v>31816</v>
      </c>
      <c r="D94" s="184" t="s">
        <v>562</v>
      </c>
      <c r="E94" s="187" t="s">
        <v>621</v>
      </c>
      <c r="F94" s="188"/>
      <c r="G94" s="188" t="s">
        <v>644</v>
      </c>
      <c r="H94" s="189"/>
      <c r="I94" s="188"/>
    </row>
    <row r="95" spans="1:9" ht="15.75">
      <c r="A95" s="182" t="s">
        <v>181</v>
      </c>
      <c r="B95" s="182" t="s">
        <v>182</v>
      </c>
      <c r="C95" s="183">
        <v>426787</v>
      </c>
      <c r="D95" s="184" t="s">
        <v>182</v>
      </c>
      <c r="E95" s="187" t="s">
        <v>621</v>
      </c>
      <c r="F95" s="188"/>
      <c r="G95" s="188"/>
      <c r="H95" s="189"/>
      <c r="I95" s="188"/>
    </row>
    <row r="96" spans="1:9" ht="15.75">
      <c r="A96" s="182" t="s">
        <v>201</v>
      </c>
      <c r="B96" s="182" t="s">
        <v>202</v>
      </c>
      <c r="C96" s="183">
        <v>62441</v>
      </c>
      <c r="D96" s="184" t="s">
        <v>202</v>
      </c>
      <c r="E96" s="187" t="s">
        <v>621</v>
      </c>
      <c r="F96" s="188"/>
      <c r="G96" s="188"/>
      <c r="H96" s="189"/>
      <c r="I96" s="188"/>
    </row>
    <row r="97" spans="1:9" ht="15.75">
      <c r="A97" s="182" t="s">
        <v>80</v>
      </c>
      <c r="B97" s="182" t="s">
        <v>81</v>
      </c>
      <c r="C97" s="183">
        <v>24873</v>
      </c>
      <c r="D97" s="184" t="s">
        <v>81</v>
      </c>
      <c r="E97" s="187" t="s">
        <v>621</v>
      </c>
      <c r="F97" s="188"/>
      <c r="G97" s="188"/>
      <c r="H97" s="189"/>
      <c r="I97" s="188">
        <v>5550</v>
      </c>
    </row>
    <row r="98" spans="1:9" ht="15.75">
      <c r="A98" s="182" t="s">
        <v>14</v>
      </c>
      <c r="B98" s="182" t="s">
        <v>15</v>
      </c>
      <c r="C98" s="183">
        <v>193199</v>
      </c>
      <c r="D98" s="184" t="s">
        <v>15</v>
      </c>
      <c r="E98" s="187" t="s">
        <v>621</v>
      </c>
      <c r="F98" s="188"/>
      <c r="G98" s="188" t="s">
        <v>644</v>
      </c>
      <c r="H98" s="189"/>
      <c r="I98" s="188"/>
    </row>
    <row r="99" spans="1:9" ht="15.75">
      <c r="A99" s="182" t="s">
        <v>207</v>
      </c>
      <c r="B99" s="182" t="s">
        <v>208</v>
      </c>
      <c r="C99" s="183">
        <v>540035</v>
      </c>
      <c r="D99" s="184" t="s">
        <v>208</v>
      </c>
      <c r="E99" s="187" t="s">
        <v>621</v>
      </c>
      <c r="F99" s="188"/>
      <c r="G99" s="188" t="s">
        <v>644</v>
      </c>
      <c r="H99" s="189"/>
      <c r="I99" s="188"/>
    </row>
    <row r="100" spans="1:9" ht="15.75">
      <c r="A100" s="182" t="s">
        <v>18</v>
      </c>
      <c r="B100" s="182" t="s">
        <v>608</v>
      </c>
      <c r="C100" s="183">
        <v>28079</v>
      </c>
      <c r="D100" s="184" t="s">
        <v>608</v>
      </c>
      <c r="E100" s="187" t="s">
        <v>621</v>
      </c>
      <c r="F100" s="188"/>
      <c r="G100" s="188"/>
      <c r="H100" s="189"/>
      <c r="I100" s="188"/>
    </row>
    <row r="101" spans="1:9" ht="15.75">
      <c r="A101" s="182" t="s">
        <v>31</v>
      </c>
      <c r="B101" s="182" t="s">
        <v>32</v>
      </c>
      <c r="C101" s="183">
        <v>34380</v>
      </c>
      <c r="D101" s="184" t="s">
        <v>32</v>
      </c>
      <c r="E101" s="187" t="s">
        <v>621</v>
      </c>
      <c r="F101" s="188"/>
      <c r="G101" s="188" t="s">
        <v>644</v>
      </c>
      <c r="H101" s="189"/>
      <c r="I101" s="188"/>
    </row>
    <row r="102" spans="1:9" ht="15.75">
      <c r="A102" s="182" t="s">
        <v>397</v>
      </c>
      <c r="B102" s="182" t="s">
        <v>398</v>
      </c>
      <c r="C102" s="183">
        <v>27603</v>
      </c>
      <c r="D102" s="184" t="s">
        <v>398</v>
      </c>
      <c r="E102" s="187" t="s">
        <v>621</v>
      </c>
      <c r="F102" s="188"/>
      <c r="G102" s="188"/>
      <c r="H102" s="189"/>
      <c r="I102" s="188"/>
    </row>
    <row r="103" spans="1:9" ht="15.75">
      <c r="A103" s="182" t="s">
        <v>205</v>
      </c>
      <c r="B103" s="182" t="s">
        <v>206</v>
      </c>
      <c r="C103" s="183">
        <v>154095</v>
      </c>
      <c r="D103" s="184" t="s">
        <v>206</v>
      </c>
      <c r="E103" s="187" t="s">
        <v>621</v>
      </c>
      <c r="F103" s="188"/>
      <c r="G103" s="188"/>
      <c r="H103" s="189"/>
      <c r="I103" s="188"/>
    </row>
    <row r="104" spans="1:9" ht="15.75">
      <c r="A104" s="182" t="s">
        <v>70</v>
      </c>
      <c r="B104" s="182" t="s">
        <v>71</v>
      </c>
      <c r="C104" s="183">
        <v>52274</v>
      </c>
      <c r="D104" s="184" t="s">
        <v>71</v>
      </c>
      <c r="E104" s="187" t="s">
        <v>621</v>
      </c>
      <c r="F104" s="188"/>
      <c r="G104" s="188" t="s">
        <v>644</v>
      </c>
      <c r="H104" s="189"/>
      <c r="I104" s="188"/>
    </row>
    <row r="105" spans="1:9" ht="15.75">
      <c r="A105" s="182" t="s">
        <v>510</v>
      </c>
      <c r="B105" s="182" t="s">
        <v>511</v>
      </c>
      <c r="C105" s="183">
        <v>30534</v>
      </c>
      <c r="D105" s="184" t="s">
        <v>511</v>
      </c>
      <c r="E105" s="187" t="s">
        <v>621</v>
      </c>
      <c r="F105" s="188"/>
      <c r="G105" s="188" t="s">
        <v>644</v>
      </c>
      <c r="H105" s="189">
        <v>10000</v>
      </c>
      <c r="I105" s="188"/>
    </row>
    <row r="106" spans="1:9" ht="15.75">
      <c r="A106" s="182" t="s">
        <v>553</v>
      </c>
      <c r="B106" s="182" t="s">
        <v>554</v>
      </c>
      <c r="C106" s="183">
        <v>51561</v>
      </c>
      <c r="D106" s="184" t="s">
        <v>554</v>
      </c>
      <c r="E106" s="187" t="s">
        <v>621</v>
      </c>
      <c r="F106" s="188"/>
      <c r="G106" s="188" t="s">
        <v>644</v>
      </c>
      <c r="H106" s="189">
        <v>10000</v>
      </c>
      <c r="I106" s="188"/>
    </row>
    <row r="107" spans="1:9" ht="15.75">
      <c r="A107" s="182" t="s">
        <v>25</v>
      </c>
      <c r="B107" s="182" t="s">
        <v>26</v>
      </c>
      <c r="C107" s="183">
        <v>31907</v>
      </c>
      <c r="D107" s="184" t="s">
        <v>26</v>
      </c>
      <c r="E107" s="187" t="s">
        <v>621</v>
      </c>
      <c r="F107" s="188"/>
      <c r="G107" s="188" t="s">
        <v>621</v>
      </c>
      <c r="H107" s="189"/>
      <c r="I107" s="188"/>
    </row>
    <row r="108" spans="1:9" ht="15.75">
      <c r="A108" s="182" t="s">
        <v>405</v>
      </c>
      <c r="B108" s="182" t="s">
        <v>406</v>
      </c>
      <c r="C108" s="183">
        <v>96050</v>
      </c>
      <c r="D108" s="184" t="s">
        <v>406</v>
      </c>
      <c r="E108" s="187" t="s">
        <v>621</v>
      </c>
      <c r="F108" s="188">
        <v>9</v>
      </c>
      <c r="G108" s="188" t="s">
        <v>644</v>
      </c>
      <c r="H108" s="189"/>
      <c r="I108" s="188"/>
    </row>
    <row r="109" spans="1:9" ht="15.75">
      <c r="A109" s="182" t="s">
        <v>432</v>
      </c>
      <c r="B109" s="182" t="s">
        <v>433</v>
      </c>
      <c r="C109" s="183">
        <v>17786</v>
      </c>
      <c r="D109" s="184" t="s">
        <v>433</v>
      </c>
      <c r="E109" s="187" t="s">
        <v>621</v>
      </c>
      <c r="F109" s="188"/>
      <c r="G109" s="188"/>
      <c r="H109" s="189"/>
      <c r="I109" s="188"/>
    </row>
    <row r="110" spans="1:9" ht="15.75">
      <c r="A110" s="182" t="s">
        <v>179</v>
      </c>
      <c r="B110" s="182" t="s">
        <v>180</v>
      </c>
      <c r="C110" s="183">
        <v>9524</v>
      </c>
      <c r="D110" s="184" t="s">
        <v>180</v>
      </c>
      <c r="E110" s="187" t="s">
        <v>621</v>
      </c>
      <c r="F110" s="188"/>
      <c r="G110" s="188" t="s">
        <v>644</v>
      </c>
      <c r="H110" s="189"/>
      <c r="I110" s="188"/>
    </row>
    <row r="111" spans="1:9" ht="15.75">
      <c r="A111" s="182" t="s">
        <v>512</v>
      </c>
      <c r="B111" s="182" t="s">
        <v>513</v>
      </c>
      <c r="C111" s="183">
        <v>19965</v>
      </c>
      <c r="D111" s="184" t="s">
        <v>513</v>
      </c>
      <c r="E111" s="187" t="s">
        <v>621</v>
      </c>
      <c r="F111" s="188"/>
      <c r="G111" s="188"/>
      <c r="H111" s="189"/>
      <c r="I111" s="188"/>
    </row>
    <row r="112" spans="1:9" ht="15.75">
      <c r="A112" s="182" t="s">
        <v>409</v>
      </c>
      <c r="B112" s="182" t="s">
        <v>410</v>
      </c>
      <c r="C112" s="183">
        <v>54858</v>
      </c>
      <c r="D112" s="184" t="s">
        <v>410</v>
      </c>
      <c r="E112" s="187" t="s">
        <v>621</v>
      </c>
      <c r="F112" s="188"/>
      <c r="G112" s="188"/>
      <c r="H112" s="189"/>
      <c r="I112" s="188"/>
    </row>
    <row r="113" spans="1:9" ht="15.75">
      <c r="A113" s="182" t="s">
        <v>125</v>
      </c>
      <c r="B113" s="182" t="s">
        <v>126</v>
      </c>
      <c r="C113" s="183">
        <v>88486</v>
      </c>
      <c r="D113" s="184" t="s">
        <v>126</v>
      </c>
      <c r="E113" s="187" t="s">
        <v>621</v>
      </c>
      <c r="F113" s="188"/>
      <c r="G113" s="188"/>
      <c r="H113" s="189"/>
      <c r="I113" s="188"/>
    </row>
    <row r="114" spans="1:9" ht="15.75">
      <c r="A114" s="182" t="s">
        <v>571</v>
      </c>
      <c r="B114" s="182" t="s">
        <v>572</v>
      </c>
      <c r="C114" s="183">
        <v>15532</v>
      </c>
      <c r="D114" s="184" t="s">
        <v>572</v>
      </c>
      <c r="E114" s="187" t="s">
        <v>621</v>
      </c>
      <c r="F114" s="185">
        <v>120</v>
      </c>
      <c r="G114" s="188" t="s">
        <v>644</v>
      </c>
      <c r="H114" s="189"/>
      <c r="I114" s="188"/>
    </row>
    <row r="115" spans="1:9" ht="15.75">
      <c r="A115" s="182" t="s">
        <v>516</v>
      </c>
      <c r="B115" s="182" t="s">
        <v>517</v>
      </c>
      <c r="C115" s="183">
        <v>24709</v>
      </c>
      <c r="D115" s="184" t="s">
        <v>517</v>
      </c>
      <c r="E115" s="187" t="s">
        <v>621</v>
      </c>
      <c r="F115" s="188"/>
      <c r="G115" s="188" t="s">
        <v>644</v>
      </c>
      <c r="H115" s="189"/>
      <c r="I115" s="188"/>
    </row>
    <row r="116" spans="1:9" ht="15.75">
      <c r="A116" s="182" t="s">
        <v>386</v>
      </c>
      <c r="B116" s="182" t="s">
        <v>610</v>
      </c>
      <c r="C116" s="183">
        <v>210509</v>
      </c>
      <c r="D116" s="184" t="s">
        <v>610</v>
      </c>
      <c r="E116" s="187" t="s">
        <v>621</v>
      </c>
      <c r="F116" s="188"/>
      <c r="G116" s="188"/>
      <c r="H116" s="189"/>
      <c r="I116" s="188"/>
    </row>
    <row r="117" spans="1:9" ht="15.75">
      <c r="A117" s="182" t="s">
        <v>399</v>
      </c>
      <c r="B117" s="182" t="s">
        <v>400</v>
      </c>
      <c r="C117" s="183">
        <v>300422</v>
      </c>
      <c r="D117" s="184" t="s">
        <v>400</v>
      </c>
      <c r="E117" s="187" t="s">
        <v>621</v>
      </c>
      <c r="F117" s="188"/>
      <c r="G117" s="188"/>
      <c r="H117" s="189">
        <v>50000</v>
      </c>
      <c r="I117" s="188"/>
    </row>
    <row r="118" spans="1:9" ht="15.75">
      <c r="A118" s="182" t="s">
        <v>514</v>
      </c>
      <c r="B118" s="182" t="s">
        <v>515</v>
      </c>
      <c r="C118" s="183">
        <v>23464</v>
      </c>
      <c r="D118" s="184" t="s">
        <v>515</v>
      </c>
      <c r="E118" s="187" t="s">
        <v>621</v>
      </c>
      <c r="F118" s="212"/>
      <c r="G118" s="188" t="s">
        <v>644</v>
      </c>
      <c r="H118" s="189"/>
      <c r="I118" s="188"/>
    </row>
    <row r="119" spans="1:9" ht="15.75">
      <c r="A119" s="182" t="s">
        <v>106</v>
      </c>
      <c r="B119" s="182" t="s">
        <v>107</v>
      </c>
      <c r="C119" s="183">
        <v>97918</v>
      </c>
      <c r="D119" s="184" t="s">
        <v>107</v>
      </c>
      <c r="E119" s="187" t="s">
        <v>621</v>
      </c>
      <c r="F119" s="188"/>
      <c r="G119" s="188" t="s">
        <v>644</v>
      </c>
      <c r="H119" s="189"/>
      <c r="I119" s="188"/>
    </row>
    <row r="120" spans="1:9" ht="15.75">
      <c r="A120" s="182" t="s">
        <v>214</v>
      </c>
      <c r="B120" s="182" t="s">
        <v>215</v>
      </c>
      <c r="C120" s="183">
        <v>28299</v>
      </c>
      <c r="D120" s="184" t="s">
        <v>215</v>
      </c>
      <c r="E120" s="187" t="s">
        <v>621</v>
      </c>
      <c r="F120" s="188"/>
      <c r="G120" s="188"/>
      <c r="H120" s="189"/>
      <c r="I120" s="188"/>
    </row>
    <row r="121" spans="1:9" ht="15.75">
      <c r="A121" s="182" t="s">
        <v>474</v>
      </c>
      <c r="B121" s="182" t="s">
        <v>475</v>
      </c>
      <c r="C121" s="183">
        <v>27164</v>
      </c>
      <c r="D121" s="184" t="s">
        <v>475</v>
      </c>
      <c r="E121" s="187" t="s">
        <v>621</v>
      </c>
      <c r="F121" s="188"/>
      <c r="G121" s="188"/>
      <c r="H121" s="189">
        <v>25000</v>
      </c>
      <c r="I121" s="188"/>
    </row>
    <row r="122" spans="1:9" ht="15.75">
      <c r="A122" s="182" t="s">
        <v>209</v>
      </c>
      <c r="B122" s="182" t="s">
        <v>210</v>
      </c>
      <c r="C122" s="183">
        <v>119404</v>
      </c>
      <c r="D122" s="184" t="s">
        <v>210</v>
      </c>
      <c r="E122" s="187" t="s">
        <v>621</v>
      </c>
      <c r="F122" s="188"/>
      <c r="G122" s="188" t="s">
        <v>644</v>
      </c>
      <c r="H122" s="189">
        <v>50000</v>
      </c>
      <c r="I122" s="188"/>
    </row>
    <row r="123" spans="1:9" ht="15.75">
      <c r="A123" s="182" t="s">
        <v>157</v>
      </c>
      <c r="B123" s="182" t="s">
        <v>158</v>
      </c>
      <c r="C123" s="183">
        <v>27164</v>
      </c>
      <c r="D123" s="184" t="s">
        <v>158</v>
      </c>
      <c r="E123" s="187" t="s">
        <v>621</v>
      </c>
      <c r="F123" s="188"/>
      <c r="G123" s="188"/>
      <c r="H123" s="189"/>
      <c r="I123" s="188"/>
    </row>
    <row r="124" spans="1:9" ht="15.75">
      <c r="A124" s="182" t="s">
        <v>313</v>
      </c>
      <c r="B124" s="182" t="s">
        <v>314</v>
      </c>
      <c r="C124" s="183">
        <v>12345</v>
      </c>
      <c r="D124" s="184" t="s">
        <v>314</v>
      </c>
      <c r="E124" s="187" t="s">
        <v>621</v>
      </c>
      <c r="F124" s="188"/>
      <c r="G124" s="188" t="s">
        <v>644</v>
      </c>
      <c r="H124" s="189"/>
      <c r="I124" s="198">
        <v>4350</v>
      </c>
    </row>
    <row r="125" spans="1:9" ht="15.75">
      <c r="A125" s="182" t="s">
        <v>82</v>
      </c>
      <c r="B125" s="182" t="s">
        <v>83</v>
      </c>
      <c r="C125" s="183">
        <v>11595</v>
      </c>
      <c r="D125" s="184" t="s">
        <v>83</v>
      </c>
      <c r="E125" s="187" t="s">
        <v>621</v>
      </c>
      <c r="F125" s="188"/>
      <c r="G125" s="188"/>
      <c r="H125" s="189"/>
      <c r="I125" s="188"/>
    </row>
    <row r="126" spans="1:9" ht="15.75">
      <c r="A126" s="182" t="s">
        <v>323</v>
      </c>
      <c r="B126" s="182" t="s">
        <v>324</v>
      </c>
      <c r="C126" s="183">
        <v>13207</v>
      </c>
      <c r="D126" s="184" t="s">
        <v>324</v>
      </c>
      <c r="E126" s="187" t="s">
        <v>621</v>
      </c>
      <c r="F126" s="188"/>
      <c r="G126" s="188"/>
      <c r="H126" s="189"/>
      <c r="I126" s="188"/>
    </row>
    <row r="127" spans="1:9" ht="15.75">
      <c r="A127" s="182" t="s">
        <v>4</v>
      </c>
      <c r="B127" s="182" t="s">
        <v>5</v>
      </c>
      <c r="C127" s="183">
        <v>184646</v>
      </c>
      <c r="D127" s="184" t="s">
        <v>5</v>
      </c>
      <c r="E127" s="187" t="s">
        <v>621</v>
      </c>
      <c r="F127" s="188"/>
      <c r="G127" s="188" t="s">
        <v>644</v>
      </c>
      <c r="H127" s="189">
        <v>25000</v>
      </c>
      <c r="I127" s="188"/>
    </row>
    <row r="128" spans="1:9" ht="15.75">
      <c r="A128" s="182" t="s">
        <v>104</v>
      </c>
      <c r="B128" s="182" t="s">
        <v>105</v>
      </c>
      <c r="C128" s="183">
        <v>669916</v>
      </c>
      <c r="D128" s="184" t="s">
        <v>105</v>
      </c>
      <c r="E128" s="187" t="s">
        <v>621</v>
      </c>
      <c r="F128" s="185">
        <v>3</v>
      </c>
      <c r="G128" s="188" t="s">
        <v>644</v>
      </c>
      <c r="H128" s="189"/>
      <c r="I128" s="188"/>
    </row>
    <row r="129" spans="1:10" ht="15.75">
      <c r="A129" s="182" t="s">
        <v>502</v>
      </c>
      <c r="B129" s="182" t="s">
        <v>503</v>
      </c>
      <c r="C129" s="183">
        <v>13390</v>
      </c>
      <c r="D129" s="184" t="s">
        <v>503</v>
      </c>
      <c r="E129" s="187" t="s">
        <v>621</v>
      </c>
      <c r="F129" s="188"/>
      <c r="G129" s="188"/>
      <c r="H129" s="189"/>
      <c r="I129" s="198">
        <v>4950</v>
      </c>
    </row>
    <row r="130" spans="1:10" ht="15.75">
      <c r="A130" s="182" t="s">
        <v>21</v>
      </c>
      <c r="B130" s="182" t="s">
        <v>22</v>
      </c>
      <c r="C130" s="183">
        <v>73595</v>
      </c>
      <c r="D130" s="184" t="s">
        <v>22</v>
      </c>
      <c r="E130" s="187" t="s">
        <v>621</v>
      </c>
      <c r="F130" s="185"/>
      <c r="G130" s="188" t="s">
        <v>644</v>
      </c>
      <c r="H130" s="189"/>
      <c r="I130" s="188"/>
    </row>
    <row r="131" spans="1:10" ht="15.75">
      <c r="A131" s="182" t="s">
        <v>523</v>
      </c>
      <c r="B131" s="182" t="s">
        <v>524</v>
      </c>
      <c r="C131" s="183">
        <v>7766</v>
      </c>
      <c r="D131" s="184" t="s">
        <v>524</v>
      </c>
      <c r="E131" s="187" t="s">
        <v>621</v>
      </c>
      <c r="F131" s="188"/>
      <c r="G131" s="188"/>
      <c r="H131" s="189"/>
      <c r="I131" s="188"/>
    </row>
    <row r="132" spans="1:10" ht="15.75">
      <c r="A132" s="182" t="s">
        <v>343</v>
      </c>
      <c r="B132" s="182" t="s">
        <v>344</v>
      </c>
      <c r="C132" s="183">
        <v>64986</v>
      </c>
      <c r="D132" s="184" t="s">
        <v>344</v>
      </c>
      <c r="E132" s="187" t="s">
        <v>621</v>
      </c>
      <c r="F132" s="188"/>
      <c r="G132" s="188" t="s">
        <v>644</v>
      </c>
      <c r="H132" s="189"/>
      <c r="I132" s="188"/>
    </row>
    <row r="133" spans="1:10" ht="15.75">
      <c r="A133" s="182" t="s">
        <v>47</v>
      </c>
      <c r="B133" s="182" t="s">
        <v>48</v>
      </c>
      <c r="C133" s="183">
        <v>18042</v>
      </c>
      <c r="D133" s="184" t="s">
        <v>48</v>
      </c>
      <c r="E133" s="187" t="s">
        <v>621</v>
      </c>
      <c r="F133" s="188"/>
      <c r="G133" s="188"/>
      <c r="H133" s="189"/>
      <c r="I133" s="188"/>
    </row>
    <row r="134" spans="1:10" ht="15.75">
      <c r="A134" s="182" t="s">
        <v>116</v>
      </c>
      <c r="B134" s="182" t="s">
        <v>117</v>
      </c>
      <c r="C134" s="183">
        <v>124752</v>
      </c>
      <c r="D134" s="184" t="s">
        <v>117</v>
      </c>
      <c r="E134" s="187" t="s">
        <v>621</v>
      </c>
      <c r="F134" s="188"/>
      <c r="G134" s="188"/>
      <c r="H134" s="189"/>
      <c r="I134" s="188"/>
    </row>
    <row r="135" spans="1:10" ht="15.75">
      <c r="A135" s="182" t="s">
        <v>185</v>
      </c>
      <c r="B135" s="182" t="s">
        <v>186</v>
      </c>
      <c r="C135" s="183">
        <v>253789</v>
      </c>
      <c r="D135" s="184" t="s">
        <v>186</v>
      </c>
      <c r="E135" s="187" t="s">
        <v>621</v>
      </c>
      <c r="F135" s="188"/>
      <c r="G135" s="188"/>
      <c r="H135" s="189">
        <v>50000</v>
      </c>
      <c r="I135" s="188"/>
    </row>
    <row r="136" spans="1:10" ht="15.75">
      <c r="A136" s="182" t="s">
        <v>23</v>
      </c>
      <c r="B136" s="182" t="s">
        <v>24</v>
      </c>
      <c r="C136" s="183">
        <v>29691</v>
      </c>
      <c r="D136" s="184" t="s">
        <v>24</v>
      </c>
      <c r="E136" s="187" t="s">
        <v>621</v>
      </c>
      <c r="F136" s="188"/>
      <c r="G136" s="188"/>
      <c r="H136" s="189"/>
      <c r="I136" s="188"/>
    </row>
    <row r="137" spans="1:10" ht="15.75">
      <c r="A137" s="182" t="s">
        <v>193</v>
      </c>
      <c r="B137" s="182" t="s">
        <v>194</v>
      </c>
      <c r="C137" s="183">
        <v>9214</v>
      </c>
      <c r="D137" s="184" t="s">
        <v>194</v>
      </c>
      <c r="E137" s="187" t="s">
        <v>621</v>
      </c>
      <c r="F137" s="188"/>
      <c r="G137" s="188"/>
      <c r="H137" s="189"/>
      <c r="I137" s="188"/>
    </row>
    <row r="138" spans="1:10" ht="15.75">
      <c r="A138" s="182" t="s">
        <v>484</v>
      </c>
      <c r="B138" s="182" t="s">
        <v>485</v>
      </c>
      <c r="C138" s="183">
        <v>15808</v>
      </c>
      <c r="D138" s="184" t="s">
        <v>485</v>
      </c>
      <c r="E138" s="187" t="s">
        <v>621</v>
      </c>
      <c r="F138" s="188"/>
      <c r="G138" s="188" t="s">
        <v>644</v>
      </c>
      <c r="H138" s="189"/>
      <c r="I138" s="198">
        <v>4800</v>
      </c>
      <c r="J138" s="181" t="s">
        <v>751</v>
      </c>
    </row>
    <row r="139" spans="1:10" ht="15.75">
      <c r="A139" s="182" t="s">
        <v>123</v>
      </c>
      <c r="B139" s="182" t="s">
        <v>124</v>
      </c>
      <c r="C139" s="183">
        <v>88870</v>
      </c>
      <c r="D139" s="184" t="s">
        <v>124</v>
      </c>
      <c r="E139" s="187" t="s">
        <v>621</v>
      </c>
      <c r="F139" s="188"/>
      <c r="G139" s="188" t="s">
        <v>644</v>
      </c>
      <c r="H139" s="189"/>
      <c r="I139" s="188"/>
    </row>
    <row r="140" spans="1:10" ht="15.75">
      <c r="A140" s="182" t="s">
        <v>173</v>
      </c>
      <c r="B140" s="182" t="s">
        <v>174</v>
      </c>
      <c r="C140" s="183">
        <v>719867</v>
      </c>
      <c r="D140" s="184" t="s">
        <v>174</v>
      </c>
      <c r="E140" s="187" t="s">
        <v>621</v>
      </c>
      <c r="F140" s="188"/>
      <c r="G140" s="188"/>
      <c r="H140" s="189"/>
      <c r="I140" s="188"/>
    </row>
    <row r="141" spans="1:10" ht="15.75">
      <c r="A141" s="182" t="s">
        <v>379</v>
      </c>
      <c r="B141" s="182" t="s">
        <v>615</v>
      </c>
      <c r="C141" s="183">
        <v>34068</v>
      </c>
      <c r="D141" s="184" t="s">
        <v>615</v>
      </c>
      <c r="E141" s="187" t="s">
        <v>621</v>
      </c>
      <c r="F141" s="188"/>
      <c r="G141" s="188"/>
      <c r="H141" s="189"/>
      <c r="I141" s="188"/>
    </row>
    <row r="142" spans="1:10" ht="15.75">
      <c r="A142" s="182" t="s">
        <v>551</v>
      </c>
      <c r="B142" s="182" t="s">
        <v>552</v>
      </c>
      <c r="C142" s="183">
        <v>22878</v>
      </c>
      <c r="D142" s="184" t="s">
        <v>552</v>
      </c>
      <c r="E142" s="187" t="s">
        <v>621</v>
      </c>
      <c r="F142" s="188"/>
      <c r="G142" s="188"/>
      <c r="H142" s="189"/>
      <c r="I142" s="188"/>
    </row>
    <row r="143" spans="1:10" ht="15.75">
      <c r="A143" s="182" t="s">
        <v>299</v>
      </c>
      <c r="B143" s="182" t="s">
        <v>300</v>
      </c>
      <c r="C143" s="183">
        <v>35333</v>
      </c>
      <c r="D143" s="184" t="s">
        <v>300</v>
      </c>
      <c r="E143" s="187" t="s">
        <v>621</v>
      </c>
      <c r="F143" s="188"/>
      <c r="G143" s="188" t="s">
        <v>644</v>
      </c>
      <c r="H143" s="189">
        <v>10000</v>
      </c>
      <c r="I143" s="188"/>
    </row>
    <row r="144" spans="1:10" ht="15.75">
      <c r="A144" s="182" t="s">
        <v>203</v>
      </c>
      <c r="B144" s="182" t="s">
        <v>204</v>
      </c>
      <c r="C144" s="183">
        <v>77075</v>
      </c>
      <c r="D144" s="184" t="s">
        <v>204</v>
      </c>
      <c r="E144" s="187" t="s">
        <v>621</v>
      </c>
      <c r="F144" s="188"/>
      <c r="G144" s="188">
        <v>3</v>
      </c>
      <c r="H144" s="189"/>
      <c r="I144" s="188"/>
    </row>
    <row r="145" spans="1:9" ht="15.75">
      <c r="A145" s="182" t="s">
        <v>411</v>
      </c>
      <c r="B145" s="182" t="s">
        <v>412</v>
      </c>
      <c r="C145" s="183">
        <v>23574</v>
      </c>
      <c r="D145" s="184" t="s">
        <v>412</v>
      </c>
      <c r="E145" s="187" t="s">
        <v>621</v>
      </c>
      <c r="F145" s="188"/>
      <c r="G145" s="188"/>
      <c r="H145" s="189"/>
      <c r="I145" s="188"/>
    </row>
    <row r="146" spans="1:9" ht="15.75">
      <c r="A146" s="182" t="s">
        <v>199</v>
      </c>
      <c r="B146" s="182" t="s">
        <v>200</v>
      </c>
      <c r="C146" s="183">
        <v>7602</v>
      </c>
      <c r="D146" s="184" t="s">
        <v>200</v>
      </c>
      <c r="E146" s="187" t="s">
        <v>621</v>
      </c>
      <c r="F146" s="188"/>
      <c r="G146" s="188"/>
      <c r="H146" s="189"/>
      <c r="I146" s="188"/>
    </row>
    <row r="147" spans="1:9" ht="15.75">
      <c r="A147" s="182" t="s">
        <v>121</v>
      </c>
      <c r="B147" s="182" t="s">
        <v>122</v>
      </c>
      <c r="C147" s="183">
        <v>18060</v>
      </c>
      <c r="D147" s="184" t="s">
        <v>122</v>
      </c>
      <c r="E147" s="187" t="s">
        <v>621</v>
      </c>
      <c r="F147" s="188"/>
      <c r="G147" s="188"/>
      <c r="H147" s="189"/>
      <c r="I147" s="188"/>
    </row>
    <row r="148" spans="1:9" ht="15.75">
      <c r="A148" s="182" t="s">
        <v>329</v>
      </c>
      <c r="B148" s="182" t="s">
        <v>330</v>
      </c>
      <c r="C148" s="183">
        <v>12584</v>
      </c>
      <c r="D148" s="184" t="s">
        <v>330</v>
      </c>
      <c r="E148" s="187" t="s">
        <v>621</v>
      </c>
      <c r="F148" s="188"/>
      <c r="G148" s="188" t="s">
        <v>644</v>
      </c>
      <c r="H148" s="189"/>
      <c r="I148" s="188"/>
    </row>
    <row r="149" spans="1:9" ht="15.75">
      <c r="A149" s="182" t="s">
        <v>161</v>
      </c>
      <c r="B149" s="182" t="s">
        <v>162</v>
      </c>
      <c r="C149" s="183">
        <v>1099</v>
      </c>
      <c r="D149" s="184" t="s">
        <v>162</v>
      </c>
      <c r="E149" s="187" t="s">
        <v>621</v>
      </c>
      <c r="F149" s="188"/>
      <c r="G149" s="188" t="s">
        <v>644</v>
      </c>
      <c r="H149" s="189"/>
      <c r="I149" s="188"/>
    </row>
    <row r="150" spans="1:9" ht="15.75">
      <c r="A150" s="182" t="s">
        <v>422</v>
      </c>
      <c r="B150" s="182" t="s">
        <v>423</v>
      </c>
      <c r="C150" s="183">
        <v>140101</v>
      </c>
      <c r="D150" s="184" t="s">
        <v>423</v>
      </c>
      <c r="E150" s="187" t="s">
        <v>621</v>
      </c>
      <c r="F150" s="188"/>
      <c r="G150" s="188" t="s">
        <v>644</v>
      </c>
      <c r="H150" s="189"/>
      <c r="I150" s="188"/>
    </row>
    <row r="151" spans="1:9" ht="15.75">
      <c r="A151" s="182" t="s">
        <v>351</v>
      </c>
      <c r="B151" s="182" t="s">
        <v>352</v>
      </c>
      <c r="C151" s="183">
        <v>22511</v>
      </c>
      <c r="D151" s="184" t="s">
        <v>352</v>
      </c>
      <c r="E151" s="187" t="s">
        <v>621</v>
      </c>
      <c r="F151" s="188"/>
      <c r="G151" s="188" t="s">
        <v>644</v>
      </c>
      <c r="H151" s="189"/>
      <c r="I151" s="198">
        <v>5400</v>
      </c>
    </row>
    <row r="152" spans="1:9" ht="15.75">
      <c r="A152" s="182" t="s">
        <v>557</v>
      </c>
      <c r="B152" s="182" t="s">
        <v>558</v>
      </c>
      <c r="C152" s="183">
        <v>213256</v>
      </c>
      <c r="D152" s="184" t="s">
        <v>558</v>
      </c>
      <c r="E152" s="187" t="s">
        <v>621</v>
      </c>
      <c r="F152" s="188"/>
      <c r="G152" s="188" t="s">
        <v>644</v>
      </c>
      <c r="H152" s="189"/>
      <c r="I152" s="188"/>
    </row>
    <row r="153" spans="1:9" ht="15.75">
      <c r="A153" s="182" t="s">
        <v>345</v>
      </c>
      <c r="B153" s="182" t="s">
        <v>346</v>
      </c>
      <c r="C153" s="183">
        <v>276301</v>
      </c>
      <c r="D153" s="184" t="s">
        <v>346</v>
      </c>
      <c r="E153" s="187" t="s">
        <v>621</v>
      </c>
      <c r="F153" s="188"/>
      <c r="G153" s="188"/>
      <c r="H153" s="189"/>
      <c r="I153" s="188"/>
    </row>
    <row r="154" spans="1:9" ht="15.75">
      <c r="A154" s="182" t="s">
        <v>197</v>
      </c>
      <c r="B154" s="182" t="s">
        <v>198</v>
      </c>
      <c r="C154" s="183">
        <v>20497</v>
      </c>
      <c r="D154" s="184" t="s">
        <v>198</v>
      </c>
      <c r="E154" s="187" t="s">
        <v>621</v>
      </c>
      <c r="F154" s="185"/>
      <c r="G154" s="188"/>
      <c r="H154" s="189">
        <v>10000</v>
      </c>
      <c r="I154" s="188"/>
    </row>
    <row r="155" spans="1:9" ht="15.75">
      <c r="A155" s="182" t="s">
        <v>559</v>
      </c>
      <c r="B155" s="182" t="s">
        <v>560</v>
      </c>
      <c r="C155" s="183">
        <v>184536</v>
      </c>
      <c r="D155" s="184" t="s">
        <v>560</v>
      </c>
      <c r="E155" s="187" t="s">
        <v>621</v>
      </c>
      <c r="F155" s="188"/>
      <c r="G155" s="188"/>
      <c r="H155" s="189"/>
      <c r="I155" s="188"/>
    </row>
    <row r="156" spans="1:9" ht="15.75">
      <c r="A156" s="182" t="s">
        <v>191</v>
      </c>
      <c r="B156" s="182" t="s">
        <v>192</v>
      </c>
      <c r="C156" s="183">
        <v>118726</v>
      </c>
      <c r="D156" s="184" t="s">
        <v>192</v>
      </c>
      <c r="E156" s="187" t="s">
        <v>621</v>
      </c>
      <c r="F156" s="188"/>
      <c r="G156" s="188" t="s">
        <v>644</v>
      </c>
      <c r="H156" s="189"/>
      <c r="I156" s="188"/>
    </row>
    <row r="157" spans="1:9" ht="15.75">
      <c r="A157" s="182" t="s">
        <v>349</v>
      </c>
      <c r="B157" s="182" t="s">
        <v>350</v>
      </c>
      <c r="C157" s="183">
        <v>14599</v>
      </c>
      <c r="D157" s="184" t="s">
        <v>350</v>
      </c>
      <c r="E157" s="187" t="s">
        <v>621</v>
      </c>
      <c r="F157" s="188"/>
      <c r="G157" s="188" t="s">
        <v>644</v>
      </c>
      <c r="H157" s="189">
        <v>25000</v>
      </c>
      <c r="I157" s="188"/>
    </row>
    <row r="158" spans="1:9" ht="15.75">
      <c r="A158" s="182" t="s">
        <v>49</v>
      </c>
      <c r="B158" s="182" t="s">
        <v>50</v>
      </c>
      <c r="C158" s="183">
        <v>252013</v>
      </c>
      <c r="D158" s="184" t="s">
        <v>50</v>
      </c>
      <c r="E158" s="187" t="s">
        <v>621</v>
      </c>
      <c r="F158" s="188"/>
      <c r="G158" s="188" t="s">
        <v>644</v>
      </c>
      <c r="H158" s="189"/>
      <c r="I158" s="188"/>
    </row>
    <row r="159" spans="1:9" ht="15.75">
      <c r="A159" s="182" t="s">
        <v>114</v>
      </c>
      <c r="B159" s="182" t="s">
        <v>115</v>
      </c>
      <c r="C159" s="183">
        <v>159150</v>
      </c>
      <c r="D159" s="184" t="s">
        <v>115</v>
      </c>
      <c r="E159" s="187" t="s">
        <v>621</v>
      </c>
      <c r="F159" s="188"/>
      <c r="G159" s="188"/>
      <c r="H159" s="189"/>
      <c r="I159" s="188"/>
    </row>
    <row r="160" spans="1:9" ht="15.75">
      <c r="A160" s="182" t="s">
        <v>492</v>
      </c>
      <c r="B160" s="182" t="s">
        <v>493</v>
      </c>
      <c r="C160" s="183">
        <v>100080</v>
      </c>
      <c r="D160" s="184" t="s">
        <v>493</v>
      </c>
      <c r="E160" s="187" t="s">
        <v>621</v>
      </c>
      <c r="F160" s="188"/>
      <c r="G160" s="188"/>
      <c r="H160" s="189"/>
      <c r="I160" s="188"/>
    </row>
    <row r="161" spans="1:9" ht="15.75">
      <c r="A161" s="182" t="s">
        <v>567</v>
      </c>
      <c r="B161" s="182" t="s">
        <v>568</v>
      </c>
      <c r="C161" s="183">
        <v>112664</v>
      </c>
      <c r="D161" s="184" t="s">
        <v>568</v>
      </c>
      <c r="E161" s="187" t="s">
        <v>621</v>
      </c>
      <c r="F161" s="186">
        <v>134</v>
      </c>
      <c r="G161" s="188" t="s">
        <v>644</v>
      </c>
      <c r="H161" s="189"/>
      <c r="I161" s="186"/>
    </row>
    <row r="162" spans="1:9" ht="15.75">
      <c r="A162" s="182" t="s">
        <v>118</v>
      </c>
      <c r="B162" s="182" t="s">
        <v>119</v>
      </c>
      <c r="C162" s="183">
        <v>46120</v>
      </c>
      <c r="D162" s="184" t="s">
        <v>119</v>
      </c>
      <c r="E162" s="187" t="s">
        <v>621</v>
      </c>
      <c r="F162" s="188"/>
      <c r="G162" s="188" t="s">
        <v>644</v>
      </c>
      <c r="H162" s="189"/>
      <c r="I162" s="188"/>
    </row>
    <row r="163" spans="1:9" ht="15.75">
      <c r="A163" s="182" t="s">
        <v>37</v>
      </c>
      <c r="B163" s="182" t="s">
        <v>38</v>
      </c>
      <c r="C163" s="183">
        <v>220527</v>
      </c>
      <c r="D163" s="184" t="s">
        <v>38</v>
      </c>
      <c r="E163" s="187" t="s">
        <v>621</v>
      </c>
      <c r="F163" s="188"/>
      <c r="G163" s="188" t="s">
        <v>644</v>
      </c>
      <c r="H163" s="189"/>
      <c r="I163" s="188"/>
    </row>
    <row r="164" spans="1:9" ht="15.75">
      <c r="A164" s="210" t="s">
        <v>443</v>
      </c>
      <c r="B164" s="210" t="s">
        <v>675</v>
      </c>
      <c r="C164" s="183">
        <v>12108</v>
      </c>
      <c r="D164" s="184" t="s">
        <v>618</v>
      </c>
      <c r="E164" s="187" t="s">
        <v>621</v>
      </c>
      <c r="F164" s="188"/>
      <c r="G164" s="188"/>
      <c r="H164" s="189"/>
      <c r="I164" s="198">
        <v>1950</v>
      </c>
    </row>
    <row r="165" spans="1:9" ht="15.75">
      <c r="A165" s="182" t="s">
        <v>248</v>
      </c>
      <c r="B165" s="182" t="s">
        <v>249</v>
      </c>
      <c r="C165" s="183">
        <v>25735</v>
      </c>
      <c r="D165" s="184" t="s">
        <v>249</v>
      </c>
      <c r="E165" s="187" t="s">
        <v>621</v>
      </c>
      <c r="F165" s="188"/>
      <c r="G165" s="188" t="s">
        <v>644</v>
      </c>
      <c r="H165" s="189"/>
      <c r="I165" s="198">
        <v>4350</v>
      </c>
    </row>
    <row r="166" spans="1:9" ht="15.75">
      <c r="A166" s="182" t="s">
        <v>264</v>
      </c>
      <c r="B166" s="182" t="s">
        <v>265</v>
      </c>
      <c r="C166" s="183">
        <v>11229</v>
      </c>
      <c r="D166" s="184" t="s">
        <v>265</v>
      </c>
      <c r="E166" s="187" t="s">
        <v>621</v>
      </c>
      <c r="F166" s="188"/>
      <c r="G166" s="188"/>
      <c r="H166" s="189"/>
      <c r="I166" s="188"/>
    </row>
    <row r="167" spans="1:9" ht="15.75">
      <c r="A167" s="182" t="s">
        <v>547</v>
      </c>
      <c r="B167" s="182" t="s">
        <v>548</v>
      </c>
      <c r="C167" s="183">
        <v>571722</v>
      </c>
      <c r="D167" s="184" t="s">
        <v>548</v>
      </c>
      <c r="E167" s="187" t="s">
        <v>621</v>
      </c>
      <c r="F167" s="188"/>
      <c r="G167" s="202"/>
      <c r="H167" s="203"/>
      <c r="I167" s="202"/>
    </row>
    <row r="168" spans="1:9" ht="15.75">
      <c r="A168" s="182" t="s">
        <v>565</v>
      </c>
      <c r="B168" s="182" t="s">
        <v>566</v>
      </c>
      <c r="C168" s="183">
        <v>18848</v>
      </c>
      <c r="D168" s="184" t="s">
        <v>566</v>
      </c>
      <c r="E168" s="187" t="s">
        <v>621</v>
      </c>
      <c r="F168" s="188"/>
      <c r="G168" s="202"/>
      <c r="H168" s="203"/>
      <c r="I168" s="202"/>
    </row>
    <row r="169" spans="1:9" ht="15.75">
      <c r="A169" s="182" t="s">
        <v>262</v>
      </c>
      <c r="B169" s="182" t="s">
        <v>263</v>
      </c>
      <c r="C169" s="183">
        <v>0</v>
      </c>
      <c r="D169" s="204"/>
      <c r="E169" s="187"/>
      <c r="F169" s="205"/>
      <c r="G169" s="206"/>
      <c r="H169" s="206"/>
      <c r="I169" s="206"/>
    </row>
    <row r="170" spans="1:9" ht="15.75">
      <c r="A170" s="182" t="s">
        <v>283</v>
      </c>
      <c r="B170" s="182" t="s">
        <v>284</v>
      </c>
      <c r="C170" s="183">
        <v>0</v>
      </c>
      <c r="D170" s="204"/>
      <c r="E170" s="187"/>
      <c r="F170" s="205"/>
      <c r="G170" s="206"/>
      <c r="H170" s="206"/>
      <c r="I170" s="206"/>
    </row>
    <row r="171" spans="1:9" ht="15.75">
      <c r="A171" s="182" t="s">
        <v>12</v>
      </c>
      <c r="B171" s="182" t="s">
        <v>13</v>
      </c>
      <c r="C171" s="183">
        <v>0</v>
      </c>
      <c r="D171" s="184"/>
      <c r="E171" s="208"/>
      <c r="F171" s="188"/>
      <c r="G171" s="188"/>
      <c r="H171" s="188"/>
      <c r="I171" s="188"/>
    </row>
    <row r="172" spans="1:9" ht="15.75">
      <c r="A172" s="213" t="s">
        <v>666</v>
      </c>
      <c r="B172" s="182" t="s">
        <v>667</v>
      </c>
      <c r="C172" s="183">
        <v>0</v>
      </c>
      <c r="D172" s="184"/>
      <c r="E172" s="187"/>
      <c r="F172" s="188"/>
      <c r="G172" s="188"/>
      <c r="H172" s="189"/>
      <c r="I172" s="188"/>
    </row>
    <row r="173" spans="1:9" ht="15.75">
      <c r="A173" s="182" t="s">
        <v>2</v>
      </c>
      <c r="B173" s="182" t="s">
        <v>3</v>
      </c>
      <c r="C173" s="183">
        <v>0</v>
      </c>
      <c r="D173" s="184"/>
      <c r="E173" s="187"/>
      <c r="F173" s="188"/>
      <c r="G173" s="188"/>
      <c r="H173" s="189"/>
      <c r="I173" s="188"/>
    </row>
    <row r="174" spans="1:9" ht="15.75">
      <c r="A174" s="182" t="s">
        <v>234</v>
      </c>
      <c r="B174" s="182" t="s">
        <v>235</v>
      </c>
      <c r="C174" s="183">
        <v>0</v>
      </c>
      <c r="D174" s="202"/>
      <c r="E174" s="202"/>
      <c r="F174" s="214"/>
      <c r="G174" s="188" t="s">
        <v>644</v>
      </c>
      <c r="H174" s="189"/>
      <c r="I174" s="188"/>
    </row>
    <row r="175" spans="1:9" ht="15.75">
      <c r="A175" s="182" t="s">
        <v>266</v>
      </c>
      <c r="B175" s="182" t="s">
        <v>267</v>
      </c>
      <c r="C175" s="183">
        <v>0</v>
      </c>
      <c r="D175" s="184"/>
      <c r="E175" s="187"/>
      <c r="F175" s="188"/>
      <c r="G175" s="188"/>
      <c r="H175" s="189"/>
      <c r="I175" s="188"/>
    </row>
    <row r="176" spans="1:9" ht="15.75">
      <c r="A176" s="182" t="s">
        <v>165</v>
      </c>
      <c r="B176" s="182" t="s">
        <v>166</v>
      </c>
      <c r="C176" s="183">
        <v>0</v>
      </c>
      <c r="D176" s="184"/>
      <c r="E176" s="187"/>
      <c r="F176" s="185"/>
      <c r="G176" s="188"/>
      <c r="H176" s="189"/>
      <c r="I176" s="188"/>
    </row>
    <row r="177" spans="1:9" ht="15.75">
      <c r="A177" s="182" t="s">
        <v>347</v>
      </c>
      <c r="B177" s="182" t="s">
        <v>348</v>
      </c>
      <c r="C177" s="183">
        <v>0</v>
      </c>
      <c r="D177" s="184"/>
      <c r="E177" s="187"/>
      <c r="F177" s="188"/>
      <c r="G177" s="188"/>
      <c r="H177" s="189"/>
      <c r="I177" s="188"/>
    </row>
    <row r="178" spans="1:9" ht="15.75">
      <c r="A178" s="182" t="s">
        <v>74</v>
      </c>
      <c r="B178" s="182" t="s">
        <v>75</v>
      </c>
      <c r="C178" s="183">
        <v>1612</v>
      </c>
      <c r="D178" s="193" t="s">
        <v>75</v>
      </c>
      <c r="E178" s="187" t="s">
        <v>644</v>
      </c>
      <c r="F178" s="188"/>
      <c r="G178" s="188"/>
      <c r="H178" s="189"/>
      <c r="I178" s="188"/>
    </row>
    <row r="179" spans="1:9" ht="15.75">
      <c r="A179" s="182" t="s">
        <v>236</v>
      </c>
      <c r="B179" s="182" t="s">
        <v>237</v>
      </c>
      <c r="C179" s="183">
        <v>0</v>
      </c>
      <c r="D179" s="184"/>
      <c r="E179" s="187"/>
      <c r="F179" s="188"/>
      <c r="G179" s="188"/>
      <c r="H179" s="189"/>
      <c r="I179" s="188"/>
    </row>
    <row r="180" spans="1:9" ht="15.75">
      <c r="A180" s="213" t="s">
        <v>668</v>
      </c>
      <c r="B180" s="182" t="s">
        <v>669</v>
      </c>
      <c r="C180" s="183">
        <v>0</v>
      </c>
      <c r="D180" s="184"/>
      <c r="E180" s="187"/>
      <c r="F180" s="188"/>
      <c r="G180" s="188"/>
      <c r="H180" s="189"/>
      <c r="I180" s="188"/>
    </row>
    <row r="181" spans="1:9" ht="15.75">
      <c r="A181" s="182" t="s">
        <v>525</v>
      </c>
      <c r="B181" s="182" t="s">
        <v>526</v>
      </c>
      <c r="C181" s="183">
        <v>0</v>
      </c>
      <c r="D181" s="184"/>
      <c r="E181" s="187"/>
      <c r="F181" s="188"/>
      <c r="G181" s="188"/>
      <c r="H181" s="189"/>
      <c r="I181" s="188"/>
    </row>
    <row r="182" spans="1:9" ht="16.5" thickBot="1">
      <c r="A182" s="182" t="s">
        <v>533</v>
      </c>
      <c r="B182" s="182" t="s">
        <v>534</v>
      </c>
      <c r="C182" s="183">
        <v>0</v>
      </c>
      <c r="D182" s="184"/>
      <c r="E182" s="187"/>
      <c r="F182" s="188"/>
      <c r="G182" s="188"/>
      <c r="H182" s="189"/>
      <c r="I182" s="201"/>
    </row>
    <row r="183" spans="1:9" ht="15.75">
      <c r="A183" s="182" t="s">
        <v>464</v>
      </c>
      <c r="B183" s="182" t="s">
        <v>465</v>
      </c>
      <c r="C183" s="183">
        <v>0</v>
      </c>
      <c r="D183" s="184"/>
      <c r="E183" s="187"/>
      <c r="F183" s="188"/>
      <c r="G183" s="188"/>
      <c r="H183" s="189"/>
      <c r="I183" s="188"/>
    </row>
    <row r="184" spans="1:9" ht="16.5" thickBot="1">
      <c r="A184" s="182" t="s">
        <v>376</v>
      </c>
      <c r="B184" s="182" t="s">
        <v>377</v>
      </c>
      <c r="C184" s="183">
        <v>0</v>
      </c>
      <c r="D184" s="184"/>
      <c r="E184" s="187"/>
      <c r="F184" s="185"/>
      <c r="G184" s="188"/>
      <c r="H184" s="189"/>
      <c r="I184" s="201"/>
    </row>
    <row r="185" spans="1:9" ht="15.75">
      <c r="A185" s="182" t="s">
        <v>147</v>
      </c>
      <c r="B185" s="182" t="s">
        <v>148</v>
      </c>
      <c r="C185" s="183">
        <v>0</v>
      </c>
      <c r="D185" s="184"/>
      <c r="E185" s="187"/>
      <c r="F185" s="188"/>
      <c r="G185" s="188"/>
      <c r="H185" s="189"/>
      <c r="I185" s="188"/>
    </row>
    <row r="186" spans="1:9" ht="15.75">
      <c r="A186" s="182" t="s">
        <v>120</v>
      </c>
      <c r="B186" s="182" t="s">
        <v>654</v>
      </c>
      <c r="C186" s="183">
        <v>0</v>
      </c>
      <c r="D186" s="184"/>
      <c r="E186" s="187"/>
      <c r="F186" s="188"/>
      <c r="G186" s="188"/>
      <c r="H186" s="189"/>
      <c r="I186" s="188"/>
    </row>
    <row r="187" spans="1:9" ht="15.75">
      <c r="A187" s="182" t="s">
        <v>41</v>
      </c>
      <c r="B187" s="182" t="s">
        <v>42</v>
      </c>
      <c r="C187" s="183">
        <v>0</v>
      </c>
      <c r="D187" s="184"/>
      <c r="E187" s="187"/>
      <c r="F187" s="188"/>
      <c r="G187" s="188"/>
      <c r="H187" s="189"/>
      <c r="I187" s="188"/>
    </row>
    <row r="188" spans="1:9" ht="15.75">
      <c r="A188" s="182" t="s">
        <v>285</v>
      </c>
      <c r="B188" s="182" t="s">
        <v>286</v>
      </c>
      <c r="C188" s="183">
        <v>0</v>
      </c>
      <c r="D188" s="184"/>
      <c r="E188" s="187"/>
      <c r="F188" s="188"/>
      <c r="G188" s="188"/>
      <c r="H188" s="189"/>
      <c r="I188" s="188"/>
    </row>
    <row r="189" spans="1:9" ht="15.75">
      <c r="A189" s="182" t="s">
        <v>96</v>
      </c>
      <c r="B189" s="182" t="s">
        <v>97</v>
      </c>
      <c r="C189" s="183">
        <v>0</v>
      </c>
      <c r="D189" s="184"/>
      <c r="E189" s="187"/>
      <c r="F189" s="188"/>
      <c r="G189" s="188"/>
      <c r="H189" s="189"/>
      <c r="I189" s="188"/>
    </row>
    <row r="190" spans="1:9" ht="15.75">
      <c r="A190" s="182" t="s">
        <v>220</v>
      </c>
      <c r="B190" s="182" t="s">
        <v>221</v>
      </c>
      <c r="C190" s="183">
        <v>0</v>
      </c>
      <c r="D190" s="184"/>
      <c r="E190" s="187"/>
      <c r="F190" s="188"/>
      <c r="G190" s="188"/>
      <c r="H190" s="189"/>
      <c r="I190" s="188"/>
    </row>
    <row r="191" spans="1:9" ht="15.75">
      <c r="A191" s="182" t="s">
        <v>417</v>
      </c>
      <c r="B191" s="182" t="s">
        <v>418</v>
      </c>
      <c r="C191" s="183">
        <v>0</v>
      </c>
      <c r="D191" s="184"/>
      <c r="E191" s="187"/>
      <c r="F191" s="188"/>
      <c r="G191" s="188"/>
      <c r="H191" s="189"/>
      <c r="I191" s="188"/>
    </row>
    <row r="192" spans="1:9" ht="15.75">
      <c r="A192" s="182" t="s">
        <v>293</v>
      </c>
      <c r="B192" s="182" t="s">
        <v>294</v>
      </c>
      <c r="C192" s="183">
        <v>0</v>
      </c>
      <c r="D192" s="184"/>
      <c r="E192" s="187"/>
      <c r="F192" s="188"/>
      <c r="G192" s="188"/>
      <c r="H192" s="189"/>
      <c r="I192" s="188"/>
    </row>
    <row r="193" spans="1:9" ht="15.75">
      <c r="A193" s="182" t="s">
        <v>444</v>
      </c>
      <c r="B193" s="182" t="s">
        <v>445</v>
      </c>
      <c r="C193" s="183">
        <v>733</v>
      </c>
      <c r="D193" s="193" t="s">
        <v>445</v>
      </c>
      <c r="E193" s="187" t="s">
        <v>644</v>
      </c>
      <c r="F193" s="188"/>
      <c r="G193" s="188"/>
      <c r="H193" s="189"/>
      <c r="I193" s="188"/>
    </row>
    <row r="194" spans="1:9" ht="15.75">
      <c r="A194" s="182" t="s">
        <v>353</v>
      </c>
      <c r="B194" s="182" t="s">
        <v>354</v>
      </c>
      <c r="C194" s="183">
        <v>0</v>
      </c>
      <c r="D194" s="184"/>
      <c r="E194" s="187"/>
      <c r="F194" s="188"/>
      <c r="G194" s="188"/>
      <c r="H194" s="189"/>
      <c r="I194" s="188"/>
    </row>
    <row r="195" spans="1:9" ht="15.75">
      <c r="A195" s="182" t="s">
        <v>490</v>
      </c>
      <c r="B195" s="182" t="s">
        <v>491</v>
      </c>
      <c r="C195" s="183">
        <v>256</v>
      </c>
      <c r="D195" s="193" t="s">
        <v>491</v>
      </c>
      <c r="E195" s="187" t="s">
        <v>644</v>
      </c>
      <c r="F195" s="188"/>
      <c r="G195" s="188"/>
      <c r="H195" s="189"/>
      <c r="I195" s="188"/>
    </row>
    <row r="196" spans="1:9" ht="15.75">
      <c r="A196" s="182" t="s">
        <v>222</v>
      </c>
      <c r="B196" s="182" t="s">
        <v>223</v>
      </c>
      <c r="C196" s="183">
        <v>0</v>
      </c>
      <c r="D196" s="184"/>
      <c r="E196" s="187"/>
      <c r="F196" s="185"/>
      <c r="G196" s="188"/>
      <c r="H196" s="189"/>
      <c r="I196" s="188"/>
    </row>
    <row r="197" spans="1:9" ht="15.75">
      <c r="A197" s="182" t="s">
        <v>365</v>
      </c>
      <c r="B197" s="182" t="s">
        <v>366</v>
      </c>
      <c r="C197" s="183">
        <v>1594</v>
      </c>
      <c r="D197" s="193" t="s">
        <v>366</v>
      </c>
      <c r="E197" s="187" t="s">
        <v>644</v>
      </c>
      <c r="F197" s="188"/>
      <c r="G197" s="188"/>
      <c r="H197" s="189"/>
      <c r="I197" s="188"/>
    </row>
    <row r="198" spans="1:9" ht="15.75">
      <c r="A198" s="182" t="s">
        <v>141</v>
      </c>
      <c r="B198" s="182" t="s">
        <v>142</v>
      </c>
      <c r="C198" s="183">
        <v>7748</v>
      </c>
      <c r="D198" s="193" t="s">
        <v>142</v>
      </c>
      <c r="E198" s="187" t="s">
        <v>644</v>
      </c>
      <c r="F198" s="188"/>
      <c r="G198" s="188"/>
      <c r="H198" s="189"/>
      <c r="I198" s="188"/>
    </row>
    <row r="199" spans="1:9" ht="15.75">
      <c r="A199" s="182" t="s">
        <v>535</v>
      </c>
      <c r="B199" s="182" t="s">
        <v>536</v>
      </c>
      <c r="C199" s="183">
        <v>0</v>
      </c>
      <c r="D199" s="184"/>
      <c r="E199" s="187"/>
      <c r="F199" s="188"/>
      <c r="G199" s="188"/>
      <c r="H199" s="189"/>
      <c r="I199" s="188"/>
    </row>
    <row r="200" spans="1:9" ht="15.75">
      <c r="A200" s="182" t="s">
        <v>29</v>
      </c>
      <c r="B200" s="182" t="s">
        <v>30</v>
      </c>
      <c r="C200" s="183">
        <v>7510</v>
      </c>
      <c r="D200" s="193" t="s">
        <v>30</v>
      </c>
      <c r="E200" s="187" t="s">
        <v>644</v>
      </c>
      <c r="F200" s="188"/>
      <c r="G200" s="188"/>
      <c r="H200" s="189"/>
      <c r="I200" s="188"/>
    </row>
    <row r="201" spans="1:9" ht="15.75">
      <c r="A201" s="213" t="s">
        <v>676</v>
      </c>
      <c r="B201" s="182" t="s">
        <v>677</v>
      </c>
      <c r="C201" s="183">
        <v>0</v>
      </c>
      <c r="D201" s="184"/>
      <c r="E201" s="187"/>
      <c r="F201" s="188"/>
      <c r="G201" s="188"/>
      <c r="H201" s="189"/>
      <c r="I201" s="188"/>
    </row>
    <row r="202" spans="1:9" ht="15.75">
      <c r="A202" s="182" t="s">
        <v>651</v>
      </c>
      <c r="B202" s="182" t="s">
        <v>652</v>
      </c>
      <c r="C202" s="183">
        <v>0</v>
      </c>
      <c r="D202" s="184"/>
      <c r="E202" s="187"/>
      <c r="F202" s="188"/>
      <c r="G202" s="188"/>
      <c r="H202" s="189"/>
      <c r="I202" s="188"/>
    </row>
    <row r="203" spans="1:9" ht="15.75">
      <c r="A203" s="182" t="s">
        <v>678</v>
      </c>
      <c r="B203" s="182" t="s">
        <v>679</v>
      </c>
      <c r="C203" s="183">
        <v>0</v>
      </c>
      <c r="D203" s="184"/>
      <c r="E203" s="187"/>
      <c r="F203" s="188"/>
      <c r="G203" s="188"/>
      <c r="H203" s="189"/>
      <c r="I203" s="188"/>
    </row>
    <row r="204" spans="1:9" ht="15.75">
      <c r="A204" s="213" t="s">
        <v>663</v>
      </c>
      <c r="B204" s="182" t="s">
        <v>664</v>
      </c>
      <c r="C204" s="183">
        <v>0</v>
      </c>
      <c r="D204" s="184"/>
      <c r="E204" s="187"/>
      <c r="F204" s="188"/>
      <c r="G204" s="188"/>
      <c r="H204" s="189"/>
      <c r="I204" s="188"/>
    </row>
    <row r="205" spans="1:9" ht="15.75">
      <c r="A205" s="213" t="s">
        <v>653</v>
      </c>
      <c r="B205" s="182" t="s">
        <v>604</v>
      </c>
      <c r="C205" s="183">
        <v>0</v>
      </c>
      <c r="D205" s="184"/>
      <c r="E205" s="187"/>
      <c r="F205" s="188"/>
      <c r="G205" s="188"/>
      <c r="H205" s="189"/>
      <c r="I205" s="188"/>
    </row>
    <row r="206" spans="1:9" ht="15.75">
      <c r="A206" s="182" t="s">
        <v>680</v>
      </c>
      <c r="B206" s="182" t="s">
        <v>604</v>
      </c>
      <c r="C206" s="183">
        <v>0</v>
      </c>
      <c r="D206" s="184"/>
      <c r="E206" s="187"/>
      <c r="F206" s="188"/>
      <c r="G206" s="188"/>
      <c r="H206" s="189"/>
      <c r="I206" s="188"/>
    </row>
    <row r="207" spans="1:9" ht="16.5" thickBot="1">
      <c r="A207" s="213" t="s">
        <v>649</v>
      </c>
      <c r="B207" s="182" t="s">
        <v>650</v>
      </c>
      <c r="C207" s="183">
        <v>0</v>
      </c>
      <c r="D207" s="184"/>
      <c r="E207" s="187"/>
      <c r="F207" s="188"/>
      <c r="G207" s="188"/>
      <c r="H207" s="189"/>
      <c r="I207" s="201"/>
    </row>
    <row r="208" spans="1:9" ht="15.75">
      <c r="A208" s="182" t="s">
        <v>671</v>
      </c>
      <c r="B208" s="182" t="s">
        <v>672</v>
      </c>
      <c r="C208" s="183">
        <v>0</v>
      </c>
      <c r="D208" s="184"/>
      <c r="E208" s="187"/>
      <c r="F208" s="188"/>
      <c r="G208" s="188"/>
      <c r="H208" s="189"/>
      <c r="I208" s="188"/>
    </row>
    <row r="209" spans="1:9" ht="15.75">
      <c r="A209" s="182" t="s">
        <v>256</v>
      </c>
      <c r="B209" s="182" t="s">
        <v>257</v>
      </c>
      <c r="C209" s="183">
        <v>0</v>
      </c>
      <c r="D209" s="184"/>
      <c r="E209" s="187"/>
      <c r="F209" s="188"/>
      <c r="G209" s="188"/>
      <c r="H209" s="189"/>
      <c r="I209" s="188"/>
    </row>
    <row r="210" spans="1:9" ht="15.75">
      <c r="A210" s="182" t="s">
        <v>462</v>
      </c>
      <c r="B210" s="182" t="s">
        <v>463</v>
      </c>
      <c r="C210" s="183">
        <v>0</v>
      </c>
      <c r="D210" s="184"/>
      <c r="E210" s="187"/>
      <c r="F210" s="188"/>
      <c r="G210" s="188"/>
      <c r="H210" s="189"/>
      <c r="I210" s="188"/>
    </row>
    <row r="211" spans="1:9" ht="15.75">
      <c r="A211" s="182" t="s">
        <v>436</v>
      </c>
      <c r="B211" s="182" t="s">
        <v>437</v>
      </c>
      <c r="C211" s="183">
        <v>0</v>
      </c>
      <c r="D211" s="184"/>
      <c r="E211" s="187"/>
      <c r="F211" s="188"/>
      <c r="G211" s="188"/>
      <c r="H211" s="189"/>
      <c r="I211" s="188"/>
    </row>
    <row r="212" spans="1:9" ht="15.75">
      <c r="A212" s="182" t="s">
        <v>529</v>
      </c>
      <c r="B212" s="182" t="s">
        <v>530</v>
      </c>
      <c r="C212" s="183">
        <v>0</v>
      </c>
      <c r="D212" s="184"/>
      <c r="E212" s="187"/>
      <c r="F212" s="188"/>
      <c r="G212" s="188"/>
      <c r="H212" s="189"/>
      <c r="I212" s="188"/>
    </row>
    <row r="213" spans="1:9" ht="15.75">
      <c r="A213" s="182" t="s">
        <v>240</v>
      </c>
      <c r="B213" s="182" t="s">
        <v>241</v>
      </c>
      <c r="C213" s="183">
        <v>0</v>
      </c>
      <c r="D213" s="184"/>
      <c r="E213" s="187"/>
      <c r="F213" s="188"/>
      <c r="G213" s="188"/>
      <c r="H213" s="189"/>
      <c r="I213" s="188"/>
    </row>
    <row r="214" spans="1:9" ht="15.75">
      <c r="A214" s="182" t="s">
        <v>131</v>
      </c>
      <c r="B214" s="182" t="s">
        <v>655</v>
      </c>
      <c r="C214" s="183">
        <v>0</v>
      </c>
      <c r="D214" s="184"/>
      <c r="E214" s="194"/>
      <c r="F214" s="188"/>
      <c r="G214" s="188"/>
      <c r="H214" s="189"/>
      <c r="I214" s="188"/>
    </row>
    <row r="215" spans="1:9" ht="16.5" thickBot="1">
      <c r="A215" s="182" t="s">
        <v>297</v>
      </c>
      <c r="B215" s="182" t="s">
        <v>298</v>
      </c>
      <c r="C215" s="183">
        <v>0</v>
      </c>
      <c r="D215" s="184"/>
      <c r="E215" s="187"/>
      <c r="F215" s="188"/>
      <c r="G215" s="188"/>
      <c r="H215" s="189"/>
      <c r="I215" s="201"/>
    </row>
    <row r="216" spans="1:9" ht="15.75">
      <c r="A216" s="182" t="s">
        <v>426</v>
      </c>
      <c r="B216" s="182" t="s">
        <v>427</v>
      </c>
      <c r="C216" s="183">
        <v>0</v>
      </c>
      <c r="D216" s="184"/>
      <c r="E216" s="187"/>
      <c r="F216" s="188"/>
      <c r="G216" s="188"/>
      <c r="H216" s="189"/>
      <c r="I216" s="188"/>
    </row>
    <row r="217" spans="1:9" ht="15.75">
      <c r="A217" s="182" t="s">
        <v>54</v>
      </c>
      <c r="B217" s="182" t="s">
        <v>55</v>
      </c>
      <c r="C217" s="183">
        <v>0</v>
      </c>
      <c r="D217" s="184"/>
      <c r="E217" s="187"/>
      <c r="F217" s="188"/>
      <c r="G217" s="188"/>
      <c r="H217" s="189"/>
      <c r="I217" s="188"/>
    </row>
    <row r="218" spans="1:9" ht="15.75">
      <c r="A218" s="182" t="s">
        <v>482</v>
      </c>
      <c r="B218" s="182" t="s">
        <v>483</v>
      </c>
      <c r="C218" s="183">
        <v>0</v>
      </c>
      <c r="D218" s="184"/>
      <c r="E218" s="187"/>
      <c r="F218" s="188"/>
      <c r="G218" s="188"/>
      <c r="H218" s="189"/>
      <c r="I218" s="188"/>
    </row>
    <row r="219" spans="1:9" ht="15.75">
      <c r="A219" s="182" t="s">
        <v>291</v>
      </c>
      <c r="B219" s="182" t="s">
        <v>292</v>
      </c>
      <c r="C219" s="183">
        <v>0</v>
      </c>
      <c r="D219" s="184"/>
      <c r="E219" s="187"/>
      <c r="F219" s="188"/>
      <c r="G219" s="188"/>
      <c r="H219" s="189"/>
      <c r="I219" s="188"/>
    </row>
    <row r="220" spans="1:9" ht="15.75">
      <c r="A220" s="182" t="s">
        <v>307</v>
      </c>
      <c r="B220" s="182" t="s">
        <v>308</v>
      </c>
      <c r="C220" s="183">
        <v>0</v>
      </c>
      <c r="D220" s="184"/>
      <c r="E220" s="187"/>
      <c r="F220" s="188"/>
      <c r="G220" s="188"/>
      <c r="H220" s="189"/>
      <c r="I220" s="188"/>
    </row>
    <row r="221" spans="1:9" ht="15.75">
      <c r="A221" s="182" t="s">
        <v>100</v>
      </c>
      <c r="B221" s="182" t="s">
        <v>101</v>
      </c>
      <c r="C221" s="183">
        <v>0</v>
      </c>
      <c r="D221" s="184"/>
      <c r="E221" s="187"/>
      <c r="F221" s="188"/>
      <c r="G221" s="188"/>
      <c r="H221" s="189"/>
      <c r="I221" s="188"/>
    </row>
    <row r="222" spans="1:9" ht="15.75">
      <c r="A222" s="182" t="s">
        <v>407</v>
      </c>
      <c r="B222" s="182" t="s">
        <v>408</v>
      </c>
      <c r="C222" s="183">
        <v>0</v>
      </c>
      <c r="D222" s="184"/>
      <c r="E222" s="187"/>
      <c r="F222" s="188"/>
      <c r="G222" s="188"/>
      <c r="H222" s="189"/>
      <c r="I222" s="188"/>
    </row>
    <row r="223" spans="1:9" ht="16.5" thickBot="1">
      <c r="A223" s="182" t="s">
        <v>110</v>
      </c>
      <c r="B223" s="182" t="s">
        <v>111</v>
      </c>
      <c r="C223" s="183">
        <v>0</v>
      </c>
      <c r="D223" s="184"/>
      <c r="E223" s="187"/>
      <c r="F223" s="188"/>
      <c r="G223" s="188"/>
      <c r="H223" s="189"/>
      <c r="I223" s="201"/>
    </row>
    <row r="224" spans="1:9" ht="15.75">
      <c r="A224" s="182" t="s">
        <v>76</v>
      </c>
      <c r="B224" s="182" t="s">
        <v>77</v>
      </c>
      <c r="C224" s="183">
        <v>0</v>
      </c>
      <c r="D224" s="184"/>
      <c r="E224" s="187"/>
      <c r="F224" s="188"/>
      <c r="G224" s="188"/>
      <c r="H224" s="189"/>
      <c r="I224" s="188"/>
    </row>
    <row r="225" spans="1:9" ht="15.75">
      <c r="A225" s="215" t="s">
        <v>94</v>
      </c>
      <c r="B225" s="182" t="s">
        <v>95</v>
      </c>
      <c r="C225" s="183">
        <v>0</v>
      </c>
      <c r="D225" s="184"/>
      <c r="E225" s="187"/>
      <c r="F225" s="188"/>
      <c r="G225" s="188"/>
      <c r="H225" s="189"/>
      <c r="I225" s="188"/>
    </row>
    <row r="226" spans="1:9" ht="15.75">
      <c r="A226" s="182" t="s">
        <v>470</v>
      </c>
      <c r="B226" s="182" t="s">
        <v>471</v>
      </c>
      <c r="C226" s="183">
        <v>0</v>
      </c>
      <c r="D226" s="184"/>
      <c r="E226" s="187"/>
      <c r="F226" s="188"/>
      <c r="G226" s="188"/>
      <c r="H226" s="189"/>
      <c r="I226" s="188"/>
    </row>
    <row r="227" spans="1:9" ht="15.75">
      <c r="A227" s="182" t="s">
        <v>242</v>
      </c>
      <c r="B227" s="182" t="s">
        <v>243</v>
      </c>
      <c r="C227" s="183">
        <v>0</v>
      </c>
      <c r="D227" s="184"/>
      <c r="E227" s="194"/>
      <c r="F227" s="188"/>
      <c r="G227" s="188"/>
      <c r="H227" s="189"/>
      <c r="I227" s="188"/>
    </row>
    <row r="228" spans="1:9" ht="15.75">
      <c r="A228" s="182" t="s">
        <v>382</v>
      </c>
      <c r="B228" s="182" t="s">
        <v>383</v>
      </c>
      <c r="C228" s="183">
        <v>0</v>
      </c>
      <c r="D228" s="184"/>
      <c r="E228" s="194"/>
      <c r="F228" s="188"/>
      <c r="G228" s="188"/>
      <c r="H228" s="189"/>
      <c r="I228" s="188"/>
    </row>
    <row r="229" spans="1:9" ht="15.75">
      <c r="A229" s="182" t="s">
        <v>518</v>
      </c>
      <c r="B229" s="182" t="s">
        <v>645</v>
      </c>
      <c r="C229" s="183">
        <v>0</v>
      </c>
      <c r="D229" s="184"/>
      <c r="E229" s="187"/>
      <c r="F229" s="188"/>
      <c r="G229" s="188"/>
      <c r="H229" s="189"/>
      <c r="I229" s="188"/>
    </row>
    <row r="230" spans="1:9" ht="15.75">
      <c r="A230" s="213" t="s">
        <v>659</v>
      </c>
      <c r="B230" s="182" t="s">
        <v>660</v>
      </c>
      <c r="C230" s="183">
        <v>0</v>
      </c>
      <c r="D230" s="184"/>
      <c r="E230" s="187"/>
      <c r="F230" s="188"/>
      <c r="G230" s="188"/>
      <c r="H230" s="189"/>
      <c r="I230" s="188"/>
    </row>
    <row r="231" spans="1:9" ht="15.75">
      <c r="A231" s="182" t="s">
        <v>519</v>
      </c>
      <c r="B231" s="182" t="s">
        <v>520</v>
      </c>
      <c r="C231" s="183">
        <v>0</v>
      </c>
      <c r="D231" s="184"/>
      <c r="E231" s="187"/>
      <c r="F231" s="188"/>
      <c r="G231" s="188"/>
      <c r="H231" s="189"/>
      <c r="I231" s="188"/>
    </row>
    <row r="232" spans="1:9" ht="15.75">
      <c r="A232" s="182" t="s">
        <v>458</v>
      </c>
      <c r="B232" s="182" t="s">
        <v>459</v>
      </c>
      <c r="C232" s="183">
        <v>0</v>
      </c>
      <c r="D232" s="184"/>
      <c r="E232" s="187"/>
      <c r="F232" s="188"/>
      <c r="G232" s="188"/>
      <c r="H232" s="189"/>
      <c r="I232" s="188"/>
    </row>
    <row r="233" spans="1:9" ht="15.75">
      <c r="A233" s="182" t="s">
        <v>373</v>
      </c>
      <c r="B233" s="182" t="s">
        <v>374</v>
      </c>
      <c r="C233" s="183">
        <v>1282</v>
      </c>
      <c r="D233" s="193" t="s">
        <v>374</v>
      </c>
      <c r="E233" s="187" t="s">
        <v>644</v>
      </c>
      <c r="F233" s="188"/>
      <c r="G233" s="188"/>
      <c r="H233" s="189"/>
      <c r="I233" s="188"/>
    </row>
    <row r="234" spans="1:9" ht="15.75">
      <c r="A234" s="182" t="s">
        <v>250</v>
      </c>
      <c r="B234" s="182" t="s">
        <v>251</v>
      </c>
      <c r="C234" s="183">
        <v>1026</v>
      </c>
      <c r="D234" s="193" t="s">
        <v>251</v>
      </c>
      <c r="E234" s="187" t="s">
        <v>644</v>
      </c>
      <c r="F234" s="188"/>
      <c r="G234" s="188"/>
      <c r="H234" s="189"/>
      <c r="I234" s="188"/>
    </row>
    <row r="235" spans="1:9" ht="15.75">
      <c r="A235" s="182" t="s">
        <v>90</v>
      </c>
      <c r="B235" s="182" t="s">
        <v>91</v>
      </c>
      <c r="C235" s="183">
        <v>0</v>
      </c>
      <c r="D235" s="184"/>
      <c r="E235" s="187"/>
      <c r="F235" s="188"/>
      <c r="G235" s="188"/>
      <c r="H235" s="189"/>
      <c r="I235" s="188"/>
    </row>
    <row r="236" spans="1:9" ht="15.75">
      <c r="A236" s="182" t="s">
        <v>301</v>
      </c>
      <c r="B236" s="182" t="s">
        <v>302</v>
      </c>
      <c r="C236" s="183">
        <v>0</v>
      </c>
      <c r="D236" s="184"/>
      <c r="E236" s="187"/>
      <c r="F236" s="188"/>
      <c r="G236" s="188"/>
      <c r="H236" s="189"/>
      <c r="I236" s="188"/>
    </row>
    <row r="237" spans="1:9" ht="16.5" thickBot="1">
      <c r="A237" s="182" t="s">
        <v>466</v>
      </c>
      <c r="B237" s="182" t="s">
        <v>467</v>
      </c>
      <c r="C237" s="183">
        <v>0</v>
      </c>
      <c r="D237" s="184"/>
      <c r="E237" s="187"/>
      <c r="F237" s="188"/>
      <c r="G237" s="188"/>
      <c r="H237" s="189"/>
      <c r="I237" s="201"/>
    </row>
    <row r="238" spans="1:9" ht="15.75">
      <c r="A238" s="182" t="s">
        <v>138</v>
      </c>
      <c r="B238" s="182" t="s">
        <v>656</v>
      </c>
      <c r="C238" s="183">
        <v>0</v>
      </c>
      <c r="D238" s="184"/>
      <c r="E238" s="187"/>
      <c r="F238" s="188"/>
      <c r="G238" s="188"/>
      <c r="H238" s="189"/>
      <c r="I238" s="188"/>
    </row>
    <row r="239" spans="1:9" ht="15.75">
      <c r="A239" s="182" t="s">
        <v>430</v>
      </c>
      <c r="B239" s="182" t="s">
        <v>431</v>
      </c>
      <c r="C239" s="183">
        <v>1685</v>
      </c>
      <c r="D239" s="193" t="s">
        <v>431</v>
      </c>
      <c r="E239" s="187" t="s">
        <v>644</v>
      </c>
      <c r="F239" s="188"/>
      <c r="G239" s="188"/>
      <c r="H239" s="189"/>
      <c r="I239" s="188"/>
    </row>
    <row r="240" spans="1:9" ht="15.75">
      <c r="A240" s="182" t="s">
        <v>319</v>
      </c>
      <c r="B240" s="182" t="s">
        <v>320</v>
      </c>
      <c r="C240" s="183">
        <v>1026</v>
      </c>
      <c r="D240" s="193" t="s">
        <v>320</v>
      </c>
      <c r="E240" s="187" t="s">
        <v>644</v>
      </c>
      <c r="F240" s="188"/>
      <c r="G240" s="188"/>
      <c r="H240" s="189"/>
      <c r="I240" s="188"/>
    </row>
    <row r="241" spans="1:9" ht="15.75">
      <c r="A241" s="182" t="s">
        <v>391</v>
      </c>
      <c r="B241" s="182" t="s">
        <v>392</v>
      </c>
      <c r="C241" s="183">
        <v>0</v>
      </c>
      <c r="D241" s="184"/>
      <c r="E241" s="187"/>
      <c r="F241" s="188"/>
      <c r="G241" s="188"/>
      <c r="H241" s="189"/>
      <c r="I241" s="188"/>
    </row>
    <row r="242" spans="1:9" ht="15.75">
      <c r="A242" s="182" t="s">
        <v>139</v>
      </c>
      <c r="B242" s="182" t="s">
        <v>140</v>
      </c>
      <c r="C242" s="183">
        <v>2491</v>
      </c>
      <c r="D242" s="193" t="s">
        <v>140</v>
      </c>
      <c r="E242" s="187" t="s">
        <v>644</v>
      </c>
      <c r="F242" s="188"/>
      <c r="G242" s="188"/>
      <c r="H242" s="189"/>
      <c r="I242" s="188"/>
    </row>
    <row r="243" spans="1:9" ht="15.75">
      <c r="A243" s="182" t="s">
        <v>260</v>
      </c>
      <c r="B243" s="182" t="s">
        <v>261</v>
      </c>
      <c r="C243" s="183">
        <v>0</v>
      </c>
      <c r="D243" s="184"/>
      <c r="E243" s="187"/>
      <c r="F243" s="188"/>
      <c r="G243" s="188"/>
      <c r="H243" s="189"/>
      <c r="I243" s="188"/>
    </row>
    <row r="244" spans="1:9" ht="15.75">
      <c r="A244" s="182" t="s">
        <v>258</v>
      </c>
      <c r="B244" s="182" t="s">
        <v>259</v>
      </c>
      <c r="C244" s="183">
        <v>4085</v>
      </c>
      <c r="D244" s="193" t="s">
        <v>259</v>
      </c>
      <c r="E244" s="187" t="s">
        <v>644</v>
      </c>
      <c r="F244" s="188"/>
      <c r="G244" s="188"/>
      <c r="H244" s="189"/>
      <c r="I244" s="188"/>
    </row>
    <row r="245" spans="1:9" ht="15.75">
      <c r="A245" s="182" t="s">
        <v>389</v>
      </c>
      <c r="B245" s="182" t="s">
        <v>390</v>
      </c>
      <c r="C245" s="183">
        <v>0</v>
      </c>
      <c r="D245" s="184"/>
      <c r="E245" s="187"/>
      <c r="F245" s="188"/>
      <c r="G245" s="188"/>
      <c r="H245" s="189"/>
      <c r="I245" s="188"/>
    </row>
    <row r="246" spans="1:9" ht="15.75">
      <c r="A246" s="182" t="s">
        <v>252</v>
      </c>
      <c r="B246" s="182" t="s">
        <v>253</v>
      </c>
      <c r="C246" s="183">
        <v>0</v>
      </c>
      <c r="D246" s="184"/>
      <c r="E246" s="194"/>
      <c r="F246" s="188"/>
      <c r="G246" s="188"/>
      <c r="H246" s="189"/>
      <c r="I246" s="188"/>
    </row>
    <row r="247" spans="1:9" ht="16.5" thickBot="1">
      <c r="A247" s="182" t="s">
        <v>309</v>
      </c>
      <c r="B247" s="182" t="s">
        <v>310</v>
      </c>
      <c r="C247" s="183">
        <v>0</v>
      </c>
      <c r="D247" s="184"/>
      <c r="E247" s="194"/>
      <c r="F247" s="188"/>
      <c r="G247" s="188"/>
      <c r="H247" s="189"/>
      <c r="I247" s="201"/>
    </row>
    <row r="248" spans="1:9" ht="15.75">
      <c r="A248" s="182" t="s">
        <v>336</v>
      </c>
      <c r="B248" s="182" t="s">
        <v>337</v>
      </c>
      <c r="C248" s="183">
        <v>0</v>
      </c>
      <c r="D248" s="184"/>
      <c r="E248" s="194"/>
      <c r="F248" s="188"/>
      <c r="G248" s="188"/>
      <c r="H248" s="189"/>
      <c r="I248" s="188"/>
    </row>
    <row r="249" spans="1:9">
      <c r="A249" s="182" t="s">
        <v>428</v>
      </c>
      <c r="B249" s="182" t="s">
        <v>429</v>
      </c>
      <c r="C249" s="183">
        <v>0</v>
      </c>
      <c r="D249" s="202"/>
      <c r="E249" s="202"/>
      <c r="F249" s="214"/>
      <c r="G249" s="202"/>
      <c r="H249" s="203"/>
      <c r="I249" s="202"/>
    </row>
    <row r="250" spans="1:9">
      <c r="A250" s="182" t="s">
        <v>136</v>
      </c>
      <c r="B250" s="182" t="s">
        <v>137</v>
      </c>
      <c r="C250" s="183">
        <v>0</v>
      </c>
      <c r="D250" s="202"/>
      <c r="E250" s="202"/>
      <c r="F250" s="214"/>
      <c r="G250" s="202"/>
      <c r="H250" s="203"/>
      <c r="I250" s="202"/>
    </row>
    <row r="251" spans="1:9" ht="15.75">
      <c r="A251" s="182" t="s">
        <v>305</v>
      </c>
      <c r="B251" s="182" t="s">
        <v>306</v>
      </c>
      <c r="C251" s="183">
        <v>9250</v>
      </c>
      <c r="D251" s="193" t="s">
        <v>306</v>
      </c>
      <c r="E251" s="187" t="s">
        <v>644</v>
      </c>
      <c r="F251" s="188"/>
      <c r="G251" s="188"/>
      <c r="H251" s="189"/>
      <c r="I251" s="188"/>
    </row>
    <row r="252" spans="1:9" ht="15.75">
      <c r="A252" s="182" t="s">
        <v>334</v>
      </c>
      <c r="B252" s="182" t="s">
        <v>335</v>
      </c>
      <c r="C252" s="183">
        <v>0</v>
      </c>
      <c r="D252" s="184"/>
      <c r="E252" s="187"/>
      <c r="F252" s="188"/>
      <c r="G252" s="188"/>
      <c r="H252" s="189"/>
      <c r="I252" s="188"/>
    </row>
    <row r="253" spans="1:9" ht="16.5" thickBot="1">
      <c r="A253" s="182" t="s">
        <v>468</v>
      </c>
      <c r="B253" s="182" t="s">
        <v>469</v>
      </c>
      <c r="C253" s="183">
        <v>0</v>
      </c>
      <c r="D253" s="184"/>
      <c r="E253" s="187"/>
      <c r="F253" s="188"/>
      <c r="G253" s="188"/>
      <c r="H253" s="189"/>
      <c r="I253" s="201"/>
    </row>
    <row r="254" spans="1:9" ht="15.75">
      <c r="A254" s="182" t="s">
        <v>541</v>
      </c>
      <c r="B254" s="182" t="s">
        <v>542</v>
      </c>
      <c r="C254" s="183">
        <v>0</v>
      </c>
      <c r="D254" s="184"/>
      <c r="E254" s="187"/>
      <c r="F254" s="188"/>
      <c r="G254" s="188"/>
      <c r="H254" s="189"/>
      <c r="I254" s="188"/>
    </row>
    <row r="255" spans="1:9" ht="15.75">
      <c r="A255" s="182" t="s">
        <v>155</v>
      </c>
      <c r="B255" s="182" t="s">
        <v>156</v>
      </c>
      <c r="C255" s="183">
        <v>0</v>
      </c>
      <c r="D255" s="184"/>
      <c r="E255" s="187"/>
      <c r="F255" s="188"/>
      <c r="G255" s="188"/>
      <c r="H255" s="189"/>
      <c r="I255" s="188"/>
    </row>
    <row r="256" spans="1:9" ht="15.75">
      <c r="A256" s="182" t="s">
        <v>153</v>
      </c>
      <c r="B256" s="182" t="s">
        <v>154</v>
      </c>
      <c r="C256" s="183">
        <v>3829</v>
      </c>
      <c r="D256" s="193" t="s">
        <v>154</v>
      </c>
      <c r="E256" s="187" t="s">
        <v>644</v>
      </c>
      <c r="F256" s="188"/>
      <c r="G256" s="188"/>
      <c r="H256" s="189"/>
      <c r="I256" s="198">
        <v>3300</v>
      </c>
    </row>
    <row r="257" spans="1:9" ht="15.75">
      <c r="A257" s="182" t="s">
        <v>287</v>
      </c>
      <c r="B257" s="182" t="s">
        <v>288</v>
      </c>
      <c r="C257" s="183">
        <v>0</v>
      </c>
      <c r="D257" s="184"/>
      <c r="E257" s="187"/>
      <c r="F257" s="188"/>
      <c r="G257" s="188"/>
      <c r="H257" s="189"/>
      <c r="I257" s="188"/>
    </row>
    <row r="258" spans="1:9" ht="15.75">
      <c r="A258" s="182" t="s">
        <v>448</v>
      </c>
      <c r="B258" s="182" t="s">
        <v>449</v>
      </c>
      <c r="C258" s="183">
        <v>0</v>
      </c>
      <c r="D258" s="184"/>
      <c r="E258" s="187"/>
      <c r="F258" s="188"/>
      <c r="G258" s="188"/>
      <c r="H258" s="189"/>
      <c r="I258" s="188"/>
    </row>
    <row r="259" spans="1:9" ht="15.75">
      <c r="A259" s="182" t="s">
        <v>424</v>
      </c>
      <c r="B259" s="182" t="s">
        <v>425</v>
      </c>
      <c r="C259" s="183">
        <v>0</v>
      </c>
      <c r="D259" s="184"/>
      <c r="E259" s="187"/>
      <c r="F259" s="188"/>
      <c r="G259" s="188"/>
      <c r="H259" s="189"/>
      <c r="I259" s="188"/>
    </row>
    <row r="260" spans="1:9" ht="15.75">
      <c r="A260" s="182" t="s">
        <v>98</v>
      </c>
      <c r="B260" s="182" t="s">
        <v>99</v>
      </c>
      <c r="C260" s="183">
        <v>0</v>
      </c>
      <c r="D260" s="184"/>
      <c r="E260" s="187"/>
      <c r="F260" s="188"/>
      <c r="G260" s="188"/>
      <c r="H260" s="189"/>
      <c r="I260" s="188"/>
    </row>
    <row r="261" spans="1:9" ht="15.75">
      <c r="A261" s="182" t="s">
        <v>527</v>
      </c>
      <c r="B261" s="182" t="s">
        <v>528</v>
      </c>
      <c r="C261" s="183">
        <v>0</v>
      </c>
      <c r="D261" s="184"/>
      <c r="E261" s="187"/>
      <c r="F261" s="188"/>
      <c r="G261" s="188"/>
      <c r="H261" s="189"/>
      <c r="I261" s="188"/>
    </row>
    <row r="262" spans="1:9" ht="16.5" thickBot="1">
      <c r="A262" s="182" t="s">
        <v>272</v>
      </c>
      <c r="B262" s="182" t="s">
        <v>273</v>
      </c>
      <c r="C262" s="183">
        <v>0</v>
      </c>
      <c r="D262" s="184"/>
      <c r="E262" s="191"/>
      <c r="F262" s="188"/>
      <c r="G262" s="188"/>
      <c r="H262" s="189"/>
      <c r="I262" s="201"/>
    </row>
    <row r="263" spans="1:9" ht="15.75">
      <c r="A263" s="182" t="s">
        <v>303</v>
      </c>
      <c r="B263" s="182" t="s">
        <v>304</v>
      </c>
      <c r="C263" s="183">
        <v>0</v>
      </c>
      <c r="D263" s="184"/>
      <c r="E263" s="187"/>
      <c r="F263" s="188"/>
      <c r="G263" s="188"/>
      <c r="H263" s="189"/>
      <c r="I263" s="188"/>
    </row>
    <row r="264" spans="1:9" ht="15.75">
      <c r="A264" s="182" t="s">
        <v>657</v>
      </c>
      <c r="B264" s="182" t="s">
        <v>658</v>
      </c>
      <c r="C264" s="183">
        <v>0</v>
      </c>
      <c r="D264" s="184"/>
      <c r="E264" s="187"/>
      <c r="F264" s="185"/>
      <c r="G264" s="188"/>
      <c r="H264" s="189"/>
      <c r="I264" s="188"/>
    </row>
    <row r="265" spans="1:9" ht="15.75">
      <c r="A265" s="182" t="s">
        <v>163</v>
      </c>
      <c r="B265" s="182" t="s">
        <v>164</v>
      </c>
      <c r="C265" s="183">
        <v>0</v>
      </c>
      <c r="D265" s="184"/>
      <c r="E265" s="187"/>
      <c r="F265" s="188"/>
      <c r="G265" s="188"/>
      <c r="H265" s="189"/>
      <c r="I265" s="188"/>
    </row>
    <row r="266" spans="1:9" ht="15.75">
      <c r="A266" s="182" t="s">
        <v>167</v>
      </c>
      <c r="B266" s="182" t="s">
        <v>168</v>
      </c>
      <c r="C266" s="183">
        <v>0</v>
      </c>
      <c r="D266" s="195"/>
      <c r="E266" s="196"/>
      <c r="F266" s="197"/>
      <c r="G266" s="188"/>
      <c r="H266" s="189"/>
      <c r="I266" s="188"/>
    </row>
    <row r="267" spans="1:9" ht="15.75">
      <c r="A267" s="182" t="s">
        <v>480</v>
      </c>
      <c r="B267" s="182" t="s">
        <v>481</v>
      </c>
      <c r="C267" s="183">
        <v>0</v>
      </c>
      <c r="D267" s="184"/>
      <c r="E267" s="187"/>
      <c r="F267" s="188"/>
      <c r="G267" s="188"/>
      <c r="H267" s="189"/>
      <c r="I267" s="188"/>
    </row>
    <row r="268" spans="1:9" ht="15.75">
      <c r="A268" s="182" t="s">
        <v>282</v>
      </c>
      <c r="B268" s="182" t="s">
        <v>665</v>
      </c>
      <c r="C268" s="183">
        <v>0</v>
      </c>
      <c r="D268" s="184"/>
      <c r="E268" s="191"/>
      <c r="F268" s="188"/>
      <c r="G268" s="188"/>
      <c r="H268" s="189"/>
      <c r="I268" s="188"/>
    </row>
    <row r="269" spans="1:9" ht="15.75">
      <c r="A269" s="182" t="s">
        <v>102</v>
      </c>
      <c r="B269" s="182" t="s">
        <v>103</v>
      </c>
      <c r="C269" s="183">
        <v>0</v>
      </c>
      <c r="D269" s="184"/>
      <c r="E269" s="187"/>
      <c r="F269" s="188"/>
      <c r="G269" s="188"/>
      <c r="H269" s="189"/>
      <c r="I269" s="188"/>
    </row>
    <row r="270" spans="1:9" ht="15.75">
      <c r="A270" s="182" t="s">
        <v>8</v>
      </c>
      <c r="B270" s="182" t="s">
        <v>9</v>
      </c>
      <c r="C270" s="183">
        <v>0</v>
      </c>
      <c r="D270" s="184"/>
      <c r="E270" s="187"/>
      <c r="F270" s="188"/>
      <c r="G270" s="188"/>
      <c r="H270" s="189"/>
      <c r="I270" s="188"/>
    </row>
    <row r="271" spans="1:9" ht="15.75">
      <c r="A271" s="182" t="s">
        <v>446</v>
      </c>
      <c r="B271" s="182" t="s">
        <v>447</v>
      </c>
      <c r="C271" s="183">
        <v>0</v>
      </c>
      <c r="D271" s="184"/>
      <c r="E271" s="187"/>
      <c r="F271" s="188"/>
      <c r="G271" s="188"/>
      <c r="H271" s="189"/>
      <c r="I271" s="188"/>
    </row>
    <row r="272" spans="1:9" ht="15.75">
      <c r="A272" s="182" t="s">
        <v>244</v>
      </c>
      <c r="B272" s="182" t="s">
        <v>245</v>
      </c>
      <c r="C272" s="183">
        <v>1465</v>
      </c>
      <c r="D272" s="184" t="s">
        <v>245</v>
      </c>
      <c r="E272" s="187" t="s">
        <v>644</v>
      </c>
      <c r="F272" s="188"/>
      <c r="G272" s="188"/>
      <c r="H272" s="203"/>
      <c r="I272" s="202"/>
    </row>
    <row r="273" spans="1:9" ht="15.75">
      <c r="A273" s="182" t="s">
        <v>537</v>
      </c>
      <c r="B273" s="182" t="s">
        <v>538</v>
      </c>
      <c r="C273" s="183">
        <v>0</v>
      </c>
      <c r="D273" s="184"/>
      <c r="E273" s="187"/>
      <c r="F273" s="188"/>
      <c r="G273" s="188"/>
      <c r="H273" s="189"/>
      <c r="I273" s="188"/>
    </row>
    <row r="274" spans="1:9" ht="15.75">
      <c r="A274" s="182" t="s">
        <v>149</v>
      </c>
      <c r="B274" s="182" t="s">
        <v>150</v>
      </c>
      <c r="C274" s="183">
        <v>0</v>
      </c>
      <c r="D274" s="184"/>
      <c r="E274" s="196"/>
      <c r="F274" s="188"/>
      <c r="G274" s="188"/>
      <c r="H274" s="189"/>
      <c r="I274" s="188"/>
    </row>
    <row r="275" spans="1:9" ht="15.75">
      <c r="A275" s="182" t="s">
        <v>340</v>
      </c>
      <c r="B275" s="182" t="s">
        <v>341</v>
      </c>
      <c r="C275" s="183">
        <v>0</v>
      </c>
      <c r="D275" s="184"/>
      <c r="E275" s="187"/>
      <c r="F275" s="188"/>
      <c r="G275" s="188"/>
      <c r="H275" s="189"/>
      <c r="I275" s="188"/>
    </row>
    <row r="276" spans="1:9" ht="15.75">
      <c r="A276" s="182" t="s">
        <v>371</v>
      </c>
      <c r="B276" s="182" t="s">
        <v>670</v>
      </c>
      <c r="C276" s="183">
        <v>0</v>
      </c>
      <c r="D276" s="184"/>
      <c r="E276" s="187"/>
      <c r="F276" s="188"/>
      <c r="G276" s="188"/>
      <c r="H276" s="189"/>
      <c r="I276" s="188"/>
    </row>
    <row r="277" spans="1:9" ht="15.75">
      <c r="A277" s="182" t="s">
        <v>387</v>
      </c>
      <c r="B277" s="182" t="s">
        <v>388</v>
      </c>
      <c r="C277" s="183">
        <v>0</v>
      </c>
      <c r="D277" s="184"/>
      <c r="E277" s="187"/>
      <c r="F277" s="188"/>
      <c r="G277" s="188"/>
      <c r="H277" s="189"/>
      <c r="I277" s="188"/>
    </row>
    <row r="278" spans="1:9" ht="15.75">
      <c r="A278" s="182" t="s">
        <v>187</v>
      </c>
      <c r="B278" s="182" t="s">
        <v>188</v>
      </c>
      <c r="C278" s="183">
        <v>440</v>
      </c>
      <c r="D278" s="193" t="s">
        <v>188</v>
      </c>
      <c r="E278" s="187" t="s">
        <v>644</v>
      </c>
      <c r="F278" s="188"/>
      <c r="G278" s="188"/>
      <c r="H278" s="189"/>
      <c r="I278" s="188"/>
    </row>
    <row r="279" spans="1:9" ht="15.75">
      <c r="A279" s="182" t="s">
        <v>218</v>
      </c>
      <c r="B279" s="182" t="s">
        <v>219</v>
      </c>
      <c r="C279" s="183">
        <v>7729</v>
      </c>
      <c r="D279" s="193" t="s">
        <v>219</v>
      </c>
      <c r="E279" s="187" t="s">
        <v>644</v>
      </c>
      <c r="F279" s="188"/>
      <c r="G279" s="188"/>
      <c r="H279" s="189"/>
      <c r="I279" s="198">
        <v>3900</v>
      </c>
    </row>
    <row r="280" spans="1:9" ht="15.75">
      <c r="A280" s="182" t="s">
        <v>295</v>
      </c>
      <c r="B280" s="182" t="s">
        <v>296</v>
      </c>
      <c r="C280" s="183">
        <v>0</v>
      </c>
      <c r="D280" s="184"/>
      <c r="E280" s="187"/>
      <c r="F280" s="188"/>
      <c r="G280" s="188"/>
      <c r="H280" s="189"/>
      <c r="I280" s="188"/>
    </row>
    <row r="281" spans="1:9" ht="15.75">
      <c r="A281" s="182" t="s">
        <v>280</v>
      </c>
      <c r="B281" s="182" t="s">
        <v>281</v>
      </c>
      <c r="C281" s="183">
        <v>0</v>
      </c>
      <c r="D281" s="184"/>
      <c r="E281" s="187"/>
      <c r="F281" s="188"/>
      <c r="G281" s="188"/>
      <c r="H281" s="189"/>
      <c r="I281" s="188"/>
    </row>
    <row r="282" spans="1:9" ht="15.75">
      <c r="A282" s="182" t="s">
        <v>539</v>
      </c>
      <c r="B282" s="182" t="s">
        <v>540</v>
      </c>
      <c r="C282" s="183">
        <v>0</v>
      </c>
      <c r="D282" s="184"/>
      <c r="E282" s="187"/>
      <c r="F282" s="188"/>
      <c r="G282" s="188"/>
      <c r="H282" s="189"/>
      <c r="I282" s="188"/>
    </row>
    <row r="283" spans="1:9" ht="15.75">
      <c r="A283" s="182" t="s">
        <v>108</v>
      </c>
      <c r="B283" s="182" t="s">
        <v>109</v>
      </c>
      <c r="C283" s="183">
        <v>0</v>
      </c>
      <c r="D283" s="184"/>
      <c r="E283" s="187"/>
      <c r="F283" s="188"/>
      <c r="G283" s="188"/>
      <c r="H283" s="189"/>
      <c r="I283" s="188"/>
    </row>
    <row r="284" spans="1:9" ht="15.75">
      <c r="A284" s="182" t="s">
        <v>68</v>
      </c>
      <c r="B284" s="182" t="s">
        <v>69</v>
      </c>
      <c r="C284" s="183">
        <v>0</v>
      </c>
      <c r="D284" s="184"/>
      <c r="E284" s="187"/>
      <c r="F284" s="188"/>
      <c r="G284" s="188"/>
      <c r="H284" s="189"/>
      <c r="I284" s="188"/>
    </row>
    <row r="285" spans="1:9" ht="15.75">
      <c r="A285" s="182" t="s">
        <v>27</v>
      </c>
      <c r="B285" s="182" t="s">
        <v>28</v>
      </c>
      <c r="C285" s="183">
        <v>0</v>
      </c>
      <c r="D285" s="184"/>
      <c r="E285" s="187"/>
      <c r="F285" s="188"/>
      <c r="G285" s="188"/>
      <c r="H285" s="189"/>
      <c r="I285" s="188"/>
    </row>
    <row r="286" spans="1:9" ht="15.75">
      <c r="A286" s="182" t="s">
        <v>531</v>
      </c>
      <c r="B286" s="182" t="s">
        <v>532</v>
      </c>
      <c r="C286" s="183">
        <v>0</v>
      </c>
      <c r="D286" s="184"/>
      <c r="E286" s="187"/>
      <c r="F286" s="188"/>
      <c r="G286" s="188"/>
      <c r="H286" s="189"/>
      <c r="I286" s="188"/>
    </row>
    <row r="287" spans="1:9" ht="15.75">
      <c r="A287" s="182" t="s">
        <v>415</v>
      </c>
      <c r="B287" s="182" t="s">
        <v>416</v>
      </c>
      <c r="C287" s="183">
        <v>11612</v>
      </c>
      <c r="D287" s="216" t="s">
        <v>416</v>
      </c>
      <c r="E287" s="187" t="s">
        <v>621</v>
      </c>
      <c r="F287" s="188"/>
      <c r="G287" s="188"/>
      <c r="H287" s="189"/>
      <c r="I287" s="188"/>
    </row>
    <row r="288" spans="1:9" ht="15.75">
      <c r="A288" s="182" t="s">
        <v>460</v>
      </c>
      <c r="B288" s="182" t="s">
        <v>461</v>
      </c>
      <c r="C288" s="183">
        <v>0</v>
      </c>
      <c r="D288" s="184"/>
      <c r="E288" s="187"/>
      <c r="F288" s="188"/>
      <c r="G288" s="188"/>
      <c r="H288" s="189"/>
      <c r="I288" s="188"/>
    </row>
    <row r="289" spans="1:9" ht="15.75">
      <c r="A289" s="213" t="s">
        <v>661</v>
      </c>
      <c r="B289" s="182" t="s">
        <v>662</v>
      </c>
      <c r="C289" s="183">
        <v>0</v>
      </c>
      <c r="D289" s="184"/>
      <c r="E289" s="187"/>
      <c r="F289" s="188"/>
      <c r="G289" s="188"/>
      <c r="H289" s="189"/>
      <c r="I289" s="188"/>
    </row>
    <row r="290" spans="1:9" ht="15.75">
      <c r="A290" s="182" t="s">
        <v>143</v>
      </c>
      <c r="B290" s="182" t="s">
        <v>144</v>
      </c>
      <c r="C290" s="183">
        <v>0</v>
      </c>
      <c r="D290" s="202"/>
      <c r="E290" s="202"/>
      <c r="F290" s="214"/>
      <c r="G290" s="188"/>
      <c r="H290" s="189"/>
      <c r="I290" s="188"/>
    </row>
    <row r="291" spans="1:9" ht="16.5" thickBot="1">
      <c r="A291" s="182" t="s">
        <v>521</v>
      </c>
      <c r="B291" s="182" t="s">
        <v>522</v>
      </c>
      <c r="C291" s="183">
        <v>0</v>
      </c>
      <c r="D291" s="184"/>
      <c r="E291" s="187"/>
      <c r="F291" s="185"/>
      <c r="G291" s="188"/>
      <c r="H291" s="189"/>
      <c r="I291" s="201"/>
    </row>
    <row r="292" spans="1:9" ht="15.75">
      <c r="A292" s="182" t="s">
        <v>486</v>
      </c>
      <c r="B292" s="182" t="s">
        <v>487</v>
      </c>
      <c r="C292" s="183">
        <v>1741</v>
      </c>
      <c r="D292" s="193" t="s">
        <v>487</v>
      </c>
      <c r="E292" s="187" t="s">
        <v>644</v>
      </c>
      <c r="F292" s="188"/>
      <c r="G292" s="188"/>
      <c r="H292" s="189"/>
      <c r="I292" s="188"/>
    </row>
    <row r="293" spans="1:9" ht="15.75">
      <c r="A293" s="182" t="s">
        <v>268</v>
      </c>
      <c r="B293" s="182" t="s">
        <v>269</v>
      </c>
      <c r="C293" s="183">
        <v>1008</v>
      </c>
      <c r="D293" s="193" t="s">
        <v>269</v>
      </c>
      <c r="E293" s="187" t="s">
        <v>644</v>
      </c>
      <c r="F293" s="188"/>
      <c r="G293" s="188"/>
      <c r="H293" s="189"/>
      <c r="I293" s="188"/>
    </row>
    <row r="294" spans="1:9" ht="15.75">
      <c r="A294" s="182" t="s">
        <v>72</v>
      </c>
      <c r="B294" s="182" t="s">
        <v>73</v>
      </c>
      <c r="C294" s="183">
        <v>0</v>
      </c>
      <c r="D294" s="184"/>
      <c r="E294" s="187"/>
      <c r="F294" s="188"/>
      <c r="G294" s="188"/>
      <c r="H294" s="189"/>
      <c r="I294" s="188"/>
    </row>
    <row r="295" spans="1:9" ht="15.75">
      <c r="A295" s="182" t="s">
        <v>238</v>
      </c>
      <c r="B295" s="182" t="s">
        <v>239</v>
      </c>
      <c r="C295" s="183">
        <v>0</v>
      </c>
      <c r="D295" s="184"/>
      <c r="E295" s="187"/>
      <c r="F295" s="188"/>
      <c r="G295" s="188"/>
      <c r="H295" s="189"/>
      <c r="I295" s="188"/>
    </row>
    <row r="296" spans="1:9" ht="16.5" thickBot="1">
      <c r="A296" s="182" t="s">
        <v>476</v>
      </c>
      <c r="B296" s="182" t="s">
        <v>477</v>
      </c>
      <c r="C296" s="211">
        <v>9580</v>
      </c>
      <c r="D296" s="193" t="s">
        <v>477</v>
      </c>
      <c r="E296" s="187" t="s">
        <v>644</v>
      </c>
      <c r="F296" s="188"/>
      <c r="G296" s="188"/>
      <c r="H296" s="189"/>
      <c r="I296" s="201"/>
    </row>
    <row r="297" spans="1:9" ht="15.75">
      <c r="A297" s="182" t="s">
        <v>254</v>
      </c>
      <c r="B297" s="182" t="s">
        <v>255</v>
      </c>
      <c r="C297" s="211">
        <v>0</v>
      </c>
      <c r="D297" s="184"/>
      <c r="E297" s="187"/>
      <c r="F297" s="188"/>
      <c r="G297" s="188"/>
      <c r="H297" s="189"/>
      <c r="I297" s="188"/>
    </row>
    <row r="298" spans="1:9" ht="15.75">
      <c r="A298" s="182" t="s">
        <v>454</v>
      </c>
      <c r="B298" s="182" t="s">
        <v>455</v>
      </c>
      <c r="C298" s="211">
        <v>0</v>
      </c>
      <c r="D298" s="184"/>
      <c r="E298" s="187"/>
      <c r="F298" s="188"/>
      <c r="G298" s="188"/>
      <c r="H298" s="189"/>
      <c r="I298" s="188"/>
    </row>
    <row r="299" spans="1:9" ht="15.75">
      <c r="A299" s="182" t="s">
        <v>183</v>
      </c>
      <c r="B299" s="182" t="s">
        <v>184</v>
      </c>
      <c r="C299" s="211">
        <v>2583</v>
      </c>
      <c r="D299" s="193" t="s">
        <v>184</v>
      </c>
      <c r="E299" s="187" t="s">
        <v>644</v>
      </c>
      <c r="F299" s="188"/>
      <c r="G299" s="188"/>
      <c r="H299" s="189"/>
      <c r="I299" s="188"/>
    </row>
    <row r="300" spans="1:9" ht="16.5" thickBot="1">
      <c r="A300" s="182" t="s">
        <v>488</v>
      </c>
      <c r="B300" s="182" t="s">
        <v>489</v>
      </c>
      <c r="C300" s="211">
        <v>0</v>
      </c>
      <c r="D300" s="184"/>
      <c r="E300" s="187"/>
      <c r="F300" s="188"/>
      <c r="G300" s="188"/>
      <c r="H300" s="189"/>
      <c r="I300" s="201"/>
    </row>
    <row r="301" spans="1:9" ht="15.75">
      <c r="A301" s="182" t="s">
        <v>500</v>
      </c>
      <c r="B301" s="182" t="s">
        <v>501</v>
      </c>
      <c r="C301" s="211">
        <v>0</v>
      </c>
      <c r="D301" s="184"/>
      <c r="E301" s="187"/>
      <c r="F301" s="188"/>
      <c r="G301" s="188"/>
      <c r="H301" s="189"/>
      <c r="I301" s="188"/>
    </row>
    <row r="302" spans="1:9" ht="15.75">
      <c r="A302" s="182" t="s">
        <v>0</v>
      </c>
      <c r="B302" s="182" t="s">
        <v>1</v>
      </c>
      <c r="C302" s="211">
        <v>0</v>
      </c>
      <c r="D302" s="184"/>
      <c r="E302" s="187"/>
      <c r="F302" s="188"/>
      <c r="G302" s="188"/>
      <c r="H302" s="189"/>
      <c r="I302" s="188"/>
    </row>
    <row r="303" spans="1:9" ht="15.75">
      <c r="A303" s="182" t="s">
        <v>92</v>
      </c>
      <c r="B303" s="182" t="s">
        <v>93</v>
      </c>
      <c r="C303" s="211">
        <v>4249</v>
      </c>
      <c r="D303" s="193" t="s">
        <v>93</v>
      </c>
      <c r="E303" s="187" t="s">
        <v>644</v>
      </c>
      <c r="F303" s="188"/>
      <c r="G303" s="188"/>
      <c r="H303" s="189"/>
      <c r="I303" s="188"/>
    </row>
    <row r="304" spans="1:9" ht="15.75">
      <c r="A304" s="182" t="s">
        <v>452</v>
      </c>
      <c r="B304" s="182" t="s">
        <v>453</v>
      </c>
      <c r="C304" s="183">
        <v>0</v>
      </c>
      <c r="D304" s="184"/>
      <c r="E304" s="187"/>
      <c r="F304" s="188"/>
      <c r="G304" s="188"/>
      <c r="H304" s="189"/>
      <c r="I304" s="188"/>
    </row>
    <row r="305" spans="1:9" ht="15.75">
      <c r="A305" s="182" t="s">
        <v>276</v>
      </c>
      <c r="B305" s="182" t="s">
        <v>277</v>
      </c>
      <c r="C305" s="183">
        <v>0</v>
      </c>
      <c r="D305" s="184"/>
      <c r="E305" s="194"/>
      <c r="F305" s="188"/>
      <c r="G305" s="188"/>
      <c r="H305" s="189"/>
      <c r="I305" s="188"/>
    </row>
    <row r="306" spans="1:9" ht="15.75">
      <c r="A306" s="182" t="s">
        <v>289</v>
      </c>
      <c r="B306" s="182" t="s">
        <v>290</v>
      </c>
      <c r="C306" s="183">
        <v>0</v>
      </c>
      <c r="D306" s="184"/>
      <c r="E306" s="187"/>
      <c r="F306" s="188"/>
      <c r="G306" s="188"/>
      <c r="H306" s="189"/>
      <c r="I306" s="188"/>
    </row>
    <row r="307" spans="1:9">
      <c r="A307" s="182" t="s">
        <v>332</v>
      </c>
      <c r="B307" s="182" t="s">
        <v>333</v>
      </c>
      <c r="C307" s="183">
        <v>0</v>
      </c>
      <c r="D307" s="202"/>
      <c r="E307" s="202"/>
      <c r="F307" s="214"/>
      <c r="G307" s="202"/>
      <c r="H307" s="203"/>
      <c r="I307" s="202"/>
    </row>
    <row r="308" spans="1:9">
      <c r="A308" s="182" t="s">
        <v>129</v>
      </c>
      <c r="B308" s="182" t="s">
        <v>130</v>
      </c>
      <c r="C308" s="183">
        <v>0</v>
      </c>
      <c r="D308" s="202"/>
      <c r="E308" s="202"/>
      <c r="F308" s="214"/>
      <c r="G308" s="202"/>
      <c r="H308" s="203"/>
      <c r="I308" s="202"/>
    </row>
    <row r="309" spans="1:9">
      <c r="A309" s="182" t="s">
        <v>151</v>
      </c>
      <c r="B309" s="182" t="s">
        <v>152</v>
      </c>
      <c r="C309" s="183">
        <v>0</v>
      </c>
      <c r="D309" s="202"/>
      <c r="E309" s="202"/>
      <c r="F309" s="214"/>
      <c r="G309" s="202"/>
      <c r="H309" s="203"/>
      <c r="I309" s="202"/>
    </row>
    <row r="310" spans="1:9">
      <c r="A310" s="182" t="s">
        <v>232</v>
      </c>
      <c r="B310" s="182" t="s">
        <v>233</v>
      </c>
      <c r="C310" s="183">
        <v>0</v>
      </c>
      <c r="D310" s="202"/>
      <c r="E310" s="202"/>
      <c r="F310" s="214"/>
      <c r="G310" s="202"/>
      <c r="H310" s="203"/>
      <c r="I310" s="202"/>
    </row>
    <row r="311" spans="1:9" ht="15.75">
      <c r="A311" s="202"/>
      <c r="B311" s="202"/>
      <c r="C311" s="202"/>
      <c r="D311" s="184"/>
      <c r="E311" s="217"/>
      <c r="F311" s="188">
        <f>SUM(F2:F310)</f>
        <v>300</v>
      </c>
      <c r="G311" s="202"/>
      <c r="H311" s="203">
        <f>SUM(H8:H310)</f>
        <v>465000</v>
      </c>
      <c r="I311" s="203">
        <f>SUM(I2:I310)</f>
        <v>55650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"/>
  <dimension ref="A1:K318"/>
  <sheetViews>
    <sheetView workbookViewId="0">
      <selection sqref="A1:P1"/>
    </sheetView>
  </sheetViews>
  <sheetFormatPr defaultRowHeight="12.75"/>
  <cols>
    <col min="1" max="1" width="12.5703125" customWidth="1"/>
    <col min="3" max="3" width="34.42578125" bestFit="1" customWidth="1"/>
  </cols>
  <sheetData>
    <row r="1" spans="1:11">
      <c r="A1" s="18" t="s">
        <v>591</v>
      </c>
      <c r="B1" s="18" t="s">
        <v>592</v>
      </c>
      <c r="C1" s="18" t="s">
        <v>648</v>
      </c>
    </row>
    <row r="2" spans="1:11">
      <c r="A2" s="64" t="s">
        <v>594</v>
      </c>
      <c r="B2" s="784" t="s">
        <v>132</v>
      </c>
      <c r="C2" s="784" t="s">
        <v>1429</v>
      </c>
      <c r="D2" t="str">
        <f>B2</f>
        <v>14005</v>
      </c>
    </row>
    <row r="3" spans="1:11">
      <c r="A3" s="64" t="s">
        <v>594</v>
      </c>
      <c r="B3" s="784" t="s">
        <v>262</v>
      </c>
      <c r="C3" s="784" t="s">
        <v>1485</v>
      </c>
      <c r="D3" t="str">
        <f t="shared" ref="D3:D66" si="0">B3</f>
        <v>21226</v>
      </c>
      <c r="I3" s="64"/>
      <c r="J3" s="784"/>
      <c r="K3" s="784"/>
    </row>
    <row r="4" spans="1:11">
      <c r="A4" s="64" t="s">
        <v>603</v>
      </c>
      <c r="B4" s="784" t="s">
        <v>283</v>
      </c>
      <c r="C4" s="784" t="s">
        <v>1495</v>
      </c>
      <c r="D4" t="str">
        <f t="shared" si="0"/>
        <v>22017</v>
      </c>
      <c r="I4" s="64"/>
      <c r="J4" s="784"/>
      <c r="K4" s="784"/>
    </row>
    <row r="5" spans="1:11">
      <c r="A5" s="64" t="s">
        <v>595</v>
      </c>
      <c r="B5" s="784" t="s">
        <v>380</v>
      </c>
      <c r="C5" s="784" t="s">
        <v>1541</v>
      </c>
      <c r="D5" t="str">
        <f t="shared" si="0"/>
        <v>29103</v>
      </c>
      <c r="I5" s="64"/>
      <c r="J5" s="784"/>
      <c r="K5" s="784"/>
    </row>
    <row r="6" spans="1:11">
      <c r="A6" s="64" t="s">
        <v>595</v>
      </c>
      <c r="B6" s="784" t="s">
        <v>403</v>
      </c>
      <c r="C6" s="784" t="s">
        <v>1552</v>
      </c>
      <c r="D6" t="str">
        <f t="shared" si="0"/>
        <v>31016</v>
      </c>
      <c r="I6" s="64"/>
      <c r="J6" s="785"/>
      <c r="K6" s="784"/>
    </row>
    <row r="7" spans="1:11">
      <c r="A7" s="64" t="s">
        <v>596</v>
      </c>
      <c r="B7" s="784" t="s">
        <v>12</v>
      </c>
      <c r="C7" s="784" t="s">
        <v>1374</v>
      </c>
      <c r="D7" t="str">
        <f t="shared" si="0"/>
        <v>02420</v>
      </c>
      <c r="I7" s="64"/>
      <c r="J7" s="784"/>
      <c r="K7" s="784"/>
    </row>
    <row r="8" spans="1:11">
      <c r="A8" s="64" t="s">
        <v>597</v>
      </c>
      <c r="B8" s="784" t="s">
        <v>195</v>
      </c>
      <c r="C8" s="784" t="s">
        <v>1362</v>
      </c>
      <c r="D8" t="str">
        <f t="shared" si="0"/>
        <v>17408</v>
      </c>
      <c r="I8" s="64"/>
      <c r="J8" s="784"/>
      <c r="K8" s="784"/>
    </row>
    <row r="9" spans="1:11">
      <c r="A9" s="64" t="s">
        <v>597</v>
      </c>
      <c r="B9" s="784" t="s">
        <v>213</v>
      </c>
      <c r="C9" s="784" t="s">
        <v>1463</v>
      </c>
      <c r="D9" t="str">
        <f t="shared" si="0"/>
        <v>18303</v>
      </c>
      <c r="I9" s="64"/>
      <c r="J9" s="784"/>
      <c r="K9" s="784"/>
    </row>
    <row r="10" spans="1:11">
      <c r="A10" s="64" t="s">
        <v>599</v>
      </c>
      <c r="B10" s="784" t="s">
        <v>62</v>
      </c>
      <c r="C10" s="784" t="s">
        <v>1396</v>
      </c>
      <c r="D10" t="str">
        <f t="shared" si="0"/>
        <v>06119</v>
      </c>
      <c r="I10" s="64"/>
      <c r="J10" s="784"/>
      <c r="K10" s="784"/>
    </row>
    <row r="11" spans="1:11">
      <c r="A11" s="64" t="s">
        <v>597</v>
      </c>
      <c r="B11" s="784" t="s">
        <v>189</v>
      </c>
      <c r="C11" s="784" t="s">
        <v>1455</v>
      </c>
      <c r="D11" t="str">
        <f t="shared" si="0"/>
        <v>17405</v>
      </c>
      <c r="I11" s="64"/>
      <c r="J11" s="784"/>
      <c r="K11" s="784"/>
    </row>
    <row r="12" spans="1:11">
      <c r="A12" s="64" t="s">
        <v>595</v>
      </c>
      <c r="B12" s="784" t="s">
        <v>504</v>
      </c>
      <c r="C12" s="784" t="s">
        <v>628</v>
      </c>
      <c r="D12" t="str">
        <f t="shared" si="0"/>
        <v>37501</v>
      </c>
      <c r="I12" s="64"/>
      <c r="J12" s="784"/>
      <c r="K12" s="784"/>
    </row>
    <row r="13" spans="1:11">
      <c r="A13" s="64" t="s">
        <v>603</v>
      </c>
      <c r="B13" s="785" t="s">
        <v>2</v>
      </c>
      <c r="C13" s="784" t="s">
        <v>1370</v>
      </c>
      <c r="D13" t="str">
        <f t="shared" si="0"/>
        <v>01122</v>
      </c>
      <c r="I13" s="64"/>
      <c r="J13" s="784"/>
      <c r="K13" s="784"/>
    </row>
    <row r="14" spans="1:11">
      <c r="A14" s="64" t="s">
        <v>597</v>
      </c>
      <c r="B14" s="784" t="s">
        <v>363</v>
      </c>
      <c r="C14" s="784" t="s">
        <v>1531</v>
      </c>
      <c r="D14" t="str">
        <f t="shared" si="0"/>
        <v>27403</v>
      </c>
      <c r="I14" s="64"/>
      <c r="J14" s="784"/>
      <c r="K14" s="784"/>
    </row>
    <row r="15" spans="1:11">
      <c r="A15" s="64" t="s">
        <v>605</v>
      </c>
      <c r="B15" s="784" t="s">
        <v>234</v>
      </c>
      <c r="C15" s="784" t="s">
        <v>1473</v>
      </c>
      <c r="D15" t="str">
        <f t="shared" si="0"/>
        <v>20203</v>
      </c>
      <c r="I15" s="64"/>
      <c r="J15" s="784"/>
      <c r="K15" s="784"/>
    </row>
    <row r="16" spans="1:11">
      <c r="A16" s="64" t="s">
        <v>595</v>
      </c>
      <c r="B16" s="784" t="s">
        <v>508</v>
      </c>
      <c r="C16" s="784" t="s">
        <v>1603</v>
      </c>
      <c r="D16" t="str">
        <f t="shared" si="0"/>
        <v>37503</v>
      </c>
      <c r="I16" s="64"/>
      <c r="J16" s="784"/>
      <c r="K16" s="784"/>
    </row>
    <row r="17" spans="1:11">
      <c r="A17" s="64" t="s">
        <v>594</v>
      </c>
      <c r="B17" s="784" t="s">
        <v>266</v>
      </c>
      <c r="C17" s="784" t="s">
        <v>1487</v>
      </c>
      <c r="D17" t="str">
        <f t="shared" si="0"/>
        <v>21234</v>
      </c>
      <c r="I17" s="64"/>
      <c r="J17" s="784"/>
      <c r="K17" s="784"/>
    </row>
    <row r="18" spans="1:11">
      <c r="A18" s="64" t="s">
        <v>600</v>
      </c>
      <c r="B18" s="784" t="s">
        <v>211</v>
      </c>
      <c r="C18" s="784" t="s">
        <v>1462</v>
      </c>
      <c r="D18" t="str">
        <f t="shared" si="0"/>
        <v>18100</v>
      </c>
      <c r="I18" s="64"/>
      <c r="J18" s="784"/>
      <c r="K18" s="784"/>
    </row>
    <row r="19" spans="1:11">
      <c r="A19" s="64" t="s">
        <v>601</v>
      </c>
      <c r="B19" s="784" t="s">
        <v>315</v>
      </c>
      <c r="C19" s="784" t="s">
        <v>1510</v>
      </c>
      <c r="D19" t="str">
        <f t="shared" si="0"/>
        <v>24111</v>
      </c>
      <c r="I19" s="64"/>
      <c r="J19" s="784"/>
      <c r="K19" s="784"/>
    </row>
    <row r="20" spans="1:11">
      <c r="A20" s="64" t="s">
        <v>601</v>
      </c>
      <c r="B20" s="784" t="s">
        <v>84</v>
      </c>
      <c r="C20" s="784" t="s">
        <v>1406</v>
      </c>
      <c r="D20" t="str">
        <f t="shared" si="0"/>
        <v>09075</v>
      </c>
      <c r="I20" s="64"/>
      <c r="J20" s="784"/>
      <c r="K20" s="784"/>
    </row>
    <row r="21" spans="1:11">
      <c r="A21" s="64" t="s">
        <v>600</v>
      </c>
      <c r="B21" s="784" t="s">
        <v>165</v>
      </c>
      <c r="C21" s="784" t="s">
        <v>1444</v>
      </c>
      <c r="D21" t="str">
        <f t="shared" si="0"/>
        <v>16046</v>
      </c>
      <c r="I21" s="64"/>
      <c r="J21" s="784"/>
      <c r="K21" s="784"/>
    </row>
    <row r="22" spans="1:11">
      <c r="A22" s="64" t="s">
        <v>595</v>
      </c>
      <c r="B22" s="784" t="s">
        <v>378</v>
      </c>
      <c r="C22" s="784" t="s">
        <v>629</v>
      </c>
      <c r="D22" t="str">
        <f t="shared" si="0"/>
        <v>29100</v>
      </c>
      <c r="I22" s="64"/>
      <c r="J22" s="784"/>
      <c r="K22" s="784"/>
    </row>
    <row r="23" spans="1:11">
      <c r="A23" s="64" t="s">
        <v>599</v>
      </c>
      <c r="B23" s="784" t="s">
        <v>60</v>
      </c>
      <c r="C23" s="784" t="s">
        <v>1395</v>
      </c>
      <c r="D23" t="str">
        <f t="shared" si="0"/>
        <v>06117</v>
      </c>
      <c r="I23" s="64"/>
      <c r="J23" s="784"/>
      <c r="K23" s="784"/>
    </row>
    <row r="24" spans="1:11">
      <c r="A24" s="64" t="s">
        <v>600</v>
      </c>
      <c r="B24" s="784" t="s">
        <v>45</v>
      </c>
      <c r="C24" s="784" t="s">
        <v>1388</v>
      </c>
      <c r="D24" t="str">
        <f t="shared" si="0"/>
        <v>05401</v>
      </c>
      <c r="I24" s="64"/>
      <c r="J24" s="784"/>
      <c r="K24" s="784"/>
    </row>
    <row r="25" spans="1:11">
      <c r="A25" s="64" t="s">
        <v>597</v>
      </c>
      <c r="B25" s="784" t="s">
        <v>347</v>
      </c>
      <c r="C25" s="784" t="s">
        <v>1525</v>
      </c>
      <c r="D25" t="str">
        <f t="shared" si="0"/>
        <v>27019</v>
      </c>
      <c r="I25" s="64"/>
      <c r="J25" s="784"/>
      <c r="K25" s="784"/>
    </row>
    <row r="26" spans="1:11">
      <c r="A26" s="64" t="s">
        <v>601</v>
      </c>
      <c r="B26" s="784" t="s">
        <v>35</v>
      </c>
      <c r="C26" s="784" t="s">
        <v>1383</v>
      </c>
      <c r="D26" t="str">
        <f t="shared" si="0"/>
        <v>04228</v>
      </c>
      <c r="I26" s="64"/>
      <c r="J26" s="784"/>
      <c r="K26" s="784"/>
    </row>
    <row r="27" spans="1:11">
      <c r="A27" s="64" t="s">
        <v>1666</v>
      </c>
      <c r="B27" s="784" t="s">
        <v>1751</v>
      </c>
      <c r="C27" s="785" t="s">
        <v>1780</v>
      </c>
      <c r="D27" t="str">
        <f t="shared" si="0"/>
        <v>17917</v>
      </c>
      <c r="I27" s="64"/>
      <c r="J27" s="784"/>
      <c r="K27" s="784"/>
    </row>
    <row r="28" spans="1:11">
      <c r="A28" s="64" t="s">
        <v>601</v>
      </c>
      <c r="B28" s="784" t="s">
        <v>33</v>
      </c>
      <c r="C28" s="784" t="s">
        <v>878</v>
      </c>
      <c r="D28" t="str">
        <f t="shared" si="0"/>
        <v>04222</v>
      </c>
      <c r="I28" s="64"/>
      <c r="J28" s="784"/>
      <c r="K28" s="784"/>
    </row>
    <row r="29" spans="1:11">
      <c r="A29" s="64" t="s">
        <v>599</v>
      </c>
      <c r="B29" s="784" t="s">
        <v>74</v>
      </c>
      <c r="C29" s="784" t="s">
        <v>1401</v>
      </c>
      <c r="D29" t="str">
        <f t="shared" si="0"/>
        <v>08401</v>
      </c>
      <c r="I29" s="64"/>
      <c r="J29" s="784"/>
      <c r="K29" s="784"/>
    </row>
    <row r="30" spans="1:11">
      <c r="A30" s="64" t="s">
        <v>1666</v>
      </c>
      <c r="B30" s="784" t="s">
        <v>1753</v>
      </c>
      <c r="C30" s="785" t="s">
        <v>1781</v>
      </c>
      <c r="D30" t="str">
        <f t="shared" si="0"/>
        <v>18901</v>
      </c>
      <c r="I30" s="64"/>
      <c r="J30" s="784"/>
      <c r="K30" s="784"/>
    </row>
    <row r="31" spans="1:11">
      <c r="A31" s="64" t="s">
        <v>599</v>
      </c>
      <c r="B31" s="784" t="s">
        <v>236</v>
      </c>
      <c r="C31" s="784" t="s">
        <v>1474</v>
      </c>
      <c r="D31" t="str">
        <f t="shared" si="0"/>
        <v>20215</v>
      </c>
      <c r="I31" s="64"/>
      <c r="J31" s="784"/>
      <c r="K31" s="784"/>
    </row>
    <row r="32" spans="1:11">
      <c r="A32" s="64" t="s">
        <v>600</v>
      </c>
      <c r="B32" s="784" t="s">
        <v>216</v>
      </c>
      <c r="C32" s="784" t="s">
        <v>1464</v>
      </c>
      <c r="D32" t="str">
        <f t="shared" si="0"/>
        <v>18401</v>
      </c>
      <c r="I32" s="64"/>
      <c r="J32" s="784"/>
      <c r="K32" s="784"/>
    </row>
    <row r="33" spans="1:11">
      <c r="A33" s="64" t="s">
        <v>603</v>
      </c>
      <c r="B33" s="784" t="s">
        <v>434</v>
      </c>
      <c r="C33" s="784" t="s">
        <v>1568</v>
      </c>
      <c r="D33" t="str">
        <f t="shared" si="0"/>
        <v>32356</v>
      </c>
      <c r="I33" s="64"/>
      <c r="J33" s="784"/>
      <c r="K33" s="784"/>
    </row>
    <row r="34" spans="1:11">
      <c r="A34" s="64" t="s">
        <v>594</v>
      </c>
      <c r="B34" s="784" t="s">
        <v>278</v>
      </c>
      <c r="C34" s="784" t="s">
        <v>622</v>
      </c>
      <c r="D34" t="str">
        <f t="shared" si="0"/>
        <v>21401</v>
      </c>
      <c r="I34" s="64"/>
      <c r="J34" s="784"/>
      <c r="K34" s="784"/>
    </row>
    <row r="35" spans="1:11">
      <c r="A35" s="64" t="s">
        <v>594</v>
      </c>
      <c r="B35" s="784" t="s">
        <v>274</v>
      </c>
      <c r="C35" s="784" t="s">
        <v>1491</v>
      </c>
      <c r="D35" t="str">
        <f t="shared" si="0"/>
        <v>21302</v>
      </c>
      <c r="I35" s="64"/>
      <c r="J35" s="784"/>
      <c r="K35" s="784"/>
    </row>
    <row r="36" spans="1:11">
      <c r="A36" s="64" t="s">
        <v>603</v>
      </c>
      <c r="B36" s="784" t="s">
        <v>438</v>
      </c>
      <c r="C36" s="784" t="s">
        <v>1570</v>
      </c>
      <c r="D36" t="str">
        <f t="shared" si="0"/>
        <v>32360</v>
      </c>
      <c r="I36" s="64"/>
      <c r="J36" s="784"/>
      <c r="K36" s="784"/>
    </row>
    <row r="37" spans="1:11">
      <c r="A37" s="64" t="s">
        <v>603</v>
      </c>
      <c r="B37" s="784" t="s">
        <v>450</v>
      </c>
      <c r="C37" s="784" t="s">
        <v>1577</v>
      </c>
      <c r="D37" t="str">
        <f t="shared" si="0"/>
        <v>33036</v>
      </c>
      <c r="I37" s="64"/>
      <c r="J37" s="784"/>
      <c r="K37" s="784"/>
    </row>
    <row r="38" spans="1:11">
      <c r="A38" s="64" t="s">
        <v>600</v>
      </c>
      <c r="B38" s="784" t="s">
        <v>169</v>
      </c>
      <c r="C38" s="784" t="s">
        <v>1446</v>
      </c>
      <c r="D38" t="str">
        <f t="shared" si="0"/>
        <v>16049</v>
      </c>
      <c r="I38" s="64"/>
      <c r="J38" s="784"/>
      <c r="K38" s="784"/>
    </row>
    <row r="39" spans="1:11">
      <c r="A39" s="64" t="s">
        <v>596</v>
      </c>
      <c r="B39" s="784" t="s">
        <v>10</v>
      </c>
      <c r="C39" s="784" t="s">
        <v>1373</v>
      </c>
      <c r="D39" t="str">
        <f t="shared" si="0"/>
        <v>02250</v>
      </c>
      <c r="I39" s="64"/>
      <c r="J39" s="784"/>
      <c r="K39" s="784"/>
    </row>
    <row r="40" spans="1:11">
      <c r="A40" s="64" t="s">
        <v>605</v>
      </c>
      <c r="B40" s="784" t="s">
        <v>230</v>
      </c>
      <c r="C40" s="784" t="s">
        <v>1471</v>
      </c>
      <c r="D40" t="str">
        <f t="shared" si="0"/>
        <v>19404</v>
      </c>
      <c r="I40" s="64"/>
      <c r="J40" s="784"/>
      <c r="K40" s="784"/>
    </row>
    <row r="41" spans="1:11">
      <c r="A41" s="64" t="s">
        <v>597</v>
      </c>
      <c r="B41" s="784" t="s">
        <v>357</v>
      </c>
      <c r="C41" s="784" t="s">
        <v>1530</v>
      </c>
      <c r="D41" t="str">
        <f t="shared" si="0"/>
        <v>27400</v>
      </c>
      <c r="I41" s="64"/>
      <c r="J41" s="784"/>
      <c r="K41" s="784"/>
    </row>
    <row r="42" spans="1:11">
      <c r="A42" s="64" t="s">
        <v>603</v>
      </c>
      <c r="B42" s="784" t="s">
        <v>525</v>
      </c>
      <c r="C42" s="784" t="s">
        <v>1611</v>
      </c>
      <c r="D42" t="str">
        <f t="shared" si="0"/>
        <v>38300</v>
      </c>
      <c r="I42" s="64"/>
      <c r="J42" s="784"/>
      <c r="K42" s="784"/>
    </row>
    <row r="43" spans="1:11">
      <c r="A43" s="64" t="s">
        <v>596</v>
      </c>
      <c r="B43" s="784" t="s">
        <v>494</v>
      </c>
      <c r="C43" s="784" t="s">
        <v>1597</v>
      </c>
      <c r="D43" t="str">
        <f t="shared" si="0"/>
        <v>36250</v>
      </c>
      <c r="I43" s="64"/>
      <c r="J43" s="784"/>
      <c r="K43" s="784"/>
    </row>
    <row r="44" spans="1:11">
      <c r="A44" s="64" t="s">
        <v>603</v>
      </c>
      <c r="B44" s="787" t="s">
        <v>533</v>
      </c>
      <c r="C44" s="784" t="s">
        <v>1615</v>
      </c>
      <c r="D44" t="str">
        <f t="shared" si="0"/>
        <v>38306</v>
      </c>
      <c r="I44" s="64"/>
      <c r="J44" s="784"/>
      <c r="K44" s="784"/>
    </row>
    <row r="45" spans="1:11">
      <c r="A45" s="64" t="s">
        <v>603</v>
      </c>
      <c r="B45" s="784" t="s">
        <v>464</v>
      </c>
      <c r="C45" s="784" t="s">
        <v>1584</v>
      </c>
      <c r="D45" t="str">
        <f t="shared" si="0"/>
        <v>33206</v>
      </c>
      <c r="I45" s="64"/>
      <c r="J45" s="784"/>
      <c r="K45" s="784"/>
    </row>
    <row r="46" spans="1:11">
      <c r="A46" s="64" t="s">
        <v>596</v>
      </c>
      <c r="B46" s="784" t="s">
        <v>498</v>
      </c>
      <c r="C46" s="784" t="s">
        <v>1599</v>
      </c>
      <c r="D46" t="str">
        <f t="shared" si="0"/>
        <v>36400</v>
      </c>
      <c r="I46" s="64"/>
      <c r="J46" s="784"/>
      <c r="K46" s="784"/>
    </row>
    <row r="47" spans="1:11">
      <c r="A47" s="64" t="s">
        <v>603</v>
      </c>
      <c r="B47" s="784" t="s">
        <v>456</v>
      </c>
      <c r="C47" s="784" t="s">
        <v>1580</v>
      </c>
      <c r="D47" t="str">
        <f t="shared" si="0"/>
        <v>33115</v>
      </c>
      <c r="I47" s="64"/>
      <c r="J47" s="784"/>
      <c r="K47" s="784"/>
    </row>
    <row r="48" spans="1:11">
      <c r="A48" s="64" t="s">
        <v>595</v>
      </c>
      <c r="B48" s="784" t="s">
        <v>376</v>
      </c>
      <c r="C48" s="784" t="s">
        <v>1540</v>
      </c>
      <c r="D48" t="str">
        <f t="shared" si="0"/>
        <v>29011</v>
      </c>
      <c r="I48" s="64"/>
      <c r="J48" s="784"/>
      <c r="K48" s="784"/>
    </row>
    <row r="49" spans="1:11">
      <c r="A49" s="64" t="s">
        <v>595</v>
      </c>
      <c r="B49" s="784" t="s">
        <v>384</v>
      </c>
      <c r="C49" s="784" t="s">
        <v>1543</v>
      </c>
      <c r="D49" t="str">
        <f t="shared" si="0"/>
        <v>29317</v>
      </c>
      <c r="I49" s="64"/>
      <c r="J49" s="784"/>
      <c r="K49" s="784"/>
    </row>
    <row r="50" spans="1:11">
      <c r="A50" s="64" t="s">
        <v>594</v>
      </c>
      <c r="B50" s="784" t="s">
        <v>147</v>
      </c>
      <c r="C50" s="784" t="s">
        <v>1435</v>
      </c>
      <c r="D50" t="str">
        <f t="shared" si="0"/>
        <v>14099</v>
      </c>
      <c r="I50" s="64"/>
      <c r="J50" s="784"/>
      <c r="K50" s="784"/>
    </row>
    <row r="51" spans="1:11">
      <c r="A51" s="64" t="s">
        <v>601</v>
      </c>
      <c r="B51" s="784" t="s">
        <v>120</v>
      </c>
      <c r="C51" s="784" t="s">
        <v>1423</v>
      </c>
      <c r="D51" t="str">
        <f t="shared" si="0"/>
        <v>13151</v>
      </c>
      <c r="I51" s="64"/>
      <c r="J51" s="784"/>
      <c r="K51" s="784"/>
    </row>
    <row r="52" spans="1:11">
      <c r="A52" s="64" t="s">
        <v>595</v>
      </c>
      <c r="B52" s="784" t="s">
        <v>159</v>
      </c>
      <c r="C52" s="784" t="s">
        <v>1441</v>
      </c>
      <c r="D52" t="str">
        <f t="shared" si="0"/>
        <v>15204</v>
      </c>
      <c r="I52" s="64"/>
      <c r="J52" s="784"/>
      <c r="K52" s="784"/>
    </row>
    <row r="53" spans="1:11">
      <c r="A53" s="64" t="s">
        <v>600</v>
      </c>
      <c r="B53" s="784" t="s">
        <v>41</v>
      </c>
      <c r="C53" s="784" t="s">
        <v>1386</v>
      </c>
      <c r="D53" t="str">
        <f t="shared" si="0"/>
        <v>05313</v>
      </c>
      <c r="I53" s="64"/>
      <c r="J53" s="784"/>
      <c r="K53" s="784"/>
    </row>
    <row r="54" spans="1:11">
      <c r="A54" s="64" t="s">
        <v>603</v>
      </c>
      <c r="B54" s="784" t="s">
        <v>285</v>
      </c>
      <c r="C54" s="784" t="s">
        <v>1496</v>
      </c>
      <c r="D54" t="str">
        <f t="shared" si="0"/>
        <v>22073</v>
      </c>
      <c r="I54" s="64"/>
      <c r="J54" s="784"/>
      <c r="K54" s="784"/>
    </row>
    <row r="55" spans="1:11">
      <c r="A55" s="64" t="s">
        <v>603</v>
      </c>
      <c r="B55" s="784" t="s">
        <v>96</v>
      </c>
      <c r="C55" s="784" t="s">
        <v>1412</v>
      </c>
      <c r="D55" t="str">
        <f t="shared" si="0"/>
        <v>10050</v>
      </c>
      <c r="I55" s="64"/>
      <c r="J55" s="784"/>
      <c r="K55" s="784"/>
    </row>
    <row r="56" spans="1:11">
      <c r="A56" s="64" t="s">
        <v>603</v>
      </c>
      <c r="B56" s="784" t="s">
        <v>338</v>
      </c>
      <c r="C56" s="784" t="s">
        <v>1520</v>
      </c>
      <c r="D56" t="str">
        <f t="shared" si="0"/>
        <v>26059</v>
      </c>
      <c r="I56" s="64"/>
      <c r="J56" s="784"/>
      <c r="K56" s="784"/>
    </row>
    <row r="57" spans="1:11">
      <c r="A57" s="64" t="s">
        <v>605</v>
      </c>
      <c r="B57" s="784" t="s">
        <v>220</v>
      </c>
      <c r="C57" s="784" t="s">
        <v>1466</v>
      </c>
      <c r="D57" t="str">
        <f t="shared" si="0"/>
        <v>19007</v>
      </c>
      <c r="I57" s="64"/>
      <c r="J57" s="784"/>
      <c r="K57" s="784"/>
    </row>
    <row r="58" spans="1:11">
      <c r="A58" s="64" t="s">
        <v>595</v>
      </c>
      <c r="B58" s="784" t="s">
        <v>417</v>
      </c>
      <c r="C58" s="784" t="s">
        <v>1559</v>
      </c>
      <c r="D58" t="str">
        <f t="shared" si="0"/>
        <v>31330</v>
      </c>
      <c r="I58" s="64"/>
      <c r="J58" s="784"/>
      <c r="K58" s="784"/>
    </row>
    <row r="59" spans="1:11">
      <c r="A59" s="64" t="s">
        <v>603</v>
      </c>
      <c r="B59" s="784" t="s">
        <v>293</v>
      </c>
      <c r="C59" s="784" t="s">
        <v>1500</v>
      </c>
      <c r="D59" t="str">
        <f t="shared" si="0"/>
        <v>22207</v>
      </c>
      <c r="I59" s="64"/>
      <c r="J59" s="784"/>
      <c r="K59" s="784"/>
    </row>
    <row r="60" spans="1:11">
      <c r="A60" s="64" t="s">
        <v>596</v>
      </c>
      <c r="B60" s="784" t="s">
        <v>66</v>
      </c>
      <c r="C60" s="784" t="s">
        <v>758</v>
      </c>
      <c r="D60" t="str">
        <f t="shared" si="0"/>
        <v>07002</v>
      </c>
      <c r="I60" s="64"/>
      <c r="J60" s="784"/>
      <c r="K60" s="784"/>
    </row>
    <row r="61" spans="1:11">
      <c r="A61" s="64" t="s">
        <v>603</v>
      </c>
      <c r="B61" s="784" t="s">
        <v>444</v>
      </c>
      <c r="C61" s="784" t="s">
        <v>1574</v>
      </c>
      <c r="D61" t="str">
        <f t="shared" si="0"/>
        <v>32414</v>
      </c>
      <c r="I61" s="64"/>
      <c r="J61" s="784"/>
      <c r="K61" s="784"/>
    </row>
    <row r="62" spans="1:11">
      <c r="A62" s="64" t="s">
        <v>597</v>
      </c>
      <c r="B62" s="784" t="s">
        <v>353</v>
      </c>
      <c r="C62" s="784" t="s">
        <v>1528</v>
      </c>
      <c r="D62" t="str">
        <f t="shared" si="0"/>
        <v>27343</v>
      </c>
      <c r="I62" s="64"/>
      <c r="J62" s="784"/>
      <c r="K62" s="784"/>
    </row>
    <row r="63" spans="1:11">
      <c r="A63" s="64" t="s">
        <v>596</v>
      </c>
      <c r="B63" s="784" t="s">
        <v>490</v>
      </c>
      <c r="C63" s="784" t="s">
        <v>1596</v>
      </c>
      <c r="D63" t="str">
        <f t="shared" si="0"/>
        <v>36101</v>
      </c>
      <c r="I63" s="64"/>
      <c r="J63" s="784"/>
      <c r="K63" s="784"/>
    </row>
    <row r="64" spans="1:11">
      <c r="A64" s="64" t="s">
        <v>603</v>
      </c>
      <c r="B64" s="784" t="s">
        <v>440</v>
      </c>
      <c r="C64" s="784" t="s">
        <v>1571</v>
      </c>
      <c r="D64" t="str">
        <f t="shared" si="0"/>
        <v>32361</v>
      </c>
      <c r="I64" s="64"/>
      <c r="J64" s="784"/>
      <c r="K64" s="784"/>
    </row>
    <row r="65" spans="1:11">
      <c r="A65" s="64" t="s">
        <v>605</v>
      </c>
      <c r="B65" s="784" t="s">
        <v>549</v>
      </c>
      <c r="C65" s="784" t="s">
        <v>1623</v>
      </c>
      <c r="D65" t="str">
        <f t="shared" si="0"/>
        <v>39090</v>
      </c>
      <c r="I65" s="64"/>
      <c r="J65" s="784"/>
      <c r="K65" s="784"/>
    </row>
    <row r="66" spans="1:11">
      <c r="A66" s="64" t="s">
        <v>601</v>
      </c>
      <c r="B66" s="784" t="s">
        <v>88</v>
      </c>
      <c r="C66" s="784" t="s">
        <v>1408</v>
      </c>
      <c r="D66" t="str">
        <f t="shared" si="0"/>
        <v>09206</v>
      </c>
      <c r="I66" s="64"/>
      <c r="J66" s="784"/>
      <c r="K66" s="784"/>
    </row>
    <row r="67" spans="1:11">
      <c r="A67" s="64" t="s">
        <v>605</v>
      </c>
      <c r="B67" s="784" t="s">
        <v>222</v>
      </c>
      <c r="C67" s="784" t="s">
        <v>1467</v>
      </c>
      <c r="D67" t="str">
        <f t="shared" ref="D67:D129" si="1">B67</f>
        <v>19028</v>
      </c>
      <c r="I67" s="64"/>
      <c r="J67" s="784"/>
      <c r="K67" s="784"/>
    </row>
    <row r="68" spans="1:11">
      <c r="A68" s="64" t="s">
        <v>597</v>
      </c>
      <c r="B68" s="784" t="s">
        <v>365</v>
      </c>
      <c r="C68" s="784" t="s">
        <v>1532</v>
      </c>
      <c r="D68" t="str">
        <f t="shared" si="1"/>
        <v>27404</v>
      </c>
      <c r="I68" s="64"/>
      <c r="J68" s="784"/>
      <c r="K68" s="784"/>
    </row>
    <row r="69" spans="1:11">
      <c r="A69" s="64" t="s">
        <v>595</v>
      </c>
      <c r="B69" s="784" t="s">
        <v>401</v>
      </c>
      <c r="C69" s="784" t="s">
        <v>1551</v>
      </c>
      <c r="D69" t="str">
        <f t="shared" si="1"/>
        <v>31015</v>
      </c>
      <c r="I69" s="64"/>
      <c r="J69" s="784"/>
      <c r="K69" s="784"/>
    </row>
    <row r="70" spans="1:11">
      <c r="A70" s="64" t="s">
        <v>605</v>
      </c>
      <c r="B70" s="784" t="s">
        <v>226</v>
      </c>
      <c r="C70" s="784" t="s">
        <v>1469</v>
      </c>
      <c r="D70" t="str">
        <f t="shared" si="1"/>
        <v>19401</v>
      </c>
      <c r="I70" s="64"/>
      <c r="J70" s="784"/>
      <c r="K70" s="784"/>
    </row>
    <row r="71" spans="1:11">
      <c r="A71" s="64" t="s">
        <v>594</v>
      </c>
      <c r="B71" s="784" t="s">
        <v>141</v>
      </c>
      <c r="C71" s="784" t="s">
        <v>1433</v>
      </c>
      <c r="D71" t="str">
        <f t="shared" si="1"/>
        <v>14068</v>
      </c>
      <c r="I71" s="64"/>
      <c r="J71" s="784"/>
      <c r="K71" s="784"/>
    </row>
    <row r="72" spans="1:11">
      <c r="A72" s="64" t="s">
        <v>603</v>
      </c>
      <c r="B72" s="784" t="s">
        <v>535</v>
      </c>
      <c r="C72" s="784" t="s">
        <v>1616</v>
      </c>
      <c r="D72" t="str">
        <f t="shared" si="1"/>
        <v>38308</v>
      </c>
      <c r="I72" s="64"/>
      <c r="J72" s="784"/>
      <c r="K72" s="784"/>
    </row>
    <row r="73" spans="1:11">
      <c r="A73" s="64" t="s">
        <v>601</v>
      </c>
      <c r="B73" s="784" t="s">
        <v>29</v>
      </c>
      <c r="C73" s="784" t="s">
        <v>1382</v>
      </c>
      <c r="D73" t="str">
        <f t="shared" si="1"/>
        <v>04127</v>
      </c>
      <c r="I73" s="64"/>
      <c r="J73" s="784"/>
      <c r="K73" s="784"/>
    </row>
    <row r="74" spans="1:11">
      <c r="A74" s="64" t="s">
        <v>597</v>
      </c>
      <c r="B74" s="784" t="s">
        <v>177</v>
      </c>
      <c r="C74" s="784" t="s">
        <v>1450</v>
      </c>
      <c r="D74" t="str">
        <f t="shared" si="1"/>
        <v>17216</v>
      </c>
      <c r="I74" s="64"/>
      <c r="J74" s="784"/>
      <c r="K74" s="784"/>
    </row>
    <row r="75" spans="1:11">
      <c r="A75" s="64" t="s">
        <v>601</v>
      </c>
      <c r="B75" s="784" t="s">
        <v>127</v>
      </c>
      <c r="C75" s="784" t="s">
        <v>623</v>
      </c>
      <c r="D75" t="str">
        <f t="shared" si="1"/>
        <v>13165</v>
      </c>
      <c r="I75" s="64"/>
      <c r="J75" s="784"/>
      <c r="K75" s="784"/>
    </row>
    <row r="76" spans="1:11">
      <c r="A76" s="64" t="s">
        <v>1666</v>
      </c>
      <c r="B76" s="857" t="s">
        <v>1728</v>
      </c>
      <c r="C76" s="784" t="s">
        <v>681</v>
      </c>
      <c r="D76" t="str">
        <f t="shared" si="1"/>
        <v>39801</v>
      </c>
      <c r="I76" s="64"/>
      <c r="J76" s="784"/>
      <c r="K76" s="784"/>
    </row>
    <row r="77" spans="1:11">
      <c r="A77" s="64" t="s">
        <v>1666</v>
      </c>
      <c r="B77" s="784" t="s">
        <v>651</v>
      </c>
      <c r="C77" s="784" t="s">
        <v>652</v>
      </c>
      <c r="D77" t="str">
        <f t="shared" si="1"/>
        <v>06801</v>
      </c>
      <c r="I77" s="64"/>
      <c r="J77" s="784"/>
      <c r="K77" s="784"/>
    </row>
    <row r="78" spans="1:11">
      <c r="A78" s="64" t="s">
        <v>1666</v>
      </c>
      <c r="B78" s="784" t="s">
        <v>678</v>
      </c>
      <c r="C78" s="784" t="s">
        <v>679</v>
      </c>
      <c r="D78" t="str">
        <f t="shared" si="1"/>
        <v>34801</v>
      </c>
      <c r="I78" s="64"/>
      <c r="J78" s="784"/>
      <c r="K78" s="784"/>
    </row>
    <row r="79" spans="1:11">
      <c r="A79" s="64" t="s">
        <v>594</v>
      </c>
      <c r="B79" s="784" t="s">
        <v>256</v>
      </c>
      <c r="C79" s="784" t="s">
        <v>1483</v>
      </c>
      <c r="D79" t="str">
        <f t="shared" si="1"/>
        <v>21036</v>
      </c>
      <c r="I79" s="64"/>
      <c r="J79" s="784"/>
      <c r="K79" s="784"/>
    </row>
    <row r="80" spans="1:11">
      <c r="A80" s="64" t="s">
        <v>595</v>
      </c>
      <c r="B80" s="784" t="s">
        <v>395</v>
      </c>
      <c r="C80" s="784" t="s">
        <v>635</v>
      </c>
      <c r="D80" t="str">
        <f t="shared" si="1"/>
        <v>31002</v>
      </c>
      <c r="I80" s="64"/>
      <c r="J80" s="784"/>
      <c r="K80" s="784"/>
    </row>
    <row r="81" spans="1:11">
      <c r="A81" s="64" t="s">
        <v>599</v>
      </c>
      <c r="B81" s="784" t="s">
        <v>58</v>
      </c>
      <c r="C81" s="784" t="s">
        <v>1394</v>
      </c>
      <c r="D81" t="str">
        <f t="shared" si="1"/>
        <v>06114</v>
      </c>
      <c r="I81" s="64"/>
      <c r="J81" s="784"/>
      <c r="K81" s="784"/>
    </row>
    <row r="82" spans="1:11">
      <c r="A82" s="64" t="s">
        <v>603</v>
      </c>
      <c r="B82" s="784" t="s">
        <v>462</v>
      </c>
      <c r="C82" s="784" t="s">
        <v>1583</v>
      </c>
      <c r="D82" t="str">
        <f t="shared" si="1"/>
        <v>33205</v>
      </c>
      <c r="I82" s="64"/>
      <c r="J82" s="784"/>
      <c r="K82" s="784"/>
    </row>
    <row r="83" spans="1:11">
      <c r="A83" s="64" t="s">
        <v>597</v>
      </c>
      <c r="B83" s="802" t="s">
        <v>175</v>
      </c>
      <c r="C83" s="23" t="s">
        <v>1449</v>
      </c>
      <c r="D83" t="str">
        <f t="shared" si="1"/>
        <v>17210</v>
      </c>
      <c r="I83" s="64"/>
      <c r="J83" s="784"/>
      <c r="K83" s="784"/>
    </row>
    <row r="84" spans="1:11">
      <c r="A84" s="64" t="s">
        <v>595</v>
      </c>
      <c r="B84" s="784" t="s">
        <v>506</v>
      </c>
      <c r="C84" s="784" t="s">
        <v>1602</v>
      </c>
      <c r="D84" t="str">
        <f t="shared" si="1"/>
        <v>37502</v>
      </c>
      <c r="I84" s="64"/>
      <c r="J84" s="784"/>
      <c r="K84" s="784"/>
    </row>
    <row r="85" spans="1:11">
      <c r="A85" s="64" t="s">
        <v>597</v>
      </c>
      <c r="B85" s="784" t="s">
        <v>369</v>
      </c>
      <c r="C85" s="784" t="s">
        <v>1534</v>
      </c>
      <c r="D85" t="str">
        <f t="shared" si="1"/>
        <v>27417</v>
      </c>
      <c r="I85" s="64"/>
      <c r="J85" s="784"/>
      <c r="K85" s="784"/>
    </row>
    <row r="86" spans="1:11">
      <c r="A86" s="64" t="s">
        <v>596</v>
      </c>
      <c r="B86" s="784" t="s">
        <v>19</v>
      </c>
      <c r="C86" s="784" t="s">
        <v>1377</v>
      </c>
      <c r="D86" t="str">
        <f t="shared" si="1"/>
        <v>03053</v>
      </c>
      <c r="I86" s="64"/>
      <c r="J86" s="784"/>
      <c r="K86" s="784"/>
    </row>
    <row r="87" spans="1:11">
      <c r="A87" s="64" t="s">
        <v>597</v>
      </c>
      <c r="B87" s="784" t="s">
        <v>361</v>
      </c>
      <c r="C87" s="784" t="s">
        <v>630</v>
      </c>
      <c r="D87" t="str">
        <f t="shared" si="1"/>
        <v>27402</v>
      </c>
      <c r="I87" s="64"/>
      <c r="J87" s="784"/>
      <c r="K87" s="784"/>
    </row>
    <row r="88" spans="1:11">
      <c r="A88" s="64" t="s">
        <v>603</v>
      </c>
      <c r="B88" s="784" t="s">
        <v>436</v>
      </c>
      <c r="C88" s="784" t="s">
        <v>1569</v>
      </c>
      <c r="D88" t="str">
        <f t="shared" si="1"/>
        <v>32358</v>
      </c>
      <c r="I88" s="64"/>
      <c r="J88" s="784"/>
      <c r="K88" s="784"/>
    </row>
    <row r="89" spans="1:11">
      <c r="A89" s="64" t="s">
        <v>603</v>
      </c>
      <c r="B89" s="784" t="s">
        <v>529</v>
      </c>
      <c r="C89" s="784" t="s">
        <v>1613</v>
      </c>
      <c r="D89" t="str">
        <f t="shared" si="1"/>
        <v>38302</v>
      </c>
      <c r="I89" s="64"/>
      <c r="J89" s="784"/>
      <c r="K89" s="784"/>
    </row>
    <row r="90" spans="1:11">
      <c r="A90" s="64" t="s">
        <v>599</v>
      </c>
      <c r="B90" s="784" t="s">
        <v>240</v>
      </c>
      <c r="C90" s="784" t="s">
        <v>1476</v>
      </c>
      <c r="D90" t="str">
        <f t="shared" si="1"/>
        <v>20401</v>
      </c>
      <c r="I90" s="64"/>
      <c r="J90" s="784"/>
      <c r="K90" s="784"/>
    </row>
    <row r="91" spans="1:11">
      <c r="A91" s="64" t="s">
        <v>605</v>
      </c>
      <c r="B91" s="784" t="s">
        <v>246</v>
      </c>
      <c r="C91" s="784" t="s">
        <v>1479</v>
      </c>
      <c r="D91" t="str">
        <f t="shared" si="1"/>
        <v>20404</v>
      </c>
      <c r="I91" s="64"/>
      <c r="J91" s="784"/>
      <c r="K91" s="784"/>
    </row>
    <row r="92" spans="1:11">
      <c r="A92" s="64" t="s">
        <v>601</v>
      </c>
      <c r="B92" s="784" t="s">
        <v>131</v>
      </c>
      <c r="C92" s="784" t="s">
        <v>1428</v>
      </c>
      <c r="D92" t="str">
        <f t="shared" si="1"/>
        <v>13301</v>
      </c>
      <c r="I92" s="64"/>
      <c r="J92" s="784"/>
      <c r="K92" s="784"/>
    </row>
    <row r="93" spans="1:11">
      <c r="A93" s="64" t="s">
        <v>605</v>
      </c>
      <c r="B93" s="784" t="s">
        <v>555</v>
      </c>
      <c r="C93" s="784" t="s">
        <v>1625</v>
      </c>
      <c r="D93" t="str">
        <f t="shared" si="1"/>
        <v>39200</v>
      </c>
      <c r="I93" s="64"/>
      <c r="J93" s="784"/>
      <c r="K93" s="784"/>
    </row>
    <row r="94" spans="1:11">
      <c r="A94" s="64" t="s">
        <v>605</v>
      </c>
      <c r="B94" s="784" t="s">
        <v>563</v>
      </c>
      <c r="C94" s="784" t="s">
        <v>1628</v>
      </c>
      <c r="D94" t="str">
        <f t="shared" si="1"/>
        <v>39204</v>
      </c>
      <c r="I94" s="64"/>
      <c r="J94" s="784"/>
      <c r="K94" s="784"/>
    </row>
    <row r="95" spans="1:11">
      <c r="A95" s="64" t="s">
        <v>595</v>
      </c>
      <c r="B95" s="23" t="s">
        <v>419</v>
      </c>
      <c r="C95" s="788" t="s">
        <v>1560</v>
      </c>
      <c r="D95" t="str">
        <f t="shared" si="1"/>
        <v>31332</v>
      </c>
      <c r="I95" s="64"/>
      <c r="J95" s="784"/>
      <c r="K95" s="784"/>
    </row>
    <row r="96" spans="1:11">
      <c r="A96" s="64" t="s">
        <v>594</v>
      </c>
      <c r="B96" s="784" t="s">
        <v>297</v>
      </c>
      <c r="C96" s="784" t="s">
        <v>1502</v>
      </c>
      <c r="D96" t="str">
        <f t="shared" si="1"/>
        <v>23054</v>
      </c>
      <c r="I96" s="64"/>
      <c r="J96" s="784"/>
      <c r="K96" s="784"/>
    </row>
    <row r="97" spans="1:11">
      <c r="A97" s="64" t="s">
        <v>603</v>
      </c>
      <c r="B97" s="784" t="s">
        <v>426</v>
      </c>
      <c r="C97" s="784" t="s">
        <v>1564</v>
      </c>
      <c r="D97" t="str">
        <f t="shared" si="1"/>
        <v>32312</v>
      </c>
      <c r="I97" s="64"/>
      <c r="J97" s="784"/>
      <c r="K97" s="784"/>
    </row>
    <row r="98" spans="1:11">
      <c r="A98" s="64" t="s">
        <v>599</v>
      </c>
      <c r="B98" s="802" t="s">
        <v>54</v>
      </c>
      <c r="C98" s="23" t="s">
        <v>1393</v>
      </c>
      <c r="D98" t="str">
        <f t="shared" si="1"/>
        <v>06103</v>
      </c>
      <c r="I98" s="64"/>
      <c r="J98" s="784"/>
      <c r="K98" s="784"/>
    </row>
    <row r="99" spans="1:11">
      <c r="A99" s="64" t="s">
        <v>594</v>
      </c>
      <c r="B99" s="784" t="s">
        <v>482</v>
      </c>
      <c r="C99" s="784" t="s">
        <v>1592</v>
      </c>
      <c r="D99" t="str">
        <f t="shared" si="1"/>
        <v>34324</v>
      </c>
      <c r="I99" s="64"/>
      <c r="J99" s="784"/>
      <c r="K99" s="784"/>
    </row>
    <row r="100" spans="1:11">
      <c r="A100" s="64" t="s">
        <v>603</v>
      </c>
      <c r="B100" s="784" t="s">
        <v>291</v>
      </c>
      <c r="C100" s="784" t="s">
        <v>1499</v>
      </c>
      <c r="D100" t="str">
        <f t="shared" si="1"/>
        <v>22204</v>
      </c>
      <c r="I100" s="64"/>
      <c r="J100" s="784"/>
      <c r="K100" s="784"/>
    </row>
    <row r="101" spans="1:11">
      <c r="A101" s="64" t="s">
        <v>605</v>
      </c>
      <c r="B101" s="784" t="s">
        <v>561</v>
      </c>
      <c r="C101" s="784" t="s">
        <v>1627</v>
      </c>
      <c r="D101" t="str">
        <f t="shared" si="1"/>
        <v>39203</v>
      </c>
      <c r="I101" s="64"/>
      <c r="J101" s="784"/>
      <c r="K101" s="784"/>
    </row>
    <row r="102" spans="1:11">
      <c r="A102" s="64" t="s">
        <v>597</v>
      </c>
      <c r="B102" s="784" t="s">
        <v>181</v>
      </c>
      <c r="C102" s="784" t="s">
        <v>1452</v>
      </c>
      <c r="D102" t="str">
        <f t="shared" si="1"/>
        <v>17401</v>
      </c>
      <c r="I102" s="64"/>
      <c r="J102" s="784"/>
      <c r="K102" s="784"/>
    </row>
    <row r="103" spans="1:11">
      <c r="A103" s="64" t="s">
        <v>599</v>
      </c>
      <c r="B103" s="784" t="s">
        <v>51</v>
      </c>
      <c r="C103" s="784" t="s">
        <v>1391</v>
      </c>
      <c r="D103" t="str">
        <f t="shared" si="1"/>
        <v>06098</v>
      </c>
      <c r="I103" s="64"/>
      <c r="J103" s="784"/>
      <c r="K103" s="784"/>
    </row>
    <row r="104" spans="1:11">
      <c r="A104" s="64" t="s">
        <v>594</v>
      </c>
      <c r="B104" s="784" t="s">
        <v>307</v>
      </c>
      <c r="C104" s="784" t="s">
        <v>1507</v>
      </c>
      <c r="D104" t="str">
        <f t="shared" si="1"/>
        <v>23404</v>
      </c>
      <c r="I104" s="64"/>
      <c r="J104" s="784"/>
      <c r="K104" s="784"/>
    </row>
    <row r="105" spans="1:11">
      <c r="A105" s="64" t="s">
        <v>594</v>
      </c>
      <c r="B105" s="784" t="s">
        <v>134</v>
      </c>
      <c r="C105" s="784" t="s">
        <v>748</v>
      </c>
      <c r="D105" t="str">
        <f t="shared" si="1"/>
        <v>14028</v>
      </c>
      <c r="I105" s="64"/>
      <c r="J105" s="784"/>
      <c r="K105" s="784"/>
    </row>
    <row r="106" spans="1:11" ht="15">
      <c r="A106" s="138" t="s">
        <v>1666</v>
      </c>
      <c r="B106" s="859" t="s">
        <v>1777</v>
      </c>
      <c r="C106" s="785" t="s">
        <v>1782</v>
      </c>
      <c r="D106" t="str">
        <f t="shared" si="1"/>
        <v>27902</v>
      </c>
      <c r="I106" s="64"/>
      <c r="J106" s="784"/>
      <c r="K106" s="784"/>
    </row>
    <row r="107" spans="1:11">
      <c r="A107" s="138" t="s">
        <v>1666</v>
      </c>
      <c r="B107" s="784" t="s">
        <v>1715</v>
      </c>
      <c r="C107" s="860" t="s">
        <v>1783</v>
      </c>
      <c r="D107" t="str">
        <f t="shared" si="1"/>
        <v>17911</v>
      </c>
      <c r="I107" s="64"/>
      <c r="J107" s="786"/>
      <c r="K107" s="784"/>
    </row>
    <row r="108" spans="1:11">
      <c r="A108" s="64" t="s">
        <v>1666</v>
      </c>
      <c r="B108" s="812" t="s">
        <v>1755</v>
      </c>
      <c r="C108" s="543" t="s">
        <v>1784</v>
      </c>
      <c r="D108" t="str">
        <f t="shared" si="1"/>
        <v>17916</v>
      </c>
      <c r="I108" s="64"/>
      <c r="J108" s="784"/>
      <c r="K108" s="784"/>
    </row>
    <row r="109" spans="1:11">
      <c r="A109" s="64" t="s">
        <v>603</v>
      </c>
      <c r="B109" s="784" t="s">
        <v>100</v>
      </c>
      <c r="C109" s="784" t="s">
        <v>1414</v>
      </c>
      <c r="D109" t="str">
        <f t="shared" si="1"/>
        <v>10070</v>
      </c>
      <c r="I109" s="64"/>
      <c r="J109" s="784"/>
      <c r="K109" s="784"/>
    </row>
    <row r="110" spans="1:11">
      <c r="A110" s="64" t="s">
        <v>595</v>
      </c>
      <c r="B110" s="784" t="s">
        <v>407</v>
      </c>
      <c r="C110" s="784" t="s">
        <v>1554</v>
      </c>
      <c r="D110" t="str">
        <f t="shared" si="1"/>
        <v>31063</v>
      </c>
      <c r="I110" s="64"/>
      <c r="J110" s="784"/>
      <c r="K110" s="784"/>
    </row>
    <row r="111" spans="1:11">
      <c r="A111" s="64" t="s">
        <v>597</v>
      </c>
      <c r="B111" s="786" t="s">
        <v>201</v>
      </c>
      <c r="C111" s="784" t="s">
        <v>1458</v>
      </c>
      <c r="D111" t="str">
        <f t="shared" si="1"/>
        <v>17411</v>
      </c>
      <c r="I111" s="64"/>
      <c r="J111" s="784"/>
      <c r="K111" s="784"/>
    </row>
    <row r="112" spans="1:11">
      <c r="A112" s="64" t="s">
        <v>596</v>
      </c>
      <c r="B112" s="784" t="s">
        <v>110</v>
      </c>
      <c r="C112" s="784" t="s">
        <v>1419</v>
      </c>
      <c r="D112" t="str">
        <f t="shared" si="1"/>
        <v>11056</v>
      </c>
      <c r="I112" s="64"/>
      <c r="J112" s="784"/>
      <c r="K112" s="784"/>
    </row>
    <row r="113" spans="1:11">
      <c r="A113" s="64" t="s">
        <v>599</v>
      </c>
      <c r="B113" s="784" t="s">
        <v>76</v>
      </c>
      <c r="C113" s="784" t="s">
        <v>1402</v>
      </c>
      <c r="D113" t="str">
        <f t="shared" si="1"/>
        <v>08402</v>
      </c>
      <c r="I113" s="64"/>
      <c r="J113" s="784"/>
      <c r="K113" s="784"/>
    </row>
    <row r="114" spans="1:11">
      <c r="A114" s="64" t="s">
        <v>603</v>
      </c>
      <c r="B114" s="784" t="s">
        <v>94</v>
      </c>
      <c r="C114" s="784" t="s">
        <v>1411</v>
      </c>
      <c r="D114" t="str">
        <f t="shared" si="1"/>
        <v>10003</v>
      </c>
      <c r="I114" s="64"/>
      <c r="J114" s="784"/>
      <c r="K114" s="784"/>
    </row>
    <row r="115" spans="1:11">
      <c r="A115" s="64" t="s">
        <v>599</v>
      </c>
      <c r="B115" s="784" t="s">
        <v>80</v>
      </c>
      <c r="C115" s="784" t="s">
        <v>1404</v>
      </c>
      <c r="D115" t="str">
        <f t="shared" si="1"/>
        <v>08458</v>
      </c>
      <c r="I115" s="64"/>
      <c r="J115" s="784"/>
      <c r="K115" s="784"/>
    </row>
    <row r="116" spans="1:11">
      <c r="A116" s="64" t="s">
        <v>596</v>
      </c>
      <c r="B116" s="784" t="s">
        <v>14</v>
      </c>
      <c r="C116" s="784" t="s">
        <v>636</v>
      </c>
      <c r="D116" t="str">
        <f t="shared" si="1"/>
        <v>03017</v>
      </c>
      <c r="I116" s="64"/>
      <c r="J116" s="784"/>
      <c r="K116" s="784"/>
    </row>
    <row r="117" spans="1:11">
      <c r="A117" s="64" t="s">
        <v>597</v>
      </c>
      <c r="B117" s="784" t="s">
        <v>207</v>
      </c>
      <c r="C117" s="784" t="s">
        <v>1460</v>
      </c>
      <c r="D117" t="str">
        <f t="shared" si="1"/>
        <v>17415</v>
      </c>
      <c r="I117" s="64"/>
      <c r="J117" s="784"/>
      <c r="K117" s="784"/>
    </row>
    <row r="118" spans="1:11">
      <c r="A118" s="64" t="s">
        <v>603</v>
      </c>
      <c r="B118" s="784" t="s">
        <v>470</v>
      </c>
      <c r="C118" s="784" t="s">
        <v>1587</v>
      </c>
      <c r="D118" t="str">
        <f t="shared" si="1"/>
        <v>33212</v>
      </c>
      <c r="I118" s="64"/>
      <c r="J118" s="784"/>
      <c r="K118" s="784"/>
    </row>
    <row r="119" spans="1:11">
      <c r="A119" s="64" t="s">
        <v>596</v>
      </c>
      <c r="B119" s="784" t="s">
        <v>18</v>
      </c>
      <c r="C119" s="784" t="s">
        <v>1376</v>
      </c>
      <c r="D119" t="str">
        <f t="shared" si="1"/>
        <v>03052</v>
      </c>
      <c r="I119" s="64"/>
      <c r="J119" s="784"/>
      <c r="K119" s="784"/>
    </row>
    <row r="120" spans="1:11">
      <c r="A120" s="64" t="s">
        <v>605</v>
      </c>
      <c r="B120" s="784" t="s">
        <v>228</v>
      </c>
      <c r="C120" s="784" t="s">
        <v>1470</v>
      </c>
      <c r="D120" t="str">
        <f t="shared" si="1"/>
        <v>19403</v>
      </c>
      <c r="I120" s="64"/>
      <c r="J120" s="784"/>
      <c r="K120" s="784"/>
    </row>
    <row r="121" spans="1:11">
      <c r="A121" s="64" t="s">
        <v>599</v>
      </c>
      <c r="B121" s="784" t="s">
        <v>242</v>
      </c>
      <c r="C121" s="784" t="s">
        <v>1477</v>
      </c>
      <c r="D121" t="str">
        <f t="shared" si="1"/>
        <v>20402</v>
      </c>
      <c r="I121" s="64"/>
      <c r="J121" s="784"/>
      <c r="K121" s="784"/>
    </row>
    <row r="122" spans="1:11">
      <c r="A122" s="64" t="s">
        <v>595</v>
      </c>
      <c r="B122" s="784" t="s">
        <v>382</v>
      </c>
      <c r="C122" s="784" t="s">
        <v>1542</v>
      </c>
      <c r="D122" t="str">
        <f t="shared" si="1"/>
        <v>29311</v>
      </c>
      <c r="I122" s="64"/>
      <c r="J122" s="784"/>
      <c r="K122" s="784"/>
    </row>
    <row r="123" spans="1:11">
      <c r="A123" s="64" t="s">
        <v>599</v>
      </c>
      <c r="B123" s="784" t="s">
        <v>53</v>
      </c>
      <c r="C123" s="784" t="s">
        <v>1392</v>
      </c>
      <c r="D123" t="str">
        <f t="shared" si="1"/>
        <v>06101</v>
      </c>
      <c r="I123" s="64"/>
      <c r="J123" s="784"/>
      <c r="K123" s="784"/>
    </row>
    <row r="124" spans="1:11">
      <c r="A124" s="64" t="s">
        <v>603</v>
      </c>
      <c r="B124" s="784" t="s">
        <v>518</v>
      </c>
      <c r="C124" s="784" t="s">
        <v>1607</v>
      </c>
      <c r="D124" t="str">
        <f t="shared" si="1"/>
        <v>38126</v>
      </c>
      <c r="I124" s="64"/>
      <c r="J124" s="784"/>
      <c r="K124" s="784"/>
    </row>
    <row r="125" spans="1:11">
      <c r="A125" s="64" t="s">
        <v>601</v>
      </c>
      <c r="B125" s="784" t="s">
        <v>31</v>
      </c>
      <c r="C125" s="784" t="s">
        <v>624</v>
      </c>
      <c r="D125" t="str">
        <f t="shared" si="1"/>
        <v>04129</v>
      </c>
      <c r="I125" s="64"/>
      <c r="J125" s="784"/>
      <c r="K125" s="784"/>
    </row>
    <row r="126" spans="1:11">
      <c r="A126" s="64" t="s">
        <v>595</v>
      </c>
      <c r="B126" s="784" t="s">
        <v>397</v>
      </c>
      <c r="C126" s="784" t="s">
        <v>1549</v>
      </c>
      <c r="D126" t="str">
        <f t="shared" si="1"/>
        <v>31004</v>
      </c>
      <c r="I126" s="64"/>
      <c r="J126" s="784"/>
      <c r="K126" s="784"/>
    </row>
    <row r="127" spans="1:11">
      <c r="A127" s="64" t="s">
        <v>597</v>
      </c>
      <c r="B127" s="784" t="s">
        <v>205</v>
      </c>
      <c r="C127" s="784" t="s">
        <v>1459</v>
      </c>
      <c r="D127" t="str">
        <f t="shared" si="1"/>
        <v>17414</v>
      </c>
      <c r="I127" s="64"/>
      <c r="J127" s="784"/>
      <c r="K127" s="784"/>
    </row>
    <row r="128" spans="1:11">
      <c r="A128" s="64" t="s">
        <v>595</v>
      </c>
      <c r="B128" s="784" t="s">
        <v>413</v>
      </c>
      <c r="C128" s="784" t="s">
        <v>1557</v>
      </c>
      <c r="D128" t="str">
        <f t="shared" si="1"/>
        <v>31306</v>
      </c>
      <c r="I128" s="64"/>
      <c r="J128" s="784"/>
      <c r="K128" s="784"/>
    </row>
    <row r="129" spans="1:11">
      <c r="A129" s="64" t="s">
        <v>603</v>
      </c>
      <c r="B129" s="784" t="s">
        <v>519</v>
      </c>
      <c r="C129" s="784" t="s">
        <v>1608</v>
      </c>
      <c r="D129" t="str">
        <f t="shared" si="1"/>
        <v>38264</v>
      </c>
      <c r="I129" s="64"/>
      <c r="J129" s="784"/>
      <c r="K129" s="784"/>
    </row>
    <row r="130" spans="1:11">
      <c r="A130" s="64" t="s">
        <v>603</v>
      </c>
      <c r="B130" s="784" t="s">
        <v>441</v>
      </c>
      <c r="C130" s="784" t="s">
        <v>1572</v>
      </c>
      <c r="D130" t="str">
        <f t="shared" ref="D130:D193" si="2">B130</f>
        <v>32362</v>
      </c>
      <c r="I130" s="64"/>
      <c r="J130" s="784"/>
      <c r="K130" s="784"/>
    </row>
    <row r="131" spans="1:11">
      <c r="A131" s="64" t="s">
        <v>603</v>
      </c>
      <c r="B131" s="784" t="s">
        <v>6</v>
      </c>
      <c r="C131" s="784" t="s">
        <v>1371</v>
      </c>
      <c r="D131" t="str">
        <f t="shared" si="2"/>
        <v>01158</v>
      </c>
      <c r="I131" s="64"/>
      <c r="J131" s="784"/>
      <c r="K131" s="784"/>
    </row>
    <row r="132" spans="1:11">
      <c r="A132" s="64" t="s">
        <v>599</v>
      </c>
      <c r="B132" s="785" t="s">
        <v>70</v>
      </c>
      <c r="C132" s="784" t="s">
        <v>1399</v>
      </c>
      <c r="D132" t="str">
        <f t="shared" si="2"/>
        <v>08122</v>
      </c>
      <c r="I132" s="64"/>
      <c r="J132" s="784"/>
      <c r="K132" s="784"/>
    </row>
    <row r="133" spans="1:11">
      <c r="A133" s="64" t="s">
        <v>603</v>
      </c>
      <c r="B133" s="784" t="s">
        <v>458</v>
      </c>
      <c r="C133" s="784" t="s">
        <v>1581</v>
      </c>
      <c r="D133" t="str">
        <f t="shared" si="2"/>
        <v>33183</v>
      </c>
      <c r="I133" s="64"/>
      <c r="J133" s="784"/>
      <c r="K133" s="784"/>
    </row>
    <row r="134" spans="1:11" ht="12.6" customHeight="1">
      <c r="A134" s="64" t="s">
        <v>595</v>
      </c>
      <c r="B134" s="784" t="s">
        <v>373</v>
      </c>
      <c r="C134" s="784" t="s">
        <v>1539</v>
      </c>
      <c r="D134" t="str">
        <f t="shared" si="2"/>
        <v>28144</v>
      </c>
      <c r="I134" s="64"/>
      <c r="J134" s="784"/>
      <c r="K134" s="784"/>
    </row>
    <row r="135" spans="1:11">
      <c r="A135" s="64" t="s">
        <v>1666</v>
      </c>
      <c r="B135" s="784" t="s">
        <v>1757</v>
      </c>
      <c r="C135" s="785" t="s">
        <v>1785</v>
      </c>
      <c r="D135" t="str">
        <f t="shared" si="2"/>
        <v>32903</v>
      </c>
      <c r="I135" s="64"/>
      <c r="J135" s="838"/>
    </row>
    <row r="136" spans="1:11">
      <c r="A136" s="64" t="s">
        <v>599</v>
      </c>
      <c r="B136" s="785" t="s">
        <v>250</v>
      </c>
      <c r="C136" s="784" t="s">
        <v>1481</v>
      </c>
      <c r="D136" t="str">
        <f t="shared" si="2"/>
        <v>20406</v>
      </c>
      <c r="I136" s="64"/>
      <c r="J136" s="784"/>
      <c r="K136" s="784"/>
    </row>
    <row r="137" spans="1:11">
      <c r="A137" s="64" t="s">
        <v>595</v>
      </c>
      <c r="B137" s="784" t="s">
        <v>510</v>
      </c>
      <c r="C137" s="784" t="s">
        <v>1604</v>
      </c>
      <c r="D137" t="str">
        <f t="shared" si="2"/>
        <v>37504</v>
      </c>
      <c r="I137" s="64"/>
      <c r="J137" s="784"/>
      <c r="K137" s="784"/>
    </row>
    <row r="138" spans="1:11">
      <c r="A138" s="64" t="s">
        <v>605</v>
      </c>
      <c r="B138" s="784" t="s">
        <v>553</v>
      </c>
      <c r="C138" s="784" t="s">
        <v>639</v>
      </c>
      <c r="D138" t="str">
        <f t="shared" si="2"/>
        <v>39120</v>
      </c>
      <c r="I138" s="64"/>
      <c r="J138" s="784"/>
      <c r="K138" s="784"/>
    </row>
    <row r="139" spans="1:11">
      <c r="A139" s="64" t="s">
        <v>601</v>
      </c>
      <c r="B139" s="784" t="s">
        <v>90</v>
      </c>
      <c r="C139" s="784" t="s">
        <v>1409</v>
      </c>
      <c r="D139" t="str">
        <f t="shared" si="2"/>
        <v>09207</v>
      </c>
      <c r="I139" s="64"/>
      <c r="J139" s="784"/>
      <c r="K139" s="784"/>
    </row>
    <row r="140" spans="1:11">
      <c r="A140" s="64" t="s">
        <v>601</v>
      </c>
      <c r="B140" s="784" t="s">
        <v>25</v>
      </c>
      <c r="C140" s="784" t="s">
        <v>1380</v>
      </c>
      <c r="D140" t="str">
        <f t="shared" si="2"/>
        <v>04019</v>
      </c>
      <c r="I140" s="64"/>
      <c r="J140" s="784"/>
      <c r="K140" s="784"/>
    </row>
    <row r="141" spans="1:11">
      <c r="A141" s="64" t="s">
        <v>594</v>
      </c>
      <c r="B141" s="784" t="s">
        <v>301</v>
      </c>
      <c r="C141" s="784" t="s">
        <v>1504</v>
      </c>
      <c r="D141" t="str">
        <f t="shared" si="2"/>
        <v>23311</v>
      </c>
      <c r="I141" s="64"/>
      <c r="J141" s="784"/>
      <c r="K141" s="784"/>
    </row>
    <row r="142" spans="1:11">
      <c r="A142" s="64" t="s">
        <v>603</v>
      </c>
      <c r="B142" s="784" t="s">
        <v>466</v>
      </c>
      <c r="C142" s="784" t="s">
        <v>1585</v>
      </c>
      <c r="D142" t="str">
        <f t="shared" si="2"/>
        <v>33207</v>
      </c>
      <c r="I142" s="64"/>
      <c r="J142" s="784"/>
      <c r="K142" s="784"/>
    </row>
    <row r="143" spans="1:11">
      <c r="A143" s="64" t="s">
        <v>595</v>
      </c>
      <c r="B143" s="784" t="s">
        <v>405</v>
      </c>
      <c r="C143" s="784" t="s">
        <v>1553</v>
      </c>
      <c r="D143" t="str">
        <f t="shared" si="2"/>
        <v>31025</v>
      </c>
      <c r="I143" s="64"/>
      <c r="J143" s="784"/>
      <c r="K143" s="784"/>
    </row>
    <row r="144" spans="1:11">
      <c r="A144" s="64" t="s">
        <v>594</v>
      </c>
      <c r="B144" s="784" t="s">
        <v>138</v>
      </c>
      <c r="C144" s="784" t="s">
        <v>1431</v>
      </c>
      <c r="D144" t="str">
        <f t="shared" si="2"/>
        <v>14065</v>
      </c>
      <c r="I144" s="64"/>
      <c r="J144" s="784"/>
      <c r="K144" s="784"/>
    </row>
    <row r="145" spans="1:11">
      <c r="A145" s="64" t="s">
        <v>603</v>
      </c>
      <c r="B145" s="784" t="s">
        <v>432</v>
      </c>
      <c r="C145" s="784" t="s">
        <v>1567</v>
      </c>
      <c r="D145" t="str">
        <f t="shared" si="2"/>
        <v>32354</v>
      </c>
      <c r="I145" s="64"/>
      <c r="J145" s="784"/>
      <c r="K145" s="784"/>
    </row>
    <row r="146" spans="1:11">
      <c r="A146" s="64" t="s">
        <v>603</v>
      </c>
      <c r="B146" s="784" t="s">
        <v>430</v>
      </c>
      <c r="C146" s="784" t="s">
        <v>1566</v>
      </c>
      <c r="D146" t="str">
        <f t="shared" si="2"/>
        <v>32326</v>
      </c>
      <c r="I146" s="64"/>
      <c r="J146" s="784"/>
      <c r="K146" s="784"/>
    </row>
    <row r="147" spans="1:11">
      <c r="A147" s="64" t="s">
        <v>597</v>
      </c>
      <c r="B147" s="784" t="s">
        <v>179</v>
      </c>
      <c r="C147" s="784" t="s">
        <v>1451</v>
      </c>
      <c r="D147" t="str">
        <f t="shared" si="2"/>
        <v>17400</v>
      </c>
      <c r="I147" s="64"/>
      <c r="J147" s="784"/>
      <c r="K147" s="784"/>
    </row>
    <row r="148" spans="1:11">
      <c r="A148" s="64" t="s">
        <v>595</v>
      </c>
      <c r="B148" s="784" t="s">
        <v>512</v>
      </c>
      <c r="C148" s="784" t="s">
        <v>1605</v>
      </c>
      <c r="D148" t="str">
        <f t="shared" si="2"/>
        <v>37505</v>
      </c>
      <c r="I148" s="64"/>
      <c r="J148" s="784"/>
      <c r="K148" s="784"/>
    </row>
    <row r="149" spans="1:11">
      <c r="A149" s="64" t="s">
        <v>601</v>
      </c>
      <c r="B149" s="784" t="s">
        <v>319</v>
      </c>
      <c r="C149" s="784" t="s">
        <v>1512</v>
      </c>
      <c r="D149" t="str">
        <f t="shared" si="2"/>
        <v>24350</v>
      </c>
      <c r="I149" s="64"/>
      <c r="J149" s="784"/>
      <c r="K149" s="784"/>
    </row>
    <row r="150" spans="1:11">
      <c r="A150" s="64" t="s">
        <v>599</v>
      </c>
      <c r="B150" s="784" t="s">
        <v>391</v>
      </c>
      <c r="C150" s="784" t="s">
        <v>1547</v>
      </c>
      <c r="D150" t="str">
        <f t="shared" si="2"/>
        <v>30031</v>
      </c>
      <c r="I150" s="64"/>
      <c r="J150" s="784"/>
      <c r="K150" s="784"/>
    </row>
    <row r="151" spans="1:11">
      <c r="A151" s="64" t="s">
        <v>595</v>
      </c>
      <c r="B151" s="784" t="s">
        <v>409</v>
      </c>
      <c r="C151" s="784" t="s">
        <v>1555</v>
      </c>
      <c r="D151" t="str">
        <f t="shared" si="2"/>
        <v>31103</v>
      </c>
      <c r="I151" s="64"/>
      <c r="J151" s="784"/>
      <c r="K151" s="784"/>
    </row>
    <row r="152" spans="1:11">
      <c r="A152" s="64" t="s">
        <v>594</v>
      </c>
      <c r="B152" s="784" t="s">
        <v>139</v>
      </c>
      <c r="C152" s="784" t="s">
        <v>1432</v>
      </c>
      <c r="D152" t="str">
        <f t="shared" si="2"/>
        <v>14066</v>
      </c>
      <c r="I152" s="64"/>
      <c r="J152" s="784"/>
      <c r="K152" s="784"/>
    </row>
    <row r="153" spans="1:11">
      <c r="A153" s="64" t="s">
        <v>594</v>
      </c>
      <c r="B153" s="784" t="s">
        <v>260</v>
      </c>
      <c r="C153" s="784" t="s">
        <v>1484</v>
      </c>
      <c r="D153" t="str">
        <f t="shared" si="2"/>
        <v>21214</v>
      </c>
      <c r="I153" s="64"/>
      <c r="J153" s="784"/>
      <c r="K153" s="784"/>
    </row>
    <row r="154" spans="1:11">
      <c r="A154" s="64" t="s">
        <v>601</v>
      </c>
      <c r="B154" s="784" t="s">
        <v>125</v>
      </c>
      <c r="C154" s="784" t="s">
        <v>1426</v>
      </c>
      <c r="D154" t="str">
        <f t="shared" si="2"/>
        <v>13161</v>
      </c>
      <c r="I154" s="64"/>
      <c r="J154" s="784"/>
      <c r="K154" s="784"/>
    </row>
    <row r="155" spans="1:11">
      <c r="A155" s="64" t="s">
        <v>594</v>
      </c>
      <c r="B155" s="36" t="s">
        <v>258</v>
      </c>
      <c r="C155" s="23" t="s">
        <v>1356</v>
      </c>
      <c r="D155" t="str">
        <f t="shared" si="2"/>
        <v>21206</v>
      </c>
      <c r="I155" s="64"/>
      <c r="J155" s="784"/>
      <c r="K155" s="784"/>
    </row>
    <row r="156" spans="1:11">
      <c r="A156" s="64" t="s">
        <v>605</v>
      </c>
      <c r="B156" s="784" t="s">
        <v>571</v>
      </c>
      <c r="C156" s="784" t="s">
        <v>1632</v>
      </c>
      <c r="D156" t="str">
        <f t="shared" si="2"/>
        <v>39209</v>
      </c>
      <c r="I156" s="64"/>
      <c r="J156" s="784"/>
      <c r="K156" s="784"/>
    </row>
    <row r="157" spans="1:11">
      <c r="A157" s="64" t="s">
        <v>595</v>
      </c>
      <c r="B157" s="784" t="s">
        <v>516</v>
      </c>
      <c r="C157" s="784" t="s">
        <v>1606</v>
      </c>
      <c r="D157" t="str">
        <f t="shared" si="2"/>
        <v>37507</v>
      </c>
      <c r="I157" s="64"/>
      <c r="J157" s="784"/>
      <c r="K157" s="784"/>
    </row>
    <row r="158" spans="1:11">
      <c r="A158" s="64" t="s">
        <v>599</v>
      </c>
      <c r="B158" s="784" t="s">
        <v>389</v>
      </c>
      <c r="C158" s="784" t="s">
        <v>1546</v>
      </c>
      <c r="D158" t="str">
        <f t="shared" si="2"/>
        <v>30029</v>
      </c>
      <c r="I158" s="64"/>
      <c r="J158" s="784"/>
      <c r="K158" s="784"/>
    </row>
    <row r="159" spans="1:11">
      <c r="A159" s="64" t="s">
        <v>595</v>
      </c>
      <c r="B159" s="784" t="s">
        <v>386</v>
      </c>
      <c r="C159" s="784" t="s">
        <v>1544</v>
      </c>
      <c r="D159" t="str">
        <f t="shared" si="2"/>
        <v>29320</v>
      </c>
      <c r="I159" s="64"/>
      <c r="J159" s="784"/>
      <c r="K159" s="784"/>
    </row>
    <row r="160" spans="1:11">
      <c r="A160" s="64" t="s">
        <v>595</v>
      </c>
      <c r="B160" s="784" t="s">
        <v>399</v>
      </c>
      <c r="C160" s="784" t="s">
        <v>1550</v>
      </c>
      <c r="D160" t="str">
        <f t="shared" si="2"/>
        <v>31006</v>
      </c>
      <c r="I160" s="64"/>
      <c r="J160" s="784"/>
      <c r="K160" s="784"/>
    </row>
    <row r="161" spans="1:11">
      <c r="A161" s="64" t="s">
        <v>605</v>
      </c>
      <c r="B161" s="784" t="s">
        <v>545</v>
      </c>
      <c r="C161" s="784" t="s">
        <v>1621</v>
      </c>
      <c r="D161" t="str">
        <f t="shared" si="2"/>
        <v>39003</v>
      </c>
      <c r="I161" s="64"/>
      <c r="J161" s="784"/>
      <c r="K161" s="784"/>
    </row>
    <row r="162" spans="1:11">
      <c r="A162" s="64" t="s">
        <v>594</v>
      </c>
      <c r="B162" s="784" t="s">
        <v>252</v>
      </c>
      <c r="C162" s="784" t="s">
        <v>1482</v>
      </c>
      <c r="D162" t="str">
        <f t="shared" si="2"/>
        <v>21014</v>
      </c>
      <c r="I162" s="64"/>
      <c r="J162" s="784"/>
      <c r="K162" s="784"/>
    </row>
    <row r="163" spans="1:11">
      <c r="A163" s="64" t="s">
        <v>599</v>
      </c>
      <c r="B163" s="784" t="s">
        <v>331</v>
      </c>
      <c r="C163" s="784" t="s">
        <v>1516</v>
      </c>
      <c r="D163" t="str">
        <f t="shared" si="2"/>
        <v>25155</v>
      </c>
      <c r="I163" s="64"/>
      <c r="J163" s="784"/>
      <c r="K163" s="784"/>
    </row>
    <row r="164" spans="1:11">
      <c r="A164" s="64" t="s">
        <v>601</v>
      </c>
      <c r="B164" s="784" t="s">
        <v>309</v>
      </c>
      <c r="C164" s="784" t="s">
        <v>1309</v>
      </c>
      <c r="D164" t="str">
        <f t="shared" si="2"/>
        <v>24014</v>
      </c>
      <c r="I164" s="64"/>
      <c r="J164" s="784"/>
      <c r="K164" s="784"/>
    </row>
    <row r="165" spans="1:11">
      <c r="A165" s="64" t="s">
        <v>603</v>
      </c>
      <c r="B165" s="784" t="s">
        <v>336</v>
      </c>
      <c r="C165" s="784" t="s">
        <v>1519</v>
      </c>
      <c r="D165" t="str">
        <f t="shared" si="2"/>
        <v>26056</v>
      </c>
      <c r="I165" s="64"/>
      <c r="J165" s="784"/>
      <c r="K165" s="784"/>
    </row>
    <row r="166" spans="1:11">
      <c r="A166" s="64" t="s">
        <v>603</v>
      </c>
      <c r="B166" s="784" t="s">
        <v>428</v>
      </c>
      <c r="C166" s="784" t="s">
        <v>1565</v>
      </c>
      <c r="D166" t="str">
        <f t="shared" si="2"/>
        <v>32325</v>
      </c>
      <c r="I166" s="64"/>
      <c r="J166" s="784"/>
      <c r="K166" s="784"/>
    </row>
    <row r="167" spans="1:11">
      <c r="A167" s="64" t="s">
        <v>595</v>
      </c>
      <c r="B167" s="784" t="s">
        <v>514</v>
      </c>
      <c r="C167" s="784" t="s">
        <v>685</v>
      </c>
      <c r="D167" t="str">
        <f t="shared" si="2"/>
        <v>37506</v>
      </c>
      <c r="I167" s="64"/>
      <c r="J167" s="784"/>
      <c r="K167" s="784"/>
    </row>
    <row r="168" spans="1:11">
      <c r="A168" s="64" t="s">
        <v>594</v>
      </c>
      <c r="B168" s="784" t="s">
        <v>136</v>
      </c>
      <c r="C168" s="784" t="s">
        <v>1430</v>
      </c>
      <c r="D168" t="str">
        <f t="shared" si="2"/>
        <v>14064</v>
      </c>
      <c r="I168" s="64"/>
      <c r="J168" s="784"/>
      <c r="K168" s="784"/>
    </row>
    <row r="169" spans="1:11">
      <c r="A169" s="64" t="s">
        <v>596</v>
      </c>
      <c r="B169" s="784" t="s">
        <v>106</v>
      </c>
      <c r="C169" s="784" t="s">
        <v>1417</v>
      </c>
      <c r="D169" t="str">
        <f t="shared" si="2"/>
        <v>11051</v>
      </c>
      <c r="I169" s="64"/>
      <c r="J169" s="784"/>
      <c r="K169" s="784"/>
    </row>
    <row r="170" spans="1:11">
      <c r="A170" s="64" t="s">
        <v>600</v>
      </c>
      <c r="B170" s="784" t="s">
        <v>214</v>
      </c>
      <c r="C170" s="784" t="s">
        <v>625</v>
      </c>
      <c r="D170" t="str">
        <f t="shared" si="2"/>
        <v>18400</v>
      </c>
      <c r="I170" s="64"/>
      <c r="J170" s="784"/>
      <c r="K170" s="784"/>
    </row>
    <row r="171" spans="1:11">
      <c r="A171" s="64" t="s">
        <v>600</v>
      </c>
      <c r="B171" s="784" t="s">
        <v>305</v>
      </c>
      <c r="C171" s="784" t="s">
        <v>1506</v>
      </c>
      <c r="D171" t="str">
        <f t="shared" si="2"/>
        <v>23403</v>
      </c>
      <c r="I171" s="64"/>
      <c r="J171" s="784"/>
      <c r="K171" s="784"/>
    </row>
    <row r="172" spans="1:11">
      <c r="A172" s="64" t="s">
        <v>594</v>
      </c>
      <c r="B172" s="784" t="s">
        <v>334</v>
      </c>
      <c r="C172" s="784" t="s">
        <v>1518</v>
      </c>
      <c r="D172" t="str">
        <f t="shared" si="2"/>
        <v>25200</v>
      </c>
      <c r="I172" s="64"/>
      <c r="J172" s="784"/>
      <c r="K172" s="784"/>
    </row>
    <row r="173" spans="1:11">
      <c r="A173" s="64" t="s">
        <v>594</v>
      </c>
      <c r="B173" s="784" t="s">
        <v>474</v>
      </c>
      <c r="C173" s="784" t="s">
        <v>631</v>
      </c>
      <c r="D173" t="str">
        <f t="shared" si="2"/>
        <v>34003</v>
      </c>
      <c r="I173" s="64"/>
      <c r="J173" s="784"/>
      <c r="K173" s="784"/>
    </row>
    <row r="174" spans="1:11">
      <c r="A174" s="64" t="s">
        <v>603</v>
      </c>
      <c r="B174" s="784" t="s">
        <v>468</v>
      </c>
      <c r="C174" s="784" t="s">
        <v>1586</v>
      </c>
      <c r="D174" t="str">
        <f t="shared" si="2"/>
        <v>33211</v>
      </c>
      <c r="I174" s="64"/>
      <c r="J174" s="784"/>
      <c r="K174" s="784"/>
    </row>
    <row r="175" spans="1:11">
      <c r="A175" s="64" t="s">
        <v>597</v>
      </c>
      <c r="B175" s="784" t="s">
        <v>209</v>
      </c>
      <c r="C175" s="784" t="s">
        <v>637</v>
      </c>
      <c r="D175" t="str">
        <f t="shared" si="2"/>
        <v>17417</v>
      </c>
      <c r="I175" s="64"/>
      <c r="J175" s="784"/>
      <c r="K175" s="784"/>
    </row>
    <row r="176" spans="1:11">
      <c r="A176" s="64" t="s">
        <v>595</v>
      </c>
      <c r="B176" s="784" t="s">
        <v>157</v>
      </c>
      <c r="C176" s="784" t="s">
        <v>1440</v>
      </c>
      <c r="D176" t="str">
        <f t="shared" si="2"/>
        <v>15201</v>
      </c>
      <c r="I176" s="64"/>
      <c r="J176" s="784"/>
      <c r="K176" s="784"/>
    </row>
    <row r="177" spans="1:11">
      <c r="A177" s="64" t="s">
        <v>603</v>
      </c>
      <c r="B177" s="784" t="s">
        <v>541</v>
      </c>
      <c r="C177" s="784" t="s">
        <v>1619</v>
      </c>
      <c r="D177" t="str">
        <f t="shared" si="2"/>
        <v>38324</v>
      </c>
      <c r="I177" s="64"/>
      <c r="J177" s="784"/>
      <c r="K177" s="784"/>
    </row>
    <row r="178" spans="1:11">
      <c r="A178" s="64" t="s">
        <v>594</v>
      </c>
      <c r="B178" s="784" t="s">
        <v>155</v>
      </c>
      <c r="C178" s="784" t="s">
        <v>1439</v>
      </c>
      <c r="D178" t="str">
        <f t="shared" si="2"/>
        <v>14400</v>
      </c>
      <c r="I178" s="64"/>
      <c r="J178" s="784"/>
      <c r="K178" s="784"/>
    </row>
    <row r="179" spans="1:11">
      <c r="A179" s="64" t="s">
        <v>599</v>
      </c>
      <c r="B179" s="784" t="s">
        <v>325</v>
      </c>
      <c r="C179" s="784" t="s">
        <v>712</v>
      </c>
      <c r="D179" t="str">
        <f t="shared" si="2"/>
        <v>25101</v>
      </c>
      <c r="I179" s="64"/>
      <c r="J179" s="784"/>
      <c r="K179" s="784"/>
    </row>
    <row r="180" spans="1:11">
      <c r="A180" s="64" t="s">
        <v>594</v>
      </c>
      <c r="B180" s="784" t="s">
        <v>153</v>
      </c>
      <c r="C180" s="784" t="s">
        <v>1438</v>
      </c>
      <c r="D180" t="str">
        <f t="shared" si="2"/>
        <v>14172</v>
      </c>
      <c r="I180" s="64"/>
      <c r="J180" s="784"/>
      <c r="K180" s="784"/>
    </row>
    <row r="181" spans="1:11">
      <c r="A181" s="64" t="s">
        <v>603</v>
      </c>
      <c r="B181" s="784" t="s">
        <v>287</v>
      </c>
      <c r="C181" s="784" t="s">
        <v>1497</v>
      </c>
      <c r="D181" t="str">
        <f t="shared" si="2"/>
        <v>22105</v>
      </c>
      <c r="I181" s="64"/>
      <c r="J181" s="784"/>
      <c r="K181" s="784"/>
    </row>
    <row r="182" spans="1:11">
      <c r="A182" s="64" t="s">
        <v>601</v>
      </c>
      <c r="B182" s="784" t="s">
        <v>313</v>
      </c>
      <c r="C182" s="784" t="s">
        <v>1509</v>
      </c>
      <c r="D182" t="str">
        <f t="shared" si="2"/>
        <v>24105</v>
      </c>
      <c r="I182" s="64"/>
      <c r="J182" s="784"/>
      <c r="K182" s="784"/>
    </row>
    <row r="183" spans="1:11">
      <c r="A183" s="64" t="s">
        <v>594</v>
      </c>
      <c r="B183" s="784" t="s">
        <v>478</v>
      </c>
      <c r="C183" s="784" t="s">
        <v>1590</v>
      </c>
      <c r="D183" t="str">
        <f t="shared" si="2"/>
        <v>34111</v>
      </c>
      <c r="I183" s="64"/>
      <c r="J183" s="784"/>
      <c r="K183" s="784"/>
    </row>
    <row r="184" spans="1:11">
      <c r="A184" s="64" t="s">
        <v>601</v>
      </c>
      <c r="B184" s="784" t="s">
        <v>311</v>
      </c>
      <c r="C184" s="784" t="s">
        <v>1508</v>
      </c>
      <c r="D184" t="str">
        <f t="shared" si="2"/>
        <v>24019</v>
      </c>
      <c r="I184" s="64"/>
      <c r="J184" s="784"/>
      <c r="K184" s="784"/>
    </row>
    <row r="185" spans="1:11">
      <c r="A185" s="64" t="s">
        <v>594</v>
      </c>
      <c r="B185" s="784" t="s">
        <v>270</v>
      </c>
      <c r="C185" s="784" t="s">
        <v>1489</v>
      </c>
      <c r="D185" t="str">
        <f t="shared" si="2"/>
        <v>21300</v>
      </c>
      <c r="I185" s="64"/>
      <c r="J185" s="784"/>
      <c r="K185" s="784"/>
    </row>
    <row r="186" spans="1:11">
      <c r="A186" s="64" t="s">
        <v>603</v>
      </c>
      <c r="B186" s="784" t="s">
        <v>448</v>
      </c>
      <c r="C186" s="784" t="s">
        <v>1576</v>
      </c>
      <c r="D186" t="str">
        <f t="shared" si="2"/>
        <v>33030</v>
      </c>
      <c r="I186" s="64"/>
      <c r="J186" s="784"/>
      <c r="K186" s="784"/>
    </row>
    <row r="187" spans="1:11">
      <c r="A187" s="64" t="s">
        <v>595</v>
      </c>
      <c r="B187" s="784" t="s">
        <v>372</v>
      </c>
      <c r="C187" s="784" t="s">
        <v>1538</v>
      </c>
      <c r="D187" t="str">
        <f t="shared" si="2"/>
        <v>28137</v>
      </c>
      <c r="I187" s="64"/>
      <c r="J187" s="784"/>
      <c r="K187" s="784"/>
    </row>
    <row r="188" spans="1:11">
      <c r="A188" s="64" t="s">
        <v>603</v>
      </c>
      <c r="B188" s="784" t="s">
        <v>424</v>
      </c>
      <c r="C188" s="784" t="s">
        <v>1563</v>
      </c>
      <c r="D188" t="str">
        <f t="shared" si="2"/>
        <v>32123</v>
      </c>
      <c r="I188" s="64"/>
      <c r="J188" s="784"/>
      <c r="K188" s="784"/>
    </row>
    <row r="189" spans="1:11">
      <c r="A189" s="64" t="s">
        <v>603</v>
      </c>
      <c r="B189" s="784" t="s">
        <v>98</v>
      </c>
      <c r="C189" s="784" t="s">
        <v>1413</v>
      </c>
      <c r="D189" t="str">
        <f t="shared" si="2"/>
        <v>10065</v>
      </c>
      <c r="I189" s="64"/>
      <c r="J189" s="784"/>
      <c r="K189" s="784"/>
    </row>
    <row r="190" spans="1:11">
      <c r="A190" s="64" t="s">
        <v>601</v>
      </c>
      <c r="B190" s="784" t="s">
        <v>82</v>
      </c>
      <c r="C190" s="784" t="s">
        <v>1405</v>
      </c>
      <c r="D190" t="str">
        <f t="shared" si="2"/>
        <v>09013</v>
      </c>
      <c r="I190" s="64"/>
      <c r="J190" s="784"/>
      <c r="K190" s="784"/>
    </row>
    <row r="191" spans="1:11">
      <c r="A191" s="64" t="s">
        <v>601</v>
      </c>
      <c r="B191" s="784" t="s">
        <v>323</v>
      </c>
      <c r="C191" s="784" t="s">
        <v>1513</v>
      </c>
      <c r="D191" t="str">
        <f t="shared" si="2"/>
        <v>24410</v>
      </c>
      <c r="I191" s="64"/>
      <c r="J191" s="784"/>
      <c r="K191" s="784"/>
    </row>
    <row r="192" spans="1:11">
      <c r="A192" s="64" t="s">
        <v>597</v>
      </c>
      <c r="B192" s="784" t="s">
        <v>355</v>
      </c>
      <c r="C192" s="784" t="s">
        <v>1529</v>
      </c>
      <c r="D192" t="str">
        <f t="shared" si="2"/>
        <v>27344</v>
      </c>
      <c r="I192" s="64"/>
      <c r="J192" s="784"/>
      <c r="K192" s="784"/>
    </row>
    <row r="193" spans="1:11">
      <c r="A193" s="64" t="s">
        <v>596</v>
      </c>
      <c r="B193" s="784" t="s">
        <v>4</v>
      </c>
      <c r="C193" s="784" t="s">
        <v>632</v>
      </c>
      <c r="D193" t="str">
        <f t="shared" si="2"/>
        <v>01147</v>
      </c>
      <c r="I193" s="64"/>
      <c r="J193" s="784"/>
      <c r="K193" s="784"/>
    </row>
    <row r="194" spans="1:11">
      <c r="A194" s="64" t="s">
        <v>601</v>
      </c>
      <c r="B194" s="784" t="s">
        <v>86</v>
      </c>
      <c r="C194" s="784" t="s">
        <v>1407</v>
      </c>
      <c r="D194" t="str">
        <f t="shared" ref="D194:D258" si="3">B194</f>
        <v>09102</v>
      </c>
      <c r="I194" s="64"/>
      <c r="J194" s="784"/>
      <c r="K194" s="784"/>
    </row>
    <row r="195" spans="1:11">
      <c r="A195" s="64" t="s">
        <v>603</v>
      </c>
      <c r="B195" s="784" t="s">
        <v>527</v>
      </c>
      <c r="C195" s="784" t="s">
        <v>1612</v>
      </c>
      <c r="D195" t="str">
        <f t="shared" si="3"/>
        <v>38301</v>
      </c>
      <c r="I195" s="64"/>
      <c r="J195" s="784"/>
      <c r="K195" s="784"/>
    </row>
    <row r="196" spans="1:11">
      <c r="A196" s="64" t="s">
        <v>596</v>
      </c>
      <c r="B196" s="784" t="s">
        <v>104</v>
      </c>
      <c r="C196" s="784" t="s">
        <v>1416</v>
      </c>
      <c r="D196" t="str">
        <f t="shared" si="3"/>
        <v>11001</v>
      </c>
      <c r="I196" s="64"/>
      <c r="J196" s="784"/>
      <c r="K196" s="784"/>
    </row>
    <row r="197" spans="1:11">
      <c r="A197" s="64" t="s">
        <v>601</v>
      </c>
      <c r="B197" s="784" t="s">
        <v>317</v>
      </c>
      <c r="C197" s="784" t="s">
        <v>1511</v>
      </c>
      <c r="D197" t="str">
        <f t="shared" si="3"/>
        <v>24122</v>
      </c>
      <c r="I197" s="64"/>
      <c r="J197" s="784"/>
      <c r="K197" s="784"/>
    </row>
    <row r="198" spans="1:11">
      <c r="A198" s="64" t="s">
        <v>596</v>
      </c>
      <c r="B198" s="784" t="s">
        <v>16</v>
      </c>
      <c r="C198" s="784" t="s">
        <v>1375</v>
      </c>
      <c r="D198" t="str">
        <f t="shared" si="3"/>
        <v>03050</v>
      </c>
      <c r="I198" s="64"/>
      <c r="J198" s="784"/>
      <c r="K198" s="784"/>
    </row>
    <row r="199" spans="1:11">
      <c r="A199" s="64" t="s">
        <v>594</v>
      </c>
      <c r="B199" s="784" t="s">
        <v>272</v>
      </c>
      <c r="C199" s="784" t="s">
        <v>1490</v>
      </c>
      <c r="D199" t="str">
        <f t="shared" si="3"/>
        <v>21301</v>
      </c>
      <c r="I199" s="64"/>
      <c r="J199" s="784"/>
      <c r="K199" s="784"/>
    </row>
    <row r="200" spans="1:11">
      <c r="A200" s="64" t="s">
        <v>597</v>
      </c>
      <c r="B200" s="784" t="s">
        <v>359</v>
      </c>
      <c r="C200" s="784" t="s">
        <v>626</v>
      </c>
      <c r="D200" t="str">
        <f t="shared" si="3"/>
        <v>27401</v>
      </c>
      <c r="I200" s="64"/>
      <c r="J200" s="784"/>
      <c r="K200" s="784"/>
    </row>
    <row r="201" spans="1:11" ht="15">
      <c r="A201" s="861" t="s">
        <v>1666</v>
      </c>
      <c r="B201" s="859" t="s">
        <v>1778</v>
      </c>
      <c r="C201" s="590" t="s">
        <v>1786</v>
      </c>
      <c r="D201" t="str">
        <f t="shared" si="3"/>
        <v>04901</v>
      </c>
      <c r="I201" s="64"/>
      <c r="J201" s="784"/>
      <c r="K201" s="784"/>
    </row>
    <row r="202" spans="1:11">
      <c r="A202" s="64" t="s">
        <v>594</v>
      </c>
      <c r="B202" s="784" t="s">
        <v>303</v>
      </c>
      <c r="C202" s="784" t="s">
        <v>1505</v>
      </c>
      <c r="D202" t="str">
        <f t="shared" si="3"/>
        <v>23402</v>
      </c>
      <c r="I202" s="64"/>
      <c r="J202" s="784"/>
      <c r="K202" s="784"/>
    </row>
    <row r="203" spans="1:11">
      <c r="A203" s="64" t="s">
        <v>596</v>
      </c>
      <c r="B203" s="784" t="s">
        <v>112</v>
      </c>
      <c r="C203" s="784" t="s">
        <v>1420</v>
      </c>
      <c r="D203" t="str">
        <f t="shared" si="3"/>
        <v>12110</v>
      </c>
      <c r="I203" s="64"/>
      <c r="J203" s="784"/>
      <c r="K203" s="784"/>
    </row>
    <row r="204" spans="1:11">
      <c r="A204" s="64" t="s">
        <v>600</v>
      </c>
      <c r="B204" s="784" t="s">
        <v>39</v>
      </c>
      <c r="C204" s="784" t="s">
        <v>1385</v>
      </c>
      <c r="D204" t="str">
        <f t="shared" si="3"/>
        <v>05121</v>
      </c>
      <c r="I204" s="64"/>
      <c r="J204" s="784"/>
      <c r="K204" s="784"/>
    </row>
    <row r="205" spans="1:11">
      <c r="A205" s="64" t="s">
        <v>600</v>
      </c>
      <c r="B205" s="784" t="s">
        <v>171</v>
      </c>
      <c r="C205" s="784" t="s">
        <v>1447</v>
      </c>
      <c r="D205" t="str">
        <f t="shared" si="3"/>
        <v>16050</v>
      </c>
      <c r="I205" s="64"/>
      <c r="J205" s="784"/>
      <c r="K205" s="784"/>
    </row>
    <row r="206" spans="1:11">
      <c r="A206" s="64" t="s">
        <v>596</v>
      </c>
      <c r="B206" s="36" t="s">
        <v>502</v>
      </c>
      <c r="C206" s="23" t="s">
        <v>1601</v>
      </c>
      <c r="D206" t="str">
        <f t="shared" si="3"/>
        <v>36402</v>
      </c>
      <c r="I206" s="64"/>
      <c r="J206" s="784"/>
      <c r="K206" s="784"/>
    </row>
    <row r="207" spans="1:11">
      <c r="A207" s="138" t="s">
        <v>1666</v>
      </c>
      <c r="B207" s="784" t="s">
        <v>1690</v>
      </c>
      <c r="C207" s="784" t="s">
        <v>1765</v>
      </c>
      <c r="D207" t="str">
        <f t="shared" si="3"/>
        <v>32907</v>
      </c>
      <c r="I207" s="64"/>
      <c r="J207" s="784"/>
      <c r="K207" s="784"/>
    </row>
    <row r="208" spans="1:11">
      <c r="A208" s="64" t="s">
        <v>596</v>
      </c>
      <c r="B208" s="784" t="s">
        <v>21</v>
      </c>
      <c r="C208" s="784" t="s">
        <v>1378</v>
      </c>
      <c r="D208" t="str">
        <f t="shared" si="3"/>
        <v>03116</v>
      </c>
      <c r="I208" s="64"/>
      <c r="J208" s="784"/>
      <c r="K208" s="784"/>
    </row>
    <row r="209" spans="1:11">
      <c r="A209" s="64" t="s">
        <v>603</v>
      </c>
      <c r="B209" s="784" t="s">
        <v>523</v>
      </c>
      <c r="C209" s="784" t="s">
        <v>1610</v>
      </c>
      <c r="D209" t="str">
        <f t="shared" si="3"/>
        <v>38267</v>
      </c>
      <c r="I209" s="64"/>
      <c r="J209" s="784"/>
      <c r="K209" s="784"/>
    </row>
    <row r="210" spans="1:11" ht="15">
      <c r="A210" s="861" t="s">
        <v>1666</v>
      </c>
      <c r="B210" s="859" t="s">
        <v>1779</v>
      </c>
      <c r="C210" s="590" t="s">
        <v>1787</v>
      </c>
      <c r="D210" t="str">
        <f t="shared" si="3"/>
        <v>38901</v>
      </c>
      <c r="I210" s="64"/>
      <c r="J210" s="784"/>
      <c r="K210" s="784"/>
    </row>
    <row r="211" spans="1:11">
      <c r="A211" s="64" t="s">
        <v>597</v>
      </c>
      <c r="B211" s="784" t="s">
        <v>343</v>
      </c>
      <c r="C211" s="784" t="s">
        <v>1523</v>
      </c>
      <c r="D211" t="str">
        <f t="shared" si="3"/>
        <v>27003</v>
      </c>
      <c r="I211" s="64"/>
      <c r="J211" s="784"/>
      <c r="K211" s="784"/>
    </row>
    <row r="212" spans="1:11">
      <c r="A212" s="64" t="s">
        <v>600</v>
      </c>
      <c r="B212" s="784" t="s">
        <v>163</v>
      </c>
      <c r="C212" s="784" t="s">
        <v>1443</v>
      </c>
      <c r="D212" t="str">
        <f t="shared" si="3"/>
        <v>16020</v>
      </c>
      <c r="I212" s="64"/>
      <c r="J212" s="784"/>
      <c r="K212" s="784"/>
    </row>
    <row r="213" spans="1:11">
      <c r="A213" s="64" t="s">
        <v>600</v>
      </c>
      <c r="B213" s="784" t="s">
        <v>167</v>
      </c>
      <c r="C213" s="784" t="s">
        <v>1445</v>
      </c>
      <c r="D213" t="str">
        <f t="shared" si="3"/>
        <v>16048</v>
      </c>
      <c r="I213" s="64"/>
      <c r="J213" s="784"/>
      <c r="K213" s="784"/>
    </row>
    <row r="214" spans="1:11">
      <c r="A214" s="64" t="s">
        <v>600</v>
      </c>
      <c r="B214" s="784" t="s">
        <v>47</v>
      </c>
      <c r="C214" s="784" t="s">
        <v>1389</v>
      </c>
      <c r="D214" t="str">
        <f t="shared" si="3"/>
        <v>05402</v>
      </c>
      <c r="I214" s="64"/>
      <c r="J214" s="784"/>
      <c r="K214" s="784"/>
    </row>
    <row r="215" spans="1:11">
      <c r="A215" s="64" t="s">
        <v>594</v>
      </c>
      <c r="B215" s="784" t="s">
        <v>145</v>
      </c>
      <c r="C215" s="784" t="s">
        <v>607</v>
      </c>
      <c r="D215" t="str">
        <f t="shared" si="3"/>
        <v>14097</v>
      </c>
      <c r="I215" s="64"/>
      <c r="J215" s="784"/>
      <c r="K215" s="784"/>
    </row>
    <row r="216" spans="1:11">
      <c r="A216" s="64" t="s">
        <v>601</v>
      </c>
      <c r="B216" s="784" t="s">
        <v>116</v>
      </c>
      <c r="C216" s="784" t="s">
        <v>1421</v>
      </c>
      <c r="D216" t="str">
        <f t="shared" si="3"/>
        <v>13144</v>
      </c>
      <c r="I216" s="64"/>
      <c r="J216" s="784"/>
      <c r="K216" s="784"/>
    </row>
    <row r="217" spans="1:11">
      <c r="A217" s="64" t="s">
        <v>594</v>
      </c>
      <c r="B217" s="802" t="s">
        <v>480</v>
      </c>
      <c r="C217" s="23" t="s">
        <v>1591</v>
      </c>
      <c r="D217" t="str">
        <f t="shared" si="3"/>
        <v>34307</v>
      </c>
      <c r="I217" s="64"/>
      <c r="J217" s="784"/>
      <c r="K217" s="784"/>
    </row>
    <row r="218" spans="1:11">
      <c r="A218" s="64" t="s">
        <v>1666</v>
      </c>
      <c r="B218" s="784" t="s">
        <v>1686</v>
      </c>
      <c r="C218" s="784" t="s">
        <v>1766</v>
      </c>
      <c r="D218" t="str">
        <f t="shared" si="3"/>
        <v>17908</v>
      </c>
      <c r="I218" s="64"/>
      <c r="J218" s="784"/>
      <c r="K218" s="784"/>
    </row>
    <row r="219" spans="1:11">
      <c r="A219" s="64" t="s">
        <v>1666</v>
      </c>
      <c r="B219" s="64" t="s">
        <v>1720</v>
      </c>
      <c r="C219" s="590" t="s">
        <v>1789</v>
      </c>
      <c r="D219" t="str">
        <f t="shared" si="3"/>
        <v>17910</v>
      </c>
      <c r="I219" s="64"/>
      <c r="J219" s="784"/>
      <c r="K219" s="784"/>
    </row>
    <row r="220" spans="1:11">
      <c r="A220" s="64" t="s">
        <v>594</v>
      </c>
      <c r="B220" s="784" t="s">
        <v>327</v>
      </c>
      <c r="C220" s="784" t="s">
        <v>1514</v>
      </c>
      <c r="D220" t="str">
        <f t="shared" si="3"/>
        <v>25116</v>
      </c>
      <c r="I220" s="64"/>
      <c r="J220" s="784"/>
      <c r="K220" s="784"/>
    </row>
    <row r="221" spans="1:11">
      <c r="A221" s="64" t="s">
        <v>603</v>
      </c>
      <c r="B221" s="784" t="s">
        <v>282</v>
      </c>
      <c r="C221" s="784" t="s">
        <v>1494</v>
      </c>
      <c r="D221" t="str">
        <f t="shared" si="3"/>
        <v>22009</v>
      </c>
      <c r="I221" s="64"/>
      <c r="J221" s="784"/>
      <c r="K221" s="784"/>
    </row>
    <row r="222" spans="1:11">
      <c r="A222" s="64" t="s">
        <v>597</v>
      </c>
      <c r="B222" s="784" t="s">
        <v>185</v>
      </c>
      <c r="C222" s="784" t="s">
        <v>638</v>
      </c>
      <c r="D222" t="str">
        <f t="shared" si="3"/>
        <v>17403</v>
      </c>
      <c r="I222" s="64"/>
      <c r="J222" s="784"/>
      <c r="K222" s="784"/>
    </row>
    <row r="223" spans="1:11">
      <c r="A223" s="64" t="s">
        <v>603</v>
      </c>
      <c r="B223" s="784" t="s">
        <v>102</v>
      </c>
      <c r="C223" s="784" t="s">
        <v>1415</v>
      </c>
      <c r="D223" t="str">
        <f t="shared" si="3"/>
        <v>10309</v>
      </c>
      <c r="I223" s="64"/>
      <c r="J223" s="784"/>
      <c r="K223" s="784"/>
    </row>
    <row r="224" spans="1:11">
      <c r="A224" s="64" t="s">
        <v>596</v>
      </c>
      <c r="B224" s="784" t="s">
        <v>23</v>
      </c>
      <c r="C224" s="784" t="s">
        <v>1379</v>
      </c>
      <c r="D224" t="str">
        <f t="shared" si="3"/>
        <v>03400</v>
      </c>
      <c r="I224" s="64"/>
      <c r="J224" s="784"/>
      <c r="K224" s="784"/>
    </row>
    <row r="225" spans="1:11">
      <c r="A225" s="64" t="s">
        <v>599</v>
      </c>
      <c r="B225" s="784" t="s">
        <v>64</v>
      </c>
      <c r="C225" s="784" t="s">
        <v>1397</v>
      </c>
      <c r="D225" t="str">
        <f t="shared" si="3"/>
        <v>06122</v>
      </c>
      <c r="I225" s="64"/>
      <c r="J225" s="784"/>
      <c r="K225" s="784"/>
    </row>
    <row r="226" spans="1:11">
      <c r="A226" s="64" t="s">
        <v>603</v>
      </c>
      <c r="B226" s="784" t="s">
        <v>8</v>
      </c>
      <c r="C226" s="784" t="s">
        <v>1372</v>
      </c>
      <c r="D226" t="str">
        <f t="shared" si="3"/>
        <v>01160</v>
      </c>
      <c r="I226" s="64"/>
      <c r="J226" s="784"/>
      <c r="K226" s="784"/>
    </row>
    <row r="227" spans="1:11">
      <c r="A227" s="64" t="s">
        <v>603</v>
      </c>
      <c r="B227" s="784" t="s">
        <v>446</v>
      </c>
      <c r="C227" s="784" t="s">
        <v>1575</v>
      </c>
      <c r="D227" t="str">
        <f t="shared" si="3"/>
        <v>32416</v>
      </c>
      <c r="I227" s="64"/>
      <c r="J227" s="785"/>
      <c r="K227" s="784"/>
    </row>
    <row r="228" spans="1:11">
      <c r="A228" s="64" t="s">
        <v>597</v>
      </c>
      <c r="B228" s="784" t="s">
        <v>193</v>
      </c>
      <c r="C228" s="784" t="s">
        <v>1457</v>
      </c>
      <c r="D228" t="str">
        <f t="shared" si="3"/>
        <v>17407</v>
      </c>
      <c r="I228" s="64"/>
      <c r="J228" s="784"/>
      <c r="K228" s="784"/>
    </row>
    <row r="229" spans="1:11">
      <c r="A229" s="64" t="s">
        <v>594</v>
      </c>
      <c r="B229" s="784" t="s">
        <v>484</v>
      </c>
      <c r="C229" s="784" t="s">
        <v>1593</v>
      </c>
      <c r="D229" t="str">
        <f t="shared" si="3"/>
        <v>34401</v>
      </c>
      <c r="I229" s="64"/>
      <c r="J229" s="784"/>
      <c r="K229" s="784"/>
    </row>
    <row r="230" spans="1:11">
      <c r="A230" s="64" t="s">
        <v>599</v>
      </c>
      <c r="B230" s="784" t="s">
        <v>244</v>
      </c>
      <c r="C230" s="784" t="s">
        <v>1478</v>
      </c>
      <c r="D230" t="str">
        <f t="shared" si="3"/>
        <v>20403</v>
      </c>
      <c r="I230" s="64"/>
      <c r="J230" s="784"/>
      <c r="K230" s="784"/>
    </row>
    <row r="231" spans="1:11">
      <c r="A231" s="64" t="s">
        <v>603</v>
      </c>
      <c r="B231" s="784" t="s">
        <v>537</v>
      </c>
      <c r="C231" s="784" t="s">
        <v>1617</v>
      </c>
      <c r="D231" t="str">
        <f t="shared" si="3"/>
        <v>38320</v>
      </c>
      <c r="I231" s="64"/>
      <c r="J231" s="784"/>
      <c r="K231" s="784"/>
    </row>
    <row r="232" spans="1:11">
      <c r="A232" s="64" t="s">
        <v>605</v>
      </c>
      <c r="B232" s="784" t="s">
        <v>123</v>
      </c>
      <c r="C232" s="784" t="s">
        <v>1425</v>
      </c>
      <c r="D232" t="str">
        <f t="shared" si="3"/>
        <v>13160</v>
      </c>
      <c r="I232" s="64"/>
      <c r="J232" s="784"/>
      <c r="K232" s="784"/>
    </row>
    <row r="233" spans="1:11">
      <c r="A233" s="64" t="s">
        <v>595</v>
      </c>
      <c r="B233" s="784" t="s">
        <v>375</v>
      </c>
      <c r="C233" s="784" t="s">
        <v>1269</v>
      </c>
      <c r="D233" t="str">
        <f t="shared" si="3"/>
        <v>28149</v>
      </c>
      <c r="I233" s="64"/>
      <c r="J233" s="784"/>
      <c r="K233" s="784"/>
    </row>
    <row r="234" spans="1:11">
      <c r="A234" s="64" t="s">
        <v>594</v>
      </c>
      <c r="B234" s="802" t="s">
        <v>149</v>
      </c>
      <c r="C234" s="23" t="s">
        <v>1436</v>
      </c>
      <c r="D234" t="str">
        <f t="shared" si="3"/>
        <v>14104</v>
      </c>
      <c r="I234" s="64"/>
      <c r="J234" s="784"/>
      <c r="K234" s="784"/>
    </row>
    <row r="235" spans="1:11">
      <c r="A235" s="64" t="s">
        <v>1666</v>
      </c>
      <c r="B235" s="802" t="s">
        <v>1682</v>
      </c>
      <c r="C235" s="23" t="s">
        <v>1683</v>
      </c>
      <c r="D235" t="str">
        <f t="shared" si="3"/>
        <v>34974</v>
      </c>
      <c r="I235" s="64"/>
      <c r="J235" s="784"/>
      <c r="K235" s="784"/>
    </row>
    <row r="236" spans="1:11">
      <c r="A236" s="64" t="s">
        <v>1666</v>
      </c>
      <c r="B236" s="784" t="s">
        <v>1684</v>
      </c>
      <c r="C236" s="784" t="s">
        <v>1685</v>
      </c>
      <c r="D236" t="str">
        <f t="shared" si="3"/>
        <v>34975</v>
      </c>
      <c r="I236" s="64"/>
      <c r="J236" s="784"/>
      <c r="K236" s="784"/>
    </row>
    <row r="237" spans="1:11">
      <c r="A237" s="64" t="s">
        <v>597</v>
      </c>
      <c r="B237" s="784" t="s">
        <v>173</v>
      </c>
      <c r="C237" s="784" t="s">
        <v>1448</v>
      </c>
      <c r="D237" t="str">
        <f t="shared" si="3"/>
        <v>17001</v>
      </c>
      <c r="I237" s="64"/>
      <c r="J237" s="784"/>
      <c r="K237" s="784"/>
    </row>
    <row r="238" spans="1:11">
      <c r="A238" s="64" t="s">
        <v>595</v>
      </c>
      <c r="B238" s="784" t="s">
        <v>379</v>
      </c>
      <c r="C238" s="784" t="s">
        <v>686</v>
      </c>
      <c r="D238" t="str">
        <f t="shared" si="3"/>
        <v>29101</v>
      </c>
      <c r="I238" s="64"/>
      <c r="J238" s="784"/>
      <c r="K238" s="784"/>
    </row>
    <row r="239" spans="1:11">
      <c r="A239" s="64" t="s">
        <v>605</v>
      </c>
      <c r="B239" s="784" t="s">
        <v>551</v>
      </c>
      <c r="C239" s="784" t="s">
        <v>1624</v>
      </c>
      <c r="D239" t="str">
        <f t="shared" si="3"/>
        <v>39119</v>
      </c>
      <c r="I239" s="64"/>
      <c r="J239" s="784"/>
      <c r="K239" s="784"/>
    </row>
    <row r="240" spans="1:11">
      <c r="A240" s="64" t="s">
        <v>603</v>
      </c>
      <c r="B240" s="784" t="s">
        <v>340</v>
      </c>
      <c r="C240" s="784" t="s">
        <v>1521</v>
      </c>
      <c r="D240" t="str">
        <f t="shared" si="3"/>
        <v>26070</v>
      </c>
      <c r="I240" s="64"/>
      <c r="J240" s="784"/>
      <c r="K240" s="784"/>
    </row>
    <row r="241" spans="1:11">
      <c r="A241" s="64" t="s">
        <v>600</v>
      </c>
      <c r="B241" s="784" t="s">
        <v>43</v>
      </c>
      <c r="C241" s="784" t="s">
        <v>1387</v>
      </c>
      <c r="D241" t="str">
        <f t="shared" si="3"/>
        <v>05323</v>
      </c>
      <c r="I241" s="64"/>
      <c r="J241" s="784"/>
      <c r="K241" s="784"/>
    </row>
    <row r="242" spans="1:11">
      <c r="A242" s="64" t="s">
        <v>595</v>
      </c>
      <c r="B242" s="784" t="s">
        <v>371</v>
      </c>
      <c r="C242" s="784" t="s">
        <v>1537</v>
      </c>
      <c r="D242" t="str">
        <f t="shared" si="3"/>
        <v>28010</v>
      </c>
      <c r="I242" s="64"/>
      <c r="J242" s="784"/>
      <c r="K242" s="784"/>
    </row>
    <row r="243" spans="1:11">
      <c r="A243" s="64" t="s">
        <v>594</v>
      </c>
      <c r="B243" s="784" t="s">
        <v>299</v>
      </c>
      <c r="C243" s="784" t="s">
        <v>1503</v>
      </c>
      <c r="D243" t="str">
        <f t="shared" si="3"/>
        <v>23309</v>
      </c>
      <c r="I243" s="64"/>
      <c r="J243" s="784"/>
      <c r="K243" s="784"/>
    </row>
    <row r="244" spans="1:11">
      <c r="A244" s="64" t="s">
        <v>597</v>
      </c>
      <c r="B244" s="784" t="s">
        <v>203</v>
      </c>
      <c r="C244" s="784" t="s">
        <v>640</v>
      </c>
      <c r="D244" t="str">
        <f t="shared" si="3"/>
        <v>17412</v>
      </c>
      <c r="I244" s="64"/>
      <c r="J244" s="784"/>
      <c r="K244" s="784"/>
    </row>
    <row r="245" spans="1:11">
      <c r="A245" s="64" t="s">
        <v>599</v>
      </c>
      <c r="B245" s="784" t="s">
        <v>387</v>
      </c>
      <c r="C245" s="784" t="s">
        <v>1545</v>
      </c>
      <c r="D245" t="str">
        <f t="shared" si="3"/>
        <v>30002</v>
      </c>
      <c r="I245" s="64"/>
      <c r="J245" s="784"/>
      <c r="K245" s="784"/>
    </row>
    <row r="246" spans="1:11">
      <c r="A246" s="64" t="s">
        <v>597</v>
      </c>
      <c r="B246" s="784" t="s">
        <v>187</v>
      </c>
      <c r="C246" s="784" t="s">
        <v>1454</v>
      </c>
      <c r="D246" t="str">
        <f t="shared" si="3"/>
        <v>17404</v>
      </c>
      <c r="I246" s="64"/>
      <c r="J246" s="784"/>
      <c r="K246" s="784"/>
    </row>
    <row r="247" spans="1:11">
      <c r="A247" s="64" t="s">
        <v>595</v>
      </c>
      <c r="B247" s="784" t="s">
        <v>411</v>
      </c>
      <c r="C247" s="784" t="s">
        <v>1556</v>
      </c>
      <c r="D247" t="str">
        <f t="shared" si="3"/>
        <v>31201</v>
      </c>
      <c r="I247" s="64"/>
      <c r="J247" s="784"/>
      <c r="K247" s="784"/>
    </row>
    <row r="248" spans="1:11">
      <c r="A248" s="64" t="s">
        <v>597</v>
      </c>
      <c r="B248" s="784" t="s">
        <v>199</v>
      </c>
      <c r="C248" s="784" t="s">
        <v>1272</v>
      </c>
      <c r="D248" t="str">
        <f t="shared" si="3"/>
        <v>17410</v>
      </c>
      <c r="I248" s="64"/>
      <c r="J248" s="784"/>
      <c r="K248" s="784"/>
    </row>
    <row r="249" spans="1:11">
      <c r="A249" s="64" t="s">
        <v>601</v>
      </c>
      <c r="B249" s="36" t="s">
        <v>121</v>
      </c>
      <c r="C249" s="23" t="s">
        <v>1424</v>
      </c>
      <c r="D249" t="str">
        <f t="shared" si="3"/>
        <v>13156</v>
      </c>
      <c r="I249" s="64"/>
      <c r="J249" s="784"/>
      <c r="K249" s="784"/>
    </row>
    <row r="250" spans="1:11">
      <c r="A250" s="64" t="s">
        <v>594</v>
      </c>
      <c r="B250" s="784" t="s">
        <v>329</v>
      </c>
      <c r="C250" s="784" t="s">
        <v>1515</v>
      </c>
      <c r="D250" t="str">
        <f t="shared" si="3"/>
        <v>25118</v>
      </c>
      <c r="I250" s="64"/>
      <c r="J250" s="784"/>
      <c r="K250" s="784"/>
    </row>
    <row r="251" spans="1:11">
      <c r="A251" s="64" t="s">
        <v>600</v>
      </c>
      <c r="B251" s="784" t="s">
        <v>218</v>
      </c>
      <c r="C251" s="784" t="s">
        <v>1465</v>
      </c>
      <c r="D251" t="str">
        <f t="shared" si="3"/>
        <v>18402</v>
      </c>
      <c r="I251" s="64"/>
      <c r="J251" s="784"/>
      <c r="K251" s="784"/>
    </row>
    <row r="252" spans="1:11">
      <c r="A252" s="64" t="s">
        <v>595</v>
      </c>
      <c r="B252" s="784" t="s">
        <v>161</v>
      </c>
      <c r="C252" s="784" t="s">
        <v>1442</v>
      </c>
      <c r="D252" t="str">
        <f t="shared" si="3"/>
        <v>15206</v>
      </c>
      <c r="I252" s="64"/>
      <c r="J252" s="784"/>
      <c r="K252" s="784"/>
    </row>
    <row r="253" spans="1:11">
      <c r="A253" s="64" t="s">
        <v>594</v>
      </c>
      <c r="B253" s="784" t="s">
        <v>295</v>
      </c>
      <c r="C253" s="784" t="s">
        <v>1501</v>
      </c>
      <c r="D253" t="str">
        <f t="shared" si="3"/>
        <v>23042</v>
      </c>
      <c r="I253" s="64"/>
      <c r="J253" s="784"/>
      <c r="K253" s="784"/>
    </row>
    <row r="254" spans="1:11">
      <c r="A254" s="64" t="s">
        <v>603</v>
      </c>
      <c r="B254" s="784" t="s">
        <v>422</v>
      </c>
      <c r="C254" s="784" t="s">
        <v>1562</v>
      </c>
      <c r="D254" t="str">
        <f t="shared" si="3"/>
        <v>32081</v>
      </c>
      <c r="I254" s="64"/>
      <c r="J254" s="784"/>
      <c r="K254" s="784"/>
    </row>
    <row r="255" spans="1:11">
      <c r="A255" s="138" t="s">
        <v>1666</v>
      </c>
      <c r="B255" s="36" t="s">
        <v>1691</v>
      </c>
      <c r="C255" s="23" t="s">
        <v>1767</v>
      </c>
      <c r="D255" t="str">
        <f t="shared" si="3"/>
        <v>32901</v>
      </c>
      <c r="I255" s="64"/>
      <c r="J255" s="784"/>
      <c r="K255" s="784"/>
    </row>
    <row r="256" spans="1:11">
      <c r="A256" s="64" t="s">
        <v>603</v>
      </c>
      <c r="B256" s="784" t="s">
        <v>280</v>
      </c>
      <c r="C256" s="784" t="s">
        <v>1493</v>
      </c>
      <c r="D256" t="str">
        <f t="shared" si="3"/>
        <v>22008</v>
      </c>
      <c r="I256" s="64"/>
      <c r="J256" s="784"/>
      <c r="K256" s="784"/>
    </row>
    <row r="257" spans="1:11">
      <c r="A257" s="64" t="s">
        <v>603</v>
      </c>
      <c r="B257" s="784" t="s">
        <v>539</v>
      </c>
      <c r="C257" s="784" t="s">
        <v>1618</v>
      </c>
      <c r="D257" t="str">
        <f t="shared" si="3"/>
        <v>38322</v>
      </c>
      <c r="I257" s="64"/>
      <c r="J257" s="784"/>
      <c r="K257" s="784"/>
    </row>
    <row r="258" spans="1:11">
      <c r="A258" s="64" t="s">
        <v>595</v>
      </c>
      <c r="B258" s="785" t="s">
        <v>421</v>
      </c>
      <c r="C258" s="784" t="s">
        <v>1561</v>
      </c>
      <c r="D258" t="str">
        <f t="shared" si="3"/>
        <v>31401</v>
      </c>
      <c r="I258" s="64"/>
      <c r="J258" s="784"/>
      <c r="K258" s="784"/>
    </row>
    <row r="259" spans="1:11">
      <c r="A259" s="64" t="s">
        <v>596</v>
      </c>
      <c r="B259" s="784" t="s">
        <v>108</v>
      </c>
      <c r="C259" s="784" t="s">
        <v>1418</v>
      </c>
      <c r="D259" t="str">
        <f t="shared" ref="D259:D318" si="4">B259</f>
        <v>11054</v>
      </c>
      <c r="I259" s="64"/>
      <c r="J259" s="784"/>
      <c r="K259" s="784"/>
    </row>
    <row r="260" spans="1:11">
      <c r="A260" s="64" t="s">
        <v>596</v>
      </c>
      <c r="B260" s="784" t="s">
        <v>68</v>
      </c>
      <c r="C260" s="784" t="s">
        <v>1398</v>
      </c>
      <c r="D260" t="str">
        <f t="shared" si="4"/>
        <v>07035</v>
      </c>
      <c r="I260" s="64"/>
      <c r="J260" s="784"/>
      <c r="K260" s="784"/>
    </row>
    <row r="261" spans="1:11">
      <c r="A261" s="64" t="s">
        <v>601</v>
      </c>
      <c r="B261" s="784" t="s">
        <v>27</v>
      </c>
      <c r="C261" s="784" t="s">
        <v>1381</v>
      </c>
      <c r="D261" t="str">
        <f t="shared" si="4"/>
        <v>04069</v>
      </c>
      <c r="I261" s="64"/>
      <c r="J261" s="784"/>
      <c r="K261" s="784"/>
    </row>
    <row r="262" spans="1:11">
      <c r="A262" s="64" t="s">
        <v>597</v>
      </c>
      <c r="B262" s="784" t="s">
        <v>342</v>
      </c>
      <c r="C262" s="784" t="s">
        <v>1522</v>
      </c>
      <c r="D262" t="str">
        <f t="shared" si="4"/>
        <v>27001</v>
      </c>
      <c r="I262" s="64"/>
      <c r="J262" s="784"/>
      <c r="K262" s="784"/>
    </row>
    <row r="263" spans="1:11">
      <c r="A263" s="64" t="s">
        <v>603</v>
      </c>
      <c r="B263" s="784" t="s">
        <v>531</v>
      </c>
      <c r="C263" s="784" t="s">
        <v>1614</v>
      </c>
      <c r="D263" t="str">
        <f t="shared" si="4"/>
        <v>38304</v>
      </c>
      <c r="I263" s="64"/>
      <c r="J263" s="784"/>
      <c r="K263" s="784"/>
    </row>
    <row r="264" spans="1:11">
      <c r="A264" s="64" t="s">
        <v>599</v>
      </c>
      <c r="B264" s="784" t="s">
        <v>393</v>
      </c>
      <c r="C264" s="784" t="s">
        <v>1548</v>
      </c>
      <c r="D264" t="str">
        <f t="shared" si="4"/>
        <v>30303</v>
      </c>
      <c r="I264" s="64"/>
      <c r="J264" s="784"/>
      <c r="K264" s="784"/>
    </row>
    <row r="265" spans="1:11">
      <c r="A265" s="64" t="s">
        <v>595</v>
      </c>
      <c r="B265" s="784" t="s">
        <v>415</v>
      </c>
      <c r="C265" s="784" t="s">
        <v>1558</v>
      </c>
      <c r="D265" t="str">
        <f t="shared" si="4"/>
        <v>31311</v>
      </c>
      <c r="I265" s="64"/>
      <c r="J265" s="784"/>
      <c r="K265" s="784"/>
    </row>
    <row r="266" spans="1:11">
      <c r="A266" s="138" t="s">
        <v>1666</v>
      </c>
      <c r="B266" s="36" t="s">
        <v>1716</v>
      </c>
      <c r="C266" s="23" t="s">
        <v>1761</v>
      </c>
      <c r="D266" t="str">
        <f t="shared" si="4"/>
        <v>17905</v>
      </c>
      <c r="I266" s="64"/>
      <c r="J266" s="784"/>
      <c r="K266" s="784"/>
    </row>
    <row r="267" spans="1:11">
      <c r="A267" s="138" t="s">
        <v>1666</v>
      </c>
      <c r="B267" s="36" t="s">
        <v>1694</v>
      </c>
      <c r="C267" s="23" t="s">
        <v>1768</v>
      </c>
      <c r="D267" t="str">
        <f t="shared" si="4"/>
        <v>27905</v>
      </c>
      <c r="I267" s="64"/>
      <c r="J267" s="784"/>
      <c r="K267" s="784"/>
    </row>
    <row r="268" spans="1:11">
      <c r="A268" s="138" t="s">
        <v>1666</v>
      </c>
      <c r="B268" s="784" t="s">
        <v>1693</v>
      </c>
      <c r="C268" s="784" t="s">
        <v>1769</v>
      </c>
      <c r="D268" t="str">
        <f t="shared" si="4"/>
        <v>17902</v>
      </c>
      <c r="I268" s="64"/>
      <c r="J268" s="784"/>
      <c r="K268" s="784"/>
    </row>
    <row r="269" spans="1:11">
      <c r="A269" s="64" t="s">
        <v>603</v>
      </c>
      <c r="B269" s="784" t="s">
        <v>460</v>
      </c>
      <c r="C269" s="784" t="s">
        <v>1582</v>
      </c>
      <c r="D269" t="str">
        <f t="shared" si="4"/>
        <v>33202</v>
      </c>
      <c r="I269" s="64"/>
      <c r="J269" s="784"/>
      <c r="K269" s="784"/>
    </row>
    <row r="270" spans="1:11">
      <c r="A270" s="64" t="s">
        <v>597</v>
      </c>
      <c r="B270" s="784" t="s">
        <v>351</v>
      </c>
      <c r="C270" s="784" t="s">
        <v>1527</v>
      </c>
      <c r="D270" t="str">
        <f t="shared" si="4"/>
        <v>27320</v>
      </c>
      <c r="I270" s="64"/>
      <c r="J270" s="784"/>
      <c r="K270" s="784"/>
    </row>
    <row r="271" spans="1:11">
      <c r="A271" s="64" t="s">
        <v>605</v>
      </c>
      <c r="B271" s="36" t="s">
        <v>557</v>
      </c>
      <c r="C271" s="23" t="s">
        <v>1626</v>
      </c>
      <c r="D271" t="str">
        <f t="shared" si="4"/>
        <v>39201</v>
      </c>
      <c r="I271" s="64"/>
      <c r="J271" s="785"/>
      <c r="K271" s="784"/>
    </row>
    <row r="272" spans="1:11">
      <c r="A272" s="64" t="s">
        <v>597</v>
      </c>
      <c r="B272" s="784" t="s">
        <v>345</v>
      </c>
      <c r="C272" s="784" t="s">
        <v>1524</v>
      </c>
      <c r="D272" t="str">
        <f t="shared" si="4"/>
        <v>27010</v>
      </c>
      <c r="I272" s="64"/>
      <c r="J272" s="784"/>
      <c r="K272" s="784"/>
    </row>
    <row r="273" spans="1:11">
      <c r="A273" s="64" t="s">
        <v>594</v>
      </c>
      <c r="B273" s="784" t="s">
        <v>143</v>
      </c>
      <c r="C273" s="784" t="s">
        <v>1434</v>
      </c>
      <c r="D273" t="str">
        <f t="shared" si="4"/>
        <v>14077</v>
      </c>
      <c r="I273" s="64"/>
      <c r="J273" s="784"/>
      <c r="K273" s="784"/>
    </row>
    <row r="274" spans="1:11">
      <c r="A274" s="64" t="s">
        <v>597</v>
      </c>
      <c r="B274" s="784" t="s">
        <v>197</v>
      </c>
      <c r="C274" s="784" t="s">
        <v>627</v>
      </c>
      <c r="D274" t="str">
        <f t="shared" si="4"/>
        <v>17409</v>
      </c>
      <c r="I274" s="64"/>
      <c r="J274" s="785"/>
      <c r="K274" s="784"/>
    </row>
    <row r="275" spans="1:11">
      <c r="A275" s="64" t="s">
        <v>603</v>
      </c>
      <c r="B275" s="784" t="s">
        <v>521</v>
      </c>
      <c r="C275" s="784" t="s">
        <v>1609</v>
      </c>
      <c r="D275" t="str">
        <f t="shared" si="4"/>
        <v>38265</v>
      </c>
      <c r="I275" s="64"/>
      <c r="J275" s="784"/>
      <c r="K275" s="784"/>
    </row>
    <row r="276" spans="1:11">
      <c r="A276" s="64" t="s">
        <v>594</v>
      </c>
      <c r="B276" s="784" t="s">
        <v>486</v>
      </c>
      <c r="C276" s="784" t="s">
        <v>1594</v>
      </c>
      <c r="D276" t="str">
        <f t="shared" si="4"/>
        <v>34402</v>
      </c>
      <c r="I276" s="64"/>
      <c r="J276" s="784"/>
      <c r="K276" s="784"/>
    </row>
    <row r="277" spans="1:11">
      <c r="A277" s="64" t="s">
        <v>605</v>
      </c>
      <c r="B277" s="784" t="s">
        <v>224</v>
      </c>
      <c r="C277" s="784" t="s">
        <v>1468</v>
      </c>
      <c r="D277" t="str">
        <f t="shared" si="4"/>
        <v>19400</v>
      </c>
      <c r="I277" s="64"/>
      <c r="J277" s="784"/>
      <c r="K277" s="784"/>
    </row>
    <row r="278" spans="1:11">
      <c r="A278" s="64" t="s">
        <v>594</v>
      </c>
      <c r="B278" s="784" t="s">
        <v>268</v>
      </c>
      <c r="C278" s="784" t="s">
        <v>1488</v>
      </c>
      <c r="D278" t="str">
        <f t="shared" si="4"/>
        <v>21237</v>
      </c>
      <c r="I278" s="64"/>
      <c r="J278" s="784"/>
      <c r="K278" s="784"/>
    </row>
    <row r="279" spans="1:11">
      <c r="A279" s="64" t="s">
        <v>601</v>
      </c>
      <c r="B279" s="784" t="s">
        <v>321</v>
      </c>
      <c r="C279" s="784" t="s">
        <v>612</v>
      </c>
      <c r="D279" t="str">
        <f t="shared" si="4"/>
        <v>24404</v>
      </c>
      <c r="I279" s="64"/>
      <c r="J279" s="784"/>
      <c r="K279" s="784"/>
    </row>
    <row r="280" spans="1:11">
      <c r="A280" s="64" t="s">
        <v>605</v>
      </c>
      <c r="B280" s="784" t="s">
        <v>559</v>
      </c>
      <c r="C280" s="784" t="s">
        <v>633</v>
      </c>
      <c r="D280" t="str">
        <f t="shared" si="4"/>
        <v>39202</v>
      </c>
      <c r="I280" s="64"/>
      <c r="J280" s="784"/>
      <c r="K280" s="784"/>
    </row>
    <row r="281" spans="1:11">
      <c r="A281" s="64" t="s">
        <v>596</v>
      </c>
      <c r="B281" s="784" t="s">
        <v>496</v>
      </c>
      <c r="C281" s="784" t="s">
        <v>1598</v>
      </c>
      <c r="D281" t="str">
        <f t="shared" si="4"/>
        <v>36300</v>
      </c>
      <c r="I281" s="64"/>
      <c r="J281" s="784"/>
      <c r="K281" s="784"/>
    </row>
    <row r="282" spans="1:11">
      <c r="A282" s="64" t="s">
        <v>599</v>
      </c>
      <c r="B282" s="784" t="s">
        <v>72</v>
      </c>
      <c r="C282" s="784" t="s">
        <v>1400</v>
      </c>
      <c r="D282" t="str">
        <f t="shared" si="4"/>
        <v>08130</v>
      </c>
      <c r="I282" s="64"/>
      <c r="J282" s="784"/>
      <c r="K282" s="784"/>
    </row>
    <row r="283" spans="1:11">
      <c r="A283" s="64" t="s">
        <v>599</v>
      </c>
      <c r="B283" s="784" t="s">
        <v>238</v>
      </c>
      <c r="C283" s="784" t="s">
        <v>1475</v>
      </c>
      <c r="D283" t="str">
        <f t="shared" si="4"/>
        <v>20400</v>
      </c>
      <c r="I283" s="64"/>
      <c r="J283" s="784"/>
      <c r="K283" s="784"/>
    </row>
    <row r="284" spans="1:11">
      <c r="A284" s="64" t="s">
        <v>597</v>
      </c>
      <c r="B284" s="784" t="s">
        <v>191</v>
      </c>
      <c r="C284" s="784" t="s">
        <v>1456</v>
      </c>
      <c r="D284" t="str">
        <f t="shared" si="4"/>
        <v>17406</v>
      </c>
      <c r="I284" s="64"/>
      <c r="J284" s="784"/>
      <c r="K284" s="784"/>
    </row>
    <row r="285" spans="1:11">
      <c r="A285" s="64" t="s">
        <v>594</v>
      </c>
      <c r="B285" s="784" t="s">
        <v>476</v>
      </c>
      <c r="C285" s="784" t="s">
        <v>1589</v>
      </c>
      <c r="D285" t="str">
        <f t="shared" si="4"/>
        <v>34033</v>
      </c>
      <c r="I285" s="64"/>
      <c r="J285" s="784"/>
      <c r="K285" s="784"/>
    </row>
    <row r="286" spans="1:11">
      <c r="A286" s="64" t="s">
        <v>605</v>
      </c>
      <c r="B286" s="784" t="s">
        <v>543</v>
      </c>
      <c r="C286" s="784" t="s">
        <v>1620</v>
      </c>
      <c r="D286" t="str">
        <f t="shared" si="4"/>
        <v>39002</v>
      </c>
      <c r="I286" s="64"/>
      <c r="J286" s="787"/>
      <c r="K286" s="784"/>
    </row>
    <row r="287" spans="1:11">
      <c r="A287" s="64" t="s">
        <v>597</v>
      </c>
      <c r="B287" s="784" t="s">
        <v>349</v>
      </c>
      <c r="C287" s="784" t="s">
        <v>1526</v>
      </c>
      <c r="D287" t="str">
        <f t="shared" si="4"/>
        <v>27083</v>
      </c>
      <c r="I287" s="64"/>
      <c r="J287" s="784"/>
      <c r="K287" s="784"/>
    </row>
    <row r="288" spans="1:11">
      <c r="A288" s="64" t="s">
        <v>603</v>
      </c>
      <c r="B288" s="784" t="s">
        <v>454</v>
      </c>
      <c r="C288" s="784" t="s">
        <v>1579</v>
      </c>
      <c r="D288" t="str">
        <f t="shared" si="4"/>
        <v>33070</v>
      </c>
      <c r="I288" s="64"/>
      <c r="J288" s="784"/>
      <c r="K288" s="784"/>
    </row>
    <row r="289" spans="1:11">
      <c r="A289" s="64" t="s">
        <v>599</v>
      </c>
      <c r="B289" s="784" t="s">
        <v>49</v>
      </c>
      <c r="C289" s="784" t="s">
        <v>1390</v>
      </c>
      <c r="D289" t="str">
        <f t="shared" si="4"/>
        <v>06037</v>
      </c>
      <c r="I289" s="64"/>
      <c r="J289" s="784"/>
      <c r="K289" s="784"/>
    </row>
    <row r="290" spans="1:11">
      <c r="A290" s="64" t="s">
        <v>597</v>
      </c>
      <c r="B290" s="784" t="s">
        <v>183</v>
      </c>
      <c r="C290" s="784" t="s">
        <v>1453</v>
      </c>
      <c r="D290" t="str">
        <f t="shared" si="4"/>
        <v>17402</v>
      </c>
      <c r="I290" s="64"/>
      <c r="J290" s="784"/>
      <c r="K290" s="784"/>
    </row>
    <row r="291" spans="1:11">
      <c r="A291" s="64" t="s">
        <v>599</v>
      </c>
      <c r="B291" s="784" t="s">
        <v>488</v>
      </c>
      <c r="C291" s="784" t="s">
        <v>1595</v>
      </c>
      <c r="D291" t="str">
        <f t="shared" si="4"/>
        <v>35200</v>
      </c>
      <c r="I291" s="64"/>
      <c r="J291" s="784"/>
      <c r="K291" s="784"/>
    </row>
    <row r="292" spans="1:11">
      <c r="A292" s="64" t="s">
        <v>605</v>
      </c>
      <c r="B292" s="784" t="s">
        <v>114</v>
      </c>
      <c r="C292" s="784" t="s">
        <v>634</v>
      </c>
      <c r="D292" t="str">
        <f t="shared" si="4"/>
        <v>13073</v>
      </c>
      <c r="I292" s="64"/>
      <c r="J292" s="784"/>
      <c r="K292" s="784"/>
    </row>
    <row r="293" spans="1:11">
      <c r="A293" s="64" t="s">
        <v>596</v>
      </c>
      <c r="B293" s="784" t="s">
        <v>500</v>
      </c>
      <c r="C293" s="784" t="s">
        <v>1600</v>
      </c>
      <c r="D293" t="str">
        <f t="shared" si="4"/>
        <v>36401</v>
      </c>
      <c r="I293" s="64"/>
      <c r="J293" s="784"/>
      <c r="K293" s="784"/>
    </row>
    <row r="294" spans="1:11">
      <c r="A294" s="64" t="s">
        <v>596</v>
      </c>
      <c r="B294" s="784" t="s">
        <v>492</v>
      </c>
      <c r="C294" s="784" t="s">
        <v>641</v>
      </c>
      <c r="D294" t="str">
        <f t="shared" si="4"/>
        <v>36140</v>
      </c>
      <c r="I294" s="64"/>
      <c r="J294" s="784"/>
      <c r="K294" s="784"/>
    </row>
    <row r="295" spans="1:11">
      <c r="A295" s="64" t="s">
        <v>605</v>
      </c>
      <c r="B295" s="36" t="s">
        <v>567</v>
      </c>
      <c r="C295" s="23" t="s">
        <v>1630</v>
      </c>
      <c r="D295" t="str">
        <f t="shared" si="4"/>
        <v>39207</v>
      </c>
      <c r="I295" s="64"/>
      <c r="J295" s="784"/>
      <c r="K295" s="784"/>
    </row>
    <row r="296" spans="1:11">
      <c r="A296" s="64" t="s">
        <v>601</v>
      </c>
      <c r="B296" s="784" t="s">
        <v>118</v>
      </c>
      <c r="C296" s="784" t="s">
        <v>1422</v>
      </c>
      <c r="D296" t="str">
        <f t="shared" si="4"/>
        <v>13146</v>
      </c>
      <c r="I296" s="64"/>
      <c r="J296" s="784"/>
      <c r="K296" s="784"/>
    </row>
    <row r="297" spans="1:11">
      <c r="A297" s="64" t="s">
        <v>599</v>
      </c>
      <c r="B297" s="784" t="s">
        <v>56</v>
      </c>
      <c r="C297" s="784" t="s">
        <v>854</v>
      </c>
      <c r="D297" t="str">
        <f t="shared" si="4"/>
        <v>06112</v>
      </c>
      <c r="I297" s="64"/>
      <c r="J297" s="784"/>
      <c r="K297" s="784"/>
    </row>
    <row r="298" spans="1:11">
      <c r="A298" s="64" t="s">
        <v>603</v>
      </c>
      <c r="B298" s="784" t="s">
        <v>0</v>
      </c>
      <c r="C298" s="784" t="s">
        <v>1369</v>
      </c>
      <c r="D298" t="str">
        <f t="shared" si="4"/>
        <v>01109</v>
      </c>
      <c r="I298" s="64"/>
      <c r="J298" s="784"/>
      <c r="K298" s="784"/>
    </row>
    <row r="299" spans="1:11">
      <c r="A299" s="64" t="s">
        <v>601</v>
      </c>
      <c r="B299" s="784" t="s">
        <v>92</v>
      </c>
      <c r="C299" s="784" t="s">
        <v>1410</v>
      </c>
      <c r="D299" t="str">
        <f t="shared" si="4"/>
        <v>09209</v>
      </c>
      <c r="I299" s="64"/>
      <c r="J299" s="784"/>
      <c r="K299" s="784"/>
    </row>
    <row r="300" spans="1:11">
      <c r="A300" s="64" t="s">
        <v>603</v>
      </c>
      <c r="B300" s="784" t="s">
        <v>452</v>
      </c>
      <c r="C300" s="784" t="s">
        <v>1578</v>
      </c>
      <c r="D300" t="str">
        <f t="shared" si="4"/>
        <v>33049</v>
      </c>
      <c r="I300" s="64"/>
      <c r="J300" s="784"/>
      <c r="K300" s="784"/>
    </row>
    <row r="301" spans="1:11">
      <c r="A301" s="64" t="s">
        <v>601</v>
      </c>
      <c r="B301" s="784" t="s">
        <v>37</v>
      </c>
      <c r="C301" s="784" t="s">
        <v>1384</v>
      </c>
      <c r="D301" t="str">
        <f t="shared" si="4"/>
        <v>04246</v>
      </c>
      <c r="I301" s="64"/>
      <c r="J301" s="23"/>
      <c r="K301" s="788"/>
    </row>
    <row r="302" spans="1:11">
      <c r="A302" s="64" t="s">
        <v>603</v>
      </c>
      <c r="B302" s="784" t="s">
        <v>443</v>
      </c>
      <c r="C302" s="784" t="s">
        <v>1573</v>
      </c>
      <c r="D302" t="str">
        <f t="shared" si="4"/>
        <v>32363</v>
      </c>
      <c r="I302" s="64"/>
      <c r="J302" s="36"/>
      <c r="K302" s="23"/>
    </row>
    <row r="303" spans="1:11">
      <c r="A303" s="64" t="s">
        <v>605</v>
      </c>
      <c r="B303" s="36" t="s">
        <v>569</v>
      </c>
      <c r="C303" s="23" t="s">
        <v>1631</v>
      </c>
      <c r="D303" t="str">
        <f t="shared" si="4"/>
        <v>39208</v>
      </c>
      <c r="I303" s="64"/>
      <c r="J303" s="36"/>
      <c r="K303" s="23"/>
    </row>
    <row r="304" spans="1:11">
      <c r="A304" s="64" t="s">
        <v>1666</v>
      </c>
      <c r="B304" s="784" t="s">
        <v>1759</v>
      </c>
      <c r="C304" s="785" t="s">
        <v>1788</v>
      </c>
      <c r="D304" t="str">
        <f t="shared" si="4"/>
        <v>37902</v>
      </c>
      <c r="I304" s="64"/>
      <c r="J304" s="838"/>
    </row>
    <row r="305" spans="1:11">
      <c r="A305" s="64" t="s">
        <v>594</v>
      </c>
      <c r="B305" s="784" t="s">
        <v>276</v>
      </c>
      <c r="C305" s="784" t="s">
        <v>1492</v>
      </c>
      <c r="D305" t="str">
        <f t="shared" si="4"/>
        <v>21303</v>
      </c>
      <c r="I305" s="64"/>
      <c r="J305" s="36"/>
      <c r="K305" s="23"/>
    </row>
    <row r="306" spans="1:11">
      <c r="A306" s="64" t="s">
        <v>597</v>
      </c>
      <c r="B306" s="784" t="s">
        <v>367</v>
      </c>
      <c r="C306" s="784" t="s">
        <v>1533</v>
      </c>
      <c r="D306" t="str">
        <f t="shared" si="4"/>
        <v>27416</v>
      </c>
      <c r="I306" s="64"/>
      <c r="J306" s="36"/>
      <c r="K306" s="23"/>
    </row>
    <row r="307" spans="1:11">
      <c r="A307" s="64" t="s">
        <v>599</v>
      </c>
      <c r="B307" s="784" t="s">
        <v>248</v>
      </c>
      <c r="C307" s="784" t="s">
        <v>1480</v>
      </c>
      <c r="D307" t="str">
        <f t="shared" si="4"/>
        <v>20405</v>
      </c>
      <c r="I307" s="64"/>
      <c r="J307" s="802"/>
      <c r="K307" s="23"/>
    </row>
    <row r="308" spans="1:11">
      <c r="A308" s="64" t="s">
        <v>603</v>
      </c>
      <c r="B308" s="812" t="s">
        <v>289</v>
      </c>
      <c r="C308" s="543" t="s">
        <v>1498</v>
      </c>
      <c r="D308" t="str">
        <f t="shared" si="4"/>
        <v>22200</v>
      </c>
      <c r="I308" s="64"/>
      <c r="J308" s="802"/>
      <c r="K308" s="23"/>
    </row>
    <row r="309" spans="1:11">
      <c r="A309" s="64" t="s">
        <v>594</v>
      </c>
      <c r="B309" s="784" t="s">
        <v>332</v>
      </c>
      <c r="C309" s="784" t="s">
        <v>1517</v>
      </c>
      <c r="D309" t="str">
        <f t="shared" si="4"/>
        <v>25160</v>
      </c>
      <c r="I309" s="64"/>
      <c r="J309" s="802"/>
      <c r="K309" s="23"/>
    </row>
    <row r="310" spans="1:11">
      <c r="A310" s="138" t="s">
        <v>1666</v>
      </c>
      <c r="B310" s="784" t="s">
        <v>1717</v>
      </c>
      <c r="C310" s="785" t="s">
        <v>1791</v>
      </c>
      <c r="D310" t="str">
        <f t="shared" si="4"/>
        <v>36901</v>
      </c>
      <c r="I310" s="64"/>
      <c r="J310" s="36"/>
      <c r="K310" s="23"/>
    </row>
    <row r="311" spans="1:11">
      <c r="A311" s="64" t="s">
        <v>601</v>
      </c>
      <c r="B311" s="784" t="s">
        <v>129</v>
      </c>
      <c r="C311" s="784" t="s">
        <v>1427</v>
      </c>
      <c r="D311" t="str">
        <f t="shared" si="4"/>
        <v>13167</v>
      </c>
      <c r="I311" s="64"/>
      <c r="J311" s="36"/>
      <c r="K311" s="23"/>
    </row>
    <row r="312" spans="1:11">
      <c r="A312" s="64" t="s">
        <v>594</v>
      </c>
      <c r="B312" s="784" t="s">
        <v>264</v>
      </c>
      <c r="C312" s="784" t="s">
        <v>1486</v>
      </c>
      <c r="D312" t="str">
        <f t="shared" si="4"/>
        <v>21232</v>
      </c>
      <c r="I312" s="64"/>
      <c r="J312" s="36"/>
      <c r="K312" s="23"/>
    </row>
    <row r="313" spans="1:11">
      <c r="A313" s="64" t="s">
        <v>594</v>
      </c>
      <c r="B313" s="784" t="s">
        <v>151</v>
      </c>
      <c r="C313" s="784" t="s">
        <v>1437</v>
      </c>
      <c r="D313" t="str">
        <f t="shared" si="4"/>
        <v>14117</v>
      </c>
      <c r="I313" s="64"/>
      <c r="J313" s="36"/>
      <c r="K313" s="23"/>
    </row>
    <row r="314" spans="1:11">
      <c r="A314" s="64" t="s">
        <v>599</v>
      </c>
      <c r="B314" s="784" t="s">
        <v>232</v>
      </c>
      <c r="C314" s="784" t="s">
        <v>1472</v>
      </c>
      <c r="D314" t="str">
        <f t="shared" si="4"/>
        <v>20094</v>
      </c>
      <c r="I314" s="64"/>
      <c r="J314" s="812"/>
      <c r="K314" s="543"/>
    </row>
    <row r="315" spans="1:11">
      <c r="A315" s="64" t="s">
        <v>599</v>
      </c>
      <c r="B315" s="784" t="s">
        <v>78</v>
      </c>
      <c r="C315" s="784" t="s">
        <v>1403</v>
      </c>
      <c r="D315" t="str">
        <f t="shared" si="4"/>
        <v>08404</v>
      </c>
      <c r="I315" s="64"/>
      <c r="J315" s="812"/>
      <c r="K315" s="543"/>
    </row>
    <row r="316" spans="1:11">
      <c r="A316" s="64" t="s">
        <v>605</v>
      </c>
      <c r="B316" s="36" t="s">
        <v>547</v>
      </c>
      <c r="C316" s="23" t="s">
        <v>1622</v>
      </c>
      <c r="D316" t="str">
        <f t="shared" si="4"/>
        <v>39007</v>
      </c>
      <c r="I316" s="64"/>
      <c r="J316" s="838"/>
    </row>
    <row r="317" spans="1:11">
      <c r="A317" t="s">
        <v>594</v>
      </c>
      <c r="B317" t="s">
        <v>472</v>
      </c>
      <c r="C317" t="s">
        <v>1588</v>
      </c>
      <c r="D317" t="str">
        <f t="shared" si="4"/>
        <v>34002</v>
      </c>
      <c r="I317" s="64"/>
      <c r="J317" s="838"/>
    </row>
    <row r="318" spans="1:11">
      <c r="A318" t="s">
        <v>605</v>
      </c>
      <c r="B318" t="s">
        <v>565</v>
      </c>
      <c r="C318" t="s">
        <v>1629</v>
      </c>
      <c r="D318" t="str">
        <f t="shared" si="4"/>
        <v>39205</v>
      </c>
      <c r="I318" s="64"/>
      <c r="J318" s="838"/>
    </row>
  </sheetData>
  <autoFilter ref="A1:C318" xr:uid="{00000000-0009-0000-0000-000003000000}"/>
  <phoneticPr fontId="0" type="noConversion"/>
  <conditionalFormatting sqref="C2:C75 K3:K318">
    <cfRule type="expression" dxfId="96" priority="4">
      <formula>AND($O2&lt;10000,$O2&gt;0,$K2="Y")</formula>
    </cfRule>
  </conditionalFormatting>
  <conditionalFormatting sqref="C108:C219 C221:C316 C77:C97 C99:C106">
    <cfRule type="expression" dxfId="95" priority="3">
      <formula>AND($O76&lt;10000,$O76&gt;0,$K76="Y")</formula>
    </cfRule>
  </conditionalFormatting>
  <conditionalFormatting sqref="C76">
    <cfRule type="expression" dxfId="94" priority="1">
      <formula>AND($O76&lt;10000,$O76&gt;0,$K76="Y")</formula>
    </cfRule>
  </conditionalFormatting>
  <conditionalFormatting sqref="C220">
    <cfRule type="expression" dxfId="93" priority="23">
      <formula>AND($O218&lt;10000,$O218&gt;0,$K218="Y")</formula>
    </cfRule>
  </conditionalFormatting>
  <conditionalFormatting sqref="C98">
    <cfRule type="expression" dxfId="92" priority="27">
      <formula>AND(#REF!&lt;10000,#REF!&gt;0,#REF!="Y")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K326"/>
  <sheetViews>
    <sheetView topLeftCell="F1" zoomScaleNormal="100" workbookViewId="0">
      <selection activeCell="U28" sqref="U28"/>
    </sheetView>
  </sheetViews>
  <sheetFormatPr defaultColWidth="9.140625" defaultRowHeight="12.75"/>
  <cols>
    <col min="1" max="2" width="6.5703125" style="23" customWidth="1"/>
    <col min="3" max="3" width="40.42578125" style="23" bestFit="1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260513</v>
      </c>
      <c r="O3" s="87">
        <v>17723576</v>
      </c>
      <c r="Q3" s="67"/>
      <c r="R3" s="67"/>
      <c r="S3" s="67"/>
      <c r="T3" s="67"/>
      <c r="U3" s="67"/>
      <c r="V3" s="151"/>
      <c r="W3" s="87">
        <v>17723576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1776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17723576</v>
      </c>
      <c r="H6" s="133" t="s">
        <v>1796</v>
      </c>
      <c r="I6" s="68">
        <v>0</v>
      </c>
      <c r="J6" s="73"/>
      <c r="K6" s="220"/>
      <c r="L6" s="87">
        <v>10000</v>
      </c>
      <c r="M6" s="71"/>
      <c r="N6" s="69"/>
      <c r="O6" s="399" t="s">
        <v>865</v>
      </c>
      <c r="Q6" s="67"/>
      <c r="R6" s="67"/>
      <c r="S6" s="67"/>
      <c r="T6" s="67"/>
      <c r="U6" s="399" t="s">
        <v>865</v>
      </c>
      <c r="W6" s="399" t="s">
        <v>1797</v>
      </c>
      <c r="AA6" s="27"/>
      <c r="AB6" s="26"/>
    </row>
    <row r="7" spans="1:37">
      <c r="A7" s="46"/>
      <c r="B7" s="47"/>
      <c r="C7" s="47" t="s">
        <v>620</v>
      </c>
      <c r="D7" s="67">
        <v>131033.89999999998</v>
      </c>
      <c r="E7" s="88">
        <v>135.2594710223843</v>
      </c>
      <c r="F7" s="72">
        <v>0</v>
      </c>
      <c r="G7" s="72">
        <v>0</v>
      </c>
      <c r="H7" s="161">
        <v>17723584</v>
      </c>
      <c r="I7" s="73">
        <v>0</v>
      </c>
      <c r="J7" s="73">
        <v>17723584</v>
      </c>
      <c r="K7" s="72" t="s">
        <v>1725</v>
      </c>
      <c r="L7" s="88">
        <v>260513</v>
      </c>
      <c r="M7" s="67">
        <v>129107.87999999999</v>
      </c>
      <c r="N7" s="88">
        <v>9447</v>
      </c>
      <c r="O7" s="88">
        <v>17723576</v>
      </c>
      <c r="P7" s="677"/>
      <c r="Q7" s="88">
        <v>0</v>
      </c>
      <c r="R7" s="88">
        <v>0</v>
      </c>
      <c r="S7" s="88"/>
      <c r="T7" s="88">
        <v>0</v>
      </c>
      <c r="U7" s="88">
        <v>17723576</v>
      </c>
      <c r="W7" s="88">
        <v>17723572</v>
      </c>
      <c r="X7" s="91">
        <v>17324363</v>
      </c>
      <c r="Y7" s="163">
        <v>399213</v>
      </c>
      <c r="Z7" s="166">
        <v>8.0242083925373714E-2</v>
      </c>
      <c r="AA7" s="27">
        <v>28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131033.89999999998</v>
      </c>
      <c r="E8" s="529">
        <v>17723584</v>
      </c>
      <c r="F8" s="529">
        <v>0</v>
      </c>
      <c r="G8" s="529">
        <v>0</v>
      </c>
      <c r="H8" s="529">
        <v>17723584</v>
      </c>
      <c r="I8" s="529">
        <v>0</v>
      </c>
      <c r="J8" s="529">
        <v>17723584</v>
      </c>
      <c r="K8" s="529"/>
      <c r="L8" s="529">
        <v>260513</v>
      </c>
      <c r="M8" s="529">
        <v>129107.87999999999</v>
      </c>
      <c r="N8" s="529">
        <v>260511</v>
      </c>
      <c r="O8" s="529">
        <v>17723576</v>
      </c>
      <c r="P8" s="529"/>
      <c r="Q8" s="529">
        <v>0</v>
      </c>
      <c r="R8" s="529">
        <v>0</v>
      </c>
      <c r="S8" s="529"/>
      <c r="T8" s="529"/>
      <c r="U8" s="529">
        <v>17723576</v>
      </c>
      <c r="V8" s="531"/>
      <c r="W8" s="529">
        <v>17723572</v>
      </c>
      <c r="X8" s="533"/>
      <c r="Y8" s="533"/>
      <c r="AA8" s="535"/>
      <c r="AC8" s="536">
        <v>908479</v>
      </c>
    </row>
    <row r="9" spans="1:37">
      <c r="A9" s="64" t="s">
        <v>594</v>
      </c>
      <c r="B9" s="784" t="s">
        <v>132</v>
      </c>
      <c r="C9" s="784" t="s">
        <v>1429</v>
      </c>
      <c r="D9" s="134">
        <v>436.83000000000004</v>
      </c>
      <c r="E9" s="67">
        <v>59085</v>
      </c>
      <c r="F9" s="146">
        <v>0</v>
      </c>
      <c r="G9" s="146">
        <v>0</v>
      </c>
      <c r="H9" s="91">
        <v>59085</v>
      </c>
      <c r="I9" s="67">
        <v>0</v>
      </c>
      <c r="J9" s="739">
        <v>59085</v>
      </c>
      <c r="K9" s="837" t="s">
        <v>621</v>
      </c>
      <c r="L9" s="740">
        <v>0</v>
      </c>
      <c r="M9" s="741">
        <v>436.83000000000004</v>
      </c>
      <c r="N9" s="67">
        <v>881</v>
      </c>
      <c r="O9" s="67">
        <v>59966</v>
      </c>
      <c r="Q9" s="674">
        <v>0</v>
      </c>
      <c r="R9" s="674" t="s">
        <v>1730</v>
      </c>
      <c r="S9" s="798" t="s">
        <v>801</v>
      </c>
      <c r="T9" s="798">
        <v>0</v>
      </c>
      <c r="U9" s="88">
        <v>59966</v>
      </c>
      <c r="V9" s="71">
        <v>137.27537028134515</v>
      </c>
      <c r="W9" s="449">
        <v>60194</v>
      </c>
      <c r="X9" s="67">
        <v>60031</v>
      </c>
      <c r="Y9" s="163">
        <v>-65</v>
      </c>
      <c r="Z9" s="166">
        <v>-1.0827739001515884E-3</v>
      </c>
      <c r="AA9" s="34" t="s">
        <v>621</v>
      </c>
      <c r="AC9" t="s">
        <v>484</v>
      </c>
      <c r="AD9" t="s">
        <v>1593</v>
      </c>
      <c r="AE9" s="452"/>
    </row>
    <row r="10" spans="1:37">
      <c r="A10" s="64" t="s">
        <v>594</v>
      </c>
      <c r="B10" s="784" t="s">
        <v>262</v>
      </c>
      <c r="C10" s="784" t="s">
        <v>1485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837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t="s">
        <v>155</v>
      </c>
      <c r="AD10" t="s">
        <v>1439</v>
      </c>
      <c r="AE10" s="452"/>
      <c r="AH10" s="45"/>
      <c r="AI10" s="45"/>
    </row>
    <row r="11" spans="1:37">
      <c r="A11" s="64" t="s">
        <v>603</v>
      </c>
      <c r="B11" s="784" t="s">
        <v>283</v>
      </c>
      <c r="C11" s="784" t="s">
        <v>1495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837" t="s">
        <v>644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0</v>
      </c>
      <c r="V11" s="71">
        <v>0</v>
      </c>
      <c r="W11" s="449">
        <v>0</v>
      </c>
      <c r="X11" s="67">
        <v>0</v>
      </c>
      <c r="Y11" s="163">
        <v>0</v>
      </c>
      <c r="Z11" s="166">
        <v>0</v>
      </c>
      <c r="AA11" s="34" t="s">
        <v>644</v>
      </c>
      <c r="AC11" t="s">
        <v>222</v>
      </c>
      <c r="AD11" t="s">
        <v>1467</v>
      </c>
      <c r="AE11" s="452"/>
      <c r="AH11" s="36"/>
      <c r="AI11" s="36"/>
      <c r="AJ11" s="36"/>
      <c r="AK11" s="19"/>
    </row>
    <row r="12" spans="1:37" s="112" customFormat="1">
      <c r="A12" s="64" t="s">
        <v>595</v>
      </c>
      <c r="B12" s="785" t="s">
        <v>380</v>
      </c>
      <c r="C12" s="784" t="s">
        <v>1541</v>
      </c>
      <c r="D12" s="134">
        <v>48.67</v>
      </c>
      <c r="E12" s="67">
        <v>6583</v>
      </c>
      <c r="F12" s="146">
        <v>0</v>
      </c>
      <c r="G12" s="146">
        <v>0</v>
      </c>
      <c r="H12" s="91">
        <v>6583</v>
      </c>
      <c r="I12" s="67">
        <v>0</v>
      </c>
      <c r="J12" s="739">
        <v>6583</v>
      </c>
      <c r="K12" s="837" t="s">
        <v>644</v>
      </c>
      <c r="L12" s="740">
        <v>6583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0</v>
      </c>
      <c r="V12" s="71">
        <v>0</v>
      </c>
      <c r="W12" s="449">
        <v>0</v>
      </c>
      <c r="X12" s="67">
        <v>5924</v>
      </c>
      <c r="Y12" s="163">
        <v>-5924</v>
      </c>
      <c r="Z12" s="166">
        <v>-1</v>
      </c>
      <c r="AA12" s="34" t="s">
        <v>644</v>
      </c>
      <c r="AC12" t="s">
        <v>228</v>
      </c>
      <c r="AD12" t="s">
        <v>1470</v>
      </c>
      <c r="AE12" s="452"/>
      <c r="AI12" t="s">
        <v>183</v>
      </c>
      <c r="AJ12" t="s">
        <v>1453</v>
      </c>
    </row>
    <row r="13" spans="1:37">
      <c r="A13" s="64" t="s">
        <v>595</v>
      </c>
      <c r="B13" s="784" t="s">
        <v>403</v>
      </c>
      <c r="C13" s="784" t="s">
        <v>1552</v>
      </c>
      <c r="D13" s="134">
        <v>276.66999999999996</v>
      </c>
      <c r="E13" s="67">
        <v>37422</v>
      </c>
      <c r="F13" s="146">
        <v>0</v>
      </c>
      <c r="G13" s="146">
        <v>0</v>
      </c>
      <c r="H13" s="91">
        <v>37422</v>
      </c>
      <c r="I13" s="67">
        <v>0</v>
      </c>
      <c r="J13" s="739">
        <v>37422</v>
      </c>
      <c r="K13" s="837" t="s">
        <v>621</v>
      </c>
      <c r="L13" s="740">
        <v>0</v>
      </c>
      <c r="M13" s="741">
        <v>276.66999999999996</v>
      </c>
      <c r="N13" s="67">
        <v>558</v>
      </c>
      <c r="O13" s="67">
        <v>37980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37980</v>
      </c>
      <c r="V13" s="71">
        <v>137.27545451259624</v>
      </c>
      <c r="W13" s="449">
        <v>38124</v>
      </c>
      <c r="X13" s="67">
        <v>38250</v>
      </c>
      <c r="Y13" s="163">
        <v>-270</v>
      </c>
      <c r="Z13" s="166">
        <v>-7.058823529411765E-3</v>
      </c>
      <c r="AA13" s="34" t="s">
        <v>621</v>
      </c>
      <c r="AC13" t="s">
        <v>270</v>
      </c>
      <c r="AD13" t="s">
        <v>1489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12</v>
      </c>
      <c r="C14" s="784" t="s">
        <v>1374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739">
        <v>0</v>
      </c>
      <c r="K14" s="837" t="s">
        <v>644</v>
      </c>
      <c r="L14" s="740">
        <v>0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t="s">
        <v>195</v>
      </c>
      <c r="AD14" t="s">
        <v>1362</v>
      </c>
      <c r="AE14" s="452"/>
      <c r="AH14" s="36"/>
      <c r="AI14" s="36"/>
      <c r="AJ14" s="36"/>
      <c r="AK14" s="19"/>
    </row>
    <row r="15" spans="1:37">
      <c r="A15" s="64" t="s">
        <v>597</v>
      </c>
      <c r="B15" s="784" t="s">
        <v>195</v>
      </c>
      <c r="C15" s="784" t="s">
        <v>1362</v>
      </c>
      <c r="D15" s="134">
        <v>3674.5</v>
      </c>
      <c r="E15" s="67">
        <v>497011</v>
      </c>
      <c r="F15" s="146">
        <v>0</v>
      </c>
      <c r="G15" s="146">
        <v>0</v>
      </c>
      <c r="H15" s="91">
        <v>497011</v>
      </c>
      <c r="I15" s="67">
        <v>0</v>
      </c>
      <c r="J15" s="739">
        <v>497011</v>
      </c>
      <c r="K15" s="837" t="s">
        <v>1306</v>
      </c>
      <c r="L15" s="740">
        <v>0</v>
      </c>
      <c r="M15" s="741">
        <v>3674.5</v>
      </c>
      <c r="N15" s="67">
        <v>7414</v>
      </c>
      <c r="O15" s="67">
        <v>504425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504425</v>
      </c>
      <c r="V15" s="71">
        <v>137.27718056878487</v>
      </c>
      <c r="W15" s="449">
        <v>506332</v>
      </c>
      <c r="X15" s="67">
        <v>490294</v>
      </c>
      <c r="Y15" s="163">
        <v>14131</v>
      </c>
      <c r="Z15" s="166">
        <v>2.8821482620631701E-2</v>
      </c>
      <c r="AA15" s="34" t="s">
        <v>1306</v>
      </c>
      <c r="AC15" t="s">
        <v>230</v>
      </c>
      <c r="AD15" t="s">
        <v>1471</v>
      </c>
      <c r="AE15" s="452"/>
      <c r="AH15" s="36"/>
      <c r="AI15" s="36"/>
      <c r="AJ15" s="36"/>
      <c r="AK15" s="19"/>
    </row>
    <row r="16" spans="1:37">
      <c r="A16" s="64" t="s">
        <v>597</v>
      </c>
      <c r="B16" s="784" t="s">
        <v>213</v>
      </c>
      <c r="C16" s="784" t="s">
        <v>1463</v>
      </c>
      <c r="D16" s="134">
        <v>48.17</v>
      </c>
      <c r="E16" s="67">
        <v>6515</v>
      </c>
      <c r="F16" s="146">
        <v>0</v>
      </c>
      <c r="G16" s="146">
        <v>0</v>
      </c>
      <c r="H16" s="91">
        <v>6515</v>
      </c>
      <c r="I16" s="67">
        <v>0</v>
      </c>
      <c r="J16" s="739">
        <v>6515</v>
      </c>
      <c r="K16" s="837" t="s">
        <v>644</v>
      </c>
      <c r="L16" s="740">
        <v>6515</v>
      </c>
      <c r="M16" s="741">
        <v>0</v>
      </c>
      <c r="N16" s="67">
        <v>0</v>
      </c>
      <c r="O16" s="67">
        <v>0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0</v>
      </c>
      <c r="V16" s="71">
        <v>0</v>
      </c>
      <c r="W16" s="449">
        <v>0</v>
      </c>
      <c r="X16" s="67">
        <v>0</v>
      </c>
      <c r="Y16" s="163">
        <v>0</v>
      </c>
      <c r="Z16" s="166">
        <v>0</v>
      </c>
      <c r="AA16" s="34" t="s">
        <v>644</v>
      </c>
      <c r="AC16" t="s">
        <v>384</v>
      </c>
      <c r="AD16" t="s">
        <v>1543</v>
      </c>
      <c r="AE16" s="452"/>
      <c r="AH16" s="36"/>
      <c r="AI16" s="36"/>
      <c r="AJ16" s="36"/>
      <c r="AK16" s="19"/>
    </row>
    <row r="17" spans="1:37">
      <c r="A17" s="64" t="s">
        <v>599</v>
      </c>
      <c r="B17" s="784" t="s">
        <v>62</v>
      </c>
      <c r="C17" s="784" t="s">
        <v>1396</v>
      </c>
      <c r="D17" s="134">
        <v>803.67</v>
      </c>
      <c r="E17" s="67">
        <v>108704</v>
      </c>
      <c r="F17" s="146">
        <v>0</v>
      </c>
      <c r="G17" s="146">
        <v>0</v>
      </c>
      <c r="H17" s="91">
        <v>108704</v>
      </c>
      <c r="I17" s="67">
        <v>0</v>
      </c>
      <c r="J17" s="739">
        <v>108704</v>
      </c>
      <c r="K17" s="837" t="s">
        <v>621</v>
      </c>
      <c r="L17" s="740">
        <v>0</v>
      </c>
      <c r="M17" s="741">
        <v>803.67</v>
      </c>
      <c r="N17" s="67">
        <v>1622</v>
      </c>
      <c r="O17" s="67">
        <v>110326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110326</v>
      </c>
      <c r="V17" s="71">
        <v>137.27773837520377</v>
      </c>
      <c r="W17" s="449">
        <v>112258</v>
      </c>
      <c r="X17" s="67">
        <v>125335</v>
      </c>
      <c r="Y17" s="163">
        <v>-15009</v>
      </c>
      <c r="Z17" s="166">
        <v>-0.11975106714006463</v>
      </c>
      <c r="AA17" s="34" t="s">
        <v>621</v>
      </c>
      <c r="AC17" t="s">
        <v>353</v>
      </c>
      <c r="AD17" t="s">
        <v>1528</v>
      </c>
      <c r="AE17" s="452"/>
      <c r="AH17" s="36"/>
      <c r="AI17" s="36"/>
      <c r="AJ17" s="36"/>
      <c r="AK17" s="19"/>
    </row>
    <row r="18" spans="1:37">
      <c r="A18" s="64" t="s">
        <v>597</v>
      </c>
      <c r="B18" s="784" t="s">
        <v>189</v>
      </c>
      <c r="C18" s="784" t="s">
        <v>1455</v>
      </c>
      <c r="D18" s="134">
        <v>3090.5</v>
      </c>
      <c r="E18" s="67">
        <v>418019</v>
      </c>
      <c r="F18" s="146">
        <v>0</v>
      </c>
      <c r="G18" s="146">
        <v>0</v>
      </c>
      <c r="H18" s="91">
        <v>418019</v>
      </c>
      <c r="I18" s="67">
        <v>0</v>
      </c>
      <c r="J18" s="739">
        <v>418019</v>
      </c>
      <c r="K18" s="837" t="s">
        <v>621</v>
      </c>
      <c r="L18" s="740">
        <v>0</v>
      </c>
      <c r="M18" s="741">
        <v>3090.5</v>
      </c>
      <c r="N18" s="67">
        <v>6236</v>
      </c>
      <c r="O18" s="67">
        <v>424255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424255</v>
      </c>
      <c r="V18" s="71">
        <v>137.27713962142047</v>
      </c>
      <c r="W18" s="449">
        <v>428753</v>
      </c>
      <c r="X18" s="67">
        <v>419523</v>
      </c>
      <c r="Y18" s="163">
        <v>4732</v>
      </c>
      <c r="Z18" s="166">
        <v>1.127947692975117E-2</v>
      </c>
      <c r="AA18" s="34" t="s">
        <v>621</v>
      </c>
      <c r="AC18" s="64" t="s">
        <v>1728</v>
      </c>
      <c r="AD18" t="s">
        <v>681</v>
      </c>
      <c r="AE18" s="452"/>
      <c r="AH18" s="36"/>
      <c r="AI18" s="36"/>
      <c r="AJ18" s="36"/>
      <c r="AK18" s="19"/>
    </row>
    <row r="19" spans="1:37">
      <c r="A19" s="64" t="s">
        <v>595</v>
      </c>
      <c r="B19" s="784" t="s">
        <v>504</v>
      </c>
      <c r="C19" s="784" t="s">
        <v>628</v>
      </c>
      <c r="D19" s="134">
        <v>863.34</v>
      </c>
      <c r="E19" s="67">
        <v>116775</v>
      </c>
      <c r="F19" s="146">
        <v>0</v>
      </c>
      <c r="G19" s="146">
        <v>0</v>
      </c>
      <c r="H19" s="91">
        <v>116775</v>
      </c>
      <c r="I19" s="67">
        <v>0</v>
      </c>
      <c r="J19" s="739">
        <v>116775</v>
      </c>
      <c r="K19" s="837" t="s">
        <v>621</v>
      </c>
      <c r="L19" s="740">
        <v>0</v>
      </c>
      <c r="M19" s="741">
        <v>863.34</v>
      </c>
      <c r="N19" s="67">
        <v>1742</v>
      </c>
      <c r="O19" s="67">
        <v>118517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118517</v>
      </c>
      <c r="V19" s="71">
        <v>137.27731832186623</v>
      </c>
      <c r="W19" s="449">
        <v>114969</v>
      </c>
      <c r="X19" s="67">
        <v>116839</v>
      </c>
      <c r="Y19" s="163">
        <v>1678</v>
      </c>
      <c r="Z19" s="166">
        <v>1.4361642944564743E-2</v>
      </c>
      <c r="AA19" s="34" t="s">
        <v>621</v>
      </c>
      <c r="AC19" t="s">
        <v>246</v>
      </c>
      <c r="AD19" t="s">
        <v>1479</v>
      </c>
      <c r="AE19" s="452"/>
      <c r="AH19" s="36"/>
      <c r="AI19" s="36"/>
      <c r="AJ19" s="36"/>
      <c r="AK19" s="19"/>
    </row>
    <row r="20" spans="1:37">
      <c r="A20" s="64" t="s">
        <v>603</v>
      </c>
      <c r="B20" s="784" t="s">
        <v>2</v>
      </c>
      <c r="C20" s="784" t="s">
        <v>1370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837" t="s">
        <v>644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0</v>
      </c>
      <c r="V20" s="71">
        <v>0</v>
      </c>
      <c r="W20" s="449">
        <v>0</v>
      </c>
      <c r="X20" s="67">
        <v>0</v>
      </c>
      <c r="Y20" s="163">
        <v>0</v>
      </c>
      <c r="Z20" s="166">
        <v>0</v>
      </c>
      <c r="AA20" s="34" t="s">
        <v>644</v>
      </c>
      <c r="AC20" s="489" t="s">
        <v>1777</v>
      </c>
      <c r="AD20" t="s">
        <v>1782</v>
      </c>
      <c r="AE20" s="452"/>
      <c r="AH20" s="36"/>
      <c r="AI20" s="36"/>
      <c r="AJ20" s="36"/>
      <c r="AK20" s="19"/>
    </row>
    <row r="21" spans="1:37">
      <c r="A21" s="64" t="s">
        <v>597</v>
      </c>
      <c r="B21" s="784" t="s">
        <v>363</v>
      </c>
      <c r="C21" s="784" t="s">
        <v>1531</v>
      </c>
      <c r="D21" s="134">
        <v>1092.33</v>
      </c>
      <c r="E21" s="67">
        <v>147748</v>
      </c>
      <c r="F21" s="146">
        <v>0</v>
      </c>
      <c r="G21" s="146">
        <v>0</v>
      </c>
      <c r="H21" s="91">
        <v>147748</v>
      </c>
      <c r="I21" s="67">
        <v>0</v>
      </c>
      <c r="J21" s="739">
        <v>147748</v>
      </c>
      <c r="K21" s="837" t="s">
        <v>621</v>
      </c>
      <c r="L21" s="740">
        <v>0</v>
      </c>
      <c r="M21" s="741">
        <v>1092.33</v>
      </c>
      <c r="N21" s="67">
        <v>2204</v>
      </c>
      <c r="O21" s="67">
        <v>149952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149952</v>
      </c>
      <c r="V21" s="71">
        <v>137.27719645162176</v>
      </c>
      <c r="W21" s="449">
        <v>150519</v>
      </c>
      <c r="X21" s="67">
        <v>142215</v>
      </c>
      <c r="Y21" s="163">
        <v>7737</v>
      </c>
      <c r="Z21" s="166">
        <v>5.4403543929965194E-2</v>
      </c>
      <c r="AA21" s="34" t="s">
        <v>621</v>
      </c>
      <c r="AC21" t="s">
        <v>1715</v>
      </c>
      <c r="AD21" t="s">
        <v>1783</v>
      </c>
      <c r="AE21" s="452"/>
      <c r="AH21" s="36"/>
      <c r="AI21" s="36"/>
      <c r="AJ21" s="36"/>
      <c r="AK21" s="19"/>
    </row>
    <row r="22" spans="1:37">
      <c r="A22" s="64" t="s">
        <v>605</v>
      </c>
      <c r="B22" s="784" t="s">
        <v>234</v>
      </c>
      <c r="C22" s="784" t="s">
        <v>1473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837" t="s">
        <v>644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0</v>
      </c>
      <c r="V22" s="71">
        <v>0</v>
      </c>
      <c r="W22" s="449">
        <v>0</v>
      </c>
      <c r="X22" s="67">
        <v>0</v>
      </c>
      <c r="Y22" s="163">
        <v>0</v>
      </c>
      <c r="Z22" s="166">
        <v>0</v>
      </c>
      <c r="AA22" s="34" t="s">
        <v>644</v>
      </c>
      <c r="AC22" t="s">
        <v>1755</v>
      </c>
      <c r="AD22" t="s">
        <v>1756</v>
      </c>
      <c r="AE22" s="452"/>
      <c r="AH22" s="36"/>
      <c r="AI22" s="36"/>
      <c r="AJ22" s="36"/>
      <c r="AK22" s="19"/>
    </row>
    <row r="23" spans="1:37">
      <c r="A23" s="64" t="s">
        <v>595</v>
      </c>
      <c r="B23" s="784" t="s">
        <v>508</v>
      </c>
      <c r="C23" s="784" t="s">
        <v>1603</v>
      </c>
      <c r="D23" s="134">
        <v>97.66</v>
      </c>
      <c r="E23" s="67">
        <v>13209</v>
      </c>
      <c r="F23" s="146">
        <v>0</v>
      </c>
      <c r="G23" s="146">
        <v>0</v>
      </c>
      <c r="H23" s="91">
        <v>13209</v>
      </c>
      <c r="I23" s="67">
        <v>0</v>
      </c>
      <c r="J23" s="739">
        <v>13209</v>
      </c>
      <c r="K23" s="837" t="s">
        <v>621</v>
      </c>
      <c r="L23" s="740">
        <v>0</v>
      </c>
      <c r="M23" s="741">
        <v>97.66</v>
      </c>
      <c r="N23" s="67">
        <v>197</v>
      </c>
      <c r="O23" s="67">
        <v>13406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13406</v>
      </c>
      <c r="V23" s="71">
        <v>137.27216874872005</v>
      </c>
      <c r="W23" s="449">
        <v>13457</v>
      </c>
      <c r="X23" s="67">
        <v>11957</v>
      </c>
      <c r="Y23" s="163">
        <v>1449</v>
      </c>
      <c r="Z23" s="166">
        <v>0.12118424353934934</v>
      </c>
      <c r="AA23" s="34" t="s">
        <v>621</v>
      </c>
      <c r="AC23" t="s">
        <v>373</v>
      </c>
      <c r="AD23" t="s">
        <v>1539</v>
      </c>
      <c r="AE23" s="452"/>
      <c r="AH23" s="36"/>
      <c r="AI23" s="36"/>
      <c r="AJ23" s="36"/>
      <c r="AK23" s="19"/>
    </row>
    <row r="24" spans="1:37">
      <c r="A24" s="64" t="s">
        <v>594</v>
      </c>
      <c r="B24" s="784" t="s">
        <v>266</v>
      </c>
      <c r="C24" s="784" t="s">
        <v>1487</v>
      </c>
      <c r="D24" s="134">
        <v>5.16</v>
      </c>
      <c r="E24" s="67">
        <v>698</v>
      </c>
      <c r="F24" s="146">
        <v>0</v>
      </c>
      <c r="G24" s="146">
        <v>0</v>
      </c>
      <c r="H24" s="91">
        <v>698</v>
      </c>
      <c r="I24" s="67">
        <v>0</v>
      </c>
      <c r="J24" s="739">
        <v>698</v>
      </c>
      <c r="K24" s="837" t="s">
        <v>644</v>
      </c>
      <c r="L24" s="740">
        <v>698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t="s">
        <v>258</v>
      </c>
      <c r="AD24" t="s">
        <v>1356</v>
      </c>
      <c r="AE24" s="452"/>
      <c r="AH24" s="36"/>
      <c r="AI24" s="36"/>
      <c r="AJ24" s="36"/>
      <c r="AK24" s="19"/>
    </row>
    <row r="25" spans="1:37">
      <c r="A25" s="64" t="s">
        <v>600</v>
      </c>
      <c r="B25" s="784" t="s">
        <v>211</v>
      </c>
      <c r="C25" s="784" t="s">
        <v>1462</v>
      </c>
      <c r="D25" s="134">
        <v>457.66999999999996</v>
      </c>
      <c r="E25" s="67">
        <v>61904</v>
      </c>
      <c r="F25" s="146">
        <v>0</v>
      </c>
      <c r="G25" s="146">
        <v>0</v>
      </c>
      <c r="H25" s="91">
        <v>61904</v>
      </c>
      <c r="I25" s="67">
        <v>0</v>
      </c>
      <c r="J25" s="739">
        <v>61904</v>
      </c>
      <c r="K25" s="837" t="s">
        <v>621</v>
      </c>
      <c r="L25" s="740">
        <v>0</v>
      </c>
      <c r="M25" s="741">
        <v>457.66999999999996</v>
      </c>
      <c r="N25" s="67">
        <v>923</v>
      </c>
      <c r="O25" s="67">
        <v>62827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62827</v>
      </c>
      <c r="V25" s="71">
        <v>137.27576638189089</v>
      </c>
      <c r="W25" s="449">
        <v>62790</v>
      </c>
      <c r="X25" s="67">
        <v>59683</v>
      </c>
      <c r="Y25" s="163">
        <v>3144</v>
      </c>
      <c r="Z25" s="166">
        <v>5.2678317108724428E-2</v>
      </c>
      <c r="AA25" s="34" t="s">
        <v>621</v>
      </c>
      <c r="AC25" t="s">
        <v>386</v>
      </c>
      <c r="AD25" t="s">
        <v>1544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315</v>
      </c>
      <c r="C26" s="784" t="s">
        <v>1510</v>
      </c>
      <c r="D26" s="134">
        <v>346.66</v>
      </c>
      <c r="E26" s="67">
        <v>46889</v>
      </c>
      <c r="F26" s="146">
        <v>0</v>
      </c>
      <c r="G26" s="146">
        <v>0</v>
      </c>
      <c r="H26" s="91">
        <v>46889</v>
      </c>
      <c r="I26" s="67">
        <v>0</v>
      </c>
      <c r="J26" s="739">
        <v>46889</v>
      </c>
      <c r="K26" s="837" t="s">
        <v>621</v>
      </c>
      <c r="L26" s="740">
        <v>0</v>
      </c>
      <c r="M26" s="741">
        <v>346.66</v>
      </c>
      <c r="N26" s="67">
        <v>699</v>
      </c>
      <c r="O26" s="67">
        <v>47588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47588</v>
      </c>
      <c r="V26" s="71">
        <v>137.27571684070847</v>
      </c>
      <c r="W26" s="449">
        <v>47769</v>
      </c>
      <c r="X26" s="67">
        <v>51471</v>
      </c>
      <c r="Y26" s="163">
        <v>-3883</v>
      </c>
      <c r="Z26" s="166">
        <v>-7.5440539332828196E-2</v>
      </c>
      <c r="AA26" s="34" t="s">
        <v>621</v>
      </c>
      <c r="AC26" t="s">
        <v>331</v>
      </c>
      <c r="AD26" t="s">
        <v>1516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84</v>
      </c>
      <c r="C27" s="784" t="s">
        <v>1406</v>
      </c>
      <c r="D27" s="134">
        <v>378.5</v>
      </c>
      <c r="E27" s="67">
        <v>51196</v>
      </c>
      <c r="F27" s="146">
        <v>0</v>
      </c>
      <c r="G27" s="146">
        <v>0</v>
      </c>
      <c r="H27" s="91">
        <v>51196</v>
      </c>
      <c r="I27" s="67">
        <v>0</v>
      </c>
      <c r="J27" s="739">
        <v>51196</v>
      </c>
      <c r="K27" s="837" t="s">
        <v>621</v>
      </c>
      <c r="L27" s="740">
        <v>0</v>
      </c>
      <c r="M27" s="741">
        <v>378.5</v>
      </c>
      <c r="N27" s="67">
        <v>764</v>
      </c>
      <c r="O27" s="67">
        <v>51960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51960</v>
      </c>
      <c r="V27" s="71">
        <v>137.2787318361955</v>
      </c>
      <c r="W27" s="449">
        <v>52156</v>
      </c>
      <c r="X27" s="67">
        <v>53301</v>
      </c>
      <c r="Y27" s="163">
        <v>-1341</v>
      </c>
      <c r="Z27" s="166">
        <v>-2.5159002645353746E-2</v>
      </c>
      <c r="AA27" s="34" t="s">
        <v>621</v>
      </c>
      <c r="AC27" t="s">
        <v>325</v>
      </c>
      <c r="AD27" t="s">
        <v>712</v>
      </c>
      <c r="AE27" s="452"/>
      <c r="AH27" s="36"/>
      <c r="AI27" s="36"/>
      <c r="AJ27" s="36"/>
      <c r="AK27" s="19"/>
    </row>
    <row r="28" spans="1:37">
      <c r="A28" s="64" t="s">
        <v>600</v>
      </c>
      <c r="B28" s="784" t="s">
        <v>165</v>
      </c>
      <c r="C28" s="784" t="s">
        <v>1444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739">
        <v>0</v>
      </c>
      <c r="K28" s="837" t="s">
        <v>644</v>
      </c>
      <c r="L28" s="740">
        <v>0</v>
      </c>
      <c r="M28" s="741">
        <v>0</v>
      </c>
      <c r="N28" s="67">
        <v>0</v>
      </c>
      <c r="O28" s="67">
        <v>0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0</v>
      </c>
      <c r="V28" s="71">
        <v>0</v>
      </c>
      <c r="W28" s="449">
        <v>0</v>
      </c>
      <c r="X28" s="67">
        <v>0</v>
      </c>
      <c r="Y28" s="163">
        <v>0</v>
      </c>
      <c r="Z28" s="166">
        <v>0</v>
      </c>
      <c r="AA28" s="34" t="s">
        <v>644</v>
      </c>
      <c r="AC28" t="s">
        <v>153</v>
      </c>
      <c r="AD28" t="s">
        <v>1438</v>
      </c>
      <c r="AE28" s="452"/>
      <c r="AH28" s="36"/>
      <c r="AI28" s="36"/>
      <c r="AJ28" s="36"/>
      <c r="AK28" s="19"/>
    </row>
    <row r="29" spans="1:37">
      <c r="A29" s="64" t="s">
        <v>595</v>
      </c>
      <c r="B29" s="784" t="s">
        <v>378</v>
      </c>
      <c r="C29" s="784" t="s">
        <v>629</v>
      </c>
      <c r="D29" s="134">
        <v>729.66</v>
      </c>
      <c r="E29" s="67">
        <v>98693</v>
      </c>
      <c r="F29" s="146">
        <v>0</v>
      </c>
      <c r="G29" s="146">
        <v>0</v>
      </c>
      <c r="H29" s="91">
        <v>98693</v>
      </c>
      <c r="I29" s="67">
        <v>0</v>
      </c>
      <c r="J29" s="739">
        <v>98693</v>
      </c>
      <c r="K29" s="837" t="s">
        <v>621</v>
      </c>
      <c r="L29" s="740">
        <v>0</v>
      </c>
      <c r="M29" s="741">
        <v>729.66</v>
      </c>
      <c r="N29" s="67">
        <v>1472</v>
      </c>
      <c r="O29" s="67">
        <v>100165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100165</v>
      </c>
      <c r="V29" s="71">
        <v>137.27626565797769</v>
      </c>
      <c r="W29" s="449">
        <v>100544</v>
      </c>
      <c r="X29" s="67">
        <v>96909</v>
      </c>
      <c r="Y29" s="163">
        <v>3256</v>
      </c>
      <c r="Z29" s="166">
        <v>3.3598530580235063E-2</v>
      </c>
      <c r="AA29" s="34" t="s">
        <v>621</v>
      </c>
      <c r="AC29" t="s">
        <v>372</v>
      </c>
      <c r="AD29" t="s">
        <v>1538</v>
      </c>
      <c r="AE29" s="452"/>
      <c r="AH29" s="36"/>
      <c r="AI29" s="36"/>
      <c r="AJ29" s="36"/>
      <c r="AK29" s="19"/>
    </row>
    <row r="30" spans="1:37">
      <c r="A30" s="64" t="s">
        <v>599</v>
      </c>
      <c r="B30" s="784" t="s">
        <v>60</v>
      </c>
      <c r="C30" s="784" t="s">
        <v>1395</v>
      </c>
      <c r="D30" s="134">
        <v>193.83</v>
      </c>
      <c r="E30" s="67">
        <v>26217</v>
      </c>
      <c r="F30" s="146">
        <v>0</v>
      </c>
      <c r="G30" s="146">
        <v>0</v>
      </c>
      <c r="H30" s="91">
        <v>26217</v>
      </c>
      <c r="I30" s="67">
        <v>0</v>
      </c>
      <c r="J30" s="739">
        <v>26217</v>
      </c>
      <c r="K30" s="837" t="s">
        <v>621</v>
      </c>
      <c r="L30" s="740">
        <v>0</v>
      </c>
      <c r="M30" s="741">
        <v>193.83</v>
      </c>
      <c r="N30" s="67">
        <v>391</v>
      </c>
      <c r="O30" s="67">
        <v>26608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26608</v>
      </c>
      <c r="V30" s="71">
        <v>137.2749316411288</v>
      </c>
      <c r="W30" s="449">
        <v>26709</v>
      </c>
      <c r="X30" s="67">
        <v>28404</v>
      </c>
      <c r="Y30" s="163">
        <v>-1796</v>
      </c>
      <c r="Z30" s="166">
        <v>-6.3230530911139282E-2</v>
      </c>
      <c r="AA30" s="34" t="s">
        <v>621</v>
      </c>
      <c r="AC30" t="s">
        <v>82</v>
      </c>
      <c r="AD30" t="s">
        <v>1405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45</v>
      </c>
      <c r="C31" s="784" t="s">
        <v>1388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837" t="s">
        <v>644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t="s">
        <v>355</v>
      </c>
      <c r="AD31" t="s">
        <v>1529</v>
      </c>
      <c r="AE31" s="452"/>
      <c r="AH31" s="36"/>
      <c r="AI31" s="36"/>
      <c r="AJ31" s="36"/>
      <c r="AK31" s="19"/>
    </row>
    <row r="32" spans="1:37">
      <c r="A32" s="64" t="s">
        <v>597</v>
      </c>
      <c r="B32" s="784" t="s">
        <v>347</v>
      </c>
      <c r="C32" s="784" t="s">
        <v>1525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837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t="s">
        <v>145</v>
      </c>
      <c r="AD32" t="s">
        <v>607</v>
      </c>
      <c r="AE32" s="452"/>
      <c r="AH32" s="36"/>
      <c r="AI32" s="36"/>
      <c r="AJ32" s="36"/>
      <c r="AK32" s="19"/>
    </row>
    <row r="33" spans="1:37">
      <c r="A33" s="64" t="s">
        <v>601</v>
      </c>
      <c r="B33" s="784" t="s">
        <v>35</v>
      </c>
      <c r="C33" s="784" t="s">
        <v>1383</v>
      </c>
      <c r="D33" s="134">
        <v>144.33000000000001</v>
      </c>
      <c r="E33" s="67">
        <v>19522</v>
      </c>
      <c r="F33" s="146">
        <v>0</v>
      </c>
      <c r="G33" s="146">
        <v>0</v>
      </c>
      <c r="H33" s="91">
        <v>19522</v>
      </c>
      <c r="I33" s="67">
        <v>0</v>
      </c>
      <c r="J33" s="739">
        <v>19522</v>
      </c>
      <c r="K33" s="837" t="s">
        <v>621</v>
      </c>
      <c r="L33" s="740">
        <v>0</v>
      </c>
      <c r="M33" s="741">
        <v>144.33000000000001</v>
      </c>
      <c r="N33" s="67">
        <v>291</v>
      </c>
      <c r="O33" s="67">
        <v>19813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19813</v>
      </c>
      <c r="V33" s="71">
        <v>137.2756876602231</v>
      </c>
      <c r="W33" s="449">
        <v>19888</v>
      </c>
      <c r="X33" s="67">
        <v>22371</v>
      </c>
      <c r="Y33" s="163">
        <v>-2558</v>
      </c>
      <c r="Z33" s="166">
        <v>-0.11434446381476018</v>
      </c>
      <c r="AA33" s="34" t="s">
        <v>621</v>
      </c>
      <c r="AC33" t="s">
        <v>1720</v>
      </c>
      <c r="AD33" t="s">
        <v>1789</v>
      </c>
      <c r="AE33" s="452"/>
      <c r="AH33" s="36"/>
      <c r="AI33" s="36"/>
      <c r="AJ33" s="36"/>
      <c r="AK33" s="19"/>
    </row>
    <row r="34" spans="1:37">
      <c r="A34" s="64" t="s">
        <v>1666</v>
      </c>
      <c r="B34" s="784" t="s">
        <v>1751</v>
      </c>
      <c r="C34" s="784" t="s">
        <v>1780</v>
      </c>
      <c r="D34" s="134">
        <v>0</v>
      </c>
      <c r="E34" s="67">
        <v>0</v>
      </c>
      <c r="F34" s="146">
        <v>0</v>
      </c>
      <c r="G34" s="146">
        <v>0</v>
      </c>
      <c r="H34" s="91">
        <v>0</v>
      </c>
      <c r="I34" s="67">
        <v>0</v>
      </c>
      <c r="J34" s="739">
        <v>0</v>
      </c>
      <c r="K34" s="837" t="s">
        <v>644</v>
      </c>
      <c r="L34" s="740">
        <v>0</v>
      </c>
      <c r="M34" s="741">
        <v>0</v>
      </c>
      <c r="N34" s="67">
        <v>0</v>
      </c>
      <c r="O34" s="67">
        <v>0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0</v>
      </c>
      <c r="V34" s="71">
        <v>0</v>
      </c>
      <c r="W34" s="449">
        <v>0</v>
      </c>
      <c r="X34" s="67">
        <v>0</v>
      </c>
      <c r="Y34" s="163">
        <v>0</v>
      </c>
      <c r="Z34" s="166">
        <v>0</v>
      </c>
      <c r="AA34" s="34" t="s">
        <v>644</v>
      </c>
      <c r="AC34" t="s">
        <v>327</v>
      </c>
      <c r="AD34" t="s">
        <v>1514</v>
      </c>
      <c r="AE34" s="452"/>
      <c r="AH34" s="36"/>
      <c r="AI34" s="36"/>
      <c r="AJ34" s="36"/>
      <c r="AK34" s="19"/>
    </row>
    <row r="35" spans="1:37">
      <c r="A35" s="64" t="s">
        <v>601</v>
      </c>
      <c r="B35" s="784" t="s">
        <v>33</v>
      </c>
      <c r="C35" s="784" t="s">
        <v>878</v>
      </c>
      <c r="D35" s="134">
        <v>208.67</v>
      </c>
      <c r="E35" s="67">
        <v>28225</v>
      </c>
      <c r="F35" s="146">
        <v>0</v>
      </c>
      <c r="G35" s="146">
        <v>0</v>
      </c>
      <c r="H35" s="91">
        <v>28225</v>
      </c>
      <c r="I35" s="67">
        <v>0</v>
      </c>
      <c r="J35" s="739">
        <v>28225</v>
      </c>
      <c r="K35" s="837" t="s">
        <v>621</v>
      </c>
      <c r="L35" s="740">
        <v>0</v>
      </c>
      <c r="M35" s="741">
        <v>208.67</v>
      </c>
      <c r="N35" s="67">
        <v>421</v>
      </c>
      <c r="O35" s="67">
        <v>28646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28646</v>
      </c>
      <c r="V35" s="71">
        <v>137.27895720515647</v>
      </c>
      <c r="W35" s="449">
        <v>28754</v>
      </c>
      <c r="X35" s="67">
        <v>27163</v>
      </c>
      <c r="Y35" s="163">
        <v>1483</v>
      </c>
      <c r="Z35" s="166">
        <v>5.4596325884475203E-2</v>
      </c>
      <c r="AA35" s="34" t="s">
        <v>621</v>
      </c>
      <c r="AC35" t="s">
        <v>375</v>
      </c>
      <c r="AD35" t="s">
        <v>1269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74</v>
      </c>
      <c r="C36" s="784" t="s">
        <v>1401</v>
      </c>
      <c r="D36" s="134">
        <v>25</v>
      </c>
      <c r="E36" s="67">
        <v>3381</v>
      </c>
      <c r="F36" s="146">
        <v>0</v>
      </c>
      <c r="G36" s="146">
        <v>0</v>
      </c>
      <c r="H36" s="91">
        <v>3381</v>
      </c>
      <c r="I36" s="67">
        <v>0</v>
      </c>
      <c r="J36" s="739">
        <v>3381</v>
      </c>
      <c r="K36" s="837" t="s">
        <v>644</v>
      </c>
      <c r="L36" s="740">
        <v>3381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t="s">
        <v>51</v>
      </c>
      <c r="AD36" t="s">
        <v>1391</v>
      </c>
      <c r="AE36" s="452"/>
      <c r="AH36" s="36"/>
      <c r="AI36" s="36"/>
      <c r="AJ36" s="36"/>
      <c r="AK36" s="19"/>
    </row>
    <row r="37" spans="1:37">
      <c r="A37" s="64" t="s">
        <v>1666</v>
      </c>
      <c r="B37" s="784" t="s">
        <v>1753</v>
      </c>
      <c r="C37" s="784" t="s">
        <v>1781</v>
      </c>
      <c r="D37" s="134">
        <v>5</v>
      </c>
      <c r="E37" s="67">
        <v>676</v>
      </c>
      <c r="F37" s="146">
        <v>0</v>
      </c>
      <c r="G37" s="146">
        <v>0</v>
      </c>
      <c r="H37" s="91">
        <v>676</v>
      </c>
      <c r="I37" s="67">
        <v>0</v>
      </c>
      <c r="J37" s="739">
        <v>676</v>
      </c>
      <c r="K37" s="837" t="s">
        <v>644</v>
      </c>
      <c r="L37" s="740">
        <v>676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236</v>
      </c>
      <c r="C38" s="784" t="s">
        <v>1474</v>
      </c>
      <c r="D38" s="134">
        <v>0</v>
      </c>
      <c r="E38" s="67">
        <v>0</v>
      </c>
      <c r="F38" s="146">
        <v>0</v>
      </c>
      <c r="G38" s="146">
        <v>0</v>
      </c>
      <c r="H38" s="91">
        <v>0</v>
      </c>
      <c r="I38" s="67">
        <v>0</v>
      </c>
      <c r="J38" s="739">
        <v>0</v>
      </c>
      <c r="K38" s="837" t="s">
        <v>644</v>
      </c>
      <c r="L38" s="740">
        <v>0</v>
      </c>
      <c r="M38" s="741">
        <v>0</v>
      </c>
      <c r="N38" s="67">
        <v>0</v>
      </c>
      <c r="O38" s="67">
        <v>0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644</v>
      </c>
      <c r="AC38" s="55"/>
      <c r="AD38" s="451"/>
      <c r="AE38" s="452"/>
      <c r="AH38" s="36"/>
      <c r="AI38" s="36"/>
      <c r="AJ38" s="36"/>
      <c r="AK38" s="19"/>
    </row>
    <row r="39" spans="1:37">
      <c r="A39" s="64" t="s">
        <v>600</v>
      </c>
      <c r="B39" s="784" t="s">
        <v>216</v>
      </c>
      <c r="C39" s="784" t="s">
        <v>1464</v>
      </c>
      <c r="D39" s="134">
        <v>380.17</v>
      </c>
      <c r="E39" s="67">
        <v>51422</v>
      </c>
      <c r="F39" s="146">
        <v>0</v>
      </c>
      <c r="G39" s="146">
        <v>0</v>
      </c>
      <c r="H39" s="91">
        <v>51422</v>
      </c>
      <c r="I39" s="67">
        <v>0</v>
      </c>
      <c r="J39" s="739">
        <v>51422</v>
      </c>
      <c r="K39" s="837" t="s">
        <v>621</v>
      </c>
      <c r="L39" s="740">
        <v>0</v>
      </c>
      <c r="M39" s="741">
        <v>380.17</v>
      </c>
      <c r="N39" s="67">
        <v>767</v>
      </c>
      <c r="O39" s="67">
        <v>52189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52189</v>
      </c>
      <c r="V39" s="71">
        <v>137.27805981534576</v>
      </c>
      <c r="W39" s="449">
        <v>52386</v>
      </c>
      <c r="X39" s="67">
        <v>48836</v>
      </c>
      <c r="Y39" s="163">
        <v>3353</v>
      </c>
      <c r="Z39" s="166">
        <v>6.8658366778605942E-2</v>
      </c>
      <c r="AA39" s="34" t="s">
        <v>621</v>
      </c>
      <c r="AD39" s="451"/>
      <c r="AE39" s="452"/>
      <c r="AH39" s="36"/>
      <c r="AI39" s="36"/>
      <c r="AJ39" s="36"/>
      <c r="AK39" s="19"/>
    </row>
    <row r="40" spans="1:37">
      <c r="A40" s="64" t="s">
        <v>603</v>
      </c>
      <c r="B40" s="784" t="s">
        <v>434</v>
      </c>
      <c r="C40" s="784" t="s">
        <v>1568</v>
      </c>
      <c r="D40" s="134">
        <v>510.67</v>
      </c>
      <c r="E40" s="67">
        <v>69073</v>
      </c>
      <c r="F40" s="146">
        <v>0</v>
      </c>
      <c r="G40" s="146">
        <v>0</v>
      </c>
      <c r="H40" s="91">
        <v>69073</v>
      </c>
      <c r="I40" s="67">
        <v>0</v>
      </c>
      <c r="J40" s="739">
        <v>69073</v>
      </c>
      <c r="K40" s="837" t="s">
        <v>621</v>
      </c>
      <c r="L40" s="740">
        <v>0</v>
      </c>
      <c r="M40" s="741">
        <v>510.67</v>
      </c>
      <c r="N40" s="67">
        <v>1030</v>
      </c>
      <c r="O40" s="67">
        <v>70103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70103</v>
      </c>
      <c r="V40" s="71">
        <v>137.2765190827736</v>
      </c>
      <c r="W40" s="449">
        <v>70369</v>
      </c>
      <c r="X40" s="67">
        <v>66391</v>
      </c>
      <c r="Y40" s="163">
        <v>3712</v>
      </c>
      <c r="Z40" s="166">
        <v>5.5911192782154208E-2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594</v>
      </c>
      <c r="B41" s="784" t="s">
        <v>278</v>
      </c>
      <c r="C41" s="784" t="s">
        <v>622</v>
      </c>
      <c r="D41" s="134">
        <v>439</v>
      </c>
      <c r="E41" s="67">
        <v>59379</v>
      </c>
      <c r="F41" s="146">
        <v>0</v>
      </c>
      <c r="G41" s="146">
        <v>0</v>
      </c>
      <c r="H41" s="91">
        <v>59379</v>
      </c>
      <c r="I41" s="67">
        <v>0</v>
      </c>
      <c r="J41" s="739">
        <v>59379</v>
      </c>
      <c r="K41" s="837" t="s">
        <v>621</v>
      </c>
      <c r="L41" s="740">
        <v>0</v>
      </c>
      <c r="M41" s="741">
        <v>439</v>
      </c>
      <c r="N41" s="67">
        <v>886</v>
      </c>
      <c r="O41" s="67">
        <v>60265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60265</v>
      </c>
      <c r="V41" s="71">
        <v>137.27790432801822</v>
      </c>
      <c r="W41" s="449">
        <v>60492</v>
      </c>
      <c r="X41" s="67">
        <v>57505</v>
      </c>
      <c r="Y41" s="163">
        <v>2760</v>
      </c>
      <c r="Z41" s="166">
        <v>4.7995826449873921E-2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594</v>
      </c>
      <c r="B42" s="784" t="s">
        <v>274</v>
      </c>
      <c r="C42" s="784" t="s">
        <v>1491</v>
      </c>
      <c r="D42" s="134">
        <v>116.67</v>
      </c>
      <c r="E42" s="67">
        <v>15781</v>
      </c>
      <c r="F42" s="146">
        <v>0</v>
      </c>
      <c r="G42" s="146">
        <v>0</v>
      </c>
      <c r="H42" s="91">
        <v>15781</v>
      </c>
      <c r="I42" s="67">
        <v>0</v>
      </c>
      <c r="J42" s="739">
        <v>15781</v>
      </c>
      <c r="K42" s="837" t="s">
        <v>621</v>
      </c>
      <c r="L42" s="740">
        <v>0</v>
      </c>
      <c r="M42" s="741">
        <v>116.67</v>
      </c>
      <c r="N42" s="67">
        <v>235</v>
      </c>
      <c r="O42" s="67">
        <v>16016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16016</v>
      </c>
      <c r="V42" s="71">
        <v>137.27607782634783</v>
      </c>
      <c r="W42" s="449">
        <v>17179</v>
      </c>
      <c r="X42" s="67">
        <v>19560</v>
      </c>
      <c r="Y42" s="163">
        <v>-3544</v>
      </c>
      <c r="Z42" s="166">
        <v>-0.18118609406952965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603</v>
      </c>
      <c r="B43" s="784" t="s">
        <v>438</v>
      </c>
      <c r="C43" s="784" t="s">
        <v>1570</v>
      </c>
      <c r="D43" s="134">
        <v>202.83</v>
      </c>
      <c r="E43" s="67">
        <v>27435</v>
      </c>
      <c r="F43" s="146">
        <v>0</v>
      </c>
      <c r="G43" s="146">
        <v>0</v>
      </c>
      <c r="H43" s="91">
        <v>27435</v>
      </c>
      <c r="I43" s="67">
        <v>0</v>
      </c>
      <c r="J43" s="739">
        <v>27435</v>
      </c>
      <c r="K43" s="837" t="s">
        <v>621</v>
      </c>
      <c r="L43" s="740">
        <v>0</v>
      </c>
      <c r="M43" s="741">
        <v>202.83</v>
      </c>
      <c r="N43" s="67">
        <v>409</v>
      </c>
      <c r="O43" s="67">
        <v>27844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27844</v>
      </c>
      <c r="V43" s="71">
        <v>137.27752304885865</v>
      </c>
      <c r="W43" s="449">
        <v>27949</v>
      </c>
      <c r="X43" s="67">
        <v>29450</v>
      </c>
      <c r="Y43" s="163">
        <v>-1606</v>
      </c>
      <c r="Z43" s="166">
        <v>-5.4533106960950761E-2</v>
      </c>
      <c r="AA43" s="34" t="s">
        <v>621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603</v>
      </c>
      <c r="B44" s="784" t="s">
        <v>450</v>
      </c>
      <c r="C44" s="784" t="s">
        <v>1577</v>
      </c>
      <c r="D44" s="134">
        <v>0</v>
      </c>
      <c r="E44" s="67">
        <v>0</v>
      </c>
      <c r="F44" s="146">
        <v>0</v>
      </c>
      <c r="G44" s="146">
        <v>0</v>
      </c>
      <c r="H44" s="91">
        <v>0</v>
      </c>
      <c r="I44" s="67">
        <v>0</v>
      </c>
      <c r="J44" s="739">
        <v>0</v>
      </c>
      <c r="K44" s="837" t="s">
        <v>644</v>
      </c>
      <c r="L44" s="740">
        <v>0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600</v>
      </c>
      <c r="B45" s="784" t="s">
        <v>169</v>
      </c>
      <c r="C45" s="784" t="s">
        <v>1446</v>
      </c>
      <c r="D45" s="134">
        <v>11</v>
      </c>
      <c r="E45" s="67">
        <v>1488</v>
      </c>
      <c r="F45" s="146">
        <v>0</v>
      </c>
      <c r="G45" s="146">
        <v>0</v>
      </c>
      <c r="H45" s="91">
        <v>1488</v>
      </c>
      <c r="I45" s="67">
        <v>0</v>
      </c>
      <c r="J45" s="739">
        <v>1488</v>
      </c>
      <c r="K45" s="837" t="s">
        <v>644</v>
      </c>
      <c r="L45" s="740">
        <v>1488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596</v>
      </c>
      <c r="B46" s="784" t="s">
        <v>10</v>
      </c>
      <c r="C46" s="784" t="s">
        <v>1373</v>
      </c>
      <c r="D46" s="134">
        <v>16.170000000000002</v>
      </c>
      <c r="E46" s="67">
        <v>2187</v>
      </c>
      <c r="F46" s="146">
        <v>0</v>
      </c>
      <c r="G46" s="146">
        <v>0</v>
      </c>
      <c r="H46" s="91">
        <v>2187</v>
      </c>
      <c r="I46" s="67">
        <v>0</v>
      </c>
      <c r="J46" s="739">
        <v>2187</v>
      </c>
      <c r="K46" s="837" t="s">
        <v>644</v>
      </c>
      <c r="L46" s="740">
        <v>2187</v>
      </c>
      <c r="M46" s="741">
        <v>0</v>
      </c>
      <c r="N46" s="67">
        <v>0</v>
      </c>
      <c r="O46" s="67">
        <v>0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0</v>
      </c>
      <c r="V46" s="71">
        <v>0</v>
      </c>
      <c r="W46" s="449">
        <v>0</v>
      </c>
      <c r="X46" s="67">
        <v>0</v>
      </c>
      <c r="Y46" s="163">
        <v>0</v>
      </c>
      <c r="Z46" s="166">
        <v>0</v>
      </c>
      <c r="AA46" s="34" t="s">
        <v>644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605</v>
      </c>
      <c r="B47" s="784" t="s">
        <v>230</v>
      </c>
      <c r="C47" s="784" t="s">
        <v>1471</v>
      </c>
      <c r="D47" s="134">
        <v>17.329999999999998</v>
      </c>
      <c r="E47" s="67">
        <v>2344</v>
      </c>
      <c r="F47" s="146">
        <v>0</v>
      </c>
      <c r="G47" s="146">
        <v>0</v>
      </c>
      <c r="H47" s="91">
        <v>2344</v>
      </c>
      <c r="I47" s="67">
        <v>0</v>
      </c>
      <c r="J47" s="739">
        <v>2344</v>
      </c>
      <c r="K47" s="837" t="s">
        <v>1306</v>
      </c>
      <c r="L47" s="740">
        <v>0</v>
      </c>
      <c r="M47" s="741">
        <v>17.329999999999998</v>
      </c>
      <c r="N47" s="67">
        <v>35</v>
      </c>
      <c r="O47" s="67">
        <v>2379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2379</v>
      </c>
      <c r="V47" s="71">
        <v>137.27639930755916</v>
      </c>
      <c r="W47" s="449">
        <v>0</v>
      </c>
      <c r="X47" s="67">
        <v>2004</v>
      </c>
      <c r="Y47" s="163">
        <v>375</v>
      </c>
      <c r="Z47" s="166">
        <v>0.18712574850299402</v>
      </c>
      <c r="AA47" s="34" t="s">
        <v>1306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597</v>
      </c>
      <c r="B48" s="784" t="s">
        <v>357</v>
      </c>
      <c r="C48" s="784" t="s">
        <v>1530</v>
      </c>
      <c r="D48" s="134">
        <v>1645.5</v>
      </c>
      <c r="E48" s="67">
        <v>222569</v>
      </c>
      <c r="F48" s="146">
        <v>0</v>
      </c>
      <c r="G48" s="146">
        <v>0</v>
      </c>
      <c r="H48" s="91">
        <v>222569</v>
      </c>
      <c r="I48" s="67">
        <v>0</v>
      </c>
      <c r="J48" s="739">
        <v>222569</v>
      </c>
      <c r="K48" s="837" t="s">
        <v>621</v>
      </c>
      <c r="L48" s="740">
        <v>0</v>
      </c>
      <c r="M48" s="741">
        <v>1645.5</v>
      </c>
      <c r="N48" s="67">
        <v>3320</v>
      </c>
      <c r="O48" s="67">
        <v>225889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225889</v>
      </c>
      <c r="V48" s="71">
        <v>137.27681555758127</v>
      </c>
      <c r="W48" s="449">
        <v>223988</v>
      </c>
      <c r="X48" s="67">
        <v>211832</v>
      </c>
      <c r="Y48" s="163">
        <v>14057</v>
      </c>
      <c r="Z48" s="166">
        <v>6.6359190301748555E-2</v>
      </c>
      <c r="AA48" s="34" t="s">
        <v>621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603</v>
      </c>
      <c r="B49" s="784" t="s">
        <v>525</v>
      </c>
      <c r="C49" s="784" t="s">
        <v>1611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837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596</v>
      </c>
      <c r="B50" s="784" t="s">
        <v>494</v>
      </c>
      <c r="C50" s="784" t="s">
        <v>1597</v>
      </c>
      <c r="D50" s="134">
        <v>309.16000000000003</v>
      </c>
      <c r="E50" s="67">
        <v>41817</v>
      </c>
      <c r="F50" s="146">
        <v>0</v>
      </c>
      <c r="G50" s="146">
        <v>0</v>
      </c>
      <c r="H50" s="91">
        <v>41817</v>
      </c>
      <c r="I50" s="67">
        <v>0</v>
      </c>
      <c r="J50" s="739">
        <v>41817</v>
      </c>
      <c r="K50" s="837" t="s">
        <v>621</v>
      </c>
      <c r="L50" s="740">
        <v>0</v>
      </c>
      <c r="M50" s="741">
        <v>309.16000000000003</v>
      </c>
      <c r="N50" s="67">
        <v>624</v>
      </c>
      <c r="O50" s="67">
        <v>42441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42441</v>
      </c>
      <c r="V50" s="71">
        <v>137.2784318799327</v>
      </c>
      <c r="W50" s="449">
        <v>42601</v>
      </c>
      <c r="X50" s="67">
        <v>37313</v>
      </c>
      <c r="Y50" s="163">
        <v>5128</v>
      </c>
      <c r="Z50" s="166">
        <v>0.13743199421113286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603</v>
      </c>
      <c r="B51" s="784" t="s">
        <v>533</v>
      </c>
      <c r="C51" s="784" t="s">
        <v>1615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739">
        <v>0</v>
      </c>
      <c r="K51" s="837" t="s">
        <v>644</v>
      </c>
      <c r="L51" s="740">
        <v>0</v>
      </c>
      <c r="M51" s="741">
        <v>0</v>
      </c>
      <c r="N51" s="67">
        <v>0</v>
      </c>
      <c r="O51" s="67">
        <v>0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0</v>
      </c>
      <c r="V51" s="71">
        <v>0</v>
      </c>
      <c r="W51" s="449">
        <v>0</v>
      </c>
      <c r="X51" s="67">
        <v>0</v>
      </c>
      <c r="Y51" s="163">
        <v>0</v>
      </c>
      <c r="Z51" s="166">
        <v>0</v>
      </c>
      <c r="AA51" s="34" t="s">
        <v>644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603</v>
      </c>
      <c r="B52" s="784" t="s">
        <v>464</v>
      </c>
      <c r="C52" s="784" t="s">
        <v>1584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739">
        <v>0</v>
      </c>
      <c r="K52" s="837" t="s">
        <v>644</v>
      </c>
      <c r="L52" s="740">
        <v>0</v>
      </c>
      <c r="M52" s="741">
        <v>0</v>
      </c>
      <c r="N52" s="67">
        <v>0</v>
      </c>
      <c r="O52" s="67">
        <v>0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0</v>
      </c>
      <c r="V52" s="71">
        <v>0</v>
      </c>
      <c r="W52" s="449">
        <v>0</v>
      </c>
      <c r="X52" s="67">
        <v>0</v>
      </c>
      <c r="Y52" s="163">
        <v>0</v>
      </c>
      <c r="Z52" s="166">
        <v>0</v>
      </c>
      <c r="AA52" s="34" t="s">
        <v>644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596</v>
      </c>
      <c r="B53" s="784" t="s">
        <v>498</v>
      </c>
      <c r="C53" s="784" t="s">
        <v>1599</v>
      </c>
      <c r="D53" s="134">
        <v>114.17</v>
      </c>
      <c r="E53" s="67">
        <v>15443</v>
      </c>
      <c r="F53" s="146">
        <v>0</v>
      </c>
      <c r="G53" s="146">
        <v>0</v>
      </c>
      <c r="H53" s="91">
        <v>15443</v>
      </c>
      <c r="I53" s="67">
        <v>0</v>
      </c>
      <c r="J53" s="739">
        <v>15443</v>
      </c>
      <c r="K53" s="837" t="s">
        <v>621</v>
      </c>
      <c r="L53" s="740">
        <v>0</v>
      </c>
      <c r="M53" s="741">
        <v>114.17</v>
      </c>
      <c r="N53" s="67">
        <v>230</v>
      </c>
      <c r="O53" s="67">
        <v>15673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15673</v>
      </c>
      <c r="V53" s="71">
        <v>137.27774371551195</v>
      </c>
      <c r="W53" s="449">
        <v>15732</v>
      </c>
      <c r="X53" s="67">
        <v>17098</v>
      </c>
      <c r="Y53" s="163">
        <v>-1425</v>
      </c>
      <c r="Z53" s="166">
        <v>-8.3343081062112523E-2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603</v>
      </c>
      <c r="B54" s="784" t="s">
        <v>456</v>
      </c>
      <c r="C54" s="784" t="s">
        <v>1580</v>
      </c>
      <c r="D54" s="134">
        <v>12.67</v>
      </c>
      <c r="E54" s="67">
        <v>1714</v>
      </c>
      <c r="F54" s="146">
        <v>0</v>
      </c>
      <c r="G54" s="146">
        <v>0</v>
      </c>
      <c r="H54" s="91">
        <v>1714</v>
      </c>
      <c r="I54" s="67">
        <v>0</v>
      </c>
      <c r="J54" s="739">
        <v>1714</v>
      </c>
      <c r="K54" s="837" t="s">
        <v>644</v>
      </c>
      <c r="L54" s="740">
        <v>1714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595</v>
      </c>
      <c r="B55" s="784" t="s">
        <v>376</v>
      </c>
      <c r="C55" s="784" t="s">
        <v>1540</v>
      </c>
      <c r="D55" s="134">
        <v>1.67</v>
      </c>
      <c r="E55" s="67">
        <v>226</v>
      </c>
      <c r="F55" s="146">
        <v>0</v>
      </c>
      <c r="G55" s="146">
        <v>0</v>
      </c>
      <c r="H55" s="91">
        <v>226</v>
      </c>
      <c r="I55" s="67">
        <v>0</v>
      </c>
      <c r="J55" s="739">
        <v>226</v>
      </c>
      <c r="K55" s="837" t="s">
        <v>644</v>
      </c>
      <c r="L55" s="740">
        <v>226</v>
      </c>
      <c r="M55" s="741">
        <v>0</v>
      </c>
      <c r="N55" s="67">
        <v>0</v>
      </c>
      <c r="O55" s="67">
        <v>0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0</v>
      </c>
      <c r="V55" s="71">
        <v>0</v>
      </c>
      <c r="W55" s="449">
        <v>0</v>
      </c>
      <c r="X55" s="67">
        <v>0</v>
      </c>
      <c r="Y55" s="163">
        <v>0</v>
      </c>
      <c r="Z55" s="166">
        <v>0</v>
      </c>
      <c r="AA55" s="34" t="s">
        <v>644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595</v>
      </c>
      <c r="B56" s="784" t="s">
        <v>384</v>
      </c>
      <c r="C56" s="784" t="s">
        <v>1543</v>
      </c>
      <c r="D56" s="134">
        <v>30</v>
      </c>
      <c r="E56" s="67">
        <v>4058</v>
      </c>
      <c r="F56" s="146">
        <v>0</v>
      </c>
      <c r="G56" s="146">
        <v>0</v>
      </c>
      <c r="H56" s="91">
        <v>4058</v>
      </c>
      <c r="I56" s="67">
        <v>0</v>
      </c>
      <c r="J56" s="739">
        <v>4058</v>
      </c>
      <c r="K56" s="837" t="s">
        <v>1306</v>
      </c>
      <c r="L56" s="740">
        <v>0</v>
      </c>
      <c r="M56" s="741">
        <v>30</v>
      </c>
      <c r="N56" s="67">
        <v>61</v>
      </c>
      <c r="O56" s="67">
        <v>4119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4119</v>
      </c>
      <c r="V56" s="71">
        <v>137.30000000000001</v>
      </c>
      <c r="W56" s="449">
        <v>0</v>
      </c>
      <c r="X56" s="67">
        <v>3855</v>
      </c>
      <c r="Y56" s="163">
        <v>264</v>
      </c>
      <c r="Z56" s="166">
        <v>6.8482490272373547E-2</v>
      </c>
      <c r="AA56" s="34" t="s">
        <v>1306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594</v>
      </c>
      <c r="B57" s="784" t="s">
        <v>147</v>
      </c>
      <c r="C57" s="784" t="s">
        <v>1435</v>
      </c>
      <c r="D57" s="134">
        <v>3</v>
      </c>
      <c r="E57" s="67">
        <v>406</v>
      </c>
      <c r="F57" s="146">
        <v>0</v>
      </c>
      <c r="G57" s="146">
        <v>0</v>
      </c>
      <c r="H57" s="91">
        <v>406</v>
      </c>
      <c r="I57" s="67">
        <v>0</v>
      </c>
      <c r="J57" s="739">
        <v>406</v>
      </c>
      <c r="K57" s="837" t="s">
        <v>644</v>
      </c>
      <c r="L57" s="740">
        <v>406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601</v>
      </c>
      <c r="B58" s="784" t="s">
        <v>120</v>
      </c>
      <c r="C58" s="784" t="s">
        <v>1423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837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595</v>
      </c>
      <c r="B59" s="784" t="s">
        <v>159</v>
      </c>
      <c r="C59" s="784" t="s">
        <v>1441</v>
      </c>
      <c r="D59" s="134">
        <v>26.5</v>
      </c>
      <c r="E59" s="67">
        <v>3584</v>
      </c>
      <c r="F59" s="146">
        <v>0</v>
      </c>
      <c r="G59" s="146">
        <v>0</v>
      </c>
      <c r="H59" s="91">
        <v>3584</v>
      </c>
      <c r="I59" s="67">
        <v>0</v>
      </c>
      <c r="J59" s="739">
        <v>3584</v>
      </c>
      <c r="K59" s="837" t="s">
        <v>644</v>
      </c>
      <c r="L59" s="740">
        <v>3584</v>
      </c>
      <c r="M59" s="741">
        <v>0</v>
      </c>
      <c r="N59" s="67">
        <v>0</v>
      </c>
      <c r="O59" s="67">
        <v>0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0</v>
      </c>
      <c r="V59" s="71">
        <v>0</v>
      </c>
      <c r="W59" s="449">
        <v>0</v>
      </c>
      <c r="X59" s="67">
        <v>4401</v>
      </c>
      <c r="Y59" s="163">
        <v>-4401</v>
      </c>
      <c r="Z59" s="166">
        <v>-1</v>
      </c>
      <c r="AA59" s="34" t="s">
        <v>644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600</v>
      </c>
      <c r="B60" s="784" t="s">
        <v>41</v>
      </c>
      <c r="C60" s="784" t="s">
        <v>1386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837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285</v>
      </c>
      <c r="C61" s="784" t="s">
        <v>1496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837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0</v>
      </c>
      <c r="V61" s="71">
        <v>0</v>
      </c>
      <c r="W61" s="449">
        <v>0</v>
      </c>
      <c r="X61" s="67">
        <v>0</v>
      </c>
      <c r="Y61" s="163">
        <v>0</v>
      </c>
      <c r="Z61" s="166">
        <v>0</v>
      </c>
      <c r="AA61" s="34" t="s">
        <v>644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96</v>
      </c>
      <c r="C62" s="784" t="s">
        <v>1412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837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603</v>
      </c>
      <c r="B63" s="784" t="s">
        <v>338</v>
      </c>
      <c r="C63" s="784" t="s">
        <v>1520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837" t="s">
        <v>644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0</v>
      </c>
      <c r="V63" s="71">
        <v>0</v>
      </c>
      <c r="W63" s="449">
        <v>0</v>
      </c>
      <c r="X63" s="67">
        <v>0</v>
      </c>
      <c r="Y63" s="163">
        <v>0</v>
      </c>
      <c r="Z63" s="166">
        <v>0</v>
      </c>
      <c r="AA63" s="34" t="s">
        <v>644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605</v>
      </c>
      <c r="B64" s="784" t="s">
        <v>220</v>
      </c>
      <c r="C64" s="784" t="s">
        <v>1466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837" t="s">
        <v>644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0</v>
      </c>
      <c r="V64" s="71">
        <v>0</v>
      </c>
      <c r="W64" s="449">
        <v>0</v>
      </c>
      <c r="X64" s="67">
        <v>0</v>
      </c>
      <c r="Y64" s="163">
        <v>0</v>
      </c>
      <c r="Z64" s="166">
        <v>0</v>
      </c>
      <c r="AA64" s="34" t="s">
        <v>644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595</v>
      </c>
      <c r="B65" s="784" t="s">
        <v>417</v>
      </c>
      <c r="C65" s="784" t="s">
        <v>1559</v>
      </c>
      <c r="D65" s="134">
        <v>2</v>
      </c>
      <c r="E65" s="67">
        <v>271</v>
      </c>
      <c r="F65" s="146">
        <v>0</v>
      </c>
      <c r="G65" s="146">
        <v>0</v>
      </c>
      <c r="H65" s="91">
        <v>271</v>
      </c>
      <c r="I65" s="67">
        <v>0</v>
      </c>
      <c r="J65" s="739">
        <v>271</v>
      </c>
      <c r="K65" s="837" t="s">
        <v>644</v>
      </c>
      <c r="L65" s="740">
        <v>271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603</v>
      </c>
      <c r="B66" s="784" t="s">
        <v>293</v>
      </c>
      <c r="C66" s="784" t="s">
        <v>1500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837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66</v>
      </c>
      <c r="C67" s="784" t="s">
        <v>758</v>
      </c>
      <c r="D67" s="134">
        <v>2</v>
      </c>
      <c r="E67" s="67">
        <v>271</v>
      </c>
      <c r="F67" s="146">
        <v>0</v>
      </c>
      <c r="G67" s="146">
        <v>0</v>
      </c>
      <c r="H67" s="91">
        <v>271</v>
      </c>
      <c r="I67" s="67">
        <v>0</v>
      </c>
      <c r="J67" s="739">
        <v>271</v>
      </c>
      <c r="K67" s="837" t="s">
        <v>644</v>
      </c>
      <c r="L67" s="740">
        <v>271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603</v>
      </c>
      <c r="B68" s="784" t="s">
        <v>444</v>
      </c>
      <c r="C68" s="784" t="s">
        <v>1574</v>
      </c>
      <c r="D68" s="134">
        <v>23.5</v>
      </c>
      <c r="E68" s="67">
        <v>3179</v>
      </c>
      <c r="F68" s="146">
        <v>0</v>
      </c>
      <c r="G68" s="146">
        <v>0</v>
      </c>
      <c r="H68" s="91">
        <v>3179</v>
      </c>
      <c r="I68" s="67">
        <v>0</v>
      </c>
      <c r="J68" s="739">
        <v>3179</v>
      </c>
      <c r="K68" s="837" t="s">
        <v>644</v>
      </c>
      <c r="L68" s="740">
        <v>3179</v>
      </c>
      <c r="M68" s="741">
        <v>0</v>
      </c>
      <c r="N68" s="67">
        <v>0</v>
      </c>
      <c r="O68" s="67">
        <v>0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0</v>
      </c>
      <c r="V68" s="71">
        <v>0</v>
      </c>
      <c r="W68" s="449">
        <v>0</v>
      </c>
      <c r="X68" s="67">
        <v>0</v>
      </c>
      <c r="Y68" s="163">
        <v>0</v>
      </c>
      <c r="Z68" s="166">
        <v>0</v>
      </c>
      <c r="AA68" s="34" t="s">
        <v>644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597</v>
      </c>
      <c r="B69" s="784" t="s">
        <v>353</v>
      </c>
      <c r="C69" s="784" t="s">
        <v>1528</v>
      </c>
      <c r="D69" s="134">
        <v>69.34</v>
      </c>
      <c r="E69" s="67">
        <v>9379</v>
      </c>
      <c r="F69" s="146">
        <v>0</v>
      </c>
      <c r="G69" s="146">
        <v>0</v>
      </c>
      <c r="H69" s="91">
        <v>9379</v>
      </c>
      <c r="I69" s="67">
        <v>0</v>
      </c>
      <c r="J69" s="739">
        <v>9379</v>
      </c>
      <c r="K69" s="837" t="s">
        <v>1306</v>
      </c>
      <c r="L69" s="740">
        <v>0</v>
      </c>
      <c r="M69" s="741">
        <v>69.34</v>
      </c>
      <c r="N69" s="67">
        <v>140</v>
      </c>
      <c r="O69" s="67">
        <v>9519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9519</v>
      </c>
      <c r="V69" s="71">
        <v>137.28006922411305</v>
      </c>
      <c r="W69" s="449">
        <v>0</v>
      </c>
      <c r="X69" s="67">
        <v>9583</v>
      </c>
      <c r="Y69" s="163">
        <v>-64</v>
      </c>
      <c r="Z69" s="166">
        <v>-6.6784931649796512E-3</v>
      </c>
      <c r="AA69" s="34" t="s">
        <v>1306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596</v>
      </c>
      <c r="B70" s="784" t="s">
        <v>490</v>
      </c>
      <c r="C70" s="784" t="s">
        <v>1596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739">
        <v>0</v>
      </c>
      <c r="K70" s="837" t="s">
        <v>644</v>
      </c>
      <c r="L70" s="740">
        <v>0</v>
      </c>
      <c r="M70" s="741">
        <v>0</v>
      </c>
      <c r="N70" s="67">
        <v>0</v>
      </c>
      <c r="O70" s="67">
        <v>0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0</v>
      </c>
      <c r="V70" s="71">
        <v>0</v>
      </c>
      <c r="W70" s="449">
        <v>0</v>
      </c>
      <c r="X70" s="67">
        <v>0</v>
      </c>
      <c r="Y70" s="163">
        <v>0</v>
      </c>
      <c r="Z70" s="166">
        <v>0</v>
      </c>
      <c r="AA70" s="34" t="s">
        <v>644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603</v>
      </c>
      <c r="B71" s="784" t="s">
        <v>440</v>
      </c>
      <c r="C71" s="784" t="s">
        <v>1571</v>
      </c>
      <c r="D71" s="134">
        <v>104.67</v>
      </c>
      <c r="E71" s="67">
        <v>14158</v>
      </c>
      <c r="F71" s="146">
        <v>0</v>
      </c>
      <c r="G71" s="146">
        <v>0</v>
      </c>
      <c r="H71" s="91">
        <v>14158</v>
      </c>
      <c r="I71" s="67">
        <v>0</v>
      </c>
      <c r="J71" s="739">
        <v>14158</v>
      </c>
      <c r="K71" s="837" t="s">
        <v>621</v>
      </c>
      <c r="L71" s="740">
        <v>0</v>
      </c>
      <c r="M71" s="741">
        <v>104.67</v>
      </c>
      <c r="N71" s="67">
        <v>211</v>
      </c>
      <c r="O71" s="67">
        <v>14369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14369</v>
      </c>
      <c r="V71" s="71">
        <v>137.27906754561957</v>
      </c>
      <c r="W71" s="449">
        <v>14423</v>
      </c>
      <c r="X71" s="67">
        <v>15617</v>
      </c>
      <c r="Y71" s="163">
        <v>-1248</v>
      </c>
      <c r="Z71" s="166">
        <v>-7.9912915412691299E-2</v>
      </c>
      <c r="AA71" s="34" t="s">
        <v>621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605</v>
      </c>
      <c r="B72" s="784" t="s">
        <v>549</v>
      </c>
      <c r="C72" s="784" t="s">
        <v>1623</v>
      </c>
      <c r="D72" s="134">
        <v>345.5</v>
      </c>
      <c r="E72" s="67">
        <v>46732</v>
      </c>
      <c r="F72" s="146">
        <v>0</v>
      </c>
      <c r="G72" s="146">
        <v>0</v>
      </c>
      <c r="H72" s="91">
        <v>46732</v>
      </c>
      <c r="I72" s="67">
        <v>0</v>
      </c>
      <c r="J72" s="739">
        <v>46732</v>
      </c>
      <c r="K72" s="837" t="s">
        <v>621</v>
      </c>
      <c r="L72" s="740">
        <v>0</v>
      </c>
      <c r="M72" s="741">
        <v>345.5</v>
      </c>
      <c r="N72" s="67">
        <v>697</v>
      </c>
      <c r="O72" s="67">
        <v>47429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47429</v>
      </c>
      <c r="V72" s="71">
        <v>137.27641099855282</v>
      </c>
      <c r="W72" s="449">
        <v>47609</v>
      </c>
      <c r="X72" s="67">
        <v>44284</v>
      </c>
      <c r="Y72" s="163">
        <v>3145</v>
      </c>
      <c r="Z72" s="166">
        <v>7.1018878150121936E-2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601</v>
      </c>
      <c r="B73" s="784" t="s">
        <v>88</v>
      </c>
      <c r="C73" s="784" t="s">
        <v>1408</v>
      </c>
      <c r="D73" s="134">
        <v>1028.67</v>
      </c>
      <c r="E73" s="67">
        <v>139137</v>
      </c>
      <c r="F73" s="146">
        <v>0</v>
      </c>
      <c r="G73" s="146">
        <v>0</v>
      </c>
      <c r="H73" s="91">
        <v>139137</v>
      </c>
      <c r="I73" s="67">
        <v>0</v>
      </c>
      <c r="J73" s="739">
        <v>139137</v>
      </c>
      <c r="K73" s="837" t="s">
        <v>621</v>
      </c>
      <c r="L73" s="740">
        <v>0</v>
      </c>
      <c r="M73" s="741">
        <v>1028.67</v>
      </c>
      <c r="N73" s="67">
        <v>2076</v>
      </c>
      <c r="O73" s="67">
        <v>141213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141213</v>
      </c>
      <c r="V73" s="71">
        <v>137.27726092916095</v>
      </c>
      <c r="W73" s="449">
        <v>141747</v>
      </c>
      <c r="X73" s="67">
        <v>137271</v>
      </c>
      <c r="Y73" s="163">
        <v>3942</v>
      </c>
      <c r="Z73" s="166">
        <v>2.8716917630089385E-2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605</v>
      </c>
      <c r="B74" s="784" t="s">
        <v>222</v>
      </c>
      <c r="C74" s="784" t="s">
        <v>1467</v>
      </c>
      <c r="D74" s="134">
        <v>6.67</v>
      </c>
      <c r="E74" s="67">
        <v>902</v>
      </c>
      <c r="F74" s="146">
        <v>0</v>
      </c>
      <c r="G74" s="146">
        <v>0</v>
      </c>
      <c r="H74" s="91">
        <v>902</v>
      </c>
      <c r="I74" s="67">
        <v>0</v>
      </c>
      <c r="J74" s="739">
        <v>902</v>
      </c>
      <c r="K74" s="837" t="s">
        <v>1306</v>
      </c>
      <c r="L74" s="740">
        <v>0</v>
      </c>
      <c r="M74" s="741">
        <v>6.67</v>
      </c>
      <c r="N74" s="67">
        <v>13</v>
      </c>
      <c r="O74" s="67">
        <v>915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915</v>
      </c>
      <c r="V74" s="71">
        <v>137.18140929535232</v>
      </c>
      <c r="W74" s="449">
        <v>0</v>
      </c>
      <c r="X74" s="67">
        <v>1307</v>
      </c>
      <c r="Y74" s="163">
        <v>-392</v>
      </c>
      <c r="Z74" s="166">
        <v>-0.29992348890589138</v>
      </c>
      <c r="AA74" s="34" t="s">
        <v>1306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597</v>
      </c>
      <c r="B75" s="784" t="s">
        <v>365</v>
      </c>
      <c r="C75" s="784" t="s">
        <v>1532</v>
      </c>
      <c r="D75" s="134">
        <v>14.17</v>
      </c>
      <c r="E75" s="67">
        <v>1917</v>
      </c>
      <c r="F75" s="146">
        <v>0</v>
      </c>
      <c r="G75" s="146">
        <v>0</v>
      </c>
      <c r="H75" s="91">
        <v>1917</v>
      </c>
      <c r="I75" s="67">
        <v>0</v>
      </c>
      <c r="J75" s="739">
        <v>1917</v>
      </c>
      <c r="K75" s="837" t="s">
        <v>644</v>
      </c>
      <c r="L75" s="740">
        <v>1917</v>
      </c>
      <c r="M75" s="741">
        <v>0</v>
      </c>
      <c r="N75" s="67">
        <v>0</v>
      </c>
      <c r="O75" s="67">
        <v>0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0</v>
      </c>
      <c r="V75" s="71">
        <v>0</v>
      </c>
      <c r="W75" s="449">
        <v>0</v>
      </c>
      <c r="X75" s="67">
        <v>0</v>
      </c>
      <c r="Y75" s="163">
        <v>0</v>
      </c>
      <c r="Z75" s="166">
        <v>0</v>
      </c>
      <c r="AA75" s="34" t="s">
        <v>644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595</v>
      </c>
      <c r="B76" s="784" t="s">
        <v>401</v>
      </c>
      <c r="C76" s="784" t="s">
        <v>1551</v>
      </c>
      <c r="D76" s="134">
        <v>3116.17</v>
      </c>
      <c r="E76" s="67">
        <v>421492</v>
      </c>
      <c r="F76" s="146">
        <v>0</v>
      </c>
      <c r="G76" s="146">
        <v>0</v>
      </c>
      <c r="H76" s="91">
        <v>421492</v>
      </c>
      <c r="I76" s="67">
        <v>0</v>
      </c>
      <c r="J76" s="739">
        <v>421492</v>
      </c>
      <c r="K76" s="837" t="s">
        <v>621</v>
      </c>
      <c r="L76" s="740">
        <v>0</v>
      </c>
      <c r="M76" s="741">
        <v>3116.17</v>
      </c>
      <c r="N76" s="67">
        <v>6288</v>
      </c>
      <c r="O76" s="67">
        <v>427780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427780</v>
      </c>
      <c r="V76" s="71">
        <v>137.27749127935894</v>
      </c>
      <c r="W76" s="449">
        <v>429397</v>
      </c>
      <c r="X76" s="67">
        <v>408305</v>
      </c>
      <c r="Y76" s="163">
        <v>19475</v>
      </c>
      <c r="Z76" s="166">
        <v>4.769718715176155E-2</v>
      </c>
      <c r="AA76" s="34" t="s">
        <v>621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605</v>
      </c>
      <c r="B77" s="784" t="s">
        <v>226</v>
      </c>
      <c r="C77" s="784" t="s">
        <v>1469</v>
      </c>
      <c r="D77" s="134">
        <v>236.83</v>
      </c>
      <c r="E77" s="67">
        <v>32034</v>
      </c>
      <c r="F77" s="146">
        <v>0</v>
      </c>
      <c r="G77" s="146">
        <v>0</v>
      </c>
      <c r="H77" s="91">
        <v>32034</v>
      </c>
      <c r="I77" s="67">
        <v>0</v>
      </c>
      <c r="J77" s="739">
        <v>32034</v>
      </c>
      <c r="K77" s="837" t="s">
        <v>621</v>
      </c>
      <c r="L77" s="740">
        <v>0</v>
      </c>
      <c r="M77" s="741">
        <v>236.83</v>
      </c>
      <c r="N77" s="67">
        <v>478</v>
      </c>
      <c r="O77" s="67">
        <v>32512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32512</v>
      </c>
      <c r="V77" s="71">
        <v>137.27990541738799</v>
      </c>
      <c r="W77" s="449">
        <v>32635</v>
      </c>
      <c r="X77" s="67">
        <v>34045</v>
      </c>
      <c r="Y77" s="163">
        <v>-1533</v>
      </c>
      <c r="Z77" s="166">
        <v>-4.5028638566603024E-2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141</v>
      </c>
      <c r="C78" s="784" t="s">
        <v>1433</v>
      </c>
      <c r="D78" s="134">
        <v>117.83</v>
      </c>
      <c r="E78" s="67">
        <v>15938</v>
      </c>
      <c r="F78" s="146">
        <v>0</v>
      </c>
      <c r="G78" s="146">
        <v>0</v>
      </c>
      <c r="H78" s="91">
        <v>15938</v>
      </c>
      <c r="I78" s="67">
        <v>0</v>
      </c>
      <c r="J78" s="739">
        <v>15938</v>
      </c>
      <c r="K78" s="837" t="s">
        <v>621</v>
      </c>
      <c r="L78" s="740">
        <v>0</v>
      </c>
      <c r="M78" s="741">
        <v>117.83</v>
      </c>
      <c r="N78" s="67">
        <v>238</v>
      </c>
      <c r="O78" s="67">
        <v>16176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16176</v>
      </c>
      <c r="V78" s="71">
        <v>137.28252567257914</v>
      </c>
      <c r="W78" s="449">
        <v>16236</v>
      </c>
      <c r="X78" s="67">
        <v>16751</v>
      </c>
      <c r="Y78" s="163">
        <v>-575</v>
      </c>
      <c r="Z78" s="166">
        <v>-3.4326308877081962E-2</v>
      </c>
      <c r="AA78" s="34" t="s">
        <v>621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603</v>
      </c>
      <c r="B79" s="784" t="s">
        <v>535</v>
      </c>
      <c r="C79" s="784" t="s">
        <v>1616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739">
        <v>0</v>
      </c>
      <c r="K79" s="837" t="s">
        <v>644</v>
      </c>
      <c r="L79" s="740">
        <v>0</v>
      </c>
      <c r="M79" s="741">
        <v>0</v>
      </c>
      <c r="N79" s="67">
        <v>0</v>
      </c>
      <c r="O79" s="67">
        <v>0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0</v>
      </c>
      <c r="V79" s="71">
        <v>0</v>
      </c>
      <c r="W79" s="449">
        <v>0</v>
      </c>
      <c r="X79" s="67">
        <v>0</v>
      </c>
      <c r="Y79" s="163">
        <v>0</v>
      </c>
      <c r="Z79" s="166">
        <v>0</v>
      </c>
      <c r="AA79" s="34" t="s">
        <v>644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601</v>
      </c>
      <c r="B80" s="784" t="s">
        <v>29</v>
      </c>
      <c r="C80" s="784" t="s">
        <v>1382</v>
      </c>
      <c r="D80" s="134">
        <v>51.34</v>
      </c>
      <c r="E80" s="67">
        <v>6944</v>
      </c>
      <c r="F80" s="146">
        <v>0</v>
      </c>
      <c r="G80" s="146">
        <v>0</v>
      </c>
      <c r="H80" s="91">
        <v>6944</v>
      </c>
      <c r="I80" s="67">
        <v>0</v>
      </c>
      <c r="J80" s="739">
        <v>6944</v>
      </c>
      <c r="K80" s="837" t="s">
        <v>644</v>
      </c>
      <c r="L80" s="740">
        <v>6944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597</v>
      </c>
      <c r="B81" s="784" t="s">
        <v>177</v>
      </c>
      <c r="C81" s="784" t="s">
        <v>1450</v>
      </c>
      <c r="D81" s="134">
        <v>251</v>
      </c>
      <c r="E81" s="67">
        <v>33950</v>
      </c>
      <c r="F81" s="146">
        <v>0</v>
      </c>
      <c r="G81" s="146">
        <v>0</v>
      </c>
      <c r="H81" s="91">
        <v>33950</v>
      </c>
      <c r="I81" s="67">
        <v>0</v>
      </c>
      <c r="J81" s="739">
        <v>33950</v>
      </c>
      <c r="K81" s="837" t="s">
        <v>621</v>
      </c>
      <c r="L81" s="740">
        <v>0</v>
      </c>
      <c r="M81" s="741">
        <v>251</v>
      </c>
      <c r="N81" s="67">
        <v>506</v>
      </c>
      <c r="O81" s="67">
        <v>34456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34456</v>
      </c>
      <c r="V81" s="71">
        <v>137.27490039840637</v>
      </c>
      <c r="W81" s="449">
        <v>34586</v>
      </c>
      <c r="X81" s="67">
        <v>35112</v>
      </c>
      <c r="Y81" s="163">
        <v>-656</v>
      </c>
      <c r="Z81" s="166">
        <v>-1.8683071314650263E-2</v>
      </c>
      <c r="AA81" s="34" t="s">
        <v>621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601</v>
      </c>
      <c r="B82" s="784" t="s">
        <v>127</v>
      </c>
      <c r="C82" s="784" t="s">
        <v>623</v>
      </c>
      <c r="D82" s="134">
        <v>347.34</v>
      </c>
      <c r="E82" s="67">
        <v>46981</v>
      </c>
      <c r="F82" s="146">
        <v>0</v>
      </c>
      <c r="G82" s="146">
        <v>0</v>
      </c>
      <c r="H82" s="91">
        <v>46981</v>
      </c>
      <c r="I82" s="67">
        <v>0</v>
      </c>
      <c r="J82" s="739">
        <v>46981</v>
      </c>
      <c r="K82" s="837" t="s">
        <v>621</v>
      </c>
      <c r="L82" s="740">
        <v>0</v>
      </c>
      <c r="M82" s="741">
        <v>347.34</v>
      </c>
      <c r="N82" s="67">
        <v>701</v>
      </c>
      <c r="O82" s="67">
        <v>47682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47682</v>
      </c>
      <c r="V82" s="71">
        <v>137.27759543962688</v>
      </c>
      <c r="W82" s="449">
        <v>45519</v>
      </c>
      <c r="X82" s="67">
        <v>39316</v>
      </c>
      <c r="Y82" s="163">
        <v>8366</v>
      </c>
      <c r="Z82" s="166">
        <v>0.2127886865398311</v>
      </c>
      <c r="AA82" s="34" t="s">
        <v>621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1666</v>
      </c>
      <c r="B83" s="857" t="s">
        <v>1728</v>
      </c>
      <c r="C83" s="784" t="s">
        <v>681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739">
        <v>0</v>
      </c>
      <c r="K83" s="837" t="s">
        <v>1306</v>
      </c>
      <c r="L83" s="740">
        <v>0</v>
      </c>
      <c r="M83" s="741">
        <v>0</v>
      </c>
      <c r="N83" s="67">
        <v>0</v>
      </c>
      <c r="O83" s="67">
        <v>0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0</v>
      </c>
      <c r="V83" s="71">
        <v>0</v>
      </c>
      <c r="W83" s="449">
        <v>13458</v>
      </c>
      <c r="X83" s="67">
        <v>0</v>
      </c>
      <c r="Y83" s="163">
        <v>0</v>
      </c>
      <c r="Z83" s="166">
        <v>0</v>
      </c>
      <c r="AA83" s="34" t="s">
        <v>1306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1666</v>
      </c>
      <c r="B84" s="784" t="s">
        <v>651</v>
      </c>
      <c r="C84" s="784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837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1666</v>
      </c>
      <c r="B85" s="784" t="s">
        <v>678</v>
      </c>
      <c r="C85" s="784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739">
        <v>0</v>
      </c>
      <c r="K85" s="837" t="s">
        <v>644</v>
      </c>
      <c r="L85" s="740">
        <v>0</v>
      </c>
      <c r="M85" s="741">
        <v>0</v>
      </c>
      <c r="N85" s="67">
        <v>0</v>
      </c>
      <c r="O85" s="67">
        <v>0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0</v>
      </c>
      <c r="V85" s="71">
        <v>0</v>
      </c>
      <c r="W85" s="449">
        <v>0</v>
      </c>
      <c r="X85" s="67">
        <v>0</v>
      </c>
      <c r="Y85" s="163">
        <v>0</v>
      </c>
      <c r="Z85" s="166">
        <v>0</v>
      </c>
      <c r="AA85" s="34" t="s">
        <v>644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256</v>
      </c>
      <c r="C86" s="784" t="s">
        <v>1483</v>
      </c>
      <c r="D86" s="134">
        <v>2</v>
      </c>
      <c r="E86" s="67">
        <v>271</v>
      </c>
      <c r="F86" s="146">
        <v>0</v>
      </c>
      <c r="G86" s="146">
        <v>0</v>
      </c>
      <c r="H86" s="91">
        <v>271</v>
      </c>
      <c r="I86" s="67">
        <v>0</v>
      </c>
      <c r="J86" s="739">
        <v>271</v>
      </c>
      <c r="K86" s="837" t="s">
        <v>644</v>
      </c>
      <c r="L86" s="740">
        <v>271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595</v>
      </c>
      <c r="B87" s="784" t="s">
        <v>395</v>
      </c>
      <c r="C87" s="784" t="s">
        <v>635</v>
      </c>
      <c r="D87" s="134">
        <v>3191.34</v>
      </c>
      <c r="E87" s="67">
        <v>431659</v>
      </c>
      <c r="F87" s="146">
        <v>0</v>
      </c>
      <c r="G87" s="146">
        <v>0</v>
      </c>
      <c r="H87" s="91">
        <v>431659</v>
      </c>
      <c r="I87" s="67">
        <v>0</v>
      </c>
      <c r="J87" s="739">
        <v>431659</v>
      </c>
      <c r="K87" s="837" t="s">
        <v>621</v>
      </c>
      <c r="L87" s="740">
        <v>0</v>
      </c>
      <c r="M87" s="741">
        <v>3191.34</v>
      </c>
      <c r="N87" s="67">
        <v>6439</v>
      </c>
      <c r="O87" s="67">
        <v>438098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438098</v>
      </c>
      <c r="V87" s="71">
        <v>137.27713123640854</v>
      </c>
      <c r="W87" s="449">
        <v>426296</v>
      </c>
      <c r="X87" s="67">
        <v>414491</v>
      </c>
      <c r="Y87" s="163">
        <v>23607</v>
      </c>
      <c r="Z87" s="166">
        <v>5.6954192008994167E-2</v>
      </c>
      <c r="AA87" s="34" t="s">
        <v>621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599</v>
      </c>
      <c r="B88" s="784" t="s">
        <v>58</v>
      </c>
      <c r="C88" s="784" t="s">
        <v>1394</v>
      </c>
      <c r="D88" s="134">
        <v>3393.33</v>
      </c>
      <c r="E88" s="67">
        <v>458980</v>
      </c>
      <c r="F88" s="146">
        <v>0</v>
      </c>
      <c r="G88" s="146">
        <v>0</v>
      </c>
      <c r="H88" s="91">
        <v>458980</v>
      </c>
      <c r="I88" s="67">
        <v>0</v>
      </c>
      <c r="J88" s="739">
        <v>458980</v>
      </c>
      <c r="K88" s="837" t="s">
        <v>621</v>
      </c>
      <c r="L88" s="740">
        <v>0</v>
      </c>
      <c r="M88" s="741">
        <v>3393.33</v>
      </c>
      <c r="N88" s="67">
        <v>6847</v>
      </c>
      <c r="O88" s="67">
        <v>465827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465827</v>
      </c>
      <c r="V88" s="71">
        <v>137.27724683423068</v>
      </c>
      <c r="W88" s="449">
        <v>467588</v>
      </c>
      <c r="X88" s="67">
        <v>470058</v>
      </c>
      <c r="Y88" s="163">
        <v>-4231</v>
      </c>
      <c r="Z88" s="166">
        <v>-9.0010168957873286E-3</v>
      </c>
      <c r="AA88" s="34" t="s">
        <v>621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603</v>
      </c>
      <c r="B89" s="784" t="s">
        <v>462</v>
      </c>
      <c r="C89" s="784" t="s">
        <v>1583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739">
        <v>0</v>
      </c>
      <c r="K89" s="837" t="s">
        <v>644</v>
      </c>
      <c r="L89" s="740">
        <v>0</v>
      </c>
      <c r="M89" s="741">
        <v>0</v>
      </c>
      <c r="N89" s="67">
        <v>0</v>
      </c>
      <c r="O89" s="67">
        <v>0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0</v>
      </c>
      <c r="V89" s="71">
        <v>0</v>
      </c>
      <c r="W89" s="449">
        <v>0</v>
      </c>
      <c r="X89" s="67">
        <v>0</v>
      </c>
      <c r="Y89" s="163">
        <v>0</v>
      </c>
      <c r="Z89" s="166">
        <v>0</v>
      </c>
      <c r="AA89" s="34" t="s">
        <v>644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597</v>
      </c>
      <c r="B90" s="784" t="s">
        <v>175</v>
      </c>
      <c r="C90" s="784" t="s">
        <v>1449</v>
      </c>
      <c r="D90" s="134">
        <v>4909.99</v>
      </c>
      <c r="E90" s="67">
        <v>664123</v>
      </c>
      <c r="F90" s="146">
        <v>0</v>
      </c>
      <c r="G90" s="146">
        <v>0</v>
      </c>
      <c r="H90" s="91">
        <v>664123</v>
      </c>
      <c r="I90" s="67">
        <v>0</v>
      </c>
      <c r="J90" s="739">
        <v>664123</v>
      </c>
      <c r="K90" s="837" t="s">
        <v>621</v>
      </c>
      <c r="L90" s="740">
        <v>0</v>
      </c>
      <c r="M90" s="741">
        <v>4909.99</v>
      </c>
      <c r="N90" s="67">
        <v>9907</v>
      </c>
      <c r="O90" s="67">
        <v>674030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674030</v>
      </c>
      <c r="V90" s="71">
        <v>137.27726533047928</v>
      </c>
      <c r="W90" s="449">
        <v>677266</v>
      </c>
      <c r="X90" s="67">
        <v>688226</v>
      </c>
      <c r="Y90" s="163">
        <v>-14196</v>
      </c>
      <c r="Z90" s="166">
        <v>-2.0626945218576456E-2</v>
      </c>
      <c r="AA90" s="34" t="s">
        <v>621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506</v>
      </c>
      <c r="C91" s="784" t="s">
        <v>1602</v>
      </c>
      <c r="D91" s="134">
        <v>346</v>
      </c>
      <c r="E91" s="67">
        <v>46800</v>
      </c>
      <c r="F91" s="146">
        <v>0</v>
      </c>
      <c r="G91" s="146">
        <v>0</v>
      </c>
      <c r="H91" s="91">
        <v>46800</v>
      </c>
      <c r="I91" s="67">
        <v>0</v>
      </c>
      <c r="J91" s="739">
        <v>46800</v>
      </c>
      <c r="K91" s="837" t="s">
        <v>644</v>
      </c>
      <c r="L91" s="740">
        <v>46800</v>
      </c>
      <c r="M91" s="741">
        <v>0</v>
      </c>
      <c r="N91" s="67">
        <v>0</v>
      </c>
      <c r="O91" s="67">
        <v>0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0</v>
      </c>
      <c r="V91" s="71">
        <v>0</v>
      </c>
      <c r="W91" s="449">
        <v>47678</v>
      </c>
      <c r="X91" s="67">
        <v>0</v>
      </c>
      <c r="Y91" s="163">
        <v>0</v>
      </c>
      <c r="Z91" s="166">
        <v>0</v>
      </c>
      <c r="AA91" s="34" t="s">
        <v>644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597</v>
      </c>
      <c r="B92" s="784" t="s">
        <v>369</v>
      </c>
      <c r="C92" s="784" t="s">
        <v>1534</v>
      </c>
      <c r="D92" s="134">
        <v>526</v>
      </c>
      <c r="E92" s="67">
        <v>71146</v>
      </c>
      <c r="F92" s="146">
        <v>0</v>
      </c>
      <c r="G92" s="146">
        <v>0</v>
      </c>
      <c r="H92" s="91">
        <v>71146</v>
      </c>
      <c r="I92" s="67">
        <v>0</v>
      </c>
      <c r="J92" s="739">
        <v>71146</v>
      </c>
      <c r="K92" s="837" t="s">
        <v>621</v>
      </c>
      <c r="L92" s="740">
        <v>0</v>
      </c>
      <c r="M92" s="741">
        <v>526</v>
      </c>
      <c r="N92" s="67">
        <v>1061</v>
      </c>
      <c r="O92" s="67">
        <v>72207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72207</v>
      </c>
      <c r="V92" s="71">
        <v>137.27566539923956</v>
      </c>
      <c r="W92" s="449">
        <v>72481</v>
      </c>
      <c r="X92" s="67">
        <v>69332</v>
      </c>
      <c r="Y92" s="163">
        <v>2875</v>
      </c>
      <c r="Z92" s="166">
        <v>4.1467143598915367E-2</v>
      </c>
      <c r="AA92" s="34" t="s">
        <v>621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596</v>
      </c>
      <c r="B93" s="784" t="s">
        <v>19</v>
      </c>
      <c r="C93" s="784" t="s">
        <v>1377</v>
      </c>
      <c r="D93" s="134">
        <v>184.17</v>
      </c>
      <c r="E93" s="67">
        <v>24911</v>
      </c>
      <c r="F93" s="146">
        <v>0</v>
      </c>
      <c r="G93" s="146">
        <v>0</v>
      </c>
      <c r="H93" s="91">
        <v>24911</v>
      </c>
      <c r="I93" s="67">
        <v>0</v>
      </c>
      <c r="J93" s="739">
        <v>24911</v>
      </c>
      <c r="K93" s="837" t="s">
        <v>621</v>
      </c>
      <c r="L93" s="740">
        <v>0</v>
      </c>
      <c r="M93" s="741">
        <v>184.17</v>
      </c>
      <c r="N93" s="67">
        <v>372</v>
      </c>
      <c r="O93" s="67">
        <v>25283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25283</v>
      </c>
      <c r="V93" s="71">
        <v>137.28077319867515</v>
      </c>
      <c r="W93" s="449">
        <v>25378</v>
      </c>
      <c r="X93" s="67">
        <v>21651</v>
      </c>
      <c r="Y93" s="163">
        <v>3632</v>
      </c>
      <c r="Z93" s="166">
        <v>0.167752066879128</v>
      </c>
      <c r="AA93" s="34" t="s">
        <v>621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597</v>
      </c>
      <c r="B94" s="784" t="s">
        <v>361</v>
      </c>
      <c r="C94" s="784" t="s">
        <v>630</v>
      </c>
      <c r="D94" s="134">
        <v>901.33</v>
      </c>
      <c r="E94" s="67">
        <v>121913</v>
      </c>
      <c r="F94" s="146">
        <v>0</v>
      </c>
      <c r="G94" s="146">
        <v>0</v>
      </c>
      <c r="H94" s="91">
        <v>121913</v>
      </c>
      <c r="I94" s="67">
        <v>0</v>
      </c>
      <c r="J94" s="739">
        <v>121913</v>
      </c>
      <c r="K94" s="837" t="s">
        <v>621</v>
      </c>
      <c r="L94" s="740">
        <v>0</v>
      </c>
      <c r="M94" s="741">
        <v>901.33</v>
      </c>
      <c r="N94" s="67">
        <v>1819</v>
      </c>
      <c r="O94" s="67">
        <v>123732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123732</v>
      </c>
      <c r="V94" s="71">
        <v>137.27713490064681</v>
      </c>
      <c r="W94" s="449">
        <v>124200</v>
      </c>
      <c r="X94" s="67">
        <v>112700</v>
      </c>
      <c r="Y94" s="163">
        <v>11032</v>
      </c>
      <c r="Z94" s="166">
        <v>9.7888198757763972E-2</v>
      </c>
      <c r="AA94" s="34" t="s">
        <v>621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603</v>
      </c>
      <c r="B95" s="784" t="s">
        <v>436</v>
      </c>
      <c r="C95" s="784" t="s">
        <v>1569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837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603</v>
      </c>
      <c r="B96" s="784" t="s">
        <v>529</v>
      </c>
      <c r="C96" s="784" t="s">
        <v>1613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837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599</v>
      </c>
      <c r="B97" s="784" t="s">
        <v>240</v>
      </c>
      <c r="C97" s="784" t="s">
        <v>1476</v>
      </c>
      <c r="D97" s="134">
        <v>0</v>
      </c>
      <c r="E97" s="67">
        <v>0</v>
      </c>
      <c r="F97" s="146">
        <v>0</v>
      </c>
      <c r="G97" s="146">
        <v>0</v>
      </c>
      <c r="H97" s="91">
        <v>0</v>
      </c>
      <c r="I97" s="67">
        <v>0</v>
      </c>
      <c r="J97" s="739">
        <v>0</v>
      </c>
      <c r="K97" s="837" t="s">
        <v>644</v>
      </c>
      <c r="L97" s="740">
        <v>0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605</v>
      </c>
      <c r="B98" s="784" t="s">
        <v>246</v>
      </c>
      <c r="C98" s="784" t="s">
        <v>1479</v>
      </c>
      <c r="D98" s="134">
        <v>52.5</v>
      </c>
      <c r="E98" s="67">
        <v>7101</v>
      </c>
      <c r="F98" s="146">
        <v>0</v>
      </c>
      <c r="G98" s="146">
        <v>0</v>
      </c>
      <c r="H98" s="91">
        <v>7101</v>
      </c>
      <c r="I98" s="67">
        <v>0</v>
      </c>
      <c r="J98" s="739">
        <v>7101</v>
      </c>
      <c r="K98" s="837" t="s">
        <v>1306</v>
      </c>
      <c r="L98" s="740">
        <v>0</v>
      </c>
      <c r="M98" s="741">
        <v>52.5</v>
      </c>
      <c r="N98" s="67">
        <v>106</v>
      </c>
      <c r="O98" s="67">
        <v>7207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7207</v>
      </c>
      <c r="V98" s="71">
        <v>137.27619047619046</v>
      </c>
      <c r="W98" s="449">
        <v>0</v>
      </c>
      <c r="X98" s="67">
        <v>4856</v>
      </c>
      <c r="Y98" s="163">
        <v>2351</v>
      </c>
      <c r="Z98" s="166">
        <v>0.48414332784184516</v>
      </c>
      <c r="AA98" s="34" t="s">
        <v>1306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601</v>
      </c>
      <c r="B99" s="784" t="s">
        <v>131</v>
      </c>
      <c r="C99" s="784" t="s">
        <v>1428</v>
      </c>
      <c r="D99" s="134">
        <v>119.33</v>
      </c>
      <c r="E99" s="67">
        <v>16141</v>
      </c>
      <c r="F99" s="146">
        <v>0</v>
      </c>
      <c r="G99" s="146">
        <v>0</v>
      </c>
      <c r="H99" s="91">
        <v>16141</v>
      </c>
      <c r="I99" s="67">
        <v>0</v>
      </c>
      <c r="J99" s="739">
        <v>16141</v>
      </c>
      <c r="K99" s="837" t="s">
        <v>621</v>
      </c>
      <c r="L99" s="740">
        <v>0</v>
      </c>
      <c r="M99" s="741">
        <v>119.33</v>
      </c>
      <c r="N99" s="67">
        <v>241</v>
      </c>
      <c r="O99" s="67">
        <v>16382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16382</v>
      </c>
      <c r="V99" s="71">
        <v>137.28316433419928</v>
      </c>
      <c r="W99" s="449">
        <v>16443</v>
      </c>
      <c r="X99" s="67">
        <v>16555</v>
      </c>
      <c r="Y99" s="163">
        <v>-173</v>
      </c>
      <c r="Z99" s="166">
        <v>-1.0450015101177892E-2</v>
      </c>
      <c r="AA99" s="34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605</v>
      </c>
      <c r="B100" s="784" t="s">
        <v>555</v>
      </c>
      <c r="C100" s="784" t="s">
        <v>1625</v>
      </c>
      <c r="D100" s="134">
        <v>1141.67</v>
      </c>
      <c r="E100" s="67">
        <v>154422</v>
      </c>
      <c r="F100" s="146">
        <v>0</v>
      </c>
      <c r="G100" s="146">
        <v>0</v>
      </c>
      <c r="H100" s="91">
        <v>154422</v>
      </c>
      <c r="I100" s="67">
        <v>0</v>
      </c>
      <c r="J100" s="739">
        <v>154422</v>
      </c>
      <c r="K100" s="837" t="s">
        <v>621</v>
      </c>
      <c r="L100" s="740">
        <v>0</v>
      </c>
      <c r="M100" s="741">
        <v>1141.67</v>
      </c>
      <c r="N100" s="67">
        <v>2304</v>
      </c>
      <c r="O100" s="67">
        <v>156726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156726</v>
      </c>
      <c r="V100" s="71">
        <v>137.27784736394929</v>
      </c>
      <c r="W100" s="449">
        <v>157318</v>
      </c>
      <c r="X100" s="67">
        <v>155416</v>
      </c>
      <c r="Y100" s="163">
        <v>1310</v>
      </c>
      <c r="Z100" s="166">
        <v>8.4289905801204507E-3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605</v>
      </c>
      <c r="B101" s="784" t="s">
        <v>563</v>
      </c>
      <c r="C101" s="784" t="s">
        <v>1628</v>
      </c>
      <c r="D101" s="134">
        <v>571.16999999999996</v>
      </c>
      <c r="E101" s="67">
        <v>77256</v>
      </c>
      <c r="F101" s="146">
        <v>0</v>
      </c>
      <c r="G101" s="146">
        <v>0</v>
      </c>
      <c r="H101" s="91">
        <v>77256</v>
      </c>
      <c r="I101" s="67">
        <v>0</v>
      </c>
      <c r="J101" s="739">
        <v>77256</v>
      </c>
      <c r="K101" s="837" t="s">
        <v>621</v>
      </c>
      <c r="L101" s="740">
        <v>0</v>
      </c>
      <c r="M101" s="741">
        <v>571.16999999999996</v>
      </c>
      <c r="N101" s="67">
        <v>1153</v>
      </c>
      <c r="O101" s="67">
        <v>78409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78409</v>
      </c>
      <c r="V101" s="71">
        <v>137.27786823537653</v>
      </c>
      <c r="W101" s="449">
        <v>78705</v>
      </c>
      <c r="X101" s="67">
        <v>80028</v>
      </c>
      <c r="Y101" s="163">
        <v>-1619</v>
      </c>
      <c r="Z101" s="166">
        <v>-2.0230419353226371E-2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595</v>
      </c>
      <c r="B102" s="784" t="s">
        <v>419</v>
      </c>
      <c r="C102" s="784" t="s">
        <v>1560</v>
      </c>
      <c r="D102" s="134">
        <v>63.33</v>
      </c>
      <c r="E102" s="67">
        <v>8566</v>
      </c>
      <c r="F102" s="146">
        <v>0</v>
      </c>
      <c r="G102" s="146">
        <v>0</v>
      </c>
      <c r="H102" s="91">
        <v>8566</v>
      </c>
      <c r="I102" s="67">
        <v>0</v>
      </c>
      <c r="J102" s="739">
        <v>8566</v>
      </c>
      <c r="K102" s="837" t="s">
        <v>644</v>
      </c>
      <c r="L102" s="740">
        <v>8566</v>
      </c>
      <c r="M102" s="741">
        <v>0</v>
      </c>
      <c r="N102" s="67">
        <v>0</v>
      </c>
      <c r="O102" s="67">
        <v>0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0</v>
      </c>
      <c r="V102" s="71">
        <v>0</v>
      </c>
      <c r="W102" s="449">
        <v>0</v>
      </c>
      <c r="X102" s="67">
        <v>0</v>
      </c>
      <c r="Y102" s="163">
        <v>0</v>
      </c>
      <c r="Z102" s="166">
        <v>0</v>
      </c>
      <c r="AA102" s="34" t="s">
        <v>644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594</v>
      </c>
      <c r="B103" s="784" t="s">
        <v>297</v>
      </c>
      <c r="C103" s="784" t="s">
        <v>1502</v>
      </c>
      <c r="D103" s="134">
        <v>0</v>
      </c>
      <c r="E103" s="67">
        <v>0</v>
      </c>
      <c r="F103" s="146">
        <v>0</v>
      </c>
      <c r="G103" s="146">
        <v>0</v>
      </c>
      <c r="H103" s="91">
        <v>0</v>
      </c>
      <c r="I103" s="67">
        <v>0</v>
      </c>
      <c r="J103" s="739">
        <v>0</v>
      </c>
      <c r="K103" s="837" t="s">
        <v>644</v>
      </c>
      <c r="L103" s="740">
        <v>0</v>
      </c>
      <c r="M103" s="741">
        <v>0</v>
      </c>
      <c r="N103" s="67">
        <v>0</v>
      </c>
      <c r="O103" s="67">
        <v>0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0</v>
      </c>
      <c r="V103" s="71">
        <v>0</v>
      </c>
      <c r="W103" s="449">
        <v>0</v>
      </c>
      <c r="X103" s="67">
        <v>0</v>
      </c>
      <c r="Y103" s="163">
        <v>0</v>
      </c>
      <c r="Z103" s="166">
        <v>0</v>
      </c>
      <c r="AA103" s="34" t="s">
        <v>644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603</v>
      </c>
      <c r="B104" s="784" t="s">
        <v>426</v>
      </c>
      <c r="C104" s="784" t="s">
        <v>1564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739">
        <v>0</v>
      </c>
      <c r="K104" s="837" t="s">
        <v>644</v>
      </c>
      <c r="L104" s="740">
        <v>0</v>
      </c>
      <c r="M104" s="741">
        <v>0</v>
      </c>
      <c r="N104" s="67">
        <v>0</v>
      </c>
      <c r="O104" s="67">
        <v>0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0</v>
      </c>
      <c r="V104" s="71">
        <v>0</v>
      </c>
      <c r="W104" s="449">
        <v>0</v>
      </c>
      <c r="X104" s="67">
        <v>0</v>
      </c>
      <c r="Y104" s="163">
        <v>0</v>
      </c>
      <c r="Z104" s="166">
        <v>0</v>
      </c>
      <c r="AA104" s="34" t="s">
        <v>644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599</v>
      </c>
      <c r="B105" s="784" t="s">
        <v>54</v>
      </c>
      <c r="C105" s="784" t="s">
        <v>1393</v>
      </c>
      <c r="D105" s="134">
        <v>1</v>
      </c>
      <c r="E105" s="67">
        <v>135</v>
      </c>
      <c r="F105" s="146">
        <v>0</v>
      </c>
      <c r="G105" s="146">
        <v>0</v>
      </c>
      <c r="H105" s="91">
        <v>135</v>
      </c>
      <c r="I105" s="67">
        <v>0</v>
      </c>
      <c r="J105" s="739">
        <v>135</v>
      </c>
      <c r="K105" s="837" t="s">
        <v>644</v>
      </c>
      <c r="L105" s="740">
        <v>135</v>
      </c>
      <c r="M105" s="741">
        <v>0</v>
      </c>
      <c r="N105" s="67">
        <v>0</v>
      </c>
      <c r="O105" s="67">
        <v>0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0</v>
      </c>
      <c r="V105" s="71">
        <v>0</v>
      </c>
      <c r="W105" s="449">
        <v>0</v>
      </c>
      <c r="X105" s="67">
        <v>0</v>
      </c>
      <c r="Y105" s="163">
        <v>0</v>
      </c>
      <c r="Z105" s="166">
        <v>0</v>
      </c>
      <c r="AA105" s="34" t="s">
        <v>644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594</v>
      </c>
      <c r="B106" s="784" t="s">
        <v>482</v>
      </c>
      <c r="C106" s="784" t="s">
        <v>1592</v>
      </c>
      <c r="D106" s="134">
        <v>1</v>
      </c>
      <c r="E106" s="67">
        <v>135</v>
      </c>
      <c r="F106" s="146">
        <v>0</v>
      </c>
      <c r="G106" s="146">
        <v>0</v>
      </c>
      <c r="H106" s="91">
        <v>135</v>
      </c>
      <c r="I106" s="67">
        <v>0</v>
      </c>
      <c r="J106" s="739">
        <v>135</v>
      </c>
      <c r="K106" s="837" t="s">
        <v>644</v>
      </c>
      <c r="L106" s="740">
        <v>135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603</v>
      </c>
      <c r="B107" s="784" t="s">
        <v>291</v>
      </c>
      <c r="C107" s="784" t="s">
        <v>1499</v>
      </c>
      <c r="D107" s="134">
        <v>0</v>
      </c>
      <c r="E107" s="67">
        <v>0</v>
      </c>
      <c r="F107" s="146">
        <v>0</v>
      </c>
      <c r="G107" s="146">
        <v>0</v>
      </c>
      <c r="H107" s="91">
        <v>0</v>
      </c>
      <c r="I107" s="67">
        <v>0</v>
      </c>
      <c r="J107" s="739">
        <v>0</v>
      </c>
      <c r="K107" s="837" t="s">
        <v>644</v>
      </c>
      <c r="L107" s="740">
        <v>0</v>
      </c>
      <c r="M107" s="741">
        <v>0</v>
      </c>
      <c r="N107" s="67">
        <v>0</v>
      </c>
      <c r="O107" s="67">
        <v>0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0</v>
      </c>
      <c r="V107" s="71">
        <v>0</v>
      </c>
      <c r="W107" s="449">
        <v>0</v>
      </c>
      <c r="X107" s="67">
        <v>0</v>
      </c>
      <c r="Y107" s="163">
        <v>0</v>
      </c>
      <c r="Z107" s="166">
        <v>0</v>
      </c>
      <c r="AA107" s="34" t="s">
        <v>644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605</v>
      </c>
      <c r="B108" s="784" t="s">
        <v>561</v>
      </c>
      <c r="C108" s="784" t="s">
        <v>1627</v>
      </c>
      <c r="D108" s="134">
        <v>291.67</v>
      </c>
      <c r="E108" s="67">
        <v>39451</v>
      </c>
      <c r="F108" s="146">
        <v>0</v>
      </c>
      <c r="G108" s="146">
        <v>0</v>
      </c>
      <c r="H108" s="91">
        <v>39451</v>
      </c>
      <c r="I108" s="67">
        <v>0</v>
      </c>
      <c r="J108" s="739">
        <v>39451</v>
      </c>
      <c r="K108" s="837" t="s">
        <v>621</v>
      </c>
      <c r="L108" s="740">
        <v>0</v>
      </c>
      <c r="M108" s="741">
        <v>291.67</v>
      </c>
      <c r="N108" s="67">
        <v>589</v>
      </c>
      <c r="O108" s="67">
        <v>40040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40040</v>
      </c>
      <c r="V108" s="71">
        <v>137.27843110364452</v>
      </c>
      <c r="W108" s="449">
        <v>40191</v>
      </c>
      <c r="X108" s="67">
        <v>44043</v>
      </c>
      <c r="Y108" s="163">
        <v>-4003</v>
      </c>
      <c r="Z108" s="166">
        <v>-9.0888449923937964E-2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181</v>
      </c>
      <c r="C109" s="784" t="s">
        <v>1452</v>
      </c>
      <c r="D109" s="134">
        <v>6212.83</v>
      </c>
      <c r="E109" s="67">
        <v>840344</v>
      </c>
      <c r="F109" s="146">
        <v>0</v>
      </c>
      <c r="G109" s="146">
        <v>0</v>
      </c>
      <c r="H109" s="91">
        <v>840344</v>
      </c>
      <c r="I109" s="67">
        <v>0</v>
      </c>
      <c r="J109" s="739">
        <v>840344</v>
      </c>
      <c r="K109" s="837" t="s">
        <v>621</v>
      </c>
      <c r="L109" s="740">
        <v>0</v>
      </c>
      <c r="M109" s="741">
        <v>6212.83</v>
      </c>
      <c r="N109" s="67">
        <v>12536</v>
      </c>
      <c r="O109" s="67">
        <v>852880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852880</v>
      </c>
      <c r="V109" s="71">
        <v>137.27721505336538</v>
      </c>
      <c r="W109" s="449">
        <v>856104</v>
      </c>
      <c r="X109" s="67">
        <v>747213</v>
      </c>
      <c r="Y109" s="163">
        <v>105667</v>
      </c>
      <c r="Z109" s="166">
        <v>0.14141483084475243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599</v>
      </c>
      <c r="B110" s="784" t="s">
        <v>51</v>
      </c>
      <c r="C110" s="784" t="s">
        <v>1391</v>
      </c>
      <c r="D110" s="134">
        <v>72.83</v>
      </c>
      <c r="E110" s="67">
        <v>9851</v>
      </c>
      <c r="F110" s="146">
        <v>0</v>
      </c>
      <c r="G110" s="146">
        <v>0</v>
      </c>
      <c r="H110" s="91">
        <v>9851</v>
      </c>
      <c r="I110" s="67">
        <v>0</v>
      </c>
      <c r="J110" s="739">
        <v>9851</v>
      </c>
      <c r="K110" s="837" t="s">
        <v>1306</v>
      </c>
      <c r="L110" s="740">
        <v>0</v>
      </c>
      <c r="M110" s="741">
        <v>72.83</v>
      </c>
      <c r="N110" s="67">
        <v>147</v>
      </c>
      <c r="O110" s="67">
        <v>9998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9998</v>
      </c>
      <c r="V110" s="71">
        <v>137.27859398599477</v>
      </c>
      <c r="W110" s="449">
        <v>0</v>
      </c>
      <c r="X110" s="67">
        <v>0</v>
      </c>
      <c r="Y110" s="163">
        <v>9998</v>
      </c>
      <c r="Z110" s="166">
        <v>0</v>
      </c>
      <c r="AA110" s="34" t="s">
        <v>1306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594</v>
      </c>
      <c r="B111" s="784" t="s">
        <v>307</v>
      </c>
      <c r="C111" s="784" t="s">
        <v>1507</v>
      </c>
      <c r="D111" s="134">
        <v>9.5</v>
      </c>
      <c r="E111" s="67">
        <v>1285</v>
      </c>
      <c r="F111" s="146">
        <v>0</v>
      </c>
      <c r="G111" s="146">
        <v>0</v>
      </c>
      <c r="H111" s="91">
        <v>1285</v>
      </c>
      <c r="I111" s="67">
        <v>0</v>
      </c>
      <c r="J111" s="739">
        <v>1285</v>
      </c>
      <c r="K111" s="837" t="s">
        <v>644</v>
      </c>
      <c r="L111" s="740">
        <v>1285</v>
      </c>
      <c r="M111" s="741">
        <v>0</v>
      </c>
      <c r="N111" s="67">
        <v>0</v>
      </c>
      <c r="O111" s="67">
        <v>0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0</v>
      </c>
      <c r="V111" s="71">
        <v>0</v>
      </c>
      <c r="W111" s="449">
        <v>0</v>
      </c>
      <c r="X111" s="67">
        <v>0</v>
      </c>
      <c r="Y111" s="163">
        <v>0</v>
      </c>
      <c r="Z111" s="166">
        <v>0</v>
      </c>
      <c r="AA111" s="34" t="s">
        <v>644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594</v>
      </c>
      <c r="B112" s="784" t="s">
        <v>134</v>
      </c>
      <c r="C112" s="784" t="s">
        <v>748</v>
      </c>
      <c r="D112" s="134">
        <v>89.84</v>
      </c>
      <c r="E112" s="67">
        <v>12152</v>
      </c>
      <c r="F112" s="146">
        <v>0</v>
      </c>
      <c r="G112" s="146">
        <v>0</v>
      </c>
      <c r="H112" s="91">
        <v>12152</v>
      </c>
      <c r="I112" s="67">
        <v>0</v>
      </c>
      <c r="J112" s="739">
        <v>12152</v>
      </c>
      <c r="K112" s="837" t="s">
        <v>621</v>
      </c>
      <c r="L112" s="740">
        <v>0</v>
      </c>
      <c r="M112" s="741">
        <v>89.84</v>
      </c>
      <c r="N112" s="67">
        <v>181</v>
      </c>
      <c r="O112" s="67">
        <v>12333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12333</v>
      </c>
      <c r="V112" s="71">
        <v>137.2773820124666</v>
      </c>
      <c r="W112" s="449">
        <v>12379</v>
      </c>
      <c r="X112" s="67">
        <v>11501</v>
      </c>
      <c r="Y112" s="163">
        <v>832</v>
      </c>
      <c r="Z112" s="166">
        <v>7.2341535518650552E-2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1666</v>
      </c>
      <c r="B113" s="786" t="s">
        <v>1777</v>
      </c>
      <c r="C113" s="784" t="s">
        <v>1782</v>
      </c>
      <c r="D113" s="134">
        <v>158.16999999999999</v>
      </c>
      <c r="E113" s="67">
        <v>21394</v>
      </c>
      <c r="F113" s="146">
        <v>0</v>
      </c>
      <c r="G113" s="146">
        <v>0</v>
      </c>
      <c r="H113" s="91">
        <v>21394</v>
      </c>
      <c r="I113" s="67">
        <v>0</v>
      </c>
      <c r="J113" s="739">
        <v>21394</v>
      </c>
      <c r="K113" s="837" t="s">
        <v>1306</v>
      </c>
      <c r="L113" s="740">
        <v>0</v>
      </c>
      <c r="M113" s="741">
        <v>158.16999999999999</v>
      </c>
      <c r="N113" s="67">
        <v>319</v>
      </c>
      <c r="O113" s="67">
        <v>21713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21713</v>
      </c>
      <c r="V113" s="71">
        <v>137.27634823291396</v>
      </c>
      <c r="W113" s="449">
        <v>21795</v>
      </c>
      <c r="X113" s="67">
        <v>0</v>
      </c>
      <c r="Y113" s="163">
        <v>21713</v>
      </c>
      <c r="Z113" s="166">
        <v>0</v>
      </c>
      <c r="AA113" s="34" t="s">
        <v>1306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1666</v>
      </c>
      <c r="B114" s="784" t="s">
        <v>1715</v>
      </c>
      <c r="C114" s="784" t="s">
        <v>1783</v>
      </c>
      <c r="D114" s="134">
        <v>0</v>
      </c>
      <c r="E114" s="67">
        <v>0</v>
      </c>
      <c r="F114" s="146">
        <v>0</v>
      </c>
      <c r="G114" s="146">
        <v>0</v>
      </c>
      <c r="H114" s="91">
        <v>0</v>
      </c>
      <c r="I114" s="67">
        <v>0</v>
      </c>
      <c r="J114" s="739">
        <v>0</v>
      </c>
      <c r="K114" s="837" t="s">
        <v>1306</v>
      </c>
      <c r="L114" s="740">
        <v>0</v>
      </c>
      <c r="M114" s="741">
        <v>0</v>
      </c>
      <c r="N114" s="67">
        <v>0</v>
      </c>
      <c r="O114" s="67">
        <v>0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0</v>
      </c>
      <c r="V114" s="71">
        <v>0</v>
      </c>
      <c r="W114" s="449">
        <v>0</v>
      </c>
      <c r="X114" s="67">
        <v>11152</v>
      </c>
      <c r="Y114" s="163">
        <v>-11152</v>
      </c>
      <c r="Z114" s="166">
        <v>-1</v>
      </c>
      <c r="AA114" s="34" t="s">
        <v>1306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1666</v>
      </c>
      <c r="B115" s="784" t="s">
        <v>1755</v>
      </c>
      <c r="C115" s="784" t="s">
        <v>1784</v>
      </c>
      <c r="D115" s="134">
        <v>51.67</v>
      </c>
      <c r="E115" s="67">
        <v>6989</v>
      </c>
      <c r="F115" s="146">
        <v>0</v>
      </c>
      <c r="G115" s="146">
        <v>0</v>
      </c>
      <c r="H115" s="91">
        <v>6989</v>
      </c>
      <c r="I115" s="67">
        <v>0</v>
      </c>
      <c r="J115" s="739">
        <v>6989</v>
      </c>
      <c r="K115" s="837" t="s">
        <v>1306</v>
      </c>
      <c r="L115" s="740">
        <v>0</v>
      </c>
      <c r="M115" s="741">
        <v>51.67</v>
      </c>
      <c r="N115" s="67">
        <v>104</v>
      </c>
      <c r="O115" s="67">
        <v>7093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7093</v>
      </c>
      <c r="V115" s="71">
        <v>137.27501451519257</v>
      </c>
      <c r="W115" s="449">
        <v>0</v>
      </c>
      <c r="X115" s="67">
        <v>0</v>
      </c>
      <c r="Y115" s="163">
        <v>7093</v>
      </c>
      <c r="Z115" s="166">
        <v>0</v>
      </c>
      <c r="AA115" s="34" t="s">
        <v>1306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603</v>
      </c>
      <c r="B116" s="784" t="s">
        <v>100</v>
      </c>
      <c r="C116" s="784" t="s">
        <v>1414</v>
      </c>
      <c r="D116" s="134">
        <v>99.83</v>
      </c>
      <c r="E116" s="67">
        <v>13503</v>
      </c>
      <c r="F116" s="146">
        <v>0</v>
      </c>
      <c r="G116" s="146">
        <v>0</v>
      </c>
      <c r="H116" s="91">
        <v>13503</v>
      </c>
      <c r="I116" s="67">
        <v>0</v>
      </c>
      <c r="J116" s="739">
        <v>13503</v>
      </c>
      <c r="K116" s="837" t="s">
        <v>621</v>
      </c>
      <c r="L116" s="740">
        <v>0</v>
      </c>
      <c r="M116" s="741">
        <v>99.83</v>
      </c>
      <c r="N116" s="67">
        <v>201</v>
      </c>
      <c r="O116" s="67">
        <v>13704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13704</v>
      </c>
      <c r="V116" s="71">
        <v>137.27336472002403</v>
      </c>
      <c r="W116" s="449">
        <v>13756</v>
      </c>
      <c r="X116" s="67">
        <v>13505</v>
      </c>
      <c r="Y116" s="163">
        <v>199</v>
      </c>
      <c r="Z116" s="166">
        <v>1.4735283228433914E-2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595</v>
      </c>
      <c r="B117" s="784" t="s">
        <v>407</v>
      </c>
      <c r="C117" s="784" t="s">
        <v>1554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837" t="s">
        <v>644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0</v>
      </c>
      <c r="V117" s="71">
        <v>0</v>
      </c>
      <c r="W117" s="449">
        <v>0</v>
      </c>
      <c r="X117" s="67">
        <v>0</v>
      </c>
      <c r="Y117" s="163">
        <v>0</v>
      </c>
      <c r="Z117" s="166">
        <v>0</v>
      </c>
      <c r="AA117" s="34" t="s">
        <v>644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201</v>
      </c>
      <c r="C118" s="784" t="s">
        <v>1458</v>
      </c>
      <c r="D118" s="134">
        <v>1438.6699999999998</v>
      </c>
      <c r="E118" s="67">
        <v>194594</v>
      </c>
      <c r="F118" s="146">
        <v>0</v>
      </c>
      <c r="G118" s="146">
        <v>0</v>
      </c>
      <c r="H118" s="91">
        <v>194594</v>
      </c>
      <c r="I118" s="67">
        <v>0</v>
      </c>
      <c r="J118" s="739">
        <v>194594</v>
      </c>
      <c r="K118" s="837" t="s">
        <v>621</v>
      </c>
      <c r="L118" s="740">
        <v>0</v>
      </c>
      <c r="M118" s="741">
        <v>1438.6699999999998</v>
      </c>
      <c r="N118" s="67">
        <v>2903</v>
      </c>
      <c r="O118" s="67">
        <v>197497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197497</v>
      </c>
      <c r="V118" s="71">
        <v>137.27748545531639</v>
      </c>
      <c r="W118" s="449">
        <v>198243</v>
      </c>
      <c r="X118" s="67">
        <v>174887</v>
      </c>
      <c r="Y118" s="163">
        <v>22610</v>
      </c>
      <c r="Z118" s="166">
        <v>0.12928348019006558</v>
      </c>
      <c r="AA118" s="34" t="s">
        <v>621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596</v>
      </c>
      <c r="B119" s="784" t="s">
        <v>110</v>
      </c>
      <c r="C119" s="784" t="s">
        <v>1419</v>
      </c>
      <c r="D119" s="134">
        <v>0</v>
      </c>
      <c r="E119" s="67">
        <v>0</v>
      </c>
      <c r="F119" s="146">
        <v>0</v>
      </c>
      <c r="G119" s="146">
        <v>0</v>
      </c>
      <c r="H119" s="91">
        <v>0</v>
      </c>
      <c r="I119" s="67">
        <v>0</v>
      </c>
      <c r="J119" s="739">
        <v>0</v>
      </c>
      <c r="K119" s="837" t="s">
        <v>644</v>
      </c>
      <c r="L119" s="740">
        <v>0</v>
      </c>
      <c r="M119" s="741">
        <v>0</v>
      </c>
      <c r="N119" s="67">
        <v>0</v>
      </c>
      <c r="O119" s="67">
        <v>0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0</v>
      </c>
      <c r="V119" s="71">
        <v>0</v>
      </c>
      <c r="W119" s="449">
        <v>0</v>
      </c>
      <c r="X119" s="67">
        <v>0</v>
      </c>
      <c r="Y119" s="163">
        <v>0</v>
      </c>
      <c r="Z119" s="166">
        <v>0</v>
      </c>
      <c r="AA119" s="34" t="s">
        <v>644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599</v>
      </c>
      <c r="B120" s="784" t="s">
        <v>76</v>
      </c>
      <c r="C120" s="784" t="s">
        <v>1402</v>
      </c>
      <c r="D120" s="134">
        <v>20.83</v>
      </c>
      <c r="E120" s="67">
        <v>2817</v>
      </c>
      <c r="F120" s="146">
        <v>0</v>
      </c>
      <c r="G120" s="146">
        <v>0</v>
      </c>
      <c r="H120" s="91">
        <v>2817</v>
      </c>
      <c r="I120" s="67">
        <v>0</v>
      </c>
      <c r="J120" s="739">
        <v>2817</v>
      </c>
      <c r="K120" s="837" t="s">
        <v>644</v>
      </c>
      <c r="L120" s="740">
        <v>2817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603</v>
      </c>
      <c r="B121" s="784" t="s">
        <v>94</v>
      </c>
      <c r="C121" s="784" t="s">
        <v>1411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837" t="s">
        <v>644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0</v>
      </c>
      <c r="V121" s="71">
        <v>0</v>
      </c>
      <c r="W121" s="449">
        <v>0</v>
      </c>
      <c r="X121" s="67">
        <v>0</v>
      </c>
      <c r="Y121" s="163">
        <v>0</v>
      </c>
      <c r="Z121" s="166">
        <v>0</v>
      </c>
      <c r="AA121" s="34" t="s">
        <v>644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599</v>
      </c>
      <c r="B122" s="784" t="s">
        <v>80</v>
      </c>
      <c r="C122" s="784" t="s">
        <v>1404</v>
      </c>
      <c r="D122" s="134">
        <v>304.5</v>
      </c>
      <c r="E122" s="67">
        <v>41187</v>
      </c>
      <c r="F122" s="146">
        <v>0</v>
      </c>
      <c r="G122" s="146">
        <v>0</v>
      </c>
      <c r="H122" s="91">
        <v>41187</v>
      </c>
      <c r="I122" s="67">
        <v>0</v>
      </c>
      <c r="J122" s="739">
        <v>41187</v>
      </c>
      <c r="K122" s="837" t="s">
        <v>621</v>
      </c>
      <c r="L122" s="740">
        <v>0</v>
      </c>
      <c r="M122" s="741">
        <v>304.5</v>
      </c>
      <c r="N122" s="67">
        <v>614</v>
      </c>
      <c r="O122" s="67">
        <v>41801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41801</v>
      </c>
      <c r="V122" s="71">
        <v>137.27750410509032</v>
      </c>
      <c r="W122" s="449">
        <v>41959</v>
      </c>
      <c r="X122" s="67">
        <v>41777</v>
      </c>
      <c r="Y122" s="163">
        <v>24</v>
      </c>
      <c r="Z122" s="166">
        <v>5.7447878019005678E-4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596</v>
      </c>
      <c r="B123" s="784" t="s">
        <v>14</v>
      </c>
      <c r="C123" s="784" t="s">
        <v>636</v>
      </c>
      <c r="D123" s="134">
        <v>2678.5</v>
      </c>
      <c r="E123" s="67">
        <v>362292</v>
      </c>
      <c r="F123" s="146">
        <v>0</v>
      </c>
      <c r="G123" s="146">
        <v>0</v>
      </c>
      <c r="H123" s="91">
        <v>362292</v>
      </c>
      <c r="I123" s="67">
        <v>0</v>
      </c>
      <c r="J123" s="739">
        <v>362292</v>
      </c>
      <c r="K123" s="837" t="s">
        <v>621</v>
      </c>
      <c r="L123" s="740">
        <v>0</v>
      </c>
      <c r="M123" s="741">
        <v>2678.5</v>
      </c>
      <c r="N123" s="67">
        <v>5405</v>
      </c>
      <c r="O123" s="67">
        <v>367697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367697</v>
      </c>
      <c r="V123" s="71">
        <v>137.27720739219711</v>
      </c>
      <c r="W123" s="449">
        <v>367020</v>
      </c>
      <c r="X123" s="67">
        <v>359949</v>
      </c>
      <c r="Y123" s="163">
        <v>7748</v>
      </c>
      <c r="Z123" s="166">
        <v>2.1525271635703946E-2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597</v>
      </c>
      <c r="B124" s="784" t="s">
        <v>207</v>
      </c>
      <c r="C124" s="784" t="s">
        <v>1460</v>
      </c>
      <c r="D124" s="134">
        <v>5713.33</v>
      </c>
      <c r="E124" s="67">
        <v>772782</v>
      </c>
      <c r="F124" s="146">
        <v>0</v>
      </c>
      <c r="G124" s="146">
        <v>0</v>
      </c>
      <c r="H124" s="91">
        <v>772782</v>
      </c>
      <c r="I124" s="67">
        <v>0</v>
      </c>
      <c r="J124" s="739">
        <v>772782</v>
      </c>
      <c r="K124" s="837" t="s">
        <v>621</v>
      </c>
      <c r="L124" s="740">
        <v>0</v>
      </c>
      <c r="M124" s="741">
        <v>5713.33</v>
      </c>
      <c r="N124" s="67">
        <v>11528</v>
      </c>
      <c r="O124" s="67">
        <v>784310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784310</v>
      </c>
      <c r="V124" s="71">
        <v>137.27720961330783</v>
      </c>
      <c r="W124" s="449">
        <v>787274</v>
      </c>
      <c r="X124" s="67">
        <v>766948</v>
      </c>
      <c r="Y124" s="163">
        <v>17362</v>
      </c>
      <c r="Z124" s="166">
        <v>2.2637779875558709E-2</v>
      </c>
      <c r="AA124" s="34" t="s">
        <v>621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603</v>
      </c>
      <c r="B125" s="784" t="s">
        <v>470</v>
      </c>
      <c r="C125" s="784" t="s">
        <v>1587</v>
      </c>
      <c r="D125" s="134">
        <v>3</v>
      </c>
      <c r="E125" s="67">
        <v>406</v>
      </c>
      <c r="F125" s="146">
        <v>0</v>
      </c>
      <c r="G125" s="146">
        <v>0</v>
      </c>
      <c r="H125" s="91">
        <v>406</v>
      </c>
      <c r="I125" s="67">
        <v>0</v>
      </c>
      <c r="J125" s="739">
        <v>406</v>
      </c>
      <c r="K125" s="837" t="s">
        <v>644</v>
      </c>
      <c r="L125" s="740">
        <v>406</v>
      </c>
      <c r="M125" s="741">
        <v>0</v>
      </c>
      <c r="N125" s="67">
        <v>0</v>
      </c>
      <c r="O125" s="67">
        <v>0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0</v>
      </c>
      <c r="V125" s="71">
        <v>0</v>
      </c>
      <c r="W125" s="449">
        <v>0</v>
      </c>
      <c r="X125" s="67">
        <v>0</v>
      </c>
      <c r="Y125" s="163">
        <v>0</v>
      </c>
      <c r="Z125" s="166">
        <v>0</v>
      </c>
      <c r="AA125" s="34" t="s">
        <v>644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596</v>
      </c>
      <c r="B126" s="784" t="s">
        <v>18</v>
      </c>
      <c r="C126" s="784" t="s">
        <v>1376</v>
      </c>
      <c r="D126" s="134">
        <v>327.33999999999997</v>
      </c>
      <c r="E126" s="67">
        <v>44276</v>
      </c>
      <c r="F126" s="146">
        <v>0</v>
      </c>
      <c r="G126" s="146">
        <v>0</v>
      </c>
      <c r="H126" s="91">
        <v>44276</v>
      </c>
      <c r="I126" s="67">
        <v>0</v>
      </c>
      <c r="J126" s="739">
        <v>44276</v>
      </c>
      <c r="K126" s="837" t="s">
        <v>621</v>
      </c>
      <c r="L126" s="740">
        <v>0</v>
      </c>
      <c r="M126" s="741">
        <v>327.33999999999997</v>
      </c>
      <c r="N126" s="67">
        <v>661</v>
      </c>
      <c r="O126" s="67">
        <v>44937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44937</v>
      </c>
      <c r="V126" s="71">
        <v>137.2792814810289</v>
      </c>
      <c r="W126" s="449">
        <v>45107</v>
      </c>
      <c r="X126" s="67">
        <v>45263</v>
      </c>
      <c r="Y126" s="163">
        <v>-326</v>
      </c>
      <c r="Z126" s="166">
        <v>-7.2023507058745556E-3</v>
      </c>
      <c r="AA126" s="34" t="s">
        <v>621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228</v>
      </c>
      <c r="C127" s="784" t="s">
        <v>1470</v>
      </c>
      <c r="D127" s="134">
        <v>44</v>
      </c>
      <c r="E127" s="67">
        <v>5951</v>
      </c>
      <c r="F127" s="146">
        <v>0</v>
      </c>
      <c r="G127" s="146">
        <v>0</v>
      </c>
      <c r="H127" s="91">
        <v>5951</v>
      </c>
      <c r="I127" s="67">
        <v>0</v>
      </c>
      <c r="J127" s="739">
        <v>5951</v>
      </c>
      <c r="K127" s="837" t="s">
        <v>1306</v>
      </c>
      <c r="L127" s="740">
        <v>0</v>
      </c>
      <c r="M127" s="741">
        <v>44</v>
      </c>
      <c r="N127" s="67">
        <v>89</v>
      </c>
      <c r="O127" s="67">
        <v>6040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6040</v>
      </c>
      <c r="V127" s="71">
        <v>137.27272727272728</v>
      </c>
      <c r="W127" s="449">
        <v>0</v>
      </c>
      <c r="X127" s="67">
        <v>7296</v>
      </c>
      <c r="Y127" s="163">
        <v>-1256</v>
      </c>
      <c r="Z127" s="166">
        <v>-0.17214912280701755</v>
      </c>
      <c r="AA127" s="34" t="s">
        <v>1306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599</v>
      </c>
      <c r="B128" s="784" t="s">
        <v>242</v>
      </c>
      <c r="C128" s="784" t="s">
        <v>1477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837" t="s">
        <v>644</v>
      </c>
      <c r="L128" s="740">
        <v>0</v>
      </c>
      <c r="M128" s="741">
        <v>0</v>
      </c>
      <c r="N128" s="67">
        <v>0</v>
      </c>
      <c r="O128" s="67">
        <v>0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0</v>
      </c>
      <c r="V128" s="71">
        <v>0</v>
      </c>
      <c r="W128" s="449">
        <v>0</v>
      </c>
      <c r="X128" s="67">
        <v>0</v>
      </c>
      <c r="Y128" s="163">
        <v>0</v>
      </c>
      <c r="Z128" s="166">
        <v>0</v>
      </c>
      <c r="AA128" s="34" t="s">
        <v>644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595</v>
      </c>
      <c r="B129" s="784" t="s">
        <v>382</v>
      </c>
      <c r="C129" s="784" t="s">
        <v>1542</v>
      </c>
      <c r="D129" s="134">
        <v>159.67000000000002</v>
      </c>
      <c r="E129" s="67">
        <v>21597</v>
      </c>
      <c r="F129" s="146">
        <v>0</v>
      </c>
      <c r="G129" s="146">
        <v>0</v>
      </c>
      <c r="H129" s="91">
        <v>21597</v>
      </c>
      <c r="I129" s="67">
        <v>0</v>
      </c>
      <c r="J129" s="739">
        <v>21597</v>
      </c>
      <c r="K129" s="837" t="s">
        <v>621</v>
      </c>
      <c r="L129" s="740">
        <v>0</v>
      </c>
      <c r="M129" s="741">
        <v>159.67000000000002</v>
      </c>
      <c r="N129" s="67">
        <v>322</v>
      </c>
      <c r="O129" s="67">
        <v>21919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21919</v>
      </c>
      <c r="V129" s="71">
        <v>137.27688357236801</v>
      </c>
      <c r="W129" s="449">
        <v>22002</v>
      </c>
      <c r="X129" s="67">
        <v>20759</v>
      </c>
      <c r="Y129" s="163">
        <v>1160</v>
      </c>
      <c r="Z129" s="166">
        <v>5.5879377619345826E-2</v>
      </c>
      <c r="AA129" s="34" t="s">
        <v>621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53</v>
      </c>
      <c r="C130" s="784" t="s">
        <v>1392</v>
      </c>
      <c r="D130" s="134">
        <v>38</v>
      </c>
      <c r="E130" s="67">
        <v>5140</v>
      </c>
      <c r="F130" s="146">
        <v>0</v>
      </c>
      <c r="G130" s="146">
        <v>0</v>
      </c>
      <c r="H130" s="91">
        <v>5140</v>
      </c>
      <c r="I130" s="67">
        <v>0</v>
      </c>
      <c r="J130" s="739">
        <v>5140</v>
      </c>
      <c r="K130" s="837" t="s">
        <v>644</v>
      </c>
      <c r="L130" s="740">
        <v>5140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603</v>
      </c>
      <c r="B131" s="784" t="s">
        <v>518</v>
      </c>
      <c r="C131" s="784" t="s">
        <v>1607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837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601</v>
      </c>
      <c r="B132" s="784" t="s">
        <v>31</v>
      </c>
      <c r="C132" s="784" t="s">
        <v>624</v>
      </c>
      <c r="D132" s="134">
        <v>361.34</v>
      </c>
      <c r="E132" s="67">
        <v>48875</v>
      </c>
      <c r="F132" s="146">
        <v>0</v>
      </c>
      <c r="G132" s="146">
        <v>0</v>
      </c>
      <c r="H132" s="91">
        <v>48875</v>
      </c>
      <c r="I132" s="67">
        <v>0</v>
      </c>
      <c r="J132" s="739">
        <v>48875</v>
      </c>
      <c r="K132" s="837" t="s">
        <v>621</v>
      </c>
      <c r="L132" s="740">
        <v>0</v>
      </c>
      <c r="M132" s="741">
        <v>361.34</v>
      </c>
      <c r="N132" s="67">
        <v>729</v>
      </c>
      <c r="O132" s="67">
        <v>49604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49604</v>
      </c>
      <c r="V132" s="71">
        <v>137.2779100016605</v>
      </c>
      <c r="W132" s="449">
        <v>49792</v>
      </c>
      <c r="X132" s="67">
        <v>49794</v>
      </c>
      <c r="Y132" s="163">
        <v>-190</v>
      </c>
      <c r="Z132" s="166">
        <v>-3.8157207695706311E-3</v>
      </c>
      <c r="AA132" s="34" t="s">
        <v>621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595</v>
      </c>
      <c r="B133" s="784" t="s">
        <v>397</v>
      </c>
      <c r="C133" s="784" t="s">
        <v>1549</v>
      </c>
      <c r="D133" s="134">
        <v>498</v>
      </c>
      <c r="E133" s="67">
        <v>67359</v>
      </c>
      <c r="F133" s="146">
        <v>0</v>
      </c>
      <c r="G133" s="146">
        <v>0</v>
      </c>
      <c r="H133" s="91">
        <v>67359</v>
      </c>
      <c r="I133" s="67">
        <v>0</v>
      </c>
      <c r="J133" s="739">
        <v>67359</v>
      </c>
      <c r="K133" s="837" t="s">
        <v>621</v>
      </c>
      <c r="L133" s="740">
        <v>0</v>
      </c>
      <c r="M133" s="741">
        <v>498</v>
      </c>
      <c r="N133" s="67">
        <v>1005</v>
      </c>
      <c r="O133" s="67">
        <v>68364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68364</v>
      </c>
      <c r="V133" s="71">
        <v>137.27710843373495</v>
      </c>
      <c r="W133" s="449">
        <v>68623</v>
      </c>
      <c r="X133" s="67">
        <v>57700</v>
      </c>
      <c r="Y133" s="163">
        <v>10664</v>
      </c>
      <c r="Z133" s="166">
        <v>0.18481802426343155</v>
      </c>
      <c r="AA133" s="34" t="s">
        <v>621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597</v>
      </c>
      <c r="B134" s="784" t="s">
        <v>205</v>
      </c>
      <c r="C134" s="784" t="s">
        <v>1459</v>
      </c>
      <c r="D134" s="134">
        <v>3541.51</v>
      </c>
      <c r="E134" s="67">
        <v>479023</v>
      </c>
      <c r="F134" s="146">
        <v>0</v>
      </c>
      <c r="G134" s="146">
        <v>0</v>
      </c>
      <c r="H134" s="91">
        <v>479023</v>
      </c>
      <c r="I134" s="67">
        <v>0</v>
      </c>
      <c r="J134" s="739">
        <v>479023</v>
      </c>
      <c r="K134" s="837" t="s">
        <v>621</v>
      </c>
      <c r="L134" s="740">
        <v>0</v>
      </c>
      <c r="M134" s="741">
        <v>3541.51</v>
      </c>
      <c r="N134" s="67">
        <v>7146</v>
      </c>
      <c r="O134" s="67">
        <v>486169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486169</v>
      </c>
      <c r="V134" s="71">
        <v>137.27731956143001</v>
      </c>
      <c r="W134" s="449">
        <v>488006</v>
      </c>
      <c r="X134" s="67">
        <v>431916</v>
      </c>
      <c r="Y134" s="163">
        <v>54253</v>
      </c>
      <c r="Z134" s="166">
        <v>0.12561007232887877</v>
      </c>
      <c r="AA134" s="34" t="s">
        <v>621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595</v>
      </c>
      <c r="B135" s="784" t="s">
        <v>413</v>
      </c>
      <c r="C135" s="784" t="s">
        <v>1557</v>
      </c>
      <c r="D135" s="134">
        <v>174.33</v>
      </c>
      <c r="E135" s="67">
        <v>23580</v>
      </c>
      <c r="F135" s="146">
        <v>0</v>
      </c>
      <c r="G135" s="146">
        <v>0</v>
      </c>
      <c r="H135" s="91">
        <v>23580</v>
      </c>
      <c r="I135" s="67">
        <v>0</v>
      </c>
      <c r="J135" s="739">
        <v>23580</v>
      </c>
      <c r="K135" s="837" t="s">
        <v>621</v>
      </c>
      <c r="L135" s="740">
        <v>0</v>
      </c>
      <c r="M135" s="741">
        <v>174.33</v>
      </c>
      <c r="N135" s="67">
        <v>352</v>
      </c>
      <c r="O135" s="67">
        <v>23932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23932</v>
      </c>
      <c r="V135" s="71">
        <v>137.27987150805941</v>
      </c>
      <c r="W135" s="449">
        <v>24022</v>
      </c>
      <c r="X135" s="67">
        <v>23001</v>
      </c>
      <c r="Y135" s="163">
        <v>931</v>
      </c>
      <c r="Z135" s="166">
        <v>4.0476501021694707E-2</v>
      </c>
      <c r="AA135" s="34" t="s">
        <v>621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603</v>
      </c>
      <c r="B136" s="784" t="s">
        <v>519</v>
      </c>
      <c r="C136" s="784" t="s">
        <v>1608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739">
        <v>0</v>
      </c>
      <c r="K136" s="837" t="s">
        <v>644</v>
      </c>
      <c r="L136" s="740">
        <v>0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603</v>
      </c>
      <c r="B137" s="784" t="s">
        <v>441</v>
      </c>
      <c r="C137" s="784" t="s">
        <v>1572</v>
      </c>
      <c r="D137" s="134">
        <v>2.83</v>
      </c>
      <c r="E137" s="67">
        <v>383</v>
      </c>
      <c r="F137" s="146">
        <v>0</v>
      </c>
      <c r="G137" s="146">
        <v>0</v>
      </c>
      <c r="H137" s="91">
        <v>383</v>
      </c>
      <c r="I137" s="67">
        <v>0</v>
      </c>
      <c r="J137" s="739">
        <v>383</v>
      </c>
      <c r="K137" s="837" t="s">
        <v>644</v>
      </c>
      <c r="L137" s="740">
        <v>383</v>
      </c>
      <c r="M137" s="741">
        <v>0</v>
      </c>
      <c r="N137" s="67">
        <v>0</v>
      </c>
      <c r="O137" s="67">
        <v>0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0</v>
      </c>
      <c r="V137" s="71">
        <v>0</v>
      </c>
      <c r="W137" s="449">
        <v>0</v>
      </c>
      <c r="X137" s="67">
        <v>0</v>
      </c>
      <c r="Y137" s="163">
        <v>0</v>
      </c>
      <c r="Z137" s="166">
        <v>0</v>
      </c>
      <c r="AA137" s="34" t="s">
        <v>644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603</v>
      </c>
      <c r="B138" s="784" t="s">
        <v>6</v>
      </c>
      <c r="C138" s="784" t="s">
        <v>1371</v>
      </c>
      <c r="D138" s="134">
        <v>26.5</v>
      </c>
      <c r="E138" s="67">
        <v>3584</v>
      </c>
      <c r="F138" s="146">
        <v>0</v>
      </c>
      <c r="G138" s="146">
        <v>0</v>
      </c>
      <c r="H138" s="91">
        <v>3584</v>
      </c>
      <c r="I138" s="67">
        <v>0</v>
      </c>
      <c r="J138" s="739">
        <v>3584</v>
      </c>
      <c r="K138" s="837" t="s">
        <v>644</v>
      </c>
      <c r="L138" s="740">
        <v>3584</v>
      </c>
      <c r="M138" s="741">
        <v>0</v>
      </c>
      <c r="N138" s="67">
        <v>0</v>
      </c>
      <c r="O138" s="67">
        <v>0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0</v>
      </c>
      <c r="V138" s="71">
        <v>0</v>
      </c>
      <c r="W138" s="449">
        <v>0</v>
      </c>
      <c r="X138" s="67">
        <v>0</v>
      </c>
      <c r="Y138" s="163">
        <v>0</v>
      </c>
      <c r="Z138" s="166">
        <v>0</v>
      </c>
      <c r="AA138" s="34" t="s">
        <v>644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70</v>
      </c>
      <c r="C139" s="784" t="s">
        <v>1399</v>
      </c>
      <c r="D139" s="134">
        <v>425.15999999999997</v>
      </c>
      <c r="E139" s="67">
        <v>57507</v>
      </c>
      <c r="F139" s="146">
        <v>0</v>
      </c>
      <c r="G139" s="146">
        <v>0</v>
      </c>
      <c r="H139" s="91">
        <v>57507</v>
      </c>
      <c r="I139" s="67">
        <v>0</v>
      </c>
      <c r="J139" s="739">
        <v>57507</v>
      </c>
      <c r="K139" s="837" t="s">
        <v>621</v>
      </c>
      <c r="L139" s="740">
        <v>0</v>
      </c>
      <c r="M139" s="741">
        <v>425.15999999999997</v>
      </c>
      <c r="N139" s="67">
        <v>858</v>
      </c>
      <c r="O139" s="67">
        <v>58365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58365</v>
      </c>
      <c r="V139" s="71">
        <v>137.27773073666384</v>
      </c>
      <c r="W139" s="449">
        <v>58585</v>
      </c>
      <c r="X139" s="67">
        <v>60706</v>
      </c>
      <c r="Y139" s="163">
        <v>-2341</v>
      </c>
      <c r="Z139" s="166">
        <v>-3.8562909761802787E-2</v>
      </c>
      <c r="AA139" s="34" t="s">
        <v>621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603</v>
      </c>
      <c r="B140" s="784" t="s">
        <v>458</v>
      </c>
      <c r="C140" s="784" t="s">
        <v>1581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837" t="s">
        <v>644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595</v>
      </c>
      <c r="B141" s="784" t="s">
        <v>373</v>
      </c>
      <c r="C141" s="784" t="s">
        <v>1539</v>
      </c>
      <c r="D141" s="134">
        <v>22.84</v>
      </c>
      <c r="E141" s="67">
        <v>3089</v>
      </c>
      <c r="F141" s="146">
        <v>0</v>
      </c>
      <c r="G141" s="146">
        <v>0</v>
      </c>
      <c r="H141" s="91">
        <v>3089</v>
      </c>
      <c r="I141" s="67">
        <v>0</v>
      </c>
      <c r="J141" s="739">
        <v>3089</v>
      </c>
      <c r="K141" s="837" t="s">
        <v>1306</v>
      </c>
      <c r="L141" s="740">
        <v>0</v>
      </c>
      <c r="M141" s="741">
        <v>22.84</v>
      </c>
      <c r="N141" s="67">
        <v>46</v>
      </c>
      <c r="O141" s="67">
        <v>3135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3135</v>
      </c>
      <c r="V141" s="71">
        <v>137.25919439579684</v>
      </c>
      <c r="W141" s="449">
        <v>0</v>
      </c>
      <c r="X141" s="67">
        <v>3311</v>
      </c>
      <c r="Y141" s="163">
        <v>-176</v>
      </c>
      <c r="Z141" s="166">
        <v>-5.3156146179401995E-2</v>
      </c>
      <c r="AA141" s="34" t="s">
        <v>1306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1666</v>
      </c>
      <c r="B142" s="784" t="s">
        <v>1757</v>
      </c>
      <c r="C142" s="784" t="s">
        <v>1785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837" t="s">
        <v>644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0</v>
      </c>
      <c r="V142" s="71">
        <v>0</v>
      </c>
      <c r="W142" s="449">
        <v>0</v>
      </c>
      <c r="X142" s="67">
        <v>0</v>
      </c>
      <c r="Y142" s="163">
        <v>0</v>
      </c>
      <c r="Z142" s="166">
        <v>0</v>
      </c>
      <c r="AA142" s="34" t="s">
        <v>644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599</v>
      </c>
      <c r="B143" s="784" t="s">
        <v>250</v>
      </c>
      <c r="C143" s="784" t="s">
        <v>1481</v>
      </c>
      <c r="D143" s="134">
        <v>10</v>
      </c>
      <c r="E143" s="67">
        <v>1353</v>
      </c>
      <c r="F143" s="146">
        <v>0</v>
      </c>
      <c r="G143" s="146">
        <v>0</v>
      </c>
      <c r="H143" s="91">
        <v>1353</v>
      </c>
      <c r="I143" s="67">
        <v>0</v>
      </c>
      <c r="J143" s="739">
        <v>1353</v>
      </c>
      <c r="K143" s="837" t="s">
        <v>644</v>
      </c>
      <c r="L143" s="740">
        <v>1353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595</v>
      </c>
      <c r="B144" s="784" t="s">
        <v>510</v>
      </c>
      <c r="C144" s="784" t="s">
        <v>1604</v>
      </c>
      <c r="D144" s="134">
        <v>357.33</v>
      </c>
      <c r="E144" s="67">
        <v>48332</v>
      </c>
      <c r="F144" s="146">
        <v>0</v>
      </c>
      <c r="G144" s="146">
        <v>0</v>
      </c>
      <c r="H144" s="91">
        <v>48332</v>
      </c>
      <c r="I144" s="67">
        <v>0</v>
      </c>
      <c r="J144" s="739">
        <v>48332</v>
      </c>
      <c r="K144" s="837" t="s">
        <v>621</v>
      </c>
      <c r="L144" s="740">
        <v>0</v>
      </c>
      <c r="M144" s="741">
        <v>357.33</v>
      </c>
      <c r="N144" s="67">
        <v>721</v>
      </c>
      <c r="O144" s="67">
        <v>49053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49053</v>
      </c>
      <c r="V144" s="71">
        <v>137.27646713122326</v>
      </c>
      <c r="W144" s="449">
        <v>49239</v>
      </c>
      <c r="X144" s="67">
        <v>50034</v>
      </c>
      <c r="Y144" s="163">
        <v>-981</v>
      </c>
      <c r="Z144" s="166">
        <v>-1.9606667466123037E-2</v>
      </c>
      <c r="AA144" s="34" t="s">
        <v>621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605</v>
      </c>
      <c r="B145" s="784" t="s">
        <v>553</v>
      </c>
      <c r="C145" s="784" t="s">
        <v>639</v>
      </c>
      <c r="D145" s="134">
        <v>358.16</v>
      </c>
      <c r="E145" s="67">
        <v>48445</v>
      </c>
      <c r="F145" s="146">
        <v>0</v>
      </c>
      <c r="G145" s="146">
        <v>0</v>
      </c>
      <c r="H145" s="91">
        <v>48445</v>
      </c>
      <c r="I145" s="67">
        <v>0</v>
      </c>
      <c r="J145" s="739">
        <v>48445</v>
      </c>
      <c r="K145" s="837" t="s">
        <v>621</v>
      </c>
      <c r="L145" s="740">
        <v>0</v>
      </c>
      <c r="M145" s="741">
        <v>358.16</v>
      </c>
      <c r="N145" s="67">
        <v>723</v>
      </c>
      <c r="O145" s="67">
        <v>49168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49168</v>
      </c>
      <c r="V145" s="71">
        <v>137.27942818851909</v>
      </c>
      <c r="W145" s="449">
        <v>49353</v>
      </c>
      <c r="X145" s="67">
        <v>51427</v>
      </c>
      <c r="Y145" s="163">
        <v>-2259</v>
      </c>
      <c r="Z145" s="166">
        <v>-4.3926342193789256E-2</v>
      </c>
      <c r="AA145" s="34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601</v>
      </c>
      <c r="B146" s="784" t="s">
        <v>90</v>
      </c>
      <c r="C146" s="784" t="s">
        <v>1409</v>
      </c>
      <c r="D146" s="134">
        <v>6.33</v>
      </c>
      <c r="E146" s="67">
        <v>856</v>
      </c>
      <c r="F146" s="146">
        <v>0</v>
      </c>
      <c r="G146" s="146">
        <v>0</v>
      </c>
      <c r="H146" s="91">
        <v>856</v>
      </c>
      <c r="I146" s="67">
        <v>0</v>
      </c>
      <c r="J146" s="739">
        <v>856</v>
      </c>
      <c r="K146" s="837" t="s">
        <v>644</v>
      </c>
      <c r="L146" s="740">
        <v>856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601</v>
      </c>
      <c r="B147" s="784" t="s">
        <v>25</v>
      </c>
      <c r="C147" s="784" t="s">
        <v>1380</v>
      </c>
      <c r="D147" s="134">
        <v>219.16</v>
      </c>
      <c r="E147" s="67">
        <v>29643</v>
      </c>
      <c r="F147" s="146">
        <v>0</v>
      </c>
      <c r="G147" s="146">
        <v>0</v>
      </c>
      <c r="H147" s="91">
        <v>29643</v>
      </c>
      <c r="I147" s="67">
        <v>0</v>
      </c>
      <c r="J147" s="739">
        <v>29643</v>
      </c>
      <c r="K147" s="837" t="s">
        <v>621</v>
      </c>
      <c r="L147" s="740">
        <v>0</v>
      </c>
      <c r="M147" s="741">
        <v>219.16</v>
      </c>
      <c r="N147" s="67">
        <v>442</v>
      </c>
      <c r="O147" s="67">
        <v>30085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30085</v>
      </c>
      <c r="V147" s="71">
        <v>137.27413761635336</v>
      </c>
      <c r="W147" s="449">
        <v>30200</v>
      </c>
      <c r="X147" s="67">
        <v>30341</v>
      </c>
      <c r="Y147" s="163">
        <v>-256</v>
      </c>
      <c r="Z147" s="166">
        <v>-8.4374279028377446E-3</v>
      </c>
      <c r="AA147" s="34" t="s">
        <v>621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301</v>
      </c>
      <c r="C148" s="784" t="s">
        <v>1504</v>
      </c>
      <c r="D148" s="134">
        <v>27.17</v>
      </c>
      <c r="E148" s="67">
        <v>3675</v>
      </c>
      <c r="F148" s="146">
        <v>0</v>
      </c>
      <c r="G148" s="146">
        <v>0</v>
      </c>
      <c r="H148" s="91">
        <v>3675</v>
      </c>
      <c r="I148" s="67">
        <v>0</v>
      </c>
      <c r="J148" s="739">
        <v>3675</v>
      </c>
      <c r="K148" s="837" t="s">
        <v>644</v>
      </c>
      <c r="L148" s="740">
        <v>3675</v>
      </c>
      <c r="M148" s="741">
        <v>0</v>
      </c>
      <c r="N148" s="67">
        <v>0</v>
      </c>
      <c r="O148" s="67">
        <v>0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0</v>
      </c>
      <c r="V148" s="71">
        <v>0</v>
      </c>
      <c r="W148" s="449">
        <v>0</v>
      </c>
      <c r="X148" s="67">
        <v>0</v>
      </c>
      <c r="Y148" s="163">
        <v>0</v>
      </c>
      <c r="Z148" s="166">
        <v>0</v>
      </c>
      <c r="AA148" s="34" t="s">
        <v>644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603</v>
      </c>
      <c r="B149" s="784" t="s">
        <v>466</v>
      </c>
      <c r="C149" s="784" t="s">
        <v>1585</v>
      </c>
      <c r="D149" s="134">
        <v>3.33</v>
      </c>
      <c r="E149" s="67">
        <v>450</v>
      </c>
      <c r="F149" s="146">
        <v>0</v>
      </c>
      <c r="G149" s="146">
        <v>0</v>
      </c>
      <c r="H149" s="91">
        <v>450</v>
      </c>
      <c r="I149" s="67">
        <v>0</v>
      </c>
      <c r="J149" s="739">
        <v>450</v>
      </c>
      <c r="K149" s="837" t="s">
        <v>644</v>
      </c>
      <c r="L149" s="740">
        <v>450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595</v>
      </c>
      <c r="B150" s="784" t="s">
        <v>405</v>
      </c>
      <c r="C150" s="784" t="s">
        <v>1553</v>
      </c>
      <c r="D150" s="134">
        <v>1278.5</v>
      </c>
      <c r="E150" s="67">
        <v>172929</v>
      </c>
      <c r="F150" s="146">
        <v>0</v>
      </c>
      <c r="G150" s="146">
        <v>0</v>
      </c>
      <c r="H150" s="91">
        <v>172929</v>
      </c>
      <c r="I150" s="67">
        <v>0</v>
      </c>
      <c r="J150" s="739">
        <v>172929</v>
      </c>
      <c r="K150" s="837" t="s">
        <v>621</v>
      </c>
      <c r="L150" s="740">
        <v>0</v>
      </c>
      <c r="M150" s="741">
        <v>1278.5</v>
      </c>
      <c r="N150" s="67">
        <v>2580</v>
      </c>
      <c r="O150" s="67">
        <v>175509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175509</v>
      </c>
      <c r="V150" s="71">
        <v>137.27727806022682</v>
      </c>
      <c r="W150" s="449">
        <v>176173</v>
      </c>
      <c r="X150" s="67">
        <v>182012</v>
      </c>
      <c r="Y150" s="163">
        <v>-6503</v>
      </c>
      <c r="Z150" s="166">
        <v>-3.5728413511197064E-2</v>
      </c>
      <c r="AA150" s="34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138</v>
      </c>
      <c r="C151" s="784" t="s">
        <v>1431</v>
      </c>
      <c r="D151" s="134">
        <v>0.17</v>
      </c>
      <c r="E151" s="67">
        <v>23</v>
      </c>
      <c r="F151" s="146">
        <v>0</v>
      </c>
      <c r="G151" s="146">
        <v>0</v>
      </c>
      <c r="H151" s="91">
        <v>23</v>
      </c>
      <c r="I151" s="67">
        <v>0</v>
      </c>
      <c r="J151" s="739">
        <v>23</v>
      </c>
      <c r="K151" s="837" t="s">
        <v>644</v>
      </c>
      <c r="L151" s="740">
        <v>23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603</v>
      </c>
      <c r="B152" s="784" t="s">
        <v>432</v>
      </c>
      <c r="C152" s="784" t="s">
        <v>1567</v>
      </c>
      <c r="D152" s="134">
        <v>296.5</v>
      </c>
      <c r="E152" s="67">
        <v>40104</v>
      </c>
      <c r="F152" s="146">
        <v>0</v>
      </c>
      <c r="G152" s="146">
        <v>0</v>
      </c>
      <c r="H152" s="91">
        <v>40104</v>
      </c>
      <c r="I152" s="67">
        <v>0</v>
      </c>
      <c r="J152" s="739">
        <v>40104</v>
      </c>
      <c r="K152" s="837" t="s">
        <v>621</v>
      </c>
      <c r="L152" s="740">
        <v>0</v>
      </c>
      <c r="M152" s="741">
        <v>296.5</v>
      </c>
      <c r="N152" s="67">
        <v>598</v>
      </c>
      <c r="O152" s="67">
        <v>40702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40702</v>
      </c>
      <c r="V152" s="71">
        <v>137.27487352445195</v>
      </c>
      <c r="W152" s="449">
        <v>40857</v>
      </c>
      <c r="X152" s="67">
        <v>48400</v>
      </c>
      <c r="Y152" s="163">
        <v>-7698</v>
      </c>
      <c r="Z152" s="166">
        <v>-0.15904958677685951</v>
      </c>
      <c r="AA152" s="34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430</v>
      </c>
      <c r="C153" s="784" t="s">
        <v>1566</v>
      </c>
      <c r="D153" s="134">
        <v>12.67</v>
      </c>
      <c r="E153" s="67">
        <v>1714</v>
      </c>
      <c r="F153" s="146">
        <v>0</v>
      </c>
      <c r="G153" s="146">
        <v>0</v>
      </c>
      <c r="H153" s="91">
        <v>1714</v>
      </c>
      <c r="I153" s="67">
        <v>0</v>
      </c>
      <c r="J153" s="739">
        <v>1714</v>
      </c>
      <c r="K153" s="837" t="s">
        <v>644</v>
      </c>
      <c r="L153" s="740">
        <v>1714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597</v>
      </c>
      <c r="B154" s="784" t="s">
        <v>179</v>
      </c>
      <c r="C154" s="784" t="s">
        <v>1451</v>
      </c>
      <c r="D154" s="134">
        <v>145.66999999999999</v>
      </c>
      <c r="E154" s="67">
        <v>19703</v>
      </c>
      <c r="F154" s="146">
        <v>0</v>
      </c>
      <c r="G154" s="146">
        <v>0</v>
      </c>
      <c r="H154" s="91">
        <v>19703</v>
      </c>
      <c r="I154" s="67">
        <v>0</v>
      </c>
      <c r="J154" s="739">
        <v>19703</v>
      </c>
      <c r="K154" s="837" t="s">
        <v>621</v>
      </c>
      <c r="L154" s="740">
        <v>0</v>
      </c>
      <c r="M154" s="741">
        <v>145.66999999999999</v>
      </c>
      <c r="N154" s="67">
        <v>294</v>
      </c>
      <c r="O154" s="67">
        <v>19997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19997</v>
      </c>
      <c r="V154" s="71">
        <v>137.27603487334386</v>
      </c>
      <c r="W154" s="449">
        <v>20073</v>
      </c>
      <c r="X154" s="67">
        <v>21391</v>
      </c>
      <c r="Y154" s="163">
        <v>-1394</v>
      </c>
      <c r="Z154" s="166">
        <v>-6.5167593847879943E-2</v>
      </c>
      <c r="AA154" s="34" t="s">
        <v>621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595</v>
      </c>
      <c r="B155" s="784" t="s">
        <v>512</v>
      </c>
      <c r="C155" s="784" t="s">
        <v>1605</v>
      </c>
      <c r="D155" s="134">
        <v>227.33</v>
      </c>
      <c r="E155" s="67">
        <v>30749</v>
      </c>
      <c r="F155" s="146">
        <v>0</v>
      </c>
      <c r="G155" s="146">
        <v>0</v>
      </c>
      <c r="H155" s="91">
        <v>30749</v>
      </c>
      <c r="I155" s="67">
        <v>0</v>
      </c>
      <c r="J155" s="739">
        <v>30749</v>
      </c>
      <c r="K155" s="837" t="s">
        <v>621</v>
      </c>
      <c r="L155" s="740">
        <v>0</v>
      </c>
      <c r="M155" s="741">
        <v>227.33</v>
      </c>
      <c r="N155" s="67">
        <v>459</v>
      </c>
      <c r="O155" s="67">
        <v>31208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31208</v>
      </c>
      <c r="V155" s="71">
        <v>137.28060528746755</v>
      </c>
      <c r="W155" s="449">
        <v>31325</v>
      </c>
      <c r="X155" s="67">
        <v>28078</v>
      </c>
      <c r="Y155" s="163">
        <v>3130</v>
      </c>
      <c r="Z155" s="166">
        <v>0.11147517629460788</v>
      </c>
      <c r="AA155" s="34" t="s">
        <v>621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601</v>
      </c>
      <c r="B156" s="784" t="s">
        <v>319</v>
      </c>
      <c r="C156" s="784" t="s">
        <v>1512</v>
      </c>
      <c r="D156" s="134">
        <v>29.67</v>
      </c>
      <c r="E156" s="67">
        <v>4013</v>
      </c>
      <c r="F156" s="146">
        <v>0</v>
      </c>
      <c r="G156" s="146">
        <v>0</v>
      </c>
      <c r="H156" s="91">
        <v>4013</v>
      </c>
      <c r="I156" s="67">
        <v>0</v>
      </c>
      <c r="J156" s="739">
        <v>4013</v>
      </c>
      <c r="K156" s="837" t="s">
        <v>644</v>
      </c>
      <c r="L156" s="740">
        <v>4013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599</v>
      </c>
      <c r="B157" s="784" t="s">
        <v>391</v>
      </c>
      <c r="C157" s="784" t="s">
        <v>1547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837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595</v>
      </c>
      <c r="B158" s="784" t="s">
        <v>409</v>
      </c>
      <c r="C158" s="784" t="s">
        <v>1555</v>
      </c>
      <c r="D158" s="134">
        <v>649.66999999999996</v>
      </c>
      <c r="E158" s="67">
        <v>87874</v>
      </c>
      <c r="F158" s="146">
        <v>0</v>
      </c>
      <c r="G158" s="146">
        <v>0</v>
      </c>
      <c r="H158" s="91">
        <v>87874</v>
      </c>
      <c r="I158" s="67">
        <v>0</v>
      </c>
      <c r="J158" s="739">
        <v>87874</v>
      </c>
      <c r="K158" s="837" t="s">
        <v>621</v>
      </c>
      <c r="L158" s="740">
        <v>0</v>
      </c>
      <c r="M158" s="741">
        <v>649.66999999999996</v>
      </c>
      <c r="N158" s="67">
        <v>1311</v>
      </c>
      <c r="O158" s="67">
        <v>89185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89185</v>
      </c>
      <c r="V158" s="71">
        <v>137.27738698108271</v>
      </c>
      <c r="W158" s="449">
        <v>89522</v>
      </c>
      <c r="X158" s="67">
        <v>84537</v>
      </c>
      <c r="Y158" s="163">
        <v>4648</v>
      </c>
      <c r="Z158" s="166">
        <v>5.4981842270248528E-2</v>
      </c>
      <c r="AA158" s="34" t="s">
        <v>621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594</v>
      </c>
      <c r="B159" s="784" t="s">
        <v>139</v>
      </c>
      <c r="C159" s="784" t="s">
        <v>1432</v>
      </c>
      <c r="D159" s="134">
        <v>25.67</v>
      </c>
      <c r="E159" s="67">
        <v>3472</v>
      </c>
      <c r="F159" s="146">
        <v>0</v>
      </c>
      <c r="G159" s="146">
        <v>0</v>
      </c>
      <c r="H159" s="91">
        <v>3472</v>
      </c>
      <c r="I159" s="67">
        <v>0</v>
      </c>
      <c r="J159" s="739">
        <v>3472</v>
      </c>
      <c r="K159" s="837" t="s">
        <v>644</v>
      </c>
      <c r="L159" s="740">
        <v>3472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594</v>
      </c>
      <c r="B160" s="784" t="s">
        <v>260</v>
      </c>
      <c r="C160" s="784" t="s">
        <v>1484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837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601</v>
      </c>
      <c r="B161" s="784" t="s">
        <v>125</v>
      </c>
      <c r="C161" s="784" t="s">
        <v>1426</v>
      </c>
      <c r="D161" s="134">
        <v>1182.8400000000001</v>
      </c>
      <c r="E161" s="67">
        <v>159990</v>
      </c>
      <c r="F161" s="146">
        <v>0</v>
      </c>
      <c r="G161" s="146">
        <v>0</v>
      </c>
      <c r="H161" s="91">
        <v>159990</v>
      </c>
      <c r="I161" s="67">
        <v>0</v>
      </c>
      <c r="J161" s="739">
        <v>159990</v>
      </c>
      <c r="K161" s="837" t="s">
        <v>621</v>
      </c>
      <c r="L161" s="740">
        <v>0</v>
      </c>
      <c r="M161" s="741">
        <v>1182.8400000000001</v>
      </c>
      <c r="N161" s="67">
        <v>2387</v>
      </c>
      <c r="O161" s="67">
        <v>162377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162377</v>
      </c>
      <c r="V161" s="71">
        <v>137.27723107098168</v>
      </c>
      <c r="W161" s="449">
        <v>162990</v>
      </c>
      <c r="X161" s="67">
        <v>176653</v>
      </c>
      <c r="Y161" s="163">
        <v>-14276</v>
      </c>
      <c r="Z161" s="166">
        <v>-8.0813798803303652E-2</v>
      </c>
      <c r="AA161" s="34" t="s">
        <v>621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258</v>
      </c>
      <c r="C162" s="784" t="s">
        <v>1356</v>
      </c>
      <c r="D162" s="134">
        <v>49.5</v>
      </c>
      <c r="E162" s="67">
        <v>6695</v>
      </c>
      <c r="F162" s="146">
        <v>0</v>
      </c>
      <c r="G162" s="146">
        <v>0</v>
      </c>
      <c r="H162" s="91">
        <v>6695</v>
      </c>
      <c r="I162" s="67">
        <v>0</v>
      </c>
      <c r="J162" s="739">
        <v>6695</v>
      </c>
      <c r="K162" s="837" t="s">
        <v>1306</v>
      </c>
      <c r="L162" s="740">
        <v>0</v>
      </c>
      <c r="M162" s="741">
        <v>49.5</v>
      </c>
      <c r="N162" s="67">
        <v>100</v>
      </c>
      <c r="O162" s="67">
        <v>6795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6795</v>
      </c>
      <c r="V162" s="71">
        <v>137.27272727272728</v>
      </c>
      <c r="W162" s="449">
        <v>0</v>
      </c>
      <c r="X162" s="67">
        <v>7013</v>
      </c>
      <c r="Y162" s="163">
        <v>-218</v>
      </c>
      <c r="Z162" s="166">
        <v>-3.1085127620134038E-2</v>
      </c>
      <c r="AA162" s="34" t="s">
        <v>1306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605</v>
      </c>
      <c r="B163" s="784" t="s">
        <v>571</v>
      </c>
      <c r="C163" s="784" t="s">
        <v>1632</v>
      </c>
      <c r="D163" s="134">
        <v>444</v>
      </c>
      <c r="E163" s="67">
        <v>60055</v>
      </c>
      <c r="F163" s="146">
        <v>0</v>
      </c>
      <c r="G163" s="146">
        <v>0</v>
      </c>
      <c r="H163" s="91">
        <v>60055</v>
      </c>
      <c r="I163" s="67">
        <v>0</v>
      </c>
      <c r="J163" s="739">
        <v>60055</v>
      </c>
      <c r="K163" s="837" t="s">
        <v>621</v>
      </c>
      <c r="L163" s="740">
        <v>0</v>
      </c>
      <c r="M163" s="741">
        <v>444</v>
      </c>
      <c r="N163" s="67">
        <v>896</v>
      </c>
      <c r="O163" s="67">
        <v>60951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60951</v>
      </c>
      <c r="V163" s="71">
        <v>137.27702702702703</v>
      </c>
      <c r="W163" s="449">
        <v>61181</v>
      </c>
      <c r="X163" s="67">
        <v>59421</v>
      </c>
      <c r="Y163" s="163">
        <v>1530</v>
      </c>
      <c r="Z163" s="166">
        <v>2.5748472762154792E-2</v>
      </c>
      <c r="AA163" s="34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595</v>
      </c>
      <c r="B164" s="784" t="s">
        <v>516</v>
      </c>
      <c r="C164" s="784" t="s">
        <v>1606</v>
      </c>
      <c r="D164" s="134">
        <v>126</v>
      </c>
      <c r="E164" s="67">
        <v>17043</v>
      </c>
      <c r="F164" s="146">
        <v>0</v>
      </c>
      <c r="G164" s="146">
        <v>0</v>
      </c>
      <c r="H164" s="91">
        <v>17043</v>
      </c>
      <c r="I164" s="67">
        <v>0</v>
      </c>
      <c r="J164" s="739">
        <v>17043</v>
      </c>
      <c r="K164" s="837" t="s">
        <v>621</v>
      </c>
      <c r="L164" s="740">
        <v>0</v>
      </c>
      <c r="M164" s="741">
        <v>126</v>
      </c>
      <c r="N164" s="67">
        <v>254</v>
      </c>
      <c r="O164" s="67">
        <v>17297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17297</v>
      </c>
      <c r="V164" s="71">
        <v>137.27777777777777</v>
      </c>
      <c r="W164" s="449">
        <v>17362</v>
      </c>
      <c r="X164" s="67">
        <v>19538</v>
      </c>
      <c r="Y164" s="163">
        <v>-2241</v>
      </c>
      <c r="Z164" s="166">
        <v>-0.11469955983212202</v>
      </c>
      <c r="AA164" s="34" t="s">
        <v>621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599</v>
      </c>
      <c r="B165" s="784" t="s">
        <v>389</v>
      </c>
      <c r="C165" s="784" t="s">
        <v>1546</v>
      </c>
      <c r="D165" s="134">
        <v>0</v>
      </c>
      <c r="E165" s="67">
        <v>0</v>
      </c>
      <c r="F165" s="146">
        <v>0</v>
      </c>
      <c r="G165" s="146">
        <v>0</v>
      </c>
      <c r="H165" s="91">
        <v>0</v>
      </c>
      <c r="I165" s="67">
        <v>0</v>
      </c>
      <c r="J165" s="739">
        <v>0</v>
      </c>
      <c r="K165" s="837" t="s">
        <v>644</v>
      </c>
      <c r="L165" s="740">
        <v>0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595</v>
      </c>
      <c r="B166" s="784" t="s">
        <v>386</v>
      </c>
      <c r="C166" s="784" t="s">
        <v>1544</v>
      </c>
      <c r="D166" s="134">
        <v>1613.5</v>
      </c>
      <c r="E166" s="67">
        <v>218241</v>
      </c>
      <c r="F166" s="146">
        <v>0</v>
      </c>
      <c r="G166" s="146">
        <v>0</v>
      </c>
      <c r="H166" s="91">
        <v>218241</v>
      </c>
      <c r="I166" s="67">
        <v>0</v>
      </c>
      <c r="J166" s="739">
        <v>218241</v>
      </c>
      <c r="K166" s="837" t="s">
        <v>1306</v>
      </c>
      <c r="L166" s="740">
        <v>0</v>
      </c>
      <c r="M166" s="741">
        <v>1613.5</v>
      </c>
      <c r="N166" s="67">
        <v>3256</v>
      </c>
      <c r="O166" s="67">
        <v>221497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221497</v>
      </c>
      <c r="V166" s="71">
        <v>137.27734738146884</v>
      </c>
      <c r="W166" s="449">
        <v>223849</v>
      </c>
      <c r="X166" s="67">
        <v>215752</v>
      </c>
      <c r="Y166" s="163">
        <v>5745</v>
      </c>
      <c r="Z166" s="166">
        <v>2.662779487559791E-2</v>
      </c>
      <c r="AA166" s="34" t="s">
        <v>1306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595</v>
      </c>
      <c r="B167" s="784" t="s">
        <v>399</v>
      </c>
      <c r="C167" s="784" t="s">
        <v>1550</v>
      </c>
      <c r="D167" s="134">
        <v>3132.51</v>
      </c>
      <c r="E167" s="67">
        <v>423702</v>
      </c>
      <c r="F167" s="146">
        <v>0</v>
      </c>
      <c r="G167" s="146">
        <v>0</v>
      </c>
      <c r="H167" s="91">
        <v>423702</v>
      </c>
      <c r="I167" s="67">
        <v>0</v>
      </c>
      <c r="J167" s="739">
        <v>423702</v>
      </c>
      <c r="K167" s="837" t="s">
        <v>621</v>
      </c>
      <c r="L167" s="740">
        <v>0</v>
      </c>
      <c r="M167" s="741">
        <v>3132.51</v>
      </c>
      <c r="N167" s="67">
        <v>6321</v>
      </c>
      <c r="O167" s="67">
        <v>430023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430023</v>
      </c>
      <c r="V167" s="71">
        <v>137.27745482057517</v>
      </c>
      <c r="W167" s="449">
        <v>431648</v>
      </c>
      <c r="X167" s="67">
        <v>424185</v>
      </c>
      <c r="Y167" s="163">
        <v>5838</v>
      </c>
      <c r="Z167" s="166">
        <v>1.3762862901799922E-2</v>
      </c>
      <c r="AA167" s="34" t="s">
        <v>621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605</v>
      </c>
      <c r="B168" s="784" t="s">
        <v>545</v>
      </c>
      <c r="C168" s="784" t="s">
        <v>1621</v>
      </c>
      <c r="D168" s="134">
        <v>77.67</v>
      </c>
      <c r="E168" s="67">
        <v>10506</v>
      </c>
      <c r="F168" s="146">
        <v>0</v>
      </c>
      <c r="G168" s="146">
        <v>0</v>
      </c>
      <c r="H168" s="91">
        <v>10506</v>
      </c>
      <c r="I168" s="67">
        <v>0</v>
      </c>
      <c r="J168" s="739">
        <v>10506</v>
      </c>
      <c r="K168" s="837" t="s">
        <v>621</v>
      </c>
      <c r="L168" s="740">
        <v>0</v>
      </c>
      <c r="M168" s="741">
        <v>77.67</v>
      </c>
      <c r="N168" s="67">
        <v>157</v>
      </c>
      <c r="O168" s="67">
        <v>10663</v>
      </c>
      <c r="Q168" s="674">
        <v>0</v>
      </c>
      <c r="R168" s="674" t="s">
        <v>1730</v>
      </c>
      <c r="S168" s="798" t="s">
        <v>801</v>
      </c>
      <c r="T168" s="798">
        <v>0</v>
      </c>
      <c r="U168" s="88">
        <v>10663</v>
      </c>
      <c r="V168" s="71">
        <v>137.28595339255827</v>
      </c>
      <c r="W168" s="449">
        <v>10703</v>
      </c>
      <c r="X168" s="67">
        <v>12132</v>
      </c>
      <c r="Y168" s="163">
        <v>-1469</v>
      </c>
      <c r="Z168" s="166">
        <v>-0.12108473458621827</v>
      </c>
      <c r="AA168" s="34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594</v>
      </c>
      <c r="B169" s="784" t="s">
        <v>252</v>
      </c>
      <c r="C169" s="784" t="s">
        <v>1482</v>
      </c>
      <c r="D169" s="134">
        <v>20.67</v>
      </c>
      <c r="E169" s="67">
        <v>2796</v>
      </c>
      <c r="F169" s="146">
        <v>0</v>
      </c>
      <c r="G169" s="146">
        <v>0</v>
      </c>
      <c r="H169" s="91">
        <v>2796</v>
      </c>
      <c r="I169" s="67">
        <v>0</v>
      </c>
      <c r="J169" s="739">
        <v>2796</v>
      </c>
      <c r="K169" s="837" t="s">
        <v>644</v>
      </c>
      <c r="L169" s="740">
        <v>2796</v>
      </c>
      <c r="M169" s="741">
        <v>0</v>
      </c>
      <c r="N169" s="67">
        <v>0</v>
      </c>
      <c r="O169" s="67">
        <v>0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0</v>
      </c>
      <c r="V169" s="71">
        <v>0</v>
      </c>
      <c r="W169" s="449">
        <v>0</v>
      </c>
      <c r="X169" s="67">
        <v>0</v>
      </c>
      <c r="Y169" s="163">
        <v>0</v>
      </c>
      <c r="Z169" s="166">
        <v>0</v>
      </c>
      <c r="AA169" s="34" t="s">
        <v>644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599</v>
      </c>
      <c r="B170" s="784" t="s">
        <v>331</v>
      </c>
      <c r="C170" s="784" t="s">
        <v>1516</v>
      </c>
      <c r="D170" s="134">
        <v>18</v>
      </c>
      <c r="E170" s="67">
        <v>2435</v>
      </c>
      <c r="F170" s="146">
        <v>0</v>
      </c>
      <c r="G170" s="146">
        <v>0</v>
      </c>
      <c r="H170" s="91">
        <v>2435</v>
      </c>
      <c r="I170" s="67">
        <v>0</v>
      </c>
      <c r="J170" s="739">
        <v>2435</v>
      </c>
      <c r="K170" s="837" t="s">
        <v>1306</v>
      </c>
      <c r="L170" s="740">
        <v>0</v>
      </c>
      <c r="M170" s="741">
        <v>18</v>
      </c>
      <c r="N170" s="67">
        <v>36</v>
      </c>
      <c r="O170" s="67">
        <v>2471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2471</v>
      </c>
      <c r="V170" s="71">
        <v>137.27777777777777</v>
      </c>
      <c r="W170" s="449">
        <v>0</v>
      </c>
      <c r="X170" s="67">
        <v>2920</v>
      </c>
      <c r="Y170" s="163">
        <v>-449</v>
      </c>
      <c r="Z170" s="166">
        <v>-0.15376712328767123</v>
      </c>
      <c r="AA170" s="34" t="s">
        <v>1306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309</v>
      </c>
      <c r="C171" s="784" t="s">
        <v>1309</v>
      </c>
      <c r="D171" s="134">
        <v>125.83</v>
      </c>
      <c r="E171" s="67">
        <v>17020</v>
      </c>
      <c r="F171" s="146">
        <v>0</v>
      </c>
      <c r="G171" s="146">
        <v>0</v>
      </c>
      <c r="H171" s="91">
        <v>17020</v>
      </c>
      <c r="I171" s="67">
        <v>0</v>
      </c>
      <c r="J171" s="739">
        <v>17020</v>
      </c>
      <c r="K171" s="837" t="s">
        <v>621</v>
      </c>
      <c r="L171" s="740">
        <v>0</v>
      </c>
      <c r="M171" s="741">
        <v>125.83</v>
      </c>
      <c r="N171" s="67">
        <v>254</v>
      </c>
      <c r="O171" s="67">
        <v>17274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17274</v>
      </c>
      <c r="V171" s="71">
        <v>137.28045776047048</v>
      </c>
      <c r="W171" s="449">
        <v>17339</v>
      </c>
      <c r="X171" s="67">
        <v>0</v>
      </c>
      <c r="Y171" s="163">
        <v>17274</v>
      </c>
      <c r="Z171" s="166">
        <v>0</v>
      </c>
      <c r="AA171" s="34" t="s">
        <v>621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603</v>
      </c>
      <c r="B172" s="784" t="s">
        <v>336</v>
      </c>
      <c r="C172" s="784" t="s">
        <v>1519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837" t="s">
        <v>644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34" t="s">
        <v>644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603</v>
      </c>
      <c r="B173" s="784" t="s">
        <v>428</v>
      </c>
      <c r="C173" s="784" t="s">
        <v>1565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739">
        <v>0</v>
      </c>
      <c r="K173" s="837" t="s">
        <v>644</v>
      </c>
      <c r="L173" s="740">
        <v>0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595</v>
      </c>
      <c r="B174" s="784" t="s">
        <v>514</v>
      </c>
      <c r="C174" s="784" t="s">
        <v>685</v>
      </c>
      <c r="D174" s="134">
        <v>263.5</v>
      </c>
      <c r="E174" s="67">
        <v>35641</v>
      </c>
      <c r="F174" s="146">
        <v>0</v>
      </c>
      <c r="G174" s="146">
        <v>0</v>
      </c>
      <c r="H174" s="91">
        <v>35641</v>
      </c>
      <c r="I174" s="67">
        <v>0</v>
      </c>
      <c r="J174" s="739">
        <v>35641</v>
      </c>
      <c r="K174" s="837" t="s">
        <v>621</v>
      </c>
      <c r="L174" s="740">
        <v>0</v>
      </c>
      <c r="M174" s="741">
        <v>263.5</v>
      </c>
      <c r="N174" s="67">
        <v>532</v>
      </c>
      <c r="O174" s="67">
        <v>36173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36173</v>
      </c>
      <c r="V174" s="71">
        <v>137.27893738140418</v>
      </c>
      <c r="W174" s="449">
        <v>36309</v>
      </c>
      <c r="X174" s="67">
        <v>34721</v>
      </c>
      <c r="Y174" s="163">
        <v>1452</v>
      </c>
      <c r="Z174" s="166">
        <v>4.1819072031335502E-2</v>
      </c>
      <c r="AA174" s="34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594</v>
      </c>
      <c r="B175" s="784" t="s">
        <v>136</v>
      </c>
      <c r="C175" s="784" t="s">
        <v>1430</v>
      </c>
      <c r="D175" s="134">
        <v>49.5</v>
      </c>
      <c r="E175" s="67">
        <v>6695</v>
      </c>
      <c r="F175" s="146">
        <v>0</v>
      </c>
      <c r="G175" s="146">
        <v>0</v>
      </c>
      <c r="H175" s="91">
        <v>6695</v>
      </c>
      <c r="I175" s="67">
        <v>0</v>
      </c>
      <c r="J175" s="739">
        <v>6695</v>
      </c>
      <c r="K175" s="837" t="s">
        <v>644</v>
      </c>
      <c r="L175" s="740">
        <v>6695</v>
      </c>
      <c r="M175" s="741">
        <v>0</v>
      </c>
      <c r="N175" s="67">
        <v>0</v>
      </c>
      <c r="O175" s="67">
        <v>0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0</v>
      </c>
      <c r="V175" s="71">
        <v>0</v>
      </c>
      <c r="W175" s="449">
        <v>0</v>
      </c>
      <c r="X175" s="67">
        <v>7558</v>
      </c>
      <c r="Y175" s="163">
        <v>-7558</v>
      </c>
      <c r="Z175" s="166">
        <v>-1</v>
      </c>
      <c r="AA175" s="34" t="s">
        <v>644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596</v>
      </c>
      <c r="B176" s="784" t="s">
        <v>106</v>
      </c>
      <c r="C176" s="784" t="s">
        <v>1417</v>
      </c>
      <c r="D176" s="134">
        <v>757.83</v>
      </c>
      <c r="E176" s="67">
        <v>102504</v>
      </c>
      <c r="F176" s="146">
        <v>0</v>
      </c>
      <c r="G176" s="146">
        <v>0</v>
      </c>
      <c r="H176" s="91">
        <v>102504</v>
      </c>
      <c r="I176" s="67">
        <v>0</v>
      </c>
      <c r="J176" s="739">
        <v>102504</v>
      </c>
      <c r="K176" s="837" t="s">
        <v>621</v>
      </c>
      <c r="L176" s="740">
        <v>0</v>
      </c>
      <c r="M176" s="741">
        <v>757.83</v>
      </c>
      <c r="N176" s="67">
        <v>1529</v>
      </c>
      <c r="O176" s="67">
        <v>104033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104033</v>
      </c>
      <c r="V176" s="71">
        <v>137.27748967446524</v>
      </c>
      <c r="W176" s="449">
        <v>104426</v>
      </c>
      <c r="X176" s="67">
        <v>101789</v>
      </c>
      <c r="Y176" s="163">
        <v>2244</v>
      </c>
      <c r="Z176" s="166">
        <v>2.2045604141901383E-2</v>
      </c>
      <c r="AA176" s="34" t="s">
        <v>621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600</v>
      </c>
      <c r="B177" s="784" t="s">
        <v>214</v>
      </c>
      <c r="C177" s="784" t="s">
        <v>625</v>
      </c>
      <c r="D177" s="134">
        <v>241.17</v>
      </c>
      <c r="E177" s="67">
        <v>32621</v>
      </c>
      <c r="F177" s="146">
        <v>0</v>
      </c>
      <c r="G177" s="146">
        <v>0</v>
      </c>
      <c r="H177" s="91">
        <v>32621</v>
      </c>
      <c r="I177" s="67">
        <v>0</v>
      </c>
      <c r="J177" s="739">
        <v>32621</v>
      </c>
      <c r="K177" s="837" t="s">
        <v>621</v>
      </c>
      <c r="L177" s="740">
        <v>0</v>
      </c>
      <c r="M177" s="741">
        <v>241.17</v>
      </c>
      <c r="N177" s="67">
        <v>487</v>
      </c>
      <c r="O177" s="67">
        <v>33108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33108</v>
      </c>
      <c r="V177" s="71">
        <v>137.28075631297426</v>
      </c>
      <c r="W177" s="449">
        <v>33233</v>
      </c>
      <c r="X177" s="67">
        <v>34699</v>
      </c>
      <c r="Y177" s="163">
        <v>-1591</v>
      </c>
      <c r="Z177" s="166">
        <v>-4.5851465460099716E-2</v>
      </c>
      <c r="AA177" s="34" t="s">
        <v>621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600</v>
      </c>
      <c r="B178" s="784" t="s">
        <v>305</v>
      </c>
      <c r="C178" s="784" t="s">
        <v>1506</v>
      </c>
      <c r="D178" s="134">
        <v>349.5</v>
      </c>
      <c r="E178" s="67">
        <v>47273</v>
      </c>
      <c r="F178" s="146">
        <v>0</v>
      </c>
      <c r="G178" s="146">
        <v>0</v>
      </c>
      <c r="H178" s="91">
        <v>47273</v>
      </c>
      <c r="I178" s="67">
        <v>0</v>
      </c>
      <c r="J178" s="739">
        <v>47273</v>
      </c>
      <c r="K178" s="837" t="s">
        <v>621</v>
      </c>
      <c r="L178" s="740">
        <v>0</v>
      </c>
      <c r="M178" s="741">
        <v>349.5</v>
      </c>
      <c r="N178" s="67">
        <v>705</v>
      </c>
      <c r="O178" s="67">
        <v>47978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47978</v>
      </c>
      <c r="V178" s="71">
        <v>137.27610872675251</v>
      </c>
      <c r="W178" s="449">
        <v>48160</v>
      </c>
      <c r="X178" s="67">
        <v>44370</v>
      </c>
      <c r="Y178" s="163">
        <v>3608</v>
      </c>
      <c r="Z178" s="166">
        <v>8.1316204642776654E-2</v>
      </c>
      <c r="AA178" s="34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594</v>
      </c>
      <c r="B179" s="784" t="s">
        <v>334</v>
      </c>
      <c r="C179" s="784" t="s">
        <v>1518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837" t="s">
        <v>644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0</v>
      </c>
      <c r="V179" s="71">
        <v>0</v>
      </c>
      <c r="W179" s="449">
        <v>0</v>
      </c>
      <c r="X179" s="67">
        <v>0</v>
      </c>
      <c r="Y179" s="163">
        <v>0</v>
      </c>
      <c r="Z179" s="166">
        <v>0</v>
      </c>
      <c r="AA179" s="34" t="s">
        <v>644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474</v>
      </c>
      <c r="C180" s="784" t="s">
        <v>631</v>
      </c>
      <c r="D180" s="134">
        <v>853.83</v>
      </c>
      <c r="E180" s="67">
        <v>115489</v>
      </c>
      <c r="F180" s="146">
        <v>0</v>
      </c>
      <c r="G180" s="146">
        <v>0</v>
      </c>
      <c r="H180" s="91">
        <v>115489</v>
      </c>
      <c r="I180" s="67">
        <v>0</v>
      </c>
      <c r="J180" s="739">
        <v>115489</v>
      </c>
      <c r="K180" s="837" t="s">
        <v>621</v>
      </c>
      <c r="L180" s="740">
        <v>0</v>
      </c>
      <c r="M180" s="741">
        <v>853.83</v>
      </c>
      <c r="N180" s="67">
        <v>1723</v>
      </c>
      <c r="O180" s="67">
        <v>117212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117212</v>
      </c>
      <c r="V180" s="71">
        <v>137.27791246501059</v>
      </c>
      <c r="W180" s="449">
        <v>117654</v>
      </c>
      <c r="X180" s="67">
        <v>113289</v>
      </c>
      <c r="Y180" s="163">
        <v>3923</v>
      </c>
      <c r="Z180" s="166">
        <v>3.4628251639611966E-2</v>
      </c>
      <c r="AA180" s="34" t="s">
        <v>621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603</v>
      </c>
      <c r="B181" s="784" t="s">
        <v>468</v>
      </c>
      <c r="C181" s="784" t="s">
        <v>1586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837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299179</v>
      </c>
      <c r="X181" s="67">
        <v>0</v>
      </c>
      <c r="Y181" s="163">
        <v>0</v>
      </c>
      <c r="Z181" s="166">
        <v>0</v>
      </c>
      <c r="AA181" s="34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597</v>
      </c>
      <c r="B182" s="784" t="s">
        <v>209</v>
      </c>
      <c r="C182" s="784" t="s">
        <v>637</v>
      </c>
      <c r="D182" s="134">
        <v>2191</v>
      </c>
      <c r="E182" s="67">
        <v>296354</v>
      </c>
      <c r="F182" s="146">
        <v>0</v>
      </c>
      <c r="G182" s="146">
        <v>0</v>
      </c>
      <c r="H182" s="91">
        <v>296354</v>
      </c>
      <c r="I182" s="67">
        <v>0</v>
      </c>
      <c r="J182" s="739">
        <v>296354</v>
      </c>
      <c r="K182" s="837" t="s">
        <v>621</v>
      </c>
      <c r="L182" s="740">
        <v>0</v>
      </c>
      <c r="M182" s="741">
        <v>2191</v>
      </c>
      <c r="N182" s="67">
        <v>4421</v>
      </c>
      <c r="O182" s="67">
        <v>300775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300775</v>
      </c>
      <c r="V182" s="71">
        <v>137.2774988589685</v>
      </c>
      <c r="W182" s="449">
        <v>0</v>
      </c>
      <c r="X182" s="67">
        <v>241542</v>
      </c>
      <c r="Y182" s="163">
        <v>59233</v>
      </c>
      <c r="Z182" s="166">
        <v>0.24522857308459811</v>
      </c>
      <c r="AA182" s="34" t="s">
        <v>621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595</v>
      </c>
      <c r="B183" s="784" t="s">
        <v>157</v>
      </c>
      <c r="C183" s="784" t="s">
        <v>1440</v>
      </c>
      <c r="D183" s="134">
        <v>230.32999999999998</v>
      </c>
      <c r="E183" s="67">
        <v>31154</v>
      </c>
      <c r="F183" s="146">
        <v>0</v>
      </c>
      <c r="G183" s="146">
        <v>0</v>
      </c>
      <c r="H183" s="91">
        <v>31154</v>
      </c>
      <c r="I183" s="67">
        <v>0</v>
      </c>
      <c r="J183" s="739">
        <v>31154</v>
      </c>
      <c r="K183" s="837" t="s">
        <v>621</v>
      </c>
      <c r="L183" s="740">
        <v>0</v>
      </c>
      <c r="M183" s="741">
        <v>230.32999999999998</v>
      </c>
      <c r="N183" s="67">
        <v>465</v>
      </c>
      <c r="O183" s="67">
        <v>31619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31619</v>
      </c>
      <c r="V183" s="71">
        <v>137.27695046238009</v>
      </c>
      <c r="W183" s="449">
        <v>31739</v>
      </c>
      <c r="X183" s="67">
        <v>33457</v>
      </c>
      <c r="Y183" s="163">
        <v>-1838</v>
      </c>
      <c r="Z183" s="166">
        <v>-5.4936186747168006E-2</v>
      </c>
      <c r="AA183" s="34" t="s">
        <v>621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541</v>
      </c>
      <c r="C184" s="784" t="s">
        <v>1619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837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594</v>
      </c>
      <c r="B185" s="784" t="s">
        <v>155</v>
      </c>
      <c r="C185" s="784" t="s">
        <v>1439</v>
      </c>
      <c r="D185" s="134">
        <v>46.17</v>
      </c>
      <c r="E185" s="67">
        <v>6245</v>
      </c>
      <c r="F185" s="146">
        <v>0</v>
      </c>
      <c r="G185" s="146">
        <v>0</v>
      </c>
      <c r="H185" s="91">
        <v>6245</v>
      </c>
      <c r="I185" s="67">
        <v>0</v>
      </c>
      <c r="J185" s="739">
        <v>6245</v>
      </c>
      <c r="K185" s="837" t="s">
        <v>1306</v>
      </c>
      <c r="L185" s="740">
        <v>0</v>
      </c>
      <c r="M185" s="741">
        <v>46.17</v>
      </c>
      <c r="N185" s="67">
        <v>93</v>
      </c>
      <c r="O185" s="67">
        <v>6338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6338</v>
      </c>
      <c r="V185" s="71">
        <v>137.27528698288933</v>
      </c>
      <c r="W185" s="449">
        <v>0</v>
      </c>
      <c r="X185" s="67">
        <v>6840</v>
      </c>
      <c r="Y185" s="163">
        <v>-502</v>
      </c>
      <c r="Z185" s="166">
        <v>-7.3391812865497078E-2</v>
      </c>
      <c r="AA185" s="34" t="s">
        <v>1306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599</v>
      </c>
      <c r="B186" s="784" t="s">
        <v>325</v>
      </c>
      <c r="C186" s="784" t="s">
        <v>712</v>
      </c>
      <c r="D186" s="134">
        <v>46.33</v>
      </c>
      <c r="E186" s="67">
        <v>6267</v>
      </c>
      <c r="F186" s="146">
        <v>0</v>
      </c>
      <c r="G186" s="146">
        <v>0</v>
      </c>
      <c r="H186" s="91">
        <v>6267</v>
      </c>
      <c r="I186" s="67">
        <v>0</v>
      </c>
      <c r="J186" s="739">
        <v>6267</v>
      </c>
      <c r="K186" s="837" t="s">
        <v>1306</v>
      </c>
      <c r="L186" s="740">
        <v>0</v>
      </c>
      <c r="M186" s="741">
        <v>46.33</v>
      </c>
      <c r="N186" s="67">
        <v>93</v>
      </c>
      <c r="O186" s="67">
        <v>6360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6360</v>
      </c>
      <c r="V186" s="71">
        <v>137.27606302611699</v>
      </c>
      <c r="W186" s="449">
        <v>0</v>
      </c>
      <c r="X186" s="67">
        <v>6731</v>
      </c>
      <c r="Y186" s="163">
        <v>-371</v>
      </c>
      <c r="Z186" s="166">
        <v>-5.5118110236220472E-2</v>
      </c>
      <c r="AA186" s="34" t="s">
        <v>1306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594</v>
      </c>
      <c r="B187" s="784" t="s">
        <v>153</v>
      </c>
      <c r="C187" s="784" t="s">
        <v>1438</v>
      </c>
      <c r="D187" s="134">
        <v>57</v>
      </c>
      <c r="E187" s="67">
        <v>7710</v>
      </c>
      <c r="F187" s="146">
        <v>0</v>
      </c>
      <c r="G187" s="146">
        <v>0</v>
      </c>
      <c r="H187" s="91">
        <v>7710</v>
      </c>
      <c r="I187" s="67">
        <v>0</v>
      </c>
      <c r="J187" s="739">
        <v>7710</v>
      </c>
      <c r="K187" s="837" t="s">
        <v>1306</v>
      </c>
      <c r="L187" s="740">
        <v>0</v>
      </c>
      <c r="M187" s="741">
        <v>57</v>
      </c>
      <c r="N187" s="67">
        <v>115</v>
      </c>
      <c r="O187" s="67">
        <v>7825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7825</v>
      </c>
      <c r="V187" s="71">
        <v>137.28070175438597</v>
      </c>
      <c r="W187" s="449">
        <v>0</v>
      </c>
      <c r="X187" s="67">
        <v>7209</v>
      </c>
      <c r="Y187" s="163">
        <v>616</v>
      </c>
      <c r="Z187" s="166">
        <v>8.5448744624774586E-2</v>
      </c>
      <c r="AA187" s="34" t="s">
        <v>1306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603</v>
      </c>
      <c r="B188" s="784" t="s">
        <v>287</v>
      </c>
      <c r="C188" s="784" t="s">
        <v>1497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837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601</v>
      </c>
      <c r="B189" s="784" t="s">
        <v>313</v>
      </c>
      <c r="C189" s="784" t="s">
        <v>1509</v>
      </c>
      <c r="D189" s="134">
        <v>87</v>
      </c>
      <c r="E189" s="67">
        <v>11768</v>
      </c>
      <c r="F189" s="146">
        <v>0</v>
      </c>
      <c r="G189" s="146">
        <v>0</v>
      </c>
      <c r="H189" s="91">
        <v>11768</v>
      </c>
      <c r="I189" s="67">
        <v>0</v>
      </c>
      <c r="J189" s="739">
        <v>11768</v>
      </c>
      <c r="K189" s="837" t="s">
        <v>621</v>
      </c>
      <c r="L189" s="740">
        <v>0</v>
      </c>
      <c r="M189" s="741">
        <v>87</v>
      </c>
      <c r="N189" s="67">
        <v>176</v>
      </c>
      <c r="O189" s="67">
        <v>11944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11944</v>
      </c>
      <c r="V189" s="71">
        <v>137.28735632183907</v>
      </c>
      <c r="W189" s="449">
        <v>11988</v>
      </c>
      <c r="X189" s="67">
        <v>15052</v>
      </c>
      <c r="Y189" s="163">
        <v>-3108</v>
      </c>
      <c r="Z189" s="166">
        <v>-0.20648418814775446</v>
      </c>
      <c r="AA189" s="34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594</v>
      </c>
      <c r="B190" s="784" t="s">
        <v>478</v>
      </c>
      <c r="C190" s="784" t="s">
        <v>1590</v>
      </c>
      <c r="D190" s="134">
        <v>294.67</v>
      </c>
      <c r="E190" s="67">
        <v>39857</v>
      </c>
      <c r="F190" s="146">
        <v>0</v>
      </c>
      <c r="G190" s="146">
        <v>0</v>
      </c>
      <c r="H190" s="91">
        <v>39857</v>
      </c>
      <c r="I190" s="67">
        <v>0</v>
      </c>
      <c r="J190" s="739">
        <v>39857</v>
      </c>
      <c r="K190" s="837" t="s">
        <v>621</v>
      </c>
      <c r="L190" s="740">
        <v>0</v>
      </c>
      <c r="M190" s="741">
        <v>294.67</v>
      </c>
      <c r="N190" s="67">
        <v>595</v>
      </c>
      <c r="O190" s="67">
        <v>40452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40452</v>
      </c>
      <c r="V190" s="71">
        <v>137.27899005667356</v>
      </c>
      <c r="W190" s="449">
        <v>40604</v>
      </c>
      <c r="X190" s="67">
        <v>42236</v>
      </c>
      <c r="Y190" s="163">
        <v>-1784</v>
      </c>
      <c r="Z190" s="166">
        <v>-4.2238848375793163E-2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601</v>
      </c>
      <c r="B191" s="784" t="s">
        <v>311</v>
      </c>
      <c r="C191" s="784" t="s">
        <v>1508</v>
      </c>
      <c r="D191" s="134">
        <v>273.83</v>
      </c>
      <c r="E191" s="67">
        <v>37038</v>
      </c>
      <c r="F191" s="146">
        <v>0</v>
      </c>
      <c r="G191" s="146">
        <v>0</v>
      </c>
      <c r="H191" s="91">
        <v>37038</v>
      </c>
      <c r="I191" s="67">
        <v>0</v>
      </c>
      <c r="J191" s="739">
        <v>37038</v>
      </c>
      <c r="K191" s="837" t="s">
        <v>621</v>
      </c>
      <c r="L191" s="740">
        <v>0</v>
      </c>
      <c r="M191" s="741">
        <v>273.83</v>
      </c>
      <c r="N191" s="67">
        <v>553</v>
      </c>
      <c r="O191" s="67">
        <v>37591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37591</v>
      </c>
      <c r="V191" s="71">
        <v>137.27860351312859</v>
      </c>
      <c r="W191" s="449">
        <v>37733</v>
      </c>
      <c r="X191" s="67">
        <v>34785</v>
      </c>
      <c r="Y191" s="163">
        <v>2806</v>
      </c>
      <c r="Z191" s="166">
        <v>8.0666954146902406E-2</v>
      </c>
      <c r="AA191" s="34" t="s">
        <v>621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594</v>
      </c>
      <c r="B192" s="784" t="s">
        <v>270</v>
      </c>
      <c r="C192" s="784" t="s">
        <v>1489</v>
      </c>
      <c r="D192" s="134">
        <v>25.83</v>
      </c>
      <c r="E192" s="67">
        <v>3494</v>
      </c>
      <c r="F192" s="146">
        <v>0</v>
      </c>
      <c r="G192" s="146">
        <v>0</v>
      </c>
      <c r="H192" s="91">
        <v>3494</v>
      </c>
      <c r="I192" s="67">
        <v>0</v>
      </c>
      <c r="J192" s="739">
        <v>3494</v>
      </c>
      <c r="K192" s="837" t="s">
        <v>1306</v>
      </c>
      <c r="L192" s="740">
        <v>0</v>
      </c>
      <c r="M192" s="741">
        <v>25.83</v>
      </c>
      <c r="N192" s="67">
        <v>52</v>
      </c>
      <c r="O192" s="67">
        <v>3546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3546</v>
      </c>
      <c r="V192" s="71">
        <v>137.2822299651568</v>
      </c>
      <c r="W192" s="449">
        <v>0</v>
      </c>
      <c r="X192" s="67">
        <v>4052</v>
      </c>
      <c r="Y192" s="163">
        <v>-506</v>
      </c>
      <c r="Z192" s="166">
        <v>-0.12487660414610069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603</v>
      </c>
      <c r="B193" s="784" t="s">
        <v>448</v>
      </c>
      <c r="C193" s="784" t="s">
        <v>1576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837" t="s">
        <v>644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0</v>
      </c>
      <c r="V193" s="71">
        <v>0</v>
      </c>
      <c r="W193" s="449">
        <v>0</v>
      </c>
      <c r="X193" s="67">
        <v>0</v>
      </c>
      <c r="Y193" s="163">
        <v>0</v>
      </c>
      <c r="Z193" s="166">
        <v>0</v>
      </c>
      <c r="AA193" s="34" t="s">
        <v>644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595</v>
      </c>
      <c r="B194" s="784" t="s">
        <v>372</v>
      </c>
      <c r="C194" s="784" t="s">
        <v>1538</v>
      </c>
      <c r="D194" s="134">
        <v>32.5</v>
      </c>
      <c r="E194" s="67">
        <v>4396</v>
      </c>
      <c r="F194" s="146">
        <v>0</v>
      </c>
      <c r="G194" s="146">
        <v>0</v>
      </c>
      <c r="H194" s="91">
        <v>4396</v>
      </c>
      <c r="I194" s="67">
        <v>0</v>
      </c>
      <c r="J194" s="739">
        <v>4396</v>
      </c>
      <c r="K194" s="837" t="s">
        <v>1306</v>
      </c>
      <c r="L194" s="740">
        <v>0</v>
      </c>
      <c r="M194" s="741">
        <v>32.5</v>
      </c>
      <c r="N194" s="67">
        <v>66</v>
      </c>
      <c r="O194" s="67">
        <v>4462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4462</v>
      </c>
      <c r="V194" s="71">
        <v>137.2923076923077</v>
      </c>
      <c r="W194" s="449">
        <v>0</v>
      </c>
      <c r="X194" s="67">
        <v>5207</v>
      </c>
      <c r="Y194" s="163">
        <v>-745</v>
      </c>
      <c r="Z194" s="166">
        <v>-0.14307662761666987</v>
      </c>
      <c r="AA194" s="34" t="s">
        <v>1306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603</v>
      </c>
      <c r="B195" s="784" t="s">
        <v>424</v>
      </c>
      <c r="C195" s="784" t="s">
        <v>1563</v>
      </c>
      <c r="D195" s="134">
        <v>0.83</v>
      </c>
      <c r="E195" s="67">
        <v>112</v>
      </c>
      <c r="F195" s="146">
        <v>0</v>
      </c>
      <c r="G195" s="146">
        <v>0</v>
      </c>
      <c r="H195" s="91">
        <v>112</v>
      </c>
      <c r="I195" s="67">
        <v>0</v>
      </c>
      <c r="J195" s="739">
        <v>112</v>
      </c>
      <c r="K195" s="837" t="s">
        <v>644</v>
      </c>
      <c r="L195" s="740">
        <v>112</v>
      </c>
      <c r="M195" s="741">
        <v>0</v>
      </c>
      <c r="N195" s="67">
        <v>0</v>
      </c>
      <c r="O195" s="67">
        <v>0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0</v>
      </c>
      <c r="V195" s="71">
        <v>0</v>
      </c>
      <c r="W195" s="449">
        <v>0</v>
      </c>
      <c r="X195" s="67">
        <v>0</v>
      </c>
      <c r="Y195" s="163">
        <v>0</v>
      </c>
      <c r="Z195" s="166">
        <v>0</v>
      </c>
      <c r="AA195" s="34" t="s">
        <v>644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603</v>
      </c>
      <c r="B196" s="784" t="s">
        <v>98</v>
      </c>
      <c r="C196" s="784" t="s">
        <v>1413</v>
      </c>
      <c r="D196" s="134">
        <v>0</v>
      </c>
      <c r="E196" s="67">
        <v>0</v>
      </c>
      <c r="F196" s="146">
        <v>0</v>
      </c>
      <c r="G196" s="146">
        <v>0</v>
      </c>
      <c r="H196" s="91">
        <v>0</v>
      </c>
      <c r="I196" s="67">
        <v>0</v>
      </c>
      <c r="J196" s="739">
        <v>0</v>
      </c>
      <c r="K196" s="837" t="s">
        <v>644</v>
      </c>
      <c r="L196" s="740">
        <v>0</v>
      </c>
      <c r="M196" s="741">
        <v>0</v>
      </c>
      <c r="N196" s="67">
        <v>0</v>
      </c>
      <c r="O196" s="67">
        <v>0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0</v>
      </c>
      <c r="V196" s="71">
        <v>0</v>
      </c>
      <c r="W196" s="449">
        <v>0</v>
      </c>
      <c r="X196" s="67">
        <v>0</v>
      </c>
      <c r="Y196" s="163">
        <v>0</v>
      </c>
      <c r="Z196" s="166">
        <v>0</v>
      </c>
      <c r="AA196" s="34" t="s">
        <v>644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601</v>
      </c>
      <c r="B197" s="784" t="s">
        <v>82</v>
      </c>
      <c r="C197" s="784" t="s">
        <v>1405</v>
      </c>
      <c r="D197" s="134">
        <v>66</v>
      </c>
      <c r="E197" s="67">
        <v>8927</v>
      </c>
      <c r="F197" s="146">
        <v>0</v>
      </c>
      <c r="G197" s="146">
        <v>0</v>
      </c>
      <c r="H197" s="91">
        <v>8927</v>
      </c>
      <c r="I197" s="67">
        <v>0</v>
      </c>
      <c r="J197" s="739">
        <v>8927</v>
      </c>
      <c r="K197" s="837" t="s">
        <v>1306</v>
      </c>
      <c r="L197" s="740">
        <v>0</v>
      </c>
      <c r="M197" s="741">
        <v>66</v>
      </c>
      <c r="N197" s="67">
        <v>133</v>
      </c>
      <c r="O197" s="67">
        <v>9060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9060</v>
      </c>
      <c r="V197" s="71">
        <v>137.27272727272728</v>
      </c>
      <c r="W197" s="449">
        <v>0</v>
      </c>
      <c r="X197" s="67">
        <v>9780</v>
      </c>
      <c r="Y197" s="163">
        <v>-720</v>
      </c>
      <c r="Z197" s="166">
        <v>-7.3619631901840496E-2</v>
      </c>
      <c r="AA197" s="34" t="s">
        <v>1306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601</v>
      </c>
      <c r="B198" s="784" t="s">
        <v>323</v>
      </c>
      <c r="C198" s="784" t="s">
        <v>1513</v>
      </c>
      <c r="D198" s="134">
        <v>65.17</v>
      </c>
      <c r="E198" s="67">
        <v>8815</v>
      </c>
      <c r="F198" s="146">
        <v>0</v>
      </c>
      <c r="G198" s="146">
        <v>0</v>
      </c>
      <c r="H198" s="91">
        <v>8815</v>
      </c>
      <c r="I198" s="67">
        <v>0</v>
      </c>
      <c r="J198" s="739">
        <v>8815</v>
      </c>
      <c r="K198" s="837" t="s">
        <v>644</v>
      </c>
      <c r="L198" s="740">
        <v>8815</v>
      </c>
      <c r="M198" s="741">
        <v>0</v>
      </c>
      <c r="N198" s="67">
        <v>0</v>
      </c>
      <c r="O198" s="67">
        <v>0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0</v>
      </c>
      <c r="V198" s="71">
        <v>0</v>
      </c>
      <c r="W198" s="449">
        <v>0</v>
      </c>
      <c r="X198" s="67">
        <v>0</v>
      </c>
      <c r="Y198" s="163">
        <v>0</v>
      </c>
      <c r="Z198" s="166">
        <v>0</v>
      </c>
      <c r="AA198" s="34" t="s">
        <v>644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355</v>
      </c>
      <c r="C199" s="784" t="s">
        <v>1529</v>
      </c>
      <c r="D199" s="134">
        <v>62.5</v>
      </c>
      <c r="E199" s="67">
        <v>8454</v>
      </c>
      <c r="F199" s="146">
        <v>0</v>
      </c>
      <c r="G199" s="146">
        <v>0</v>
      </c>
      <c r="H199" s="91">
        <v>8454</v>
      </c>
      <c r="I199" s="67">
        <v>0</v>
      </c>
      <c r="J199" s="739">
        <v>8454</v>
      </c>
      <c r="K199" s="837" t="s">
        <v>1306</v>
      </c>
      <c r="L199" s="740">
        <v>0</v>
      </c>
      <c r="M199" s="741">
        <v>62.5</v>
      </c>
      <c r="N199" s="67">
        <v>126</v>
      </c>
      <c r="O199" s="67">
        <v>8580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8580</v>
      </c>
      <c r="V199" s="71">
        <v>137.28</v>
      </c>
      <c r="W199" s="449">
        <v>0</v>
      </c>
      <c r="X199" s="67">
        <v>8995</v>
      </c>
      <c r="Y199" s="163">
        <v>-415</v>
      </c>
      <c r="Z199" s="166">
        <v>-4.6136742634797112E-2</v>
      </c>
      <c r="AA199" s="34" t="s">
        <v>1306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596</v>
      </c>
      <c r="B200" s="784" t="s">
        <v>4</v>
      </c>
      <c r="C200" s="784" t="s">
        <v>632</v>
      </c>
      <c r="D200" s="134">
        <v>1758</v>
      </c>
      <c r="E200" s="67">
        <v>237786</v>
      </c>
      <c r="F200" s="146">
        <v>0</v>
      </c>
      <c r="G200" s="146">
        <v>0</v>
      </c>
      <c r="H200" s="91">
        <v>237786</v>
      </c>
      <c r="I200" s="67">
        <v>0</v>
      </c>
      <c r="J200" s="739">
        <v>237786</v>
      </c>
      <c r="K200" s="837" t="s">
        <v>621</v>
      </c>
      <c r="L200" s="740">
        <v>0</v>
      </c>
      <c r="M200" s="741">
        <v>1758</v>
      </c>
      <c r="N200" s="67">
        <v>3547</v>
      </c>
      <c r="O200" s="67">
        <v>241333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241333</v>
      </c>
      <c r="V200" s="71">
        <v>137.27701934015928</v>
      </c>
      <c r="W200" s="449">
        <v>242245</v>
      </c>
      <c r="X200" s="67">
        <v>242217</v>
      </c>
      <c r="Y200" s="163">
        <v>-884</v>
      </c>
      <c r="Z200" s="166">
        <v>-3.6496199688708887E-3</v>
      </c>
      <c r="AA200" s="34" t="s">
        <v>621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601</v>
      </c>
      <c r="B201" s="784" t="s">
        <v>86</v>
      </c>
      <c r="C201" s="784" t="s">
        <v>1407</v>
      </c>
      <c r="D201" s="134">
        <v>10</v>
      </c>
      <c r="E201" s="67">
        <v>1353</v>
      </c>
      <c r="F201" s="146">
        <v>0</v>
      </c>
      <c r="G201" s="146">
        <v>0</v>
      </c>
      <c r="H201" s="91">
        <v>1353</v>
      </c>
      <c r="I201" s="67">
        <v>0</v>
      </c>
      <c r="J201" s="739">
        <v>1353</v>
      </c>
      <c r="K201" s="837" t="s">
        <v>644</v>
      </c>
      <c r="L201" s="740">
        <v>1353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603</v>
      </c>
      <c r="B202" s="784" t="s">
        <v>527</v>
      </c>
      <c r="C202" s="784" t="s">
        <v>1612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837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596</v>
      </c>
      <c r="B203" s="784" t="s">
        <v>104</v>
      </c>
      <c r="C203" s="784" t="s">
        <v>1416</v>
      </c>
      <c r="D203" s="134">
        <v>6057.83</v>
      </c>
      <c r="E203" s="67">
        <v>819379</v>
      </c>
      <c r="F203" s="146">
        <v>0</v>
      </c>
      <c r="G203" s="146">
        <v>0</v>
      </c>
      <c r="H203" s="91">
        <v>819379</v>
      </c>
      <c r="I203" s="67">
        <v>0</v>
      </c>
      <c r="J203" s="739">
        <v>819379</v>
      </c>
      <c r="K203" s="837" t="s">
        <v>621</v>
      </c>
      <c r="L203" s="740">
        <v>0</v>
      </c>
      <c r="M203" s="741">
        <v>6057.83</v>
      </c>
      <c r="N203" s="67">
        <v>12223</v>
      </c>
      <c r="O203" s="67">
        <v>831602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831602</v>
      </c>
      <c r="V203" s="71">
        <v>137.2772098259608</v>
      </c>
      <c r="W203" s="449">
        <v>839568</v>
      </c>
      <c r="X203" s="67">
        <v>846278</v>
      </c>
      <c r="Y203" s="163">
        <v>-14676</v>
      </c>
      <c r="Z203" s="166">
        <v>-1.7341819118540245E-2</v>
      </c>
      <c r="AA203" s="34" t="s">
        <v>621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601</v>
      </c>
      <c r="B204" s="784" t="s">
        <v>317</v>
      </c>
      <c r="C204" s="784" t="s">
        <v>1511</v>
      </c>
      <c r="D204" s="134">
        <v>35.5</v>
      </c>
      <c r="E204" s="67">
        <v>4802</v>
      </c>
      <c r="F204" s="146">
        <v>0</v>
      </c>
      <c r="G204" s="146">
        <v>0</v>
      </c>
      <c r="H204" s="91">
        <v>4802</v>
      </c>
      <c r="I204" s="67">
        <v>0</v>
      </c>
      <c r="J204" s="739">
        <v>4802</v>
      </c>
      <c r="K204" s="837" t="s">
        <v>644</v>
      </c>
      <c r="L204" s="740">
        <v>4802</v>
      </c>
      <c r="M204" s="741">
        <v>0</v>
      </c>
      <c r="N204" s="67">
        <v>0</v>
      </c>
      <c r="O204" s="67">
        <v>0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0</v>
      </c>
      <c r="V204" s="71">
        <v>0</v>
      </c>
      <c r="W204" s="449">
        <v>0</v>
      </c>
      <c r="X204" s="67">
        <v>0</v>
      </c>
      <c r="Y204" s="163">
        <v>0</v>
      </c>
      <c r="Z204" s="166">
        <v>0</v>
      </c>
      <c r="AA204" s="34" t="s">
        <v>644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596</v>
      </c>
      <c r="B205" s="784" t="s">
        <v>16</v>
      </c>
      <c r="C205" s="784" t="s">
        <v>1375</v>
      </c>
      <c r="D205" s="134">
        <v>22.83</v>
      </c>
      <c r="E205" s="67">
        <v>3088</v>
      </c>
      <c r="F205" s="146">
        <v>0</v>
      </c>
      <c r="G205" s="146">
        <v>0</v>
      </c>
      <c r="H205" s="91">
        <v>3088</v>
      </c>
      <c r="I205" s="67">
        <v>0</v>
      </c>
      <c r="J205" s="739">
        <v>3088</v>
      </c>
      <c r="K205" s="837" t="s">
        <v>644</v>
      </c>
      <c r="L205" s="740">
        <v>3088</v>
      </c>
      <c r="M205" s="741">
        <v>0</v>
      </c>
      <c r="N205" s="67">
        <v>0</v>
      </c>
      <c r="O205" s="67">
        <v>0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0</v>
      </c>
      <c r="V205" s="71">
        <v>0</v>
      </c>
      <c r="W205" s="449">
        <v>0</v>
      </c>
      <c r="X205" s="67">
        <v>0</v>
      </c>
      <c r="Y205" s="163">
        <v>0</v>
      </c>
      <c r="Z205" s="166">
        <v>0</v>
      </c>
      <c r="AA205" s="34" t="s">
        <v>644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594</v>
      </c>
      <c r="B206" s="784" t="s">
        <v>272</v>
      </c>
      <c r="C206" s="784" t="s">
        <v>1490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837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597</v>
      </c>
      <c r="B207" s="784" t="s">
        <v>359</v>
      </c>
      <c r="C207" s="784" t="s">
        <v>626</v>
      </c>
      <c r="D207" s="134">
        <v>188.5</v>
      </c>
      <c r="E207" s="67">
        <v>25496</v>
      </c>
      <c r="F207" s="146">
        <v>0</v>
      </c>
      <c r="G207" s="146">
        <v>0</v>
      </c>
      <c r="H207" s="91">
        <v>25496</v>
      </c>
      <c r="I207" s="67">
        <v>0</v>
      </c>
      <c r="J207" s="739">
        <v>25496</v>
      </c>
      <c r="K207" s="837" t="s">
        <v>621</v>
      </c>
      <c r="L207" s="740">
        <v>0</v>
      </c>
      <c r="M207" s="741">
        <v>188.5</v>
      </c>
      <c r="N207" s="67">
        <v>380</v>
      </c>
      <c r="O207" s="67">
        <v>25876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25876</v>
      </c>
      <c r="V207" s="71">
        <v>137.27320954907162</v>
      </c>
      <c r="W207" s="449">
        <v>25974</v>
      </c>
      <c r="X207" s="67">
        <v>26292</v>
      </c>
      <c r="Y207" s="163">
        <v>-416</v>
      </c>
      <c r="Z207" s="166">
        <v>-1.5822303362239463E-2</v>
      </c>
      <c r="AA207" s="34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1666</v>
      </c>
      <c r="B208" s="784" t="s">
        <v>1778</v>
      </c>
      <c r="C208" s="784" t="s">
        <v>1786</v>
      </c>
      <c r="D208" s="134">
        <v>0</v>
      </c>
      <c r="E208" s="67">
        <v>0</v>
      </c>
      <c r="F208" s="146">
        <v>0</v>
      </c>
      <c r="G208" s="146">
        <v>0</v>
      </c>
      <c r="H208" s="91">
        <v>0</v>
      </c>
      <c r="I208" s="67">
        <v>0</v>
      </c>
      <c r="J208" s="739">
        <v>0</v>
      </c>
      <c r="K208" s="837" t="s">
        <v>644</v>
      </c>
      <c r="L208" s="740">
        <v>0</v>
      </c>
      <c r="M208" s="741">
        <v>0</v>
      </c>
      <c r="N208" s="67">
        <v>0</v>
      </c>
      <c r="O208" s="67">
        <v>0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0</v>
      </c>
      <c r="V208" s="71">
        <v>0</v>
      </c>
      <c r="W208" s="449">
        <v>0</v>
      </c>
      <c r="X208" s="67">
        <v>0</v>
      </c>
      <c r="Y208" s="163">
        <v>0</v>
      </c>
      <c r="Z208" s="166">
        <v>0</v>
      </c>
      <c r="AA208" s="34" t="s">
        <v>644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594</v>
      </c>
      <c r="B209" s="784" t="s">
        <v>303</v>
      </c>
      <c r="C209" s="784" t="s">
        <v>1505</v>
      </c>
      <c r="D209" s="134">
        <v>21.17</v>
      </c>
      <c r="E209" s="67">
        <v>2863</v>
      </c>
      <c r="F209" s="146">
        <v>0</v>
      </c>
      <c r="G209" s="146">
        <v>0</v>
      </c>
      <c r="H209" s="91">
        <v>2863</v>
      </c>
      <c r="I209" s="67">
        <v>0</v>
      </c>
      <c r="J209" s="739">
        <v>2863</v>
      </c>
      <c r="K209" s="837" t="s">
        <v>644</v>
      </c>
      <c r="L209" s="740">
        <v>2863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596</v>
      </c>
      <c r="B210" s="784" t="s">
        <v>112</v>
      </c>
      <c r="C210" s="784" t="s">
        <v>1420</v>
      </c>
      <c r="D210" s="134">
        <v>3</v>
      </c>
      <c r="E210" s="67">
        <v>406</v>
      </c>
      <c r="F210" s="146">
        <v>0</v>
      </c>
      <c r="G210" s="146">
        <v>0</v>
      </c>
      <c r="H210" s="91">
        <v>406</v>
      </c>
      <c r="I210" s="67">
        <v>0</v>
      </c>
      <c r="J210" s="739">
        <v>406</v>
      </c>
      <c r="K210" s="837" t="s">
        <v>644</v>
      </c>
      <c r="L210" s="740">
        <v>406</v>
      </c>
      <c r="M210" s="741">
        <v>0</v>
      </c>
      <c r="N210" s="67">
        <v>0</v>
      </c>
      <c r="O210" s="67">
        <v>0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0</v>
      </c>
      <c r="V210" s="71">
        <v>0</v>
      </c>
      <c r="W210" s="449">
        <v>0</v>
      </c>
      <c r="X210" s="67">
        <v>0</v>
      </c>
      <c r="Y210" s="163">
        <v>0</v>
      </c>
      <c r="Z210" s="166">
        <v>0</v>
      </c>
      <c r="AA210" s="34" t="s">
        <v>644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600</v>
      </c>
      <c r="B211" s="784" t="s">
        <v>39</v>
      </c>
      <c r="C211" s="784" t="s">
        <v>1385</v>
      </c>
      <c r="D211" s="134">
        <v>54.17</v>
      </c>
      <c r="E211" s="67">
        <v>7327</v>
      </c>
      <c r="F211" s="146">
        <v>0</v>
      </c>
      <c r="G211" s="146">
        <v>0</v>
      </c>
      <c r="H211" s="91">
        <v>7327</v>
      </c>
      <c r="I211" s="67">
        <v>0</v>
      </c>
      <c r="J211" s="739">
        <v>7327</v>
      </c>
      <c r="K211" s="837" t="s">
        <v>644</v>
      </c>
      <c r="L211" s="740">
        <v>7327</v>
      </c>
      <c r="M211" s="741">
        <v>0</v>
      </c>
      <c r="N211" s="67">
        <v>0</v>
      </c>
      <c r="O211" s="67">
        <v>0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34" t="s">
        <v>644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600</v>
      </c>
      <c r="B212" s="784" t="s">
        <v>171</v>
      </c>
      <c r="C212" s="784" t="s">
        <v>1447</v>
      </c>
      <c r="D212" s="134">
        <v>31.66</v>
      </c>
      <c r="E212" s="67">
        <v>4282</v>
      </c>
      <c r="F212" s="146">
        <v>0</v>
      </c>
      <c r="G212" s="146">
        <v>0</v>
      </c>
      <c r="H212" s="91">
        <v>4282</v>
      </c>
      <c r="I212" s="67">
        <v>0</v>
      </c>
      <c r="J212" s="739">
        <v>4282</v>
      </c>
      <c r="K212" s="837" t="s">
        <v>644</v>
      </c>
      <c r="L212" s="740">
        <v>4282</v>
      </c>
      <c r="M212" s="741">
        <v>0</v>
      </c>
      <c r="N212" s="67">
        <v>0</v>
      </c>
      <c r="O212" s="67">
        <v>0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0</v>
      </c>
      <c r="V212" s="71">
        <v>0</v>
      </c>
      <c r="W212" s="449">
        <v>0</v>
      </c>
      <c r="X212" s="67">
        <v>0</v>
      </c>
      <c r="Y212" s="163">
        <v>0</v>
      </c>
      <c r="Z212" s="166">
        <v>0</v>
      </c>
      <c r="AA212" s="34" t="s">
        <v>644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596</v>
      </c>
      <c r="B213" s="784" t="s">
        <v>502</v>
      </c>
      <c r="C213" s="784" t="s">
        <v>1601</v>
      </c>
      <c r="D213" s="134">
        <v>80.66</v>
      </c>
      <c r="E213" s="67">
        <v>10910</v>
      </c>
      <c r="F213" s="146">
        <v>0</v>
      </c>
      <c r="G213" s="146">
        <v>0</v>
      </c>
      <c r="H213" s="91">
        <v>10910</v>
      </c>
      <c r="I213" s="67">
        <v>0</v>
      </c>
      <c r="J213" s="739">
        <v>10910</v>
      </c>
      <c r="K213" s="837" t="s">
        <v>621</v>
      </c>
      <c r="L213" s="740">
        <v>0</v>
      </c>
      <c r="M213" s="741">
        <v>80.66</v>
      </c>
      <c r="N213" s="67">
        <v>163</v>
      </c>
      <c r="O213" s="67">
        <v>11073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11073</v>
      </c>
      <c r="V213" s="71">
        <v>137.27994049094968</v>
      </c>
      <c r="W213" s="449">
        <v>11114</v>
      </c>
      <c r="X213" s="67">
        <v>12155</v>
      </c>
      <c r="Y213" s="163">
        <v>-1082</v>
      </c>
      <c r="Z213" s="166">
        <v>-8.9016865487453717E-2</v>
      </c>
      <c r="AA213" s="34" t="s">
        <v>621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1666</v>
      </c>
      <c r="B214" s="784" t="s">
        <v>1690</v>
      </c>
      <c r="C214" s="784" t="s">
        <v>1765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837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644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596</v>
      </c>
      <c r="B215" s="784" t="s">
        <v>21</v>
      </c>
      <c r="C215" s="784" t="s">
        <v>1378</v>
      </c>
      <c r="D215" s="134">
        <v>582.5</v>
      </c>
      <c r="E215" s="67">
        <v>78789</v>
      </c>
      <c r="F215" s="146">
        <v>0</v>
      </c>
      <c r="G215" s="146">
        <v>0</v>
      </c>
      <c r="H215" s="91">
        <v>78789</v>
      </c>
      <c r="I215" s="67">
        <v>0</v>
      </c>
      <c r="J215" s="739">
        <v>78789</v>
      </c>
      <c r="K215" s="837" t="s">
        <v>621</v>
      </c>
      <c r="L215" s="740">
        <v>0</v>
      </c>
      <c r="M215" s="741">
        <v>582.5</v>
      </c>
      <c r="N215" s="67">
        <v>1175</v>
      </c>
      <c r="O215" s="67">
        <v>79964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79964</v>
      </c>
      <c r="V215" s="71">
        <v>137.27725321888411</v>
      </c>
      <c r="W215" s="449">
        <v>80267</v>
      </c>
      <c r="X215" s="67">
        <v>79984</v>
      </c>
      <c r="Y215" s="163">
        <v>-20</v>
      </c>
      <c r="Z215" s="166">
        <v>-2.500500100020004E-4</v>
      </c>
      <c r="AA215" s="34" t="s">
        <v>621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603</v>
      </c>
      <c r="B216" s="784" t="s">
        <v>523</v>
      </c>
      <c r="C216" s="784" t="s">
        <v>1610</v>
      </c>
      <c r="D216" s="134">
        <v>110.5</v>
      </c>
      <c r="E216" s="67">
        <v>14946</v>
      </c>
      <c r="F216" s="146">
        <v>0</v>
      </c>
      <c r="G216" s="146">
        <v>0</v>
      </c>
      <c r="H216" s="91">
        <v>14946</v>
      </c>
      <c r="I216" s="67">
        <v>0</v>
      </c>
      <c r="J216" s="739">
        <v>14946</v>
      </c>
      <c r="K216" s="837" t="s">
        <v>621</v>
      </c>
      <c r="L216" s="740">
        <v>0</v>
      </c>
      <c r="M216" s="741">
        <v>110.5</v>
      </c>
      <c r="N216" s="67">
        <v>223</v>
      </c>
      <c r="O216" s="67">
        <v>15169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15169</v>
      </c>
      <c r="V216" s="71">
        <v>137.27601809954751</v>
      </c>
      <c r="W216" s="449">
        <v>15227</v>
      </c>
      <c r="X216" s="67">
        <v>19517</v>
      </c>
      <c r="Y216" s="163">
        <v>-4348</v>
      </c>
      <c r="Z216" s="166">
        <v>-0.22278014039042884</v>
      </c>
      <c r="AA216" s="34" t="s">
        <v>621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1666</v>
      </c>
      <c r="B217" s="784" t="s">
        <v>1779</v>
      </c>
      <c r="C217" s="784" t="s">
        <v>1787</v>
      </c>
      <c r="D217" s="134">
        <v>0</v>
      </c>
      <c r="E217" s="67">
        <v>0</v>
      </c>
      <c r="F217" s="146">
        <v>0</v>
      </c>
      <c r="G217" s="146">
        <v>0</v>
      </c>
      <c r="H217" s="91">
        <v>0</v>
      </c>
      <c r="I217" s="67">
        <v>0</v>
      </c>
      <c r="J217" s="739">
        <v>0</v>
      </c>
      <c r="K217" s="837" t="s">
        <v>644</v>
      </c>
      <c r="L217" s="740">
        <v>0</v>
      </c>
      <c r="M217" s="741">
        <v>0</v>
      </c>
      <c r="N217" s="67">
        <v>0</v>
      </c>
      <c r="O217" s="67">
        <v>0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0</v>
      </c>
      <c r="V217" s="71">
        <v>0</v>
      </c>
      <c r="W217" s="449">
        <v>0</v>
      </c>
      <c r="X217" s="67">
        <v>0</v>
      </c>
      <c r="Y217" s="163">
        <v>0</v>
      </c>
      <c r="Z217" s="166">
        <v>0</v>
      </c>
      <c r="AA217" s="34" t="s">
        <v>644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597</v>
      </c>
      <c r="B218" s="784" t="s">
        <v>343</v>
      </c>
      <c r="C218" s="784" t="s">
        <v>1523</v>
      </c>
      <c r="D218" s="134">
        <v>1292.67</v>
      </c>
      <c r="E218" s="67">
        <v>174846</v>
      </c>
      <c r="F218" s="146">
        <v>0</v>
      </c>
      <c r="G218" s="146">
        <v>0</v>
      </c>
      <c r="H218" s="91">
        <v>174846</v>
      </c>
      <c r="I218" s="67">
        <v>0</v>
      </c>
      <c r="J218" s="739">
        <v>174846</v>
      </c>
      <c r="K218" s="837" t="s">
        <v>621</v>
      </c>
      <c r="L218" s="740">
        <v>0</v>
      </c>
      <c r="M218" s="741">
        <v>1292.67</v>
      </c>
      <c r="N218" s="67">
        <v>2608</v>
      </c>
      <c r="O218" s="67">
        <v>177454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177454</v>
      </c>
      <c r="V218" s="71">
        <v>137.2771086201428</v>
      </c>
      <c r="W218" s="449">
        <v>178125</v>
      </c>
      <c r="X218" s="67">
        <v>182577</v>
      </c>
      <c r="Y218" s="163">
        <v>-5123</v>
      </c>
      <c r="Z218" s="166">
        <v>-2.8059394118645831E-2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600</v>
      </c>
      <c r="B219" s="784" t="s">
        <v>163</v>
      </c>
      <c r="C219" s="784" t="s">
        <v>1443</v>
      </c>
      <c r="D219" s="134">
        <v>0</v>
      </c>
      <c r="E219" s="67">
        <v>0</v>
      </c>
      <c r="F219" s="146">
        <v>0</v>
      </c>
      <c r="G219" s="146">
        <v>0</v>
      </c>
      <c r="H219" s="91">
        <v>0</v>
      </c>
      <c r="I219" s="67">
        <v>0</v>
      </c>
      <c r="J219" s="739">
        <v>0</v>
      </c>
      <c r="K219" s="837" t="s">
        <v>644</v>
      </c>
      <c r="L219" s="740">
        <v>0</v>
      </c>
      <c r="M219" s="741">
        <v>0</v>
      </c>
      <c r="N219" s="67">
        <v>0</v>
      </c>
      <c r="O219" s="67">
        <v>0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0</v>
      </c>
      <c r="V219" s="71">
        <v>0</v>
      </c>
      <c r="W219" s="449">
        <v>0</v>
      </c>
      <c r="X219" s="67">
        <v>0</v>
      </c>
      <c r="Y219" s="163">
        <v>0</v>
      </c>
      <c r="Z219" s="166">
        <v>0</v>
      </c>
      <c r="AA219" s="34" t="s">
        <v>644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600</v>
      </c>
      <c r="B220" s="784" t="s">
        <v>167</v>
      </c>
      <c r="C220" s="784" t="s">
        <v>1445</v>
      </c>
      <c r="D220" s="134">
        <v>0</v>
      </c>
      <c r="E220" s="67">
        <v>0</v>
      </c>
      <c r="F220" s="146">
        <v>0</v>
      </c>
      <c r="G220" s="146">
        <v>0</v>
      </c>
      <c r="H220" s="91">
        <v>0</v>
      </c>
      <c r="I220" s="67">
        <v>0</v>
      </c>
      <c r="J220" s="739">
        <v>0</v>
      </c>
      <c r="K220" s="837" t="s">
        <v>644</v>
      </c>
      <c r="L220" s="740">
        <v>0</v>
      </c>
      <c r="M220" s="741">
        <v>0</v>
      </c>
      <c r="N220" s="67">
        <v>0</v>
      </c>
      <c r="O220" s="67">
        <v>0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0</v>
      </c>
      <c r="V220" s="71">
        <v>0</v>
      </c>
      <c r="W220" s="449">
        <v>0</v>
      </c>
      <c r="X220" s="67">
        <v>0</v>
      </c>
      <c r="Y220" s="163">
        <v>0</v>
      </c>
      <c r="Z220" s="166">
        <v>0</v>
      </c>
      <c r="AA220" s="34" t="s">
        <v>644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600</v>
      </c>
      <c r="B221" s="784" t="s">
        <v>47</v>
      </c>
      <c r="C221" s="784" t="s">
        <v>1389</v>
      </c>
      <c r="D221" s="134">
        <v>226.33</v>
      </c>
      <c r="E221" s="67">
        <v>30613</v>
      </c>
      <c r="F221" s="146">
        <v>0</v>
      </c>
      <c r="G221" s="146">
        <v>0</v>
      </c>
      <c r="H221" s="91">
        <v>30613</v>
      </c>
      <c r="I221" s="67">
        <v>0</v>
      </c>
      <c r="J221" s="739">
        <v>30613</v>
      </c>
      <c r="K221" s="837" t="s">
        <v>621</v>
      </c>
      <c r="L221" s="740">
        <v>0</v>
      </c>
      <c r="M221" s="741">
        <v>226.33</v>
      </c>
      <c r="N221" s="67">
        <v>457</v>
      </c>
      <c r="O221" s="67">
        <v>31070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31070</v>
      </c>
      <c r="V221" s="71">
        <v>137.27742676622631</v>
      </c>
      <c r="W221" s="449">
        <v>31187</v>
      </c>
      <c r="X221" s="67">
        <v>29536</v>
      </c>
      <c r="Y221" s="163">
        <v>1534</v>
      </c>
      <c r="Z221" s="166">
        <v>5.1936619718309859E-2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594</v>
      </c>
      <c r="B222" s="784" t="s">
        <v>145</v>
      </c>
      <c r="C222" s="784" t="s">
        <v>607</v>
      </c>
      <c r="D222" s="134">
        <v>39.67</v>
      </c>
      <c r="E222" s="67">
        <v>5366</v>
      </c>
      <c r="F222" s="146">
        <v>0</v>
      </c>
      <c r="G222" s="146">
        <v>0</v>
      </c>
      <c r="H222" s="91">
        <v>5366</v>
      </c>
      <c r="I222" s="67">
        <v>0</v>
      </c>
      <c r="J222" s="739">
        <v>5366</v>
      </c>
      <c r="K222" s="837" t="s">
        <v>1306</v>
      </c>
      <c r="L222" s="740">
        <v>0</v>
      </c>
      <c r="M222" s="741">
        <v>39.67</v>
      </c>
      <c r="N222" s="67">
        <v>80</v>
      </c>
      <c r="O222" s="67">
        <v>5446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5446</v>
      </c>
      <c r="V222" s="71">
        <v>137.28258129568943</v>
      </c>
      <c r="W222" s="449">
        <v>0</v>
      </c>
      <c r="X222" s="67">
        <v>5250</v>
      </c>
      <c r="Y222" s="163">
        <v>196</v>
      </c>
      <c r="Z222" s="166">
        <v>3.7333333333333336E-2</v>
      </c>
      <c r="AA222" s="34" t="s">
        <v>1306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601</v>
      </c>
      <c r="B223" s="784" t="s">
        <v>116</v>
      </c>
      <c r="C223" s="784" t="s">
        <v>1421</v>
      </c>
      <c r="D223" s="134">
        <v>1224.17</v>
      </c>
      <c r="E223" s="67">
        <v>165581</v>
      </c>
      <c r="F223" s="146">
        <v>0</v>
      </c>
      <c r="G223" s="146">
        <v>0</v>
      </c>
      <c r="H223" s="91">
        <v>165581</v>
      </c>
      <c r="I223" s="67">
        <v>0</v>
      </c>
      <c r="J223" s="739">
        <v>165581</v>
      </c>
      <c r="K223" s="837" t="s">
        <v>621</v>
      </c>
      <c r="L223" s="740">
        <v>0</v>
      </c>
      <c r="M223" s="741">
        <v>1224.17</v>
      </c>
      <c r="N223" s="67">
        <v>2470</v>
      </c>
      <c r="O223" s="67">
        <v>168051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168051</v>
      </c>
      <c r="V223" s="71">
        <v>137.27750230768601</v>
      </c>
      <c r="W223" s="449">
        <v>168686</v>
      </c>
      <c r="X223" s="67">
        <v>164585</v>
      </c>
      <c r="Y223" s="163">
        <v>3466</v>
      </c>
      <c r="Z223" s="166">
        <v>2.1059027250356958E-2</v>
      </c>
      <c r="AA223" s="34" t="s">
        <v>621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594</v>
      </c>
      <c r="B224" s="784" t="s">
        <v>480</v>
      </c>
      <c r="C224" s="784" t="s">
        <v>1591</v>
      </c>
      <c r="D224" s="134">
        <v>0</v>
      </c>
      <c r="E224" s="67">
        <v>0</v>
      </c>
      <c r="F224" s="146">
        <v>0</v>
      </c>
      <c r="G224" s="146">
        <v>0</v>
      </c>
      <c r="H224" s="91">
        <v>0</v>
      </c>
      <c r="I224" s="67">
        <v>0</v>
      </c>
      <c r="J224" s="739">
        <v>0</v>
      </c>
      <c r="K224" s="837" t="s">
        <v>644</v>
      </c>
      <c r="L224" s="740">
        <v>0</v>
      </c>
      <c r="M224" s="741">
        <v>0</v>
      </c>
      <c r="N224" s="67">
        <v>0</v>
      </c>
      <c r="O224" s="67">
        <v>0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0</v>
      </c>
      <c r="V224" s="71">
        <v>0</v>
      </c>
      <c r="W224" s="449">
        <v>0</v>
      </c>
      <c r="X224" s="67">
        <v>0</v>
      </c>
      <c r="Y224" s="163">
        <v>0</v>
      </c>
      <c r="Z224" s="166">
        <v>0</v>
      </c>
      <c r="AA224" s="34" t="s">
        <v>644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1666</v>
      </c>
      <c r="B225" s="784" t="s">
        <v>1686</v>
      </c>
      <c r="C225" s="784" t="s">
        <v>1766</v>
      </c>
      <c r="D225" s="134">
        <v>81.5</v>
      </c>
      <c r="E225" s="67">
        <v>11024</v>
      </c>
      <c r="F225" s="146">
        <v>0</v>
      </c>
      <c r="G225" s="146">
        <v>0</v>
      </c>
      <c r="H225" s="91">
        <v>11024</v>
      </c>
      <c r="I225" s="67">
        <v>0</v>
      </c>
      <c r="J225" s="739">
        <v>11024</v>
      </c>
      <c r="K225" s="837" t="s">
        <v>621</v>
      </c>
      <c r="L225" s="740">
        <v>0</v>
      </c>
      <c r="M225" s="741">
        <v>81.5</v>
      </c>
      <c r="N225" s="67">
        <v>164</v>
      </c>
      <c r="O225" s="67">
        <v>11188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11188</v>
      </c>
      <c r="V225" s="71">
        <v>137.27607361963192</v>
      </c>
      <c r="W225" s="449">
        <v>11230</v>
      </c>
      <c r="X225" s="67">
        <v>10673</v>
      </c>
      <c r="Y225" s="163">
        <v>515</v>
      </c>
      <c r="Z225" s="166">
        <v>4.8252600018738871E-2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1666</v>
      </c>
      <c r="B226" s="784" t="s">
        <v>1720</v>
      </c>
      <c r="C226" s="784" t="s">
        <v>1789</v>
      </c>
      <c r="D226" s="134">
        <v>22.33</v>
      </c>
      <c r="E226" s="67">
        <v>3020</v>
      </c>
      <c r="F226" s="146">
        <v>0</v>
      </c>
      <c r="G226" s="146">
        <v>0</v>
      </c>
      <c r="H226" s="91">
        <v>3020</v>
      </c>
      <c r="I226" s="67">
        <v>0</v>
      </c>
      <c r="J226" s="739">
        <v>3020</v>
      </c>
      <c r="K226" s="837" t="s">
        <v>1306</v>
      </c>
      <c r="L226" s="740">
        <v>0</v>
      </c>
      <c r="M226" s="741">
        <v>22.33</v>
      </c>
      <c r="N226" s="67">
        <v>45</v>
      </c>
      <c r="O226" s="67">
        <v>3065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3065</v>
      </c>
      <c r="V226" s="71">
        <v>137.25929243170623</v>
      </c>
      <c r="W226" s="449">
        <v>0</v>
      </c>
      <c r="X226" s="67">
        <v>5183</v>
      </c>
      <c r="Y226" s="163">
        <v>-2118</v>
      </c>
      <c r="Z226" s="166">
        <v>-0.4086436426779857</v>
      </c>
      <c r="AA226" s="34" t="s">
        <v>1306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594</v>
      </c>
      <c r="B227" s="784" t="s">
        <v>327</v>
      </c>
      <c r="C227" s="784" t="s">
        <v>1514</v>
      </c>
      <c r="D227" s="134">
        <v>68.5</v>
      </c>
      <c r="E227" s="67">
        <v>9265</v>
      </c>
      <c r="F227" s="146">
        <v>0</v>
      </c>
      <c r="G227" s="146">
        <v>0</v>
      </c>
      <c r="H227" s="91">
        <v>9265</v>
      </c>
      <c r="I227" s="67">
        <v>0</v>
      </c>
      <c r="J227" s="739">
        <v>9265</v>
      </c>
      <c r="K227" s="837" t="s">
        <v>1306</v>
      </c>
      <c r="L227" s="740">
        <v>0</v>
      </c>
      <c r="M227" s="741">
        <v>68.5</v>
      </c>
      <c r="N227" s="67">
        <v>138</v>
      </c>
      <c r="O227" s="67">
        <v>9403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9403</v>
      </c>
      <c r="V227" s="71">
        <v>137.27007299270073</v>
      </c>
      <c r="W227" s="449">
        <v>0</v>
      </c>
      <c r="X227" s="67">
        <v>9040</v>
      </c>
      <c r="Y227" s="163">
        <v>363</v>
      </c>
      <c r="Z227" s="166">
        <v>4.0154867256637167E-2</v>
      </c>
      <c r="AA227" s="34" t="s">
        <v>1306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603</v>
      </c>
      <c r="B228" s="784" t="s">
        <v>282</v>
      </c>
      <c r="C228" s="784" t="s">
        <v>1494</v>
      </c>
      <c r="D228" s="134">
        <v>13.66</v>
      </c>
      <c r="E228" s="67">
        <v>1848</v>
      </c>
      <c r="F228" s="146">
        <v>0</v>
      </c>
      <c r="G228" s="146">
        <v>0</v>
      </c>
      <c r="H228" s="91">
        <v>1848</v>
      </c>
      <c r="I228" s="67">
        <v>0</v>
      </c>
      <c r="J228" s="739">
        <v>1848</v>
      </c>
      <c r="K228" s="837" t="s">
        <v>644</v>
      </c>
      <c r="L228" s="740">
        <v>1848</v>
      </c>
      <c r="M228" s="741">
        <v>0</v>
      </c>
      <c r="N228" s="67">
        <v>0</v>
      </c>
      <c r="O228" s="67">
        <v>0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644</v>
      </c>
      <c r="AC228" s="67"/>
      <c r="AD228" s="451"/>
      <c r="AE228" s="452"/>
      <c r="AH228" s="36"/>
      <c r="AI228" s="36"/>
      <c r="AJ228" s="36"/>
      <c r="AK228" s="19"/>
    </row>
    <row r="229" spans="1:37">
      <c r="A229" s="64" t="s">
        <v>597</v>
      </c>
      <c r="B229" s="784" t="s">
        <v>185</v>
      </c>
      <c r="C229" s="784" t="s">
        <v>638</v>
      </c>
      <c r="D229" s="134">
        <v>2955.5</v>
      </c>
      <c r="E229" s="67">
        <v>399759</v>
      </c>
      <c r="F229" s="146">
        <v>0</v>
      </c>
      <c r="G229" s="146">
        <v>0</v>
      </c>
      <c r="H229" s="91">
        <v>399759</v>
      </c>
      <c r="I229" s="67">
        <v>0</v>
      </c>
      <c r="J229" s="739">
        <v>399759</v>
      </c>
      <c r="K229" s="837" t="s">
        <v>621</v>
      </c>
      <c r="L229" s="740">
        <v>0</v>
      </c>
      <c r="M229" s="741">
        <v>2955.5</v>
      </c>
      <c r="N229" s="67">
        <v>5964</v>
      </c>
      <c r="O229" s="67">
        <v>405723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405723</v>
      </c>
      <c r="V229" s="71">
        <v>137.27727964811368</v>
      </c>
      <c r="W229" s="449">
        <v>407257</v>
      </c>
      <c r="X229" s="67">
        <v>381426</v>
      </c>
      <c r="Y229" s="163">
        <v>24297</v>
      </c>
      <c r="Z229" s="166">
        <v>6.3700429441097356E-2</v>
      </c>
      <c r="AA229" s="34" t="s">
        <v>621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603</v>
      </c>
      <c r="B230" s="785" t="s">
        <v>102</v>
      </c>
      <c r="C230" s="784" t="s">
        <v>1415</v>
      </c>
      <c r="D230" s="134">
        <v>0</v>
      </c>
      <c r="E230" s="67">
        <v>0</v>
      </c>
      <c r="F230" s="146">
        <v>0</v>
      </c>
      <c r="G230" s="146">
        <v>0</v>
      </c>
      <c r="H230" s="91">
        <v>0</v>
      </c>
      <c r="I230" s="67">
        <v>0</v>
      </c>
      <c r="J230" s="739">
        <v>0</v>
      </c>
      <c r="K230" s="837" t="s">
        <v>644</v>
      </c>
      <c r="L230" s="740">
        <v>0</v>
      </c>
      <c r="M230" s="741">
        <v>0</v>
      </c>
      <c r="N230" s="67">
        <v>0</v>
      </c>
      <c r="O230" s="67">
        <v>0</v>
      </c>
      <c r="P230" s="674"/>
      <c r="Q230" s="674">
        <v>0</v>
      </c>
      <c r="R230" s="674" t="s">
        <v>1730</v>
      </c>
      <c r="S230" s="798" t="s">
        <v>801</v>
      </c>
      <c r="T230" s="798">
        <v>0</v>
      </c>
      <c r="U230" s="88">
        <v>0</v>
      </c>
      <c r="V230" s="71">
        <v>0</v>
      </c>
      <c r="W230" s="449">
        <v>0</v>
      </c>
      <c r="X230" s="67">
        <v>0</v>
      </c>
      <c r="Y230" s="163">
        <v>0</v>
      </c>
      <c r="Z230" s="166">
        <v>0</v>
      </c>
      <c r="AA230" s="34" t="s">
        <v>644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596</v>
      </c>
      <c r="B231" s="784" t="s">
        <v>23</v>
      </c>
      <c r="C231" s="784" t="s">
        <v>1379</v>
      </c>
      <c r="D231" s="134">
        <v>733.5</v>
      </c>
      <c r="E231" s="67">
        <v>99213</v>
      </c>
      <c r="F231" s="146">
        <v>0</v>
      </c>
      <c r="G231" s="146">
        <v>0</v>
      </c>
      <c r="H231" s="91">
        <v>99213</v>
      </c>
      <c r="I231" s="67">
        <v>0</v>
      </c>
      <c r="J231" s="739">
        <v>99213</v>
      </c>
      <c r="K231" s="837" t="s">
        <v>621</v>
      </c>
      <c r="L231" s="740">
        <v>0</v>
      </c>
      <c r="M231" s="741">
        <v>733.5</v>
      </c>
      <c r="N231" s="67">
        <v>1480</v>
      </c>
      <c r="O231" s="67">
        <v>100693</v>
      </c>
      <c r="Q231" s="674">
        <v>0</v>
      </c>
      <c r="R231" s="674" t="s">
        <v>1730</v>
      </c>
      <c r="S231" s="798" t="s">
        <v>801</v>
      </c>
      <c r="T231" s="798">
        <v>0</v>
      </c>
      <c r="U231" s="88">
        <v>100693</v>
      </c>
      <c r="V231" s="71">
        <v>137.27743694614861</v>
      </c>
      <c r="W231" s="449">
        <v>101074</v>
      </c>
      <c r="X231" s="67">
        <v>97562</v>
      </c>
      <c r="Y231" s="163">
        <v>3131</v>
      </c>
      <c r="Z231" s="166">
        <v>3.2092413029663189E-2</v>
      </c>
      <c r="AA231" s="34" t="s">
        <v>621</v>
      </c>
      <c r="AC231" s="303"/>
      <c r="AD231" s="451"/>
      <c r="AE231" s="452"/>
      <c r="AH231" s="36"/>
      <c r="AI231" s="36"/>
      <c r="AJ231" s="36"/>
      <c r="AK231" s="19"/>
    </row>
    <row r="232" spans="1:37">
      <c r="A232" s="64" t="s">
        <v>599</v>
      </c>
      <c r="B232" s="784" t="s">
        <v>64</v>
      </c>
      <c r="C232" s="784" t="s">
        <v>1397</v>
      </c>
      <c r="D232" s="134">
        <v>89.33</v>
      </c>
      <c r="E232" s="67">
        <v>12083</v>
      </c>
      <c r="F232" s="146">
        <v>0</v>
      </c>
      <c r="G232" s="146">
        <v>0</v>
      </c>
      <c r="H232" s="91">
        <v>12083</v>
      </c>
      <c r="I232" s="67">
        <v>0</v>
      </c>
      <c r="J232" s="739">
        <v>12083</v>
      </c>
      <c r="K232" s="837" t="s">
        <v>621</v>
      </c>
      <c r="L232" s="740">
        <v>0</v>
      </c>
      <c r="M232" s="741">
        <v>89.33</v>
      </c>
      <c r="N232" s="67">
        <v>180</v>
      </c>
      <c r="O232" s="67">
        <v>12263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12263</v>
      </c>
      <c r="V232" s="71">
        <v>137.27751035486398</v>
      </c>
      <c r="W232" s="449">
        <v>12309</v>
      </c>
      <c r="X232" s="67">
        <v>13331</v>
      </c>
      <c r="Y232" s="163">
        <v>-1068</v>
      </c>
      <c r="Z232" s="166">
        <v>-8.0114019953491863E-2</v>
      </c>
      <c r="AA232" s="34" t="s">
        <v>621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8</v>
      </c>
      <c r="C233" s="784" t="s">
        <v>1372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837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644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446</v>
      </c>
      <c r="C234" s="784" t="s">
        <v>1575</v>
      </c>
      <c r="D234" s="134">
        <v>11.67</v>
      </c>
      <c r="E234" s="67">
        <v>1578</v>
      </c>
      <c r="F234" s="146">
        <v>0</v>
      </c>
      <c r="G234" s="146">
        <v>0</v>
      </c>
      <c r="H234" s="91">
        <v>1578</v>
      </c>
      <c r="I234" s="67">
        <v>0</v>
      </c>
      <c r="J234" s="739">
        <v>1578</v>
      </c>
      <c r="K234" s="837" t="s">
        <v>644</v>
      </c>
      <c r="L234" s="740">
        <v>1578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597</v>
      </c>
      <c r="B235" s="784" t="s">
        <v>193</v>
      </c>
      <c r="C235" s="784" t="s">
        <v>1457</v>
      </c>
      <c r="D235" s="134">
        <v>182</v>
      </c>
      <c r="E235" s="67">
        <v>24617</v>
      </c>
      <c r="F235" s="146">
        <v>0</v>
      </c>
      <c r="G235" s="146">
        <v>0</v>
      </c>
      <c r="H235" s="91">
        <v>24617</v>
      </c>
      <c r="I235" s="67">
        <v>0</v>
      </c>
      <c r="J235" s="739">
        <v>24617</v>
      </c>
      <c r="K235" s="837" t="s">
        <v>621</v>
      </c>
      <c r="L235" s="740">
        <v>0</v>
      </c>
      <c r="M235" s="741">
        <v>182</v>
      </c>
      <c r="N235" s="67">
        <v>367</v>
      </c>
      <c r="O235" s="67">
        <v>24984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24984</v>
      </c>
      <c r="V235" s="71">
        <v>137.27472527472528</v>
      </c>
      <c r="W235" s="449">
        <v>25079</v>
      </c>
      <c r="X235" s="67">
        <v>22849</v>
      </c>
      <c r="Y235" s="163">
        <v>2135</v>
      </c>
      <c r="Z235" s="166">
        <v>9.3439537835353845E-2</v>
      </c>
      <c r="AA235" s="34" t="s">
        <v>621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594</v>
      </c>
      <c r="B236" s="784" t="s">
        <v>484</v>
      </c>
      <c r="C236" s="784" t="s">
        <v>1593</v>
      </c>
      <c r="D236" s="134">
        <v>215.17</v>
      </c>
      <c r="E236" s="67">
        <v>29104</v>
      </c>
      <c r="F236" s="146">
        <v>0</v>
      </c>
      <c r="G236" s="146">
        <v>0</v>
      </c>
      <c r="H236" s="91">
        <v>29104</v>
      </c>
      <c r="I236" s="67">
        <v>0</v>
      </c>
      <c r="J236" s="739">
        <v>29104</v>
      </c>
      <c r="K236" s="837" t="s">
        <v>1306</v>
      </c>
      <c r="L236" s="740">
        <v>0</v>
      </c>
      <c r="M236" s="741">
        <v>215.17</v>
      </c>
      <c r="N236" s="67">
        <v>434</v>
      </c>
      <c r="O236" s="67">
        <v>29538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29538</v>
      </c>
      <c r="V236" s="71">
        <v>137.27750151043361</v>
      </c>
      <c r="W236" s="449">
        <v>29650</v>
      </c>
      <c r="X236" s="67">
        <v>25964</v>
      </c>
      <c r="Y236" s="163">
        <v>3574</v>
      </c>
      <c r="Z236" s="166">
        <v>0.13765213372361731</v>
      </c>
      <c r="AA236" s="34" t="s">
        <v>1306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599</v>
      </c>
      <c r="B237" s="784" t="s">
        <v>244</v>
      </c>
      <c r="C237" s="784" t="s">
        <v>1478</v>
      </c>
      <c r="D237" s="134">
        <v>19.170000000000002</v>
      </c>
      <c r="E237" s="67">
        <v>2593</v>
      </c>
      <c r="F237" s="146">
        <v>0</v>
      </c>
      <c r="G237" s="146">
        <v>0</v>
      </c>
      <c r="H237" s="91">
        <v>2593</v>
      </c>
      <c r="I237" s="67">
        <v>0</v>
      </c>
      <c r="J237" s="739">
        <v>2593</v>
      </c>
      <c r="K237" s="837" t="s">
        <v>644</v>
      </c>
      <c r="L237" s="740">
        <v>2593</v>
      </c>
      <c r="M237" s="741">
        <v>0</v>
      </c>
      <c r="N237" s="67">
        <v>0</v>
      </c>
      <c r="O237" s="67">
        <v>0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0</v>
      </c>
      <c r="V237" s="71">
        <v>0</v>
      </c>
      <c r="W237" s="449">
        <v>0</v>
      </c>
      <c r="X237" s="67">
        <v>0</v>
      </c>
      <c r="Y237" s="163">
        <v>0</v>
      </c>
      <c r="Z237" s="166">
        <v>0</v>
      </c>
      <c r="AA237" s="34" t="s">
        <v>644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537</v>
      </c>
      <c r="C238" s="784" t="s">
        <v>1617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837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605</v>
      </c>
      <c r="B239" s="784" t="s">
        <v>123</v>
      </c>
      <c r="C239" s="784" t="s">
        <v>1425</v>
      </c>
      <c r="D239" s="134">
        <v>829.16</v>
      </c>
      <c r="E239" s="67">
        <v>112152</v>
      </c>
      <c r="F239" s="146">
        <v>0</v>
      </c>
      <c r="G239" s="146">
        <v>0</v>
      </c>
      <c r="H239" s="91">
        <v>112152</v>
      </c>
      <c r="I239" s="67">
        <v>0</v>
      </c>
      <c r="J239" s="739">
        <v>112152</v>
      </c>
      <c r="K239" s="837" t="s">
        <v>621</v>
      </c>
      <c r="L239" s="740">
        <v>0</v>
      </c>
      <c r="M239" s="741">
        <v>829.16</v>
      </c>
      <c r="N239" s="67">
        <v>1673</v>
      </c>
      <c r="O239" s="67">
        <v>113825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113825</v>
      </c>
      <c r="V239" s="71">
        <v>137.27748564812583</v>
      </c>
      <c r="W239" s="449">
        <v>114255</v>
      </c>
      <c r="X239" s="67">
        <v>101702</v>
      </c>
      <c r="Y239" s="163">
        <v>12123</v>
      </c>
      <c r="Z239" s="166">
        <v>0.11920119565003638</v>
      </c>
      <c r="AA239" s="34" t="s">
        <v>621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595</v>
      </c>
      <c r="B240" s="784" t="s">
        <v>375</v>
      </c>
      <c r="C240" s="784" t="s">
        <v>1269</v>
      </c>
      <c r="D240" s="134">
        <v>55</v>
      </c>
      <c r="E240" s="67">
        <v>7439</v>
      </c>
      <c r="F240" s="146">
        <v>0</v>
      </c>
      <c r="G240" s="146">
        <v>0</v>
      </c>
      <c r="H240" s="91">
        <v>7439</v>
      </c>
      <c r="I240" s="67">
        <v>0</v>
      </c>
      <c r="J240" s="739">
        <v>7439</v>
      </c>
      <c r="K240" s="837" t="s">
        <v>1306</v>
      </c>
      <c r="L240" s="740">
        <v>0</v>
      </c>
      <c r="M240" s="741">
        <v>55</v>
      </c>
      <c r="N240" s="67">
        <v>111</v>
      </c>
      <c r="O240" s="67">
        <v>7550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7550</v>
      </c>
      <c r="V240" s="71">
        <v>137.27272727272728</v>
      </c>
      <c r="W240" s="449">
        <v>0</v>
      </c>
      <c r="X240" s="67">
        <v>6580</v>
      </c>
      <c r="Y240" s="163">
        <v>970</v>
      </c>
      <c r="Z240" s="166">
        <v>0.14741641337386019</v>
      </c>
      <c r="AA240" s="34" t="s">
        <v>1306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594</v>
      </c>
      <c r="B241" s="784" t="s">
        <v>149</v>
      </c>
      <c r="C241" s="784" t="s">
        <v>1436</v>
      </c>
      <c r="D241" s="134">
        <v>0</v>
      </c>
      <c r="E241" s="67">
        <v>0</v>
      </c>
      <c r="F241" s="146">
        <v>0</v>
      </c>
      <c r="G241" s="146">
        <v>0</v>
      </c>
      <c r="H241" s="91">
        <v>0</v>
      </c>
      <c r="I241" s="67">
        <v>0</v>
      </c>
      <c r="J241" s="739">
        <v>0</v>
      </c>
      <c r="K241" s="837" t="s">
        <v>644</v>
      </c>
      <c r="L241" s="740">
        <v>0</v>
      </c>
      <c r="M241" s="741">
        <v>0</v>
      </c>
      <c r="N241" s="67">
        <v>0</v>
      </c>
      <c r="O241" s="67">
        <v>0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644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1666</v>
      </c>
      <c r="B242" s="784" t="s">
        <v>1682</v>
      </c>
      <c r="C242" s="784" t="s">
        <v>1683</v>
      </c>
      <c r="D242" s="134">
        <v>0</v>
      </c>
      <c r="E242" s="67">
        <v>0</v>
      </c>
      <c r="F242" s="146">
        <v>0</v>
      </c>
      <c r="G242" s="146">
        <v>0</v>
      </c>
      <c r="H242" s="91">
        <v>0</v>
      </c>
      <c r="I242" s="67">
        <v>0</v>
      </c>
      <c r="J242" s="739">
        <v>0</v>
      </c>
      <c r="K242" s="837" t="s">
        <v>644</v>
      </c>
      <c r="L242" s="740">
        <v>0</v>
      </c>
      <c r="M242" s="741">
        <v>0</v>
      </c>
      <c r="N242" s="67">
        <v>0</v>
      </c>
      <c r="O242" s="67">
        <v>0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0</v>
      </c>
      <c r="V242" s="71">
        <v>0</v>
      </c>
      <c r="W242" s="449">
        <v>0</v>
      </c>
      <c r="X242" s="67">
        <v>0</v>
      </c>
      <c r="Y242" s="163">
        <v>0</v>
      </c>
      <c r="Z242" s="166">
        <v>0</v>
      </c>
      <c r="AA242" s="34" t="s">
        <v>644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1666</v>
      </c>
      <c r="B243" s="784" t="s">
        <v>1684</v>
      </c>
      <c r="C243" s="784" t="s">
        <v>1685</v>
      </c>
      <c r="D243" s="134">
        <v>0</v>
      </c>
      <c r="E243" s="67">
        <v>0</v>
      </c>
      <c r="F243" s="146">
        <v>0</v>
      </c>
      <c r="G243" s="146">
        <v>0</v>
      </c>
      <c r="H243" s="91">
        <v>0</v>
      </c>
      <c r="I243" s="67">
        <v>0</v>
      </c>
      <c r="J243" s="739">
        <v>0</v>
      </c>
      <c r="K243" s="837" t="s">
        <v>644</v>
      </c>
      <c r="L243" s="740">
        <v>0</v>
      </c>
      <c r="M243" s="741">
        <v>0</v>
      </c>
      <c r="N243" s="67">
        <v>0</v>
      </c>
      <c r="O243" s="67">
        <v>0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644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597</v>
      </c>
      <c r="B244" s="784" t="s">
        <v>173</v>
      </c>
      <c r="C244" s="784" t="s">
        <v>1448</v>
      </c>
      <c r="D244" s="134">
        <v>6621.67</v>
      </c>
      <c r="E244" s="67">
        <v>895644</v>
      </c>
      <c r="F244" s="146">
        <v>0</v>
      </c>
      <c r="G244" s="146">
        <v>0</v>
      </c>
      <c r="H244" s="91">
        <v>895644</v>
      </c>
      <c r="I244" s="67">
        <v>0</v>
      </c>
      <c r="J244" s="739">
        <v>895644</v>
      </c>
      <c r="K244" s="837" t="s">
        <v>621</v>
      </c>
      <c r="L244" s="740">
        <v>0</v>
      </c>
      <c r="M244" s="741">
        <v>6621.67</v>
      </c>
      <c r="N244" s="67">
        <v>13361</v>
      </c>
      <c r="O244" s="865">
        <v>908999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908999</v>
      </c>
      <c r="V244" s="71">
        <v>137.27639704183386</v>
      </c>
      <c r="W244" s="449">
        <v>912441</v>
      </c>
      <c r="X244" s="67">
        <v>908575</v>
      </c>
      <c r="Y244" s="163">
        <v>424</v>
      </c>
      <c r="Z244" s="166">
        <v>4.6666483229232587E-4</v>
      </c>
      <c r="AA244" s="34" t="s">
        <v>621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595</v>
      </c>
      <c r="B245" s="784" t="s">
        <v>379</v>
      </c>
      <c r="C245" s="784" t="s">
        <v>686</v>
      </c>
      <c r="D245" s="134">
        <v>371.17</v>
      </c>
      <c r="E245" s="67">
        <v>50204</v>
      </c>
      <c r="F245" s="146">
        <v>0</v>
      </c>
      <c r="G245" s="146">
        <v>0</v>
      </c>
      <c r="H245" s="91">
        <v>50204</v>
      </c>
      <c r="I245" s="67">
        <v>0</v>
      </c>
      <c r="J245" s="739">
        <v>50204</v>
      </c>
      <c r="K245" s="837" t="s">
        <v>621</v>
      </c>
      <c r="L245" s="740">
        <v>0</v>
      </c>
      <c r="M245" s="741">
        <v>371.17</v>
      </c>
      <c r="N245" s="67">
        <v>749</v>
      </c>
      <c r="O245" s="67">
        <v>50953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50953</v>
      </c>
      <c r="V245" s="71">
        <v>137.27671956246462</v>
      </c>
      <c r="W245" s="449">
        <v>51146</v>
      </c>
      <c r="X245" s="67">
        <v>51776</v>
      </c>
      <c r="Y245" s="163">
        <v>-823</v>
      </c>
      <c r="Z245" s="166">
        <v>-1.5895395550061805E-2</v>
      </c>
      <c r="AA245" s="34" t="s">
        <v>621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605</v>
      </c>
      <c r="B246" s="784" t="s">
        <v>551</v>
      </c>
      <c r="C246" s="784" t="s">
        <v>1624</v>
      </c>
      <c r="D246" s="134">
        <v>341.83</v>
      </c>
      <c r="E246" s="67">
        <v>46236</v>
      </c>
      <c r="F246" s="146">
        <v>0</v>
      </c>
      <c r="G246" s="146">
        <v>0</v>
      </c>
      <c r="H246" s="91">
        <v>46236</v>
      </c>
      <c r="I246" s="67">
        <v>0</v>
      </c>
      <c r="J246" s="739">
        <v>46236</v>
      </c>
      <c r="K246" s="837" t="s">
        <v>621</v>
      </c>
      <c r="L246" s="740">
        <v>0</v>
      </c>
      <c r="M246" s="741">
        <v>341.83</v>
      </c>
      <c r="N246" s="67">
        <v>690</v>
      </c>
      <c r="O246" s="67">
        <v>46926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46926</v>
      </c>
      <c r="V246" s="71">
        <v>137.27876429804289</v>
      </c>
      <c r="W246" s="449">
        <v>47103</v>
      </c>
      <c r="X246" s="67">
        <v>40101</v>
      </c>
      <c r="Y246" s="163">
        <v>6825</v>
      </c>
      <c r="Z246" s="166">
        <v>0.17019525697613525</v>
      </c>
      <c r="AA246" s="34" t="s">
        <v>621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340</v>
      </c>
      <c r="C247" s="784" t="s">
        <v>1521</v>
      </c>
      <c r="D247" s="134">
        <v>0</v>
      </c>
      <c r="E247" s="67">
        <v>0</v>
      </c>
      <c r="F247" s="146">
        <v>0</v>
      </c>
      <c r="G247" s="146">
        <v>0</v>
      </c>
      <c r="H247" s="91">
        <v>0</v>
      </c>
      <c r="I247" s="67">
        <v>0</v>
      </c>
      <c r="J247" s="739">
        <v>0</v>
      </c>
      <c r="K247" s="837" t="s">
        <v>644</v>
      </c>
      <c r="L247" s="740">
        <v>0</v>
      </c>
      <c r="M247" s="741">
        <v>0</v>
      </c>
      <c r="N247" s="67">
        <v>0</v>
      </c>
      <c r="O247" s="67">
        <v>0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0</v>
      </c>
      <c r="V247" s="71">
        <v>0</v>
      </c>
      <c r="W247" s="449">
        <v>0</v>
      </c>
      <c r="X247" s="67">
        <v>0</v>
      </c>
      <c r="Y247" s="163">
        <v>0</v>
      </c>
      <c r="Z247" s="166">
        <v>0</v>
      </c>
      <c r="AA247" s="34" t="s">
        <v>644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600</v>
      </c>
      <c r="B248" s="784" t="s">
        <v>43</v>
      </c>
      <c r="C248" s="784" t="s">
        <v>1387</v>
      </c>
      <c r="D248" s="134">
        <v>46.17</v>
      </c>
      <c r="E248" s="67">
        <v>6245</v>
      </c>
      <c r="F248" s="146">
        <v>0</v>
      </c>
      <c r="G248" s="146">
        <v>0</v>
      </c>
      <c r="H248" s="91">
        <v>6245</v>
      </c>
      <c r="I248" s="67">
        <v>0</v>
      </c>
      <c r="J248" s="739">
        <v>6245</v>
      </c>
      <c r="K248" s="837" t="s">
        <v>644</v>
      </c>
      <c r="L248" s="740">
        <v>6245</v>
      </c>
      <c r="M248" s="741">
        <v>0</v>
      </c>
      <c r="N248" s="67">
        <v>0</v>
      </c>
      <c r="O248" s="67">
        <v>0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644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595</v>
      </c>
      <c r="B249" s="784" t="s">
        <v>371</v>
      </c>
      <c r="C249" s="784" t="s">
        <v>1537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837" t="s">
        <v>644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594</v>
      </c>
      <c r="B250" s="784" t="s">
        <v>299</v>
      </c>
      <c r="C250" s="784" t="s">
        <v>1503</v>
      </c>
      <c r="D250" s="134">
        <v>884.5</v>
      </c>
      <c r="E250" s="67">
        <v>119637</v>
      </c>
      <c r="F250" s="146">
        <v>0</v>
      </c>
      <c r="G250" s="146">
        <v>0</v>
      </c>
      <c r="H250" s="91">
        <v>119637</v>
      </c>
      <c r="I250" s="67">
        <v>0</v>
      </c>
      <c r="J250" s="739">
        <v>119637</v>
      </c>
      <c r="K250" s="837" t="s">
        <v>621</v>
      </c>
      <c r="L250" s="740">
        <v>0</v>
      </c>
      <c r="M250" s="741">
        <v>884.5</v>
      </c>
      <c r="N250" s="67">
        <v>1785</v>
      </c>
      <c r="O250" s="67">
        <v>121422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121422</v>
      </c>
      <c r="V250" s="71">
        <v>137.27755794234031</v>
      </c>
      <c r="W250" s="449">
        <v>121881</v>
      </c>
      <c r="X250" s="67">
        <v>113049</v>
      </c>
      <c r="Y250" s="163">
        <v>8373</v>
      </c>
      <c r="Z250" s="166">
        <v>7.4065228352307402E-2</v>
      </c>
      <c r="AA250" s="34" t="s">
        <v>621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597</v>
      </c>
      <c r="B251" s="784" t="s">
        <v>203</v>
      </c>
      <c r="C251" s="784" t="s">
        <v>640</v>
      </c>
      <c r="D251" s="134">
        <v>931.5</v>
      </c>
      <c r="E251" s="67">
        <v>125994</v>
      </c>
      <c r="F251" s="146">
        <v>0</v>
      </c>
      <c r="G251" s="146">
        <v>0</v>
      </c>
      <c r="H251" s="91">
        <v>125994</v>
      </c>
      <c r="I251" s="67">
        <v>0</v>
      </c>
      <c r="J251" s="739">
        <v>125994</v>
      </c>
      <c r="K251" s="837" t="s">
        <v>621</v>
      </c>
      <c r="L251" s="740">
        <v>0</v>
      </c>
      <c r="M251" s="741">
        <v>931.5</v>
      </c>
      <c r="N251" s="67">
        <v>1880</v>
      </c>
      <c r="O251" s="67">
        <v>127874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127874</v>
      </c>
      <c r="V251" s="71">
        <v>137.27750939345142</v>
      </c>
      <c r="W251" s="449">
        <v>128357</v>
      </c>
      <c r="X251" s="67">
        <v>113419</v>
      </c>
      <c r="Y251" s="163">
        <v>14455</v>
      </c>
      <c r="Z251" s="166">
        <v>0.12744778211763461</v>
      </c>
      <c r="AA251" s="34" t="s">
        <v>621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599</v>
      </c>
      <c r="B252" s="784" t="s">
        <v>387</v>
      </c>
      <c r="C252" s="784" t="s">
        <v>1545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837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644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597</v>
      </c>
      <c r="B253" s="784" t="s">
        <v>187</v>
      </c>
      <c r="C253" s="784" t="s">
        <v>1454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837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644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595</v>
      </c>
      <c r="B254" s="784" t="s">
        <v>411</v>
      </c>
      <c r="C254" s="784" t="s">
        <v>1556</v>
      </c>
      <c r="D254" s="134">
        <v>398.17</v>
      </c>
      <c r="E254" s="67">
        <v>53856</v>
      </c>
      <c r="F254" s="146">
        <v>0</v>
      </c>
      <c r="G254" s="146">
        <v>0</v>
      </c>
      <c r="H254" s="91">
        <v>53856</v>
      </c>
      <c r="I254" s="67">
        <v>0</v>
      </c>
      <c r="J254" s="739">
        <v>53856</v>
      </c>
      <c r="K254" s="837" t="s">
        <v>621</v>
      </c>
      <c r="L254" s="740">
        <v>0</v>
      </c>
      <c r="M254" s="741">
        <v>398.17</v>
      </c>
      <c r="N254" s="67">
        <v>803</v>
      </c>
      <c r="O254" s="67">
        <v>54659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54659</v>
      </c>
      <c r="V254" s="71">
        <v>137.27553557525678</v>
      </c>
      <c r="W254" s="449">
        <v>54866</v>
      </c>
      <c r="X254" s="67">
        <v>54347</v>
      </c>
      <c r="Y254" s="163">
        <v>312</v>
      </c>
      <c r="Z254" s="166">
        <v>5.7408872614863743E-3</v>
      </c>
      <c r="AA254" s="34" t="s">
        <v>621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597</v>
      </c>
      <c r="B255" s="784" t="s">
        <v>199</v>
      </c>
      <c r="C255" s="784" t="s">
        <v>1272</v>
      </c>
      <c r="D255" s="134">
        <v>252.67</v>
      </c>
      <c r="E255" s="67">
        <v>34176</v>
      </c>
      <c r="F255" s="146">
        <v>0</v>
      </c>
      <c r="G255" s="146">
        <v>0</v>
      </c>
      <c r="H255" s="91">
        <v>34176</v>
      </c>
      <c r="I255" s="67">
        <v>0</v>
      </c>
      <c r="J255" s="739">
        <v>34176</v>
      </c>
      <c r="K255" s="837" t="s">
        <v>621</v>
      </c>
      <c r="L255" s="740">
        <v>0</v>
      </c>
      <c r="M255" s="741">
        <v>252.67</v>
      </c>
      <c r="N255" s="67">
        <v>510</v>
      </c>
      <c r="O255" s="67">
        <v>34686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34686</v>
      </c>
      <c r="V255" s="71">
        <v>137.27787232358412</v>
      </c>
      <c r="W255" s="449">
        <v>34817</v>
      </c>
      <c r="X255" s="67">
        <v>31170</v>
      </c>
      <c r="Y255" s="163">
        <v>3516</v>
      </c>
      <c r="Z255" s="166">
        <v>0.11280076997112608</v>
      </c>
      <c r="AA255" s="34" t="s">
        <v>621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601</v>
      </c>
      <c r="B256" s="784" t="s">
        <v>121</v>
      </c>
      <c r="C256" s="784" t="s">
        <v>1424</v>
      </c>
      <c r="D256" s="134">
        <v>97.66</v>
      </c>
      <c r="E256" s="67">
        <v>13209</v>
      </c>
      <c r="F256" s="146">
        <v>0</v>
      </c>
      <c r="G256" s="146">
        <v>0</v>
      </c>
      <c r="H256" s="91">
        <v>13209</v>
      </c>
      <c r="I256" s="67">
        <v>0</v>
      </c>
      <c r="J256" s="739">
        <v>13209</v>
      </c>
      <c r="K256" s="837" t="s">
        <v>621</v>
      </c>
      <c r="L256" s="740">
        <v>0</v>
      </c>
      <c r="M256" s="741">
        <v>97.66</v>
      </c>
      <c r="N256" s="67">
        <v>197</v>
      </c>
      <c r="O256" s="67">
        <v>13406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13406</v>
      </c>
      <c r="V256" s="71">
        <v>137.27216874872005</v>
      </c>
      <c r="W256" s="449">
        <v>13457</v>
      </c>
      <c r="X256" s="67">
        <v>14703</v>
      </c>
      <c r="Y256" s="163">
        <v>-1297</v>
      </c>
      <c r="Z256" s="166">
        <v>-8.8213289804801739E-2</v>
      </c>
      <c r="AA256" s="34" t="s">
        <v>621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329</v>
      </c>
      <c r="C257" s="784" t="s">
        <v>1515</v>
      </c>
      <c r="D257" s="134">
        <v>89.34</v>
      </c>
      <c r="E257" s="67">
        <v>12084</v>
      </c>
      <c r="F257" s="146">
        <v>0</v>
      </c>
      <c r="G257" s="146">
        <v>0</v>
      </c>
      <c r="H257" s="91">
        <v>12084</v>
      </c>
      <c r="I257" s="67">
        <v>0</v>
      </c>
      <c r="J257" s="739">
        <v>12084</v>
      </c>
      <c r="K257" s="837" t="s">
        <v>621</v>
      </c>
      <c r="L257" s="740">
        <v>0</v>
      </c>
      <c r="M257" s="741">
        <v>89.34</v>
      </c>
      <c r="N257" s="67">
        <v>180</v>
      </c>
      <c r="O257" s="67">
        <v>12264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12264</v>
      </c>
      <c r="V257" s="71">
        <v>137.27333781061114</v>
      </c>
      <c r="W257" s="449">
        <v>12311</v>
      </c>
      <c r="X257" s="67">
        <v>11958</v>
      </c>
      <c r="Y257" s="163">
        <v>306</v>
      </c>
      <c r="Z257" s="166">
        <v>2.5589563472152535E-2</v>
      </c>
      <c r="AA257" s="34" t="s">
        <v>621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600</v>
      </c>
      <c r="B258" s="784" t="s">
        <v>218</v>
      </c>
      <c r="C258" s="784" t="s">
        <v>1465</v>
      </c>
      <c r="D258" s="134">
        <v>268.67</v>
      </c>
      <c r="E258" s="67">
        <v>36340</v>
      </c>
      <c r="F258" s="146">
        <v>0</v>
      </c>
      <c r="G258" s="146">
        <v>0</v>
      </c>
      <c r="H258" s="91">
        <v>36340</v>
      </c>
      <c r="I258" s="67">
        <v>0</v>
      </c>
      <c r="J258" s="739">
        <v>36340</v>
      </c>
      <c r="K258" s="837" t="s">
        <v>621</v>
      </c>
      <c r="L258" s="740">
        <v>0</v>
      </c>
      <c r="M258" s="741">
        <v>268.67</v>
      </c>
      <c r="N258" s="67">
        <v>542</v>
      </c>
      <c r="O258" s="67">
        <v>36882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36882</v>
      </c>
      <c r="V258" s="71">
        <v>137.27621245393976</v>
      </c>
      <c r="W258" s="449">
        <v>37022</v>
      </c>
      <c r="X258" s="67">
        <v>35984</v>
      </c>
      <c r="Y258" s="163">
        <v>898</v>
      </c>
      <c r="Z258" s="166">
        <v>2.4955535793686083E-2</v>
      </c>
      <c r="AA258" s="34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595</v>
      </c>
      <c r="B259" s="784" t="s">
        <v>161</v>
      </c>
      <c r="C259" s="784" t="s">
        <v>1442</v>
      </c>
      <c r="D259" s="134">
        <v>6.67</v>
      </c>
      <c r="E259" s="67">
        <v>902</v>
      </c>
      <c r="F259" s="146">
        <v>0</v>
      </c>
      <c r="G259" s="146">
        <v>0</v>
      </c>
      <c r="H259" s="91">
        <v>902</v>
      </c>
      <c r="I259" s="67">
        <v>0</v>
      </c>
      <c r="J259" s="739">
        <v>902</v>
      </c>
      <c r="K259" s="837" t="s">
        <v>644</v>
      </c>
      <c r="L259" s="740">
        <v>902</v>
      </c>
      <c r="M259" s="741">
        <v>0</v>
      </c>
      <c r="N259" s="67">
        <v>0</v>
      </c>
      <c r="O259" s="67">
        <v>0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0</v>
      </c>
      <c r="V259" s="71">
        <v>0</v>
      </c>
      <c r="W259" s="449">
        <v>0</v>
      </c>
      <c r="X259" s="67">
        <v>0</v>
      </c>
      <c r="Y259" s="163">
        <v>0</v>
      </c>
      <c r="Z259" s="166">
        <v>0</v>
      </c>
      <c r="AA259" s="34" t="s">
        <v>644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295</v>
      </c>
      <c r="C260" s="784" t="s">
        <v>1501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837" t="s">
        <v>644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0</v>
      </c>
      <c r="V260" s="71">
        <v>0</v>
      </c>
      <c r="W260" s="449">
        <v>0</v>
      </c>
      <c r="X260" s="67">
        <v>0</v>
      </c>
      <c r="Y260" s="163">
        <v>0</v>
      </c>
      <c r="Z260" s="166">
        <v>0</v>
      </c>
      <c r="AA260" s="34" t="s">
        <v>644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603</v>
      </c>
      <c r="B261" s="784" t="s">
        <v>422</v>
      </c>
      <c r="C261" s="784" t="s">
        <v>1562</v>
      </c>
      <c r="D261" s="134">
        <v>1911</v>
      </c>
      <c r="E261" s="67">
        <v>258481</v>
      </c>
      <c r="F261" s="146">
        <v>0</v>
      </c>
      <c r="G261" s="146">
        <v>0</v>
      </c>
      <c r="H261" s="91">
        <v>258481</v>
      </c>
      <c r="I261" s="67">
        <v>0</v>
      </c>
      <c r="J261" s="739">
        <v>258481</v>
      </c>
      <c r="K261" s="837" t="s">
        <v>621</v>
      </c>
      <c r="L261" s="740">
        <v>0</v>
      </c>
      <c r="M261" s="741">
        <v>1911</v>
      </c>
      <c r="N261" s="67">
        <v>3856</v>
      </c>
      <c r="O261" s="67">
        <v>262337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262337</v>
      </c>
      <c r="V261" s="71">
        <v>137.27734170591313</v>
      </c>
      <c r="W261" s="449">
        <v>263329</v>
      </c>
      <c r="X261" s="67">
        <v>273648</v>
      </c>
      <c r="Y261" s="163">
        <v>-11311</v>
      </c>
      <c r="Z261" s="166">
        <v>-4.1334122668537684E-2</v>
      </c>
      <c r="AA261" s="34" t="s">
        <v>621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1666</v>
      </c>
      <c r="B262" s="784" t="s">
        <v>1691</v>
      </c>
      <c r="C262" s="784" t="s">
        <v>1767</v>
      </c>
      <c r="D262" s="134">
        <v>7</v>
      </c>
      <c r="E262" s="67">
        <v>947</v>
      </c>
      <c r="F262" s="146">
        <v>0</v>
      </c>
      <c r="G262" s="146">
        <v>0</v>
      </c>
      <c r="H262" s="91">
        <v>947</v>
      </c>
      <c r="I262" s="67">
        <v>0</v>
      </c>
      <c r="J262" s="739">
        <v>947</v>
      </c>
      <c r="K262" s="837" t="s">
        <v>644</v>
      </c>
      <c r="L262" s="740">
        <v>947</v>
      </c>
      <c r="M262" s="741">
        <v>0</v>
      </c>
      <c r="N262" s="67">
        <v>0</v>
      </c>
      <c r="O262" s="67">
        <v>0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644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603</v>
      </c>
      <c r="B263" s="784" t="s">
        <v>280</v>
      </c>
      <c r="C263" s="784" t="s">
        <v>1493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739">
        <v>0</v>
      </c>
      <c r="K263" s="837" t="s">
        <v>644</v>
      </c>
      <c r="L263" s="740">
        <v>0</v>
      </c>
      <c r="M263" s="741">
        <v>0</v>
      </c>
      <c r="N263" s="67">
        <v>0</v>
      </c>
      <c r="O263" s="67">
        <v>0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0</v>
      </c>
      <c r="V263" s="71">
        <v>0</v>
      </c>
      <c r="W263" s="449">
        <v>0</v>
      </c>
      <c r="X263" s="67">
        <v>0</v>
      </c>
      <c r="Y263" s="163">
        <v>0</v>
      </c>
      <c r="Z263" s="166">
        <v>0</v>
      </c>
      <c r="AA263" s="34" t="s">
        <v>644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603</v>
      </c>
      <c r="B264" s="784" t="s">
        <v>539</v>
      </c>
      <c r="C264" s="784" t="s">
        <v>1618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837" t="s">
        <v>644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0</v>
      </c>
      <c r="Y264" s="163">
        <v>0</v>
      </c>
      <c r="Z264" s="166">
        <v>0</v>
      </c>
      <c r="AA264" s="34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595</v>
      </c>
      <c r="B265" s="784" t="s">
        <v>421</v>
      </c>
      <c r="C265" s="784" t="s">
        <v>1561</v>
      </c>
      <c r="D265" s="134">
        <v>123.17</v>
      </c>
      <c r="E265" s="67">
        <v>16660</v>
      </c>
      <c r="F265" s="146">
        <v>0</v>
      </c>
      <c r="G265" s="146">
        <v>0</v>
      </c>
      <c r="H265" s="91">
        <v>16660</v>
      </c>
      <c r="I265" s="67">
        <v>0</v>
      </c>
      <c r="J265" s="739">
        <v>16660</v>
      </c>
      <c r="K265" s="837" t="s">
        <v>621</v>
      </c>
      <c r="L265" s="740">
        <v>0</v>
      </c>
      <c r="M265" s="741">
        <v>123.17</v>
      </c>
      <c r="N265" s="67">
        <v>249</v>
      </c>
      <c r="O265" s="67">
        <v>16909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16909</v>
      </c>
      <c r="V265" s="71">
        <v>137.2818056344889</v>
      </c>
      <c r="W265" s="449">
        <v>16973</v>
      </c>
      <c r="X265" s="67">
        <v>17382</v>
      </c>
      <c r="Y265" s="163">
        <v>-473</v>
      </c>
      <c r="Z265" s="166">
        <v>-2.7212058451271431E-2</v>
      </c>
      <c r="AA265" s="34" t="s">
        <v>621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596</v>
      </c>
      <c r="B266" s="784" t="s">
        <v>108</v>
      </c>
      <c r="C266" s="784" t="s">
        <v>1418</v>
      </c>
      <c r="D266" s="134">
        <v>0</v>
      </c>
      <c r="E266" s="67">
        <v>0</v>
      </c>
      <c r="F266" s="146">
        <v>0</v>
      </c>
      <c r="G266" s="146">
        <v>0</v>
      </c>
      <c r="H266" s="91">
        <v>0</v>
      </c>
      <c r="I266" s="67">
        <v>0</v>
      </c>
      <c r="J266" s="739">
        <v>0</v>
      </c>
      <c r="K266" s="837" t="s">
        <v>644</v>
      </c>
      <c r="L266" s="740">
        <v>0</v>
      </c>
      <c r="M266" s="741">
        <v>0</v>
      </c>
      <c r="N266" s="67">
        <v>0</v>
      </c>
      <c r="O266" s="67">
        <v>0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644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68</v>
      </c>
      <c r="C267" s="784" t="s">
        <v>1398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837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601</v>
      </c>
      <c r="B268" s="784" t="s">
        <v>27</v>
      </c>
      <c r="C268" s="784" t="s">
        <v>1381</v>
      </c>
      <c r="D268" s="134">
        <v>0</v>
      </c>
      <c r="E268" s="67">
        <v>0</v>
      </c>
      <c r="F268" s="146">
        <v>0</v>
      </c>
      <c r="G268" s="146">
        <v>0</v>
      </c>
      <c r="H268" s="91">
        <v>0</v>
      </c>
      <c r="I268" s="67">
        <v>0</v>
      </c>
      <c r="J268" s="739">
        <v>0</v>
      </c>
      <c r="K268" s="837" t="s">
        <v>644</v>
      </c>
      <c r="L268" s="740">
        <v>0</v>
      </c>
      <c r="M268" s="741">
        <v>0</v>
      </c>
      <c r="N268" s="67">
        <v>0</v>
      </c>
      <c r="O268" s="67">
        <v>0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0</v>
      </c>
      <c r="V268" s="71">
        <v>0</v>
      </c>
      <c r="W268" s="449">
        <v>0</v>
      </c>
      <c r="X268" s="67">
        <v>0</v>
      </c>
      <c r="Y268" s="163">
        <v>0</v>
      </c>
      <c r="Z268" s="166">
        <v>0</v>
      </c>
      <c r="AA268" s="34" t="s">
        <v>644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597</v>
      </c>
      <c r="B269" s="784" t="s">
        <v>342</v>
      </c>
      <c r="C269" s="784" t="s">
        <v>1522</v>
      </c>
      <c r="D269" s="134">
        <v>101.67</v>
      </c>
      <c r="E269" s="67">
        <v>13752</v>
      </c>
      <c r="F269" s="146">
        <v>0</v>
      </c>
      <c r="G269" s="146">
        <v>0</v>
      </c>
      <c r="H269" s="91">
        <v>13752</v>
      </c>
      <c r="I269" s="67">
        <v>0</v>
      </c>
      <c r="J269" s="739">
        <v>13752</v>
      </c>
      <c r="K269" s="837" t="s">
        <v>621</v>
      </c>
      <c r="L269" s="740">
        <v>0</v>
      </c>
      <c r="M269" s="741">
        <v>101.67</v>
      </c>
      <c r="N269" s="67">
        <v>205</v>
      </c>
      <c r="O269" s="67">
        <v>13957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13957</v>
      </c>
      <c r="V269" s="71">
        <v>137.27746631257992</v>
      </c>
      <c r="W269" s="449">
        <v>14009</v>
      </c>
      <c r="X269" s="67">
        <v>14354</v>
      </c>
      <c r="Y269" s="163">
        <v>-397</v>
      </c>
      <c r="Z269" s="166">
        <v>-2.7657795736380102E-2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603</v>
      </c>
      <c r="B270" s="784" t="s">
        <v>531</v>
      </c>
      <c r="C270" s="784" t="s">
        <v>1614</v>
      </c>
      <c r="D270" s="134">
        <v>0</v>
      </c>
      <c r="E270" s="67">
        <v>0</v>
      </c>
      <c r="F270" s="146">
        <v>0</v>
      </c>
      <c r="G270" s="146">
        <v>0</v>
      </c>
      <c r="H270" s="91">
        <v>0</v>
      </c>
      <c r="I270" s="67">
        <v>0</v>
      </c>
      <c r="J270" s="739">
        <v>0</v>
      </c>
      <c r="K270" s="837" t="s">
        <v>644</v>
      </c>
      <c r="L270" s="740">
        <v>0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599</v>
      </c>
      <c r="B271" s="784" t="s">
        <v>393</v>
      </c>
      <c r="C271" s="784" t="s">
        <v>1548</v>
      </c>
      <c r="D271" s="134">
        <v>23.84</v>
      </c>
      <c r="E271" s="67">
        <v>3225</v>
      </c>
      <c r="F271" s="146">
        <v>0</v>
      </c>
      <c r="G271" s="146">
        <v>0</v>
      </c>
      <c r="H271" s="91">
        <v>3225</v>
      </c>
      <c r="I271" s="67">
        <v>0</v>
      </c>
      <c r="J271" s="739">
        <v>3225</v>
      </c>
      <c r="K271" s="837" t="s">
        <v>644</v>
      </c>
      <c r="L271" s="740">
        <v>3225</v>
      </c>
      <c r="M271" s="741">
        <v>0</v>
      </c>
      <c r="N271" s="67">
        <v>0</v>
      </c>
      <c r="O271" s="67">
        <v>0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0</v>
      </c>
      <c r="V271" s="71">
        <v>0</v>
      </c>
      <c r="W271" s="449">
        <v>0</v>
      </c>
      <c r="X271" s="67">
        <v>0</v>
      </c>
      <c r="Y271" s="163">
        <v>0</v>
      </c>
      <c r="Z271" s="166">
        <v>0</v>
      </c>
      <c r="AA271" s="34" t="s">
        <v>644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595</v>
      </c>
      <c r="B272" s="784" t="s">
        <v>415</v>
      </c>
      <c r="C272" s="784" t="s">
        <v>1558</v>
      </c>
      <c r="D272" s="134">
        <v>207.5</v>
      </c>
      <c r="E272" s="67">
        <v>28066</v>
      </c>
      <c r="F272" s="146">
        <v>0</v>
      </c>
      <c r="G272" s="146">
        <v>0</v>
      </c>
      <c r="H272" s="91">
        <v>28066</v>
      </c>
      <c r="I272" s="67">
        <v>0</v>
      </c>
      <c r="J272" s="739">
        <v>28066</v>
      </c>
      <c r="K272" s="837" t="s">
        <v>621</v>
      </c>
      <c r="L272" s="740">
        <v>0</v>
      </c>
      <c r="M272" s="741">
        <v>207.5</v>
      </c>
      <c r="N272" s="67">
        <v>419</v>
      </c>
      <c r="O272" s="67">
        <v>28485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28485</v>
      </c>
      <c r="V272" s="71">
        <v>137.27710843373495</v>
      </c>
      <c r="W272" s="449">
        <v>28592</v>
      </c>
      <c r="X272" s="67">
        <v>28534</v>
      </c>
      <c r="Y272" s="163">
        <v>-49</v>
      </c>
      <c r="Z272" s="166">
        <v>-1.7172495969720333E-3</v>
      </c>
      <c r="AA272" s="34" t="s">
        <v>621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1666</v>
      </c>
      <c r="B273" s="784" t="s">
        <v>1716</v>
      </c>
      <c r="C273" s="784" t="s">
        <v>1761</v>
      </c>
      <c r="D273" s="134">
        <v>59.16</v>
      </c>
      <c r="E273" s="67">
        <v>8002</v>
      </c>
      <c r="F273" s="146">
        <v>0</v>
      </c>
      <c r="G273" s="146">
        <v>0</v>
      </c>
      <c r="H273" s="91">
        <v>8002</v>
      </c>
      <c r="I273" s="67">
        <v>0</v>
      </c>
      <c r="J273" s="739">
        <v>8002</v>
      </c>
      <c r="K273" s="837" t="s">
        <v>644</v>
      </c>
      <c r="L273" s="740">
        <v>8002</v>
      </c>
      <c r="M273" s="741">
        <v>0</v>
      </c>
      <c r="N273" s="67">
        <v>0</v>
      </c>
      <c r="O273" s="67">
        <v>0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0</v>
      </c>
      <c r="V273" s="71">
        <v>0</v>
      </c>
      <c r="W273" s="449">
        <v>0</v>
      </c>
      <c r="X273" s="67">
        <v>0</v>
      </c>
      <c r="Y273" s="163">
        <v>0</v>
      </c>
      <c r="Z273" s="166">
        <v>0</v>
      </c>
      <c r="AA273" s="34" t="s">
        <v>644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1666</v>
      </c>
      <c r="B274" s="785" t="s">
        <v>1694</v>
      </c>
      <c r="C274" s="784" t="s">
        <v>1768</v>
      </c>
      <c r="D274" s="134">
        <v>8.83</v>
      </c>
      <c r="E274" s="67">
        <v>1194</v>
      </c>
      <c r="F274" s="146">
        <v>0</v>
      </c>
      <c r="G274" s="146">
        <v>0</v>
      </c>
      <c r="H274" s="91">
        <v>1194</v>
      </c>
      <c r="I274" s="67">
        <v>0</v>
      </c>
      <c r="J274" s="739">
        <v>1194</v>
      </c>
      <c r="K274" s="837" t="s">
        <v>644</v>
      </c>
      <c r="L274" s="740">
        <v>1194</v>
      </c>
      <c r="M274" s="741">
        <v>0</v>
      </c>
      <c r="N274" s="67">
        <v>0</v>
      </c>
      <c r="O274" s="67">
        <v>0</v>
      </c>
      <c r="P274" s="674"/>
      <c r="Q274" s="674">
        <v>0</v>
      </c>
      <c r="R274" s="674" t="s">
        <v>1730</v>
      </c>
      <c r="S274" s="798" t="s">
        <v>801</v>
      </c>
      <c r="T274" s="798">
        <v>0</v>
      </c>
      <c r="U274" s="88">
        <v>0</v>
      </c>
      <c r="V274" s="71">
        <v>0</v>
      </c>
      <c r="W274" s="449">
        <v>0</v>
      </c>
      <c r="X274" s="67">
        <v>0</v>
      </c>
      <c r="Y274" s="163">
        <v>0</v>
      </c>
      <c r="Z274" s="166">
        <v>0</v>
      </c>
      <c r="AA274" s="34" t="s">
        <v>644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1666</v>
      </c>
      <c r="B275" s="784" t="s">
        <v>1693</v>
      </c>
      <c r="C275" s="784" t="s">
        <v>1769</v>
      </c>
      <c r="D275" s="134">
        <v>41.83</v>
      </c>
      <c r="E275" s="67">
        <v>5658</v>
      </c>
      <c r="F275" s="146">
        <v>0</v>
      </c>
      <c r="G275" s="146">
        <v>0</v>
      </c>
      <c r="H275" s="91">
        <v>5658</v>
      </c>
      <c r="I275" s="67">
        <v>0</v>
      </c>
      <c r="J275" s="739">
        <v>5658</v>
      </c>
      <c r="K275" s="837" t="s">
        <v>644</v>
      </c>
      <c r="L275" s="740">
        <v>5658</v>
      </c>
      <c r="M275" s="741">
        <v>0</v>
      </c>
      <c r="N275" s="67">
        <v>0</v>
      </c>
      <c r="O275" s="67">
        <v>0</v>
      </c>
      <c r="Q275" s="674">
        <v>0</v>
      </c>
      <c r="R275" s="674" t="s">
        <v>1730</v>
      </c>
      <c r="S275" s="798" t="s">
        <v>801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644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603</v>
      </c>
      <c r="B276" s="784" t="s">
        <v>460</v>
      </c>
      <c r="C276" s="784" t="s">
        <v>1582</v>
      </c>
      <c r="D276" s="134">
        <v>2.67</v>
      </c>
      <c r="E276" s="67">
        <v>361</v>
      </c>
      <c r="F276" s="146">
        <v>0</v>
      </c>
      <c r="G276" s="146">
        <v>0</v>
      </c>
      <c r="H276" s="91">
        <v>361</v>
      </c>
      <c r="I276" s="67">
        <v>0</v>
      </c>
      <c r="J276" s="739">
        <v>361</v>
      </c>
      <c r="K276" s="837" t="s">
        <v>644</v>
      </c>
      <c r="L276" s="740">
        <v>361</v>
      </c>
      <c r="M276" s="741">
        <v>0</v>
      </c>
      <c r="N276" s="67">
        <v>0</v>
      </c>
      <c r="O276" s="67">
        <v>0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0</v>
      </c>
      <c r="V276" s="71">
        <v>0</v>
      </c>
      <c r="W276" s="449">
        <v>0</v>
      </c>
      <c r="X276" s="67">
        <v>0</v>
      </c>
      <c r="Y276" s="163">
        <v>0</v>
      </c>
      <c r="Z276" s="166">
        <v>0</v>
      </c>
      <c r="AA276" s="34" t="s">
        <v>644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597</v>
      </c>
      <c r="B277" s="785" t="s">
        <v>351</v>
      </c>
      <c r="C277" s="784" t="s">
        <v>1527</v>
      </c>
      <c r="D277" s="134">
        <v>394.83</v>
      </c>
      <c r="E277" s="67">
        <v>53404</v>
      </c>
      <c r="F277" s="146">
        <v>0</v>
      </c>
      <c r="G277" s="146">
        <v>0</v>
      </c>
      <c r="H277" s="91">
        <v>53404</v>
      </c>
      <c r="I277" s="67">
        <v>0</v>
      </c>
      <c r="J277" s="739">
        <v>53404</v>
      </c>
      <c r="K277" s="837" t="s">
        <v>621</v>
      </c>
      <c r="L277" s="740">
        <v>0</v>
      </c>
      <c r="M277" s="741">
        <v>394.83</v>
      </c>
      <c r="N277" s="67">
        <v>797</v>
      </c>
      <c r="O277" s="67">
        <v>54201</v>
      </c>
      <c r="P277" s="674"/>
      <c r="Q277" s="674">
        <v>0</v>
      </c>
      <c r="R277" s="674" t="s">
        <v>1730</v>
      </c>
      <c r="S277" s="798" t="s">
        <v>801</v>
      </c>
      <c r="T277" s="798">
        <v>0</v>
      </c>
      <c r="U277" s="88">
        <v>54201</v>
      </c>
      <c r="V277" s="71">
        <v>137.27680267456881</v>
      </c>
      <c r="W277" s="449">
        <v>52615</v>
      </c>
      <c r="X277" s="67">
        <v>47921</v>
      </c>
      <c r="Y277" s="163">
        <v>6280</v>
      </c>
      <c r="Z277" s="166">
        <v>0.13104901817574757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605</v>
      </c>
      <c r="B278" s="784" t="s">
        <v>557</v>
      </c>
      <c r="C278" s="784" t="s">
        <v>1626</v>
      </c>
      <c r="D278" s="134">
        <v>1980</v>
      </c>
      <c r="E278" s="67">
        <v>267814</v>
      </c>
      <c r="F278" s="146">
        <v>0</v>
      </c>
      <c r="G278" s="146">
        <v>0</v>
      </c>
      <c r="H278" s="91">
        <v>267814</v>
      </c>
      <c r="I278" s="67">
        <v>0</v>
      </c>
      <c r="J278" s="739">
        <v>267814</v>
      </c>
      <c r="K278" s="837" t="s">
        <v>621</v>
      </c>
      <c r="L278" s="740">
        <v>0</v>
      </c>
      <c r="M278" s="741">
        <v>1980</v>
      </c>
      <c r="N278" s="67">
        <v>3995</v>
      </c>
      <c r="O278" s="67">
        <v>271809</v>
      </c>
      <c r="Q278" s="674">
        <v>0</v>
      </c>
      <c r="R278" s="674" t="s">
        <v>1730</v>
      </c>
      <c r="S278" s="798" t="s">
        <v>801</v>
      </c>
      <c r="T278" s="798">
        <v>0</v>
      </c>
      <c r="U278" s="88">
        <v>271809</v>
      </c>
      <c r="V278" s="71">
        <v>137.27727272727273</v>
      </c>
      <c r="W278" s="449">
        <v>272836</v>
      </c>
      <c r="X278" s="67">
        <v>267419</v>
      </c>
      <c r="Y278" s="163">
        <v>4390</v>
      </c>
      <c r="Z278" s="166">
        <v>1.6416185835711E-2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597</v>
      </c>
      <c r="B279" s="784" t="s">
        <v>345</v>
      </c>
      <c r="C279" s="784" t="s">
        <v>1524</v>
      </c>
      <c r="D279" s="134">
        <v>3306.83</v>
      </c>
      <c r="E279" s="67">
        <v>447280</v>
      </c>
      <c r="F279" s="146">
        <v>0</v>
      </c>
      <c r="G279" s="146">
        <v>0</v>
      </c>
      <c r="H279" s="91">
        <v>447280</v>
      </c>
      <c r="I279" s="67">
        <v>0</v>
      </c>
      <c r="J279" s="739">
        <v>447280</v>
      </c>
      <c r="K279" s="837" t="s">
        <v>621</v>
      </c>
      <c r="L279" s="740">
        <v>0</v>
      </c>
      <c r="M279" s="741">
        <v>3306.83</v>
      </c>
      <c r="N279" s="67">
        <v>6672</v>
      </c>
      <c r="O279" s="67">
        <v>453952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453952</v>
      </c>
      <c r="V279" s="71">
        <v>137.27709014373283</v>
      </c>
      <c r="W279" s="449">
        <v>455668</v>
      </c>
      <c r="X279" s="67">
        <v>443722</v>
      </c>
      <c r="Y279" s="163">
        <v>10230</v>
      </c>
      <c r="Z279" s="166">
        <v>2.3054975863265739E-2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594</v>
      </c>
      <c r="B280" s="784" t="s">
        <v>143</v>
      </c>
      <c r="C280" s="784" t="s">
        <v>1434</v>
      </c>
      <c r="D280" s="134">
        <v>0</v>
      </c>
      <c r="E280" s="67">
        <v>0</v>
      </c>
      <c r="F280" s="146">
        <v>0</v>
      </c>
      <c r="G280" s="146">
        <v>0</v>
      </c>
      <c r="H280" s="91">
        <v>0</v>
      </c>
      <c r="I280" s="67">
        <v>0</v>
      </c>
      <c r="J280" s="739">
        <v>0</v>
      </c>
      <c r="K280" s="837" t="s">
        <v>644</v>
      </c>
      <c r="L280" s="740">
        <v>0</v>
      </c>
      <c r="M280" s="741">
        <v>0</v>
      </c>
      <c r="N280" s="67">
        <v>0</v>
      </c>
      <c r="O280" s="67">
        <v>0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0</v>
      </c>
      <c r="V280" s="71">
        <v>0</v>
      </c>
      <c r="W280" s="449">
        <v>0</v>
      </c>
      <c r="X280" s="67">
        <v>0</v>
      </c>
      <c r="Y280" s="163">
        <v>0</v>
      </c>
      <c r="Z280" s="166">
        <v>0</v>
      </c>
      <c r="AA280" s="34" t="s">
        <v>644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597</v>
      </c>
      <c r="B281" s="784" t="s">
        <v>197</v>
      </c>
      <c r="C281" s="784" t="s">
        <v>627</v>
      </c>
      <c r="D281" s="134">
        <v>290.5</v>
      </c>
      <c r="E281" s="67">
        <v>39293</v>
      </c>
      <c r="F281" s="146">
        <v>0</v>
      </c>
      <c r="G281" s="146">
        <v>0</v>
      </c>
      <c r="H281" s="91">
        <v>39293</v>
      </c>
      <c r="I281" s="67">
        <v>0</v>
      </c>
      <c r="J281" s="739">
        <v>39293</v>
      </c>
      <c r="K281" s="837" t="s">
        <v>621</v>
      </c>
      <c r="L281" s="740">
        <v>0</v>
      </c>
      <c r="M281" s="741">
        <v>290.5</v>
      </c>
      <c r="N281" s="67">
        <v>586</v>
      </c>
      <c r="O281" s="67">
        <v>39879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39879</v>
      </c>
      <c r="V281" s="71">
        <v>137.27710843373495</v>
      </c>
      <c r="W281" s="449">
        <v>40029</v>
      </c>
      <c r="X281" s="67">
        <v>36071</v>
      </c>
      <c r="Y281" s="163">
        <v>3808</v>
      </c>
      <c r="Z281" s="166">
        <v>0.10556957112361731</v>
      </c>
      <c r="AA281" s="34" t="s">
        <v>621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521</v>
      </c>
      <c r="C282" s="784" t="s">
        <v>1609</v>
      </c>
      <c r="D282" s="134">
        <v>1</v>
      </c>
      <c r="E282" s="67">
        <v>135</v>
      </c>
      <c r="F282" s="146">
        <v>0</v>
      </c>
      <c r="G282" s="146">
        <v>0</v>
      </c>
      <c r="H282" s="91">
        <v>135</v>
      </c>
      <c r="I282" s="67">
        <v>0</v>
      </c>
      <c r="J282" s="739">
        <v>135</v>
      </c>
      <c r="K282" s="837" t="s">
        <v>644</v>
      </c>
      <c r="L282" s="740">
        <v>135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594</v>
      </c>
      <c r="B283" s="784" t="s">
        <v>486</v>
      </c>
      <c r="C283" s="784" t="s">
        <v>1594</v>
      </c>
      <c r="D283" s="134">
        <v>12</v>
      </c>
      <c r="E283" s="67">
        <v>1623</v>
      </c>
      <c r="F283" s="146">
        <v>0</v>
      </c>
      <c r="G283" s="146">
        <v>0</v>
      </c>
      <c r="H283" s="91">
        <v>1623</v>
      </c>
      <c r="I283" s="67">
        <v>0</v>
      </c>
      <c r="J283" s="739">
        <v>1623</v>
      </c>
      <c r="K283" s="837" t="s">
        <v>644</v>
      </c>
      <c r="L283" s="740">
        <v>1623</v>
      </c>
      <c r="M283" s="741">
        <v>0</v>
      </c>
      <c r="N283" s="67">
        <v>0</v>
      </c>
      <c r="O283" s="67">
        <v>0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644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605</v>
      </c>
      <c r="B284" s="784" t="s">
        <v>224</v>
      </c>
      <c r="C284" s="784" t="s">
        <v>1468</v>
      </c>
      <c r="D284" s="134">
        <v>3.66</v>
      </c>
      <c r="E284" s="67">
        <v>495</v>
      </c>
      <c r="F284" s="146">
        <v>0</v>
      </c>
      <c r="G284" s="146">
        <v>0</v>
      </c>
      <c r="H284" s="91">
        <v>495</v>
      </c>
      <c r="I284" s="67">
        <v>0</v>
      </c>
      <c r="J284" s="739">
        <v>495</v>
      </c>
      <c r="K284" s="837" t="s">
        <v>644</v>
      </c>
      <c r="L284" s="740">
        <v>495</v>
      </c>
      <c r="M284" s="741">
        <v>0</v>
      </c>
      <c r="N284" s="67">
        <v>0</v>
      </c>
      <c r="O284" s="67">
        <v>0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0</v>
      </c>
      <c r="V284" s="71">
        <v>0</v>
      </c>
      <c r="W284" s="449">
        <v>0</v>
      </c>
      <c r="X284" s="67">
        <v>0</v>
      </c>
      <c r="Y284" s="163">
        <v>0</v>
      </c>
      <c r="Z284" s="166">
        <v>0</v>
      </c>
      <c r="AA284" s="34" t="s">
        <v>644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594</v>
      </c>
      <c r="B285" s="784" t="s">
        <v>268</v>
      </c>
      <c r="C285" s="784" t="s">
        <v>1488</v>
      </c>
      <c r="D285" s="134">
        <v>10.84</v>
      </c>
      <c r="E285" s="67">
        <v>1466</v>
      </c>
      <c r="F285" s="146">
        <v>0</v>
      </c>
      <c r="G285" s="146">
        <v>0</v>
      </c>
      <c r="H285" s="91">
        <v>1466</v>
      </c>
      <c r="I285" s="67">
        <v>0</v>
      </c>
      <c r="J285" s="739">
        <v>1466</v>
      </c>
      <c r="K285" s="837" t="s">
        <v>644</v>
      </c>
      <c r="L285" s="740">
        <v>1466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601</v>
      </c>
      <c r="B286" s="784" t="s">
        <v>321</v>
      </c>
      <c r="C286" s="784" t="s">
        <v>612</v>
      </c>
      <c r="D286" s="134">
        <v>134</v>
      </c>
      <c r="E286" s="67">
        <v>18125</v>
      </c>
      <c r="F286" s="146">
        <v>0</v>
      </c>
      <c r="G286" s="146">
        <v>0</v>
      </c>
      <c r="H286" s="91">
        <v>18125</v>
      </c>
      <c r="I286" s="67">
        <v>0</v>
      </c>
      <c r="J286" s="739">
        <v>18125</v>
      </c>
      <c r="K286" s="837" t="s">
        <v>621</v>
      </c>
      <c r="L286" s="740">
        <v>0</v>
      </c>
      <c r="M286" s="741">
        <v>134</v>
      </c>
      <c r="N286" s="67">
        <v>270</v>
      </c>
      <c r="O286" s="67">
        <v>18395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18395</v>
      </c>
      <c r="V286" s="71">
        <v>137.27611940298507</v>
      </c>
      <c r="W286" s="449">
        <v>18464</v>
      </c>
      <c r="X286" s="67">
        <v>17991</v>
      </c>
      <c r="Y286" s="163">
        <v>404</v>
      </c>
      <c r="Z286" s="166">
        <v>2.2455672280584735E-2</v>
      </c>
      <c r="AA286" s="34" t="s">
        <v>621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605</v>
      </c>
      <c r="B287" s="784" t="s">
        <v>559</v>
      </c>
      <c r="C287" s="784" t="s">
        <v>633</v>
      </c>
      <c r="D287" s="134">
        <v>1504.01</v>
      </c>
      <c r="E287" s="67">
        <v>203432</v>
      </c>
      <c r="F287" s="146">
        <v>0</v>
      </c>
      <c r="G287" s="146">
        <v>0</v>
      </c>
      <c r="H287" s="91">
        <v>203432</v>
      </c>
      <c r="I287" s="67">
        <v>0</v>
      </c>
      <c r="J287" s="739">
        <v>203432</v>
      </c>
      <c r="K287" s="837" t="s">
        <v>621</v>
      </c>
      <c r="L287" s="740">
        <v>0</v>
      </c>
      <c r="M287" s="741">
        <v>1504.01</v>
      </c>
      <c r="N287" s="67">
        <v>3035</v>
      </c>
      <c r="O287" s="67">
        <v>206467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206467</v>
      </c>
      <c r="V287" s="71">
        <v>137.27767767501547</v>
      </c>
      <c r="W287" s="449">
        <v>207246</v>
      </c>
      <c r="X287" s="67">
        <v>207343</v>
      </c>
      <c r="Y287" s="163">
        <v>-876</v>
      </c>
      <c r="Z287" s="166">
        <v>-4.2248834057576094E-3</v>
      </c>
      <c r="AA287" s="34" t="s">
        <v>621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596</v>
      </c>
      <c r="B288" s="784" t="s">
        <v>496</v>
      </c>
      <c r="C288" s="784" t="s">
        <v>1598</v>
      </c>
      <c r="D288" s="134">
        <v>35.33</v>
      </c>
      <c r="E288" s="67">
        <v>4779</v>
      </c>
      <c r="F288" s="146">
        <v>0</v>
      </c>
      <c r="G288" s="146">
        <v>0</v>
      </c>
      <c r="H288" s="91">
        <v>4779</v>
      </c>
      <c r="I288" s="67">
        <v>0</v>
      </c>
      <c r="J288" s="739">
        <v>4779</v>
      </c>
      <c r="K288" s="837" t="s">
        <v>644</v>
      </c>
      <c r="L288" s="740">
        <v>4779</v>
      </c>
      <c r="M288" s="741">
        <v>0</v>
      </c>
      <c r="N288" s="67">
        <v>0</v>
      </c>
      <c r="O288" s="67">
        <v>0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644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599</v>
      </c>
      <c r="B289" s="787" t="s">
        <v>72</v>
      </c>
      <c r="C289" s="784" t="s">
        <v>1400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837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644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599</v>
      </c>
      <c r="B290" s="784" t="s">
        <v>238</v>
      </c>
      <c r="C290" s="784" t="s">
        <v>1475</v>
      </c>
      <c r="D290" s="134">
        <v>7.33</v>
      </c>
      <c r="E290" s="67">
        <v>991</v>
      </c>
      <c r="F290" s="146">
        <v>0</v>
      </c>
      <c r="G290" s="146">
        <v>0</v>
      </c>
      <c r="H290" s="91">
        <v>991</v>
      </c>
      <c r="I290" s="67">
        <v>0</v>
      </c>
      <c r="J290" s="739">
        <v>991</v>
      </c>
      <c r="K290" s="837" t="s">
        <v>644</v>
      </c>
      <c r="L290" s="740">
        <v>991</v>
      </c>
      <c r="M290" s="741">
        <v>0</v>
      </c>
      <c r="N290" s="67">
        <v>0</v>
      </c>
      <c r="O290" s="67">
        <v>0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644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597</v>
      </c>
      <c r="B291" s="784" t="s">
        <v>191</v>
      </c>
      <c r="C291" s="784" t="s">
        <v>1456</v>
      </c>
      <c r="D291" s="134">
        <v>1106.83</v>
      </c>
      <c r="E291" s="67">
        <v>149709</v>
      </c>
      <c r="F291" s="146">
        <v>0</v>
      </c>
      <c r="G291" s="146">
        <v>0</v>
      </c>
      <c r="H291" s="91">
        <v>149709</v>
      </c>
      <c r="I291" s="67">
        <v>0</v>
      </c>
      <c r="J291" s="739">
        <v>149709</v>
      </c>
      <c r="K291" s="837" t="s">
        <v>621</v>
      </c>
      <c r="L291" s="740">
        <v>0</v>
      </c>
      <c r="M291" s="741">
        <v>1106.83</v>
      </c>
      <c r="N291" s="67">
        <v>2233</v>
      </c>
      <c r="O291" s="67">
        <v>151942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151942</v>
      </c>
      <c r="V291" s="71">
        <v>137.27672723001726</v>
      </c>
      <c r="W291" s="449">
        <v>152517</v>
      </c>
      <c r="X291" s="67">
        <v>144654</v>
      </c>
      <c r="Y291" s="163">
        <v>7288</v>
      </c>
      <c r="Z291" s="166">
        <v>5.0382291537047021E-2</v>
      </c>
      <c r="AA291" s="34" t="s">
        <v>621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594</v>
      </c>
      <c r="B292" s="784" t="s">
        <v>476</v>
      </c>
      <c r="C292" s="784" t="s">
        <v>1589</v>
      </c>
      <c r="D292" s="134">
        <v>103.17</v>
      </c>
      <c r="E292" s="67">
        <v>13955</v>
      </c>
      <c r="F292" s="146">
        <v>0</v>
      </c>
      <c r="G292" s="146">
        <v>0</v>
      </c>
      <c r="H292" s="91">
        <v>13955</v>
      </c>
      <c r="I292" s="67">
        <v>0</v>
      </c>
      <c r="J292" s="739">
        <v>13955</v>
      </c>
      <c r="K292" s="837" t="s">
        <v>621</v>
      </c>
      <c r="L292" s="740">
        <v>0</v>
      </c>
      <c r="M292" s="741">
        <v>103.17</v>
      </c>
      <c r="N292" s="67">
        <v>208</v>
      </c>
      <c r="O292" s="67">
        <v>14163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14163</v>
      </c>
      <c r="V292" s="71">
        <v>137.27827856935156</v>
      </c>
      <c r="W292" s="449">
        <v>14216</v>
      </c>
      <c r="X292" s="67">
        <v>15944</v>
      </c>
      <c r="Y292" s="163">
        <v>-1781</v>
      </c>
      <c r="Z292" s="166">
        <v>-0.11170346211741093</v>
      </c>
      <c r="AA292" s="34" t="s">
        <v>621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605</v>
      </c>
      <c r="B293" s="784" t="s">
        <v>543</v>
      </c>
      <c r="C293" s="784" t="s">
        <v>1620</v>
      </c>
      <c r="D293" s="134">
        <v>150.66999999999999</v>
      </c>
      <c r="E293" s="67">
        <v>20380</v>
      </c>
      <c r="F293" s="146">
        <v>0</v>
      </c>
      <c r="G293" s="146">
        <v>0</v>
      </c>
      <c r="H293" s="91">
        <v>20380</v>
      </c>
      <c r="I293" s="67">
        <v>0</v>
      </c>
      <c r="J293" s="739">
        <v>20380</v>
      </c>
      <c r="K293" s="837" t="s">
        <v>621</v>
      </c>
      <c r="L293" s="740">
        <v>0</v>
      </c>
      <c r="M293" s="741">
        <v>150.66999999999999</v>
      </c>
      <c r="N293" s="67">
        <v>304</v>
      </c>
      <c r="O293" s="67">
        <v>20684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20684</v>
      </c>
      <c r="V293" s="71">
        <v>137.28014866927725</v>
      </c>
      <c r="W293" s="449">
        <v>20761</v>
      </c>
      <c r="X293" s="67">
        <v>23133</v>
      </c>
      <c r="Y293" s="163">
        <v>-2449</v>
      </c>
      <c r="Z293" s="166">
        <v>-0.10586607876194182</v>
      </c>
      <c r="AA293" s="34" t="s">
        <v>621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597</v>
      </c>
      <c r="B294" s="784" t="s">
        <v>349</v>
      </c>
      <c r="C294" s="784" t="s">
        <v>1526</v>
      </c>
      <c r="D294" s="134">
        <v>280.83999999999997</v>
      </c>
      <c r="E294" s="67">
        <v>37986</v>
      </c>
      <c r="F294" s="146">
        <v>0</v>
      </c>
      <c r="G294" s="146">
        <v>0</v>
      </c>
      <c r="H294" s="91">
        <v>37986</v>
      </c>
      <c r="I294" s="67">
        <v>0</v>
      </c>
      <c r="J294" s="739">
        <v>37986</v>
      </c>
      <c r="K294" s="837" t="s">
        <v>621</v>
      </c>
      <c r="L294" s="740">
        <v>0</v>
      </c>
      <c r="M294" s="741">
        <v>280.83999999999997</v>
      </c>
      <c r="N294" s="67">
        <v>567</v>
      </c>
      <c r="O294" s="67">
        <v>38553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38553</v>
      </c>
      <c r="V294" s="71">
        <v>137.27745335422307</v>
      </c>
      <c r="W294" s="449">
        <v>38699</v>
      </c>
      <c r="X294" s="67">
        <v>45044</v>
      </c>
      <c r="Y294" s="163">
        <v>-6491</v>
      </c>
      <c r="Z294" s="166">
        <v>-0.14410354320220228</v>
      </c>
      <c r="AA294" s="34" t="s">
        <v>621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603</v>
      </c>
      <c r="B295" s="784" t="s">
        <v>454</v>
      </c>
      <c r="C295" s="784" t="s">
        <v>1579</v>
      </c>
      <c r="D295" s="134">
        <v>51.83</v>
      </c>
      <c r="E295" s="67">
        <v>7010</v>
      </c>
      <c r="F295" s="146">
        <v>0</v>
      </c>
      <c r="G295" s="146">
        <v>0</v>
      </c>
      <c r="H295" s="91">
        <v>7010</v>
      </c>
      <c r="I295" s="67">
        <v>0</v>
      </c>
      <c r="J295" s="739">
        <v>7010</v>
      </c>
      <c r="K295" s="837" t="s">
        <v>644</v>
      </c>
      <c r="L295" s="740">
        <v>7010</v>
      </c>
      <c r="M295" s="741">
        <v>0</v>
      </c>
      <c r="N295" s="67">
        <v>0</v>
      </c>
      <c r="O295" s="67">
        <v>0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0</v>
      </c>
      <c r="V295" s="71">
        <v>0</v>
      </c>
      <c r="W295" s="449">
        <v>0</v>
      </c>
      <c r="X295" s="67">
        <v>0</v>
      </c>
      <c r="Y295" s="163">
        <v>0</v>
      </c>
      <c r="Z295" s="166">
        <v>0</v>
      </c>
      <c r="AA295" s="34" t="s">
        <v>644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599</v>
      </c>
      <c r="B296" s="784" t="s">
        <v>49</v>
      </c>
      <c r="C296" s="784" t="s">
        <v>1390</v>
      </c>
      <c r="D296" s="134">
        <v>2983.34</v>
      </c>
      <c r="E296" s="67">
        <v>403525</v>
      </c>
      <c r="F296" s="146">
        <v>0</v>
      </c>
      <c r="G296" s="146">
        <v>0</v>
      </c>
      <c r="H296" s="91">
        <v>403525</v>
      </c>
      <c r="I296" s="67">
        <v>0</v>
      </c>
      <c r="J296" s="739">
        <v>403525</v>
      </c>
      <c r="K296" s="837" t="s">
        <v>621</v>
      </c>
      <c r="L296" s="740">
        <v>0</v>
      </c>
      <c r="M296" s="741">
        <v>2983.34</v>
      </c>
      <c r="N296" s="67">
        <v>6020</v>
      </c>
      <c r="O296" s="67">
        <v>409545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409545</v>
      </c>
      <c r="V296" s="71">
        <v>137.27734686626397</v>
      </c>
      <c r="W296" s="449">
        <v>411092</v>
      </c>
      <c r="X296" s="67">
        <v>418194</v>
      </c>
      <c r="Y296" s="163">
        <v>-8649</v>
      </c>
      <c r="Z296" s="166">
        <v>-2.0681788834846986E-2</v>
      </c>
      <c r="AA296" s="34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597</v>
      </c>
      <c r="B297" s="784" t="s">
        <v>183</v>
      </c>
      <c r="C297" s="784" t="s">
        <v>1453</v>
      </c>
      <c r="D297" s="134">
        <v>76.67</v>
      </c>
      <c r="E297" s="67">
        <v>10370</v>
      </c>
      <c r="F297" s="146">
        <v>0</v>
      </c>
      <c r="G297" s="146">
        <v>0</v>
      </c>
      <c r="H297" s="91">
        <v>10370</v>
      </c>
      <c r="I297" s="67">
        <v>0</v>
      </c>
      <c r="J297" s="739">
        <v>10370</v>
      </c>
      <c r="K297" s="837" t="s">
        <v>621</v>
      </c>
      <c r="L297" s="740">
        <v>0</v>
      </c>
      <c r="M297" s="741">
        <v>76.67</v>
      </c>
      <c r="N297" s="67">
        <v>155</v>
      </c>
      <c r="O297" s="67">
        <v>10525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10525</v>
      </c>
      <c r="V297" s="71">
        <v>137.27664014608061</v>
      </c>
      <c r="W297" s="449">
        <v>10565</v>
      </c>
      <c r="X297" s="67">
        <v>10151</v>
      </c>
      <c r="Y297" s="163">
        <v>374</v>
      </c>
      <c r="Z297" s="166">
        <v>3.684366072308147E-2</v>
      </c>
      <c r="AA297" s="34" t="s">
        <v>621</v>
      </c>
      <c r="AC297" s="67"/>
      <c r="AD297" s="451"/>
      <c r="AE297" s="452"/>
    </row>
    <row r="298" spans="1:37">
      <c r="A298" s="64" t="s">
        <v>599</v>
      </c>
      <c r="B298" s="784" t="s">
        <v>488</v>
      </c>
      <c r="C298" s="784" t="s">
        <v>1595</v>
      </c>
      <c r="D298" s="134">
        <v>15.5</v>
      </c>
      <c r="E298" s="67">
        <v>2097</v>
      </c>
      <c r="F298" s="146">
        <v>0</v>
      </c>
      <c r="G298" s="146">
        <v>0</v>
      </c>
      <c r="H298" s="91">
        <v>2097</v>
      </c>
      <c r="I298" s="67">
        <v>0</v>
      </c>
      <c r="J298" s="739">
        <v>2097</v>
      </c>
      <c r="K298" s="837" t="s">
        <v>644</v>
      </c>
      <c r="L298" s="740">
        <v>2097</v>
      </c>
      <c r="M298" s="741">
        <v>0</v>
      </c>
      <c r="N298" s="67">
        <v>0</v>
      </c>
      <c r="O298" s="67">
        <v>0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0</v>
      </c>
      <c r="V298" s="71">
        <v>0</v>
      </c>
      <c r="W298" s="449">
        <v>0</v>
      </c>
      <c r="X298" s="67">
        <v>2701</v>
      </c>
      <c r="Y298" s="163">
        <v>-2701</v>
      </c>
      <c r="Z298" s="166">
        <v>-1</v>
      </c>
      <c r="AA298" s="34" t="s">
        <v>644</v>
      </c>
      <c r="AC298" s="67"/>
      <c r="AD298" s="451"/>
      <c r="AE298" s="452"/>
    </row>
    <row r="299" spans="1:37">
      <c r="A299" s="64" t="s">
        <v>605</v>
      </c>
      <c r="B299" s="784" t="s">
        <v>114</v>
      </c>
      <c r="C299" s="784" t="s">
        <v>634</v>
      </c>
      <c r="D299" s="134">
        <v>1251.17</v>
      </c>
      <c r="E299" s="67">
        <v>169233</v>
      </c>
      <c r="F299" s="146">
        <v>0</v>
      </c>
      <c r="G299" s="146">
        <v>0</v>
      </c>
      <c r="H299" s="91">
        <v>169233</v>
      </c>
      <c r="I299" s="67">
        <v>0</v>
      </c>
      <c r="J299" s="739">
        <v>169233</v>
      </c>
      <c r="K299" s="837" t="s">
        <v>621</v>
      </c>
      <c r="L299" s="740">
        <v>0</v>
      </c>
      <c r="M299" s="741">
        <v>1251.17</v>
      </c>
      <c r="N299" s="67">
        <v>2525</v>
      </c>
      <c r="O299" s="67">
        <v>171758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171758</v>
      </c>
      <c r="V299" s="71">
        <v>137.27790787822596</v>
      </c>
      <c r="W299" s="449">
        <v>172406</v>
      </c>
      <c r="X299" s="67">
        <v>167548</v>
      </c>
      <c r="Y299" s="163">
        <v>4210</v>
      </c>
      <c r="Z299" s="166">
        <v>2.5127127748466111E-2</v>
      </c>
      <c r="AA299" s="34" t="s">
        <v>621</v>
      </c>
      <c r="AC299" s="67"/>
      <c r="AD299" s="451"/>
      <c r="AE299" s="452"/>
    </row>
    <row r="300" spans="1:37">
      <c r="A300" s="64" t="s">
        <v>596</v>
      </c>
      <c r="B300" s="784" t="s">
        <v>500</v>
      </c>
      <c r="C300" s="784" t="s">
        <v>1600</v>
      </c>
      <c r="D300" s="134">
        <v>6.5</v>
      </c>
      <c r="E300" s="67">
        <v>879</v>
      </c>
      <c r="F300" s="146">
        <v>0</v>
      </c>
      <c r="G300" s="146">
        <v>0</v>
      </c>
      <c r="H300" s="91">
        <v>879</v>
      </c>
      <c r="I300" s="67">
        <v>0</v>
      </c>
      <c r="J300" s="739">
        <v>879</v>
      </c>
      <c r="K300" s="837" t="s">
        <v>644</v>
      </c>
      <c r="L300" s="740">
        <v>879</v>
      </c>
      <c r="M300" s="741">
        <v>0</v>
      </c>
      <c r="N300" s="67">
        <v>0</v>
      </c>
      <c r="O300" s="67">
        <v>0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0</v>
      </c>
      <c r="V300" s="71">
        <v>0</v>
      </c>
      <c r="W300" s="449">
        <v>0</v>
      </c>
      <c r="X300" s="67">
        <v>0</v>
      </c>
      <c r="Y300" s="163">
        <v>0</v>
      </c>
      <c r="Z300" s="166">
        <v>0</v>
      </c>
      <c r="AA300" s="34" t="s">
        <v>644</v>
      </c>
      <c r="AC300" s="67"/>
      <c r="AD300" s="451"/>
      <c r="AE300" s="452"/>
    </row>
    <row r="301" spans="1:37">
      <c r="A301" s="64" t="s">
        <v>596</v>
      </c>
      <c r="B301" s="784" t="s">
        <v>492</v>
      </c>
      <c r="C301" s="784" t="s">
        <v>641</v>
      </c>
      <c r="D301" s="134">
        <v>822.5</v>
      </c>
      <c r="E301" s="67">
        <v>111251</v>
      </c>
      <c r="F301" s="146">
        <v>0</v>
      </c>
      <c r="G301" s="146">
        <v>0</v>
      </c>
      <c r="H301" s="91">
        <v>111251</v>
      </c>
      <c r="I301" s="67">
        <v>0</v>
      </c>
      <c r="J301" s="739">
        <v>111251</v>
      </c>
      <c r="K301" s="837" t="s">
        <v>621</v>
      </c>
      <c r="L301" s="740">
        <v>0</v>
      </c>
      <c r="M301" s="741">
        <v>822.5</v>
      </c>
      <c r="N301" s="67">
        <v>1660</v>
      </c>
      <c r="O301" s="67">
        <v>112911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112911</v>
      </c>
      <c r="V301" s="71">
        <v>137.27781155015197</v>
      </c>
      <c r="W301" s="449">
        <v>113337</v>
      </c>
      <c r="X301" s="67">
        <v>105665</v>
      </c>
      <c r="Y301" s="163">
        <v>7246</v>
      </c>
      <c r="Z301" s="166">
        <v>6.8575214120096525E-2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567</v>
      </c>
      <c r="C302" s="784" t="s">
        <v>1630</v>
      </c>
      <c r="D302" s="134">
        <v>1479.5</v>
      </c>
      <c r="E302" s="67">
        <v>200116</v>
      </c>
      <c r="F302" s="146">
        <v>0</v>
      </c>
      <c r="G302" s="146">
        <v>0</v>
      </c>
      <c r="H302" s="91">
        <v>200116</v>
      </c>
      <c r="I302" s="67">
        <v>0</v>
      </c>
      <c r="J302" s="739">
        <v>200116</v>
      </c>
      <c r="K302" s="837" t="s">
        <v>621</v>
      </c>
      <c r="L302" s="740">
        <v>0</v>
      </c>
      <c r="M302" s="741">
        <v>1479.5</v>
      </c>
      <c r="N302" s="67">
        <v>2985</v>
      </c>
      <c r="O302" s="67">
        <v>203101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203101</v>
      </c>
      <c r="V302" s="71">
        <v>137.27678269685705</v>
      </c>
      <c r="W302" s="449">
        <v>203869</v>
      </c>
      <c r="X302" s="67">
        <v>216971</v>
      </c>
      <c r="Y302" s="163">
        <v>-13870</v>
      </c>
      <c r="Z302" s="166">
        <v>-6.3925593742942599E-2</v>
      </c>
      <c r="AA302" s="34" t="s">
        <v>621</v>
      </c>
      <c r="AC302" s="67"/>
      <c r="AD302" s="451"/>
      <c r="AE302" s="452"/>
    </row>
    <row r="303" spans="1:37">
      <c r="A303" s="64" t="s">
        <v>601</v>
      </c>
      <c r="B303" s="784" t="s">
        <v>118</v>
      </c>
      <c r="C303" s="784" t="s">
        <v>1422</v>
      </c>
      <c r="D303" s="134">
        <v>234.17</v>
      </c>
      <c r="E303" s="67">
        <v>31674</v>
      </c>
      <c r="F303" s="146">
        <v>0</v>
      </c>
      <c r="G303" s="146">
        <v>0</v>
      </c>
      <c r="H303" s="91">
        <v>31674</v>
      </c>
      <c r="I303" s="67">
        <v>0</v>
      </c>
      <c r="J303" s="739">
        <v>31674</v>
      </c>
      <c r="K303" s="837" t="s">
        <v>621</v>
      </c>
      <c r="L303" s="740">
        <v>0</v>
      </c>
      <c r="M303" s="741">
        <v>234.17</v>
      </c>
      <c r="N303" s="67">
        <v>473</v>
      </c>
      <c r="O303" s="67">
        <v>32147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32147</v>
      </c>
      <c r="V303" s="71">
        <v>137.28060810522271</v>
      </c>
      <c r="W303" s="449">
        <v>32268</v>
      </c>
      <c r="X303" s="67">
        <v>33654</v>
      </c>
      <c r="Y303" s="163">
        <v>-1507</v>
      </c>
      <c r="Z303" s="166">
        <v>-4.4779223866405184E-2</v>
      </c>
      <c r="AA303" s="34" t="s">
        <v>621</v>
      </c>
      <c r="AC303" s="67"/>
      <c r="AD303" s="451"/>
      <c r="AE303" s="452"/>
    </row>
    <row r="304" spans="1:37">
      <c r="A304" s="64" t="s">
        <v>599</v>
      </c>
      <c r="B304" s="23" t="s">
        <v>56</v>
      </c>
      <c r="C304" s="788" t="s">
        <v>854</v>
      </c>
      <c r="D304" s="134">
        <v>64</v>
      </c>
      <c r="E304" s="67">
        <v>8657</v>
      </c>
      <c r="F304" s="146">
        <v>0</v>
      </c>
      <c r="G304" s="146">
        <v>0</v>
      </c>
      <c r="H304" s="91">
        <v>8657</v>
      </c>
      <c r="I304" s="67">
        <v>0</v>
      </c>
      <c r="J304" s="739">
        <v>8657</v>
      </c>
      <c r="K304" s="837" t="s">
        <v>644</v>
      </c>
      <c r="L304" s="740">
        <v>8657</v>
      </c>
      <c r="M304" s="741">
        <v>0</v>
      </c>
      <c r="N304" s="67">
        <v>0</v>
      </c>
      <c r="O304" s="67">
        <v>0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0</v>
      </c>
      <c r="V304" s="71">
        <v>0</v>
      </c>
      <c r="W304" s="449">
        <v>0</v>
      </c>
      <c r="X304" s="67">
        <v>10978</v>
      </c>
      <c r="Y304" s="163">
        <v>-10978</v>
      </c>
      <c r="Z304" s="166">
        <v>-1</v>
      </c>
      <c r="AA304" s="34" t="s">
        <v>644</v>
      </c>
      <c r="AB304" s="72"/>
      <c r="AC304" s="67"/>
      <c r="AD304" s="451"/>
      <c r="AE304" s="452"/>
    </row>
    <row r="305" spans="1:37">
      <c r="A305" s="64" t="s">
        <v>603</v>
      </c>
      <c r="B305" s="36" t="s">
        <v>0</v>
      </c>
      <c r="C305" s="23" t="s">
        <v>1369</v>
      </c>
      <c r="D305" s="134">
        <v>0.33</v>
      </c>
      <c r="E305" s="67">
        <v>45</v>
      </c>
      <c r="F305" s="146">
        <v>0</v>
      </c>
      <c r="G305" s="146">
        <v>0</v>
      </c>
      <c r="H305" s="91">
        <v>45</v>
      </c>
      <c r="I305" s="67">
        <v>0</v>
      </c>
      <c r="J305" s="739">
        <v>45</v>
      </c>
      <c r="K305" s="837" t="s">
        <v>644</v>
      </c>
      <c r="L305" s="740">
        <v>45</v>
      </c>
      <c r="M305" s="741">
        <v>0</v>
      </c>
      <c r="N305" s="67">
        <v>0</v>
      </c>
      <c r="O305" s="67">
        <v>0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0</v>
      </c>
      <c r="V305" s="71">
        <v>0</v>
      </c>
      <c r="W305" s="449">
        <v>0</v>
      </c>
      <c r="X305" s="67">
        <v>0</v>
      </c>
      <c r="Y305" s="163">
        <v>0</v>
      </c>
      <c r="Z305" s="166">
        <v>0</v>
      </c>
      <c r="AA305" s="34" t="s">
        <v>644</v>
      </c>
      <c r="AC305" s="67"/>
      <c r="AE305" s="452"/>
    </row>
    <row r="306" spans="1:37">
      <c r="A306" s="64" t="s">
        <v>601</v>
      </c>
      <c r="B306" s="36" t="s">
        <v>92</v>
      </c>
      <c r="C306" s="23" t="s">
        <v>1410</v>
      </c>
      <c r="D306" s="134">
        <v>13.17</v>
      </c>
      <c r="E306" s="67">
        <v>1781</v>
      </c>
      <c r="F306" s="146">
        <v>0</v>
      </c>
      <c r="G306" s="146">
        <v>0</v>
      </c>
      <c r="H306" s="91">
        <v>1781</v>
      </c>
      <c r="I306" s="67">
        <v>0</v>
      </c>
      <c r="J306" s="739">
        <v>1781</v>
      </c>
      <c r="K306" s="837" t="s">
        <v>644</v>
      </c>
      <c r="L306" s="740">
        <v>1781</v>
      </c>
      <c r="M306" s="741">
        <v>0</v>
      </c>
      <c r="N306" s="67">
        <v>0</v>
      </c>
      <c r="O306" s="67">
        <v>0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0</v>
      </c>
      <c r="V306" s="71">
        <v>0</v>
      </c>
      <c r="W306" s="449">
        <v>0</v>
      </c>
      <c r="X306" s="67">
        <v>0</v>
      </c>
      <c r="Y306" s="163">
        <v>0</v>
      </c>
      <c r="Z306" s="166">
        <v>0</v>
      </c>
      <c r="AA306" s="34" t="s">
        <v>644</v>
      </c>
      <c r="AC306" s="67"/>
      <c r="AE306" s="452"/>
    </row>
    <row r="307" spans="1:37">
      <c r="A307" s="64" t="s">
        <v>603</v>
      </c>
      <c r="B307" s="36" t="s">
        <v>452</v>
      </c>
      <c r="C307" s="23" t="s">
        <v>1578</v>
      </c>
      <c r="D307" s="134">
        <v>91</v>
      </c>
      <c r="E307" s="67">
        <v>12309</v>
      </c>
      <c r="F307" s="146">
        <v>0</v>
      </c>
      <c r="G307" s="146">
        <v>0</v>
      </c>
      <c r="H307" s="91">
        <v>12309</v>
      </c>
      <c r="I307" s="67">
        <v>0</v>
      </c>
      <c r="J307" s="739">
        <v>12309</v>
      </c>
      <c r="K307" s="837" t="s">
        <v>621</v>
      </c>
      <c r="L307" s="740">
        <v>0</v>
      </c>
      <c r="M307" s="741">
        <v>91</v>
      </c>
      <c r="N307" s="67">
        <v>184</v>
      </c>
      <c r="O307" s="67">
        <v>12493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12493</v>
      </c>
      <c r="V307" s="71">
        <v>137.28571428571428</v>
      </c>
      <c r="W307" s="449">
        <v>12539</v>
      </c>
      <c r="X307" s="67">
        <v>14202</v>
      </c>
      <c r="Y307" s="163">
        <v>-1709</v>
      </c>
      <c r="Z307" s="166">
        <v>-0.1203351640613998</v>
      </c>
      <c r="AA307" s="34" t="s">
        <v>621</v>
      </c>
      <c r="AC307" s="72"/>
      <c r="AE307" s="452"/>
    </row>
    <row r="308" spans="1:37">
      <c r="A308" s="64" t="s">
        <v>601</v>
      </c>
      <c r="B308" s="36" t="s">
        <v>37</v>
      </c>
      <c r="C308" s="23" t="s">
        <v>1384</v>
      </c>
      <c r="D308" s="134">
        <v>1617</v>
      </c>
      <c r="E308" s="67">
        <v>218715</v>
      </c>
      <c r="F308" s="146">
        <v>0</v>
      </c>
      <c r="G308" s="146">
        <v>0</v>
      </c>
      <c r="H308" s="91">
        <v>218715</v>
      </c>
      <c r="I308" s="67">
        <v>0</v>
      </c>
      <c r="J308" s="739">
        <v>218715</v>
      </c>
      <c r="K308" s="837" t="s">
        <v>621</v>
      </c>
      <c r="L308" s="740">
        <v>0</v>
      </c>
      <c r="M308" s="741">
        <v>1617</v>
      </c>
      <c r="N308" s="67">
        <v>3263</v>
      </c>
      <c r="O308" s="67">
        <v>221978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221978</v>
      </c>
      <c r="V308" s="71">
        <v>137.27767470624613</v>
      </c>
      <c r="W308" s="449">
        <v>222816</v>
      </c>
      <c r="X308" s="67">
        <v>239559</v>
      </c>
      <c r="Y308" s="163">
        <v>-17581</v>
      </c>
      <c r="Z308" s="166">
        <v>-7.3389018989059057E-2</v>
      </c>
      <c r="AA308" s="34" t="s">
        <v>621</v>
      </c>
      <c r="AE308" s="452"/>
    </row>
    <row r="309" spans="1:37" s="29" customFormat="1">
      <c r="A309" s="64" t="s">
        <v>603</v>
      </c>
      <c r="B309" s="36" t="s">
        <v>443</v>
      </c>
      <c r="C309" s="23" t="s">
        <v>1573</v>
      </c>
      <c r="D309" s="134">
        <v>111</v>
      </c>
      <c r="E309" s="67">
        <v>15014</v>
      </c>
      <c r="F309" s="146">
        <v>0</v>
      </c>
      <c r="G309" s="146">
        <v>0</v>
      </c>
      <c r="H309" s="91">
        <v>15014</v>
      </c>
      <c r="I309" s="67">
        <v>0</v>
      </c>
      <c r="J309" s="739">
        <v>15014</v>
      </c>
      <c r="K309" s="837" t="s">
        <v>621</v>
      </c>
      <c r="L309" s="740">
        <v>0</v>
      </c>
      <c r="M309" s="741">
        <v>111</v>
      </c>
      <c r="N309" s="67">
        <v>224</v>
      </c>
      <c r="O309" s="67">
        <v>15238</v>
      </c>
      <c r="P309" s="674"/>
      <c r="Q309" s="674">
        <v>0</v>
      </c>
      <c r="R309" s="674" t="s">
        <v>1730</v>
      </c>
      <c r="S309" s="798" t="s">
        <v>801</v>
      </c>
      <c r="T309" s="798">
        <v>0</v>
      </c>
      <c r="U309" s="88">
        <v>15238</v>
      </c>
      <c r="V309" s="71">
        <v>137.27927927927928</v>
      </c>
      <c r="W309" s="449">
        <v>15295</v>
      </c>
      <c r="X309" s="67">
        <v>16271</v>
      </c>
      <c r="Y309" s="163">
        <v>-1033</v>
      </c>
      <c r="Z309" s="166">
        <v>-6.3487185790670517E-2</v>
      </c>
      <c r="AA309" s="34" t="s">
        <v>621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605</v>
      </c>
      <c r="B310" s="802" t="s">
        <v>569</v>
      </c>
      <c r="C310" s="23" t="s">
        <v>1631</v>
      </c>
      <c r="D310" s="134">
        <v>425.49</v>
      </c>
      <c r="E310" s="67">
        <v>57552</v>
      </c>
      <c r="F310" s="146">
        <v>0</v>
      </c>
      <c r="G310" s="146">
        <v>0</v>
      </c>
      <c r="H310" s="91">
        <v>57552</v>
      </c>
      <c r="I310" s="67">
        <v>0</v>
      </c>
      <c r="J310" s="739">
        <v>57552</v>
      </c>
      <c r="K310" s="837" t="s">
        <v>621</v>
      </c>
      <c r="L310" s="740">
        <v>0</v>
      </c>
      <c r="M310" s="741">
        <v>425.49</v>
      </c>
      <c r="N310" s="67">
        <v>859</v>
      </c>
      <c r="O310" s="67">
        <v>58411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58411</v>
      </c>
      <c r="V310" s="71">
        <v>137.27937201814379</v>
      </c>
      <c r="W310" s="449">
        <v>58631</v>
      </c>
      <c r="X310" s="67">
        <v>51298</v>
      </c>
      <c r="Y310" s="163">
        <v>7113</v>
      </c>
      <c r="Z310" s="166">
        <v>0.13866037662287028</v>
      </c>
      <c r="AA310" s="34" t="s">
        <v>621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1759</v>
      </c>
      <c r="C311" s="23" t="s">
        <v>1788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837" t="s">
        <v>644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644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594</v>
      </c>
      <c r="B312" s="802" t="s">
        <v>276</v>
      </c>
      <c r="C312" s="23" t="s">
        <v>1492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837" t="s">
        <v>644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0</v>
      </c>
      <c r="V312" s="71">
        <v>0</v>
      </c>
      <c r="W312" s="449">
        <v>0</v>
      </c>
      <c r="X312" s="67">
        <v>0</v>
      </c>
      <c r="Y312" s="163">
        <v>0</v>
      </c>
      <c r="Z312" s="166">
        <v>0</v>
      </c>
      <c r="AA312" s="34" t="s">
        <v>644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597</v>
      </c>
      <c r="B313" s="36" t="s">
        <v>367</v>
      </c>
      <c r="C313" s="23" t="s">
        <v>1533</v>
      </c>
      <c r="D313" s="134">
        <v>131.5</v>
      </c>
      <c r="E313" s="67">
        <v>17787</v>
      </c>
      <c r="F313" s="146">
        <v>0</v>
      </c>
      <c r="G313" s="146">
        <v>0</v>
      </c>
      <c r="H313" s="91">
        <v>17787</v>
      </c>
      <c r="I313" s="67">
        <v>0</v>
      </c>
      <c r="J313" s="739">
        <v>17787</v>
      </c>
      <c r="K313" s="837" t="s">
        <v>621</v>
      </c>
      <c r="L313" s="740">
        <v>0</v>
      </c>
      <c r="M313" s="741">
        <v>131.5</v>
      </c>
      <c r="N313" s="67">
        <v>265</v>
      </c>
      <c r="O313" s="67">
        <v>18052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18052</v>
      </c>
      <c r="V313" s="71">
        <v>137.27756653992395</v>
      </c>
      <c r="W313" s="449">
        <v>18120</v>
      </c>
      <c r="X313" s="67">
        <v>18646</v>
      </c>
      <c r="Y313" s="163">
        <v>-594</v>
      </c>
      <c r="Z313" s="166">
        <v>-3.185669848761128E-2</v>
      </c>
      <c r="AA313" s="34" t="s">
        <v>621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599</v>
      </c>
      <c r="B314" s="36" t="s">
        <v>248</v>
      </c>
      <c r="C314" s="23" t="s">
        <v>1480</v>
      </c>
      <c r="D314" s="134">
        <v>195</v>
      </c>
      <c r="E314" s="67">
        <v>26376</v>
      </c>
      <c r="F314" s="146">
        <v>0</v>
      </c>
      <c r="G314" s="146">
        <v>0</v>
      </c>
      <c r="H314" s="91">
        <v>26376</v>
      </c>
      <c r="I314" s="67">
        <v>0</v>
      </c>
      <c r="J314" s="739">
        <v>26376</v>
      </c>
      <c r="K314" s="837" t="s">
        <v>621</v>
      </c>
      <c r="L314" s="740">
        <v>0</v>
      </c>
      <c r="M314" s="741">
        <v>195</v>
      </c>
      <c r="N314" s="67">
        <v>393</v>
      </c>
      <c r="O314" s="67">
        <v>26769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26769</v>
      </c>
      <c r="V314" s="71">
        <v>137.27692307692308</v>
      </c>
      <c r="W314" s="449">
        <v>26871</v>
      </c>
      <c r="X314" s="67">
        <v>26095</v>
      </c>
      <c r="Y314" s="163">
        <v>674</v>
      </c>
      <c r="Z314" s="166">
        <v>2.5828702816631539E-2</v>
      </c>
      <c r="AA314" s="34" t="s">
        <v>621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603</v>
      </c>
      <c r="B315" s="36" t="s">
        <v>289</v>
      </c>
      <c r="C315" s="23" t="s">
        <v>1498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837" t="s">
        <v>644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594</v>
      </c>
      <c r="B316" s="36" t="s">
        <v>332</v>
      </c>
      <c r="C316" s="23" t="s">
        <v>1517</v>
      </c>
      <c r="D316" s="134">
        <v>5.67</v>
      </c>
      <c r="E316" s="67">
        <v>767</v>
      </c>
      <c r="F316" s="146">
        <v>0</v>
      </c>
      <c r="G316" s="146">
        <v>0</v>
      </c>
      <c r="H316" s="91">
        <v>767</v>
      </c>
      <c r="I316" s="67">
        <v>0</v>
      </c>
      <c r="J316" s="739">
        <v>767</v>
      </c>
      <c r="K316" s="837" t="s">
        <v>644</v>
      </c>
      <c r="L316" s="740">
        <v>767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644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812" t="s">
        <v>1717</v>
      </c>
      <c r="C317" s="543" t="s">
        <v>1791</v>
      </c>
      <c r="D317" s="134">
        <v>9.33</v>
      </c>
      <c r="E317" s="67">
        <v>1262</v>
      </c>
      <c r="F317" s="146">
        <v>0</v>
      </c>
      <c r="G317" s="146">
        <v>0</v>
      </c>
      <c r="H317" s="91">
        <v>1262</v>
      </c>
      <c r="I317" s="67">
        <v>0</v>
      </c>
      <c r="J317" s="739">
        <v>1262</v>
      </c>
      <c r="K317" s="837" t="s">
        <v>644</v>
      </c>
      <c r="L317" s="740">
        <v>1262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601</v>
      </c>
      <c r="B318" s="812" t="s">
        <v>129</v>
      </c>
      <c r="C318" s="543" t="s">
        <v>1427</v>
      </c>
      <c r="D318" s="134">
        <v>3</v>
      </c>
      <c r="E318" s="67">
        <v>406</v>
      </c>
      <c r="F318" s="146">
        <v>0</v>
      </c>
      <c r="G318" s="146">
        <v>0</v>
      </c>
      <c r="H318" s="91">
        <v>406</v>
      </c>
      <c r="I318" s="67">
        <v>0</v>
      </c>
      <c r="J318" s="739">
        <v>406</v>
      </c>
      <c r="K318" s="837" t="s">
        <v>644</v>
      </c>
      <c r="L318" s="740">
        <v>406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594</v>
      </c>
      <c r="B319" s="838" t="s">
        <v>264</v>
      </c>
      <c r="C319" t="s">
        <v>1486</v>
      </c>
      <c r="D319" s="134">
        <v>57.17</v>
      </c>
      <c r="E319" s="67">
        <v>7733</v>
      </c>
      <c r="F319" s="146">
        <v>0</v>
      </c>
      <c r="G319" s="146">
        <v>0</v>
      </c>
      <c r="H319" s="91">
        <v>7733</v>
      </c>
      <c r="I319" s="67">
        <v>0</v>
      </c>
      <c r="J319" s="739">
        <v>7733</v>
      </c>
      <c r="K319" s="837" t="s">
        <v>621</v>
      </c>
      <c r="L319" s="740">
        <v>7733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0</v>
      </c>
      <c r="V319" s="71">
        <v>0</v>
      </c>
      <c r="W319" s="449">
        <v>0</v>
      </c>
      <c r="X319" s="67">
        <v>10455</v>
      </c>
      <c r="Y319" s="163">
        <v>-10455</v>
      </c>
      <c r="Z319" s="166">
        <v>-1</v>
      </c>
      <c r="AA319" s="34" t="s">
        <v>621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594</v>
      </c>
      <c r="B320" s="838" t="s">
        <v>151</v>
      </c>
      <c r="C320" t="s">
        <v>1437</v>
      </c>
      <c r="D320" s="134">
        <v>0</v>
      </c>
      <c r="E320" s="67">
        <v>0</v>
      </c>
      <c r="F320" s="146">
        <v>0</v>
      </c>
      <c r="G320" s="146">
        <v>0</v>
      </c>
      <c r="H320" s="91">
        <v>0</v>
      </c>
      <c r="I320" s="67">
        <v>0</v>
      </c>
      <c r="J320" s="739">
        <v>0</v>
      </c>
      <c r="K320" s="837" t="s">
        <v>644</v>
      </c>
      <c r="L320" s="740">
        <v>0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644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599</v>
      </c>
      <c r="B321" s="838" t="s">
        <v>232</v>
      </c>
      <c r="C321" t="s">
        <v>1472</v>
      </c>
      <c r="D321" s="134">
        <v>0</v>
      </c>
      <c r="E321" s="67">
        <v>0</v>
      </c>
      <c r="F321" s="146">
        <v>0</v>
      </c>
      <c r="G321" s="146">
        <v>0</v>
      </c>
      <c r="H321" s="91">
        <v>0</v>
      </c>
      <c r="I321" s="67">
        <v>0</v>
      </c>
      <c r="J321" s="739">
        <v>0</v>
      </c>
      <c r="K321" s="837" t="s">
        <v>644</v>
      </c>
      <c r="L321" s="740">
        <v>0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599</v>
      </c>
      <c r="B322" s="838" t="s">
        <v>78</v>
      </c>
      <c r="C322" t="s">
        <v>1403</v>
      </c>
      <c r="D322" s="134">
        <v>190.5</v>
      </c>
      <c r="E322" s="67">
        <v>25767</v>
      </c>
      <c r="F322" s="146">
        <v>0</v>
      </c>
      <c r="G322" s="146">
        <v>0</v>
      </c>
      <c r="H322" s="91">
        <v>25767</v>
      </c>
      <c r="I322" s="67">
        <v>0</v>
      </c>
      <c r="J322" s="739">
        <v>25767</v>
      </c>
      <c r="K322" s="837" t="s">
        <v>621</v>
      </c>
      <c r="L322" s="740">
        <v>0</v>
      </c>
      <c r="M322" s="741">
        <v>190.5</v>
      </c>
      <c r="N322" s="67">
        <v>384</v>
      </c>
      <c r="O322" s="67">
        <v>26151</v>
      </c>
      <c r="P322" s="674"/>
      <c r="Q322" s="674">
        <v>0</v>
      </c>
      <c r="R322" s="674" t="s">
        <v>1730</v>
      </c>
      <c r="S322" s="798" t="s">
        <v>801</v>
      </c>
      <c r="T322" s="798">
        <v>0</v>
      </c>
      <c r="U322" s="88">
        <v>26151</v>
      </c>
      <c r="V322" s="71">
        <v>137.2755905511811</v>
      </c>
      <c r="W322" s="449">
        <v>26250</v>
      </c>
      <c r="X322" s="67">
        <v>27991</v>
      </c>
      <c r="Y322" s="163">
        <v>-1840</v>
      </c>
      <c r="Z322" s="166">
        <v>-6.5735414954806906E-2</v>
      </c>
      <c r="AA322" s="34" t="s">
        <v>621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23" t="s">
        <v>605</v>
      </c>
      <c r="B323" s="23" t="s">
        <v>547</v>
      </c>
      <c r="C323" s="23" t="s">
        <v>1622</v>
      </c>
      <c r="D323" s="134">
        <v>4681.83</v>
      </c>
      <c r="E323" s="67">
        <v>633262</v>
      </c>
      <c r="F323" s="146">
        <v>0</v>
      </c>
      <c r="G323" s="146">
        <v>0</v>
      </c>
      <c r="H323" s="91">
        <v>633262</v>
      </c>
      <c r="I323" s="67">
        <v>0</v>
      </c>
      <c r="J323" s="739">
        <v>633262</v>
      </c>
      <c r="K323" s="837" t="s">
        <v>621</v>
      </c>
      <c r="L323" s="740">
        <v>0</v>
      </c>
      <c r="M323" s="741">
        <v>4681.83</v>
      </c>
      <c r="N323" s="67">
        <v>9447</v>
      </c>
      <c r="O323" s="67">
        <v>642709</v>
      </c>
      <c r="P323" s="674"/>
      <c r="Q323" s="674">
        <v>0</v>
      </c>
      <c r="R323" s="674" t="s">
        <v>1730</v>
      </c>
      <c r="S323" s="798" t="s">
        <v>801</v>
      </c>
      <c r="T323" s="798">
        <v>0</v>
      </c>
      <c r="U323" s="88">
        <v>642709</v>
      </c>
      <c r="V323" s="71">
        <v>137.2773039602036</v>
      </c>
      <c r="W323" s="449">
        <v>645138</v>
      </c>
      <c r="X323" s="67">
        <v>634578</v>
      </c>
      <c r="Y323" s="163">
        <v>8131</v>
      </c>
      <c r="Z323" s="166">
        <v>1.2813239664785101E-2</v>
      </c>
      <c r="AA323" s="34" t="s">
        <v>621</v>
      </c>
      <c r="AB323" s="23"/>
      <c r="AC323" s="28"/>
      <c r="AD323" s="23"/>
      <c r="AE323" s="23"/>
      <c r="AF323" s="23"/>
      <c r="AG323" s="23"/>
      <c r="AH323" s="23"/>
      <c r="AI323" s="23"/>
      <c r="AJ323" s="23"/>
      <c r="AK323" s="23"/>
    </row>
    <row r="324" spans="1:37">
      <c r="A324" s="23" t="s">
        <v>594</v>
      </c>
      <c r="B324" s="23" t="s">
        <v>472</v>
      </c>
      <c r="C324" s="23" t="s">
        <v>1588</v>
      </c>
      <c r="D324" s="134">
        <v>149.16999999999999</v>
      </c>
      <c r="E324" s="67">
        <v>20177</v>
      </c>
      <c r="F324" s="146">
        <v>0</v>
      </c>
      <c r="G324" s="146">
        <v>0</v>
      </c>
      <c r="H324" s="91">
        <v>20177</v>
      </c>
      <c r="I324" s="67">
        <v>0</v>
      </c>
      <c r="J324" s="739">
        <v>20177</v>
      </c>
      <c r="K324" s="837" t="s">
        <v>644</v>
      </c>
      <c r="L324" s="740">
        <v>20177</v>
      </c>
      <c r="M324" s="741">
        <v>0</v>
      </c>
      <c r="N324" s="67">
        <v>0</v>
      </c>
      <c r="O324" s="67">
        <v>0</v>
      </c>
      <c r="Q324" s="674">
        <v>0</v>
      </c>
      <c r="R324" s="674" t="s">
        <v>1730</v>
      </c>
      <c r="S324" s="798" t="s">
        <v>801</v>
      </c>
      <c r="T324" s="798">
        <v>0</v>
      </c>
      <c r="U324" s="88">
        <v>0</v>
      </c>
      <c r="V324" s="71">
        <v>0</v>
      </c>
      <c r="W324" s="449">
        <v>20555</v>
      </c>
      <c r="X324" s="67">
        <v>0</v>
      </c>
      <c r="Y324" s="163">
        <v>0</v>
      </c>
      <c r="Z324" s="166">
        <v>0</v>
      </c>
      <c r="AA324" s="34" t="s">
        <v>644</v>
      </c>
    </row>
    <row r="325" spans="1:37">
      <c r="A325" s="23" t="s">
        <v>605</v>
      </c>
      <c r="B325" s="23" t="s">
        <v>565</v>
      </c>
      <c r="C325" s="23" t="s">
        <v>1629</v>
      </c>
      <c r="D325" s="134">
        <v>149.83000000000001</v>
      </c>
      <c r="E325" s="67">
        <v>20266</v>
      </c>
      <c r="F325" s="146">
        <v>0</v>
      </c>
      <c r="G325" s="146">
        <v>0</v>
      </c>
      <c r="H325" s="91">
        <v>20266</v>
      </c>
      <c r="I325" s="67">
        <v>0</v>
      </c>
      <c r="J325" s="739">
        <v>20266</v>
      </c>
      <c r="K325" s="837" t="s">
        <v>621</v>
      </c>
      <c r="L325" s="740">
        <v>0</v>
      </c>
      <c r="M325" s="741">
        <v>149.83000000000001</v>
      </c>
      <c r="N325" s="67">
        <v>302</v>
      </c>
      <c r="O325" s="67">
        <v>20568</v>
      </c>
      <c r="Q325" s="674">
        <v>0</v>
      </c>
      <c r="R325" s="674" t="s">
        <v>1730</v>
      </c>
      <c r="S325" s="798" t="s">
        <v>801</v>
      </c>
      <c r="T325" s="798">
        <v>0</v>
      </c>
      <c r="U325" s="88">
        <v>20568</v>
      </c>
      <c r="V325" s="71">
        <v>137.27557898952145</v>
      </c>
      <c r="W325" s="449">
        <v>20646</v>
      </c>
      <c r="X325" s="67">
        <v>18777</v>
      </c>
      <c r="Y325" s="163">
        <v>1791</v>
      </c>
      <c r="Z325" s="166">
        <v>9.5382648985460936E-2</v>
      </c>
      <c r="AA325" s="34" t="s">
        <v>621</v>
      </c>
    </row>
    <row r="326" spans="1:37">
      <c r="C326" s="23" t="s">
        <v>1667</v>
      </c>
      <c r="D326" s="67">
        <v>131033.89999999998</v>
      </c>
      <c r="E326" s="67">
        <v>17723584</v>
      </c>
      <c r="F326" s="67">
        <v>0</v>
      </c>
      <c r="G326" s="67">
        <v>0</v>
      </c>
      <c r="H326" s="91">
        <v>17723584</v>
      </c>
      <c r="I326" s="71">
        <v>0</v>
      </c>
      <c r="J326" s="71">
        <v>17723584</v>
      </c>
      <c r="L326" s="88">
        <v>260513</v>
      </c>
      <c r="M326" s="88">
        <v>129107.87999999999</v>
      </c>
      <c r="N326" s="88">
        <v>260511</v>
      </c>
      <c r="O326" s="88">
        <v>17723576</v>
      </c>
      <c r="P326" s="88"/>
      <c r="Q326" s="88">
        <v>0</v>
      </c>
      <c r="U326" s="674">
        <v>17723576</v>
      </c>
      <c r="W326" s="674">
        <v>17723572</v>
      </c>
      <c r="X326" s="674">
        <v>17324363</v>
      </c>
      <c r="Y326" s="674">
        <v>399213</v>
      </c>
      <c r="Z326" s="862">
        <v>-6.3142088177920304</v>
      </c>
    </row>
  </sheetData>
  <autoFilter ref="A8:AK326" xr:uid="{00000000-0009-0000-0000-000005000000}"/>
  <mergeCells count="4">
    <mergeCell ref="E2:H2"/>
    <mergeCell ref="I2:J2"/>
    <mergeCell ref="K2:O2"/>
    <mergeCell ref="R2:T2"/>
  </mergeCells>
  <conditionalFormatting sqref="L9:L325">
    <cfRule type="expression" dxfId="91" priority="26">
      <formula>AND($L9&gt;0,$K9="Yes")</formula>
    </cfRule>
  </conditionalFormatting>
  <conditionalFormatting sqref="C9:C322">
    <cfRule type="expression" dxfId="90" priority="25">
      <formula>AND($O9&lt;10000,$O9&gt;0,$K9="Y")</formula>
    </cfRule>
  </conditionalFormatting>
  <conditionalFormatting sqref="AD13">
    <cfRule type="expression" dxfId="89" priority="2">
      <formula>AND(#REF!&lt;10000,#REF!&gt;0,#REF!="Y")</formula>
    </cfRule>
  </conditionalFormatting>
  <conditionalFormatting sqref="AD9:AD10">
    <cfRule type="expression" dxfId="88" priority="3">
      <formula>AND($I9&lt;10000,$I9&gt;0,#REF!="Y")</formula>
    </cfRule>
  </conditionalFormatting>
  <conditionalFormatting sqref="AD11">
    <cfRule type="expression" dxfId="87" priority="4">
      <formula>AND($I16&lt;10000,$I16&gt;0,#REF!="Y")</formula>
    </cfRule>
  </conditionalFormatting>
  <conditionalFormatting sqref="AD14 AD12">
    <cfRule type="expression" dxfId="86" priority="5">
      <formula>AND($I18&lt;10000,$I18&gt;0,#REF!="Y")</formula>
    </cfRule>
  </conditionalFormatting>
  <conditionalFormatting sqref="AD16">
    <cfRule type="expression" dxfId="85" priority="6">
      <formula>AND($I27&lt;10000,$I27&gt;0,#REF!="Y")</formula>
    </cfRule>
  </conditionalFormatting>
  <conditionalFormatting sqref="AD17">
    <cfRule type="expression" dxfId="84" priority="7">
      <formula>AND($I29&lt;10000,$I29&gt;0,#REF!="Y")</formula>
    </cfRule>
  </conditionalFormatting>
  <conditionalFormatting sqref="AD18">
    <cfRule type="expression" dxfId="83" priority="8">
      <formula>AND($I34&lt;10000,$I34&gt;0,#REF!="Y")</formula>
    </cfRule>
  </conditionalFormatting>
  <conditionalFormatting sqref="AD22:AD23">
    <cfRule type="expression" dxfId="82" priority="9">
      <formula>AND($I40&lt;10000,$I40&gt;0,#REF!="Y")</formula>
    </cfRule>
  </conditionalFormatting>
  <conditionalFormatting sqref="AD24">
    <cfRule type="expression" dxfId="81" priority="10">
      <formula>AND($I45&lt;10000,$I45&gt;0,#REF!="Y")</formula>
    </cfRule>
  </conditionalFormatting>
  <conditionalFormatting sqref="AD25">
    <cfRule type="expression" dxfId="80" priority="11">
      <formula>AND($I47&lt;10000,$I47&gt;0,#REF!="Y")</formula>
    </cfRule>
  </conditionalFormatting>
  <conditionalFormatting sqref="AD28">
    <cfRule type="expression" dxfId="79" priority="12">
      <formula>AND($I52&lt;10000,$I52&gt;0,#REF!="Y")</formula>
    </cfRule>
  </conditionalFormatting>
  <conditionalFormatting sqref="AD34">
    <cfRule type="expression" dxfId="78" priority="13">
      <formula>AND($I64&lt;10000,$I64&gt;0,#REF!="Y")</formula>
    </cfRule>
  </conditionalFormatting>
  <conditionalFormatting sqref="AD35">
    <cfRule type="expression" dxfId="77" priority="14">
      <formula>AND($I72&lt;10000,$I72&gt;0,#REF!="Y")</formula>
    </cfRule>
  </conditionalFormatting>
  <conditionalFormatting sqref="AD36">
    <cfRule type="expression" dxfId="76" priority="15">
      <formula>AND($I77&lt;10000,$I77&gt;0,#REF!="Y")</formula>
    </cfRule>
  </conditionalFormatting>
  <conditionalFormatting sqref="AD15">
    <cfRule type="expression" dxfId="75" priority="16">
      <formula>AND($I22&lt;10000,$I22&gt;0,#REF!="Y")</formula>
    </cfRule>
  </conditionalFormatting>
  <conditionalFormatting sqref="AD19:AD20">
    <cfRule type="expression" dxfId="74" priority="17">
      <formula>AND($I37&lt;10000,$I37&gt;0,#REF!="Y")</formula>
    </cfRule>
  </conditionalFormatting>
  <conditionalFormatting sqref="AD26:AD27">
    <cfRule type="expression" dxfId="73" priority="18">
      <formula>AND($I49&lt;10000,$I49&gt;0,#REF!="Y")</formula>
    </cfRule>
  </conditionalFormatting>
  <conditionalFormatting sqref="AD29">
    <cfRule type="expression" dxfId="72" priority="19">
      <formula>AND($I54&lt;10000,$I54&gt;0,#REF!="Y")</formula>
    </cfRule>
  </conditionalFormatting>
  <conditionalFormatting sqref="AD30">
    <cfRule type="expression" dxfId="71" priority="20">
      <formula>AND($I57&lt;10000,$I57&gt;0,#REF!="Y")</formula>
    </cfRule>
  </conditionalFormatting>
  <conditionalFormatting sqref="AJ12">
    <cfRule type="expression" dxfId="70" priority="21">
      <formula>AND($I75&lt;10000,$I75&gt;0,#REF!="Y")</formula>
    </cfRule>
  </conditionalFormatting>
  <conditionalFormatting sqref="AD32">
    <cfRule type="expression" dxfId="69" priority="22">
      <formula>AND($I64&lt;10000,$I64&gt;0,#REF!="Y")</formula>
    </cfRule>
  </conditionalFormatting>
  <conditionalFormatting sqref="AD31:AD32">
    <cfRule type="expression" dxfId="68" priority="23">
      <formula>AND($I63&lt;10000,$I63&gt;0,#REF!="Y")</formula>
    </cfRule>
  </conditionalFormatting>
  <conditionalFormatting sqref="AD10">
    <cfRule type="expression" dxfId="67" priority="24">
      <formula>AND($A298&lt;10000,$A298&gt;0,#REF!="Y")</formula>
    </cfRule>
  </conditionalFormatting>
  <conditionalFormatting sqref="AD21">
    <cfRule type="expression" dxfId="66" priority="1">
      <formula>AND($O21&lt;10000,$O21&gt;0,$K21="Y")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324"/>
  <sheetViews>
    <sheetView topLeftCell="Z283" zoomScaleNormal="100" workbookViewId="0">
      <selection activeCell="AH28" sqref="AH28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211997</v>
      </c>
      <c r="O3" s="87">
        <v>17324361</v>
      </c>
      <c r="Q3" s="67"/>
      <c r="R3" s="67"/>
      <c r="S3" s="67"/>
      <c r="T3" s="67"/>
      <c r="U3" s="67"/>
      <c r="V3" s="151"/>
      <c r="W3" s="87">
        <v>17324361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1771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17324361</v>
      </c>
      <c r="H6" s="133" t="s">
        <v>1679</v>
      </c>
      <c r="I6" s="68">
        <v>0</v>
      </c>
      <c r="J6" s="73"/>
      <c r="K6" s="220"/>
      <c r="L6" s="87">
        <v>10000</v>
      </c>
      <c r="M6" s="71"/>
      <c r="N6" s="69"/>
      <c r="O6" s="399" t="s">
        <v>1713</v>
      </c>
      <c r="Q6" s="67"/>
      <c r="R6" s="67"/>
      <c r="S6" s="67"/>
      <c r="T6" s="67"/>
      <c r="U6" s="399" t="s">
        <v>865</v>
      </c>
      <c r="W6" s="399" t="s">
        <v>1775</v>
      </c>
      <c r="AA6" s="27"/>
      <c r="AB6" s="26"/>
    </row>
    <row r="7" spans="1:37">
      <c r="A7" s="46"/>
      <c r="B7" s="47"/>
      <c r="C7" s="47" t="s">
        <v>620</v>
      </c>
      <c r="D7" s="67">
        <v>134200.31000000006</v>
      </c>
      <c r="E7" s="88">
        <v>129.09330090221098</v>
      </c>
      <c r="F7" s="72">
        <v>0</v>
      </c>
      <c r="G7" s="72">
        <v>0</v>
      </c>
      <c r="H7" s="161">
        <v>17324365</v>
      </c>
      <c r="I7" s="73">
        <v>0</v>
      </c>
      <c r="J7" s="73">
        <v>17324365</v>
      </c>
      <c r="K7" s="72" t="s">
        <v>1725</v>
      </c>
      <c r="L7" s="88">
        <v>211997</v>
      </c>
      <c r="M7" s="67">
        <v>132558.12333333341</v>
      </c>
      <c r="N7" s="88">
        <v>211995</v>
      </c>
      <c r="O7" s="88">
        <v>17324363</v>
      </c>
      <c r="P7" s="677"/>
      <c r="Q7" s="88">
        <v>0</v>
      </c>
      <c r="R7" s="88">
        <v>0</v>
      </c>
      <c r="S7" s="88"/>
      <c r="T7" s="88">
        <v>50.166666666666664</v>
      </c>
      <c r="U7" s="88">
        <v>17324363</v>
      </c>
      <c r="W7" s="88">
        <v>16444606</v>
      </c>
      <c r="X7" s="91">
        <v>30686560</v>
      </c>
      <c r="Y7" s="163">
        <v>-13362197</v>
      </c>
      <c r="Z7" s="166">
        <v>8.0242083925373714E-2</v>
      </c>
      <c r="AA7" s="27">
        <v>29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134200.31000000006</v>
      </c>
      <c r="E8" s="529">
        <v>17324365</v>
      </c>
      <c r="F8" s="529">
        <v>0</v>
      </c>
      <c r="G8" s="529">
        <v>0</v>
      </c>
      <c r="H8" s="529">
        <v>17324365</v>
      </c>
      <c r="I8" s="529">
        <v>0</v>
      </c>
      <c r="J8" s="529">
        <v>17324365</v>
      </c>
      <c r="K8" s="529"/>
      <c r="L8" s="529">
        <v>211997</v>
      </c>
      <c r="M8" s="529">
        <v>132558.12333333341</v>
      </c>
      <c r="N8" s="529">
        <v>211995</v>
      </c>
      <c r="O8" s="529">
        <v>17324363</v>
      </c>
      <c r="P8" s="529"/>
      <c r="Q8" s="529">
        <v>0</v>
      </c>
      <c r="R8" s="529">
        <v>0</v>
      </c>
      <c r="S8" s="529"/>
      <c r="T8" s="529"/>
      <c r="U8" s="529">
        <v>17324363</v>
      </c>
      <c r="V8" s="531"/>
      <c r="W8" s="529">
        <v>16444606</v>
      </c>
      <c r="X8" s="533"/>
      <c r="Y8" s="533"/>
      <c r="AA8" s="535"/>
      <c r="AC8" s="536">
        <v>879757</v>
      </c>
    </row>
    <row r="9" spans="1:37">
      <c r="A9" s="64" t="s">
        <v>594</v>
      </c>
      <c r="B9" s="784" t="s">
        <v>132</v>
      </c>
      <c r="C9" s="784" t="s">
        <v>1429</v>
      </c>
      <c r="D9" s="134">
        <v>459.32666666666665</v>
      </c>
      <c r="E9" s="67">
        <v>59296</v>
      </c>
      <c r="F9" s="146">
        <v>0</v>
      </c>
      <c r="G9" s="146">
        <v>0</v>
      </c>
      <c r="H9" s="91">
        <v>59296</v>
      </c>
      <c r="I9" s="67">
        <v>0</v>
      </c>
      <c r="J9" s="739">
        <v>59296</v>
      </c>
      <c r="K9" s="837" t="s">
        <v>621</v>
      </c>
      <c r="L9" s="740">
        <v>0</v>
      </c>
      <c r="M9" s="741">
        <v>459.32666666666665</v>
      </c>
      <c r="N9" s="67">
        <v>735</v>
      </c>
      <c r="O9" s="67">
        <v>60031</v>
      </c>
      <c r="Q9" s="674">
        <v>0</v>
      </c>
      <c r="R9" s="674" t="s">
        <v>1730</v>
      </c>
      <c r="S9" s="798" t="s">
        <v>801</v>
      </c>
      <c r="T9" s="798">
        <v>50.166666666666664</v>
      </c>
      <c r="U9" s="88">
        <v>60031</v>
      </c>
      <c r="V9" s="71">
        <v>130.69347886036081</v>
      </c>
      <c r="W9" s="449">
        <v>60031</v>
      </c>
      <c r="X9" s="67">
        <v>56116</v>
      </c>
      <c r="Y9" s="163">
        <v>3915</v>
      </c>
      <c r="Z9" s="166">
        <v>6.9766198588637821E-2</v>
      </c>
      <c r="AA9" s="34" t="s">
        <v>621</v>
      </c>
      <c r="AC9" t="s">
        <v>1541</v>
      </c>
      <c r="AE9" s="452"/>
    </row>
    <row r="10" spans="1:37">
      <c r="A10" s="64" t="s">
        <v>594</v>
      </c>
      <c r="B10" s="784" t="s">
        <v>262</v>
      </c>
      <c r="C10" s="784" t="s">
        <v>1485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837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t="s">
        <v>1362</v>
      </c>
      <c r="AE10" s="452"/>
      <c r="AH10" s="45"/>
      <c r="AI10" s="45"/>
    </row>
    <row r="11" spans="1:37">
      <c r="A11" s="64" t="s">
        <v>603</v>
      </c>
      <c r="B11" s="784" t="s">
        <v>283</v>
      </c>
      <c r="C11" s="784" t="s">
        <v>1495</v>
      </c>
      <c r="D11" s="134">
        <v>0</v>
      </c>
      <c r="E11" s="67">
        <v>0</v>
      </c>
      <c r="F11" s="146">
        <v>0</v>
      </c>
      <c r="G11" s="146">
        <v>0</v>
      </c>
      <c r="H11" s="91">
        <v>0</v>
      </c>
      <c r="I11" s="67">
        <v>0</v>
      </c>
      <c r="J11" s="739">
        <v>0</v>
      </c>
      <c r="K11" s="837" t="s">
        <v>644</v>
      </c>
      <c r="L11" s="740">
        <v>0</v>
      </c>
      <c r="M11" s="741">
        <v>0</v>
      </c>
      <c r="N11" s="67">
        <v>0</v>
      </c>
      <c r="O11" s="67">
        <v>0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0</v>
      </c>
      <c r="V11" s="71">
        <v>0</v>
      </c>
      <c r="W11" s="449">
        <v>0</v>
      </c>
      <c r="X11" s="67">
        <v>0</v>
      </c>
      <c r="Y11" s="163">
        <v>0</v>
      </c>
      <c r="Z11" s="166">
        <v>0</v>
      </c>
      <c r="AA11" s="34" t="s">
        <v>644</v>
      </c>
      <c r="AC11" t="s">
        <v>1471</v>
      </c>
      <c r="AE11" s="452"/>
      <c r="AH11" s="36"/>
      <c r="AI11" s="36"/>
      <c r="AJ11" s="36"/>
      <c r="AK11" s="19"/>
    </row>
    <row r="12" spans="1:37" s="112" customFormat="1">
      <c r="A12" s="64" t="s">
        <v>595</v>
      </c>
      <c r="B12" s="785" t="s">
        <v>380</v>
      </c>
      <c r="C12" s="784" t="s">
        <v>1541</v>
      </c>
      <c r="D12" s="134">
        <v>45.33</v>
      </c>
      <c r="E12" s="67">
        <v>5852</v>
      </c>
      <c r="F12" s="146">
        <v>0</v>
      </c>
      <c r="G12" s="146">
        <v>0</v>
      </c>
      <c r="H12" s="91">
        <v>5852</v>
      </c>
      <c r="I12" s="67">
        <v>0</v>
      </c>
      <c r="J12" s="739">
        <v>5852</v>
      </c>
      <c r="K12" s="837" t="s">
        <v>1306</v>
      </c>
      <c r="L12" s="740">
        <v>0</v>
      </c>
      <c r="M12" s="741">
        <v>45.33</v>
      </c>
      <c r="N12" s="67">
        <v>72</v>
      </c>
      <c r="O12" s="67">
        <v>5924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5924</v>
      </c>
      <c r="V12" s="71">
        <v>130.68607985881314</v>
      </c>
      <c r="W12" s="449">
        <v>0</v>
      </c>
      <c r="X12" s="67">
        <v>0</v>
      </c>
      <c r="Y12" s="163">
        <v>5924</v>
      </c>
      <c r="Z12" s="166">
        <v>0</v>
      </c>
      <c r="AA12" s="34" t="s">
        <v>1306</v>
      </c>
      <c r="AC12" s="590" t="s">
        <v>1543</v>
      </c>
      <c r="AD12" s="23"/>
      <c r="AE12" s="452"/>
    </row>
    <row r="13" spans="1:37">
      <c r="A13" s="64" t="s">
        <v>595</v>
      </c>
      <c r="B13" s="784" t="s">
        <v>403</v>
      </c>
      <c r="C13" s="784" t="s">
        <v>1552</v>
      </c>
      <c r="D13" s="134">
        <v>292.66999999999996</v>
      </c>
      <c r="E13" s="67">
        <v>37782</v>
      </c>
      <c r="F13" s="146">
        <v>0</v>
      </c>
      <c r="G13" s="146">
        <v>0</v>
      </c>
      <c r="H13" s="91">
        <v>37782</v>
      </c>
      <c r="I13" s="67">
        <v>0</v>
      </c>
      <c r="J13" s="739">
        <v>37782</v>
      </c>
      <c r="K13" s="837" t="s">
        <v>621</v>
      </c>
      <c r="L13" s="740">
        <v>0</v>
      </c>
      <c r="M13" s="741">
        <v>292.66999999999996</v>
      </c>
      <c r="N13" s="67">
        <v>468</v>
      </c>
      <c r="O13" s="67">
        <v>38250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38250</v>
      </c>
      <c r="V13" s="71">
        <v>130.69327228619267</v>
      </c>
      <c r="W13" s="449">
        <v>38250</v>
      </c>
      <c r="X13" s="67">
        <v>31757</v>
      </c>
      <c r="Y13" s="163">
        <v>6493</v>
      </c>
      <c r="Z13" s="166">
        <v>0.20445885946405518</v>
      </c>
      <c r="AA13" s="34" t="s">
        <v>621</v>
      </c>
      <c r="AC13" t="s">
        <v>1441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12</v>
      </c>
      <c r="C14" s="784" t="s">
        <v>1374</v>
      </c>
      <c r="D14" s="134">
        <v>0</v>
      </c>
      <c r="E14" s="67">
        <v>0</v>
      </c>
      <c r="F14" s="146">
        <v>0</v>
      </c>
      <c r="G14" s="146">
        <v>0</v>
      </c>
      <c r="H14" s="91">
        <v>0</v>
      </c>
      <c r="I14" s="67">
        <v>0</v>
      </c>
      <c r="J14" s="739">
        <v>0</v>
      </c>
      <c r="K14" s="837" t="s">
        <v>644</v>
      </c>
      <c r="L14" s="740">
        <v>0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t="s">
        <v>1528</v>
      </c>
      <c r="AE14" s="452"/>
      <c r="AH14" s="36"/>
      <c r="AI14" s="36"/>
      <c r="AJ14" s="36"/>
      <c r="AK14" s="19"/>
    </row>
    <row r="15" spans="1:37">
      <c r="A15" s="64" t="s">
        <v>597</v>
      </c>
      <c r="B15" s="784" t="s">
        <v>195</v>
      </c>
      <c r="C15" s="784" t="s">
        <v>1362</v>
      </c>
      <c r="D15" s="134">
        <v>3751.5033333333336</v>
      </c>
      <c r="E15" s="67">
        <v>484294</v>
      </c>
      <c r="F15" s="146">
        <v>0</v>
      </c>
      <c r="G15" s="146">
        <v>0</v>
      </c>
      <c r="H15" s="91">
        <v>484294</v>
      </c>
      <c r="I15" s="67">
        <v>0</v>
      </c>
      <c r="J15" s="739">
        <v>484294</v>
      </c>
      <c r="K15" s="837" t="s">
        <v>1306</v>
      </c>
      <c r="L15" s="740">
        <v>0</v>
      </c>
      <c r="M15" s="741">
        <v>3751.5033333333336</v>
      </c>
      <c r="N15" s="67">
        <v>6000</v>
      </c>
      <c r="O15" s="67">
        <v>490294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490294</v>
      </c>
      <c r="V15" s="71">
        <v>130.69267342603098</v>
      </c>
      <c r="W15" s="449">
        <v>0</v>
      </c>
      <c r="X15" s="67">
        <v>361948</v>
      </c>
      <c r="Y15" s="163">
        <v>128346</v>
      </c>
      <c r="Z15" s="166">
        <v>0.35459789804060254</v>
      </c>
      <c r="AA15" s="34" t="s">
        <v>1306</v>
      </c>
      <c r="AC15" t="s">
        <v>1467</v>
      </c>
      <c r="AE15" s="452"/>
      <c r="AH15" s="36"/>
      <c r="AI15" s="36"/>
      <c r="AJ15" s="36"/>
      <c r="AK15" s="19"/>
    </row>
    <row r="16" spans="1:37">
      <c r="A16" s="64" t="s">
        <v>597</v>
      </c>
      <c r="B16" s="784" t="s">
        <v>213</v>
      </c>
      <c r="C16" s="784" t="s">
        <v>1463</v>
      </c>
      <c r="D16" s="134">
        <v>53.34</v>
      </c>
      <c r="E16" s="67">
        <v>6886</v>
      </c>
      <c r="F16" s="146">
        <v>0</v>
      </c>
      <c r="G16" s="146">
        <v>0</v>
      </c>
      <c r="H16" s="91">
        <v>6886</v>
      </c>
      <c r="I16" s="67">
        <v>0</v>
      </c>
      <c r="J16" s="739">
        <v>6886</v>
      </c>
      <c r="K16" s="837" t="s">
        <v>644</v>
      </c>
      <c r="L16" s="740">
        <v>6886</v>
      </c>
      <c r="M16" s="741">
        <v>0</v>
      </c>
      <c r="N16" s="67">
        <v>0</v>
      </c>
      <c r="O16" s="67">
        <v>0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0</v>
      </c>
      <c r="V16" s="71">
        <v>0</v>
      </c>
      <c r="W16" s="449">
        <v>0</v>
      </c>
      <c r="X16" s="67">
        <v>0</v>
      </c>
      <c r="Y16" s="163">
        <v>0</v>
      </c>
      <c r="Z16" s="166">
        <v>0</v>
      </c>
      <c r="AA16" s="34" t="s">
        <v>644</v>
      </c>
      <c r="AC16" t="s">
        <v>1479</v>
      </c>
      <c r="AE16" s="452"/>
      <c r="AH16" s="36"/>
      <c r="AI16" s="36"/>
      <c r="AJ16" s="36"/>
      <c r="AK16" s="19"/>
    </row>
    <row r="17" spans="1:37">
      <c r="A17" s="64" t="s">
        <v>599</v>
      </c>
      <c r="B17" s="784" t="s">
        <v>62</v>
      </c>
      <c r="C17" s="784" t="s">
        <v>1396</v>
      </c>
      <c r="D17" s="134">
        <v>959.00666666666655</v>
      </c>
      <c r="E17" s="67">
        <v>123801</v>
      </c>
      <c r="F17" s="146">
        <v>0</v>
      </c>
      <c r="G17" s="146">
        <v>0</v>
      </c>
      <c r="H17" s="91">
        <v>123801</v>
      </c>
      <c r="I17" s="67">
        <v>0</v>
      </c>
      <c r="J17" s="739">
        <v>123801</v>
      </c>
      <c r="K17" s="837" t="s">
        <v>621</v>
      </c>
      <c r="L17" s="740">
        <v>0</v>
      </c>
      <c r="M17" s="741">
        <v>959.00666666666655</v>
      </c>
      <c r="N17" s="67">
        <v>1534</v>
      </c>
      <c r="O17" s="67">
        <v>125335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125335</v>
      </c>
      <c r="V17" s="71">
        <v>130.69252212358623</v>
      </c>
      <c r="W17" s="449">
        <v>125335</v>
      </c>
      <c r="X17" s="67">
        <v>101574</v>
      </c>
      <c r="Y17" s="163">
        <v>23761</v>
      </c>
      <c r="Z17" s="166">
        <v>0.23392797369405557</v>
      </c>
      <c r="AA17" s="34" t="s">
        <v>621</v>
      </c>
      <c r="AC17" t="s">
        <v>1762</v>
      </c>
      <c r="AE17" s="452"/>
      <c r="AH17" s="36"/>
      <c r="AI17" s="36"/>
      <c r="AJ17" s="36"/>
      <c r="AK17" s="19"/>
    </row>
    <row r="18" spans="1:37">
      <c r="A18" s="64" t="s">
        <v>597</v>
      </c>
      <c r="B18" s="784" t="s">
        <v>189</v>
      </c>
      <c r="C18" s="784" t="s">
        <v>1455</v>
      </c>
      <c r="D18" s="134">
        <v>3210</v>
      </c>
      <c r="E18" s="67">
        <v>414389</v>
      </c>
      <c r="F18" s="146">
        <v>0</v>
      </c>
      <c r="G18" s="146">
        <v>0</v>
      </c>
      <c r="H18" s="91">
        <v>414389</v>
      </c>
      <c r="I18" s="67">
        <v>0</v>
      </c>
      <c r="J18" s="739">
        <v>414389</v>
      </c>
      <c r="K18" s="837" t="s">
        <v>621</v>
      </c>
      <c r="L18" s="740">
        <v>0</v>
      </c>
      <c r="M18" s="741">
        <v>3210</v>
      </c>
      <c r="N18" s="67">
        <v>5134</v>
      </c>
      <c r="O18" s="67">
        <v>419523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419523</v>
      </c>
      <c r="V18" s="71">
        <v>130.69252336448599</v>
      </c>
      <c r="W18" s="449">
        <v>419523</v>
      </c>
      <c r="X18" s="67">
        <v>357052</v>
      </c>
      <c r="Y18" s="163">
        <v>62471</v>
      </c>
      <c r="Z18" s="166">
        <v>0.1749633106662335</v>
      </c>
      <c r="AA18" s="34" t="s">
        <v>621</v>
      </c>
      <c r="AC18" t="s">
        <v>1470</v>
      </c>
      <c r="AE18" s="452"/>
      <c r="AH18" s="36"/>
      <c r="AI18" s="36"/>
      <c r="AJ18" s="36"/>
      <c r="AK18" s="19"/>
    </row>
    <row r="19" spans="1:37">
      <c r="A19" s="64" t="s">
        <v>595</v>
      </c>
      <c r="B19" s="784" t="s">
        <v>504</v>
      </c>
      <c r="C19" s="784" t="s">
        <v>628</v>
      </c>
      <c r="D19" s="134">
        <v>894</v>
      </c>
      <c r="E19" s="67">
        <v>115409</v>
      </c>
      <c r="F19" s="146">
        <v>0</v>
      </c>
      <c r="G19" s="146">
        <v>0</v>
      </c>
      <c r="H19" s="91">
        <v>115409</v>
      </c>
      <c r="I19" s="67">
        <v>0</v>
      </c>
      <c r="J19" s="739">
        <v>115409</v>
      </c>
      <c r="K19" s="837" t="s">
        <v>621</v>
      </c>
      <c r="L19" s="740">
        <v>0</v>
      </c>
      <c r="M19" s="741">
        <v>894</v>
      </c>
      <c r="N19" s="67">
        <v>1430</v>
      </c>
      <c r="O19" s="67">
        <v>116839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116839</v>
      </c>
      <c r="V19" s="71">
        <v>130.69239373601789</v>
      </c>
      <c r="W19" s="449">
        <v>116839</v>
      </c>
      <c r="X19" s="67">
        <v>92414</v>
      </c>
      <c r="Y19" s="163">
        <v>24425</v>
      </c>
      <c r="Z19" s="166">
        <v>0.26429978141839983</v>
      </c>
      <c r="AA19" s="34" t="s">
        <v>621</v>
      </c>
      <c r="AC19" t="s">
        <v>1539</v>
      </c>
      <c r="AE19" s="452"/>
      <c r="AH19" s="36"/>
      <c r="AI19" s="36"/>
      <c r="AJ19" s="36"/>
      <c r="AK19" s="19"/>
    </row>
    <row r="20" spans="1:37">
      <c r="A20" s="64" t="s">
        <v>603</v>
      </c>
      <c r="B20" s="784" t="s">
        <v>2</v>
      </c>
      <c r="C20" s="784" t="s">
        <v>1370</v>
      </c>
      <c r="D20" s="134">
        <v>0</v>
      </c>
      <c r="E20" s="67">
        <v>0</v>
      </c>
      <c r="F20" s="146">
        <v>0</v>
      </c>
      <c r="G20" s="146">
        <v>0</v>
      </c>
      <c r="H20" s="91">
        <v>0</v>
      </c>
      <c r="I20" s="67">
        <v>0</v>
      </c>
      <c r="J20" s="739">
        <v>0</v>
      </c>
      <c r="K20" s="837" t="s">
        <v>644</v>
      </c>
      <c r="L20" s="740">
        <v>0</v>
      </c>
      <c r="M20" s="741">
        <v>0</v>
      </c>
      <c r="N20" s="67">
        <v>0</v>
      </c>
      <c r="O20" s="67">
        <v>0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0</v>
      </c>
      <c r="V20" s="71">
        <v>0</v>
      </c>
      <c r="W20" s="449">
        <v>0</v>
      </c>
      <c r="X20" s="67">
        <v>0</v>
      </c>
      <c r="Y20" s="163">
        <v>0</v>
      </c>
      <c r="Z20" s="166">
        <v>0</v>
      </c>
      <c r="AA20" s="34" t="s">
        <v>644</v>
      </c>
      <c r="AC20" t="s">
        <v>1356</v>
      </c>
      <c r="AE20" s="452"/>
      <c r="AH20" s="36"/>
      <c r="AI20" s="36"/>
      <c r="AJ20" s="36"/>
      <c r="AK20" s="19"/>
    </row>
    <row r="21" spans="1:37">
      <c r="A21" s="64" t="s">
        <v>597</v>
      </c>
      <c r="B21" s="784" t="s">
        <v>363</v>
      </c>
      <c r="C21" s="784" t="s">
        <v>1531</v>
      </c>
      <c r="D21" s="134">
        <v>1088.17</v>
      </c>
      <c r="E21" s="67">
        <v>140475</v>
      </c>
      <c r="F21" s="146">
        <v>0</v>
      </c>
      <c r="G21" s="146">
        <v>0</v>
      </c>
      <c r="H21" s="91">
        <v>140475</v>
      </c>
      <c r="I21" s="67">
        <v>0</v>
      </c>
      <c r="J21" s="739">
        <v>140475</v>
      </c>
      <c r="K21" s="837" t="s">
        <v>621</v>
      </c>
      <c r="L21" s="740">
        <v>0</v>
      </c>
      <c r="M21" s="741">
        <v>1088.17</v>
      </c>
      <c r="N21" s="67">
        <v>1740</v>
      </c>
      <c r="O21" s="67">
        <v>142215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142215</v>
      </c>
      <c r="V21" s="71">
        <v>130.69189556778812</v>
      </c>
      <c r="W21" s="449">
        <v>142215</v>
      </c>
      <c r="X21" s="67">
        <v>87286</v>
      </c>
      <c r="Y21" s="163">
        <v>54929</v>
      </c>
      <c r="Z21" s="166">
        <v>0.62929908576404003</v>
      </c>
      <c r="AA21" s="34" t="s">
        <v>621</v>
      </c>
      <c r="AC21" t="s">
        <v>1773</v>
      </c>
      <c r="AE21" s="452"/>
      <c r="AH21" s="36"/>
      <c r="AI21" s="36"/>
      <c r="AJ21" s="36"/>
      <c r="AK21" s="19"/>
    </row>
    <row r="22" spans="1:37">
      <c r="A22" s="64" t="s">
        <v>605</v>
      </c>
      <c r="B22" s="784" t="s">
        <v>234</v>
      </c>
      <c r="C22" s="784" t="s">
        <v>1473</v>
      </c>
      <c r="D22" s="134">
        <v>0</v>
      </c>
      <c r="E22" s="67">
        <v>0</v>
      </c>
      <c r="F22" s="146">
        <v>0</v>
      </c>
      <c r="G22" s="146">
        <v>0</v>
      </c>
      <c r="H22" s="91">
        <v>0</v>
      </c>
      <c r="I22" s="67">
        <v>0</v>
      </c>
      <c r="J22" s="739">
        <v>0</v>
      </c>
      <c r="K22" s="837" t="s">
        <v>644</v>
      </c>
      <c r="L22" s="740">
        <v>0</v>
      </c>
      <c r="M22" s="741">
        <v>0</v>
      </c>
      <c r="N22" s="67">
        <v>0</v>
      </c>
      <c r="O22" s="67">
        <v>0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0</v>
      </c>
      <c r="V22" s="71">
        <v>0</v>
      </c>
      <c r="W22" s="449">
        <v>0</v>
      </c>
      <c r="X22" s="67">
        <v>0</v>
      </c>
      <c r="Y22" s="163">
        <v>0</v>
      </c>
      <c r="Z22" s="166">
        <v>0</v>
      </c>
      <c r="AA22" s="34" t="s">
        <v>644</v>
      </c>
      <c r="AC22" t="s">
        <v>1516</v>
      </c>
      <c r="AE22" s="452"/>
      <c r="AH22" s="36"/>
      <c r="AI22" s="36"/>
      <c r="AJ22" s="36"/>
      <c r="AK22" s="19"/>
    </row>
    <row r="23" spans="1:37">
      <c r="A23" s="64" t="s">
        <v>595</v>
      </c>
      <c r="B23" s="784" t="s">
        <v>508</v>
      </c>
      <c r="C23" s="784" t="s">
        <v>1603</v>
      </c>
      <c r="D23" s="134">
        <v>91.493333333333325</v>
      </c>
      <c r="E23" s="67">
        <v>11811</v>
      </c>
      <c r="F23" s="146">
        <v>0</v>
      </c>
      <c r="G23" s="146">
        <v>0</v>
      </c>
      <c r="H23" s="91">
        <v>11811</v>
      </c>
      <c r="I23" s="67">
        <v>0</v>
      </c>
      <c r="J23" s="739">
        <v>11811</v>
      </c>
      <c r="K23" s="837" t="s">
        <v>621</v>
      </c>
      <c r="L23" s="740">
        <v>0</v>
      </c>
      <c r="M23" s="741">
        <v>91.493333333333325</v>
      </c>
      <c r="N23" s="67">
        <v>146</v>
      </c>
      <c r="O23" s="67">
        <v>11957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11957</v>
      </c>
      <c r="V23" s="71">
        <v>130.68711745846693</v>
      </c>
      <c r="W23" s="449">
        <v>11957</v>
      </c>
      <c r="X23" s="67">
        <v>10226</v>
      </c>
      <c r="Y23" s="163">
        <v>1731</v>
      </c>
      <c r="Z23" s="166">
        <v>0.16927439859182475</v>
      </c>
      <c r="AA23" s="34" t="s">
        <v>621</v>
      </c>
      <c r="AC23" s="55" t="s">
        <v>1430</v>
      </c>
      <c r="AE23" s="452"/>
      <c r="AH23" s="36"/>
      <c r="AI23" s="36"/>
      <c r="AJ23" s="36"/>
      <c r="AK23" s="19"/>
    </row>
    <row r="24" spans="1:37">
      <c r="A24" s="64" t="s">
        <v>594</v>
      </c>
      <c r="B24" s="784" t="s">
        <v>266</v>
      </c>
      <c r="C24" s="784" t="s">
        <v>1487</v>
      </c>
      <c r="D24" s="134">
        <v>0</v>
      </c>
      <c r="E24" s="67">
        <v>0</v>
      </c>
      <c r="F24" s="146">
        <v>0</v>
      </c>
      <c r="G24" s="146">
        <v>0</v>
      </c>
      <c r="H24" s="91">
        <v>0</v>
      </c>
      <c r="I24" s="67">
        <v>0</v>
      </c>
      <c r="J24" s="739">
        <v>0</v>
      </c>
      <c r="K24" s="837" t="s">
        <v>644</v>
      </c>
      <c r="L24" s="740">
        <v>0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s="55" t="s">
        <v>1439</v>
      </c>
      <c r="AE24" s="452"/>
      <c r="AH24" s="36"/>
      <c r="AI24" s="36"/>
      <c r="AJ24" s="36"/>
      <c r="AK24" s="19"/>
    </row>
    <row r="25" spans="1:37">
      <c r="A25" s="64" t="s">
        <v>600</v>
      </c>
      <c r="B25" s="784" t="s">
        <v>211</v>
      </c>
      <c r="C25" s="784" t="s">
        <v>1462</v>
      </c>
      <c r="D25" s="134">
        <v>456.66666666666669</v>
      </c>
      <c r="E25" s="67">
        <v>58953</v>
      </c>
      <c r="F25" s="146">
        <v>0</v>
      </c>
      <c r="G25" s="146">
        <v>0</v>
      </c>
      <c r="H25" s="91">
        <v>58953</v>
      </c>
      <c r="I25" s="67">
        <v>0</v>
      </c>
      <c r="J25" s="739">
        <v>58953</v>
      </c>
      <c r="K25" s="837" t="s">
        <v>621</v>
      </c>
      <c r="L25" s="740">
        <v>0</v>
      </c>
      <c r="M25" s="741">
        <v>456.66666666666669</v>
      </c>
      <c r="N25" s="67">
        <v>730</v>
      </c>
      <c r="O25" s="67">
        <v>59683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59683</v>
      </c>
      <c r="V25" s="71">
        <v>130.692700729927</v>
      </c>
      <c r="W25" s="449">
        <v>59683</v>
      </c>
      <c r="X25" s="67">
        <v>34322</v>
      </c>
      <c r="Y25" s="163">
        <v>25361</v>
      </c>
      <c r="Z25" s="166">
        <v>0.73891381621117647</v>
      </c>
      <c r="AA25" s="34" t="s">
        <v>621</v>
      </c>
      <c r="AC25" t="s">
        <v>712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315</v>
      </c>
      <c r="C26" s="784" t="s">
        <v>1510</v>
      </c>
      <c r="D26" s="134">
        <v>393.83</v>
      </c>
      <c r="E26" s="67">
        <v>50841</v>
      </c>
      <c r="F26" s="146">
        <v>0</v>
      </c>
      <c r="G26" s="146">
        <v>0</v>
      </c>
      <c r="H26" s="91">
        <v>50841</v>
      </c>
      <c r="I26" s="67">
        <v>0</v>
      </c>
      <c r="J26" s="739">
        <v>50841</v>
      </c>
      <c r="K26" s="837" t="s">
        <v>621</v>
      </c>
      <c r="L26" s="740">
        <v>0</v>
      </c>
      <c r="M26" s="741">
        <v>393.83</v>
      </c>
      <c r="N26" s="67">
        <v>630</v>
      </c>
      <c r="O26" s="67">
        <v>51471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51471</v>
      </c>
      <c r="V26" s="71">
        <v>130.69344641088796</v>
      </c>
      <c r="W26" s="449">
        <v>51471</v>
      </c>
      <c r="X26" s="67">
        <v>51992</v>
      </c>
      <c r="Y26" s="163">
        <v>-521</v>
      </c>
      <c r="Z26" s="166">
        <v>-1.0020772426527158E-2</v>
      </c>
      <c r="AA26" s="34" t="s">
        <v>621</v>
      </c>
      <c r="AC26" t="s">
        <v>1438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84</v>
      </c>
      <c r="C27" s="784" t="s">
        <v>1406</v>
      </c>
      <c r="D27" s="134">
        <v>407.84000000000003</v>
      </c>
      <c r="E27" s="67">
        <v>52649</v>
      </c>
      <c r="F27" s="146">
        <v>0</v>
      </c>
      <c r="G27" s="146">
        <v>0</v>
      </c>
      <c r="H27" s="91">
        <v>52649</v>
      </c>
      <c r="I27" s="67">
        <v>0</v>
      </c>
      <c r="J27" s="739">
        <v>52649</v>
      </c>
      <c r="K27" s="837" t="s">
        <v>621</v>
      </c>
      <c r="L27" s="740">
        <v>0</v>
      </c>
      <c r="M27" s="741">
        <v>407.84000000000003</v>
      </c>
      <c r="N27" s="67">
        <v>652</v>
      </c>
      <c r="O27" s="67">
        <v>53301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53301</v>
      </c>
      <c r="V27" s="71">
        <v>130.6909572381326</v>
      </c>
      <c r="W27" s="449">
        <v>53301</v>
      </c>
      <c r="X27" s="67">
        <v>52423</v>
      </c>
      <c r="Y27" s="163">
        <v>878</v>
      </c>
      <c r="Z27" s="166">
        <v>1.6748373805390765E-2</v>
      </c>
      <c r="AA27" s="34" t="s">
        <v>621</v>
      </c>
      <c r="AC27" t="s">
        <v>1489</v>
      </c>
      <c r="AE27" s="452"/>
      <c r="AH27" s="36"/>
      <c r="AI27" s="36"/>
      <c r="AJ27" s="36"/>
      <c r="AK27" s="19"/>
    </row>
    <row r="28" spans="1:37">
      <c r="A28" s="64" t="s">
        <v>600</v>
      </c>
      <c r="B28" s="784" t="s">
        <v>165</v>
      </c>
      <c r="C28" s="784" t="s">
        <v>1444</v>
      </c>
      <c r="D28" s="134">
        <v>0</v>
      </c>
      <c r="E28" s="67">
        <v>0</v>
      </c>
      <c r="F28" s="146">
        <v>0</v>
      </c>
      <c r="G28" s="146">
        <v>0</v>
      </c>
      <c r="H28" s="91">
        <v>0</v>
      </c>
      <c r="I28" s="67">
        <v>0</v>
      </c>
      <c r="J28" s="739">
        <v>0</v>
      </c>
      <c r="K28" s="837" t="s">
        <v>644</v>
      </c>
      <c r="L28" s="740">
        <v>0</v>
      </c>
      <c r="M28" s="741">
        <v>0</v>
      </c>
      <c r="N28" s="67">
        <v>0</v>
      </c>
      <c r="O28" s="67">
        <v>0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0</v>
      </c>
      <c r="V28" s="71">
        <v>0</v>
      </c>
      <c r="W28" s="449">
        <v>0</v>
      </c>
      <c r="X28" s="67">
        <v>0</v>
      </c>
      <c r="Y28" s="163">
        <v>0</v>
      </c>
      <c r="Z28" s="166">
        <v>0</v>
      </c>
      <c r="AA28" s="34" t="s">
        <v>644</v>
      </c>
      <c r="AC28" t="s">
        <v>1538</v>
      </c>
      <c r="AE28" s="452"/>
      <c r="AH28" s="36"/>
      <c r="AI28" s="36"/>
      <c r="AJ28" s="36"/>
      <c r="AK28" s="19"/>
    </row>
    <row r="29" spans="1:37">
      <c r="A29" s="64" t="s">
        <v>595</v>
      </c>
      <c r="B29" s="784" t="s">
        <v>378</v>
      </c>
      <c r="C29" s="784" t="s">
        <v>629</v>
      </c>
      <c r="D29" s="134">
        <v>741.50333333333344</v>
      </c>
      <c r="E29" s="67">
        <v>95723</v>
      </c>
      <c r="F29" s="146">
        <v>0</v>
      </c>
      <c r="G29" s="146">
        <v>0</v>
      </c>
      <c r="H29" s="91">
        <v>95723</v>
      </c>
      <c r="I29" s="67">
        <v>0</v>
      </c>
      <c r="J29" s="739">
        <v>95723</v>
      </c>
      <c r="K29" s="837" t="s">
        <v>621</v>
      </c>
      <c r="L29" s="740">
        <v>0</v>
      </c>
      <c r="M29" s="741">
        <v>741.50333333333344</v>
      </c>
      <c r="N29" s="67">
        <v>1186</v>
      </c>
      <c r="O29" s="67">
        <v>96909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96909</v>
      </c>
      <c r="V29" s="71">
        <v>130.6926019662757</v>
      </c>
      <c r="W29" s="449">
        <v>96909</v>
      </c>
      <c r="X29" s="67">
        <v>95936</v>
      </c>
      <c r="Y29" s="163">
        <v>973</v>
      </c>
      <c r="Z29" s="166">
        <v>1.0142178118745831E-2</v>
      </c>
      <c r="AA29" s="34" t="s">
        <v>621</v>
      </c>
      <c r="AC29" t="s">
        <v>1405</v>
      </c>
      <c r="AE29" s="452"/>
      <c r="AH29" s="36"/>
      <c r="AI29" s="36"/>
      <c r="AJ29" s="36"/>
      <c r="AK29" s="19"/>
    </row>
    <row r="30" spans="1:37">
      <c r="A30" s="64" t="s">
        <v>599</v>
      </c>
      <c r="B30" s="784" t="s">
        <v>60</v>
      </c>
      <c r="C30" s="784" t="s">
        <v>1395</v>
      </c>
      <c r="D30" s="134">
        <v>217.32999999999998</v>
      </c>
      <c r="E30" s="67">
        <v>28056</v>
      </c>
      <c r="F30" s="146">
        <v>0</v>
      </c>
      <c r="G30" s="146">
        <v>0</v>
      </c>
      <c r="H30" s="91">
        <v>28056</v>
      </c>
      <c r="I30" s="67">
        <v>0</v>
      </c>
      <c r="J30" s="739">
        <v>28056</v>
      </c>
      <c r="K30" s="837" t="s">
        <v>621</v>
      </c>
      <c r="L30" s="740">
        <v>0</v>
      </c>
      <c r="M30" s="741">
        <v>217.32999999999998</v>
      </c>
      <c r="N30" s="67">
        <v>348</v>
      </c>
      <c r="O30" s="67">
        <v>28404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28404</v>
      </c>
      <c r="V30" s="71">
        <v>130.69525606220955</v>
      </c>
      <c r="W30" s="449">
        <v>28404</v>
      </c>
      <c r="X30" s="67">
        <v>26058</v>
      </c>
      <c r="Y30" s="163">
        <v>2346</v>
      </c>
      <c r="Z30" s="166">
        <v>9.0029933225880723E-2</v>
      </c>
      <c r="AA30" s="34" t="s">
        <v>621</v>
      </c>
      <c r="AC30" t="s">
        <v>1529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45</v>
      </c>
      <c r="C31" s="784" t="s">
        <v>1388</v>
      </c>
      <c r="D31" s="134">
        <v>0</v>
      </c>
      <c r="E31" s="67">
        <v>0</v>
      </c>
      <c r="F31" s="146">
        <v>0</v>
      </c>
      <c r="G31" s="146">
        <v>0</v>
      </c>
      <c r="H31" s="91">
        <v>0</v>
      </c>
      <c r="I31" s="67">
        <v>0</v>
      </c>
      <c r="J31" s="739">
        <v>0</v>
      </c>
      <c r="K31" s="837" t="s">
        <v>644</v>
      </c>
      <c r="L31" s="740">
        <v>0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t="s">
        <v>607</v>
      </c>
      <c r="AE31" s="452"/>
      <c r="AH31" s="36"/>
      <c r="AI31" s="36"/>
      <c r="AJ31" s="36"/>
      <c r="AK31" s="19"/>
    </row>
    <row r="32" spans="1:37">
      <c r="A32" s="64" t="s">
        <v>597</v>
      </c>
      <c r="B32" s="784" t="s">
        <v>347</v>
      </c>
      <c r="C32" s="784" t="s">
        <v>1525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837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t="s">
        <v>1514</v>
      </c>
      <c r="AE32" s="452"/>
      <c r="AH32" s="36"/>
      <c r="AI32" s="36"/>
      <c r="AJ32" s="36"/>
      <c r="AK32" s="19"/>
    </row>
    <row r="33" spans="1:37">
      <c r="A33" s="64" t="s">
        <v>601</v>
      </c>
      <c r="B33" s="784" t="s">
        <v>35</v>
      </c>
      <c r="C33" s="784" t="s">
        <v>1383</v>
      </c>
      <c r="D33" s="134">
        <v>171.17000000000002</v>
      </c>
      <c r="E33" s="67">
        <v>22097</v>
      </c>
      <c r="F33" s="146">
        <v>0</v>
      </c>
      <c r="G33" s="146">
        <v>0</v>
      </c>
      <c r="H33" s="91">
        <v>22097</v>
      </c>
      <c r="I33" s="67">
        <v>0</v>
      </c>
      <c r="J33" s="739">
        <v>22097</v>
      </c>
      <c r="K33" s="837" t="s">
        <v>621</v>
      </c>
      <c r="L33" s="740">
        <v>0</v>
      </c>
      <c r="M33" s="741">
        <v>171.17000000000002</v>
      </c>
      <c r="N33" s="67">
        <v>274</v>
      </c>
      <c r="O33" s="67">
        <v>22371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22371</v>
      </c>
      <c r="V33" s="71">
        <v>130.69463106852834</v>
      </c>
      <c r="W33" s="449">
        <v>22371</v>
      </c>
      <c r="X33" s="67">
        <v>22598</v>
      </c>
      <c r="Y33" s="163">
        <v>-227</v>
      </c>
      <c r="Z33" s="166">
        <v>-1.0045136737764405E-2</v>
      </c>
      <c r="AA33" s="34" t="s">
        <v>621</v>
      </c>
      <c r="AC33" t="s">
        <v>1593</v>
      </c>
      <c r="AE33" s="452"/>
      <c r="AH33" s="36"/>
      <c r="AI33" s="36"/>
      <c r="AJ33" s="36"/>
      <c r="AK33" s="19"/>
    </row>
    <row r="34" spans="1:37">
      <c r="A34" s="64" t="s">
        <v>1666</v>
      </c>
      <c r="B34" s="784" t="s">
        <v>1751</v>
      </c>
      <c r="C34" s="784" t="s">
        <v>1752</v>
      </c>
      <c r="D34" s="134">
        <v>0</v>
      </c>
      <c r="E34" s="67">
        <v>0</v>
      </c>
      <c r="F34" s="146">
        <v>0</v>
      </c>
      <c r="G34" s="146">
        <v>0</v>
      </c>
      <c r="H34" s="91">
        <v>0</v>
      </c>
      <c r="I34" s="67">
        <v>0</v>
      </c>
      <c r="J34" s="739">
        <v>0</v>
      </c>
      <c r="K34" s="837" t="s">
        <v>644</v>
      </c>
      <c r="L34" s="740">
        <v>0</v>
      </c>
      <c r="M34" s="741">
        <v>0</v>
      </c>
      <c r="N34" s="67">
        <v>0</v>
      </c>
      <c r="O34" s="67">
        <v>0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0</v>
      </c>
      <c r="V34" s="71">
        <v>0</v>
      </c>
      <c r="W34" s="449">
        <v>0</v>
      </c>
      <c r="X34" s="67">
        <v>0</v>
      </c>
      <c r="Y34" s="163">
        <v>0</v>
      </c>
      <c r="Z34" s="166">
        <v>0</v>
      </c>
      <c r="AA34" s="34" t="s">
        <v>644</v>
      </c>
      <c r="AC34" t="s">
        <v>1269</v>
      </c>
      <c r="AE34" s="452"/>
      <c r="AH34" s="36"/>
      <c r="AI34" s="36"/>
      <c r="AJ34" s="36"/>
      <c r="AK34" s="19"/>
    </row>
    <row r="35" spans="1:37">
      <c r="A35" s="64" t="s">
        <v>601</v>
      </c>
      <c r="B35" s="784" t="s">
        <v>33</v>
      </c>
      <c r="C35" s="784" t="s">
        <v>878</v>
      </c>
      <c r="D35" s="134">
        <v>207.83999999999997</v>
      </c>
      <c r="E35" s="67">
        <v>26831</v>
      </c>
      <c r="F35" s="146">
        <v>0</v>
      </c>
      <c r="G35" s="146">
        <v>0</v>
      </c>
      <c r="H35" s="91">
        <v>26831</v>
      </c>
      <c r="I35" s="67">
        <v>0</v>
      </c>
      <c r="J35" s="739">
        <v>26831</v>
      </c>
      <c r="K35" s="837" t="s">
        <v>621</v>
      </c>
      <c r="L35" s="740">
        <v>0</v>
      </c>
      <c r="M35" s="741">
        <v>207.83999999999997</v>
      </c>
      <c r="N35" s="67">
        <v>332</v>
      </c>
      <c r="O35" s="67">
        <v>27163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27163</v>
      </c>
      <c r="V35" s="71">
        <v>130.69187836797539</v>
      </c>
      <c r="W35" s="449">
        <v>27163</v>
      </c>
      <c r="X35" s="67">
        <v>31465</v>
      </c>
      <c r="Y35" s="163">
        <v>-4302</v>
      </c>
      <c r="Z35" s="166">
        <v>-0.1367233433974257</v>
      </c>
      <c r="AA35" s="34" t="s">
        <v>621</v>
      </c>
      <c r="AC35" t="s">
        <v>1453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74</v>
      </c>
      <c r="C36" s="784" t="s">
        <v>1401</v>
      </c>
      <c r="D36" s="134">
        <v>27.840000000000003</v>
      </c>
      <c r="E36" s="67">
        <v>3594</v>
      </c>
      <c r="F36" s="146">
        <v>0</v>
      </c>
      <c r="G36" s="146">
        <v>0</v>
      </c>
      <c r="H36" s="91">
        <v>3594</v>
      </c>
      <c r="I36" s="67">
        <v>0</v>
      </c>
      <c r="J36" s="739">
        <v>3594</v>
      </c>
      <c r="K36" s="837" t="s">
        <v>644</v>
      </c>
      <c r="L36" s="740">
        <v>3594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 t="s">
        <v>1595</v>
      </c>
      <c r="AE36" s="452"/>
      <c r="AH36" s="36"/>
      <c r="AI36" s="36"/>
      <c r="AJ36" s="36"/>
      <c r="AK36" s="19"/>
    </row>
    <row r="37" spans="1:37">
      <c r="A37" s="64" t="s">
        <v>1666</v>
      </c>
      <c r="B37" s="784" t="s">
        <v>1753</v>
      </c>
      <c r="C37" s="784" t="s">
        <v>1754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837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55" t="s">
        <v>681</v>
      </c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236</v>
      </c>
      <c r="C38" s="784" t="s">
        <v>1474</v>
      </c>
      <c r="D38" s="134">
        <v>0</v>
      </c>
      <c r="E38" s="67">
        <v>0</v>
      </c>
      <c r="F38" s="146">
        <v>0</v>
      </c>
      <c r="G38" s="146">
        <v>0</v>
      </c>
      <c r="H38" s="91">
        <v>0</v>
      </c>
      <c r="I38" s="67">
        <v>0</v>
      </c>
      <c r="J38" s="739">
        <v>0</v>
      </c>
      <c r="K38" s="837" t="s">
        <v>644</v>
      </c>
      <c r="L38" s="740">
        <v>0</v>
      </c>
      <c r="M38" s="741">
        <v>0</v>
      </c>
      <c r="N38" s="67">
        <v>0</v>
      </c>
      <c r="O38" s="67">
        <v>0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0</v>
      </c>
      <c r="V38" s="71">
        <v>0</v>
      </c>
      <c r="W38" s="449">
        <v>0</v>
      </c>
      <c r="X38" s="67">
        <v>0</v>
      </c>
      <c r="Y38" s="163">
        <v>0</v>
      </c>
      <c r="Z38" s="166">
        <v>0</v>
      </c>
      <c r="AA38" s="34" t="s">
        <v>644</v>
      </c>
      <c r="AD38" s="451"/>
      <c r="AE38" s="452"/>
      <c r="AH38" s="36"/>
      <c r="AI38" s="36"/>
      <c r="AJ38" s="36"/>
      <c r="AK38" s="19"/>
    </row>
    <row r="39" spans="1:37">
      <c r="A39" s="64" t="s">
        <v>600</v>
      </c>
      <c r="B39" s="784" t="s">
        <v>216</v>
      </c>
      <c r="C39" s="784" t="s">
        <v>1464</v>
      </c>
      <c r="D39" s="134">
        <v>373.66999999999996</v>
      </c>
      <c r="E39" s="67">
        <v>48238</v>
      </c>
      <c r="F39" s="146">
        <v>0</v>
      </c>
      <c r="G39" s="146">
        <v>0</v>
      </c>
      <c r="H39" s="91">
        <v>48238</v>
      </c>
      <c r="I39" s="67">
        <v>0</v>
      </c>
      <c r="J39" s="739">
        <v>48238</v>
      </c>
      <c r="K39" s="837" t="s">
        <v>621</v>
      </c>
      <c r="L39" s="740">
        <v>0</v>
      </c>
      <c r="M39" s="741">
        <v>373.66999999999996</v>
      </c>
      <c r="N39" s="67">
        <v>598</v>
      </c>
      <c r="O39" s="67">
        <v>48836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48836</v>
      </c>
      <c r="V39" s="71">
        <v>130.69285733401131</v>
      </c>
      <c r="W39" s="449">
        <v>48836</v>
      </c>
      <c r="X39" s="67">
        <v>40546</v>
      </c>
      <c r="Y39" s="163">
        <v>8290</v>
      </c>
      <c r="Z39" s="166">
        <v>0.20445913283677797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603</v>
      </c>
      <c r="B40" s="784" t="s">
        <v>434</v>
      </c>
      <c r="C40" s="784" t="s">
        <v>1568</v>
      </c>
      <c r="D40" s="134">
        <v>508</v>
      </c>
      <c r="E40" s="67">
        <v>65579</v>
      </c>
      <c r="F40" s="146">
        <v>0</v>
      </c>
      <c r="G40" s="146">
        <v>0</v>
      </c>
      <c r="H40" s="91">
        <v>65579</v>
      </c>
      <c r="I40" s="67">
        <v>0</v>
      </c>
      <c r="J40" s="739">
        <v>65579</v>
      </c>
      <c r="K40" s="837" t="s">
        <v>621</v>
      </c>
      <c r="L40" s="740">
        <v>0</v>
      </c>
      <c r="M40" s="741">
        <v>508</v>
      </c>
      <c r="N40" s="67">
        <v>812</v>
      </c>
      <c r="O40" s="67">
        <v>66391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66391</v>
      </c>
      <c r="V40" s="71">
        <v>130.69094488188978</v>
      </c>
      <c r="W40" s="449">
        <v>66391</v>
      </c>
      <c r="X40" s="67">
        <v>59360</v>
      </c>
      <c r="Y40" s="163">
        <v>7031</v>
      </c>
      <c r="Z40" s="166">
        <v>0.1184467654986523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594</v>
      </c>
      <c r="B41" s="784" t="s">
        <v>278</v>
      </c>
      <c r="C41" s="784" t="s">
        <v>622</v>
      </c>
      <c r="D41" s="134">
        <v>440</v>
      </c>
      <c r="E41" s="67">
        <v>56801</v>
      </c>
      <c r="F41" s="146">
        <v>0</v>
      </c>
      <c r="G41" s="146">
        <v>0</v>
      </c>
      <c r="H41" s="91">
        <v>56801</v>
      </c>
      <c r="I41" s="67">
        <v>0</v>
      </c>
      <c r="J41" s="739">
        <v>56801</v>
      </c>
      <c r="K41" s="837" t="s">
        <v>621</v>
      </c>
      <c r="L41" s="740">
        <v>0</v>
      </c>
      <c r="M41" s="741">
        <v>440</v>
      </c>
      <c r="N41" s="67">
        <v>704</v>
      </c>
      <c r="O41" s="67">
        <v>57505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57505</v>
      </c>
      <c r="V41" s="71">
        <v>130.69318181818181</v>
      </c>
      <c r="W41" s="449">
        <v>57505</v>
      </c>
      <c r="X41" s="67">
        <v>51528</v>
      </c>
      <c r="Y41" s="163">
        <v>5977</v>
      </c>
      <c r="Z41" s="166">
        <v>0.11599518708275112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594</v>
      </c>
      <c r="B42" s="784" t="s">
        <v>274</v>
      </c>
      <c r="C42" s="784" t="s">
        <v>1491</v>
      </c>
      <c r="D42" s="134">
        <v>149.67000000000002</v>
      </c>
      <c r="E42" s="67">
        <v>19321</v>
      </c>
      <c r="F42" s="146">
        <v>0</v>
      </c>
      <c r="G42" s="146">
        <v>0</v>
      </c>
      <c r="H42" s="91">
        <v>19321</v>
      </c>
      <c r="I42" s="67">
        <v>0</v>
      </c>
      <c r="J42" s="739">
        <v>19321</v>
      </c>
      <c r="K42" s="837" t="s">
        <v>621</v>
      </c>
      <c r="L42" s="740">
        <v>0</v>
      </c>
      <c r="M42" s="741">
        <v>149.67000000000002</v>
      </c>
      <c r="N42" s="67">
        <v>239</v>
      </c>
      <c r="O42" s="67">
        <v>19560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19560</v>
      </c>
      <c r="V42" s="71">
        <v>130.68751252756061</v>
      </c>
      <c r="W42" s="449">
        <v>19560</v>
      </c>
      <c r="X42" s="67">
        <v>17948</v>
      </c>
      <c r="Y42" s="163">
        <v>1612</v>
      </c>
      <c r="Z42" s="166">
        <v>8.9815021172275467E-2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603</v>
      </c>
      <c r="B43" s="784" t="s">
        <v>438</v>
      </c>
      <c r="C43" s="784" t="s">
        <v>1570</v>
      </c>
      <c r="D43" s="134">
        <v>225.33999999999997</v>
      </c>
      <c r="E43" s="67">
        <v>29090</v>
      </c>
      <c r="F43" s="146">
        <v>0</v>
      </c>
      <c r="G43" s="146">
        <v>0</v>
      </c>
      <c r="H43" s="91">
        <v>29090</v>
      </c>
      <c r="I43" s="67">
        <v>0</v>
      </c>
      <c r="J43" s="739">
        <v>29090</v>
      </c>
      <c r="K43" s="837" t="s">
        <v>621</v>
      </c>
      <c r="L43" s="740">
        <v>0</v>
      </c>
      <c r="M43" s="741">
        <v>225.33999999999997</v>
      </c>
      <c r="N43" s="67">
        <v>360</v>
      </c>
      <c r="O43" s="67">
        <v>29450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29450</v>
      </c>
      <c r="V43" s="71">
        <v>130.6913996627319</v>
      </c>
      <c r="W43" s="449">
        <v>29450</v>
      </c>
      <c r="X43" s="67">
        <v>16404</v>
      </c>
      <c r="Y43" s="163">
        <v>13046</v>
      </c>
      <c r="Z43" s="166">
        <v>0.79529383077298221</v>
      </c>
      <c r="AA43" s="34" t="s">
        <v>621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603</v>
      </c>
      <c r="B44" s="784" t="s">
        <v>450</v>
      </c>
      <c r="C44" s="784" t="s">
        <v>1577</v>
      </c>
      <c r="D44" s="134">
        <v>0</v>
      </c>
      <c r="E44" s="67">
        <v>0</v>
      </c>
      <c r="F44" s="146">
        <v>0</v>
      </c>
      <c r="G44" s="146">
        <v>0</v>
      </c>
      <c r="H44" s="91">
        <v>0</v>
      </c>
      <c r="I44" s="67">
        <v>0</v>
      </c>
      <c r="J44" s="739">
        <v>0</v>
      </c>
      <c r="K44" s="837" t="s">
        <v>644</v>
      </c>
      <c r="L44" s="740">
        <v>0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600</v>
      </c>
      <c r="B45" s="784" t="s">
        <v>169</v>
      </c>
      <c r="C45" s="784" t="s">
        <v>1446</v>
      </c>
      <c r="D45" s="134">
        <v>8.5</v>
      </c>
      <c r="E45" s="67">
        <v>1097</v>
      </c>
      <c r="F45" s="146">
        <v>0</v>
      </c>
      <c r="G45" s="146">
        <v>0</v>
      </c>
      <c r="H45" s="91">
        <v>1097</v>
      </c>
      <c r="I45" s="67">
        <v>0</v>
      </c>
      <c r="J45" s="739">
        <v>1097</v>
      </c>
      <c r="K45" s="837" t="s">
        <v>644</v>
      </c>
      <c r="L45" s="740">
        <v>1097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596</v>
      </c>
      <c r="B46" s="784" t="s">
        <v>10</v>
      </c>
      <c r="C46" s="784" t="s">
        <v>1373</v>
      </c>
      <c r="D46" s="134">
        <v>19</v>
      </c>
      <c r="E46" s="67">
        <v>2453</v>
      </c>
      <c r="F46" s="146">
        <v>0</v>
      </c>
      <c r="G46" s="146">
        <v>0</v>
      </c>
      <c r="H46" s="91">
        <v>2453</v>
      </c>
      <c r="I46" s="67">
        <v>0</v>
      </c>
      <c r="J46" s="739">
        <v>2453</v>
      </c>
      <c r="K46" s="837" t="s">
        <v>644</v>
      </c>
      <c r="L46" s="740">
        <v>2453</v>
      </c>
      <c r="M46" s="741">
        <v>0</v>
      </c>
      <c r="N46" s="67">
        <v>0</v>
      </c>
      <c r="O46" s="67">
        <v>0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0</v>
      </c>
      <c r="V46" s="71">
        <v>0</v>
      </c>
      <c r="W46" s="449">
        <v>0</v>
      </c>
      <c r="X46" s="67">
        <v>0</v>
      </c>
      <c r="Y46" s="163">
        <v>0</v>
      </c>
      <c r="Z46" s="166">
        <v>0</v>
      </c>
      <c r="AA46" s="34" t="s">
        <v>644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605</v>
      </c>
      <c r="B47" s="784" t="s">
        <v>230</v>
      </c>
      <c r="C47" s="784" t="s">
        <v>1471</v>
      </c>
      <c r="D47" s="134">
        <v>15.33</v>
      </c>
      <c r="E47" s="67">
        <v>1979</v>
      </c>
      <c r="F47" s="146">
        <v>0</v>
      </c>
      <c r="G47" s="146">
        <v>0</v>
      </c>
      <c r="H47" s="91">
        <v>1979</v>
      </c>
      <c r="I47" s="67">
        <v>0</v>
      </c>
      <c r="J47" s="739">
        <v>1979</v>
      </c>
      <c r="K47" s="837" t="s">
        <v>1306</v>
      </c>
      <c r="L47" s="740">
        <v>0</v>
      </c>
      <c r="M47" s="741">
        <v>15.33</v>
      </c>
      <c r="N47" s="67">
        <v>25</v>
      </c>
      <c r="O47" s="67">
        <v>2004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2004</v>
      </c>
      <c r="V47" s="71">
        <v>130.72407045009786</v>
      </c>
      <c r="W47" s="449">
        <v>0</v>
      </c>
      <c r="X47" s="67">
        <v>2920</v>
      </c>
      <c r="Y47" s="163">
        <v>-916</v>
      </c>
      <c r="Z47" s="166">
        <v>-0.31369863013698629</v>
      </c>
      <c r="AA47" s="34" t="s">
        <v>1306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597</v>
      </c>
      <c r="B48" s="784" t="s">
        <v>357</v>
      </c>
      <c r="C48" s="784" t="s">
        <v>1530</v>
      </c>
      <c r="D48" s="134">
        <v>1620.8400000000001</v>
      </c>
      <c r="E48" s="67">
        <v>209240</v>
      </c>
      <c r="F48" s="146">
        <v>0</v>
      </c>
      <c r="G48" s="146">
        <v>0</v>
      </c>
      <c r="H48" s="91">
        <v>209240</v>
      </c>
      <c r="I48" s="67">
        <v>0</v>
      </c>
      <c r="J48" s="739">
        <v>209240</v>
      </c>
      <c r="K48" s="837" t="s">
        <v>621</v>
      </c>
      <c r="L48" s="740">
        <v>0</v>
      </c>
      <c r="M48" s="741">
        <v>1620.8400000000001</v>
      </c>
      <c r="N48" s="67">
        <v>2592</v>
      </c>
      <c r="O48" s="67">
        <v>211832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211832</v>
      </c>
      <c r="V48" s="71">
        <v>130.69272722785715</v>
      </c>
      <c r="W48" s="449">
        <v>211832</v>
      </c>
      <c r="X48" s="67">
        <v>197494</v>
      </c>
      <c r="Y48" s="163">
        <v>14338</v>
      </c>
      <c r="Z48" s="166">
        <v>7.2599673914144222E-2</v>
      </c>
      <c r="AA48" s="34" t="s">
        <v>621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603</v>
      </c>
      <c r="B49" s="784" t="s">
        <v>525</v>
      </c>
      <c r="C49" s="784" t="s">
        <v>1611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837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596</v>
      </c>
      <c r="B50" s="784" t="s">
        <v>494</v>
      </c>
      <c r="C50" s="784" t="s">
        <v>1597</v>
      </c>
      <c r="D50" s="134">
        <v>285.5</v>
      </c>
      <c r="E50" s="67">
        <v>36856</v>
      </c>
      <c r="F50" s="146">
        <v>0</v>
      </c>
      <c r="G50" s="146">
        <v>0</v>
      </c>
      <c r="H50" s="91">
        <v>36856</v>
      </c>
      <c r="I50" s="67">
        <v>0</v>
      </c>
      <c r="J50" s="739">
        <v>36856</v>
      </c>
      <c r="K50" s="837" t="s">
        <v>621</v>
      </c>
      <c r="L50" s="740">
        <v>0</v>
      </c>
      <c r="M50" s="741">
        <v>285.5</v>
      </c>
      <c r="N50" s="67">
        <v>457</v>
      </c>
      <c r="O50" s="67">
        <v>37313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37313</v>
      </c>
      <c r="V50" s="71">
        <v>130.69352014010508</v>
      </c>
      <c r="W50" s="449">
        <v>37313</v>
      </c>
      <c r="X50" s="67">
        <v>34691</v>
      </c>
      <c r="Y50" s="163">
        <v>2622</v>
      </c>
      <c r="Z50" s="166">
        <v>7.558156294139691E-2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603</v>
      </c>
      <c r="B51" s="784" t="s">
        <v>533</v>
      </c>
      <c r="C51" s="784" t="s">
        <v>1615</v>
      </c>
      <c r="D51" s="134">
        <v>0</v>
      </c>
      <c r="E51" s="67">
        <v>0</v>
      </c>
      <c r="F51" s="146">
        <v>0</v>
      </c>
      <c r="G51" s="146">
        <v>0</v>
      </c>
      <c r="H51" s="91">
        <v>0</v>
      </c>
      <c r="I51" s="67">
        <v>0</v>
      </c>
      <c r="J51" s="739">
        <v>0</v>
      </c>
      <c r="K51" s="837" t="s">
        <v>644</v>
      </c>
      <c r="L51" s="740">
        <v>0</v>
      </c>
      <c r="M51" s="741">
        <v>0</v>
      </c>
      <c r="N51" s="67">
        <v>0</v>
      </c>
      <c r="O51" s="67">
        <v>0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0</v>
      </c>
      <c r="V51" s="71">
        <v>0</v>
      </c>
      <c r="W51" s="449">
        <v>0</v>
      </c>
      <c r="X51" s="67">
        <v>0</v>
      </c>
      <c r="Y51" s="163">
        <v>0</v>
      </c>
      <c r="Z51" s="166">
        <v>0</v>
      </c>
      <c r="AA51" s="34" t="s">
        <v>644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603</v>
      </c>
      <c r="B52" s="784" t="s">
        <v>464</v>
      </c>
      <c r="C52" s="784" t="s">
        <v>1584</v>
      </c>
      <c r="D52" s="134">
        <v>0</v>
      </c>
      <c r="E52" s="67">
        <v>0</v>
      </c>
      <c r="F52" s="146">
        <v>0</v>
      </c>
      <c r="G52" s="146">
        <v>0</v>
      </c>
      <c r="H52" s="91">
        <v>0</v>
      </c>
      <c r="I52" s="67">
        <v>0</v>
      </c>
      <c r="J52" s="739">
        <v>0</v>
      </c>
      <c r="K52" s="837" t="s">
        <v>644</v>
      </c>
      <c r="L52" s="740">
        <v>0</v>
      </c>
      <c r="M52" s="741">
        <v>0</v>
      </c>
      <c r="N52" s="67">
        <v>0</v>
      </c>
      <c r="O52" s="67">
        <v>0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0</v>
      </c>
      <c r="V52" s="71">
        <v>0</v>
      </c>
      <c r="W52" s="449">
        <v>0</v>
      </c>
      <c r="X52" s="67">
        <v>0</v>
      </c>
      <c r="Y52" s="163">
        <v>0</v>
      </c>
      <c r="Z52" s="166">
        <v>0</v>
      </c>
      <c r="AA52" s="34" t="s">
        <v>644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596</v>
      </c>
      <c r="B53" s="784" t="s">
        <v>498</v>
      </c>
      <c r="C53" s="784" t="s">
        <v>1599</v>
      </c>
      <c r="D53" s="134">
        <v>130.82999999999998</v>
      </c>
      <c r="E53" s="67">
        <v>16889</v>
      </c>
      <c r="F53" s="146">
        <v>0</v>
      </c>
      <c r="G53" s="146">
        <v>0</v>
      </c>
      <c r="H53" s="91">
        <v>16889</v>
      </c>
      <c r="I53" s="67">
        <v>0</v>
      </c>
      <c r="J53" s="739">
        <v>16889</v>
      </c>
      <c r="K53" s="837" t="s">
        <v>621</v>
      </c>
      <c r="L53" s="740">
        <v>0</v>
      </c>
      <c r="M53" s="741">
        <v>130.82999999999998</v>
      </c>
      <c r="N53" s="67">
        <v>209</v>
      </c>
      <c r="O53" s="67">
        <v>17098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17098</v>
      </c>
      <c r="V53" s="71">
        <v>130.6886799663686</v>
      </c>
      <c r="W53" s="449">
        <v>17098</v>
      </c>
      <c r="X53" s="67">
        <v>14845</v>
      </c>
      <c r="Y53" s="163">
        <v>2253</v>
      </c>
      <c r="Z53" s="166">
        <v>0.15176827214550354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603</v>
      </c>
      <c r="B54" s="784" t="s">
        <v>456</v>
      </c>
      <c r="C54" s="784" t="s">
        <v>1580</v>
      </c>
      <c r="D54" s="134">
        <v>19.329999999999998</v>
      </c>
      <c r="E54" s="67">
        <v>2495</v>
      </c>
      <c r="F54" s="146">
        <v>0</v>
      </c>
      <c r="G54" s="146">
        <v>0</v>
      </c>
      <c r="H54" s="91">
        <v>2495</v>
      </c>
      <c r="I54" s="67">
        <v>0</v>
      </c>
      <c r="J54" s="739">
        <v>2495</v>
      </c>
      <c r="K54" s="837" t="s">
        <v>644</v>
      </c>
      <c r="L54" s="740">
        <v>2495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595</v>
      </c>
      <c r="B55" s="784" t="s">
        <v>376</v>
      </c>
      <c r="C55" s="784" t="s">
        <v>1540</v>
      </c>
      <c r="D55" s="134">
        <v>0</v>
      </c>
      <c r="E55" s="67">
        <v>0</v>
      </c>
      <c r="F55" s="146">
        <v>0</v>
      </c>
      <c r="G55" s="146">
        <v>0</v>
      </c>
      <c r="H55" s="91">
        <v>0</v>
      </c>
      <c r="I55" s="67">
        <v>0</v>
      </c>
      <c r="J55" s="739">
        <v>0</v>
      </c>
      <c r="K55" s="837" t="s">
        <v>644</v>
      </c>
      <c r="L55" s="740">
        <v>0</v>
      </c>
      <c r="M55" s="741">
        <v>0</v>
      </c>
      <c r="N55" s="67">
        <v>0</v>
      </c>
      <c r="O55" s="67">
        <v>0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0</v>
      </c>
      <c r="V55" s="71">
        <v>0</v>
      </c>
      <c r="W55" s="449">
        <v>0</v>
      </c>
      <c r="X55" s="67">
        <v>0</v>
      </c>
      <c r="Y55" s="163">
        <v>0</v>
      </c>
      <c r="Z55" s="166">
        <v>0</v>
      </c>
      <c r="AA55" s="34" t="s">
        <v>644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595</v>
      </c>
      <c r="B56" s="784" t="s">
        <v>384</v>
      </c>
      <c r="C56" s="784" t="s">
        <v>1543</v>
      </c>
      <c r="D56" s="134">
        <v>29.5</v>
      </c>
      <c r="E56" s="67">
        <v>3808</v>
      </c>
      <c r="F56" s="146">
        <v>0</v>
      </c>
      <c r="G56" s="146">
        <v>0</v>
      </c>
      <c r="H56" s="91">
        <v>3808</v>
      </c>
      <c r="I56" s="67">
        <v>0</v>
      </c>
      <c r="J56" s="739">
        <v>3808</v>
      </c>
      <c r="K56" s="837" t="s">
        <v>1306</v>
      </c>
      <c r="L56" s="740">
        <v>0</v>
      </c>
      <c r="M56" s="741">
        <v>29.5</v>
      </c>
      <c r="N56" s="67">
        <v>47</v>
      </c>
      <c r="O56" s="67">
        <v>3855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3855</v>
      </c>
      <c r="V56" s="71">
        <v>130.67796610169492</v>
      </c>
      <c r="W56" s="449">
        <v>0</v>
      </c>
      <c r="X56" s="67">
        <v>0</v>
      </c>
      <c r="Y56" s="163">
        <v>3855</v>
      </c>
      <c r="Z56" s="166">
        <v>0</v>
      </c>
      <c r="AA56" s="34" t="s">
        <v>1306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594</v>
      </c>
      <c r="B57" s="784" t="s">
        <v>147</v>
      </c>
      <c r="C57" s="784" t="s">
        <v>1435</v>
      </c>
      <c r="D57" s="134">
        <v>2.67</v>
      </c>
      <c r="E57" s="67">
        <v>345</v>
      </c>
      <c r="F57" s="146">
        <v>0</v>
      </c>
      <c r="G57" s="146">
        <v>0</v>
      </c>
      <c r="H57" s="91">
        <v>345</v>
      </c>
      <c r="I57" s="67">
        <v>0</v>
      </c>
      <c r="J57" s="739">
        <v>345</v>
      </c>
      <c r="K57" s="837" t="s">
        <v>644</v>
      </c>
      <c r="L57" s="740">
        <v>345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601</v>
      </c>
      <c r="B58" s="784" t="s">
        <v>120</v>
      </c>
      <c r="C58" s="784" t="s">
        <v>1423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837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595</v>
      </c>
      <c r="B59" s="784" t="s">
        <v>159</v>
      </c>
      <c r="C59" s="784" t="s">
        <v>1441</v>
      </c>
      <c r="D59" s="134">
        <v>33.67</v>
      </c>
      <c r="E59" s="67">
        <v>4347</v>
      </c>
      <c r="F59" s="146">
        <v>0</v>
      </c>
      <c r="G59" s="146">
        <v>0</v>
      </c>
      <c r="H59" s="91">
        <v>4347</v>
      </c>
      <c r="I59" s="67">
        <v>0</v>
      </c>
      <c r="J59" s="739">
        <v>4347</v>
      </c>
      <c r="K59" s="837" t="s">
        <v>1306</v>
      </c>
      <c r="L59" s="740">
        <v>0</v>
      </c>
      <c r="M59" s="741">
        <v>33.67</v>
      </c>
      <c r="N59" s="67">
        <v>54</v>
      </c>
      <c r="O59" s="67">
        <v>4401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4401</v>
      </c>
      <c r="V59" s="71">
        <v>130.7098307098307</v>
      </c>
      <c r="W59" s="449">
        <v>0</v>
      </c>
      <c r="X59" s="67">
        <v>0</v>
      </c>
      <c r="Y59" s="163">
        <v>4401</v>
      </c>
      <c r="Z59" s="166">
        <v>0</v>
      </c>
      <c r="AA59" s="34" t="s">
        <v>1306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600</v>
      </c>
      <c r="B60" s="784" t="s">
        <v>41</v>
      </c>
      <c r="C60" s="784" t="s">
        <v>1386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837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285</v>
      </c>
      <c r="C61" s="784" t="s">
        <v>1496</v>
      </c>
      <c r="D61" s="134">
        <v>0</v>
      </c>
      <c r="E61" s="67">
        <v>0</v>
      </c>
      <c r="F61" s="146">
        <v>0</v>
      </c>
      <c r="G61" s="146">
        <v>0</v>
      </c>
      <c r="H61" s="91">
        <v>0</v>
      </c>
      <c r="I61" s="67">
        <v>0</v>
      </c>
      <c r="J61" s="739">
        <v>0</v>
      </c>
      <c r="K61" s="837" t="s">
        <v>644</v>
      </c>
      <c r="L61" s="740">
        <v>0</v>
      </c>
      <c r="M61" s="741">
        <v>0</v>
      </c>
      <c r="N61" s="67">
        <v>0</v>
      </c>
      <c r="O61" s="67">
        <v>0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0</v>
      </c>
      <c r="V61" s="71">
        <v>0</v>
      </c>
      <c r="W61" s="449">
        <v>0</v>
      </c>
      <c r="X61" s="67">
        <v>0</v>
      </c>
      <c r="Y61" s="163">
        <v>0</v>
      </c>
      <c r="Z61" s="166">
        <v>0</v>
      </c>
      <c r="AA61" s="34" t="s">
        <v>644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96</v>
      </c>
      <c r="C62" s="784" t="s">
        <v>1412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837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603</v>
      </c>
      <c r="B63" s="784" t="s">
        <v>338</v>
      </c>
      <c r="C63" s="784" t="s">
        <v>1520</v>
      </c>
      <c r="D63" s="134">
        <v>0</v>
      </c>
      <c r="E63" s="67">
        <v>0</v>
      </c>
      <c r="F63" s="146">
        <v>0</v>
      </c>
      <c r="G63" s="146">
        <v>0</v>
      </c>
      <c r="H63" s="91">
        <v>0</v>
      </c>
      <c r="I63" s="67">
        <v>0</v>
      </c>
      <c r="J63" s="739">
        <v>0</v>
      </c>
      <c r="K63" s="837" t="s">
        <v>644</v>
      </c>
      <c r="L63" s="740">
        <v>0</v>
      </c>
      <c r="M63" s="741">
        <v>0</v>
      </c>
      <c r="N63" s="67">
        <v>0</v>
      </c>
      <c r="O63" s="67">
        <v>0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0</v>
      </c>
      <c r="V63" s="71">
        <v>0</v>
      </c>
      <c r="W63" s="449">
        <v>0</v>
      </c>
      <c r="X63" s="67">
        <v>0</v>
      </c>
      <c r="Y63" s="163">
        <v>0</v>
      </c>
      <c r="Z63" s="166">
        <v>0</v>
      </c>
      <c r="AA63" s="34" t="s">
        <v>644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605</v>
      </c>
      <c r="B64" s="784" t="s">
        <v>220</v>
      </c>
      <c r="C64" s="784" t="s">
        <v>1466</v>
      </c>
      <c r="D64" s="134">
        <v>0</v>
      </c>
      <c r="E64" s="67">
        <v>0</v>
      </c>
      <c r="F64" s="146">
        <v>0</v>
      </c>
      <c r="G64" s="146">
        <v>0</v>
      </c>
      <c r="H64" s="91">
        <v>0</v>
      </c>
      <c r="I64" s="67">
        <v>0</v>
      </c>
      <c r="J64" s="739">
        <v>0</v>
      </c>
      <c r="K64" s="837" t="s">
        <v>644</v>
      </c>
      <c r="L64" s="740">
        <v>0</v>
      </c>
      <c r="M64" s="741">
        <v>0</v>
      </c>
      <c r="N64" s="67">
        <v>0</v>
      </c>
      <c r="O64" s="67">
        <v>0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0</v>
      </c>
      <c r="V64" s="71">
        <v>0</v>
      </c>
      <c r="W64" s="449">
        <v>0</v>
      </c>
      <c r="X64" s="67">
        <v>0</v>
      </c>
      <c r="Y64" s="163">
        <v>0</v>
      </c>
      <c r="Z64" s="166">
        <v>0</v>
      </c>
      <c r="AA64" s="34" t="s">
        <v>644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595</v>
      </c>
      <c r="B65" s="784" t="s">
        <v>417</v>
      </c>
      <c r="C65" s="784" t="s">
        <v>1559</v>
      </c>
      <c r="D65" s="134">
        <v>2</v>
      </c>
      <c r="E65" s="67">
        <v>258</v>
      </c>
      <c r="F65" s="146">
        <v>0</v>
      </c>
      <c r="G65" s="146">
        <v>0</v>
      </c>
      <c r="H65" s="91">
        <v>258</v>
      </c>
      <c r="I65" s="67">
        <v>0</v>
      </c>
      <c r="J65" s="739">
        <v>258</v>
      </c>
      <c r="K65" s="837" t="s">
        <v>644</v>
      </c>
      <c r="L65" s="740">
        <v>258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603</v>
      </c>
      <c r="B66" s="784" t="s">
        <v>293</v>
      </c>
      <c r="C66" s="784" t="s">
        <v>1500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837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66</v>
      </c>
      <c r="C67" s="784" t="s">
        <v>758</v>
      </c>
      <c r="D67" s="134">
        <v>2</v>
      </c>
      <c r="E67" s="67">
        <v>258</v>
      </c>
      <c r="F67" s="146">
        <v>0</v>
      </c>
      <c r="G67" s="146">
        <v>0</v>
      </c>
      <c r="H67" s="91">
        <v>258</v>
      </c>
      <c r="I67" s="67">
        <v>0</v>
      </c>
      <c r="J67" s="739">
        <v>258</v>
      </c>
      <c r="K67" s="837" t="s">
        <v>644</v>
      </c>
      <c r="L67" s="740">
        <v>258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603</v>
      </c>
      <c r="B68" s="784" t="s">
        <v>444</v>
      </c>
      <c r="C68" s="784" t="s">
        <v>1574</v>
      </c>
      <c r="D68" s="134">
        <v>19</v>
      </c>
      <c r="E68" s="67">
        <v>2453</v>
      </c>
      <c r="F68" s="146">
        <v>0</v>
      </c>
      <c r="G68" s="146">
        <v>0</v>
      </c>
      <c r="H68" s="91">
        <v>2453</v>
      </c>
      <c r="I68" s="67">
        <v>0</v>
      </c>
      <c r="J68" s="739">
        <v>2453</v>
      </c>
      <c r="K68" s="837" t="s">
        <v>644</v>
      </c>
      <c r="L68" s="740">
        <v>2453</v>
      </c>
      <c r="M68" s="741">
        <v>0</v>
      </c>
      <c r="N68" s="67">
        <v>0</v>
      </c>
      <c r="O68" s="67">
        <v>0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0</v>
      </c>
      <c r="V68" s="71">
        <v>0</v>
      </c>
      <c r="W68" s="449">
        <v>0</v>
      </c>
      <c r="X68" s="67">
        <v>0</v>
      </c>
      <c r="Y68" s="163">
        <v>0</v>
      </c>
      <c r="Z68" s="166">
        <v>0</v>
      </c>
      <c r="AA68" s="34" t="s">
        <v>644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597</v>
      </c>
      <c r="B69" s="784" t="s">
        <v>353</v>
      </c>
      <c r="C69" s="784" t="s">
        <v>1528</v>
      </c>
      <c r="D69" s="134">
        <v>73.33</v>
      </c>
      <c r="E69" s="67">
        <v>9466</v>
      </c>
      <c r="F69" s="146">
        <v>0</v>
      </c>
      <c r="G69" s="146">
        <v>0</v>
      </c>
      <c r="H69" s="91">
        <v>9466</v>
      </c>
      <c r="I69" s="67">
        <v>0</v>
      </c>
      <c r="J69" s="739">
        <v>9466</v>
      </c>
      <c r="K69" s="837" t="s">
        <v>1306</v>
      </c>
      <c r="L69" s="740">
        <v>0</v>
      </c>
      <c r="M69" s="741">
        <v>73.33</v>
      </c>
      <c r="N69" s="67">
        <v>117</v>
      </c>
      <c r="O69" s="67">
        <v>9583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9583</v>
      </c>
      <c r="V69" s="71">
        <v>130.68321287331241</v>
      </c>
      <c r="W69" s="449">
        <v>0</v>
      </c>
      <c r="X69" s="67">
        <v>6071</v>
      </c>
      <c r="Y69" s="163">
        <v>3512</v>
      </c>
      <c r="Z69" s="166">
        <v>0.57848789326305383</v>
      </c>
      <c r="AA69" s="34" t="s">
        <v>1306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596</v>
      </c>
      <c r="B70" s="784" t="s">
        <v>490</v>
      </c>
      <c r="C70" s="784" t="s">
        <v>1596</v>
      </c>
      <c r="D70" s="134">
        <v>0</v>
      </c>
      <c r="E70" s="67">
        <v>0</v>
      </c>
      <c r="F70" s="146">
        <v>0</v>
      </c>
      <c r="G70" s="146">
        <v>0</v>
      </c>
      <c r="H70" s="91">
        <v>0</v>
      </c>
      <c r="I70" s="67">
        <v>0</v>
      </c>
      <c r="J70" s="739">
        <v>0</v>
      </c>
      <c r="K70" s="837" t="s">
        <v>644</v>
      </c>
      <c r="L70" s="740">
        <v>0</v>
      </c>
      <c r="M70" s="741">
        <v>0</v>
      </c>
      <c r="N70" s="67">
        <v>0</v>
      </c>
      <c r="O70" s="67">
        <v>0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0</v>
      </c>
      <c r="V70" s="71">
        <v>0</v>
      </c>
      <c r="W70" s="449">
        <v>0</v>
      </c>
      <c r="X70" s="67">
        <v>0</v>
      </c>
      <c r="Y70" s="163">
        <v>0</v>
      </c>
      <c r="Z70" s="166">
        <v>0</v>
      </c>
      <c r="AA70" s="34" t="s">
        <v>644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603</v>
      </c>
      <c r="B71" s="784" t="s">
        <v>440</v>
      </c>
      <c r="C71" s="784" t="s">
        <v>1571</v>
      </c>
      <c r="D71" s="134">
        <v>119.49333333333333</v>
      </c>
      <c r="E71" s="67">
        <v>15426</v>
      </c>
      <c r="F71" s="146">
        <v>0</v>
      </c>
      <c r="G71" s="146">
        <v>0</v>
      </c>
      <c r="H71" s="91">
        <v>15426</v>
      </c>
      <c r="I71" s="67">
        <v>0</v>
      </c>
      <c r="J71" s="739">
        <v>15426</v>
      </c>
      <c r="K71" s="837" t="s">
        <v>621</v>
      </c>
      <c r="L71" s="740">
        <v>0</v>
      </c>
      <c r="M71" s="741">
        <v>119.49333333333333</v>
      </c>
      <c r="N71" s="67">
        <v>191</v>
      </c>
      <c r="O71" s="67">
        <v>15617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15617</v>
      </c>
      <c r="V71" s="71">
        <v>130.6934835974113</v>
      </c>
      <c r="W71" s="449">
        <v>15617</v>
      </c>
      <c r="X71" s="67">
        <v>14845</v>
      </c>
      <c r="Y71" s="163">
        <v>772</v>
      </c>
      <c r="Z71" s="166">
        <v>5.2004041764904009E-2</v>
      </c>
      <c r="AA71" s="34" t="s">
        <v>621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605</v>
      </c>
      <c r="B72" s="784" t="s">
        <v>549</v>
      </c>
      <c r="C72" s="784" t="s">
        <v>1623</v>
      </c>
      <c r="D72" s="134">
        <v>338.83666666666664</v>
      </c>
      <c r="E72" s="67">
        <v>43742</v>
      </c>
      <c r="F72" s="146">
        <v>0</v>
      </c>
      <c r="G72" s="146">
        <v>0</v>
      </c>
      <c r="H72" s="91">
        <v>43742</v>
      </c>
      <c r="I72" s="67">
        <v>0</v>
      </c>
      <c r="J72" s="739">
        <v>43742</v>
      </c>
      <c r="K72" s="837" t="s">
        <v>621</v>
      </c>
      <c r="L72" s="740">
        <v>0</v>
      </c>
      <c r="M72" s="741">
        <v>338.83666666666664</v>
      </c>
      <c r="N72" s="67">
        <v>542</v>
      </c>
      <c r="O72" s="67">
        <v>44284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44284</v>
      </c>
      <c r="V72" s="71">
        <v>130.69423812849851</v>
      </c>
      <c r="W72" s="449">
        <v>44284</v>
      </c>
      <c r="X72" s="67">
        <v>46770</v>
      </c>
      <c r="Y72" s="163">
        <v>-2486</v>
      </c>
      <c r="Z72" s="166">
        <v>-5.3153731024160787E-2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601</v>
      </c>
      <c r="B73" s="784" t="s">
        <v>88</v>
      </c>
      <c r="C73" s="784" t="s">
        <v>1408</v>
      </c>
      <c r="D73" s="134">
        <v>1050.33</v>
      </c>
      <c r="E73" s="67">
        <v>135591</v>
      </c>
      <c r="F73" s="146">
        <v>0</v>
      </c>
      <c r="G73" s="146">
        <v>0</v>
      </c>
      <c r="H73" s="91">
        <v>135591</v>
      </c>
      <c r="I73" s="67">
        <v>0</v>
      </c>
      <c r="J73" s="739">
        <v>135591</v>
      </c>
      <c r="K73" s="837" t="s">
        <v>621</v>
      </c>
      <c r="L73" s="740">
        <v>0</v>
      </c>
      <c r="M73" s="741">
        <v>1050.33</v>
      </c>
      <c r="N73" s="67">
        <v>1680</v>
      </c>
      <c r="O73" s="67">
        <v>137271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137271</v>
      </c>
      <c r="V73" s="71">
        <v>130.69321070520695</v>
      </c>
      <c r="W73" s="449">
        <v>137271</v>
      </c>
      <c r="X73" s="67">
        <v>139463</v>
      </c>
      <c r="Y73" s="163">
        <v>-2192</v>
      </c>
      <c r="Z73" s="166">
        <v>-1.5717430429576303E-2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605</v>
      </c>
      <c r="B74" s="784" t="s">
        <v>222</v>
      </c>
      <c r="C74" s="784" t="s">
        <v>1467</v>
      </c>
      <c r="D74" s="134">
        <v>10</v>
      </c>
      <c r="E74" s="67">
        <v>1291</v>
      </c>
      <c r="F74" s="146">
        <v>0</v>
      </c>
      <c r="G74" s="146">
        <v>0</v>
      </c>
      <c r="H74" s="91">
        <v>1291</v>
      </c>
      <c r="I74" s="67">
        <v>0</v>
      </c>
      <c r="J74" s="739">
        <v>1291</v>
      </c>
      <c r="K74" s="837" t="s">
        <v>1306</v>
      </c>
      <c r="L74" s="740">
        <v>0</v>
      </c>
      <c r="M74" s="741">
        <v>10</v>
      </c>
      <c r="N74" s="67">
        <v>16</v>
      </c>
      <c r="O74" s="67">
        <v>1307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1307</v>
      </c>
      <c r="V74" s="71">
        <v>130.69999999999999</v>
      </c>
      <c r="W74" s="449">
        <v>0</v>
      </c>
      <c r="X74" s="67">
        <v>1452</v>
      </c>
      <c r="Y74" s="163">
        <v>-145</v>
      </c>
      <c r="Z74" s="166">
        <v>-9.986225895316804E-2</v>
      </c>
      <c r="AA74" s="34" t="s">
        <v>1306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597</v>
      </c>
      <c r="B75" s="784" t="s">
        <v>365</v>
      </c>
      <c r="C75" s="784" t="s">
        <v>1532</v>
      </c>
      <c r="D75" s="134">
        <v>14.33</v>
      </c>
      <c r="E75" s="67">
        <v>1850</v>
      </c>
      <c r="F75" s="146">
        <v>0</v>
      </c>
      <c r="G75" s="146">
        <v>0</v>
      </c>
      <c r="H75" s="91">
        <v>1850</v>
      </c>
      <c r="I75" s="67">
        <v>0</v>
      </c>
      <c r="J75" s="739">
        <v>1850</v>
      </c>
      <c r="K75" s="837" t="s">
        <v>644</v>
      </c>
      <c r="L75" s="740">
        <v>1850</v>
      </c>
      <c r="M75" s="741">
        <v>0</v>
      </c>
      <c r="N75" s="67">
        <v>0</v>
      </c>
      <c r="O75" s="67">
        <v>0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0</v>
      </c>
      <c r="V75" s="71">
        <v>0</v>
      </c>
      <c r="W75" s="449">
        <v>0</v>
      </c>
      <c r="X75" s="67">
        <v>0</v>
      </c>
      <c r="Y75" s="163">
        <v>0</v>
      </c>
      <c r="Z75" s="166">
        <v>0</v>
      </c>
      <c r="AA75" s="34" t="s">
        <v>644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595</v>
      </c>
      <c r="B76" s="784" t="s">
        <v>401</v>
      </c>
      <c r="C76" s="784" t="s">
        <v>1551</v>
      </c>
      <c r="D76" s="134">
        <v>3124.17</v>
      </c>
      <c r="E76" s="67">
        <v>403309</v>
      </c>
      <c r="F76" s="146">
        <v>0</v>
      </c>
      <c r="G76" s="146">
        <v>0</v>
      </c>
      <c r="H76" s="91">
        <v>403309</v>
      </c>
      <c r="I76" s="67">
        <v>0</v>
      </c>
      <c r="J76" s="739">
        <v>403309</v>
      </c>
      <c r="K76" s="837" t="s">
        <v>621</v>
      </c>
      <c r="L76" s="740">
        <v>0</v>
      </c>
      <c r="M76" s="741">
        <v>3124.17</v>
      </c>
      <c r="N76" s="67">
        <v>4996</v>
      </c>
      <c r="O76" s="67">
        <v>408305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408305</v>
      </c>
      <c r="V76" s="71">
        <v>130.69231187803481</v>
      </c>
      <c r="W76" s="449">
        <v>408305</v>
      </c>
      <c r="X76" s="67">
        <v>347351</v>
      </c>
      <c r="Y76" s="163">
        <v>60954</v>
      </c>
      <c r="Z76" s="166">
        <v>0.17548243707373809</v>
      </c>
      <c r="AA76" s="34" t="s">
        <v>621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605</v>
      </c>
      <c r="B77" s="784" t="s">
        <v>226</v>
      </c>
      <c r="C77" s="784" t="s">
        <v>1469</v>
      </c>
      <c r="D77" s="134">
        <v>260.49333333333334</v>
      </c>
      <c r="E77" s="67">
        <v>33628</v>
      </c>
      <c r="F77" s="146">
        <v>0</v>
      </c>
      <c r="G77" s="146">
        <v>0</v>
      </c>
      <c r="H77" s="91">
        <v>33628</v>
      </c>
      <c r="I77" s="67">
        <v>0</v>
      </c>
      <c r="J77" s="739">
        <v>33628</v>
      </c>
      <c r="K77" s="837" t="s">
        <v>621</v>
      </c>
      <c r="L77" s="740">
        <v>0</v>
      </c>
      <c r="M77" s="741">
        <v>260.49333333333334</v>
      </c>
      <c r="N77" s="67">
        <v>417</v>
      </c>
      <c r="O77" s="67">
        <v>34045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34045</v>
      </c>
      <c r="V77" s="71">
        <v>130.69432359113478</v>
      </c>
      <c r="W77" s="449">
        <v>34045</v>
      </c>
      <c r="X77" s="67">
        <v>29982</v>
      </c>
      <c r="Y77" s="163">
        <v>4063</v>
      </c>
      <c r="Z77" s="166">
        <v>0.13551464211860451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141</v>
      </c>
      <c r="C78" s="784" t="s">
        <v>1433</v>
      </c>
      <c r="D78" s="134">
        <v>128.17000000000002</v>
      </c>
      <c r="E78" s="67">
        <v>16546</v>
      </c>
      <c r="F78" s="146">
        <v>0</v>
      </c>
      <c r="G78" s="146">
        <v>0</v>
      </c>
      <c r="H78" s="91">
        <v>16546</v>
      </c>
      <c r="I78" s="67">
        <v>0</v>
      </c>
      <c r="J78" s="739">
        <v>16546</v>
      </c>
      <c r="K78" s="837" t="s">
        <v>621</v>
      </c>
      <c r="L78" s="740">
        <v>0</v>
      </c>
      <c r="M78" s="741">
        <v>128.17000000000002</v>
      </c>
      <c r="N78" s="67">
        <v>205</v>
      </c>
      <c r="O78" s="67">
        <v>16751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16751</v>
      </c>
      <c r="V78" s="71">
        <v>130.69361004915345</v>
      </c>
      <c r="W78" s="449">
        <v>16751</v>
      </c>
      <c r="X78" s="67">
        <v>13423</v>
      </c>
      <c r="Y78" s="163">
        <v>3328</v>
      </c>
      <c r="Z78" s="166">
        <v>0.24793265290918573</v>
      </c>
      <c r="AA78" s="34" t="s">
        <v>621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603</v>
      </c>
      <c r="B79" s="784" t="s">
        <v>535</v>
      </c>
      <c r="C79" s="784" t="s">
        <v>1616</v>
      </c>
      <c r="D79" s="134">
        <v>0</v>
      </c>
      <c r="E79" s="67">
        <v>0</v>
      </c>
      <c r="F79" s="146">
        <v>0</v>
      </c>
      <c r="G79" s="146">
        <v>0</v>
      </c>
      <c r="H79" s="91">
        <v>0</v>
      </c>
      <c r="I79" s="67">
        <v>0</v>
      </c>
      <c r="J79" s="739">
        <v>0</v>
      </c>
      <c r="K79" s="837" t="s">
        <v>644</v>
      </c>
      <c r="L79" s="740">
        <v>0</v>
      </c>
      <c r="M79" s="741">
        <v>0</v>
      </c>
      <c r="N79" s="67">
        <v>0</v>
      </c>
      <c r="O79" s="67">
        <v>0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0</v>
      </c>
      <c r="V79" s="71">
        <v>0</v>
      </c>
      <c r="W79" s="449">
        <v>0</v>
      </c>
      <c r="X79" s="67">
        <v>0</v>
      </c>
      <c r="Y79" s="163">
        <v>0</v>
      </c>
      <c r="Z79" s="166">
        <v>0</v>
      </c>
      <c r="AA79" s="34" t="s">
        <v>644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601</v>
      </c>
      <c r="B80" s="784" t="s">
        <v>29</v>
      </c>
      <c r="C80" s="784" t="s">
        <v>1382</v>
      </c>
      <c r="D80" s="134">
        <v>43</v>
      </c>
      <c r="E80" s="67">
        <v>5551</v>
      </c>
      <c r="F80" s="146">
        <v>0</v>
      </c>
      <c r="G80" s="146">
        <v>0</v>
      </c>
      <c r="H80" s="91">
        <v>5551</v>
      </c>
      <c r="I80" s="67">
        <v>0</v>
      </c>
      <c r="J80" s="739">
        <v>5551</v>
      </c>
      <c r="K80" s="837" t="s">
        <v>644</v>
      </c>
      <c r="L80" s="740">
        <v>5551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597</v>
      </c>
      <c r="B81" s="784" t="s">
        <v>177</v>
      </c>
      <c r="C81" s="784" t="s">
        <v>1450</v>
      </c>
      <c r="D81" s="134">
        <v>268.66000000000003</v>
      </c>
      <c r="E81" s="67">
        <v>34682</v>
      </c>
      <c r="F81" s="146">
        <v>0</v>
      </c>
      <c r="G81" s="146">
        <v>0</v>
      </c>
      <c r="H81" s="91">
        <v>34682</v>
      </c>
      <c r="I81" s="67">
        <v>0</v>
      </c>
      <c r="J81" s="739">
        <v>34682</v>
      </c>
      <c r="K81" s="837" t="s">
        <v>621</v>
      </c>
      <c r="L81" s="740">
        <v>0</v>
      </c>
      <c r="M81" s="741">
        <v>268.66000000000003</v>
      </c>
      <c r="N81" s="67">
        <v>430</v>
      </c>
      <c r="O81" s="67">
        <v>35112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35112</v>
      </c>
      <c r="V81" s="71">
        <v>130.69306930693068</v>
      </c>
      <c r="W81" s="449">
        <v>35112</v>
      </c>
      <c r="X81" s="67">
        <v>29934</v>
      </c>
      <c r="Y81" s="163">
        <v>5178</v>
      </c>
      <c r="Z81" s="166">
        <v>0.17298055722589697</v>
      </c>
      <c r="AA81" s="34" t="s">
        <v>621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601</v>
      </c>
      <c r="B82" s="784" t="s">
        <v>127</v>
      </c>
      <c r="C82" s="784" t="s">
        <v>623</v>
      </c>
      <c r="D82" s="134">
        <v>300.83</v>
      </c>
      <c r="E82" s="67">
        <v>38835</v>
      </c>
      <c r="F82" s="146">
        <v>0</v>
      </c>
      <c r="G82" s="146">
        <v>0</v>
      </c>
      <c r="H82" s="91">
        <v>38835</v>
      </c>
      <c r="I82" s="67">
        <v>0</v>
      </c>
      <c r="J82" s="739">
        <v>38835</v>
      </c>
      <c r="K82" s="837" t="s">
        <v>621</v>
      </c>
      <c r="L82" s="740">
        <v>0</v>
      </c>
      <c r="M82" s="741">
        <v>300.83</v>
      </c>
      <c r="N82" s="67">
        <v>481</v>
      </c>
      <c r="O82" s="67">
        <v>39316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39316</v>
      </c>
      <c r="V82" s="71">
        <v>130.69175281720572</v>
      </c>
      <c r="W82" s="449">
        <v>39316</v>
      </c>
      <c r="X82" s="67">
        <v>36468</v>
      </c>
      <c r="Y82" s="163">
        <v>2848</v>
      </c>
      <c r="Z82" s="166">
        <v>7.8095864867829323E-2</v>
      </c>
      <c r="AA82" s="858" t="s">
        <v>621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1666</v>
      </c>
      <c r="B83" s="857" t="s">
        <v>1728</v>
      </c>
      <c r="C83" s="784" t="s">
        <v>681</v>
      </c>
      <c r="D83" s="134">
        <v>0</v>
      </c>
      <c r="E83" s="67">
        <v>0</v>
      </c>
      <c r="F83" s="146">
        <v>0</v>
      </c>
      <c r="G83" s="146">
        <v>0</v>
      </c>
      <c r="H83" s="91">
        <v>0</v>
      </c>
      <c r="I83" s="67">
        <v>0</v>
      </c>
      <c r="J83" s="739">
        <v>0</v>
      </c>
      <c r="K83" s="837" t="s">
        <v>1306</v>
      </c>
      <c r="L83" s="740">
        <v>0</v>
      </c>
      <c r="M83" s="741">
        <v>0</v>
      </c>
      <c r="N83" s="67">
        <v>0</v>
      </c>
      <c r="O83" s="67">
        <v>0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0</v>
      </c>
      <c r="V83" s="71">
        <v>0</v>
      </c>
      <c r="W83" s="449">
        <v>0</v>
      </c>
      <c r="X83" s="67">
        <v>0</v>
      </c>
      <c r="Y83" s="163">
        <v>0</v>
      </c>
      <c r="Z83" s="166">
        <v>0</v>
      </c>
      <c r="AA83" s="858" t="s">
        <v>1306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1666</v>
      </c>
      <c r="B84" s="784" t="s">
        <v>651</v>
      </c>
      <c r="C84" s="784" t="s">
        <v>652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837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858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1666</v>
      </c>
      <c r="B85" s="784" t="s">
        <v>678</v>
      </c>
      <c r="C85" s="784" t="s">
        <v>679</v>
      </c>
      <c r="D85" s="134">
        <v>0</v>
      </c>
      <c r="E85" s="67">
        <v>0</v>
      </c>
      <c r="F85" s="146">
        <v>0</v>
      </c>
      <c r="G85" s="146">
        <v>0</v>
      </c>
      <c r="H85" s="91">
        <v>0</v>
      </c>
      <c r="I85" s="67">
        <v>0</v>
      </c>
      <c r="J85" s="739">
        <v>0</v>
      </c>
      <c r="K85" s="837" t="s">
        <v>644</v>
      </c>
      <c r="L85" s="740">
        <v>0</v>
      </c>
      <c r="M85" s="741">
        <v>0</v>
      </c>
      <c r="N85" s="67">
        <v>0</v>
      </c>
      <c r="O85" s="67">
        <v>0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0</v>
      </c>
      <c r="V85" s="71">
        <v>0</v>
      </c>
      <c r="W85" s="449">
        <v>0</v>
      </c>
      <c r="X85" s="67">
        <v>0</v>
      </c>
      <c r="Y85" s="163">
        <v>0</v>
      </c>
      <c r="Z85" s="166">
        <v>0</v>
      </c>
      <c r="AA85" s="858" t="s">
        <v>644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256</v>
      </c>
      <c r="C86" s="784" t="s">
        <v>1483</v>
      </c>
      <c r="D86" s="134">
        <v>3.67</v>
      </c>
      <c r="E86" s="67">
        <v>474</v>
      </c>
      <c r="F86" s="146">
        <v>0</v>
      </c>
      <c r="G86" s="146">
        <v>0</v>
      </c>
      <c r="H86" s="91">
        <v>474</v>
      </c>
      <c r="I86" s="67">
        <v>0</v>
      </c>
      <c r="J86" s="739">
        <v>474</v>
      </c>
      <c r="K86" s="837" t="s">
        <v>644</v>
      </c>
      <c r="L86" s="740">
        <v>474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858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595</v>
      </c>
      <c r="B87" s="784" t="s">
        <v>395</v>
      </c>
      <c r="C87" s="784" t="s">
        <v>635</v>
      </c>
      <c r="D87" s="134">
        <v>3171.4966666666664</v>
      </c>
      <c r="E87" s="67">
        <v>409419</v>
      </c>
      <c r="F87" s="146">
        <v>0</v>
      </c>
      <c r="G87" s="146">
        <v>0</v>
      </c>
      <c r="H87" s="91">
        <v>409419</v>
      </c>
      <c r="I87" s="67">
        <v>0</v>
      </c>
      <c r="J87" s="739">
        <v>409419</v>
      </c>
      <c r="K87" s="837" t="s">
        <v>621</v>
      </c>
      <c r="L87" s="740">
        <v>0</v>
      </c>
      <c r="M87" s="741">
        <v>3171.4966666666664</v>
      </c>
      <c r="N87" s="67">
        <v>5072</v>
      </c>
      <c r="O87" s="67">
        <v>414491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414491</v>
      </c>
      <c r="V87" s="71">
        <v>130.69255419891135</v>
      </c>
      <c r="W87" s="449">
        <v>414491</v>
      </c>
      <c r="X87" s="67">
        <v>342501</v>
      </c>
      <c r="Y87" s="163">
        <v>71990</v>
      </c>
      <c r="Z87" s="166">
        <v>0.21018916733089829</v>
      </c>
      <c r="AA87" s="858" t="s">
        <v>621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599</v>
      </c>
      <c r="B88" s="784" t="s">
        <v>58</v>
      </c>
      <c r="C88" s="784" t="s">
        <v>1394</v>
      </c>
      <c r="D88" s="134">
        <v>3596.6666666666665</v>
      </c>
      <c r="E88" s="67">
        <v>464306</v>
      </c>
      <c r="F88" s="146">
        <v>0</v>
      </c>
      <c r="G88" s="146">
        <v>0</v>
      </c>
      <c r="H88" s="91">
        <v>464306</v>
      </c>
      <c r="I88" s="67">
        <v>0</v>
      </c>
      <c r="J88" s="739">
        <v>464306</v>
      </c>
      <c r="K88" s="837" t="s">
        <v>621</v>
      </c>
      <c r="L88" s="740">
        <v>0</v>
      </c>
      <c r="M88" s="741">
        <v>3596.6666666666665</v>
      </c>
      <c r="N88" s="67">
        <v>5752</v>
      </c>
      <c r="O88" s="67">
        <v>470058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470058</v>
      </c>
      <c r="V88" s="71">
        <v>130.69267840593142</v>
      </c>
      <c r="W88" s="449">
        <v>470058</v>
      </c>
      <c r="X88" s="67">
        <v>439811</v>
      </c>
      <c r="Y88" s="163">
        <v>30247</v>
      </c>
      <c r="Z88" s="166">
        <v>6.8772722828669586E-2</v>
      </c>
      <c r="AA88" s="858" t="s">
        <v>621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603</v>
      </c>
      <c r="B89" s="784" t="s">
        <v>462</v>
      </c>
      <c r="C89" s="784" t="s">
        <v>1583</v>
      </c>
      <c r="D89" s="134">
        <v>0</v>
      </c>
      <c r="E89" s="67">
        <v>0</v>
      </c>
      <c r="F89" s="146">
        <v>0</v>
      </c>
      <c r="G89" s="146">
        <v>0</v>
      </c>
      <c r="H89" s="91">
        <v>0</v>
      </c>
      <c r="I89" s="67">
        <v>0</v>
      </c>
      <c r="J89" s="739">
        <v>0</v>
      </c>
      <c r="K89" s="837" t="s">
        <v>644</v>
      </c>
      <c r="L89" s="740">
        <v>0</v>
      </c>
      <c r="M89" s="741">
        <v>0</v>
      </c>
      <c r="N89" s="67">
        <v>0</v>
      </c>
      <c r="O89" s="67">
        <v>0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0</v>
      </c>
      <c r="V89" s="71">
        <v>0</v>
      </c>
      <c r="W89" s="449">
        <v>0</v>
      </c>
      <c r="X89" s="67">
        <v>0</v>
      </c>
      <c r="Y89" s="163">
        <v>0</v>
      </c>
      <c r="Z89" s="166">
        <v>0</v>
      </c>
      <c r="AA89" s="858" t="s">
        <v>644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597</v>
      </c>
      <c r="B90" s="784" t="s">
        <v>175</v>
      </c>
      <c r="C90" s="784" t="s">
        <v>1449</v>
      </c>
      <c r="D90" s="134">
        <v>5265.9933333333329</v>
      </c>
      <c r="E90" s="67">
        <v>679804</v>
      </c>
      <c r="F90" s="146">
        <v>0</v>
      </c>
      <c r="G90" s="146">
        <v>0</v>
      </c>
      <c r="H90" s="91">
        <v>679804</v>
      </c>
      <c r="I90" s="67">
        <v>0</v>
      </c>
      <c r="J90" s="739">
        <v>679804</v>
      </c>
      <c r="K90" s="837" t="s">
        <v>621</v>
      </c>
      <c r="L90" s="740">
        <v>0</v>
      </c>
      <c r="M90" s="741">
        <v>5265.9933333333329</v>
      </c>
      <c r="N90" s="67">
        <v>8422</v>
      </c>
      <c r="O90" s="67">
        <v>688226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688226</v>
      </c>
      <c r="V90" s="71">
        <v>130.69253157682186</v>
      </c>
      <c r="W90" s="449">
        <v>688226</v>
      </c>
      <c r="X90" s="67">
        <v>554637</v>
      </c>
      <c r="Y90" s="163">
        <v>133589</v>
      </c>
      <c r="Z90" s="166">
        <v>0.24085843533698617</v>
      </c>
      <c r="AA90" s="858" t="s">
        <v>621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506</v>
      </c>
      <c r="C91" s="784" t="s">
        <v>1602</v>
      </c>
      <c r="D91" s="134">
        <v>352</v>
      </c>
      <c r="E91" s="67">
        <v>45441</v>
      </c>
      <c r="F91" s="146">
        <v>0</v>
      </c>
      <c r="G91" s="146">
        <v>0</v>
      </c>
      <c r="H91" s="91">
        <v>45441</v>
      </c>
      <c r="I91" s="67">
        <v>0</v>
      </c>
      <c r="J91" s="739">
        <v>45441</v>
      </c>
      <c r="K91" s="837" t="s">
        <v>644</v>
      </c>
      <c r="L91" s="740">
        <v>45441</v>
      </c>
      <c r="M91" s="741">
        <v>0</v>
      </c>
      <c r="N91" s="67">
        <v>0</v>
      </c>
      <c r="O91" s="67">
        <v>0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0</v>
      </c>
      <c r="V91" s="71">
        <v>0</v>
      </c>
      <c r="W91" s="449">
        <v>0</v>
      </c>
      <c r="X91" s="67">
        <v>0</v>
      </c>
      <c r="Y91" s="163">
        <v>0</v>
      </c>
      <c r="Z91" s="166">
        <v>0</v>
      </c>
      <c r="AA91" s="858" t="s">
        <v>644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597</v>
      </c>
      <c r="B92" s="784" t="s">
        <v>369</v>
      </c>
      <c r="C92" s="784" t="s">
        <v>1534</v>
      </c>
      <c r="D92" s="134">
        <v>530.50333333333333</v>
      </c>
      <c r="E92" s="67">
        <v>68484</v>
      </c>
      <c r="F92" s="146">
        <v>0</v>
      </c>
      <c r="G92" s="146">
        <v>0</v>
      </c>
      <c r="H92" s="91">
        <v>68484</v>
      </c>
      <c r="I92" s="67">
        <v>0</v>
      </c>
      <c r="J92" s="739">
        <v>68484</v>
      </c>
      <c r="K92" s="837" t="s">
        <v>621</v>
      </c>
      <c r="L92" s="740">
        <v>0</v>
      </c>
      <c r="M92" s="741">
        <v>530.50333333333333</v>
      </c>
      <c r="N92" s="67">
        <v>848</v>
      </c>
      <c r="O92" s="67">
        <v>69332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69332</v>
      </c>
      <c r="V92" s="71">
        <v>130.69097900735778</v>
      </c>
      <c r="W92" s="449">
        <v>69332</v>
      </c>
      <c r="X92" s="67">
        <v>51235</v>
      </c>
      <c r="Y92" s="163">
        <v>18097</v>
      </c>
      <c r="Z92" s="166">
        <v>0.35321557529032888</v>
      </c>
      <c r="AA92" s="858" t="s">
        <v>621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596</v>
      </c>
      <c r="B93" s="784" t="s">
        <v>19</v>
      </c>
      <c r="C93" s="784" t="s">
        <v>1377</v>
      </c>
      <c r="D93" s="134">
        <v>165.66</v>
      </c>
      <c r="E93" s="67">
        <v>21386</v>
      </c>
      <c r="F93" s="146">
        <v>0</v>
      </c>
      <c r="G93" s="146">
        <v>0</v>
      </c>
      <c r="H93" s="91">
        <v>21386</v>
      </c>
      <c r="I93" s="67">
        <v>0</v>
      </c>
      <c r="J93" s="739">
        <v>21386</v>
      </c>
      <c r="K93" s="837" t="s">
        <v>621</v>
      </c>
      <c r="L93" s="740">
        <v>0</v>
      </c>
      <c r="M93" s="741">
        <v>165.66</v>
      </c>
      <c r="N93" s="67">
        <v>265</v>
      </c>
      <c r="O93" s="67">
        <v>21651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21651</v>
      </c>
      <c r="V93" s="71">
        <v>130.69540021731257</v>
      </c>
      <c r="W93" s="449">
        <v>21651</v>
      </c>
      <c r="X93" s="67">
        <v>19802</v>
      </c>
      <c r="Y93" s="163">
        <v>1849</v>
      </c>
      <c r="Z93" s="166">
        <v>9.3374406625593376E-2</v>
      </c>
      <c r="AA93" s="858" t="s">
        <v>621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597</v>
      </c>
      <c r="B94" s="784" t="s">
        <v>361</v>
      </c>
      <c r="C94" s="784" t="s">
        <v>630</v>
      </c>
      <c r="D94" s="134">
        <v>862.33</v>
      </c>
      <c r="E94" s="67">
        <v>111321</v>
      </c>
      <c r="F94" s="146">
        <v>0</v>
      </c>
      <c r="G94" s="146">
        <v>0</v>
      </c>
      <c r="H94" s="91">
        <v>111321</v>
      </c>
      <c r="I94" s="67">
        <v>0</v>
      </c>
      <c r="J94" s="739">
        <v>111321</v>
      </c>
      <c r="K94" s="837" t="s">
        <v>621</v>
      </c>
      <c r="L94" s="740">
        <v>0</v>
      </c>
      <c r="M94" s="741">
        <v>862.33</v>
      </c>
      <c r="N94" s="67">
        <v>1379</v>
      </c>
      <c r="O94" s="67">
        <v>112700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112700</v>
      </c>
      <c r="V94" s="71">
        <v>130.69242633330626</v>
      </c>
      <c r="W94" s="449">
        <v>112700</v>
      </c>
      <c r="X94" s="67">
        <v>93634</v>
      </c>
      <c r="Y94" s="163">
        <v>19066</v>
      </c>
      <c r="Z94" s="166">
        <v>0.20362261571651324</v>
      </c>
      <c r="AA94" s="858" t="s">
        <v>621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603</v>
      </c>
      <c r="B95" s="784" t="s">
        <v>436</v>
      </c>
      <c r="C95" s="784" t="s">
        <v>1569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837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858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603</v>
      </c>
      <c r="B96" s="784" t="s">
        <v>529</v>
      </c>
      <c r="C96" s="784" t="s">
        <v>1613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837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858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599</v>
      </c>
      <c r="B97" s="784" t="s">
        <v>240</v>
      </c>
      <c r="C97" s="784" t="s">
        <v>1476</v>
      </c>
      <c r="D97" s="134">
        <v>0</v>
      </c>
      <c r="E97" s="67">
        <v>0</v>
      </c>
      <c r="F97" s="146">
        <v>0</v>
      </c>
      <c r="G97" s="146">
        <v>0</v>
      </c>
      <c r="H97" s="91">
        <v>0</v>
      </c>
      <c r="I97" s="67">
        <v>0</v>
      </c>
      <c r="J97" s="739">
        <v>0</v>
      </c>
      <c r="K97" s="837" t="s">
        <v>644</v>
      </c>
      <c r="L97" s="740">
        <v>0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858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605</v>
      </c>
      <c r="B98" s="784" t="s">
        <v>246</v>
      </c>
      <c r="C98" s="784" t="s">
        <v>1479</v>
      </c>
      <c r="D98" s="134">
        <v>37.159999999999997</v>
      </c>
      <c r="E98" s="67">
        <v>4797</v>
      </c>
      <c r="F98" s="146">
        <v>0</v>
      </c>
      <c r="G98" s="146">
        <v>0</v>
      </c>
      <c r="H98" s="91">
        <v>4797</v>
      </c>
      <c r="I98" s="67">
        <v>0</v>
      </c>
      <c r="J98" s="739">
        <v>4797</v>
      </c>
      <c r="K98" s="837" t="s">
        <v>1306</v>
      </c>
      <c r="L98" s="740">
        <v>0</v>
      </c>
      <c r="M98" s="741">
        <v>37.159999999999997</v>
      </c>
      <c r="N98" s="67">
        <v>59</v>
      </c>
      <c r="O98" s="67">
        <v>4856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4856</v>
      </c>
      <c r="V98" s="71">
        <v>130.67814854682456</v>
      </c>
      <c r="W98" s="449">
        <v>0</v>
      </c>
      <c r="X98" s="67">
        <v>3521</v>
      </c>
      <c r="Y98" s="163">
        <v>1335</v>
      </c>
      <c r="Z98" s="166">
        <v>0.37915364953138314</v>
      </c>
      <c r="AA98" s="858" t="s">
        <v>1306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601</v>
      </c>
      <c r="B99" s="784" t="s">
        <v>131</v>
      </c>
      <c r="C99" s="784" t="s">
        <v>1428</v>
      </c>
      <c r="D99" s="134">
        <v>126.66666666666667</v>
      </c>
      <c r="E99" s="67">
        <v>16352</v>
      </c>
      <c r="F99" s="146">
        <v>0</v>
      </c>
      <c r="G99" s="146">
        <v>0</v>
      </c>
      <c r="H99" s="91">
        <v>16352</v>
      </c>
      <c r="I99" s="67">
        <v>0</v>
      </c>
      <c r="J99" s="739">
        <v>16352</v>
      </c>
      <c r="K99" s="837" t="s">
        <v>621</v>
      </c>
      <c r="L99" s="740">
        <v>0</v>
      </c>
      <c r="M99" s="741">
        <v>126.66666666666667</v>
      </c>
      <c r="N99" s="67">
        <v>203</v>
      </c>
      <c r="O99" s="67">
        <v>16555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16555</v>
      </c>
      <c r="V99" s="71">
        <v>130.69736842105263</v>
      </c>
      <c r="W99" s="449">
        <v>16555</v>
      </c>
      <c r="X99" s="67">
        <v>13346</v>
      </c>
      <c r="Y99" s="163">
        <v>3209</v>
      </c>
      <c r="Z99" s="166">
        <v>0.24044657575303463</v>
      </c>
      <c r="AA99" s="858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605</v>
      </c>
      <c r="B100" s="784" t="s">
        <v>555</v>
      </c>
      <c r="C100" s="784" t="s">
        <v>1625</v>
      </c>
      <c r="D100" s="134">
        <v>1189.17</v>
      </c>
      <c r="E100" s="67">
        <v>153514</v>
      </c>
      <c r="F100" s="146">
        <v>0</v>
      </c>
      <c r="G100" s="146">
        <v>0</v>
      </c>
      <c r="H100" s="91">
        <v>153514</v>
      </c>
      <c r="I100" s="67">
        <v>0</v>
      </c>
      <c r="J100" s="739">
        <v>153514</v>
      </c>
      <c r="K100" s="837" t="s">
        <v>621</v>
      </c>
      <c r="L100" s="740">
        <v>0</v>
      </c>
      <c r="M100" s="741">
        <v>1189.17</v>
      </c>
      <c r="N100" s="67">
        <v>1902</v>
      </c>
      <c r="O100" s="67">
        <v>155416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155416</v>
      </c>
      <c r="V100" s="71">
        <v>130.69283617985653</v>
      </c>
      <c r="W100" s="449">
        <v>155416</v>
      </c>
      <c r="X100" s="67">
        <v>163821</v>
      </c>
      <c r="Y100" s="163">
        <v>-8405</v>
      </c>
      <c r="Z100" s="166">
        <v>-5.1305998620445485E-2</v>
      </c>
      <c r="AA100" s="858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605</v>
      </c>
      <c r="B101" s="784" t="s">
        <v>563</v>
      </c>
      <c r="C101" s="784" t="s">
        <v>1628</v>
      </c>
      <c r="D101" s="134">
        <v>612.33666666666659</v>
      </c>
      <c r="E101" s="67">
        <v>79049</v>
      </c>
      <c r="F101" s="146">
        <v>0</v>
      </c>
      <c r="G101" s="146">
        <v>0</v>
      </c>
      <c r="H101" s="91">
        <v>79049</v>
      </c>
      <c r="I101" s="67">
        <v>0</v>
      </c>
      <c r="J101" s="739">
        <v>79049</v>
      </c>
      <c r="K101" s="837" t="s">
        <v>621</v>
      </c>
      <c r="L101" s="740">
        <v>0</v>
      </c>
      <c r="M101" s="741">
        <v>612.33666666666659</v>
      </c>
      <c r="N101" s="67">
        <v>979</v>
      </c>
      <c r="O101" s="67">
        <v>80028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80028</v>
      </c>
      <c r="V101" s="71">
        <v>130.69281059983345</v>
      </c>
      <c r="W101" s="449">
        <v>80028</v>
      </c>
      <c r="X101" s="67">
        <v>71963</v>
      </c>
      <c r="Y101" s="163">
        <v>8065</v>
      </c>
      <c r="Z101" s="166">
        <v>0.11207148117782749</v>
      </c>
      <c r="AA101" s="858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595</v>
      </c>
      <c r="B102" s="784" t="s">
        <v>419</v>
      </c>
      <c r="C102" s="784" t="s">
        <v>1560</v>
      </c>
      <c r="D102" s="134">
        <v>64.17</v>
      </c>
      <c r="E102" s="67">
        <v>8284</v>
      </c>
      <c r="F102" s="146">
        <v>0</v>
      </c>
      <c r="G102" s="146">
        <v>0</v>
      </c>
      <c r="H102" s="91">
        <v>8284</v>
      </c>
      <c r="I102" s="67">
        <v>0</v>
      </c>
      <c r="J102" s="739">
        <v>8284</v>
      </c>
      <c r="K102" s="837" t="s">
        <v>644</v>
      </c>
      <c r="L102" s="740">
        <v>8284</v>
      </c>
      <c r="M102" s="741">
        <v>0</v>
      </c>
      <c r="N102" s="67">
        <v>0</v>
      </c>
      <c r="O102" s="67">
        <v>0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0</v>
      </c>
      <c r="V102" s="71">
        <v>0</v>
      </c>
      <c r="W102" s="449">
        <v>0</v>
      </c>
      <c r="X102" s="67">
        <v>0</v>
      </c>
      <c r="Y102" s="163">
        <v>0</v>
      </c>
      <c r="Z102" s="166">
        <v>0</v>
      </c>
      <c r="AA102" s="858" t="s">
        <v>644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594</v>
      </c>
      <c r="B103" s="784" t="s">
        <v>297</v>
      </c>
      <c r="C103" s="784" t="s">
        <v>1502</v>
      </c>
      <c r="D103" s="134">
        <v>0</v>
      </c>
      <c r="E103" s="67">
        <v>0</v>
      </c>
      <c r="F103" s="146">
        <v>0</v>
      </c>
      <c r="G103" s="146">
        <v>0</v>
      </c>
      <c r="H103" s="91">
        <v>0</v>
      </c>
      <c r="I103" s="67">
        <v>0</v>
      </c>
      <c r="J103" s="739">
        <v>0</v>
      </c>
      <c r="K103" s="837" t="s">
        <v>644</v>
      </c>
      <c r="L103" s="740">
        <v>0</v>
      </c>
      <c r="M103" s="741">
        <v>0</v>
      </c>
      <c r="N103" s="67">
        <v>0</v>
      </c>
      <c r="O103" s="67">
        <v>0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0</v>
      </c>
      <c r="V103" s="71">
        <v>0</v>
      </c>
      <c r="W103" s="449">
        <v>0</v>
      </c>
      <c r="X103" s="67">
        <v>0</v>
      </c>
      <c r="Y103" s="163">
        <v>0</v>
      </c>
      <c r="Z103" s="166">
        <v>0</v>
      </c>
      <c r="AA103" s="858" t="s">
        <v>644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603</v>
      </c>
      <c r="B104" s="784" t="s">
        <v>426</v>
      </c>
      <c r="C104" s="784" t="s">
        <v>1564</v>
      </c>
      <c r="D104" s="134">
        <v>0</v>
      </c>
      <c r="E104" s="67">
        <v>0</v>
      </c>
      <c r="F104" s="146">
        <v>0</v>
      </c>
      <c r="G104" s="146">
        <v>0</v>
      </c>
      <c r="H104" s="91">
        <v>0</v>
      </c>
      <c r="I104" s="67">
        <v>0</v>
      </c>
      <c r="J104" s="739">
        <v>0</v>
      </c>
      <c r="K104" s="837" t="s">
        <v>644</v>
      </c>
      <c r="L104" s="740">
        <v>0</v>
      </c>
      <c r="M104" s="741">
        <v>0</v>
      </c>
      <c r="N104" s="67">
        <v>0</v>
      </c>
      <c r="O104" s="67">
        <v>0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0</v>
      </c>
      <c r="V104" s="71">
        <v>0</v>
      </c>
      <c r="W104" s="449">
        <v>0</v>
      </c>
      <c r="X104" s="67">
        <v>0</v>
      </c>
      <c r="Y104" s="163">
        <v>0</v>
      </c>
      <c r="Z104" s="166">
        <v>0</v>
      </c>
      <c r="AA104" s="858" t="s">
        <v>644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1720</v>
      </c>
      <c r="C105" s="784" t="s">
        <v>1762</v>
      </c>
      <c r="D105" s="134">
        <v>39.659999999999997</v>
      </c>
      <c r="E105" s="67">
        <v>5120</v>
      </c>
      <c r="F105" s="146">
        <v>0</v>
      </c>
      <c r="G105" s="146">
        <v>0</v>
      </c>
      <c r="H105" s="91">
        <v>5120</v>
      </c>
      <c r="I105" s="67">
        <v>0</v>
      </c>
      <c r="J105" s="739">
        <v>5120</v>
      </c>
      <c r="K105" s="837" t="s">
        <v>1306</v>
      </c>
      <c r="L105" s="740">
        <v>0</v>
      </c>
      <c r="M105" s="741">
        <v>39.659999999999997</v>
      </c>
      <c r="N105" s="67">
        <v>63</v>
      </c>
      <c r="O105" s="67">
        <v>5183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5183</v>
      </c>
      <c r="V105" s="71">
        <v>130.68582955118509</v>
      </c>
      <c r="W105" s="449">
        <v>0</v>
      </c>
      <c r="X105" s="67">
        <v>0</v>
      </c>
      <c r="Y105" s="163">
        <v>5183</v>
      </c>
      <c r="Z105" s="166">
        <v>0</v>
      </c>
      <c r="AA105" s="858" t="s">
        <v>1306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599</v>
      </c>
      <c r="B106" s="784" t="s">
        <v>54</v>
      </c>
      <c r="C106" s="784" t="s">
        <v>1393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837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858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594</v>
      </c>
      <c r="B107" s="784" t="s">
        <v>482</v>
      </c>
      <c r="C107" s="784" t="s">
        <v>1592</v>
      </c>
      <c r="D107" s="134">
        <v>2</v>
      </c>
      <c r="E107" s="67">
        <v>258</v>
      </c>
      <c r="F107" s="146">
        <v>0</v>
      </c>
      <c r="G107" s="146">
        <v>0</v>
      </c>
      <c r="H107" s="91">
        <v>258</v>
      </c>
      <c r="I107" s="67">
        <v>0</v>
      </c>
      <c r="J107" s="739">
        <v>258</v>
      </c>
      <c r="K107" s="837" t="s">
        <v>644</v>
      </c>
      <c r="L107" s="740">
        <v>258</v>
      </c>
      <c r="M107" s="741">
        <v>0</v>
      </c>
      <c r="N107" s="67">
        <v>0</v>
      </c>
      <c r="O107" s="67">
        <v>0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0</v>
      </c>
      <c r="V107" s="71">
        <v>0</v>
      </c>
      <c r="W107" s="449">
        <v>0</v>
      </c>
      <c r="X107" s="67">
        <v>0</v>
      </c>
      <c r="Y107" s="163">
        <v>0</v>
      </c>
      <c r="Z107" s="166">
        <v>0</v>
      </c>
      <c r="AA107" s="858" t="s">
        <v>644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603</v>
      </c>
      <c r="B108" s="784" t="s">
        <v>291</v>
      </c>
      <c r="C108" s="784" t="s">
        <v>1499</v>
      </c>
      <c r="D108" s="134">
        <v>0</v>
      </c>
      <c r="E108" s="67">
        <v>0</v>
      </c>
      <c r="F108" s="146">
        <v>0</v>
      </c>
      <c r="G108" s="146">
        <v>0</v>
      </c>
      <c r="H108" s="91">
        <v>0</v>
      </c>
      <c r="I108" s="67">
        <v>0</v>
      </c>
      <c r="J108" s="739">
        <v>0</v>
      </c>
      <c r="K108" s="837" t="s">
        <v>644</v>
      </c>
      <c r="L108" s="740">
        <v>0</v>
      </c>
      <c r="M108" s="741">
        <v>0</v>
      </c>
      <c r="N108" s="67">
        <v>0</v>
      </c>
      <c r="O108" s="67">
        <v>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0</v>
      </c>
      <c r="V108" s="71">
        <v>0</v>
      </c>
      <c r="W108" s="449">
        <v>0</v>
      </c>
      <c r="X108" s="67">
        <v>0</v>
      </c>
      <c r="Y108" s="163">
        <v>0</v>
      </c>
      <c r="Z108" s="166">
        <v>0</v>
      </c>
      <c r="AA108" s="858" t="s">
        <v>644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605</v>
      </c>
      <c r="B109" s="784" t="s">
        <v>561</v>
      </c>
      <c r="C109" s="784" t="s">
        <v>1627</v>
      </c>
      <c r="D109" s="134">
        <v>337</v>
      </c>
      <c r="E109" s="67">
        <v>43504</v>
      </c>
      <c r="F109" s="146">
        <v>0</v>
      </c>
      <c r="G109" s="146">
        <v>0</v>
      </c>
      <c r="H109" s="91">
        <v>43504</v>
      </c>
      <c r="I109" s="67">
        <v>0</v>
      </c>
      <c r="J109" s="739">
        <v>43504</v>
      </c>
      <c r="K109" s="837" t="s">
        <v>621</v>
      </c>
      <c r="L109" s="740">
        <v>0</v>
      </c>
      <c r="M109" s="741">
        <v>337</v>
      </c>
      <c r="N109" s="67">
        <v>539</v>
      </c>
      <c r="O109" s="67">
        <v>44043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44043</v>
      </c>
      <c r="V109" s="71">
        <v>130.69139465875372</v>
      </c>
      <c r="W109" s="449">
        <v>44043</v>
      </c>
      <c r="X109" s="67">
        <v>42987</v>
      </c>
      <c r="Y109" s="163">
        <v>1056</v>
      </c>
      <c r="Z109" s="166">
        <v>2.4565566334007957E-2</v>
      </c>
      <c r="AA109" s="858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181</v>
      </c>
      <c r="C110" s="784" t="s">
        <v>1452</v>
      </c>
      <c r="D110" s="134">
        <v>5717.333333333333</v>
      </c>
      <c r="E110" s="67">
        <v>738069</v>
      </c>
      <c r="F110" s="146">
        <v>0</v>
      </c>
      <c r="G110" s="146">
        <v>0</v>
      </c>
      <c r="H110" s="91">
        <v>738069</v>
      </c>
      <c r="I110" s="67">
        <v>0</v>
      </c>
      <c r="J110" s="739">
        <v>738069</v>
      </c>
      <c r="K110" s="837" t="s">
        <v>621</v>
      </c>
      <c r="L110" s="740">
        <v>0</v>
      </c>
      <c r="M110" s="741">
        <v>5717.333333333333</v>
      </c>
      <c r="N110" s="67">
        <v>9144</v>
      </c>
      <c r="O110" s="67">
        <v>747213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747213</v>
      </c>
      <c r="V110" s="71">
        <v>130.69257229477611</v>
      </c>
      <c r="W110" s="449">
        <v>747213</v>
      </c>
      <c r="X110" s="67">
        <v>679889</v>
      </c>
      <c r="Y110" s="163">
        <v>67324</v>
      </c>
      <c r="Z110" s="166">
        <v>9.9022046245784243E-2</v>
      </c>
      <c r="AA110" s="858" t="s">
        <v>621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599</v>
      </c>
      <c r="B111" s="784" t="s">
        <v>51</v>
      </c>
      <c r="C111" s="784" t="s">
        <v>1391</v>
      </c>
      <c r="D111" s="134">
        <v>64.5</v>
      </c>
      <c r="E111" s="67">
        <v>8327</v>
      </c>
      <c r="F111" s="146">
        <v>0</v>
      </c>
      <c r="G111" s="146">
        <v>0</v>
      </c>
      <c r="H111" s="91">
        <v>8327</v>
      </c>
      <c r="I111" s="67">
        <v>0</v>
      </c>
      <c r="J111" s="739">
        <v>8327</v>
      </c>
      <c r="K111" s="837" t="s">
        <v>644</v>
      </c>
      <c r="L111" s="740">
        <v>8327</v>
      </c>
      <c r="M111" s="741">
        <v>0</v>
      </c>
      <c r="N111" s="67">
        <v>0</v>
      </c>
      <c r="O111" s="67">
        <v>0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0</v>
      </c>
      <c r="V111" s="71">
        <v>0</v>
      </c>
      <c r="W111" s="449">
        <v>0</v>
      </c>
      <c r="X111" s="67">
        <v>0</v>
      </c>
      <c r="Y111" s="163">
        <v>0</v>
      </c>
      <c r="Z111" s="166">
        <v>0</v>
      </c>
      <c r="AA111" s="858" t="s">
        <v>644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594</v>
      </c>
      <c r="B112" s="784" t="s">
        <v>307</v>
      </c>
      <c r="C112" s="784" t="s">
        <v>1507</v>
      </c>
      <c r="D112" s="134">
        <v>0</v>
      </c>
      <c r="E112" s="67">
        <v>0</v>
      </c>
      <c r="F112" s="146">
        <v>0</v>
      </c>
      <c r="G112" s="146">
        <v>0</v>
      </c>
      <c r="H112" s="91">
        <v>0</v>
      </c>
      <c r="I112" s="67">
        <v>0</v>
      </c>
      <c r="J112" s="739">
        <v>0</v>
      </c>
      <c r="K112" s="837" t="s">
        <v>644</v>
      </c>
      <c r="L112" s="740">
        <v>0</v>
      </c>
      <c r="M112" s="741">
        <v>0</v>
      </c>
      <c r="N112" s="67">
        <v>0</v>
      </c>
      <c r="O112" s="67">
        <v>0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0</v>
      </c>
      <c r="V112" s="71">
        <v>0</v>
      </c>
      <c r="W112" s="449">
        <v>0</v>
      </c>
      <c r="X112" s="67">
        <v>0</v>
      </c>
      <c r="Y112" s="163">
        <v>0</v>
      </c>
      <c r="Z112" s="166">
        <v>0</v>
      </c>
      <c r="AA112" s="858" t="s">
        <v>644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594</v>
      </c>
      <c r="B113" s="784" t="s">
        <v>134</v>
      </c>
      <c r="C113" s="784" t="s">
        <v>748</v>
      </c>
      <c r="D113" s="134">
        <v>88</v>
      </c>
      <c r="E113" s="67">
        <v>11360</v>
      </c>
      <c r="F113" s="146">
        <v>0</v>
      </c>
      <c r="G113" s="146">
        <v>0</v>
      </c>
      <c r="H113" s="91">
        <v>11360</v>
      </c>
      <c r="I113" s="67">
        <v>0</v>
      </c>
      <c r="J113" s="739">
        <v>11360</v>
      </c>
      <c r="K113" s="837" t="s">
        <v>621</v>
      </c>
      <c r="L113" s="740">
        <v>0</v>
      </c>
      <c r="M113" s="741">
        <v>88</v>
      </c>
      <c r="N113" s="67">
        <v>141</v>
      </c>
      <c r="O113" s="67">
        <v>11501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11501</v>
      </c>
      <c r="V113" s="71">
        <v>130.69318181818181</v>
      </c>
      <c r="W113" s="449">
        <v>11501</v>
      </c>
      <c r="X113" s="67">
        <v>0</v>
      </c>
      <c r="Y113" s="163">
        <v>11501</v>
      </c>
      <c r="Z113" s="166">
        <v>0</v>
      </c>
      <c r="AA113" s="858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6" t="s">
        <v>1715</v>
      </c>
      <c r="C114" s="784" t="s">
        <v>1763</v>
      </c>
      <c r="D114" s="134">
        <v>85.33</v>
      </c>
      <c r="E114" s="67">
        <v>11016</v>
      </c>
      <c r="F114" s="146">
        <v>0</v>
      </c>
      <c r="G114" s="146">
        <v>0</v>
      </c>
      <c r="H114" s="91">
        <v>11016</v>
      </c>
      <c r="I114" s="67">
        <v>0</v>
      </c>
      <c r="J114" s="739">
        <v>11016</v>
      </c>
      <c r="K114" s="837" t="s">
        <v>621</v>
      </c>
      <c r="L114" s="740">
        <v>0</v>
      </c>
      <c r="M114" s="741">
        <v>85.33</v>
      </c>
      <c r="N114" s="67">
        <v>136</v>
      </c>
      <c r="O114" s="67">
        <v>11152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11152</v>
      </c>
      <c r="V114" s="71">
        <v>130.69260517988985</v>
      </c>
      <c r="W114" s="449">
        <v>11152</v>
      </c>
      <c r="X114" s="67">
        <v>0</v>
      </c>
      <c r="Y114" s="163">
        <v>11152</v>
      </c>
      <c r="Z114" s="166">
        <v>0</v>
      </c>
      <c r="AA114" s="858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1666</v>
      </c>
      <c r="B115" s="784" t="s">
        <v>1755</v>
      </c>
      <c r="C115" s="784" t="s">
        <v>1756</v>
      </c>
      <c r="D115" s="134">
        <v>0</v>
      </c>
      <c r="E115" s="67">
        <v>0</v>
      </c>
      <c r="F115" s="146">
        <v>0</v>
      </c>
      <c r="G115" s="146">
        <v>0</v>
      </c>
      <c r="H115" s="91">
        <v>0</v>
      </c>
      <c r="I115" s="67">
        <v>0</v>
      </c>
      <c r="J115" s="739">
        <v>0</v>
      </c>
      <c r="K115" s="837" t="s">
        <v>644</v>
      </c>
      <c r="L115" s="740">
        <v>0</v>
      </c>
      <c r="M115" s="741">
        <v>0</v>
      </c>
      <c r="N115" s="67">
        <v>0</v>
      </c>
      <c r="O115" s="67">
        <v>0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0</v>
      </c>
      <c r="V115" s="71">
        <v>0</v>
      </c>
      <c r="W115" s="449">
        <v>0</v>
      </c>
      <c r="X115" s="67">
        <v>0</v>
      </c>
      <c r="Y115" s="163">
        <v>0</v>
      </c>
      <c r="Z115" s="166">
        <v>0</v>
      </c>
      <c r="AA115" s="858" t="s">
        <v>644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603</v>
      </c>
      <c r="B116" s="784" t="s">
        <v>100</v>
      </c>
      <c r="C116" s="784" t="s">
        <v>1414</v>
      </c>
      <c r="D116" s="134">
        <v>103.33333333333333</v>
      </c>
      <c r="E116" s="67">
        <v>13340</v>
      </c>
      <c r="F116" s="146">
        <v>0</v>
      </c>
      <c r="G116" s="146">
        <v>0</v>
      </c>
      <c r="H116" s="91">
        <v>13340</v>
      </c>
      <c r="I116" s="67">
        <v>0</v>
      </c>
      <c r="J116" s="739">
        <v>13340</v>
      </c>
      <c r="K116" s="837" t="s">
        <v>621</v>
      </c>
      <c r="L116" s="740">
        <v>0</v>
      </c>
      <c r="M116" s="741">
        <v>103.33333333333333</v>
      </c>
      <c r="N116" s="67">
        <v>165</v>
      </c>
      <c r="O116" s="67">
        <v>13505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13505</v>
      </c>
      <c r="V116" s="71">
        <v>130.69354838709677</v>
      </c>
      <c r="W116" s="449">
        <v>13505</v>
      </c>
      <c r="X116" s="67">
        <v>4943</v>
      </c>
      <c r="Y116" s="163">
        <v>8562</v>
      </c>
      <c r="Z116" s="166">
        <v>1.7321464697552094</v>
      </c>
      <c r="AA116" s="858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595</v>
      </c>
      <c r="B117" s="784" t="s">
        <v>407</v>
      </c>
      <c r="C117" s="784" t="s">
        <v>1554</v>
      </c>
      <c r="D117" s="134">
        <v>0</v>
      </c>
      <c r="E117" s="67">
        <v>0</v>
      </c>
      <c r="F117" s="146">
        <v>0</v>
      </c>
      <c r="G117" s="146">
        <v>0</v>
      </c>
      <c r="H117" s="91">
        <v>0</v>
      </c>
      <c r="I117" s="67">
        <v>0</v>
      </c>
      <c r="J117" s="739">
        <v>0</v>
      </c>
      <c r="K117" s="837" t="s">
        <v>644</v>
      </c>
      <c r="L117" s="740">
        <v>0</v>
      </c>
      <c r="M117" s="741">
        <v>0</v>
      </c>
      <c r="N117" s="67">
        <v>0</v>
      </c>
      <c r="O117" s="67">
        <v>0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0</v>
      </c>
      <c r="V117" s="71">
        <v>0</v>
      </c>
      <c r="W117" s="449">
        <v>0</v>
      </c>
      <c r="X117" s="67">
        <v>0</v>
      </c>
      <c r="Y117" s="163">
        <v>0</v>
      </c>
      <c r="Z117" s="166">
        <v>0</v>
      </c>
      <c r="AA117" s="858" t="s">
        <v>644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201</v>
      </c>
      <c r="C118" s="784" t="s">
        <v>1458</v>
      </c>
      <c r="D118" s="134">
        <v>1338.1599999999999</v>
      </c>
      <c r="E118" s="67">
        <v>172747</v>
      </c>
      <c r="F118" s="146">
        <v>0</v>
      </c>
      <c r="G118" s="146">
        <v>0</v>
      </c>
      <c r="H118" s="91">
        <v>172747</v>
      </c>
      <c r="I118" s="67">
        <v>0</v>
      </c>
      <c r="J118" s="739">
        <v>172747</v>
      </c>
      <c r="K118" s="837" t="s">
        <v>621</v>
      </c>
      <c r="L118" s="740">
        <v>0</v>
      </c>
      <c r="M118" s="741">
        <v>1338.1599999999999</v>
      </c>
      <c r="N118" s="67">
        <v>2140</v>
      </c>
      <c r="O118" s="67">
        <v>174887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174887</v>
      </c>
      <c r="V118" s="71">
        <v>130.69214443713759</v>
      </c>
      <c r="W118" s="449">
        <v>174887</v>
      </c>
      <c r="X118" s="67">
        <v>156639</v>
      </c>
      <c r="Y118" s="163">
        <v>18248</v>
      </c>
      <c r="Z118" s="166">
        <v>0.11649716864893161</v>
      </c>
      <c r="AA118" s="858" t="s">
        <v>621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596</v>
      </c>
      <c r="B119" s="784" t="s">
        <v>110</v>
      </c>
      <c r="C119" s="784" t="s">
        <v>1419</v>
      </c>
      <c r="D119" s="134">
        <v>0</v>
      </c>
      <c r="E119" s="67">
        <v>0</v>
      </c>
      <c r="F119" s="146">
        <v>0</v>
      </c>
      <c r="G119" s="146">
        <v>0</v>
      </c>
      <c r="H119" s="91">
        <v>0</v>
      </c>
      <c r="I119" s="67">
        <v>0</v>
      </c>
      <c r="J119" s="739">
        <v>0</v>
      </c>
      <c r="K119" s="837" t="s">
        <v>644</v>
      </c>
      <c r="L119" s="740">
        <v>0</v>
      </c>
      <c r="M119" s="741">
        <v>0</v>
      </c>
      <c r="N119" s="67">
        <v>0</v>
      </c>
      <c r="O119" s="67">
        <v>0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0</v>
      </c>
      <c r="V119" s="71">
        <v>0</v>
      </c>
      <c r="W119" s="449">
        <v>0</v>
      </c>
      <c r="X119" s="67">
        <v>0</v>
      </c>
      <c r="Y119" s="163">
        <v>0</v>
      </c>
      <c r="Z119" s="166">
        <v>0</v>
      </c>
      <c r="AA119" s="858" t="s">
        <v>644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599</v>
      </c>
      <c r="B120" s="784" t="s">
        <v>76</v>
      </c>
      <c r="C120" s="784" t="s">
        <v>1402</v>
      </c>
      <c r="D120" s="134">
        <v>0</v>
      </c>
      <c r="E120" s="67">
        <v>0</v>
      </c>
      <c r="F120" s="146">
        <v>0</v>
      </c>
      <c r="G120" s="146">
        <v>0</v>
      </c>
      <c r="H120" s="91">
        <v>0</v>
      </c>
      <c r="I120" s="67">
        <v>0</v>
      </c>
      <c r="J120" s="739">
        <v>0</v>
      </c>
      <c r="K120" s="837" t="s">
        <v>644</v>
      </c>
      <c r="L120" s="740">
        <v>0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858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603</v>
      </c>
      <c r="B121" s="784" t="s">
        <v>94</v>
      </c>
      <c r="C121" s="784" t="s">
        <v>1411</v>
      </c>
      <c r="D121" s="134">
        <v>0</v>
      </c>
      <c r="E121" s="67">
        <v>0</v>
      </c>
      <c r="F121" s="146">
        <v>0</v>
      </c>
      <c r="G121" s="146">
        <v>0</v>
      </c>
      <c r="H121" s="91">
        <v>0</v>
      </c>
      <c r="I121" s="67">
        <v>0</v>
      </c>
      <c r="J121" s="739">
        <v>0</v>
      </c>
      <c r="K121" s="837" t="s">
        <v>644</v>
      </c>
      <c r="L121" s="740">
        <v>0</v>
      </c>
      <c r="M121" s="741">
        <v>0</v>
      </c>
      <c r="N121" s="67">
        <v>0</v>
      </c>
      <c r="O121" s="67">
        <v>0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0</v>
      </c>
      <c r="V121" s="71">
        <v>0</v>
      </c>
      <c r="W121" s="449">
        <v>0</v>
      </c>
      <c r="X121" s="67">
        <v>0</v>
      </c>
      <c r="Y121" s="163">
        <v>0</v>
      </c>
      <c r="Z121" s="166">
        <v>0</v>
      </c>
      <c r="AA121" s="858" t="s">
        <v>644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599</v>
      </c>
      <c r="B122" s="784" t="s">
        <v>80</v>
      </c>
      <c r="C122" s="784" t="s">
        <v>1404</v>
      </c>
      <c r="D122" s="134">
        <v>319.66333333333336</v>
      </c>
      <c r="E122" s="67">
        <v>41266</v>
      </c>
      <c r="F122" s="146">
        <v>0</v>
      </c>
      <c r="G122" s="146">
        <v>0</v>
      </c>
      <c r="H122" s="91">
        <v>41266</v>
      </c>
      <c r="I122" s="67">
        <v>0</v>
      </c>
      <c r="J122" s="739">
        <v>41266</v>
      </c>
      <c r="K122" s="837" t="s">
        <v>621</v>
      </c>
      <c r="L122" s="740">
        <v>0</v>
      </c>
      <c r="M122" s="741">
        <v>319.66333333333336</v>
      </c>
      <c r="N122" s="67">
        <v>511</v>
      </c>
      <c r="O122" s="67">
        <v>41777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41777</v>
      </c>
      <c r="V122" s="71">
        <v>130.69062242567699</v>
      </c>
      <c r="W122" s="449">
        <v>41777</v>
      </c>
      <c r="X122" s="67">
        <v>37271</v>
      </c>
      <c r="Y122" s="163">
        <v>4506</v>
      </c>
      <c r="Z122" s="166">
        <v>0.12089828553030506</v>
      </c>
      <c r="AA122" s="858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596</v>
      </c>
      <c r="B123" s="784" t="s">
        <v>14</v>
      </c>
      <c r="C123" s="784" t="s">
        <v>636</v>
      </c>
      <c r="D123" s="134">
        <v>2754.16</v>
      </c>
      <c r="E123" s="67">
        <v>355544</v>
      </c>
      <c r="F123" s="146">
        <v>0</v>
      </c>
      <c r="G123" s="146">
        <v>0</v>
      </c>
      <c r="H123" s="91">
        <v>355544</v>
      </c>
      <c r="I123" s="67">
        <v>0</v>
      </c>
      <c r="J123" s="739">
        <v>355544</v>
      </c>
      <c r="K123" s="837" t="s">
        <v>621</v>
      </c>
      <c r="L123" s="740">
        <v>0</v>
      </c>
      <c r="M123" s="741">
        <v>2754.16</v>
      </c>
      <c r="N123" s="67">
        <v>4405</v>
      </c>
      <c r="O123" s="67">
        <v>359949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359949</v>
      </c>
      <c r="V123" s="71">
        <v>130.69284282685103</v>
      </c>
      <c r="W123" s="449">
        <v>359949</v>
      </c>
      <c r="X123" s="67">
        <v>341574</v>
      </c>
      <c r="Y123" s="163">
        <v>18375</v>
      </c>
      <c r="Z123" s="166">
        <v>5.3795078079713329E-2</v>
      </c>
      <c r="AA123" s="858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597</v>
      </c>
      <c r="B124" s="784" t="s">
        <v>207</v>
      </c>
      <c r="C124" s="784" t="s">
        <v>1460</v>
      </c>
      <c r="D124" s="134">
        <v>5868.333333333333</v>
      </c>
      <c r="E124" s="67">
        <v>757563</v>
      </c>
      <c r="F124" s="146">
        <v>0</v>
      </c>
      <c r="G124" s="146">
        <v>0</v>
      </c>
      <c r="H124" s="91">
        <v>757563</v>
      </c>
      <c r="I124" s="67">
        <v>0</v>
      </c>
      <c r="J124" s="739">
        <v>757563</v>
      </c>
      <c r="K124" s="837" t="s">
        <v>621</v>
      </c>
      <c r="L124" s="740">
        <v>0</v>
      </c>
      <c r="M124" s="741">
        <v>5868.333333333333</v>
      </c>
      <c r="N124" s="67">
        <v>9385</v>
      </c>
      <c r="O124" s="67">
        <v>766948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766948</v>
      </c>
      <c r="V124" s="71">
        <v>130.69264413518889</v>
      </c>
      <c r="W124" s="449">
        <v>766948</v>
      </c>
      <c r="X124" s="67">
        <v>676043</v>
      </c>
      <c r="Y124" s="163">
        <v>90905</v>
      </c>
      <c r="Z124" s="166">
        <v>0.13446629874135224</v>
      </c>
      <c r="AA124" s="858" t="s">
        <v>621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603</v>
      </c>
      <c r="B125" s="784" t="s">
        <v>470</v>
      </c>
      <c r="C125" s="784" t="s">
        <v>1587</v>
      </c>
      <c r="D125" s="134">
        <v>0</v>
      </c>
      <c r="E125" s="67">
        <v>0</v>
      </c>
      <c r="F125" s="146">
        <v>0</v>
      </c>
      <c r="G125" s="146">
        <v>0</v>
      </c>
      <c r="H125" s="91">
        <v>0</v>
      </c>
      <c r="I125" s="67">
        <v>0</v>
      </c>
      <c r="J125" s="739">
        <v>0</v>
      </c>
      <c r="K125" s="837" t="s">
        <v>644</v>
      </c>
      <c r="L125" s="740">
        <v>0</v>
      </c>
      <c r="M125" s="741">
        <v>0</v>
      </c>
      <c r="N125" s="67">
        <v>0</v>
      </c>
      <c r="O125" s="67">
        <v>0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0</v>
      </c>
      <c r="V125" s="71">
        <v>0</v>
      </c>
      <c r="W125" s="449">
        <v>0</v>
      </c>
      <c r="X125" s="67">
        <v>0</v>
      </c>
      <c r="Y125" s="163">
        <v>0</v>
      </c>
      <c r="Z125" s="166">
        <v>0</v>
      </c>
      <c r="AA125" s="858" t="s">
        <v>644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596</v>
      </c>
      <c r="B126" s="784" t="s">
        <v>18</v>
      </c>
      <c r="C126" s="784" t="s">
        <v>1376</v>
      </c>
      <c r="D126" s="134">
        <v>346.33333333333331</v>
      </c>
      <c r="E126" s="67">
        <v>44709</v>
      </c>
      <c r="F126" s="146">
        <v>0</v>
      </c>
      <c r="G126" s="146">
        <v>0</v>
      </c>
      <c r="H126" s="91">
        <v>44709</v>
      </c>
      <c r="I126" s="67">
        <v>0</v>
      </c>
      <c r="J126" s="739">
        <v>44709</v>
      </c>
      <c r="K126" s="837" t="s">
        <v>621</v>
      </c>
      <c r="L126" s="740">
        <v>0</v>
      </c>
      <c r="M126" s="741">
        <v>346.33333333333331</v>
      </c>
      <c r="N126" s="67">
        <v>554</v>
      </c>
      <c r="O126" s="67">
        <v>45263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45263</v>
      </c>
      <c r="V126" s="71">
        <v>130.6920115495669</v>
      </c>
      <c r="W126" s="449">
        <v>45263</v>
      </c>
      <c r="X126" s="67">
        <v>38831</v>
      </c>
      <c r="Y126" s="163">
        <v>6432</v>
      </c>
      <c r="Z126" s="166">
        <v>0.16564085395689013</v>
      </c>
      <c r="AA126" s="858" t="s">
        <v>621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228</v>
      </c>
      <c r="C127" s="784" t="s">
        <v>1470</v>
      </c>
      <c r="D127" s="134">
        <v>55.83</v>
      </c>
      <c r="E127" s="67">
        <v>7207</v>
      </c>
      <c r="F127" s="146">
        <v>0</v>
      </c>
      <c r="G127" s="146">
        <v>0</v>
      </c>
      <c r="H127" s="91">
        <v>7207</v>
      </c>
      <c r="I127" s="67">
        <v>0</v>
      </c>
      <c r="J127" s="739">
        <v>7207</v>
      </c>
      <c r="K127" s="837" t="s">
        <v>1306</v>
      </c>
      <c r="L127" s="740">
        <v>0</v>
      </c>
      <c r="M127" s="741">
        <v>55.83</v>
      </c>
      <c r="N127" s="67">
        <v>89</v>
      </c>
      <c r="O127" s="67">
        <v>7296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7296</v>
      </c>
      <c r="V127" s="71">
        <v>130.68242880171951</v>
      </c>
      <c r="W127" s="449">
        <v>0</v>
      </c>
      <c r="X127" s="67">
        <v>6426</v>
      </c>
      <c r="Y127" s="163">
        <v>870</v>
      </c>
      <c r="Z127" s="166">
        <v>0.13538748832866479</v>
      </c>
      <c r="AA127" s="858" t="s">
        <v>1306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599</v>
      </c>
      <c r="B128" s="784" t="s">
        <v>242</v>
      </c>
      <c r="C128" s="784" t="s">
        <v>1477</v>
      </c>
      <c r="D128" s="134">
        <v>0</v>
      </c>
      <c r="E128" s="67">
        <v>0</v>
      </c>
      <c r="F128" s="146">
        <v>0</v>
      </c>
      <c r="G128" s="146">
        <v>0</v>
      </c>
      <c r="H128" s="91">
        <v>0</v>
      </c>
      <c r="I128" s="67">
        <v>0</v>
      </c>
      <c r="J128" s="739">
        <v>0</v>
      </c>
      <c r="K128" s="837" t="s">
        <v>644</v>
      </c>
      <c r="L128" s="740">
        <v>0</v>
      </c>
      <c r="M128" s="741">
        <v>0</v>
      </c>
      <c r="N128" s="67">
        <v>0</v>
      </c>
      <c r="O128" s="67">
        <v>0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0</v>
      </c>
      <c r="V128" s="71">
        <v>0</v>
      </c>
      <c r="W128" s="449">
        <v>0</v>
      </c>
      <c r="X128" s="67">
        <v>0</v>
      </c>
      <c r="Y128" s="163">
        <v>0</v>
      </c>
      <c r="Z128" s="166">
        <v>0</v>
      </c>
      <c r="AA128" s="858" t="s">
        <v>644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595</v>
      </c>
      <c r="B129" s="784" t="s">
        <v>382</v>
      </c>
      <c r="C129" s="784" t="s">
        <v>1542</v>
      </c>
      <c r="D129" s="134">
        <v>158.83666666666664</v>
      </c>
      <c r="E129" s="67">
        <v>20505</v>
      </c>
      <c r="F129" s="146">
        <v>0</v>
      </c>
      <c r="G129" s="146">
        <v>0</v>
      </c>
      <c r="H129" s="91">
        <v>20505</v>
      </c>
      <c r="I129" s="67">
        <v>0</v>
      </c>
      <c r="J129" s="739">
        <v>20505</v>
      </c>
      <c r="K129" s="837" t="s">
        <v>621</v>
      </c>
      <c r="L129" s="740">
        <v>0</v>
      </c>
      <c r="M129" s="741">
        <v>158.83666666666664</v>
      </c>
      <c r="N129" s="67">
        <v>254</v>
      </c>
      <c r="O129" s="67">
        <v>20759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20759</v>
      </c>
      <c r="V129" s="71">
        <v>130.69400432309922</v>
      </c>
      <c r="W129" s="449">
        <v>20759</v>
      </c>
      <c r="X129" s="67">
        <v>10087</v>
      </c>
      <c r="Y129" s="163">
        <v>10672</v>
      </c>
      <c r="Z129" s="166">
        <v>1.057995439674829</v>
      </c>
      <c r="AA129" s="858" t="s">
        <v>621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53</v>
      </c>
      <c r="C130" s="784" t="s">
        <v>1392</v>
      </c>
      <c r="D130" s="134">
        <v>37.5</v>
      </c>
      <c r="E130" s="67">
        <v>4841</v>
      </c>
      <c r="F130" s="146">
        <v>0</v>
      </c>
      <c r="G130" s="146">
        <v>0</v>
      </c>
      <c r="H130" s="91">
        <v>4841</v>
      </c>
      <c r="I130" s="67">
        <v>0</v>
      </c>
      <c r="J130" s="739">
        <v>4841</v>
      </c>
      <c r="K130" s="837" t="s">
        <v>644</v>
      </c>
      <c r="L130" s="740">
        <v>4841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858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603</v>
      </c>
      <c r="B131" s="784" t="s">
        <v>518</v>
      </c>
      <c r="C131" s="784" t="s">
        <v>1607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837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858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601</v>
      </c>
      <c r="B132" s="784" t="s">
        <v>31</v>
      </c>
      <c r="C132" s="784" t="s">
        <v>624</v>
      </c>
      <c r="D132" s="134">
        <v>381</v>
      </c>
      <c r="E132" s="67">
        <v>49185</v>
      </c>
      <c r="F132" s="146">
        <v>0</v>
      </c>
      <c r="G132" s="146">
        <v>0</v>
      </c>
      <c r="H132" s="91">
        <v>49185</v>
      </c>
      <c r="I132" s="67">
        <v>0</v>
      </c>
      <c r="J132" s="739">
        <v>49185</v>
      </c>
      <c r="K132" s="837" t="s">
        <v>621</v>
      </c>
      <c r="L132" s="740">
        <v>0</v>
      </c>
      <c r="M132" s="741">
        <v>381</v>
      </c>
      <c r="N132" s="67">
        <v>609</v>
      </c>
      <c r="O132" s="67">
        <v>49794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49794</v>
      </c>
      <c r="V132" s="71">
        <v>130.69291338582678</v>
      </c>
      <c r="W132" s="449">
        <v>49794</v>
      </c>
      <c r="X132" s="67">
        <v>51946</v>
      </c>
      <c r="Y132" s="163">
        <v>-2152</v>
      </c>
      <c r="Z132" s="166">
        <v>-4.1427636391637469E-2</v>
      </c>
      <c r="AA132" s="858" t="s">
        <v>621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595</v>
      </c>
      <c r="B133" s="784" t="s">
        <v>397</v>
      </c>
      <c r="C133" s="784" t="s">
        <v>1549</v>
      </c>
      <c r="D133" s="134">
        <v>441.49666666666667</v>
      </c>
      <c r="E133" s="67">
        <v>56994</v>
      </c>
      <c r="F133" s="146">
        <v>0</v>
      </c>
      <c r="G133" s="146">
        <v>0</v>
      </c>
      <c r="H133" s="91">
        <v>56994</v>
      </c>
      <c r="I133" s="67">
        <v>0</v>
      </c>
      <c r="J133" s="739">
        <v>56994</v>
      </c>
      <c r="K133" s="837" t="s">
        <v>621</v>
      </c>
      <c r="L133" s="740">
        <v>0</v>
      </c>
      <c r="M133" s="741">
        <v>441.49666666666667</v>
      </c>
      <c r="N133" s="67">
        <v>706</v>
      </c>
      <c r="O133" s="67">
        <v>57700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57700</v>
      </c>
      <c r="V133" s="71">
        <v>130.6918134527252</v>
      </c>
      <c r="W133" s="449">
        <v>57700</v>
      </c>
      <c r="X133" s="67">
        <v>42508</v>
      </c>
      <c r="Y133" s="163">
        <v>15192</v>
      </c>
      <c r="Z133" s="166">
        <v>0.35739154982591514</v>
      </c>
      <c r="AA133" s="858" t="s">
        <v>621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597</v>
      </c>
      <c r="B134" s="784" t="s">
        <v>205</v>
      </c>
      <c r="C134" s="784" t="s">
        <v>1459</v>
      </c>
      <c r="D134" s="134">
        <v>3304.83</v>
      </c>
      <c r="E134" s="67">
        <v>426631</v>
      </c>
      <c r="F134" s="146">
        <v>0</v>
      </c>
      <c r="G134" s="146">
        <v>0</v>
      </c>
      <c r="H134" s="91">
        <v>426631</v>
      </c>
      <c r="I134" s="67">
        <v>0</v>
      </c>
      <c r="J134" s="739">
        <v>426631</v>
      </c>
      <c r="K134" s="837" t="s">
        <v>621</v>
      </c>
      <c r="L134" s="740">
        <v>0</v>
      </c>
      <c r="M134" s="741">
        <v>3304.83</v>
      </c>
      <c r="N134" s="67">
        <v>5285</v>
      </c>
      <c r="O134" s="67">
        <v>431916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431916</v>
      </c>
      <c r="V134" s="71">
        <v>130.69235028730677</v>
      </c>
      <c r="W134" s="449">
        <v>431916</v>
      </c>
      <c r="X134" s="67">
        <v>353670</v>
      </c>
      <c r="Y134" s="163">
        <v>78246</v>
      </c>
      <c r="Z134" s="166">
        <v>0.22124013911273221</v>
      </c>
      <c r="AA134" s="858" t="s">
        <v>621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595</v>
      </c>
      <c r="B135" s="784" t="s">
        <v>413</v>
      </c>
      <c r="C135" s="784" t="s">
        <v>1557</v>
      </c>
      <c r="D135" s="134">
        <v>176</v>
      </c>
      <c r="E135" s="67">
        <v>22720</v>
      </c>
      <c r="F135" s="146">
        <v>0</v>
      </c>
      <c r="G135" s="146">
        <v>0</v>
      </c>
      <c r="H135" s="91">
        <v>22720</v>
      </c>
      <c r="I135" s="67">
        <v>0</v>
      </c>
      <c r="J135" s="739">
        <v>22720</v>
      </c>
      <c r="K135" s="837" t="s">
        <v>621</v>
      </c>
      <c r="L135" s="740">
        <v>0</v>
      </c>
      <c r="M135" s="741">
        <v>176</v>
      </c>
      <c r="N135" s="67">
        <v>281</v>
      </c>
      <c r="O135" s="67">
        <v>23001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23001</v>
      </c>
      <c r="V135" s="71">
        <v>130.6875</v>
      </c>
      <c r="W135" s="449">
        <v>23001</v>
      </c>
      <c r="X135" s="67">
        <v>16821</v>
      </c>
      <c r="Y135" s="163">
        <v>6180</v>
      </c>
      <c r="Z135" s="166">
        <v>0.36739789548778312</v>
      </c>
      <c r="AA135" s="858" t="s">
        <v>621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603</v>
      </c>
      <c r="B136" s="784" t="s">
        <v>519</v>
      </c>
      <c r="C136" s="784" t="s">
        <v>1608</v>
      </c>
      <c r="D136" s="134">
        <v>0</v>
      </c>
      <c r="E136" s="67">
        <v>0</v>
      </c>
      <c r="F136" s="146">
        <v>0</v>
      </c>
      <c r="G136" s="146">
        <v>0</v>
      </c>
      <c r="H136" s="91">
        <v>0</v>
      </c>
      <c r="I136" s="67">
        <v>0</v>
      </c>
      <c r="J136" s="739">
        <v>0</v>
      </c>
      <c r="K136" s="837" t="s">
        <v>644</v>
      </c>
      <c r="L136" s="740">
        <v>0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858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603</v>
      </c>
      <c r="B137" s="784" t="s">
        <v>441</v>
      </c>
      <c r="C137" s="784" t="s">
        <v>1572</v>
      </c>
      <c r="D137" s="134">
        <v>5</v>
      </c>
      <c r="E137" s="67">
        <v>645</v>
      </c>
      <c r="F137" s="146">
        <v>0</v>
      </c>
      <c r="G137" s="146">
        <v>0</v>
      </c>
      <c r="H137" s="91">
        <v>645</v>
      </c>
      <c r="I137" s="67">
        <v>0</v>
      </c>
      <c r="J137" s="739">
        <v>645</v>
      </c>
      <c r="K137" s="837" t="s">
        <v>644</v>
      </c>
      <c r="L137" s="740">
        <v>645</v>
      </c>
      <c r="M137" s="741">
        <v>0</v>
      </c>
      <c r="N137" s="67">
        <v>0</v>
      </c>
      <c r="O137" s="67">
        <v>0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0</v>
      </c>
      <c r="V137" s="71">
        <v>0</v>
      </c>
      <c r="W137" s="449">
        <v>0</v>
      </c>
      <c r="X137" s="67">
        <v>0</v>
      </c>
      <c r="Y137" s="163">
        <v>0</v>
      </c>
      <c r="Z137" s="166">
        <v>0</v>
      </c>
      <c r="AA137" s="858" t="s">
        <v>644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603</v>
      </c>
      <c r="B138" s="784" t="s">
        <v>6</v>
      </c>
      <c r="C138" s="784" t="s">
        <v>1371</v>
      </c>
      <c r="D138" s="134">
        <v>24.33</v>
      </c>
      <c r="E138" s="67">
        <v>3141</v>
      </c>
      <c r="F138" s="146">
        <v>0</v>
      </c>
      <c r="G138" s="146">
        <v>0</v>
      </c>
      <c r="H138" s="91">
        <v>3141</v>
      </c>
      <c r="I138" s="67">
        <v>0</v>
      </c>
      <c r="J138" s="739">
        <v>3141</v>
      </c>
      <c r="K138" s="837" t="s">
        <v>644</v>
      </c>
      <c r="L138" s="740">
        <v>3141</v>
      </c>
      <c r="M138" s="741">
        <v>0</v>
      </c>
      <c r="N138" s="67">
        <v>0</v>
      </c>
      <c r="O138" s="67">
        <v>0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0</v>
      </c>
      <c r="V138" s="71">
        <v>0</v>
      </c>
      <c r="W138" s="449">
        <v>0</v>
      </c>
      <c r="X138" s="67">
        <v>0</v>
      </c>
      <c r="Y138" s="163">
        <v>0</v>
      </c>
      <c r="Z138" s="166">
        <v>0</v>
      </c>
      <c r="AA138" s="858" t="s">
        <v>644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70</v>
      </c>
      <c r="C139" s="784" t="s">
        <v>1399</v>
      </c>
      <c r="D139" s="134">
        <v>464.49666666666667</v>
      </c>
      <c r="E139" s="67">
        <v>59963</v>
      </c>
      <c r="F139" s="146">
        <v>0</v>
      </c>
      <c r="G139" s="146">
        <v>0</v>
      </c>
      <c r="H139" s="91">
        <v>59963</v>
      </c>
      <c r="I139" s="67">
        <v>0</v>
      </c>
      <c r="J139" s="739">
        <v>59963</v>
      </c>
      <c r="K139" s="837" t="s">
        <v>621</v>
      </c>
      <c r="L139" s="740">
        <v>0</v>
      </c>
      <c r="M139" s="741">
        <v>464.49666666666667</v>
      </c>
      <c r="N139" s="67">
        <v>743</v>
      </c>
      <c r="O139" s="67">
        <v>60706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60706</v>
      </c>
      <c r="V139" s="71">
        <v>130.69200353070349</v>
      </c>
      <c r="W139" s="449">
        <v>60706</v>
      </c>
      <c r="X139" s="67">
        <v>54710</v>
      </c>
      <c r="Y139" s="163">
        <v>5996</v>
      </c>
      <c r="Z139" s="166">
        <v>0.10959605191007128</v>
      </c>
      <c r="AA139" s="858" t="s">
        <v>621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603</v>
      </c>
      <c r="B140" s="784" t="s">
        <v>458</v>
      </c>
      <c r="C140" s="784" t="s">
        <v>1581</v>
      </c>
      <c r="D140" s="134">
        <v>0</v>
      </c>
      <c r="E140" s="67">
        <v>0</v>
      </c>
      <c r="F140" s="146">
        <v>0</v>
      </c>
      <c r="G140" s="146">
        <v>0</v>
      </c>
      <c r="H140" s="91">
        <v>0</v>
      </c>
      <c r="I140" s="67">
        <v>0</v>
      </c>
      <c r="J140" s="739">
        <v>0</v>
      </c>
      <c r="K140" s="837" t="s">
        <v>644</v>
      </c>
      <c r="L140" s="740">
        <v>0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858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595</v>
      </c>
      <c r="B141" s="784" t="s">
        <v>373</v>
      </c>
      <c r="C141" s="784" t="s">
        <v>1539</v>
      </c>
      <c r="D141" s="134">
        <v>25.33</v>
      </c>
      <c r="E141" s="67">
        <v>3270</v>
      </c>
      <c r="F141" s="146">
        <v>0</v>
      </c>
      <c r="G141" s="146">
        <v>0</v>
      </c>
      <c r="H141" s="91">
        <v>3270</v>
      </c>
      <c r="I141" s="67">
        <v>0</v>
      </c>
      <c r="J141" s="739">
        <v>3270</v>
      </c>
      <c r="K141" s="837" t="s">
        <v>1306</v>
      </c>
      <c r="L141" s="740">
        <v>0</v>
      </c>
      <c r="M141" s="741">
        <v>25.33</v>
      </c>
      <c r="N141" s="67">
        <v>41</v>
      </c>
      <c r="O141" s="67">
        <v>3311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3311</v>
      </c>
      <c r="V141" s="71">
        <v>130.71456770627714</v>
      </c>
      <c r="W141" s="449">
        <v>0</v>
      </c>
      <c r="X141" s="67">
        <v>3274</v>
      </c>
      <c r="Y141" s="163">
        <v>37</v>
      </c>
      <c r="Z141" s="166">
        <v>1.1301160659743433E-2</v>
      </c>
      <c r="AA141" s="858" t="s">
        <v>1306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1666</v>
      </c>
      <c r="B142" s="784" t="s">
        <v>1757</v>
      </c>
      <c r="C142" s="784" t="s">
        <v>1758</v>
      </c>
      <c r="D142" s="134">
        <v>0</v>
      </c>
      <c r="E142" s="67">
        <v>0</v>
      </c>
      <c r="F142" s="146">
        <v>0</v>
      </c>
      <c r="G142" s="146">
        <v>0</v>
      </c>
      <c r="H142" s="91">
        <v>0</v>
      </c>
      <c r="I142" s="67">
        <v>0</v>
      </c>
      <c r="J142" s="739">
        <v>0</v>
      </c>
      <c r="K142" s="837" t="s">
        <v>644</v>
      </c>
      <c r="L142" s="740">
        <v>0</v>
      </c>
      <c r="M142" s="741">
        <v>0</v>
      </c>
      <c r="N142" s="67">
        <v>0</v>
      </c>
      <c r="O142" s="67">
        <v>0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0</v>
      </c>
      <c r="V142" s="71">
        <v>0</v>
      </c>
      <c r="W142" s="449">
        <v>0</v>
      </c>
      <c r="X142" s="67">
        <v>0</v>
      </c>
      <c r="Y142" s="163">
        <v>0</v>
      </c>
      <c r="Z142" s="166">
        <v>0</v>
      </c>
      <c r="AA142" s="858" t="s">
        <v>644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599</v>
      </c>
      <c r="B143" s="784" t="s">
        <v>250</v>
      </c>
      <c r="C143" s="784" t="s">
        <v>1481</v>
      </c>
      <c r="D143" s="134">
        <v>11</v>
      </c>
      <c r="E143" s="67">
        <v>1420</v>
      </c>
      <c r="F143" s="146">
        <v>0</v>
      </c>
      <c r="G143" s="146">
        <v>0</v>
      </c>
      <c r="H143" s="91">
        <v>1420</v>
      </c>
      <c r="I143" s="67">
        <v>0</v>
      </c>
      <c r="J143" s="739">
        <v>1420</v>
      </c>
      <c r="K143" s="837" t="s">
        <v>644</v>
      </c>
      <c r="L143" s="740">
        <v>1420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858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595</v>
      </c>
      <c r="B144" s="784" t="s">
        <v>510</v>
      </c>
      <c r="C144" s="784" t="s">
        <v>1604</v>
      </c>
      <c r="D144" s="134">
        <v>382.84000000000003</v>
      </c>
      <c r="E144" s="67">
        <v>49422</v>
      </c>
      <c r="F144" s="146">
        <v>0</v>
      </c>
      <c r="G144" s="146">
        <v>0</v>
      </c>
      <c r="H144" s="91">
        <v>49422</v>
      </c>
      <c r="I144" s="67">
        <v>0</v>
      </c>
      <c r="J144" s="739">
        <v>49422</v>
      </c>
      <c r="K144" s="837" t="s">
        <v>621</v>
      </c>
      <c r="L144" s="740">
        <v>0</v>
      </c>
      <c r="M144" s="741">
        <v>382.84000000000003</v>
      </c>
      <c r="N144" s="67">
        <v>612</v>
      </c>
      <c r="O144" s="67">
        <v>50034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50034</v>
      </c>
      <c r="V144" s="71">
        <v>130.69167276146692</v>
      </c>
      <c r="W144" s="449">
        <v>50034</v>
      </c>
      <c r="X144" s="67">
        <v>40222</v>
      </c>
      <c r="Y144" s="163">
        <v>9812</v>
      </c>
      <c r="Z144" s="166">
        <v>0.24394609914971907</v>
      </c>
      <c r="AA144" s="858" t="s">
        <v>621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605</v>
      </c>
      <c r="B145" s="784" t="s">
        <v>553</v>
      </c>
      <c r="C145" s="784" t="s">
        <v>639</v>
      </c>
      <c r="D145" s="134">
        <v>393.5</v>
      </c>
      <c r="E145" s="67">
        <v>50798</v>
      </c>
      <c r="F145" s="146">
        <v>0</v>
      </c>
      <c r="G145" s="146">
        <v>0</v>
      </c>
      <c r="H145" s="91">
        <v>50798</v>
      </c>
      <c r="I145" s="67">
        <v>0</v>
      </c>
      <c r="J145" s="739">
        <v>50798</v>
      </c>
      <c r="K145" s="837" t="s">
        <v>621</v>
      </c>
      <c r="L145" s="740">
        <v>0</v>
      </c>
      <c r="M145" s="741">
        <v>393.5</v>
      </c>
      <c r="N145" s="67">
        <v>629</v>
      </c>
      <c r="O145" s="67">
        <v>51427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51427</v>
      </c>
      <c r="V145" s="71">
        <v>130.69123252858958</v>
      </c>
      <c r="W145" s="449">
        <v>51427</v>
      </c>
      <c r="X145" s="67">
        <v>49876</v>
      </c>
      <c r="Y145" s="163">
        <v>1551</v>
      </c>
      <c r="Z145" s="166">
        <v>3.1097120859732135E-2</v>
      </c>
      <c r="AA145" s="858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601</v>
      </c>
      <c r="B146" s="784" t="s">
        <v>90</v>
      </c>
      <c r="C146" s="784" t="s">
        <v>1409</v>
      </c>
      <c r="D146" s="134">
        <v>5</v>
      </c>
      <c r="E146" s="67">
        <v>645</v>
      </c>
      <c r="F146" s="146">
        <v>0</v>
      </c>
      <c r="G146" s="146">
        <v>0</v>
      </c>
      <c r="H146" s="91">
        <v>645</v>
      </c>
      <c r="I146" s="67">
        <v>0</v>
      </c>
      <c r="J146" s="739">
        <v>645</v>
      </c>
      <c r="K146" s="837" t="s">
        <v>644</v>
      </c>
      <c r="L146" s="740">
        <v>645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858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601</v>
      </c>
      <c r="B147" s="784" t="s">
        <v>25</v>
      </c>
      <c r="C147" s="784" t="s">
        <v>1380</v>
      </c>
      <c r="D147" s="134">
        <v>232.16000000000003</v>
      </c>
      <c r="E147" s="67">
        <v>29970</v>
      </c>
      <c r="F147" s="146">
        <v>0</v>
      </c>
      <c r="G147" s="146">
        <v>0</v>
      </c>
      <c r="H147" s="91">
        <v>29970</v>
      </c>
      <c r="I147" s="67">
        <v>0</v>
      </c>
      <c r="J147" s="739">
        <v>29970</v>
      </c>
      <c r="K147" s="837" t="s">
        <v>621</v>
      </c>
      <c r="L147" s="740">
        <v>0</v>
      </c>
      <c r="M147" s="741">
        <v>232.16000000000003</v>
      </c>
      <c r="N147" s="67">
        <v>371</v>
      </c>
      <c r="O147" s="67">
        <v>30341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30341</v>
      </c>
      <c r="V147" s="71">
        <v>130.69004135079254</v>
      </c>
      <c r="W147" s="449">
        <v>30341</v>
      </c>
      <c r="X147" s="67">
        <v>34368</v>
      </c>
      <c r="Y147" s="163">
        <v>-4027</v>
      </c>
      <c r="Z147" s="166">
        <v>-0.11717295158286778</v>
      </c>
      <c r="AA147" s="858" t="s">
        <v>621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301</v>
      </c>
      <c r="C148" s="784" t="s">
        <v>1504</v>
      </c>
      <c r="D148" s="134">
        <v>0</v>
      </c>
      <c r="E148" s="67">
        <v>0</v>
      </c>
      <c r="F148" s="146">
        <v>0</v>
      </c>
      <c r="G148" s="146">
        <v>0</v>
      </c>
      <c r="H148" s="91">
        <v>0</v>
      </c>
      <c r="I148" s="67">
        <v>0</v>
      </c>
      <c r="J148" s="739">
        <v>0</v>
      </c>
      <c r="K148" s="837" t="s">
        <v>644</v>
      </c>
      <c r="L148" s="740">
        <v>0</v>
      </c>
      <c r="M148" s="741">
        <v>0</v>
      </c>
      <c r="N148" s="67">
        <v>0</v>
      </c>
      <c r="O148" s="67">
        <v>0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0</v>
      </c>
      <c r="V148" s="71">
        <v>0</v>
      </c>
      <c r="W148" s="449">
        <v>0</v>
      </c>
      <c r="X148" s="67">
        <v>0</v>
      </c>
      <c r="Y148" s="163">
        <v>0</v>
      </c>
      <c r="Z148" s="166">
        <v>0</v>
      </c>
      <c r="AA148" s="858" t="s">
        <v>644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603</v>
      </c>
      <c r="B149" s="784" t="s">
        <v>466</v>
      </c>
      <c r="C149" s="784" t="s">
        <v>1585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837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858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595</v>
      </c>
      <c r="B150" s="784" t="s">
        <v>405</v>
      </c>
      <c r="C150" s="784" t="s">
        <v>1553</v>
      </c>
      <c r="D150" s="134">
        <v>1392.6733333333332</v>
      </c>
      <c r="E150" s="67">
        <v>179785</v>
      </c>
      <c r="F150" s="146">
        <v>0</v>
      </c>
      <c r="G150" s="146">
        <v>0</v>
      </c>
      <c r="H150" s="91">
        <v>179785</v>
      </c>
      <c r="I150" s="67">
        <v>0</v>
      </c>
      <c r="J150" s="739">
        <v>179785</v>
      </c>
      <c r="K150" s="837" t="s">
        <v>621</v>
      </c>
      <c r="L150" s="740">
        <v>0</v>
      </c>
      <c r="M150" s="741">
        <v>1392.6733333333332</v>
      </c>
      <c r="N150" s="67">
        <v>2227</v>
      </c>
      <c r="O150" s="67">
        <v>182012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182012</v>
      </c>
      <c r="V150" s="71">
        <v>130.69252899698901</v>
      </c>
      <c r="W150" s="449">
        <v>182012</v>
      </c>
      <c r="X150" s="67">
        <v>161381</v>
      </c>
      <c r="Y150" s="163">
        <v>20631</v>
      </c>
      <c r="Z150" s="166">
        <v>0.12784032816750424</v>
      </c>
      <c r="AA150" s="858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138</v>
      </c>
      <c r="C151" s="784" t="s">
        <v>1431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837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858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603</v>
      </c>
      <c r="B152" s="784" t="s">
        <v>432</v>
      </c>
      <c r="C152" s="784" t="s">
        <v>1567</v>
      </c>
      <c r="D152" s="134">
        <v>370.33666666666664</v>
      </c>
      <c r="E152" s="67">
        <v>47808</v>
      </c>
      <c r="F152" s="146">
        <v>0</v>
      </c>
      <c r="G152" s="146">
        <v>0</v>
      </c>
      <c r="H152" s="91">
        <v>47808</v>
      </c>
      <c r="I152" s="67">
        <v>0</v>
      </c>
      <c r="J152" s="739">
        <v>47808</v>
      </c>
      <c r="K152" s="837" t="s">
        <v>621</v>
      </c>
      <c r="L152" s="740">
        <v>0</v>
      </c>
      <c r="M152" s="741">
        <v>370.33666666666664</v>
      </c>
      <c r="N152" s="67">
        <v>592</v>
      </c>
      <c r="O152" s="67">
        <v>48400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48400</v>
      </c>
      <c r="V152" s="71">
        <v>130.69189296225957</v>
      </c>
      <c r="W152" s="449">
        <v>48400</v>
      </c>
      <c r="X152" s="67">
        <v>38554</v>
      </c>
      <c r="Y152" s="163">
        <v>9846</v>
      </c>
      <c r="Z152" s="166">
        <v>0.25538206152409609</v>
      </c>
      <c r="AA152" s="858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430</v>
      </c>
      <c r="C153" s="784" t="s">
        <v>1566</v>
      </c>
      <c r="D153" s="134">
        <v>10.33</v>
      </c>
      <c r="E153" s="67">
        <v>1334</v>
      </c>
      <c r="F153" s="146">
        <v>0</v>
      </c>
      <c r="G153" s="146">
        <v>0</v>
      </c>
      <c r="H153" s="91">
        <v>1334</v>
      </c>
      <c r="I153" s="67">
        <v>0</v>
      </c>
      <c r="J153" s="739">
        <v>1334</v>
      </c>
      <c r="K153" s="837" t="s">
        <v>644</v>
      </c>
      <c r="L153" s="740">
        <v>1334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858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597</v>
      </c>
      <c r="B154" s="784" t="s">
        <v>179</v>
      </c>
      <c r="C154" s="784" t="s">
        <v>1451</v>
      </c>
      <c r="D154" s="134">
        <v>163.66999999999999</v>
      </c>
      <c r="E154" s="67">
        <v>21129</v>
      </c>
      <c r="F154" s="146">
        <v>0</v>
      </c>
      <c r="G154" s="146">
        <v>0</v>
      </c>
      <c r="H154" s="91">
        <v>21129</v>
      </c>
      <c r="I154" s="67">
        <v>0</v>
      </c>
      <c r="J154" s="739">
        <v>21129</v>
      </c>
      <c r="K154" s="837" t="s">
        <v>621</v>
      </c>
      <c r="L154" s="740">
        <v>0</v>
      </c>
      <c r="M154" s="741">
        <v>163.66999999999999</v>
      </c>
      <c r="N154" s="67">
        <v>262</v>
      </c>
      <c r="O154" s="67">
        <v>21391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21391</v>
      </c>
      <c r="V154" s="71">
        <v>130.69591250687358</v>
      </c>
      <c r="W154" s="449">
        <v>21391</v>
      </c>
      <c r="X154" s="67">
        <v>18597</v>
      </c>
      <c r="Y154" s="163">
        <v>2794</v>
      </c>
      <c r="Z154" s="166">
        <v>0.15023928590632898</v>
      </c>
      <c r="AA154" s="858" t="s">
        <v>621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595</v>
      </c>
      <c r="B155" s="784" t="s">
        <v>512</v>
      </c>
      <c r="C155" s="784" t="s">
        <v>1605</v>
      </c>
      <c r="D155" s="134">
        <v>214.83333333333334</v>
      </c>
      <c r="E155" s="67">
        <v>27734</v>
      </c>
      <c r="F155" s="146">
        <v>0</v>
      </c>
      <c r="G155" s="146">
        <v>0</v>
      </c>
      <c r="H155" s="91">
        <v>27734</v>
      </c>
      <c r="I155" s="67">
        <v>0</v>
      </c>
      <c r="J155" s="739">
        <v>27734</v>
      </c>
      <c r="K155" s="837" t="s">
        <v>621</v>
      </c>
      <c r="L155" s="740">
        <v>0</v>
      </c>
      <c r="M155" s="741">
        <v>214.83333333333334</v>
      </c>
      <c r="N155" s="67">
        <v>344</v>
      </c>
      <c r="O155" s="67">
        <v>28078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28078</v>
      </c>
      <c r="V155" s="71">
        <v>130.69666408068269</v>
      </c>
      <c r="W155" s="449">
        <v>28078</v>
      </c>
      <c r="X155" s="67">
        <v>19354</v>
      </c>
      <c r="Y155" s="163">
        <v>8724</v>
      </c>
      <c r="Z155" s="166">
        <v>0.4507595329130929</v>
      </c>
      <c r="AA155" s="858" t="s">
        <v>621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601</v>
      </c>
      <c r="B156" s="784" t="s">
        <v>319</v>
      </c>
      <c r="C156" s="784" t="s">
        <v>1512</v>
      </c>
      <c r="D156" s="134">
        <v>20</v>
      </c>
      <c r="E156" s="67">
        <v>2582</v>
      </c>
      <c r="F156" s="146">
        <v>0</v>
      </c>
      <c r="G156" s="146">
        <v>0</v>
      </c>
      <c r="H156" s="91">
        <v>2582</v>
      </c>
      <c r="I156" s="67">
        <v>0</v>
      </c>
      <c r="J156" s="739">
        <v>2582</v>
      </c>
      <c r="K156" s="837" t="s">
        <v>644</v>
      </c>
      <c r="L156" s="740">
        <v>2582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858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599</v>
      </c>
      <c r="B157" s="784" t="s">
        <v>391</v>
      </c>
      <c r="C157" s="784" t="s">
        <v>1547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837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858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595</v>
      </c>
      <c r="B158" s="784" t="s">
        <v>409</v>
      </c>
      <c r="C158" s="784" t="s">
        <v>1555</v>
      </c>
      <c r="D158" s="134">
        <v>646.84</v>
      </c>
      <c r="E158" s="67">
        <v>83503</v>
      </c>
      <c r="F158" s="146">
        <v>0</v>
      </c>
      <c r="G158" s="146">
        <v>0</v>
      </c>
      <c r="H158" s="91">
        <v>83503</v>
      </c>
      <c r="I158" s="67">
        <v>0</v>
      </c>
      <c r="J158" s="739">
        <v>83503</v>
      </c>
      <c r="K158" s="837" t="s">
        <v>621</v>
      </c>
      <c r="L158" s="740">
        <v>0</v>
      </c>
      <c r="M158" s="741">
        <v>646.84</v>
      </c>
      <c r="N158" s="67">
        <v>1034</v>
      </c>
      <c r="O158" s="67">
        <v>84537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84537</v>
      </c>
      <c r="V158" s="71">
        <v>130.69228866489394</v>
      </c>
      <c r="W158" s="449">
        <v>84537</v>
      </c>
      <c r="X158" s="67">
        <v>71161</v>
      </c>
      <c r="Y158" s="163">
        <v>13376</v>
      </c>
      <c r="Z158" s="166">
        <v>0.18796812860977222</v>
      </c>
      <c r="AA158" s="858" t="s">
        <v>621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594</v>
      </c>
      <c r="B159" s="784" t="s">
        <v>139</v>
      </c>
      <c r="C159" s="784" t="s">
        <v>1432</v>
      </c>
      <c r="D159" s="134">
        <v>27</v>
      </c>
      <c r="E159" s="67">
        <v>3486</v>
      </c>
      <c r="F159" s="146">
        <v>0</v>
      </c>
      <c r="G159" s="146">
        <v>0</v>
      </c>
      <c r="H159" s="91">
        <v>3486</v>
      </c>
      <c r="I159" s="67">
        <v>0</v>
      </c>
      <c r="J159" s="739">
        <v>3486</v>
      </c>
      <c r="K159" s="837" t="s">
        <v>644</v>
      </c>
      <c r="L159" s="740">
        <v>3486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858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594</v>
      </c>
      <c r="B160" s="784" t="s">
        <v>260</v>
      </c>
      <c r="C160" s="784" t="s">
        <v>1484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837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858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601</v>
      </c>
      <c r="B161" s="784" t="s">
        <v>125</v>
      </c>
      <c r="C161" s="784" t="s">
        <v>1426</v>
      </c>
      <c r="D161" s="134">
        <v>1351.6666666666667</v>
      </c>
      <c r="E161" s="67">
        <v>174491</v>
      </c>
      <c r="F161" s="146">
        <v>0</v>
      </c>
      <c r="G161" s="146">
        <v>0</v>
      </c>
      <c r="H161" s="91">
        <v>174491</v>
      </c>
      <c r="I161" s="67">
        <v>0</v>
      </c>
      <c r="J161" s="739">
        <v>174491</v>
      </c>
      <c r="K161" s="837" t="s">
        <v>621</v>
      </c>
      <c r="L161" s="740">
        <v>0</v>
      </c>
      <c r="M161" s="741">
        <v>1351.6666666666667</v>
      </c>
      <c r="N161" s="67">
        <v>2162</v>
      </c>
      <c r="O161" s="67">
        <v>176653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176653</v>
      </c>
      <c r="V161" s="71">
        <v>130.69272503082613</v>
      </c>
      <c r="W161" s="449">
        <v>176653</v>
      </c>
      <c r="X161" s="67">
        <v>158014</v>
      </c>
      <c r="Y161" s="163">
        <v>18639</v>
      </c>
      <c r="Z161" s="166">
        <v>0.1179579024643386</v>
      </c>
      <c r="AA161" s="858" t="s">
        <v>621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258</v>
      </c>
      <c r="C162" s="784" t="s">
        <v>1356</v>
      </c>
      <c r="D162" s="134">
        <v>53.66</v>
      </c>
      <c r="E162" s="67">
        <v>6927</v>
      </c>
      <c r="F162" s="146">
        <v>0</v>
      </c>
      <c r="G162" s="146">
        <v>0</v>
      </c>
      <c r="H162" s="91">
        <v>6927</v>
      </c>
      <c r="I162" s="67">
        <v>0</v>
      </c>
      <c r="J162" s="739">
        <v>6927</v>
      </c>
      <c r="K162" s="837" t="s">
        <v>1306</v>
      </c>
      <c r="L162" s="740">
        <v>0</v>
      </c>
      <c r="M162" s="741">
        <v>53.66</v>
      </c>
      <c r="N162" s="67">
        <v>86</v>
      </c>
      <c r="O162" s="67">
        <v>7013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7013</v>
      </c>
      <c r="V162" s="71">
        <v>130.69325382035035</v>
      </c>
      <c r="W162" s="449">
        <v>0</v>
      </c>
      <c r="X162" s="67">
        <v>7383</v>
      </c>
      <c r="Y162" s="163">
        <v>-370</v>
      </c>
      <c r="Z162" s="166">
        <v>-5.0115129351212241E-2</v>
      </c>
      <c r="AA162" s="858" t="s">
        <v>1306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605</v>
      </c>
      <c r="B163" s="784" t="s">
        <v>571</v>
      </c>
      <c r="C163" s="784" t="s">
        <v>1632</v>
      </c>
      <c r="D163" s="134">
        <v>454.6633333333333</v>
      </c>
      <c r="E163" s="67">
        <v>58694</v>
      </c>
      <c r="F163" s="146">
        <v>0</v>
      </c>
      <c r="G163" s="146">
        <v>0</v>
      </c>
      <c r="H163" s="91">
        <v>58694</v>
      </c>
      <c r="I163" s="67">
        <v>0</v>
      </c>
      <c r="J163" s="739">
        <v>58694</v>
      </c>
      <c r="K163" s="837" t="s">
        <v>621</v>
      </c>
      <c r="L163" s="740">
        <v>0</v>
      </c>
      <c r="M163" s="741">
        <v>454.6633333333333</v>
      </c>
      <c r="N163" s="67">
        <v>727</v>
      </c>
      <c r="O163" s="67">
        <v>59421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59421</v>
      </c>
      <c r="V163" s="71">
        <v>130.69230712835139</v>
      </c>
      <c r="W163" s="449">
        <v>59421</v>
      </c>
      <c r="X163" s="67">
        <v>57459</v>
      </c>
      <c r="Y163" s="163">
        <v>1962</v>
      </c>
      <c r="Z163" s="166">
        <v>3.4146086774917768E-2</v>
      </c>
      <c r="AA163" s="858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595</v>
      </c>
      <c r="B164" s="784" t="s">
        <v>516</v>
      </c>
      <c r="C164" s="784" t="s">
        <v>1606</v>
      </c>
      <c r="D164" s="134">
        <v>149.5</v>
      </c>
      <c r="E164" s="67">
        <v>19299</v>
      </c>
      <c r="F164" s="146">
        <v>0</v>
      </c>
      <c r="G164" s="146">
        <v>0</v>
      </c>
      <c r="H164" s="91">
        <v>19299</v>
      </c>
      <c r="I164" s="67">
        <v>0</v>
      </c>
      <c r="J164" s="739">
        <v>19299</v>
      </c>
      <c r="K164" s="837" t="s">
        <v>621</v>
      </c>
      <c r="L164" s="740">
        <v>0</v>
      </c>
      <c r="M164" s="741">
        <v>149.5</v>
      </c>
      <c r="N164" s="67">
        <v>239</v>
      </c>
      <c r="O164" s="67">
        <v>19538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19538</v>
      </c>
      <c r="V164" s="71">
        <v>130.68896321070235</v>
      </c>
      <c r="W164" s="449">
        <v>19538</v>
      </c>
      <c r="X164" s="67">
        <v>13825</v>
      </c>
      <c r="Y164" s="163">
        <v>5713</v>
      </c>
      <c r="Z164" s="166">
        <v>0.41323688969258587</v>
      </c>
      <c r="AA164" s="858" t="s">
        <v>621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599</v>
      </c>
      <c r="B165" s="784" t="s">
        <v>389</v>
      </c>
      <c r="C165" s="784" t="s">
        <v>1546</v>
      </c>
      <c r="D165" s="134">
        <v>0</v>
      </c>
      <c r="E165" s="67">
        <v>0</v>
      </c>
      <c r="F165" s="146">
        <v>0</v>
      </c>
      <c r="G165" s="146">
        <v>0</v>
      </c>
      <c r="H165" s="91">
        <v>0</v>
      </c>
      <c r="I165" s="67">
        <v>0</v>
      </c>
      <c r="J165" s="739">
        <v>0</v>
      </c>
      <c r="K165" s="837" t="s">
        <v>644</v>
      </c>
      <c r="L165" s="740">
        <v>0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858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595</v>
      </c>
      <c r="B166" s="784" t="s">
        <v>386</v>
      </c>
      <c r="C166" s="784" t="s">
        <v>1544</v>
      </c>
      <c r="D166" s="134">
        <v>1650.8366666666668</v>
      </c>
      <c r="E166" s="67">
        <v>213112</v>
      </c>
      <c r="F166" s="146">
        <v>0</v>
      </c>
      <c r="G166" s="146">
        <v>0</v>
      </c>
      <c r="H166" s="91">
        <v>213112</v>
      </c>
      <c r="I166" s="67">
        <v>0</v>
      </c>
      <c r="J166" s="739">
        <v>213112</v>
      </c>
      <c r="K166" s="837" t="s">
        <v>1306</v>
      </c>
      <c r="L166" s="740">
        <v>0</v>
      </c>
      <c r="M166" s="741">
        <v>1650.8366666666668</v>
      </c>
      <c r="N166" s="67">
        <v>2640</v>
      </c>
      <c r="O166" s="67">
        <v>215752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215752</v>
      </c>
      <c r="V166" s="71">
        <v>130.69251753151431</v>
      </c>
      <c r="W166" s="449">
        <v>0</v>
      </c>
      <c r="X166" s="67">
        <v>204598</v>
      </c>
      <c r="Y166" s="163">
        <v>11154</v>
      </c>
      <c r="Z166" s="166">
        <v>5.4516661941954467E-2</v>
      </c>
      <c r="AA166" s="858" t="s">
        <v>1306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595</v>
      </c>
      <c r="B167" s="784" t="s">
        <v>399</v>
      </c>
      <c r="C167" s="784" t="s">
        <v>1550</v>
      </c>
      <c r="D167" s="134">
        <v>3245.67</v>
      </c>
      <c r="E167" s="67">
        <v>418994</v>
      </c>
      <c r="F167" s="146">
        <v>0</v>
      </c>
      <c r="G167" s="146">
        <v>0</v>
      </c>
      <c r="H167" s="91">
        <v>418994</v>
      </c>
      <c r="I167" s="67">
        <v>0</v>
      </c>
      <c r="J167" s="739">
        <v>418994</v>
      </c>
      <c r="K167" s="837" t="s">
        <v>621</v>
      </c>
      <c r="L167" s="740">
        <v>0</v>
      </c>
      <c r="M167" s="741">
        <v>3245.67</v>
      </c>
      <c r="N167" s="67">
        <v>5191</v>
      </c>
      <c r="O167" s="67">
        <v>424185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424185</v>
      </c>
      <c r="V167" s="71">
        <v>130.69258427381712</v>
      </c>
      <c r="W167" s="449">
        <v>424185</v>
      </c>
      <c r="X167" s="67">
        <v>382599</v>
      </c>
      <c r="Y167" s="163">
        <v>41586</v>
      </c>
      <c r="Z167" s="166">
        <v>0.10869343620866756</v>
      </c>
      <c r="AA167" s="858" t="s">
        <v>621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605</v>
      </c>
      <c r="B168" s="784" t="s">
        <v>545</v>
      </c>
      <c r="C168" s="784" t="s">
        <v>1621</v>
      </c>
      <c r="D168" s="134">
        <v>92.83</v>
      </c>
      <c r="E168" s="67">
        <v>11984</v>
      </c>
      <c r="F168" s="146">
        <v>0</v>
      </c>
      <c r="G168" s="146">
        <v>0</v>
      </c>
      <c r="H168" s="91">
        <v>11984</v>
      </c>
      <c r="I168" s="67">
        <v>0</v>
      </c>
      <c r="J168" s="739">
        <v>11984</v>
      </c>
      <c r="K168" s="837" t="s">
        <v>621</v>
      </c>
      <c r="L168" s="740">
        <v>0</v>
      </c>
      <c r="M168" s="741">
        <v>92.83</v>
      </c>
      <c r="N168" s="67">
        <v>148</v>
      </c>
      <c r="O168" s="67">
        <v>12132</v>
      </c>
      <c r="Q168" s="674">
        <v>0</v>
      </c>
      <c r="R168" s="674" t="s">
        <v>1730</v>
      </c>
      <c r="S168" s="798" t="s">
        <v>801</v>
      </c>
      <c r="T168" s="798">
        <v>0</v>
      </c>
      <c r="U168" s="88">
        <v>12132</v>
      </c>
      <c r="V168" s="71">
        <v>130.69050953355597</v>
      </c>
      <c r="W168" s="449">
        <v>12132</v>
      </c>
      <c r="X168" s="67">
        <v>10442</v>
      </c>
      <c r="Y168" s="163">
        <v>1690</v>
      </c>
      <c r="Z168" s="166">
        <v>0.16184638958054012</v>
      </c>
      <c r="AA168" s="858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594</v>
      </c>
      <c r="B169" s="784" t="s">
        <v>252</v>
      </c>
      <c r="C169" s="784" t="s">
        <v>1482</v>
      </c>
      <c r="D169" s="134">
        <v>17.670000000000002</v>
      </c>
      <c r="E169" s="67">
        <v>2281</v>
      </c>
      <c r="F169" s="146">
        <v>0</v>
      </c>
      <c r="G169" s="146">
        <v>0</v>
      </c>
      <c r="H169" s="91">
        <v>2281</v>
      </c>
      <c r="I169" s="67">
        <v>0</v>
      </c>
      <c r="J169" s="739">
        <v>2281</v>
      </c>
      <c r="K169" s="837" t="s">
        <v>644</v>
      </c>
      <c r="L169" s="740">
        <v>2281</v>
      </c>
      <c r="M169" s="741">
        <v>0</v>
      </c>
      <c r="N169" s="67">
        <v>0</v>
      </c>
      <c r="O169" s="67">
        <v>0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0</v>
      </c>
      <c r="V169" s="71">
        <v>0</v>
      </c>
      <c r="W169" s="449">
        <v>0</v>
      </c>
      <c r="X169" s="67">
        <v>0</v>
      </c>
      <c r="Y169" s="163">
        <v>0</v>
      </c>
      <c r="Z169" s="166">
        <v>0</v>
      </c>
      <c r="AA169" s="858" t="s">
        <v>644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599</v>
      </c>
      <c r="B170" s="784" t="s">
        <v>331</v>
      </c>
      <c r="C170" s="784" t="s">
        <v>1516</v>
      </c>
      <c r="D170" s="134">
        <v>22.34</v>
      </c>
      <c r="E170" s="67">
        <v>2884</v>
      </c>
      <c r="F170" s="146">
        <v>0</v>
      </c>
      <c r="G170" s="146">
        <v>0</v>
      </c>
      <c r="H170" s="91">
        <v>2884</v>
      </c>
      <c r="I170" s="67">
        <v>0</v>
      </c>
      <c r="J170" s="739">
        <v>2884</v>
      </c>
      <c r="K170" s="837" t="s">
        <v>1306</v>
      </c>
      <c r="L170" s="740">
        <v>0</v>
      </c>
      <c r="M170" s="741">
        <v>22.34</v>
      </c>
      <c r="N170" s="67">
        <v>36</v>
      </c>
      <c r="O170" s="67">
        <v>2920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2920</v>
      </c>
      <c r="V170" s="71">
        <v>130.7072515666965</v>
      </c>
      <c r="W170" s="449">
        <v>0</v>
      </c>
      <c r="X170" s="67">
        <v>1313</v>
      </c>
      <c r="Y170" s="163">
        <v>1607</v>
      </c>
      <c r="Z170" s="166">
        <v>1.2239146991622238</v>
      </c>
      <c r="AA170" s="858" t="s">
        <v>1306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309</v>
      </c>
      <c r="C171" s="784" t="s">
        <v>1309</v>
      </c>
      <c r="D171" s="134">
        <v>3</v>
      </c>
      <c r="E171" s="67">
        <v>387</v>
      </c>
      <c r="F171" s="146">
        <v>0</v>
      </c>
      <c r="G171" s="146">
        <v>0</v>
      </c>
      <c r="H171" s="91">
        <v>387</v>
      </c>
      <c r="I171" s="67">
        <v>0</v>
      </c>
      <c r="J171" s="739">
        <v>387</v>
      </c>
      <c r="K171" s="837" t="s">
        <v>644</v>
      </c>
      <c r="L171" s="740">
        <v>387</v>
      </c>
      <c r="M171" s="741">
        <v>0</v>
      </c>
      <c r="N171" s="67">
        <v>0</v>
      </c>
      <c r="O171" s="67">
        <v>0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0</v>
      </c>
      <c r="V171" s="71">
        <v>0</v>
      </c>
      <c r="W171" s="449">
        <v>0</v>
      </c>
      <c r="X171" s="67">
        <v>13624</v>
      </c>
      <c r="Y171" s="163">
        <v>-13624</v>
      </c>
      <c r="Z171" s="166">
        <v>-1</v>
      </c>
      <c r="AA171" s="858" t="s">
        <v>644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603</v>
      </c>
      <c r="B172" s="784" t="s">
        <v>336</v>
      </c>
      <c r="C172" s="784" t="s">
        <v>1519</v>
      </c>
      <c r="D172" s="134">
        <v>0</v>
      </c>
      <c r="E172" s="67">
        <v>0</v>
      </c>
      <c r="F172" s="146">
        <v>0</v>
      </c>
      <c r="G172" s="146">
        <v>0</v>
      </c>
      <c r="H172" s="91">
        <v>0</v>
      </c>
      <c r="I172" s="67">
        <v>0</v>
      </c>
      <c r="J172" s="739">
        <v>0</v>
      </c>
      <c r="K172" s="837" t="s">
        <v>644</v>
      </c>
      <c r="L172" s="740">
        <v>0</v>
      </c>
      <c r="M172" s="741">
        <v>0</v>
      </c>
      <c r="N172" s="67">
        <v>0</v>
      </c>
      <c r="O172" s="67">
        <v>0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858" t="s">
        <v>644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603</v>
      </c>
      <c r="B173" s="784" t="s">
        <v>428</v>
      </c>
      <c r="C173" s="784" t="s">
        <v>1565</v>
      </c>
      <c r="D173" s="134">
        <v>0</v>
      </c>
      <c r="E173" s="67">
        <v>0</v>
      </c>
      <c r="F173" s="146">
        <v>0</v>
      </c>
      <c r="G173" s="146">
        <v>0</v>
      </c>
      <c r="H173" s="91">
        <v>0</v>
      </c>
      <c r="I173" s="67">
        <v>0</v>
      </c>
      <c r="J173" s="739">
        <v>0</v>
      </c>
      <c r="K173" s="837" t="s">
        <v>644</v>
      </c>
      <c r="L173" s="740">
        <v>0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858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595</v>
      </c>
      <c r="B174" s="784" t="s">
        <v>514</v>
      </c>
      <c r="C174" s="784" t="s">
        <v>685</v>
      </c>
      <c r="D174" s="134">
        <v>265.66666666666669</v>
      </c>
      <c r="E174" s="67">
        <v>34296</v>
      </c>
      <c r="F174" s="146">
        <v>0</v>
      </c>
      <c r="G174" s="146">
        <v>0</v>
      </c>
      <c r="H174" s="91">
        <v>34296</v>
      </c>
      <c r="I174" s="67">
        <v>0</v>
      </c>
      <c r="J174" s="739">
        <v>34296</v>
      </c>
      <c r="K174" s="837" t="s">
        <v>621</v>
      </c>
      <c r="L174" s="740">
        <v>0</v>
      </c>
      <c r="M174" s="741">
        <v>265.66666666666669</v>
      </c>
      <c r="N174" s="67">
        <v>425</v>
      </c>
      <c r="O174" s="67">
        <v>34721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34721</v>
      </c>
      <c r="V174" s="71">
        <v>130.69385194479295</v>
      </c>
      <c r="W174" s="449">
        <v>34721</v>
      </c>
      <c r="X174" s="67">
        <v>31448</v>
      </c>
      <c r="Y174" s="163">
        <v>3273</v>
      </c>
      <c r="Z174" s="166">
        <v>0.10407657084711269</v>
      </c>
      <c r="AA174" s="858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594</v>
      </c>
      <c r="B175" s="784" t="s">
        <v>136</v>
      </c>
      <c r="C175" s="784" t="s">
        <v>1430</v>
      </c>
      <c r="D175" s="134">
        <v>57.836666666666666</v>
      </c>
      <c r="E175" s="67">
        <v>7466</v>
      </c>
      <c r="F175" s="146">
        <v>0</v>
      </c>
      <c r="G175" s="146">
        <v>0</v>
      </c>
      <c r="H175" s="91">
        <v>7466</v>
      </c>
      <c r="I175" s="67">
        <v>0</v>
      </c>
      <c r="J175" s="739">
        <v>7466</v>
      </c>
      <c r="K175" s="837" t="s">
        <v>1306</v>
      </c>
      <c r="L175" s="740">
        <v>0</v>
      </c>
      <c r="M175" s="741">
        <v>57.836666666666666</v>
      </c>
      <c r="N175" s="67">
        <v>92</v>
      </c>
      <c r="O175" s="67">
        <v>7558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7558</v>
      </c>
      <c r="V175" s="71">
        <v>130.67834706933317</v>
      </c>
      <c r="W175" s="449">
        <v>0</v>
      </c>
      <c r="X175" s="67">
        <v>0</v>
      </c>
      <c r="Y175" s="163">
        <v>7558</v>
      </c>
      <c r="Z175" s="166">
        <v>0</v>
      </c>
      <c r="AA175" s="858" t="s">
        <v>1306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596</v>
      </c>
      <c r="B176" s="784" t="s">
        <v>106</v>
      </c>
      <c r="C176" s="784" t="s">
        <v>1417</v>
      </c>
      <c r="D176" s="134">
        <v>778.8366666666667</v>
      </c>
      <c r="E176" s="67">
        <v>100543</v>
      </c>
      <c r="F176" s="146">
        <v>0</v>
      </c>
      <c r="G176" s="146">
        <v>0</v>
      </c>
      <c r="H176" s="91">
        <v>100543</v>
      </c>
      <c r="I176" s="67">
        <v>0</v>
      </c>
      <c r="J176" s="739">
        <v>100543</v>
      </c>
      <c r="K176" s="837" t="s">
        <v>621</v>
      </c>
      <c r="L176" s="740">
        <v>0</v>
      </c>
      <c r="M176" s="741">
        <v>778.8366666666667</v>
      </c>
      <c r="N176" s="67">
        <v>1246</v>
      </c>
      <c r="O176" s="67">
        <v>101789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101789</v>
      </c>
      <c r="V176" s="71">
        <v>130.69364137110477</v>
      </c>
      <c r="W176" s="449">
        <v>101789</v>
      </c>
      <c r="X176" s="67">
        <v>90947</v>
      </c>
      <c r="Y176" s="163">
        <v>10842</v>
      </c>
      <c r="Z176" s="166">
        <v>0.11921228847570563</v>
      </c>
      <c r="AA176" s="858" t="s">
        <v>621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600</v>
      </c>
      <c r="B177" s="784" t="s">
        <v>214</v>
      </c>
      <c r="C177" s="784" t="s">
        <v>625</v>
      </c>
      <c r="D177" s="134">
        <v>265.5</v>
      </c>
      <c r="E177" s="67">
        <v>34274</v>
      </c>
      <c r="F177" s="146">
        <v>0</v>
      </c>
      <c r="G177" s="146">
        <v>0</v>
      </c>
      <c r="H177" s="91">
        <v>34274</v>
      </c>
      <c r="I177" s="67">
        <v>0</v>
      </c>
      <c r="J177" s="739">
        <v>34274</v>
      </c>
      <c r="K177" s="837" t="s">
        <v>621</v>
      </c>
      <c r="L177" s="740">
        <v>0</v>
      </c>
      <c r="M177" s="741">
        <v>265.5</v>
      </c>
      <c r="N177" s="67">
        <v>425</v>
      </c>
      <c r="O177" s="67">
        <v>34699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34699</v>
      </c>
      <c r="V177" s="71">
        <v>130.69303201506591</v>
      </c>
      <c r="W177" s="449">
        <v>34699</v>
      </c>
      <c r="X177" s="67">
        <v>28297</v>
      </c>
      <c r="Y177" s="163">
        <v>6402</v>
      </c>
      <c r="Z177" s="166">
        <v>0.22624306463582711</v>
      </c>
      <c r="AA177" s="858" t="s">
        <v>621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600</v>
      </c>
      <c r="B178" s="784" t="s">
        <v>305</v>
      </c>
      <c r="C178" s="784" t="s">
        <v>1506</v>
      </c>
      <c r="D178" s="134">
        <v>339.5</v>
      </c>
      <c r="E178" s="67">
        <v>43827</v>
      </c>
      <c r="F178" s="146">
        <v>0</v>
      </c>
      <c r="G178" s="146">
        <v>0</v>
      </c>
      <c r="H178" s="91">
        <v>43827</v>
      </c>
      <c r="I178" s="67">
        <v>0</v>
      </c>
      <c r="J178" s="739">
        <v>43827</v>
      </c>
      <c r="K178" s="837" t="s">
        <v>621</v>
      </c>
      <c r="L178" s="740">
        <v>0</v>
      </c>
      <c r="M178" s="741">
        <v>339.5</v>
      </c>
      <c r="N178" s="67">
        <v>543</v>
      </c>
      <c r="O178" s="67">
        <v>44370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44370</v>
      </c>
      <c r="V178" s="71">
        <v>130.69219440353461</v>
      </c>
      <c r="W178" s="449">
        <v>44370</v>
      </c>
      <c r="X178" s="67">
        <v>26598</v>
      </c>
      <c r="Y178" s="163">
        <v>17772</v>
      </c>
      <c r="Z178" s="166">
        <v>0.66817053913828106</v>
      </c>
      <c r="AA178" s="858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594</v>
      </c>
      <c r="B179" s="784" t="s">
        <v>334</v>
      </c>
      <c r="C179" s="784" t="s">
        <v>1518</v>
      </c>
      <c r="D179" s="134">
        <v>0</v>
      </c>
      <c r="E179" s="67">
        <v>0</v>
      </c>
      <c r="F179" s="146">
        <v>0</v>
      </c>
      <c r="G179" s="146">
        <v>0</v>
      </c>
      <c r="H179" s="91">
        <v>0</v>
      </c>
      <c r="I179" s="67">
        <v>0</v>
      </c>
      <c r="J179" s="739">
        <v>0</v>
      </c>
      <c r="K179" s="837" t="s">
        <v>644</v>
      </c>
      <c r="L179" s="740">
        <v>0</v>
      </c>
      <c r="M179" s="741">
        <v>0</v>
      </c>
      <c r="N179" s="67">
        <v>0</v>
      </c>
      <c r="O179" s="67">
        <v>0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0</v>
      </c>
      <c r="V179" s="71">
        <v>0</v>
      </c>
      <c r="W179" s="449">
        <v>0</v>
      </c>
      <c r="X179" s="67">
        <v>0</v>
      </c>
      <c r="Y179" s="163">
        <v>0</v>
      </c>
      <c r="Z179" s="166">
        <v>0</v>
      </c>
      <c r="AA179" s="858" t="s">
        <v>644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474</v>
      </c>
      <c r="C180" s="784" t="s">
        <v>631</v>
      </c>
      <c r="D180" s="134">
        <v>866.83666666666659</v>
      </c>
      <c r="E180" s="67">
        <v>111903</v>
      </c>
      <c r="F180" s="146">
        <v>0</v>
      </c>
      <c r="G180" s="146">
        <v>0</v>
      </c>
      <c r="H180" s="91">
        <v>111903</v>
      </c>
      <c r="I180" s="67">
        <v>0</v>
      </c>
      <c r="J180" s="739">
        <v>111903</v>
      </c>
      <c r="K180" s="837" t="s">
        <v>621</v>
      </c>
      <c r="L180" s="740">
        <v>0</v>
      </c>
      <c r="M180" s="741">
        <v>866.83666666666659</v>
      </c>
      <c r="N180" s="67">
        <v>1386</v>
      </c>
      <c r="O180" s="67">
        <v>113289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113289</v>
      </c>
      <c r="V180" s="71">
        <v>130.6924410980923</v>
      </c>
      <c r="W180" s="449">
        <v>113289</v>
      </c>
      <c r="X180" s="67">
        <v>95518</v>
      </c>
      <c r="Y180" s="163">
        <v>17771</v>
      </c>
      <c r="Z180" s="166">
        <v>0.18604870286228772</v>
      </c>
      <c r="AA180" s="858" t="s">
        <v>621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603</v>
      </c>
      <c r="B181" s="784" t="s">
        <v>468</v>
      </c>
      <c r="C181" s="784" t="s">
        <v>1586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837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858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597</v>
      </c>
      <c r="B182" s="784" t="s">
        <v>209</v>
      </c>
      <c r="C182" s="784" t="s">
        <v>637</v>
      </c>
      <c r="D182" s="134">
        <v>1848.1633333333332</v>
      </c>
      <c r="E182" s="67">
        <v>238586</v>
      </c>
      <c r="F182" s="146">
        <v>0</v>
      </c>
      <c r="G182" s="146">
        <v>0</v>
      </c>
      <c r="H182" s="91">
        <v>238586</v>
      </c>
      <c r="I182" s="67">
        <v>0</v>
      </c>
      <c r="J182" s="739">
        <v>238586</v>
      </c>
      <c r="K182" s="837" t="s">
        <v>621</v>
      </c>
      <c r="L182" s="740">
        <v>0</v>
      </c>
      <c r="M182" s="741">
        <v>1848.1633333333332</v>
      </c>
      <c r="N182" s="67">
        <v>2956</v>
      </c>
      <c r="O182" s="67">
        <v>241542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241542</v>
      </c>
      <c r="V182" s="71">
        <v>130.69299430605881</v>
      </c>
      <c r="W182" s="449">
        <v>241542</v>
      </c>
      <c r="X182" s="67">
        <v>206978</v>
      </c>
      <c r="Y182" s="163">
        <v>34564</v>
      </c>
      <c r="Z182" s="166">
        <v>0.16699359352201684</v>
      </c>
      <c r="AA182" s="858" t="s">
        <v>621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595</v>
      </c>
      <c r="B183" s="784" t="s">
        <v>157</v>
      </c>
      <c r="C183" s="784" t="s">
        <v>1440</v>
      </c>
      <c r="D183" s="134">
        <v>256</v>
      </c>
      <c r="E183" s="67">
        <v>33048</v>
      </c>
      <c r="F183" s="146">
        <v>0</v>
      </c>
      <c r="G183" s="146">
        <v>0</v>
      </c>
      <c r="H183" s="91">
        <v>33048</v>
      </c>
      <c r="I183" s="67">
        <v>0</v>
      </c>
      <c r="J183" s="739">
        <v>33048</v>
      </c>
      <c r="K183" s="837" t="s">
        <v>621</v>
      </c>
      <c r="L183" s="740">
        <v>0</v>
      </c>
      <c r="M183" s="741">
        <v>256</v>
      </c>
      <c r="N183" s="67">
        <v>409</v>
      </c>
      <c r="O183" s="67">
        <v>33457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33457</v>
      </c>
      <c r="V183" s="71">
        <v>130.69140625</v>
      </c>
      <c r="W183" s="449">
        <v>33457</v>
      </c>
      <c r="X183" s="67">
        <v>29997</v>
      </c>
      <c r="Y183" s="163">
        <v>3460</v>
      </c>
      <c r="Z183" s="166">
        <v>0.11534486782011534</v>
      </c>
      <c r="AA183" s="858" t="s">
        <v>621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541</v>
      </c>
      <c r="C184" s="784" t="s">
        <v>1619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837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858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594</v>
      </c>
      <c r="B185" s="784" t="s">
        <v>155</v>
      </c>
      <c r="C185" s="784" t="s">
        <v>1439</v>
      </c>
      <c r="D185" s="134">
        <v>52.336666666666666</v>
      </c>
      <c r="E185" s="67">
        <v>6756</v>
      </c>
      <c r="F185" s="146">
        <v>0</v>
      </c>
      <c r="G185" s="146">
        <v>0</v>
      </c>
      <c r="H185" s="91">
        <v>6756</v>
      </c>
      <c r="I185" s="67">
        <v>0</v>
      </c>
      <c r="J185" s="739">
        <v>6756</v>
      </c>
      <c r="K185" s="837" t="s">
        <v>1306</v>
      </c>
      <c r="L185" s="740">
        <v>0</v>
      </c>
      <c r="M185" s="741">
        <v>52.336666666666666</v>
      </c>
      <c r="N185" s="67">
        <v>84</v>
      </c>
      <c r="O185" s="67">
        <v>6840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6840</v>
      </c>
      <c r="V185" s="71">
        <v>130.69231259155467</v>
      </c>
      <c r="W185" s="449">
        <v>0</v>
      </c>
      <c r="X185" s="67">
        <v>0</v>
      </c>
      <c r="Y185" s="163">
        <v>6840</v>
      </c>
      <c r="Z185" s="166">
        <v>0</v>
      </c>
      <c r="AA185" s="858" t="s">
        <v>1306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599</v>
      </c>
      <c r="B186" s="784" t="s">
        <v>325</v>
      </c>
      <c r="C186" s="784" t="s">
        <v>712</v>
      </c>
      <c r="D186" s="134">
        <v>51.503333333333337</v>
      </c>
      <c r="E186" s="67">
        <v>6649</v>
      </c>
      <c r="F186" s="146">
        <v>0</v>
      </c>
      <c r="G186" s="146">
        <v>0</v>
      </c>
      <c r="H186" s="91">
        <v>6649</v>
      </c>
      <c r="I186" s="67">
        <v>0</v>
      </c>
      <c r="J186" s="739">
        <v>6649</v>
      </c>
      <c r="K186" s="837" t="s">
        <v>1306</v>
      </c>
      <c r="L186" s="740">
        <v>0</v>
      </c>
      <c r="M186" s="741">
        <v>51.503333333333337</v>
      </c>
      <c r="N186" s="67">
        <v>82</v>
      </c>
      <c r="O186" s="67">
        <v>6731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6731</v>
      </c>
      <c r="V186" s="71">
        <v>130.69057018963173</v>
      </c>
      <c r="W186" s="449">
        <v>0</v>
      </c>
      <c r="X186" s="67">
        <v>8543</v>
      </c>
      <c r="Y186" s="163">
        <v>-1812</v>
      </c>
      <c r="Z186" s="166">
        <v>-0.2121034765304928</v>
      </c>
      <c r="AA186" s="858" t="s">
        <v>1306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594</v>
      </c>
      <c r="B187" s="784" t="s">
        <v>153</v>
      </c>
      <c r="C187" s="784" t="s">
        <v>1438</v>
      </c>
      <c r="D187" s="134">
        <v>55.16</v>
      </c>
      <c r="E187" s="67">
        <v>7121</v>
      </c>
      <c r="F187" s="146">
        <v>0</v>
      </c>
      <c r="G187" s="146">
        <v>0</v>
      </c>
      <c r="H187" s="91">
        <v>7121</v>
      </c>
      <c r="I187" s="67">
        <v>0</v>
      </c>
      <c r="J187" s="739">
        <v>7121</v>
      </c>
      <c r="K187" s="837" t="s">
        <v>1306</v>
      </c>
      <c r="L187" s="740">
        <v>0</v>
      </c>
      <c r="M187" s="741">
        <v>55.16</v>
      </c>
      <c r="N187" s="67">
        <v>88</v>
      </c>
      <c r="O187" s="67">
        <v>7209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7209</v>
      </c>
      <c r="V187" s="71">
        <v>130.69253081943438</v>
      </c>
      <c r="W187" s="449">
        <v>0</v>
      </c>
      <c r="X187" s="67">
        <v>7043</v>
      </c>
      <c r="Y187" s="163">
        <v>166</v>
      </c>
      <c r="Z187" s="166">
        <v>2.3569501632826919E-2</v>
      </c>
      <c r="AA187" s="858" t="s">
        <v>1306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603</v>
      </c>
      <c r="B188" s="784" t="s">
        <v>287</v>
      </c>
      <c r="C188" s="784" t="s">
        <v>1497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837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858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601</v>
      </c>
      <c r="B189" s="784" t="s">
        <v>313</v>
      </c>
      <c r="C189" s="784" t="s">
        <v>1509</v>
      </c>
      <c r="D189" s="134">
        <v>115.17</v>
      </c>
      <c r="E189" s="67">
        <v>14868</v>
      </c>
      <c r="F189" s="146">
        <v>0</v>
      </c>
      <c r="G189" s="146">
        <v>0</v>
      </c>
      <c r="H189" s="91">
        <v>14868</v>
      </c>
      <c r="I189" s="67">
        <v>0</v>
      </c>
      <c r="J189" s="739">
        <v>14868</v>
      </c>
      <c r="K189" s="837" t="s">
        <v>621</v>
      </c>
      <c r="L189" s="740">
        <v>0</v>
      </c>
      <c r="M189" s="741">
        <v>115.17</v>
      </c>
      <c r="N189" s="67">
        <v>184</v>
      </c>
      <c r="O189" s="67">
        <v>15052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15052</v>
      </c>
      <c r="V189" s="71">
        <v>130.69375705478856</v>
      </c>
      <c r="W189" s="449">
        <v>15052</v>
      </c>
      <c r="X189" s="67">
        <v>17717</v>
      </c>
      <c r="Y189" s="163">
        <v>-2665</v>
      </c>
      <c r="Z189" s="166">
        <v>-0.15042050008466445</v>
      </c>
      <c r="AA189" s="858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594</v>
      </c>
      <c r="B190" s="784" t="s">
        <v>478</v>
      </c>
      <c r="C190" s="784" t="s">
        <v>1590</v>
      </c>
      <c r="D190" s="134">
        <v>323.16666666666669</v>
      </c>
      <c r="E190" s="67">
        <v>41719</v>
      </c>
      <c r="F190" s="146">
        <v>0</v>
      </c>
      <c r="G190" s="146">
        <v>0</v>
      </c>
      <c r="H190" s="91">
        <v>41719</v>
      </c>
      <c r="I190" s="67">
        <v>0</v>
      </c>
      <c r="J190" s="739">
        <v>41719</v>
      </c>
      <c r="K190" s="837" t="s">
        <v>621</v>
      </c>
      <c r="L190" s="740">
        <v>0</v>
      </c>
      <c r="M190" s="741">
        <v>323.16666666666669</v>
      </c>
      <c r="N190" s="67">
        <v>517</v>
      </c>
      <c r="O190" s="67">
        <v>42236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42236</v>
      </c>
      <c r="V190" s="71">
        <v>130.69417225373903</v>
      </c>
      <c r="W190" s="449">
        <v>42236</v>
      </c>
      <c r="X190" s="67">
        <v>29873</v>
      </c>
      <c r="Y190" s="163">
        <v>12363</v>
      </c>
      <c r="Z190" s="166">
        <v>0.4138519733538647</v>
      </c>
      <c r="AA190" s="858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601</v>
      </c>
      <c r="B191" s="784" t="s">
        <v>311</v>
      </c>
      <c r="C191" s="784" t="s">
        <v>1508</v>
      </c>
      <c r="D191" s="134">
        <v>266.16000000000003</v>
      </c>
      <c r="E191" s="67">
        <v>34359</v>
      </c>
      <c r="F191" s="146">
        <v>0</v>
      </c>
      <c r="G191" s="146">
        <v>0</v>
      </c>
      <c r="H191" s="91">
        <v>34359</v>
      </c>
      <c r="I191" s="67">
        <v>0</v>
      </c>
      <c r="J191" s="739">
        <v>34359</v>
      </c>
      <c r="K191" s="837" t="s">
        <v>621</v>
      </c>
      <c r="L191" s="740">
        <v>0</v>
      </c>
      <c r="M191" s="741">
        <v>266.16000000000003</v>
      </c>
      <c r="N191" s="67">
        <v>426</v>
      </c>
      <c r="O191" s="67">
        <v>34785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34785</v>
      </c>
      <c r="V191" s="71">
        <v>130.69206492335437</v>
      </c>
      <c r="W191" s="449">
        <v>34785</v>
      </c>
      <c r="X191" s="67">
        <v>21053</v>
      </c>
      <c r="Y191" s="163">
        <v>13732</v>
      </c>
      <c r="Z191" s="166">
        <v>0.65225858547475424</v>
      </c>
      <c r="AA191" s="858" t="s">
        <v>621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594</v>
      </c>
      <c r="B192" s="784" t="s">
        <v>270</v>
      </c>
      <c r="C192" s="784" t="s">
        <v>1489</v>
      </c>
      <c r="D192" s="134">
        <v>31</v>
      </c>
      <c r="E192" s="67">
        <v>4002</v>
      </c>
      <c r="F192" s="146">
        <v>0</v>
      </c>
      <c r="G192" s="146">
        <v>0</v>
      </c>
      <c r="H192" s="91">
        <v>4002</v>
      </c>
      <c r="I192" s="67">
        <v>0</v>
      </c>
      <c r="J192" s="739">
        <v>4002</v>
      </c>
      <c r="K192" s="837" t="s">
        <v>1306</v>
      </c>
      <c r="L192" s="740">
        <v>0</v>
      </c>
      <c r="M192" s="741">
        <v>31</v>
      </c>
      <c r="N192" s="67">
        <v>50</v>
      </c>
      <c r="O192" s="67">
        <v>4052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4052</v>
      </c>
      <c r="V192" s="71">
        <v>130.70967741935485</v>
      </c>
      <c r="W192" s="449">
        <v>0</v>
      </c>
      <c r="X192" s="67">
        <v>4170</v>
      </c>
      <c r="Y192" s="163">
        <v>-118</v>
      </c>
      <c r="Z192" s="166">
        <v>-2.8297362110311752E-2</v>
      </c>
      <c r="AA192" s="858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603</v>
      </c>
      <c r="B193" s="784" t="s">
        <v>448</v>
      </c>
      <c r="C193" s="784" t="s">
        <v>1576</v>
      </c>
      <c r="D193" s="134">
        <v>0</v>
      </c>
      <c r="E193" s="67">
        <v>0</v>
      </c>
      <c r="F193" s="146">
        <v>0</v>
      </c>
      <c r="G193" s="146">
        <v>0</v>
      </c>
      <c r="H193" s="91">
        <v>0</v>
      </c>
      <c r="I193" s="67">
        <v>0</v>
      </c>
      <c r="J193" s="739">
        <v>0</v>
      </c>
      <c r="K193" s="837" t="s">
        <v>644</v>
      </c>
      <c r="L193" s="740">
        <v>0</v>
      </c>
      <c r="M193" s="741">
        <v>0</v>
      </c>
      <c r="N193" s="67">
        <v>0</v>
      </c>
      <c r="O193" s="67">
        <v>0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0</v>
      </c>
      <c r="V193" s="71">
        <v>0</v>
      </c>
      <c r="W193" s="449">
        <v>0</v>
      </c>
      <c r="X193" s="67">
        <v>0</v>
      </c>
      <c r="Y193" s="163">
        <v>0</v>
      </c>
      <c r="Z193" s="166">
        <v>0</v>
      </c>
      <c r="AA193" s="858" t="s">
        <v>644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595</v>
      </c>
      <c r="B194" s="784" t="s">
        <v>372</v>
      </c>
      <c r="C194" s="784" t="s">
        <v>1538</v>
      </c>
      <c r="D194" s="134">
        <v>39.840000000000003</v>
      </c>
      <c r="E194" s="67">
        <v>5143</v>
      </c>
      <c r="F194" s="146">
        <v>0</v>
      </c>
      <c r="G194" s="146">
        <v>0</v>
      </c>
      <c r="H194" s="91">
        <v>5143</v>
      </c>
      <c r="I194" s="67">
        <v>0</v>
      </c>
      <c r="J194" s="739">
        <v>5143</v>
      </c>
      <c r="K194" s="837" t="s">
        <v>1306</v>
      </c>
      <c r="L194" s="740">
        <v>0</v>
      </c>
      <c r="M194" s="741">
        <v>39.840000000000003</v>
      </c>
      <c r="N194" s="67">
        <v>64</v>
      </c>
      <c r="O194" s="67">
        <v>5207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5207</v>
      </c>
      <c r="V194" s="71">
        <v>130.69779116465861</v>
      </c>
      <c r="W194" s="449">
        <v>0</v>
      </c>
      <c r="X194" s="67">
        <v>4633</v>
      </c>
      <c r="Y194" s="163">
        <v>574</v>
      </c>
      <c r="Z194" s="166">
        <v>0.12389380530973451</v>
      </c>
      <c r="AA194" s="858" t="s">
        <v>1306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603</v>
      </c>
      <c r="B195" s="784" t="s">
        <v>424</v>
      </c>
      <c r="C195" s="784" t="s">
        <v>1563</v>
      </c>
      <c r="D195" s="134">
        <v>0.5</v>
      </c>
      <c r="E195" s="67">
        <v>65</v>
      </c>
      <c r="F195" s="146">
        <v>0</v>
      </c>
      <c r="G195" s="146">
        <v>0</v>
      </c>
      <c r="H195" s="91">
        <v>65</v>
      </c>
      <c r="I195" s="67">
        <v>0</v>
      </c>
      <c r="J195" s="739">
        <v>65</v>
      </c>
      <c r="K195" s="837" t="s">
        <v>644</v>
      </c>
      <c r="L195" s="740">
        <v>65</v>
      </c>
      <c r="M195" s="741">
        <v>0</v>
      </c>
      <c r="N195" s="67">
        <v>0</v>
      </c>
      <c r="O195" s="67">
        <v>0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0</v>
      </c>
      <c r="V195" s="71">
        <v>0</v>
      </c>
      <c r="W195" s="449">
        <v>0</v>
      </c>
      <c r="X195" s="67">
        <v>0</v>
      </c>
      <c r="Y195" s="163">
        <v>0</v>
      </c>
      <c r="Z195" s="166">
        <v>0</v>
      </c>
      <c r="AA195" s="858" t="s">
        <v>644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603</v>
      </c>
      <c r="B196" s="784" t="s">
        <v>98</v>
      </c>
      <c r="C196" s="784" t="s">
        <v>1413</v>
      </c>
      <c r="D196" s="134">
        <v>0</v>
      </c>
      <c r="E196" s="67">
        <v>0</v>
      </c>
      <c r="F196" s="146">
        <v>0</v>
      </c>
      <c r="G196" s="146">
        <v>0</v>
      </c>
      <c r="H196" s="91">
        <v>0</v>
      </c>
      <c r="I196" s="67">
        <v>0</v>
      </c>
      <c r="J196" s="739">
        <v>0</v>
      </c>
      <c r="K196" s="837" t="s">
        <v>644</v>
      </c>
      <c r="L196" s="740">
        <v>0</v>
      </c>
      <c r="M196" s="741">
        <v>0</v>
      </c>
      <c r="N196" s="67">
        <v>0</v>
      </c>
      <c r="O196" s="67">
        <v>0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0</v>
      </c>
      <c r="V196" s="71">
        <v>0</v>
      </c>
      <c r="W196" s="449">
        <v>0</v>
      </c>
      <c r="X196" s="67">
        <v>0</v>
      </c>
      <c r="Y196" s="163">
        <v>0</v>
      </c>
      <c r="Z196" s="166">
        <v>0</v>
      </c>
      <c r="AA196" s="858" t="s">
        <v>644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601</v>
      </c>
      <c r="B197" s="784" t="s">
        <v>82</v>
      </c>
      <c r="C197" s="784" t="s">
        <v>1405</v>
      </c>
      <c r="D197" s="134">
        <v>74.83</v>
      </c>
      <c r="E197" s="67">
        <v>9660</v>
      </c>
      <c r="F197" s="146">
        <v>0</v>
      </c>
      <c r="G197" s="146">
        <v>0</v>
      </c>
      <c r="H197" s="91">
        <v>9660</v>
      </c>
      <c r="I197" s="67">
        <v>0</v>
      </c>
      <c r="J197" s="739">
        <v>9660</v>
      </c>
      <c r="K197" s="837" t="s">
        <v>1306</v>
      </c>
      <c r="L197" s="740">
        <v>0</v>
      </c>
      <c r="M197" s="741">
        <v>74.83</v>
      </c>
      <c r="N197" s="67">
        <v>120</v>
      </c>
      <c r="O197" s="67">
        <v>9780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9780</v>
      </c>
      <c r="V197" s="71">
        <v>130.69624482159563</v>
      </c>
      <c r="W197" s="449">
        <v>0</v>
      </c>
      <c r="X197" s="67">
        <v>11693</v>
      </c>
      <c r="Y197" s="163">
        <v>-1913</v>
      </c>
      <c r="Z197" s="166">
        <v>-0.16360215513555118</v>
      </c>
      <c r="AA197" s="858" t="s">
        <v>1306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601</v>
      </c>
      <c r="B198" s="784" t="s">
        <v>323</v>
      </c>
      <c r="C198" s="784" t="s">
        <v>1513</v>
      </c>
      <c r="D198" s="134">
        <v>67.66</v>
      </c>
      <c r="E198" s="67">
        <v>8734</v>
      </c>
      <c r="F198" s="146">
        <v>0</v>
      </c>
      <c r="G198" s="146">
        <v>0</v>
      </c>
      <c r="H198" s="91">
        <v>8734</v>
      </c>
      <c r="I198" s="67">
        <v>0</v>
      </c>
      <c r="J198" s="739">
        <v>8734</v>
      </c>
      <c r="K198" s="837" t="s">
        <v>644</v>
      </c>
      <c r="L198" s="740">
        <v>8734</v>
      </c>
      <c r="M198" s="741">
        <v>0</v>
      </c>
      <c r="N198" s="67">
        <v>0</v>
      </c>
      <c r="O198" s="67">
        <v>0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0</v>
      </c>
      <c r="V198" s="71">
        <v>0</v>
      </c>
      <c r="W198" s="449">
        <v>0</v>
      </c>
      <c r="X198" s="67">
        <v>10565</v>
      </c>
      <c r="Y198" s="163">
        <v>-10565</v>
      </c>
      <c r="Z198" s="166">
        <v>-1</v>
      </c>
      <c r="AA198" s="858" t="s">
        <v>644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355</v>
      </c>
      <c r="C199" s="784" t="s">
        <v>1529</v>
      </c>
      <c r="D199" s="134">
        <v>68.826666666666668</v>
      </c>
      <c r="E199" s="67">
        <v>8885</v>
      </c>
      <c r="F199" s="146">
        <v>0</v>
      </c>
      <c r="G199" s="146">
        <v>0</v>
      </c>
      <c r="H199" s="91">
        <v>8885</v>
      </c>
      <c r="I199" s="67">
        <v>0</v>
      </c>
      <c r="J199" s="739">
        <v>8885</v>
      </c>
      <c r="K199" s="837" t="s">
        <v>1306</v>
      </c>
      <c r="L199" s="740">
        <v>0</v>
      </c>
      <c r="M199" s="741">
        <v>68.826666666666668</v>
      </c>
      <c r="N199" s="67">
        <v>110</v>
      </c>
      <c r="O199" s="67">
        <v>8995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8995</v>
      </c>
      <c r="V199" s="71">
        <v>130.69062378922897</v>
      </c>
      <c r="W199" s="449">
        <v>0</v>
      </c>
      <c r="X199" s="67">
        <v>0</v>
      </c>
      <c r="Y199" s="163">
        <v>8995</v>
      </c>
      <c r="Z199" s="166">
        <v>0</v>
      </c>
      <c r="AA199" s="858" t="s">
        <v>1306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596</v>
      </c>
      <c r="B200" s="784" t="s">
        <v>4</v>
      </c>
      <c r="C200" s="784" t="s">
        <v>632</v>
      </c>
      <c r="D200" s="134">
        <v>1853.3333333333333</v>
      </c>
      <c r="E200" s="67">
        <v>239253</v>
      </c>
      <c r="F200" s="146">
        <v>0</v>
      </c>
      <c r="G200" s="146">
        <v>0</v>
      </c>
      <c r="H200" s="91">
        <v>239253</v>
      </c>
      <c r="I200" s="67">
        <v>0</v>
      </c>
      <c r="J200" s="739">
        <v>239253</v>
      </c>
      <c r="K200" s="837" t="s">
        <v>621</v>
      </c>
      <c r="L200" s="740">
        <v>0</v>
      </c>
      <c r="M200" s="741">
        <v>1853.3333333333333</v>
      </c>
      <c r="N200" s="67">
        <v>2964</v>
      </c>
      <c r="O200" s="67">
        <v>242217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242217</v>
      </c>
      <c r="V200" s="71">
        <v>130.69262589928059</v>
      </c>
      <c r="W200" s="449">
        <v>242217</v>
      </c>
      <c r="X200" s="67">
        <v>230826</v>
      </c>
      <c r="Y200" s="163">
        <v>11391</v>
      </c>
      <c r="Z200" s="166">
        <v>4.9348860180395623E-2</v>
      </c>
      <c r="AA200" s="858" t="s">
        <v>621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601</v>
      </c>
      <c r="B201" s="784" t="s">
        <v>86</v>
      </c>
      <c r="C201" s="784" t="s">
        <v>1407</v>
      </c>
      <c r="D201" s="134">
        <v>9.83</v>
      </c>
      <c r="E201" s="67">
        <v>1269</v>
      </c>
      <c r="F201" s="146">
        <v>0</v>
      </c>
      <c r="G201" s="146">
        <v>0</v>
      </c>
      <c r="H201" s="91">
        <v>1269</v>
      </c>
      <c r="I201" s="67">
        <v>0</v>
      </c>
      <c r="J201" s="739">
        <v>1269</v>
      </c>
      <c r="K201" s="837" t="s">
        <v>644</v>
      </c>
      <c r="L201" s="740">
        <v>1269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858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603</v>
      </c>
      <c r="B202" s="784" t="s">
        <v>527</v>
      </c>
      <c r="C202" s="784" t="s">
        <v>1612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837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858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596</v>
      </c>
      <c r="B203" s="784" t="s">
        <v>104</v>
      </c>
      <c r="C203" s="784" t="s">
        <v>1416</v>
      </c>
      <c r="D203" s="134">
        <v>6475.33</v>
      </c>
      <c r="E203" s="67">
        <v>835922</v>
      </c>
      <c r="F203" s="146">
        <v>0</v>
      </c>
      <c r="G203" s="146">
        <v>0</v>
      </c>
      <c r="H203" s="91">
        <v>835922</v>
      </c>
      <c r="I203" s="67">
        <v>0</v>
      </c>
      <c r="J203" s="739">
        <v>835922</v>
      </c>
      <c r="K203" s="837" t="s">
        <v>621</v>
      </c>
      <c r="L203" s="740">
        <v>0</v>
      </c>
      <c r="M203" s="741">
        <v>6475.33</v>
      </c>
      <c r="N203" s="67">
        <v>10356</v>
      </c>
      <c r="O203" s="67">
        <v>846278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846278</v>
      </c>
      <c r="V203" s="71">
        <v>130.69264423589223</v>
      </c>
      <c r="W203" s="449">
        <v>846278</v>
      </c>
      <c r="X203" s="67">
        <v>795087</v>
      </c>
      <c r="Y203" s="163">
        <v>51191</v>
      </c>
      <c r="Z203" s="166">
        <v>6.4384149156004308E-2</v>
      </c>
      <c r="AA203" s="858" t="s">
        <v>621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601</v>
      </c>
      <c r="B204" s="784" t="s">
        <v>317</v>
      </c>
      <c r="C204" s="784" t="s">
        <v>1511</v>
      </c>
      <c r="D204" s="134">
        <v>45.16</v>
      </c>
      <c r="E204" s="67">
        <v>5830</v>
      </c>
      <c r="F204" s="146">
        <v>0</v>
      </c>
      <c r="G204" s="146">
        <v>0</v>
      </c>
      <c r="H204" s="91">
        <v>5830</v>
      </c>
      <c r="I204" s="67">
        <v>0</v>
      </c>
      <c r="J204" s="739">
        <v>5830</v>
      </c>
      <c r="K204" s="837" t="s">
        <v>644</v>
      </c>
      <c r="L204" s="740">
        <v>5830</v>
      </c>
      <c r="M204" s="741">
        <v>0</v>
      </c>
      <c r="N204" s="67">
        <v>0</v>
      </c>
      <c r="O204" s="67">
        <v>0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0</v>
      </c>
      <c r="V204" s="71">
        <v>0</v>
      </c>
      <c r="W204" s="449">
        <v>0</v>
      </c>
      <c r="X204" s="67">
        <v>0</v>
      </c>
      <c r="Y204" s="163">
        <v>0</v>
      </c>
      <c r="Z204" s="166">
        <v>0</v>
      </c>
      <c r="AA204" s="858" t="s">
        <v>644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596</v>
      </c>
      <c r="B205" s="784" t="s">
        <v>16</v>
      </c>
      <c r="C205" s="784" t="s">
        <v>1375</v>
      </c>
      <c r="D205" s="134">
        <v>28.5</v>
      </c>
      <c r="E205" s="67">
        <v>3679</v>
      </c>
      <c r="F205" s="146">
        <v>0</v>
      </c>
      <c r="G205" s="146">
        <v>0</v>
      </c>
      <c r="H205" s="91">
        <v>3679</v>
      </c>
      <c r="I205" s="67">
        <v>0</v>
      </c>
      <c r="J205" s="739">
        <v>3679</v>
      </c>
      <c r="K205" s="837" t="s">
        <v>644</v>
      </c>
      <c r="L205" s="740">
        <v>3679</v>
      </c>
      <c r="M205" s="741">
        <v>0</v>
      </c>
      <c r="N205" s="67">
        <v>0</v>
      </c>
      <c r="O205" s="67">
        <v>0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0</v>
      </c>
      <c r="V205" s="71">
        <v>0</v>
      </c>
      <c r="W205" s="449">
        <v>0</v>
      </c>
      <c r="X205" s="67">
        <v>0</v>
      </c>
      <c r="Y205" s="163">
        <v>0</v>
      </c>
      <c r="Z205" s="166">
        <v>0</v>
      </c>
      <c r="AA205" s="858" t="s">
        <v>644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594</v>
      </c>
      <c r="B206" s="784" t="s">
        <v>272</v>
      </c>
      <c r="C206" s="784" t="s">
        <v>1490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837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858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597</v>
      </c>
      <c r="B207" s="784" t="s">
        <v>359</v>
      </c>
      <c r="C207" s="784" t="s">
        <v>626</v>
      </c>
      <c r="D207" s="134">
        <v>201.17000000000002</v>
      </c>
      <c r="E207" s="67">
        <v>25970</v>
      </c>
      <c r="F207" s="146">
        <v>0</v>
      </c>
      <c r="G207" s="146">
        <v>0</v>
      </c>
      <c r="H207" s="91">
        <v>25970</v>
      </c>
      <c r="I207" s="67">
        <v>0</v>
      </c>
      <c r="J207" s="739">
        <v>25970</v>
      </c>
      <c r="K207" s="837" t="s">
        <v>621</v>
      </c>
      <c r="L207" s="740">
        <v>0</v>
      </c>
      <c r="M207" s="741">
        <v>201.17000000000002</v>
      </c>
      <c r="N207" s="67">
        <v>322</v>
      </c>
      <c r="O207" s="67">
        <v>26292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26292</v>
      </c>
      <c r="V207" s="71">
        <v>130.69543172441217</v>
      </c>
      <c r="W207" s="449">
        <v>26292</v>
      </c>
      <c r="X207" s="67">
        <v>16929</v>
      </c>
      <c r="Y207" s="163">
        <v>9363</v>
      </c>
      <c r="Z207" s="166">
        <v>0.55307460570618461</v>
      </c>
      <c r="AA207" s="858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594</v>
      </c>
      <c r="B208" s="784" t="s">
        <v>303</v>
      </c>
      <c r="C208" s="784" t="s">
        <v>1505</v>
      </c>
      <c r="D208" s="134">
        <v>24.33</v>
      </c>
      <c r="E208" s="67">
        <v>3141</v>
      </c>
      <c r="F208" s="146">
        <v>0</v>
      </c>
      <c r="G208" s="146">
        <v>0</v>
      </c>
      <c r="H208" s="91">
        <v>3141</v>
      </c>
      <c r="I208" s="67">
        <v>0</v>
      </c>
      <c r="J208" s="739">
        <v>3141</v>
      </c>
      <c r="K208" s="837" t="s">
        <v>644</v>
      </c>
      <c r="L208" s="740">
        <v>3141</v>
      </c>
      <c r="M208" s="741">
        <v>0</v>
      </c>
      <c r="N208" s="67">
        <v>0</v>
      </c>
      <c r="O208" s="67">
        <v>0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0</v>
      </c>
      <c r="V208" s="71">
        <v>0</v>
      </c>
      <c r="W208" s="449">
        <v>0</v>
      </c>
      <c r="X208" s="67">
        <v>0</v>
      </c>
      <c r="Y208" s="163">
        <v>0</v>
      </c>
      <c r="Z208" s="166">
        <v>0</v>
      </c>
      <c r="AA208" s="858" t="s">
        <v>644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596</v>
      </c>
      <c r="B209" s="784" t="s">
        <v>112</v>
      </c>
      <c r="C209" s="784" t="s">
        <v>1420</v>
      </c>
      <c r="D209" s="134">
        <v>4</v>
      </c>
      <c r="E209" s="67">
        <v>516</v>
      </c>
      <c r="F209" s="146">
        <v>0</v>
      </c>
      <c r="G209" s="146">
        <v>0</v>
      </c>
      <c r="H209" s="91">
        <v>516</v>
      </c>
      <c r="I209" s="67">
        <v>0</v>
      </c>
      <c r="J209" s="739">
        <v>516</v>
      </c>
      <c r="K209" s="837" t="s">
        <v>644</v>
      </c>
      <c r="L209" s="740">
        <v>516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858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600</v>
      </c>
      <c r="B210" s="784" t="s">
        <v>39</v>
      </c>
      <c r="C210" s="784" t="s">
        <v>1385</v>
      </c>
      <c r="D210" s="134">
        <v>54.83</v>
      </c>
      <c r="E210" s="67">
        <v>7078</v>
      </c>
      <c r="F210" s="146">
        <v>0</v>
      </c>
      <c r="G210" s="146">
        <v>0</v>
      </c>
      <c r="H210" s="91">
        <v>7078</v>
      </c>
      <c r="I210" s="67">
        <v>0</v>
      </c>
      <c r="J210" s="739">
        <v>7078</v>
      </c>
      <c r="K210" s="837" t="s">
        <v>644</v>
      </c>
      <c r="L210" s="740">
        <v>7078</v>
      </c>
      <c r="M210" s="741">
        <v>0</v>
      </c>
      <c r="N210" s="67">
        <v>0</v>
      </c>
      <c r="O210" s="67">
        <v>0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0</v>
      </c>
      <c r="V210" s="71">
        <v>0</v>
      </c>
      <c r="W210" s="449">
        <v>0</v>
      </c>
      <c r="X210" s="67">
        <v>0</v>
      </c>
      <c r="Y210" s="163">
        <v>0</v>
      </c>
      <c r="Z210" s="166">
        <v>0</v>
      </c>
      <c r="AA210" s="858" t="s">
        <v>644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600</v>
      </c>
      <c r="B211" s="784" t="s">
        <v>171</v>
      </c>
      <c r="C211" s="784" t="s">
        <v>1447</v>
      </c>
      <c r="D211" s="134">
        <v>28.840000000000003</v>
      </c>
      <c r="E211" s="67">
        <v>3723</v>
      </c>
      <c r="F211" s="146">
        <v>0</v>
      </c>
      <c r="G211" s="146">
        <v>0</v>
      </c>
      <c r="H211" s="91">
        <v>3723</v>
      </c>
      <c r="I211" s="67">
        <v>0</v>
      </c>
      <c r="J211" s="739">
        <v>3723</v>
      </c>
      <c r="K211" s="837" t="s">
        <v>644</v>
      </c>
      <c r="L211" s="740">
        <v>3723</v>
      </c>
      <c r="M211" s="741">
        <v>0</v>
      </c>
      <c r="N211" s="67">
        <v>0</v>
      </c>
      <c r="O211" s="67">
        <v>0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0</v>
      </c>
      <c r="V211" s="71">
        <v>0</v>
      </c>
      <c r="W211" s="449">
        <v>0</v>
      </c>
      <c r="X211" s="67">
        <v>0</v>
      </c>
      <c r="Y211" s="163">
        <v>0</v>
      </c>
      <c r="Z211" s="166">
        <v>0</v>
      </c>
      <c r="AA211" s="858" t="s">
        <v>644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596</v>
      </c>
      <c r="B212" s="784" t="s">
        <v>502</v>
      </c>
      <c r="C212" s="784" t="s">
        <v>1601</v>
      </c>
      <c r="D212" s="134">
        <v>93</v>
      </c>
      <c r="E212" s="67">
        <v>12006</v>
      </c>
      <c r="F212" s="146">
        <v>0</v>
      </c>
      <c r="G212" s="146">
        <v>0</v>
      </c>
      <c r="H212" s="91">
        <v>12006</v>
      </c>
      <c r="I212" s="67">
        <v>0</v>
      </c>
      <c r="J212" s="739">
        <v>12006</v>
      </c>
      <c r="K212" s="837" t="s">
        <v>621</v>
      </c>
      <c r="L212" s="740">
        <v>0</v>
      </c>
      <c r="M212" s="741">
        <v>93</v>
      </c>
      <c r="N212" s="67">
        <v>149</v>
      </c>
      <c r="O212" s="67">
        <v>12155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12155</v>
      </c>
      <c r="V212" s="71">
        <v>130.69892473118279</v>
      </c>
      <c r="W212" s="449">
        <v>12155</v>
      </c>
      <c r="X212" s="67">
        <v>12789</v>
      </c>
      <c r="Y212" s="163">
        <v>-634</v>
      </c>
      <c r="Z212" s="166">
        <v>-4.9573852529517556E-2</v>
      </c>
      <c r="AA212" s="858" t="s">
        <v>621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603</v>
      </c>
      <c r="B213" s="784" t="s">
        <v>1690</v>
      </c>
      <c r="C213" s="784" t="s">
        <v>1765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837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858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596</v>
      </c>
      <c r="B214" s="784" t="s">
        <v>21</v>
      </c>
      <c r="C214" s="784" t="s">
        <v>1378</v>
      </c>
      <c r="D214" s="134">
        <v>612</v>
      </c>
      <c r="E214" s="67">
        <v>79005</v>
      </c>
      <c r="F214" s="146">
        <v>0</v>
      </c>
      <c r="G214" s="146">
        <v>0</v>
      </c>
      <c r="H214" s="91">
        <v>79005</v>
      </c>
      <c r="I214" s="67">
        <v>0</v>
      </c>
      <c r="J214" s="739">
        <v>79005</v>
      </c>
      <c r="K214" s="837" t="s">
        <v>621</v>
      </c>
      <c r="L214" s="740">
        <v>0</v>
      </c>
      <c r="M214" s="741">
        <v>612</v>
      </c>
      <c r="N214" s="67">
        <v>979</v>
      </c>
      <c r="O214" s="67">
        <v>79984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79984</v>
      </c>
      <c r="V214" s="71">
        <v>130.69281045751634</v>
      </c>
      <c r="W214" s="449">
        <v>79984</v>
      </c>
      <c r="X214" s="67">
        <v>77910</v>
      </c>
      <c r="Y214" s="163">
        <v>2074</v>
      </c>
      <c r="Z214" s="166">
        <v>2.6620459504556538E-2</v>
      </c>
      <c r="AA214" s="858" t="s">
        <v>621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603</v>
      </c>
      <c r="B215" s="784" t="s">
        <v>523</v>
      </c>
      <c r="C215" s="784" t="s">
        <v>1610</v>
      </c>
      <c r="D215" s="134">
        <v>149.33333333333334</v>
      </c>
      <c r="E215" s="67">
        <v>19278</v>
      </c>
      <c r="F215" s="146">
        <v>0</v>
      </c>
      <c r="G215" s="146">
        <v>0</v>
      </c>
      <c r="H215" s="91">
        <v>19278</v>
      </c>
      <c r="I215" s="67">
        <v>0</v>
      </c>
      <c r="J215" s="739">
        <v>19278</v>
      </c>
      <c r="K215" s="837" t="s">
        <v>621</v>
      </c>
      <c r="L215" s="740">
        <v>0</v>
      </c>
      <c r="M215" s="741">
        <v>149.33333333333334</v>
      </c>
      <c r="N215" s="67">
        <v>239</v>
      </c>
      <c r="O215" s="67">
        <v>19517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19517</v>
      </c>
      <c r="V215" s="71">
        <v>130.69419642857142</v>
      </c>
      <c r="W215" s="449">
        <v>19517</v>
      </c>
      <c r="X215" s="67">
        <v>21996</v>
      </c>
      <c r="Y215" s="163">
        <v>-2479</v>
      </c>
      <c r="Z215" s="166">
        <v>-0.11270230951082015</v>
      </c>
      <c r="AA215" s="858" t="s">
        <v>621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597</v>
      </c>
      <c r="B216" s="784" t="s">
        <v>343</v>
      </c>
      <c r="C216" s="784" t="s">
        <v>1523</v>
      </c>
      <c r="D216" s="134">
        <v>1396.9966666666667</v>
      </c>
      <c r="E216" s="67">
        <v>180343</v>
      </c>
      <c r="F216" s="146">
        <v>0</v>
      </c>
      <c r="G216" s="146">
        <v>0</v>
      </c>
      <c r="H216" s="91">
        <v>180343</v>
      </c>
      <c r="I216" s="67">
        <v>0</v>
      </c>
      <c r="J216" s="739">
        <v>180343</v>
      </c>
      <c r="K216" s="837" t="s">
        <v>621</v>
      </c>
      <c r="L216" s="740">
        <v>0</v>
      </c>
      <c r="M216" s="741">
        <v>1396.9966666666667</v>
      </c>
      <c r="N216" s="67">
        <v>2234</v>
      </c>
      <c r="O216" s="67">
        <v>182577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182577</v>
      </c>
      <c r="V216" s="71">
        <v>130.6925094070852</v>
      </c>
      <c r="W216" s="449">
        <v>182577</v>
      </c>
      <c r="X216" s="67">
        <v>141934</v>
      </c>
      <c r="Y216" s="163">
        <v>40643</v>
      </c>
      <c r="Z216" s="166">
        <v>0.28635140276466525</v>
      </c>
      <c r="AA216" s="858" t="s">
        <v>621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600</v>
      </c>
      <c r="B217" s="784" t="s">
        <v>163</v>
      </c>
      <c r="C217" s="784" t="s">
        <v>1443</v>
      </c>
      <c r="D217" s="134">
        <v>0</v>
      </c>
      <c r="E217" s="67">
        <v>0</v>
      </c>
      <c r="F217" s="146">
        <v>0</v>
      </c>
      <c r="G217" s="146">
        <v>0</v>
      </c>
      <c r="H217" s="91">
        <v>0</v>
      </c>
      <c r="I217" s="67">
        <v>0</v>
      </c>
      <c r="J217" s="739">
        <v>0</v>
      </c>
      <c r="K217" s="837" t="s">
        <v>644</v>
      </c>
      <c r="L217" s="740">
        <v>0</v>
      </c>
      <c r="M217" s="741">
        <v>0</v>
      </c>
      <c r="N217" s="67">
        <v>0</v>
      </c>
      <c r="O217" s="67">
        <v>0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0</v>
      </c>
      <c r="V217" s="71">
        <v>0</v>
      </c>
      <c r="W217" s="449">
        <v>0</v>
      </c>
      <c r="X217" s="67">
        <v>0</v>
      </c>
      <c r="Y217" s="163">
        <v>0</v>
      </c>
      <c r="Z217" s="166">
        <v>0</v>
      </c>
      <c r="AA217" s="858" t="s">
        <v>644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600</v>
      </c>
      <c r="B218" s="784" t="s">
        <v>167</v>
      </c>
      <c r="C218" s="784" t="s">
        <v>1445</v>
      </c>
      <c r="D218" s="134">
        <v>0</v>
      </c>
      <c r="E218" s="67">
        <v>0</v>
      </c>
      <c r="F218" s="146">
        <v>0</v>
      </c>
      <c r="G218" s="146">
        <v>0</v>
      </c>
      <c r="H218" s="91">
        <v>0</v>
      </c>
      <c r="I218" s="67">
        <v>0</v>
      </c>
      <c r="J218" s="739">
        <v>0</v>
      </c>
      <c r="K218" s="837" t="s">
        <v>644</v>
      </c>
      <c r="L218" s="740">
        <v>0</v>
      </c>
      <c r="M218" s="741">
        <v>0</v>
      </c>
      <c r="N218" s="67">
        <v>0</v>
      </c>
      <c r="O218" s="67">
        <v>0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0</v>
      </c>
      <c r="V218" s="71">
        <v>0</v>
      </c>
      <c r="W218" s="449">
        <v>0</v>
      </c>
      <c r="X218" s="67">
        <v>0</v>
      </c>
      <c r="Y218" s="163">
        <v>0</v>
      </c>
      <c r="Z218" s="166">
        <v>0</v>
      </c>
      <c r="AA218" s="858" t="s">
        <v>644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600</v>
      </c>
      <c r="B219" s="784" t="s">
        <v>47</v>
      </c>
      <c r="C219" s="784" t="s">
        <v>1389</v>
      </c>
      <c r="D219" s="134">
        <v>226</v>
      </c>
      <c r="E219" s="67">
        <v>29175</v>
      </c>
      <c r="F219" s="146">
        <v>0</v>
      </c>
      <c r="G219" s="146">
        <v>0</v>
      </c>
      <c r="H219" s="91">
        <v>29175</v>
      </c>
      <c r="I219" s="67">
        <v>0</v>
      </c>
      <c r="J219" s="739">
        <v>29175</v>
      </c>
      <c r="K219" s="837" t="s">
        <v>621</v>
      </c>
      <c r="L219" s="740">
        <v>0</v>
      </c>
      <c r="M219" s="741">
        <v>226</v>
      </c>
      <c r="N219" s="67">
        <v>361</v>
      </c>
      <c r="O219" s="67">
        <v>29536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29536</v>
      </c>
      <c r="V219" s="71">
        <v>130.69026548672565</v>
      </c>
      <c r="W219" s="449">
        <v>29536</v>
      </c>
      <c r="X219" s="67">
        <v>16836</v>
      </c>
      <c r="Y219" s="163">
        <v>12700</v>
      </c>
      <c r="Z219" s="166">
        <v>0.75433594678070803</v>
      </c>
      <c r="AA219" s="858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594</v>
      </c>
      <c r="B220" s="784" t="s">
        <v>145</v>
      </c>
      <c r="C220" s="784" t="s">
        <v>607</v>
      </c>
      <c r="D220" s="134">
        <v>40.17</v>
      </c>
      <c r="E220" s="67">
        <v>5186</v>
      </c>
      <c r="F220" s="146">
        <v>0</v>
      </c>
      <c r="G220" s="146">
        <v>0</v>
      </c>
      <c r="H220" s="91">
        <v>5186</v>
      </c>
      <c r="I220" s="67">
        <v>0</v>
      </c>
      <c r="J220" s="739">
        <v>5186</v>
      </c>
      <c r="K220" s="837" t="s">
        <v>1306</v>
      </c>
      <c r="L220" s="740">
        <v>0</v>
      </c>
      <c r="M220" s="741">
        <v>40.17</v>
      </c>
      <c r="N220" s="67">
        <v>64</v>
      </c>
      <c r="O220" s="67">
        <v>5250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5250</v>
      </c>
      <c r="V220" s="71">
        <v>130.69454817027631</v>
      </c>
      <c r="W220" s="449">
        <v>0</v>
      </c>
      <c r="X220" s="67">
        <v>5824</v>
      </c>
      <c r="Y220" s="163">
        <v>-574</v>
      </c>
      <c r="Z220" s="166">
        <v>-9.8557692307692304E-2</v>
      </c>
      <c r="AA220" s="858" t="s">
        <v>1306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601</v>
      </c>
      <c r="B221" s="784" t="s">
        <v>116</v>
      </c>
      <c r="C221" s="784" t="s">
        <v>1421</v>
      </c>
      <c r="D221" s="134">
        <v>1259.33</v>
      </c>
      <c r="E221" s="67">
        <v>162571</v>
      </c>
      <c r="F221" s="146">
        <v>0</v>
      </c>
      <c r="G221" s="146">
        <v>0</v>
      </c>
      <c r="H221" s="91">
        <v>162571</v>
      </c>
      <c r="I221" s="67">
        <v>0</v>
      </c>
      <c r="J221" s="739">
        <v>162571</v>
      </c>
      <c r="K221" s="837" t="s">
        <v>621</v>
      </c>
      <c r="L221" s="740">
        <v>0</v>
      </c>
      <c r="M221" s="741">
        <v>1259.33</v>
      </c>
      <c r="N221" s="67">
        <v>2014</v>
      </c>
      <c r="O221" s="67">
        <v>164585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164585</v>
      </c>
      <c r="V221" s="71">
        <v>130.69251109717072</v>
      </c>
      <c r="W221" s="449">
        <v>164585</v>
      </c>
      <c r="X221" s="67">
        <v>151866</v>
      </c>
      <c r="Y221" s="163">
        <v>12719</v>
      </c>
      <c r="Z221" s="166">
        <v>8.375146510739731E-2</v>
      </c>
      <c r="AA221" s="858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594</v>
      </c>
      <c r="B222" s="784" t="s">
        <v>480</v>
      </c>
      <c r="C222" s="784" t="s">
        <v>1591</v>
      </c>
      <c r="D222" s="134">
        <v>0</v>
      </c>
      <c r="E222" s="67">
        <v>0</v>
      </c>
      <c r="F222" s="146">
        <v>0</v>
      </c>
      <c r="G222" s="146">
        <v>0</v>
      </c>
      <c r="H222" s="91">
        <v>0</v>
      </c>
      <c r="I222" s="67">
        <v>0</v>
      </c>
      <c r="J222" s="739">
        <v>0</v>
      </c>
      <c r="K222" s="837" t="s">
        <v>644</v>
      </c>
      <c r="L222" s="740">
        <v>0</v>
      </c>
      <c r="M222" s="741">
        <v>0</v>
      </c>
      <c r="N222" s="67">
        <v>0</v>
      </c>
      <c r="O222" s="67">
        <v>0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0</v>
      </c>
      <c r="V222" s="71">
        <v>0</v>
      </c>
      <c r="W222" s="449">
        <v>0</v>
      </c>
      <c r="X222" s="67">
        <v>0</v>
      </c>
      <c r="Y222" s="163">
        <v>0</v>
      </c>
      <c r="Z222" s="166">
        <v>0</v>
      </c>
      <c r="AA222" s="858" t="s">
        <v>644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1666</v>
      </c>
      <c r="B223" s="784" t="s">
        <v>1686</v>
      </c>
      <c r="C223" s="784" t="s">
        <v>1766</v>
      </c>
      <c r="D223" s="134">
        <v>81.66</v>
      </c>
      <c r="E223" s="67">
        <v>10542</v>
      </c>
      <c r="F223" s="146">
        <v>0</v>
      </c>
      <c r="G223" s="146">
        <v>0</v>
      </c>
      <c r="H223" s="91">
        <v>10542</v>
      </c>
      <c r="I223" s="67">
        <v>0</v>
      </c>
      <c r="J223" s="739">
        <v>10542</v>
      </c>
      <c r="K223" s="837" t="s">
        <v>621</v>
      </c>
      <c r="L223" s="740">
        <v>0</v>
      </c>
      <c r="M223" s="741">
        <v>81.66</v>
      </c>
      <c r="N223" s="67">
        <v>131</v>
      </c>
      <c r="O223" s="67">
        <v>10673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10673</v>
      </c>
      <c r="V223" s="71">
        <v>130.70046534410972</v>
      </c>
      <c r="W223" s="449">
        <v>10673</v>
      </c>
      <c r="X223" s="67">
        <v>0</v>
      </c>
      <c r="Y223" s="163">
        <v>10673</v>
      </c>
      <c r="Z223" s="166">
        <v>0</v>
      </c>
      <c r="AA223" s="858" t="s">
        <v>621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594</v>
      </c>
      <c r="B224" s="784" t="s">
        <v>327</v>
      </c>
      <c r="C224" s="784" t="s">
        <v>1514</v>
      </c>
      <c r="D224" s="134">
        <v>69.17</v>
      </c>
      <c r="E224" s="67">
        <v>8929</v>
      </c>
      <c r="F224" s="146">
        <v>0</v>
      </c>
      <c r="G224" s="146">
        <v>0</v>
      </c>
      <c r="H224" s="91">
        <v>8929</v>
      </c>
      <c r="I224" s="67">
        <v>0</v>
      </c>
      <c r="J224" s="739">
        <v>8929</v>
      </c>
      <c r="K224" s="837" t="s">
        <v>1306</v>
      </c>
      <c r="L224" s="740">
        <v>0</v>
      </c>
      <c r="M224" s="741">
        <v>69.17</v>
      </c>
      <c r="N224" s="67">
        <v>111</v>
      </c>
      <c r="O224" s="67">
        <v>9040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9040</v>
      </c>
      <c r="V224" s="71">
        <v>130.6924967471447</v>
      </c>
      <c r="W224" s="449">
        <v>0</v>
      </c>
      <c r="X224" s="67">
        <v>9947</v>
      </c>
      <c r="Y224" s="163">
        <v>-907</v>
      </c>
      <c r="Z224" s="166">
        <v>-9.1183271338091884E-2</v>
      </c>
      <c r="AA224" s="858" t="s">
        <v>1306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603</v>
      </c>
      <c r="B225" s="784" t="s">
        <v>282</v>
      </c>
      <c r="C225" s="784" t="s">
        <v>1494</v>
      </c>
      <c r="D225" s="134">
        <v>11.993333333333332</v>
      </c>
      <c r="E225" s="67">
        <v>1548</v>
      </c>
      <c r="F225" s="146">
        <v>0</v>
      </c>
      <c r="G225" s="146">
        <v>0</v>
      </c>
      <c r="H225" s="91">
        <v>1548</v>
      </c>
      <c r="I225" s="67">
        <v>0</v>
      </c>
      <c r="J225" s="739">
        <v>1548</v>
      </c>
      <c r="K225" s="837" t="s">
        <v>644</v>
      </c>
      <c r="L225" s="740">
        <v>1548</v>
      </c>
      <c r="M225" s="741">
        <v>0</v>
      </c>
      <c r="N225" s="67">
        <v>0</v>
      </c>
      <c r="O225" s="67">
        <v>0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0</v>
      </c>
      <c r="V225" s="71">
        <v>0</v>
      </c>
      <c r="W225" s="449">
        <v>0</v>
      </c>
      <c r="X225" s="67">
        <v>0</v>
      </c>
      <c r="Y225" s="163">
        <v>0</v>
      </c>
      <c r="Z225" s="166">
        <v>0</v>
      </c>
      <c r="AA225" s="858" t="s">
        <v>644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597</v>
      </c>
      <c r="B226" s="784" t="s">
        <v>185</v>
      </c>
      <c r="C226" s="784" t="s">
        <v>638</v>
      </c>
      <c r="D226" s="134">
        <v>2918.5</v>
      </c>
      <c r="E226" s="67">
        <v>376759</v>
      </c>
      <c r="F226" s="146">
        <v>0</v>
      </c>
      <c r="G226" s="146">
        <v>0</v>
      </c>
      <c r="H226" s="91">
        <v>376759</v>
      </c>
      <c r="I226" s="67">
        <v>0</v>
      </c>
      <c r="J226" s="739">
        <v>376759</v>
      </c>
      <c r="K226" s="837" t="s">
        <v>621</v>
      </c>
      <c r="L226" s="740">
        <v>0</v>
      </c>
      <c r="M226" s="741">
        <v>2918.5</v>
      </c>
      <c r="N226" s="67">
        <v>4667</v>
      </c>
      <c r="O226" s="67">
        <v>381426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381426</v>
      </c>
      <c r="V226" s="71">
        <v>130.6924790131917</v>
      </c>
      <c r="W226" s="449">
        <v>381426</v>
      </c>
      <c r="X226" s="67">
        <v>350163</v>
      </c>
      <c r="Y226" s="163">
        <v>31263</v>
      </c>
      <c r="Z226" s="166">
        <v>8.9281277576442969E-2</v>
      </c>
      <c r="AA226" s="858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603</v>
      </c>
      <c r="B227" s="784" t="s">
        <v>102</v>
      </c>
      <c r="C227" s="784" t="s">
        <v>1415</v>
      </c>
      <c r="D227" s="134">
        <v>0</v>
      </c>
      <c r="E227" s="67">
        <v>0</v>
      </c>
      <c r="F227" s="146">
        <v>0</v>
      </c>
      <c r="G227" s="146">
        <v>0</v>
      </c>
      <c r="H227" s="91">
        <v>0</v>
      </c>
      <c r="I227" s="67">
        <v>0</v>
      </c>
      <c r="J227" s="739">
        <v>0</v>
      </c>
      <c r="K227" s="837" t="s">
        <v>644</v>
      </c>
      <c r="L227" s="740">
        <v>0</v>
      </c>
      <c r="M227" s="741">
        <v>0</v>
      </c>
      <c r="N227" s="67">
        <v>0</v>
      </c>
      <c r="O227" s="67">
        <v>0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0</v>
      </c>
      <c r="V227" s="71">
        <v>0</v>
      </c>
      <c r="W227" s="449">
        <v>0</v>
      </c>
      <c r="X227" s="67">
        <v>0</v>
      </c>
      <c r="Y227" s="163">
        <v>0</v>
      </c>
      <c r="Z227" s="166">
        <v>0</v>
      </c>
      <c r="AA227" s="858" t="s">
        <v>644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596</v>
      </c>
      <c r="B228" s="784" t="s">
        <v>23</v>
      </c>
      <c r="C228" s="784" t="s">
        <v>1379</v>
      </c>
      <c r="D228" s="134">
        <v>746.5</v>
      </c>
      <c r="E228" s="67">
        <v>96368</v>
      </c>
      <c r="F228" s="146">
        <v>0</v>
      </c>
      <c r="G228" s="146">
        <v>0</v>
      </c>
      <c r="H228" s="91">
        <v>96368</v>
      </c>
      <c r="I228" s="67">
        <v>0</v>
      </c>
      <c r="J228" s="739">
        <v>96368</v>
      </c>
      <c r="K228" s="837" t="s">
        <v>621</v>
      </c>
      <c r="L228" s="740">
        <v>0</v>
      </c>
      <c r="M228" s="741">
        <v>746.5</v>
      </c>
      <c r="N228" s="67">
        <v>1194</v>
      </c>
      <c r="O228" s="67">
        <v>97562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97562</v>
      </c>
      <c r="V228" s="71">
        <v>130.69256530475553</v>
      </c>
      <c r="W228" s="449">
        <v>97562</v>
      </c>
      <c r="X228" s="67">
        <v>75115</v>
      </c>
      <c r="Y228" s="163">
        <v>22447</v>
      </c>
      <c r="Z228" s="166">
        <v>0.2988351194834587</v>
      </c>
      <c r="AA228" s="858" t="s">
        <v>621</v>
      </c>
      <c r="AC228" s="67"/>
      <c r="AD228" s="451"/>
      <c r="AE228" s="452"/>
      <c r="AH228" s="36"/>
      <c r="AI228" s="36"/>
      <c r="AJ228" s="36"/>
      <c r="AK228" s="19"/>
    </row>
    <row r="229" spans="1:37">
      <c r="A229" s="64" t="s">
        <v>599</v>
      </c>
      <c r="B229" s="784" t="s">
        <v>64</v>
      </c>
      <c r="C229" s="784" t="s">
        <v>1397</v>
      </c>
      <c r="D229" s="134">
        <v>102</v>
      </c>
      <c r="E229" s="67">
        <v>13168</v>
      </c>
      <c r="F229" s="146">
        <v>0</v>
      </c>
      <c r="G229" s="146">
        <v>0</v>
      </c>
      <c r="H229" s="91">
        <v>13168</v>
      </c>
      <c r="I229" s="67">
        <v>0</v>
      </c>
      <c r="J229" s="739">
        <v>13168</v>
      </c>
      <c r="K229" s="837" t="s">
        <v>621</v>
      </c>
      <c r="L229" s="740">
        <v>0</v>
      </c>
      <c r="M229" s="741">
        <v>102</v>
      </c>
      <c r="N229" s="67">
        <v>163</v>
      </c>
      <c r="O229" s="67">
        <v>13331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13331</v>
      </c>
      <c r="V229" s="71">
        <v>130.69607843137254</v>
      </c>
      <c r="W229" s="449">
        <v>13331</v>
      </c>
      <c r="X229" s="67">
        <v>10767</v>
      </c>
      <c r="Y229" s="163">
        <v>2564</v>
      </c>
      <c r="Z229" s="166">
        <v>0.23813504225875359</v>
      </c>
      <c r="AA229" s="858" t="s">
        <v>621</v>
      </c>
      <c r="AC229" s="67"/>
      <c r="AD229" s="451"/>
      <c r="AE229" s="452"/>
      <c r="AH229" s="36"/>
      <c r="AI229" s="36"/>
      <c r="AJ229" s="36"/>
      <c r="AK229" s="19"/>
    </row>
    <row r="230" spans="1:37">
      <c r="A230" s="64" t="s">
        <v>603</v>
      </c>
      <c r="B230" s="784" t="s">
        <v>8</v>
      </c>
      <c r="C230" s="784" t="s">
        <v>1372</v>
      </c>
      <c r="D230" s="134">
        <v>0</v>
      </c>
      <c r="E230" s="67">
        <v>0</v>
      </c>
      <c r="F230" s="146">
        <v>0</v>
      </c>
      <c r="G230" s="146">
        <v>0</v>
      </c>
      <c r="H230" s="91">
        <v>0</v>
      </c>
      <c r="I230" s="67">
        <v>0</v>
      </c>
      <c r="J230" s="739">
        <v>0</v>
      </c>
      <c r="K230" s="837" t="s">
        <v>644</v>
      </c>
      <c r="L230" s="740">
        <v>0</v>
      </c>
      <c r="M230" s="741">
        <v>0</v>
      </c>
      <c r="N230" s="67">
        <v>0</v>
      </c>
      <c r="O230" s="67">
        <v>0</v>
      </c>
      <c r="Q230" s="674">
        <v>0</v>
      </c>
      <c r="R230" s="674" t="s">
        <v>1730</v>
      </c>
      <c r="S230" s="798" t="s">
        <v>801</v>
      </c>
      <c r="T230" s="798">
        <v>0</v>
      </c>
      <c r="U230" s="88">
        <v>0</v>
      </c>
      <c r="V230" s="71">
        <v>0</v>
      </c>
      <c r="W230" s="449">
        <v>0</v>
      </c>
      <c r="X230" s="67">
        <v>0</v>
      </c>
      <c r="Y230" s="163">
        <v>0</v>
      </c>
      <c r="Z230" s="166">
        <v>0</v>
      </c>
      <c r="AA230" s="858" t="s">
        <v>644</v>
      </c>
      <c r="AC230" s="67"/>
      <c r="AD230" s="451"/>
      <c r="AE230" s="452"/>
      <c r="AH230" s="36"/>
      <c r="AI230" s="36"/>
      <c r="AJ230" s="36"/>
      <c r="AK230" s="19"/>
    </row>
    <row r="231" spans="1:37" s="112" customFormat="1">
      <c r="A231" s="64" t="s">
        <v>603</v>
      </c>
      <c r="B231" s="785" t="s">
        <v>446</v>
      </c>
      <c r="C231" s="784" t="s">
        <v>1575</v>
      </c>
      <c r="D231" s="134">
        <v>8.5</v>
      </c>
      <c r="E231" s="67">
        <v>1097</v>
      </c>
      <c r="F231" s="146">
        <v>0</v>
      </c>
      <c r="G231" s="146">
        <v>0</v>
      </c>
      <c r="H231" s="91">
        <v>1097</v>
      </c>
      <c r="I231" s="67">
        <v>0</v>
      </c>
      <c r="J231" s="739">
        <v>1097</v>
      </c>
      <c r="K231" s="837" t="s">
        <v>644</v>
      </c>
      <c r="L231" s="740">
        <v>1097</v>
      </c>
      <c r="M231" s="741">
        <v>0</v>
      </c>
      <c r="N231" s="67">
        <v>0</v>
      </c>
      <c r="O231" s="67">
        <v>0</v>
      </c>
      <c r="P231" s="674"/>
      <c r="Q231" s="674">
        <v>0</v>
      </c>
      <c r="R231" s="674" t="s">
        <v>1730</v>
      </c>
      <c r="S231" s="798" t="s">
        <v>801</v>
      </c>
      <c r="T231" s="798">
        <v>0</v>
      </c>
      <c r="U231" s="88">
        <v>0</v>
      </c>
      <c r="V231" s="71">
        <v>0</v>
      </c>
      <c r="W231" s="449">
        <v>0</v>
      </c>
      <c r="X231" s="67">
        <v>0</v>
      </c>
      <c r="Y231" s="163">
        <v>0</v>
      </c>
      <c r="Z231" s="166">
        <v>0</v>
      </c>
      <c r="AA231" s="858" t="s">
        <v>644</v>
      </c>
      <c r="AC231" s="303"/>
      <c r="AD231" s="451"/>
      <c r="AE231" s="452"/>
      <c r="AH231" s="116"/>
      <c r="AI231" s="116"/>
      <c r="AJ231" s="116"/>
      <c r="AK231" s="117"/>
    </row>
    <row r="232" spans="1:37">
      <c r="A232" s="64" t="s">
        <v>597</v>
      </c>
      <c r="B232" s="784" t="s">
        <v>193</v>
      </c>
      <c r="C232" s="784" t="s">
        <v>1457</v>
      </c>
      <c r="D232" s="134">
        <v>174.82999999999998</v>
      </c>
      <c r="E232" s="67">
        <v>22569</v>
      </c>
      <c r="F232" s="146">
        <v>0</v>
      </c>
      <c r="G232" s="146">
        <v>0</v>
      </c>
      <c r="H232" s="91">
        <v>22569</v>
      </c>
      <c r="I232" s="67">
        <v>0</v>
      </c>
      <c r="J232" s="739">
        <v>22569</v>
      </c>
      <c r="K232" s="837" t="s">
        <v>621</v>
      </c>
      <c r="L232" s="740">
        <v>0</v>
      </c>
      <c r="M232" s="741">
        <v>174.82999999999998</v>
      </c>
      <c r="N232" s="67">
        <v>280</v>
      </c>
      <c r="O232" s="67">
        <v>22849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22849</v>
      </c>
      <c r="V232" s="71">
        <v>130.69267288222846</v>
      </c>
      <c r="W232" s="449">
        <v>22849</v>
      </c>
      <c r="X232" s="67">
        <v>18057</v>
      </c>
      <c r="Y232" s="163">
        <v>4792</v>
      </c>
      <c r="Z232" s="166">
        <v>0.26538184637536688</v>
      </c>
      <c r="AA232" s="858" t="s">
        <v>621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594</v>
      </c>
      <c r="B233" s="784" t="s">
        <v>484</v>
      </c>
      <c r="C233" s="784" t="s">
        <v>1593</v>
      </c>
      <c r="D233" s="134">
        <v>198.66333333333333</v>
      </c>
      <c r="E233" s="67">
        <v>25646</v>
      </c>
      <c r="F233" s="146">
        <v>0</v>
      </c>
      <c r="G233" s="146">
        <v>0</v>
      </c>
      <c r="H233" s="91">
        <v>25646</v>
      </c>
      <c r="I233" s="67">
        <v>0</v>
      </c>
      <c r="J233" s="739">
        <v>25646</v>
      </c>
      <c r="K233" s="837" t="s">
        <v>1306</v>
      </c>
      <c r="L233" s="740">
        <v>0</v>
      </c>
      <c r="M233" s="741">
        <v>198.66333333333333</v>
      </c>
      <c r="N233" s="67">
        <v>318</v>
      </c>
      <c r="O233" s="67">
        <v>25964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25964</v>
      </c>
      <c r="V233" s="71">
        <v>130.69346801120824</v>
      </c>
      <c r="W233" s="449">
        <v>0</v>
      </c>
      <c r="X233" s="67">
        <v>20235</v>
      </c>
      <c r="Y233" s="163">
        <v>5729</v>
      </c>
      <c r="Z233" s="166">
        <v>0.28312330121077339</v>
      </c>
      <c r="AA233" s="858" t="s">
        <v>1306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599</v>
      </c>
      <c r="B234" s="784" t="s">
        <v>244</v>
      </c>
      <c r="C234" s="784" t="s">
        <v>1478</v>
      </c>
      <c r="D234" s="134">
        <v>18</v>
      </c>
      <c r="E234" s="67">
        <v>2324</v>
      </c>
      <c r="F234" s="146">
        <v>0</v>
      </c>
      <c r="G234" s="146">
        <v>0</v>
      </c>
      <c r="H234" s="91">
        <v>2324</v>
      </c>
      <c r="I234" s="67">
        <v>0</v>
      </c>
      <c r="J234" s="739">
        <v>2324</v>
      </c>
      <c r="K234" s="837" t="s">
        <v>644</v>
      </c>
      <c r="L234" s="740">
        <v>2324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858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537</v>
      </c>
      <c r="C235" s="784" t="s">
        <v>1617</v>
      </c>
      <c r="D235" s="134">
        <v>0</v>
      </c>
      <c r="E235" s="67">
        <v>0</v>
      </c>
      <c r="F235" s="146">
        <v>0</v>
      </c>
      <c r="G235" s="146">
        <v>0</v>
      </c>
      <c r="H235" s="91">
        <v>0</v>
      </c>
      <c r="I235" s="67">
        <v>0</v>
      </c>
      <c r="J235" s="739">
        <v>0</v>
      </c>
      <c r="K235" s="837" t="s">
        <v>644</v>
      </c>
      <c r="L235" s="740">
        <v>0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858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605</v>
      </c>
      <c r="B236" s="784" t="s">
        <v>123</v>
      </c>
      <c r="C236" s="784" t="s">
        <v>1425</v>
      </c>
      <c r="D236" s="134">
        <v>778.17</v>
      </c>
      <c r="E236" s="67">
        <v>100457</v>
      </c>
      <c r="F236" s="146">
        <v>0</v>
      </c>
      <c r="G236" s="146">
        <v>0</v>
      </c>
      <c r="H236" s="91">
        <v>100457</v>
      </c>
      <c r="I236" s="67">
        <v>0</v>
      </c>
      <c r="J236" s="739">
        <v>100457</v>
      </c>
      <c r="K236" s="837" t="s">
        <v>621</v>
      </c>
      <c r="L236" s="740">
        <v>0</v>
      </c>
      <c r="M236" s="741">
        <v>778.17</v>
      </c>
      <c r="N236" s="67">
        <v>1245</v>
      </c>
      <c r="O236" s="67">
        <v>101702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101702</v>
      </c>
      <c r="V236" s="71">
        <v>130.69380726576455</v>
      </c>
      <c r="W236" s="449">
        <v>101702</v>
      </c>
      <c r="X236" s="67">
        <v>97759</v>
      </c>
      <c r="Y236" s="163">
        <v>3943</v>
      </c>
      <c r="Z236" s="166">
        <v>4.0333882302396713E-2</v>
      </c>
      <c r="AA236" s="858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595</v>
      </c>
      <c r="B237" s="784" t="s">
        <v>375</v>
      </c>
      <c r="C237" s="784" t="s">
        <v>1269</v>
      </c>
      <c r="D237" s="134">
        <v>50.34</v>
      </c>
      <c r="E237" s="67">
        <v>6499</v>
      </c>
      <c r="F237" s="146">
        <v>0</v>
      </c>
      <c r="G237" s="146">
        <v>0</v>
      </c>
      <c r="H237" s="91">
        <v>6499</v>
      </c>
      <c r="I237" s="67">
        <v>0</v>
      </c>
      <c r="J237" s="739">
        <v>6499</v>
      </c>
      <c r="K237" s="837" t="s">
        <v>1306</v>
      </c>
      <c r="L237" s="740">
        <v>0</v>
      </c>
      <c r="M237" s="741">
        <v>50.34</v>
      </c>
      <c r="N237" s="67">
        <v>81</v>
      </c>
      <c r="O237" s="67">
        <v>6580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6580</v>
      </c>
      <c r="V237" s="71">
        <v>130.71116408422725</v>
      </c>
      <c r="W237" s="449">
        <v>0</v>
      </c>
      <c r="X237" s="67">
        <v>3692</v>
      </c>
      <c r="Y237" s="163">
        <v>2888</v>
      </c>
      <c r="Z237" s="166">
        <v>0.78223185265438788</v>
      </c>
      <c r="AA237" s="858" t="s">
        <v>1306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594</v>
      </c>
      <c r="B238" s="784" t="s">
        <v>149</v>
      </c>
      <c r="C238" s="784" t="s">
        <v>1436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837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858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1666</v>
      </c>
      <c r="B239" s="784" t="s">
        <v>1682</v>
      </c>
      <c r="C239" s="784" t="s">
        <v>1683</v>
      </c>
      <c r="D239" s="134">
        <v>0</v>
      </c>
      <c r="E239" s="67">
        <v>0</v>
      </c>
      <c r="F239" s="146">
        <v>0</v>
      </c>
      <c r="G239" s="146">
        <v>0</v>
      </c>
      <c r="H239" s="91">
        <v>0</v>
      </c>
      <c r="I239" s="67">
        <v>0</v>
      </c>
      <c r="J239" s="739">
        <v>0</v>
      </c>
      <c r="K239" s="837" t="s">
        <v>644</v>
      </c>
      <c r="L239" s="740">
        <v>0</v>
      </c>
      <c r="M239" s="741">
        <v>0</v>
      </c>
      <c r="N239" s="67">
        <v>0</v>
      </c>
      <c r="O239" s="67">
        <v>0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0</v>
      </c>
      <c r="V239" s="71">
        <v>0</v>
      </c>
      <c r="W239" s="449">
        <v>0</v>
      </c>
      <c r="X239" s="67">
        <v>0</v>
      </c>
      <c r="Y239" s="163">
        <v>0</v>
      </c>
      <c r="Z239" s="166">
        <v>0</v>
      </c>
      <c r="AA239" s="858" t="s">
        <v>644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1666</v>
      </c>
      <c r="B240" s="784" t="s">
        <v>1684</v>
      </c>
      <c r="C240" s="784" t="s">
        <v>1685</v>
      </c>
      <c r="D240" s="134">
        <v>0</v>
      </c>
      <c r="E240" s="67">
        <v>0</v>
      </c>
      <c r="F240" s="146">
        <v>0</v>
      </c>
      <c r="G240" s="146">
        <v>0</v>
      </c>
      <c r="H240" s="91">
        <v>0</v>
      </c>
      <c r="I240" s="67">
        <v>0</v>
      </c>
      <c r="J240" s="739">
        <v>0</v>
      </c>
      <c r="K240" s="837" t="s">
        <v>644</v>
      </c>
      <c r="L240" s="740">
        <v>0</v>
      </c>
      <c r="M240" s="741">
        <v>0</v>
      </c>
      <c r="N240" s="67">
        <v>0</v>
      </c>
      <c r="O240" s="67">
        <v>0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0</v>
      </c>
      <c r="V240" s="71">
        <v>0</v>
      </c>
      <c r="W240" s="449">
        <v>0</v>
      </c>
      <c r="X240" s="67">
        <v>0</v>
      </c>
      <c r="Y240" s="163">
        <v>0</v>
      </c>
      <c r="Z240" s="166">
        <v>0</v>
      </c>
      <c r="AA240" s="858" t="s">
        <v>644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597</v>
      </c>
      <c r="B241" s="784" t="s">
        <v>173</v>
      </c>
      <c r="C241" s="784" t="s">
        <v>1448</v>
      </c>
      <c r="D241" s="134">
        <v>6952</v>
      </c>
      <c r="E241" s="67">
        <v>897457</v>
      </c>
      <c r="F241" s="146">
        <v>0</v>
      </c>
      <c r="G241" s="146">
        <v>0</v>
      </c>
      <c r="H241" s="91">
        <v>897457</v>
      </c>
      <c r="I241" s="67">
        <v>0</v>
      </c>
      <c r="J241" s="739">
        <v>897457</v>
      </c>
      <c r="K241" s="837" t="s">
        <v>621</v>
      </c>
      <c r="L241" s="740">
        <v>0</v>
      </c>
      <c r="M241" s="741">
        <v>6952</v>
      </c>
      <c r="N241" s="67">
        <v>11118</v>
      </c>
      <c r="O241" s="67">
        <v>908575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908575</v>
      </c>
      <c r="V241" s="71">
        <v>130.69260644418873</v>
      </c>
      <c r="W241" s="449">
        <v>908575</v>
      </c>
      <c r="X241" s="67">
        <v>837981</v>
      </c>
      <c r="Y241" s="163">
        <v>70594</v>
      </c>
      <c r="Z241" s="166">
        <v>8.4242960162581246E-2</v>
      </c>
      <c r="AA241" s="858" t="s">
        <v>621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595</v>
      </c>
      <c r="B242" s="784" t="s">
        <v>379</v>
      </c>
      <c r="C242" s="784" t="s">
        <v>686</v>
      </c>
      <c r="D242" s="134">
        <v>396.1633333333333</v>
      </c>
      <c r="E242" s="67">
        <v>51142</v>
      </c>
      <c r="F242" s="146">
        <v>0</v>
      </c>
      <c r="G242" s="146">
        <v>0</v>
      </c>
      <c r="H242" s="91">
        <v>51142</v>
      </c>
      <c r="I242" s="67">
        <v>0</v>
      </c>
      <c r="J242" s="739">
        <v>51142</v>
      </c>
      <c r="K242" s="837" t="s">
        <v>621</v>
      </c>
      <c r="L242" s="740">
        <v>0</v>
      </c>
      <c r="M242" s="741">
        <v>396.1633333333333</v>
      </c>
      <c r="N242" s="67">
        <v>634</v>
      </c>
      <c r="O242" s="67">
        <v>51776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51776</v>
      </c>
      <c r="V242" s="71">
        <v>130.69356915077117</v>
      </c>
      <c r="W242" s="449">
        <v>51776</v>
      </c>
      <c r="X242" s="67">
        <v>40160</v>
      </c>
      <c r="Y242" s="163">
        <v>11616</v>
      </c>
      <c r="Z242" s="166">
        <v>0.28924302788844619</v>
      </c>
      <c r="AA242" s="858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605</v>
      </c>
      <c r="B243" s="784" t="s">
        <v>551</v>
      </c>
      <c r="C243" s="784" t="s">
        <v>1624</v>
      </c>
      <c r="D243" s="134">
        <v>306.83</v>
      </c>
      <c r="E243" s="67">
        <v>39610</v>
      </c>
      <c r="F243" s="146">
        <v>0</v>
      </c>
      <c r="G243" s="146">
        <v>0</v>
      </c>
      <c r="H243" s="91">
        <v>39610</v>
      </c>
      <c r="I243" s="67">
        <v>0</v>
      </c>
      <c r="J243" s="739">
        <v>39610</v>
      </c>
      <c r="K243" s="837" t="s">
        <v>621</v>
      </c>
      <c r="L243" s="740">
        <v>0</v>
      </c>
      <c r="M243" s="741">
        <v>306.83</v>
      </c>
      <c r="N243" s="67">
        <v>491</v>
      </c>
      <c r="O243" s="67">
        <v>40101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40101</v>
      </c>
      <c r="V243" s="71">
        <v>130.69452139621291</v>
      </c>
      <c r="W243" s="449">
        <v>40101</v>
      </c>
      <c r="X243" s="67">
        <v>39295</v>
      </c>
      <c r="Y243" s="163">
        <v>806</v>
      </c>
      <c r="Z243" s="166">
        <v>2.0511515459982185E-2</v>
      </c>
      <c r="AA243" s="858" t="s">
        <v>621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340</v>
      </c>
      <c r="C244" s="784" t="s">
        <v>1521</v>
      </c>
      <c r="D244" s="134">
        <v>0</v>
      </c>
      <c r="E244" s="67">
        <v>0</v>
      </c>
      <c r="F244" s="146">
        <v>0</v>
      </c>
      <c r="G244" s="146">
        <v>0</v>
      </c>
      <c r="H244" s="91">
        <v>0</v>
      </c>
      <c r="I244" s="67">
        <v>0</v>
      </c>
      <c r="J244" s="739">
        <v>0</v>
      </c>
      <c r="K244" s="837" t="s">
        <v>644</v>
      </c>
      <c r="L244" s="740">
        <v>0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858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600</v>
      </c>
      <c r="B245" s="784" t="s">
        <v>43</v>
      </c>
      <c r="C245" s="784" t="s">
        <v>1387</v>
      </c>
      <c r="D245" s="134">
        <v>51.83</v>
      </c>
      <c r="E245" s="67">
        <v>6691</v>
      </c>
      <c r="F245" s="146">
        <v>0</v>
      </c>
      <c r="G245" s="146">
        <v>0</v>
      </c>
      <c r="H245" s="91">
        <v>6691</v>
      </c>
      <c r="I245" s="67">
        <v>0</v>
      </c>
      <c r="J245" s="739">
        <v>6691</v>
      </c>
      <c r="K245" s="837" t="s">
        <v>644</v>
      </c>
      <c r="L245" s="740">
        <v>6691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858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595</v>
      </c>
      <c r="B246" s="784" t="s">
        <v>371</v>
      </c>
      <c r="C246" s="784" t="s">
        <v>1537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837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858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594</v>
      </c>
      <c r="B247" s="784" t="s">
        <v>299</v>
      </c>
      <c r="C247" s="784" t="s">
        <v>1503</v>
      </c>
      <c r="D247" s="134">
        <v>865</v>
      </c>
      <c r="E247" s="67">
        <v>111666</v>
      </c>
      <c r="F247" s="146">
        <v>0</v>
      </c>
      <c r="G247" s="146">
        <v>0</v>
      </c>
      <c r="H247" s="91">
        <v>111666</v>
      </c>
      <c r="I247" s="67">
        <v>0</v>
      </c>
      <c r="J247" s="739">
        <v>111666</v>
      </c>
      <c r="K247" s="837" t="s">
        <v>621</v>
      </c>
      <c r="L247" s="740">
        <v>0</v>
      </c>
      <c r="M247" s="741">
        <v>865</v>
      </c>
      <c r="N247" s="67">
        <v>1383</v>
      </c>
      <c r="O247" s="67">
        <v>113049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113049</v>
      </c>
      <c r="V247" s="71">
        <v>130.69248554913295</v>
      </c>
      <c r="W247" s="449">
        <v>113049</v>
      </c>
      <c r="X247" s="67">
        <v>79331</v>
      </c>
      <c r="Y247" s="163">
        <v>33718</v>
      </c>
      <c r="Z247" s="166">
        <v>0.42502930758467689</v>
      </c>
      <c r="AA247" s="858" t="s">
        <v>621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597</v>
      </c>
      <c r="B248" s="784" t="s">
        <v>203</v>
      </c>
      <c r="C248" s="784" t="s">
        <v>640</v>
      </c>
      <c r="D248" s="134">
        <v>867.83</v>
      </c>
      <c r="E248" s="67">
        <v>112031</v>
      </c>
      <c r="F248" s="146">
        <v>0</v>
      </c>
      <c r="G248" s="146">
        <v>0</v>
      </c>
      <c r="H248" s="91">
        <v>112031</v>
      </c>
      <c r="I248" s="67">
        <v>0</v>
      </c>
      <c r="J248" s="739">
        <v>112031</v>
      </c>
      <c r="K248" s="837" t="s">
        <v>621</v>
      </c>
      <c r="L248" s="740">
        <v>0</v>
      </c>
      <c r="M248" s="741">
        <v>867.83</v>
      </c>
      <c r="N248" s="67">
        <v>1388</v>
      </c>
      <c r="O248" s="67">
        <v>113419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113419</v>
      </c>
      <c r="V248" s="71">
        <v>130.69264717744258</v>
      </c>
      <c r="W248" s="449">
        <v>113419</v>
      </c>
      <c r="X248" s="67">
        <v>86374</v>
      </c>
      <c r="Y248" s="163">
        <v>27045</v>
      </c>
      <c r="Z248" s="166">
        <v>0.3131150577720147</v>
      </c>
      <c r="AA248" s="858" t="s">
        <v>621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599</v>
      </c>
      <c r="B249" s="784" t="s">
        <v>387</v>
      </c>
      <c r="C249" s="784" t="s">
        <v>1545</v>
      </c>
      <c r="D249" s="134">
        <v>0</v>
      </c>
      <c r="E249" s="67">
        <v>0</v>
      </c>
      <c r="F249" s="146">
        <v>0</v>
      </c>
      <c r="G249" s="146">
        <v>0</v>
      </c>
      <c r="H249" s="91">
        <v>0</v>
      </c>
      <c r="I249" s="67">
        <v>0</v>
      </c>
      <c r="J249" s="739">
        <v>0</v>
      </c>
      <c r="K249" s="837" t="s">
        <v>644</v>
      </c>
      <c r="L249" s="740">
        <v>0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858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597</v>
      </c>
      <c r="B250" s="784" t="s">
        <v>187</v>
      </c>
      <c r="C250" s="784" t="s">
        <v>1454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837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858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595</v>
      </c>
      <c r="B251" s="784" t="s">
        <v>411</v>
      </c>
      <c r="C251" s="784" t="s">
        <v>1556</v>
      </c>
      <c r="D251" s="134">
        <v>415.84000000000003</v>
      </c>
      <c r="E251" s="67">
        <v>53682</v>
      </c>
      <c r="F251" s="146">
        <v>0</v>
      </c>
      <c r="G251" s="146">
        <v>0</v>
      </c>
      <c r="H251" s="91">
        <v>53682</v>
      </c>
      <c r="I251" s="67">
        <v>0</v>
      </c>
      <c r="J251" s="739">
        <v>53682</v>
      </c>
      <c r="K251" s="837" t="s">
        <v>621</v>
      </c>
      <c r="L251" s="740">
        <v>0</v>
      </c>
      <c r="M251" s="741">
        <v>415.84000000000003</v>
      </c>
      <c r="N251" s="67">
        <v>665</v>
      </c>
      <c r="O251" s="67">
        <v>54347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54347</v>
      </c>
      <c r="V251" s="71">
        <v>130.69209311273565</v>
      </c>
      <c r="W251" s="449">
        <v>54347</v>
      </c>
      <c r="X251" s="67">
        <v>45087</v>
      </c>
      <c r="Y251" s="163">
        <v>9260</v>
      </c>
      <c r="Z251" s="166">
        <v>0.20538070840818862</v>
      </c>
      <c r="AA251" s="858" t="s">
        <v>621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597</v>
      </c>
      <c r="B252" s="784" t="s">
        <v>199</v>
      </c>
      <c r="C252" s="784" t="s">
        <v>1272</v>
      </c>
      <c r="D252" s="134">
        <v>238.5</v>
      </c>
      <c r="E252" s="67">
        <v>30789</v>
      </c>
      <c r="F252" s="146">
        <v>0</v>
      </c>
      <c r="G252" s="146">
        <v>0</v>
      </c>
      <c r="H252" s="91">
        <v>30789</v>
      </c>
      <c r="I252" s="67">
        <v>0</v>
      </c>
      <c r="J252" s="739">
        <v>30789</v>
      </c>
      <c r="K252" s="837" t="s">
        <v>621</v>
      </c>
      <c r="L252" s="740">
        <v>0</v>
      </c>
      <c r="M252" s="741">
        <v>238.5</v>
      </c>
      <c r="N252" s="67">
        <v>381</v>
      </c>
      <c r="O252" s="67">
        <v>31170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31170</v>
      </c>
      <c r="V252" s="71">
        <v>130.69182389937106</v>
      </c>
      <c r="W252" s="449">
        <v>31170</v>
      </c>
      <c r="X252" s="67">
        <v>22706</v>
      </c>
      <c r="Y252" s="163">
        <v>8464</v>
      </c>
      <c r="Z252" s="166">
        <v>0.37276490795384482</v>
      </c>
      <c r="AA252" s="858" t="s">
        <v>621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601</v>
      </c>
      <c r="B253" s="784" t="s">
        <v>121</v>
      </c>
      <c r="C253" s="784" t="s">
        <v>1424</v>
      </c>
      <c r="D253" s="134">
        <v>112.5</v>
      </c>
      <c r="E253" s="67">
        <v>14523</v>
      </c>
      <c r="F253" s="146">
        <v>0</v>
      </c>
      <c r="G253" s="146">
        <v>0</v>
      </c>
      <c r="H253" s="91">
        <v>14523</v>
      </c>
      <c r="I253" s="67">
        <v>0</v>
      </c>
      <c r="J253" s="739">
        <v>14523</v>
      </c>
      <c r="K253" s="837" t="s">
        <v>621</v>
      </c>
      <c r="L253" s="740">
        <v>0</v>
      </c>
      <c r="M253" s="741">
        <v>112.5</v>
      </c>
      <c r="N253" s="67">
        <v>180</v>
      </c>
      <c r="O253" s="67">
        <v>14703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14703</v>
      </c>
      <c r="V253" s="71">
        <v>130.69333333333333</v>
      </c>
      <c r="W253" s="449">
        <v>14703</v>
      </c>
      <c r="X253" s="67">
        <v>12188</v>
      </c>
      <c r="Y253" s="163">
        <v>2515</v>
      </c>
      <c r="Z253" s="166">
        <v>0.2063505086970791</v>
      </c>
      <c r="AA253" s="858" t="s">
        <v>621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594</v>
      </c>
      <c r="B254" s="784" t="s">
        <v>329</v>
      </c>
      <c r="C254" s="784" t="s">
        <v>1515</v>
      </c>
      <c r="D254" s="134">
        <v>91.5</v>
      </c>
      <c r="E254" s="67">
        <v>11812</v>
      </c>
      <c r="F254" s="146">
        <v>0</v>
      </c>
      <c r="G254" s="146">
        <v>0</v>
      </c>
      <c r="H254" s="91">
        <v>11812</v>
      </c>
      <c r="I254" s="67">
        <v>0</v>
      </c>
      <c r="J254" s="739">
        <v>11812</v>
      </c>
      <c r="K254" s="837" t="s">
        <v>621</v>
      </c>
      <c r="L254" s="740">
        <v>0</v>
      </c>
      <c r="M254" s="741">
        <v>91.5</v>
      </c>
      <c r="N254" s="67">
        <v>146</v>
      </c>
      <c r="O254" s="67">
        <v>11958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11958</v>
      </c>
      <c r="V254" s="71">
        <v>130.68852459016392</v>
      </c>
      <c r="W254" s="449">
        <v>11958</v>
      </c>
      <c r="X254" s="67">
        <v>12589</v>
      </c>
      <c r="Y254" s="163">
        <v>-631</v>
      </c>
      <c r="Z254" s="166">
        <v>-5.0123123361664947E-2</v>
      </c>
      <c r="AA254" s="858" t="s">
        <v>621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600</v>
      </c>
      <c r="B255" s="784" t="s">
        <v>218</v>
      </c>
      <c r="C255" s="784" t="s">
        <v>1465</v>
      </c>
      <c r="D255" s="134">
        <v>275.3366666666667</v>
      </c>
      <c r="E255" s="67">
        <v>35544</v>
      </c>
      <c r="F255" s="146">
        <v>0</v>
      </c>
      <c r="G255" s="146">
        <v>0</v>
      </c>
      <c r="H255" s="91">
        <v>35544</v>
      </c>
      <c r="I255" s="67">
        <v>0</v>
      </c>
      <c r="J255" s="739">
        <v>35544</v>
      </c>
      <c r="K255" s="837" t="s">
        <v>621</v>
      </c>
      <c r="L255" s="740">
        <v>0</v>
      </c>
      <c r="M255" s="741">
        <v>275.3366666666667</v>
      </c>
      <c r="N255" s="67">
        <v>440</v>
      </c>
      <c r="O255" s="67">
        <v>35984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35984</v>
      </c>
      <c r="V255" s="71">
        <v>130.69091173230348</v>
      </c>
      <c r="W255" s="449">
        <v>35984</v>
      </c>
      <c r="X255" s="67">
        <v>21748</v>
      </c>
      <c r="Y255" s="163">
        <v>14236</v>
      </c>
      <c r="Z255" s="166">
        <v>0.65458892771749122</v>
      </c>
      <c r="AA255" s="858" t="s">
        <v>621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595</v>
      </c>
      <c r="B256" s="784" t="s">
        <v>161</v>
      </c>
      <c r="C256" s="784" t="s">
        <v>1442</v>
      </c>
      <c r="D256" s="134">
        <v>7.83</v>
      </c>
      <c r="E256" s="67">
        <v>1011</v>
      </c>
      <c r="F256" s="146">
        <v>0</v>
      </c>
      <c r="G256" s="146">
        <v>0</v>
      </c>
      <c r="H256" s="91">
        <v>1011</v>
      </c>
      <c r="I256" s="67">
        <v>0</v>
      </c>
      <c r="J256" s="739">
        <v>1011</v>
      </c>
      <c r="K256" s="837" t="s">
        <v>644</v>
      </c>
      <c r="L256" s="740">
        <v>1011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858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295</v>
      </c>
      <c r="C257" s="784" t="s">
        <v>1501</v>
      </c>
      <c r="D257" s="134">
        <v>0</v>
      </c>
      <c r="E257" s="67">
        <v>0</v>
      </c>
      <c r="F257" s="146">
        <v>0</v>
      </c>
      <c r="G257" s="146">
        <v>0</v>
      </c>
      <c r="H257" s="91">
        <v>0</v>
      </c>
      <c r="I257" s="67">
        <v>0</v>
      </c>
      <c r="J257" s="739">
        <v>0</v>
      </c>
      <c r="K257" s="837" t="s">
        <v>644</v>
      </c>
      <c r="L257" s="740">
        <v>0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858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603</v>
      </c>
      <c r="B258" s="784" t="s">
        <v>422</v>
      </c>
      <c r="C258" s="784" t="s">
        <v>1562</v>
      </c>
      <c r="D258" s="134">
        <v>2093.83</v>
      </c>
      <c r="E258" s="67">
        <v>270299</v>
      </c>
      <c r="F258" s="146">
        <v>0</v>
      </c>
      <c r="G258" s="146">
        <v>0</v>
      </c>
      <c r="H258" s="91">
        <v>270299</v>
      </c>
      <c r="I258" s="67">
        <v>0</v>
      </c>
      <c r="J258" s="739">
        <v>270299</v>
      </c>
      <c r="K258" s="837" t="s">
        <v>621</v>
      </c>
      <c r="L258" s="740">
        <v>0</v>
      </c>
      <c r="M258" s="741">
        <v>2093.83</v>
      </c>
      <c r="N258" s="67">
        <v>3349</v>
      </c>
      <c r="O258" s="67">
        <v>273648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273648</v>
      </c>
      <c r="V258" s="71">
        <v>130.69255861268584</v>
      </c>
      <c r="W258" s="449">
        <v>273648</v>
      </c>
      <c r="X258" s="67">
        <v>231615</v>
      </c>
      <c r="Y258" s="163">
        <v>42033</v>
      </c>
      <c r="Z258" s="166">
        <v>0.18147788355676445</v>
      </c>
      <c r="AA258" s="858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603</v>
      </c>
      <c r="B259" s="784" t="s">
        <v>1691</v>
      </c>
      <c r="C259" s="784" t="s">
        <v>1767</v>
      </c>
      <c r="D259" s="134">
        <v>7.17</v>
      </c>
      <c r="E259" s="67">
        <v>926</v>
      </c>
      <c r="F259" s="146">
        <v>0</v>
      </c>
      <c r="G259" s="146">
        <v>0</v>
      </c>
      <c r="H259" s="91">
        <v>926</v>
      </c>
      <c r="I259" s="67">
        <v>0</v>
      </c>
      <c r="J259" s="739">
        <v>926</v>
      </c>
      <c r="K259" s="837" t="s">
        <v>644</v>
      </c>
      <c r="L259" s="740">
        <v>926</v>
      </c>
      <c r="M259" s="741">
        <v>0</v>
      </c>
      <c r="N259" s="67">
        <v>0</v>
      </c>
      <c r="O259" s="67">
        <v>0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0</v>
      </c>
      <c r="V259" s="71">
        <v>0</v>
      </c>
      <c r="W259" s="449">
        <v>0</v>
      </c>
      <c r="X259" s="67">
        <v>0</v>
      </c>
      <c r="Y259" s="163">
        <v>0</v>
      </c>
      <c r="Z259" s="166">
        <v>0</v>
      </c>
      <c r="AA259" s="858" t="s">
        <v>644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603</v>
      </c>
      <c r="B260" s="784" t="s">
        <v>280</v>
      </c>
      <c r="C260" s="784" t="s">
        <v>1493</v>
      </c>
      <c r="D260" s="134">
        <v>0</v>
      </c>
      <c r="E260" s="67">
        <v>0</v>
      </c>
      <c r="F260" s="146">
        <v>0</v>
      </c>
      <c r="G260" s="146">
        <v>0</v>
      </c>
      <c r="H260" s="91">
        <v>0</v>
      </c>
      <c r="I260" s="67">
        <v>0</v>
      </c>
      <c r="J260" s="739">
        <v>0</v>
      </c>
      <c r="K260" s="837" t="s">
        <v>644</v>
      </c>
      <c r="L260" s="740">
        <v>0</v>
      </c>
      <c r="M260" s="741">
        <v>0</v>
      </c>
      <c r="N260" s="67">
        <v>0</v>
      </c>
      <c r="O260" s="67">
        <v>0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0</v>
      </c>
      <c r="V260" s="71">
        <v>0</v>
      </c>
      <c r="W260" s="449">
        <v>0</v>
      </c>
      <c r="X260" s="67">
        <v>0</v>
      </c>
      <c r="Y260" s="163">
        <v>0</v>
      </c>
      <c r="Z260" s="166">
        <v>0</v>
      </c>
      <c r="AA260" s="858" t="s">
        <v>644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603</v>
      </c>
      <c r="B261" s="784" t="s">
        <v>539</v>
      </c>
      <c r="C261" s="784" t="s">
        <v>1618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837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858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595</v>
      </c>
      <c r="B262" s="784" t="s">
        <v>421</v>
      </c>
      <c r="C262" s="784" t="s">
        <v>1561</v>
      </c>
      <c r="D262" s="134">
        <v>132.99666666666667</v>
      </c>
      <c r="E262" s="67">
        <v>17169</v>
      </c>
      <c r="F262" s="146">
        <v>0</v>
      </c>
      <c r="G262" s="146">
        <v>0</v>
      </c>
      <c r="H262" s="91">
        <v>17169</v>
      </c>
      <c r="I262" s="67">
        <v>0</v>
      </c>
      <c r="J262" s="739">
        <v>17169</v>
      </c>
      <c r="K262" s="837" t="s">
        <v>621</v>
      </c>
      <c r="L262" s="740">
        <v>0</v>
      </c>
      <c r="M262" s="741">
        <v>132.99666666666667</v>
      </c>
      <c r="N262" s="67">
        <v>213</v>
      </c>
      <c r="O262" s="67">
        <v>17382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17382</v>
      </c>
      <c r="V262" s="71">
        <v>130.69500488734053</v>
      </c>
      <c r="W262" s="449">
        <v>17382</v>
      </c>
      <c r="X262" s="67">
        <v>15013</v>
      </c>
      <c r="Y262" s="163">
        <v>2369</v>
      </c>
      <c r="Z262" s="166">
        <v>0.15779657630053953</v>
      </c>
      <c r="AA262" s="858" t="s">
        <v>621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596</v>
      </c>
      <c r="B263" s="784" t="s">
        <v>108</v>
      </c>
      <c r="C263" s="784" t="s">
        <v>1418</v>
      </c>
      <c r="D263" s="134">
        <v>0</v>
      </c>
      <c r="E263" s="67">
        <v>0</v>
      </c>
      <c r="F263" s="146">
        <v>0</v>
      </c>
      <c r="G263" s="146">
        <v>0</v>
      </c>
      <c r="H263" s="91">
        <v>0</v>
      </c>
      <c r="I263" s="67">
        <v>0</v>
      </c>
      <c r="J263" s="739">
        <v>0</v>
      </c>
      <c r="K263" s="837" t="s">
        <v>644</v>
      </c>
      <c r="L263" s="740">
        <v>0</v>
      </c>
      <c r="M263" s="741">
        <v>0</v>
      </c>
      <c r="N263" s="67">
        <v>0</v>
      </c>
      <c r="O263" s="67">
        <v>0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0</v>
      </c>
      <c r="V263" s="71">
        <v>0</v>
      </c>
      <c r="W263" s="449">
        <v>0</v>
      </c>
      <c r="X263" s="67">
        <v>0</v>
      </c>
      <c r="Y263" s="163">
        <v>0</v>
      </c>
      <c r="Z263" s="166">
        <v>0</v>
      </c>
      <c r="AA263" s="858" t="s">
        <v>644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596</v>
      </c>
      <c r="B264" s="784" t="s">
        <v>68</v>
      </c>
      <c r="C264" s="784" t="s">
        <v>1398</v>
      </c>
      <c r="D264" s="134">
        <v>0</v>
      </c>
      <c r="E264" s="67">
        <v>0</v>
      </c>
      <c r="F264" s="146">
        <v>0</v>
      </c>
      <c r="G264" s="146">
        <v>0</v>
      </c>
      <c r="H264" s="91">
        <v>0</v>
      </c>
      <c r="I264" s="67">
        <v>0</v>
      </c>
      <c r="J264" s="739">
        <v>0</v>
      </c>
      <c r="K264" s="837" t="s">
        <v>644</v>
      </c>
      <c r="L264" s="740">
        <v>0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0</v>
      </c>
      <c r="Y264" s="163">
        <v>0</v>
      </c>
      <c r="Z264" s="166">
        <v>0</v>
      </c>
      <c r="AA264" s="858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601</v>
      </c>
      <c r="B265" s="784" t="s">
        <v>27</v>
      </c>
      <c r="C265" s="784" t="s">
        <v>1381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837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858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597</v>
      </c>
      <c r="B266" s="784" t="s">
        <v>342</v>
      </c>
      <c r="C266" s="784" t="s">
        <v>1522</v>
      </c>
      <c r="D266" s="134">
        <v>109.83</v>
      </c>
      <c r="E266" s="67">
        <v>14178</v>
      </c>
      <c r="F266" s="146">
        <v>0</v>
      </c>
      <c r="G266" s="146">
        <v>0</v>
      </c>
      <c r="H266" s="91">
        <v>14178</v>
      </c>
      <c r="I266" s="67">
        <v>0</v>
      </c>
      <c r="J266" s="739">
        <v>14178</v>
      </c>
      <c r="K266" s="837" t="s">
        <v>621</v>
      </c>
      <c r="L266" s="740">
        <v>0</v>
      </c>
      <c r="M266" s="741">
        <v>109.83</v>
      </c>
      <c r="N266" s="67">
        <v>176</v>
      </c>
      <c r="O266" s="67">
        <v>14354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14354</v>
      </c>
      <c r="V266" s="71">
        <v>130.69288901028864</v>
      </c>
      <c r="W266" s="449">
        <v>14354</v>
      </c>
      <c r="X266" s="67">
        <v>0</v>
      </c>
      <c r="Y266" s="163">
        <v>14354</v>
      </c>
      <c r="Z266" s="166">
        <v>0</v>
      </c>
      <c r="AA266" s="858" t="s">
        <v>621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603</v>
      </c>
      <c r="B267" s="784" t="s">
        <v>531</v>
      </c>
      <c r="C267" s="784" t="s">
        <v>1614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837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858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599</v>
      </c>
      <c r="B268" s="784" t="s">
        <v>393</v>
      </c>
      <c r="C268" s="784" t="s">
        <v>1548</v>
      </c>
      <c r="D268" s="134">
        <v>33</v>
      </c>
      <c r="E268" s="67">
        <v>4260</v>
      </c>
      <c r="F268" s="146">
        <v>0</v>
      </c>
      <c r="G268" s="146">
        <v>0</v>
      </c>
      <c r="H268" s="91">
        <v>4260</v>
      </c>
      <c r="I268" s="67">
        <v>0</v>
      </c>
      <c r="J268" s="739">
        <v>4260</v>
      </c>
      <c r="K268" s="837" t="s">
        <v>644</v>
      </c>
      <c r="L268" s="740">
        <v>4260</v>
      </c>
      <c r="M268" s="741">
        <v>0</v>
      </c>
      <c r="N268" s="67">
        <v>0</v>
      </c>
      <c r="O268" s="67">
        <v>0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0</v>
      </c>
      <c r="V268" s="71">
        <v>0</v>
      </c>
      <c r="W268" s="449">
        <v>0</v>
      </c>
      <c r="X268" s="67">
        <v>0</v>
      </c>
      <c r="Y268" s="163">
        <v>0</v>
      </c>
      <c r="Z268" s="166">
        <v>0</v>
      </c>
      <c r="AA268" s="858" t="s">
        <v>644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595</v>
      </c>
      <c r="B269" s="784" t="s">
        <v>415</v>
      </c>
      <c r="C269" s="784" t="s">
        <v>1558</v>
      </c>
      <c r="D269" s="134">
        <v>218.32999999999998</v>
      </c>
      <c r="E269" s="67">
        <v>28185</v>
      </c>
      <c r="F269" s="146">
        <v>0</v>
      </c>
      <c r="G269" s="146">
        <v>0</v>
      </c>
      <c r="H269" s="91">
        <v>28185</v>
      </c>
      <c r="I269" s="67">
        <v>0</v>
      </c>
      <c r="J269" s="739">
        <v>28185</v>
      </c>
      <c r="K269" s="837" t="s">
        <v>621</v>
      </c>
      <c r="L269" s="740">
        <v>0</v>
      </c>
      <c r="M269" s="741">
        <v>218.32999999999998</v>
      </c>
      <c r="N269" s="67">
        <v>349</v>
      </c>
      <c r="O269" s="67">
        <v>28534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28534</v>
      </c>
      <c r="V269" s="71">
        <v>130.69207163468147</v>
      </c>
      <c r="W269" s="449">
        <v>28534</v>
      </c>
      <c r="X269" s="67">
        <v>20235</v>
      </c>
      <c r="Y269" s="163">
        <v>8299</v>
      </c>
      <c r="Z269" s="166">
        <v>0.41013096120583148</v>
      </c>
      <c r="AA269" s="858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597</v>
      </c>
      <c r="B270" s="784" t="s">
        <v>1716</v>
      </c>
      <c r="C270" s="784" t="s">
        <v>1761</v>
      </c>
      <c r="D270" s="134">
        <v>68.5</v>
      </c>
      <c r="E270" s="67">
        <v>8843</v>
      </c>
      <c r="F270" s="146">
        <v>0</v>
      </c>
      <c r="G270" s="146">
        <v>0</v>
      </c>
      <c r="H270" s="91">
        <v>8843</v>
      </c>
      <c r="I270" s="67">
        <v>0</v>
      </c>
      <c r="J270" s="739">
        <v>8843</v>
      </c>
      <c r="K270" s="837" t="s">
        <v>644</v>
      </c>
      <c r="L270" s="740">
        <v>8843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858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597</v>
      </c>
      <c r="B271" s="784" t="s">
        <v>1694</v>
      </c>
      <c r="C271" s="784" t="s">
        <v>1768</v>
      </c>
      <c r="D271" s="134">
        <v>11.17</v>
      </c>
      <c r="E271" s="67">
        <v>1442</v>
      </c>
      <c r="F271" s="146">
        <v>0</v>
      </c>
      <c r="G271" s="146">
        <v>0</v>
      </c>
      <c r="H271" s="91">
        <v>1442</v>
      </c>
      <c r="I271" s="67">
        <v>0</v>
      </c>
      <c r="J271" s="739">
        <v>1442</v>
      </c>
      <c r="K271" s="837" t="s">
        <v>644</v>
      </c>
      <c r="L271" s="740">
        <v>1442</v>
      </c>
      <c r="M271" s="741">
        <v>0</v>
      </c>
      <c r="N271" s="67">
        <v>0</v>
      </c>
      <c r="O271" s="67">
        <v>0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0</v>
      </c>
      <c r="V271" s="71">
        <v>0</v>
      </c>
      <c r="W271" s="449">
        <v>0</v>
      </c>
      <c r="X271" s="67">
        <v>0</v>
      </c>
      <c r="Y271" s="163">
        <v>0</v>
      </c>
      <c r="Z271" s="166">
        <v>0</v>
      </c>
      <c r="AA271" s="858" t="s">
        <v>644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597</v>
      </c>
      <c r="B272" s="784" t="s">
        <v>1693</v>
      </c>
      <c r="C272" s="784" t="s">
        <v>1769</v>
      </c>
      <c r="D272" s="134">
        <v>31.17</v>
      </c>
      <c r="E272" s="67">
        <v>4024</v>
      </c>
      <c r="F272" s="146">
        <v>0</v>
      </c>
      <c r="G272" s="146">
        <v>0</v>
      </c>
      <c r="H272" s="91">
        <v>4024</v>
      </c>
      <c r="I272" s="67">
        <v>0</v>
      </c>
      <c r="J272" s="739">
        <v>4024</v>
      </c>
      <c r="K272" s="837" t="s">
        <v>644</v>
      </c>
      <c r="L272" s="740">
        <v>4024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858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603</v>
      </c>
      <c r="B273" s="784" t="s">
        <v>460</v>
      </c>
      <c r="C273" s="784" t="s">
        <v>1582</v>
      </c>
      <c r="D273" s="134">
        <v>0</v>
      </c>
      <c r="E273" s="67">
        <v>0</v>
      </c>
      <c r="F273" s="146">
        <v>0</v>
      </c>
      <c r="G273" s="146">
        <v>0</v>
      </c>
      <c r="H273" s="91">
        <v>0</v>
      </c>
      <c r="I273" s="67">
        <v>0</v>
      </c>
      <c r="J273" s="739">
        <v>0</v>
      </c>
      <c r="K273" s="837" t="s">
        <v>644</v>
      </c>
      <c r="L273" s="740">
        <v>0</v>
      </c>
      <c r="M273" s="741">
        <v>0</v>
      </c>
      <c r="N273" s="67">
        <v>0</v>
      </c>
      <c r="O273" s="67">
        <v>0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0</v>
      </c>
      <c r="V273" s="71">
        <v>0</v>
      </c>
      <c r="W273" s="449">
        <v>0</v>
      </c>
      <c r="X273" s="67">
        <v>0</v>
      </c>
      <c r="Y273" s="163">
        <v>0</v>
      </c>
      <c r="Z273" s="166">
        <v>0</v>
      </c>
      <c r="AA273" s="858" t="s">
        <v>644</v>
      </c>
      <c r="AC273" s="67"/>
      <c r="AD273" s="451"/>
      <c r="AE273" s="452"/>
      <c r="AH273" s="36"/>
      <c r="AI273" s="36"/>
      <c r="AJ273" s="36"/>
      <c r="AK273" s="19"/>
    </row>
    <row r="274" spans="1:37">
      <c r="A274" s="64" t="s">
        <v>597</v>
      </c>
      <c r="B274" s="784" t="s">
        <v>351</v>
      </c>
      <c r="C274" s="784" t="s">
        <v>1527</v>
      </c>
      <c r="D274" s="134">
        <v>366.66999999999996</v>
      </c>
      <c r="E274" s="67">
        <v>47335</v>
      </c>
      <c r="F274" s="146">
        <v>0</v>
      </c>
      <c r="G274" s="146">
        <v>0</v>
      </c>
      <c r="H274" s="91">
        <v>47335</v>
      </c>
      <c r="I274" s="67">
        <v>0</v>
      </c>
      <c r="J274" s="739">
        <v>47335</v>
      </c>
      <c r="K274" s="837" t="s">
        <v>621</v>
      </c>
      <c r="L274" s="740">
        <v>0</v>
      </c>
      <c r="M274" s="741">
        <v>366.66999999999996</v>
      </c>
      <c r="N274" s="67">
        <v>586</v>
      </c>
      <c r="O274" s="67">
        <v>47921</v>
      </c>
      <c r="Q274" s="674">
        <v>0</v>
      </c>
      <c r="R274" s="674" t="s">
        <v>1730</v>
      </c>
      <c r="S274" s="798" t="s">
        <v>801</v>
      </c>
      <c r="T274" s="798">
        <v>0</v>
      </c>
      <c r="U274" s="88">
        <v>47921</v>
      </c>
      <c r="V274" s="71">
        <v>130.69244825047048</v>
      </c>
      <c r="W274" s="449">
        <v>47921</v>
      </c>
      <c r="X274" s="67">
        <v>39943</v>
      </c>
      <c r="Y274" s="163">
        <v>7978</v>
      </c>
      <c r="Z274" s="166">
        <v>0.19973462183611645</v>
      </c>
      <c r="AA274" s="858" t="s">
        <v>621</v>
      </c>
      <c r="AC274" s="67"/>
      <c r="AD274" s="451"/>
      <c r="AE274" s="452"/>
      <c r="AH274" s="36"/>
      <c r="AI274" s="36"/>
      <c r="AJ274" s="36"/>
      <c r="AK274" s="19"/>
    </row>
    <row r="275" spans="1:37" s="112" customFormat="1">
      <c r="A275" s="64" t="s">
        <v>605</v>
      </c>
      <c r="B275" s="785" t="s">
        <v>557</v>
      </c>
      <c r="C275" s="784" t="s">
        <v>1626</v>
      </c>
      <c r="D275" s="134">
        <v>2046.17</v>
      </c>
      <c r="E275" s="67">
        <v>264147</v>
      </c>
      <c r="F275" s="146">
        <v>0</v>
      </c>
      <c r="G275" s="146">
        <v>0</v>
      </c>
      <c r="H275" s="91">
        <v>264147</v>
      </c>
      <c r="I275" s="67">
        <v>0</v>
      </c>
      <c r="J275" s="739">
        <v>264147</v>
      </c>
      <c r="K275" s="837" t="s">
        <v>621</v>
      </c>
      <c r="L275" s="740">
        <v>0</v>
      </c>
      <c r="M275" s="741">
        <v>2046.17</v>
      </c>
      <c r="N275" s="67">
        <v>3272</v>
      </c>
      <c r="O275" s="67">
        <v>267419</v>
      </c>
      <c r="P275" s="674"/>
      <c r="Q275" s="674">
        <v>0</v>
      </c>
      <c r="R275" s="674" t="s">
        <v>1730</v>
      </c>
      <c r="S275" s="798" t="s">
        <v>801</v>
      </c>
      <c r="T275" s="798">
        <v>0</v>
      </c>
      <c r="U275" s="88">
        <v>267419</v>
      </c>
      <c r="V275" s="71">
        <v>130.69246445798737</v>
      </c>
      <c r="W275" s="449">
        <v>267419</v>
      </c>
      <c r="X275" s="67">
        <v>277411</v>
      </c>
      <c r="Y275" s="163">
        <v>-9992</v>
      </c>
      <c r="Z275" s="166">
        <v>-3.6018759169607548E-2</v>
      </c>
      <c r="AA275" s="858" t="s">
        <v>621</v>
      </c>
      <c r="AC275" s="67"/>
      <c r="AD275" s="451"/>
      <c r="AE275" s="452"/>
      <c r="AH275" s="116"/>
      <c r="AI275" s="116"/>
      <c r="AJ275" s="116"/>
      <c r="AK275" s="117"/>
    </row>
    <row r="276" spans="1:37">
      <c r="A276" s="64" t="s">
        <v>597</v>
      </c>
      <c r="B276" s="784" t="s">
        <v>345</v>
      </c>
      <c r="C276" s="784" t="s">
        <v>1524</v>
      </c>
      <c r="D276" s="134">
        <v>3395.16</v>
      </c>
      <c r="E276" s="67">
        <v>438292</v>
      </c>
      <c r="F276" s="146">
        <v>0</v>
      </c>
      <c r="G276" s="146">
        <v>0</v>
      </c>
      <c r="H276" s="91">
        <v>438292</v>
      </c>
      <c r="I276" s="67">
        <v>0</v>
      </c>
      <c r="J276" s="739">
        <v>438292</v>
      </c>
      <c r="K276" s="837" t="s">
        <v>621</v>
      </c>
      <c r="L276" s="740">
        <v>0</v>
      </c>
      <c r="M276" s="741">
        <v>3395.16</v>
      </c>
      <c r="N276" s="67">
        <v>5430</v>
      </c>
      <c r="O276" s="67">
        <v>443722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443722</v>
      </c>
      <c r="V276" s="71">
        <v>130.69251522755923</v>
      </c>
      <c r="W276" s="449">
        <v>443722</v>
      </c>
      <c r="X276" s="67">
        <v>365887</v>
      </c>
      <c r="Y276" s="163">
        <v>77835</v>
      </c>
      <c r="Z276" s="166">
        <v>0.21272961324124662</v>
      </c>
      <c r="AA276" s="858" t="s">
        <v>621</v>
      </c>
      <c r="AC276" s="67"/>
      <c r="AD276" s="451"/>
      <c r="AE276" s="452"/>
      <c r="AH276" s="36"/>
      <c r="AI276" s="36"/>
      <c r="AJ276" s="36"/>
      <c r="AK276" s="19"/>
    </row>
    <row r="277" spans="1:37">
      <c r="A277" s="64" t="s">
        <v>594</v>
      </c>
      <c r="B277" s="784" t="s">
        <v>143</v>
      </c>
      <c r="C277" s="784" t="s">
        <v>1434</v>
      </c>
      <c r="D277" s="134">
        <v>0</v>
      </c>
      <c r="E277" s="67">
        <v>0</v>
      </c>
      <c r="F277" s="146">
        <v>0</v>
      </c>
      <c r="G277" s="146">
        <v>0</v>
      </c>
      <c r="H277" s="91">
        <v>0</v>
      </c>
      <c r="I277" s="67">
        <v>0</v>
      </c>
      <c r="J277" s="739">
        <v>0</v>
      </c>
      <c r="K277" s="837" t="s">
        <v>644</v>
      </c>
      <c r="L277" s="740">
        <v>0</v>
      </c>
      <c r="M277" s="741">
        <v>0</v>
      </c>
      <c r="N277" s="67">
        <v>0</v>
      </c>
      <c r="O277" s="67">
        <v>0</v>
      </c>
      <c r="Q277" s="674">
        <v>0</v>
      </c>
      <c r="R277" s="674" t="s">
        <v>1730</v>
      </c>
      <c r="S277" s="798" t="s">
        <v>801</v>
      </c>
      <c r="T277" s="798">
        <v>0</v>
      </c>
      <c r="U277" s="88">
        <v>0</v>
      </c>
      <c r="V277" s="71">
        <v>0</v>
      </c>
      <c r="W277" s="449">
        <v>0</v>
      </c>
      <c r="X277" s="67">
        <v>0</v>
      </c>
      <c r="Y277" s="163">
        <v>0</v>
      </c>
      <c r="Z277" s="166">
        <v>0</v>
      </c>
      <c r="AA277" s="858" t="s">
        <v>644</v>
      </c>
      <c r="AC277" s="67"/>
      <c r="AD277" s="451"/>
      <c r="AE277" s="452"/>
      <c r="AH277" s="36"/>
      <c r="AI277" s="36"/>
      <c r="AJ277" s="36"/>
      <c r="AK277" s="19"/>
    </row>
    <row r="278" spans="1:37" s="112" customFormat="1">
      <c r="A278" s="64" t="s">
        <v>597</v>
      </c>
      <c r="B278" s="785" t="s">
        <v>197</v>
      </c>
      <c r="C278" s="784" t="s">
        <v>627</v>
      </c>
      <c r="D278" s="134">
        <v>276</v>
      </c>
      <c r="E278" s="67">
        <v>35630</v>
      </c>
      <c r="F278" s="146">
        <v>0</v>
      </c>
      <c r="G278" s="146">
        <v>0</v>
      </c>
      <c r="H278" s="91">
        <v>35630</v>
      </c>
      <c r="I278" s="67">
        <v>0</v>
      </c>
      <c r="J278" s="739">
        <v>35630</v>
      </c>
      <c r="K278" s="837" t="s">
        <v>621</v>
      </c>
      <c r="L278" s="740">
        <v>0</v>
      </c>
      <c r="M278" s="741">
        <v>276</v>
      </c>
      <c r="N278" s="67">
        <v>441</v>
      </c>
      <c r="O278" s="67">
        <v>36071</v>
      </c>
      <c r="P278" s="674"/>
      <c r="Q278" s="674">
        <v>0</v>
      </c>
      <c r="R278" s="674" t="s">
        <v>1730</v>
      </c>
      <c r="S278" s="798" t="s">
        <v>801</v>
      </c>
      <c r="T278" s="798">
        <v>0</v>
      </c>
      <c r="U278" s="88">
        <v>36071</v>
      </c>
      <c r="V278" s="71">
        <v>130.69202898550725</v>
      </c>
      <c r="W278" s="449">
        <v>36071</v>
      </c>
      <c r="X278" s="67">
        <v>20111</v>
      </c>
      <c r="Y278" s="163">
        <v>15960</v>
      </c>
      <c r="Z278" s="166">
        <v>0.79359554472676641</v>
      </c>
      <c r="AA278" s="858" t="s">
        <v>621</v>
      </c>
      <c r="AC278" s="67"/>
      <c r="AD278" s="451"/>
      <c r="AE278" s="452"/>
      <c r="AH278" s="116"/>
      <c r="AI278" s="116"/>
      <c r="AJ278" s="116"/>
      <c r="AK278" s="117"/>
    </row>
    <row r="279" spans="1:37">
      <c r="A279" s="64" t="s">
        <v>603</v>
      </c>
      <c r="B279" s="784" t="s">
        <v>521</v>
      </c>
      <c r="C279" s="784" t="s">
        <v>1609</v>
      </c>
      <c r="D279" s="134">
        <v>1</v>
      </c>
      <c r="E279" s="67">
        <v>129</v>
      </c>
      <c r="F279" s="146">
        <v>0</v>
      </c>
      <c r="G279" s="146">
        <v>0</v>
      </c>
      <c r="H279" s="91">
        <v>129</v>
      </c>
      <c r="I279" s="67">
        <v>0</v>
      </c>
      <c r="J279" s="739">
        <v>129</v>
      </c>
      <c r="K279" s="837" t="s">
        <v>644</v>
      </c>
      <c r="L279" s="740">
        <v>129</v>
      </c>
      <c r="M279" s="741">
        <v>0</v>
      </c>
      <c r="N279" s="67">
        <v>0</v>
      </c>
      <c r="O279" s="67">
        <v>0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0</v>
      </c>
      <c r="V279" s="71">
        <v>0</v>
      </c>
      <c r="W279" s="449">
        <v>0</v>
      </c>
      <c r="X279" s="67">
        <v>0</v>
      </c>
      <c r="Y279" s="163">
        <v>0</v>
      </c>
      <c r="Z279" s="166">
        <v>0</v>
      </c>
      <c r="AA279" s="858" t="s">
        <v>644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594</v>
      </c>
      <c r="B280" s="784" t="s">
        <v>486</v>
      </c>
      <c r="C280" s="784" t="s">
        <v>1594</v>
      </c>
      <c r="D280" s="134">
        <v>12.5</v>
      </c>
      <c r="E280" s="67">
        <v>1614</v>
      </c>
      <c r="F280" s="146">
        <v>0</v>
      </c>
      <c r="G280" s="146">
        <v>0</v>
      </c>
      <c r="H280" s="91">
        <v>1614</v>
      </c>
      <c r="I280" s="67">
        <v>0</v>
      </c>
      <c r="J280" s="739">
        <v>1614</v>
      </c>
      <c r="K280" s="837" t="s">
        <v>644</v>
      </c>
      <c r="L280" s="740">
        <v>1614</v>
      </c>
      <c r="M280" s="741">
        <v>0</v>
      </c>
      <c r="N280" s="67">
        <v>0</v>
      </c>
      <c r="O280" s="67">
        <v>0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0</v>
      </c>
      <c r="V280" s="71">
        <v>0</v>
      </c>
      <c r="W280" s="449">
        <v>0</v>
      </c>
      <c r="X280" s="67">
        <v>1036</v>
      </c>
      <c r="Y280" s="163">
        <v>-1036</v>
      </c>
      <c r="Z280" s="166">
        <v>-1</v>
      </c>
      <c r="AA280" s="858" t="s">
        <v>644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605</v>
      </c>
      <c r="B281" s="784" t="s">
        <v>224</v>
      </c>
      <c r="C281" s="784" t="s">
        <v>1468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837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858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594</v>
      </c>
      <c r="B282" s="784" t="s">
        <v>268</v>
      </c>
      <c r="C282" s="784" t="s">
        <v>1488</v>
      </c>
      <c r="D282" s="134">
        <v>12.17</v>
      </c>
      <c r="E282" s="67">
        <v>1571</v>
      </c>
      <c r="F282" s="146">
        <v>0</v>
      </c>
      <c r="G282" s="146">
        <v>0</v>
      </c>
      <c r="H282" s="91">
        <v>1571</v>
      </c>
      <c r="I282" s="67">
        <v>0</v>
      </c>
      <c r="J282" s="739">
        <v>1571</v>
      </c>
      <c r="K282" s="837" t="s">
        <v>644</v>
      </c>
      <c r="L282" s="740">
        <v>1571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858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601</v>
      </c>
      <c r="B283" s="784" t="s">
        <v>321</v>
      </c>
      <c r="C283" s="784" t="s">
        <v>612</v>
      </c>
      <c r="D283" s="134">
        <v>137.66</v>
      </c>
      <c r="E283" s="67">
        <v>17771</v>
      </c>
      <c r="F283" s="146">
        <v>0</v>
      </c>
      <c r="G283" s="146">
        <v>0</v>
      </c>
      <c r="H283" s="91">
        <v>17771</v>
      </c>
      <c r="I283" s="67">
        <v>0</v>
      </c>
      <c r="J283" s="739">
        <v>17771</v>
      </c>
      <c r="K283" s="837" t="s">
        <v>621</v>
      </c>
      <c r="L283" s="740">
        <v>0</v>
      </c>
      <c r="M283" s="741">
        <v>137.66</v>
      </c>
      <c r="N283" s="67">
        <v>220</v>
      </c>
      <c r="O283" s="67">
        <v>17991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17991</v>
      </c>
      <c r="V283" s="71">
        <v>130.69155891326457</v>
      </c>
      <c r="W283" s="449">
        <v>17991</v>
      </c>
      <c r="X283" s="67">
        <v>20574</v>
      </c>
      <c r="Y283" s="163">
        <v>-2583</v>
      </c>
      <c r="Z283" s="166">
        <v>-0.12554680664916884</v>
      </c>
      <c r="AA283" s="858" t="s">
        <v>621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605</v>
      </c>
      <c r="B284" s="784" t="s">
        <v>559</v>
      </c>
      <c r="C284" s="784" t="s">
        <v>633</v>
      </c>
      <c r="D284" s="134">
        <v>1586.4933333333333</v>
      </c>
      <c r="E284" s="67">
        <v>204806</v>
      </c>
      <c r="F284" s="146">
        <v>0</v>
      </c>
      <c r="G284" s="146">
        <v>0</v>
      </c>
      <c r="H284" s="91">
        <v>204806</v>
      </c>
      <c r="I284" s="67">
        <v>0</v>
      </c>
      <c r="J284" s="739">
        <v>204806</v>
      </c>
      <c r="K284" s="837" t="s">
        <v>621</v>
      </c>
      <c r="L284" s="740">
        <v>0</v>
      </c>
      <c r="M284" s="741">
        <v>1586.4933333333333</v>
      </c>
      <c r="N284" s="67">
        <v>2537</v>
      </c>
      <c r="O284" s="67">
        <v>207343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207343</v>
      </c>
      <c r="V284" s="71">
        <v>130.69263869162177</v>
      </c>
      <c r="W284" s="449">
        <v>207343</v>
      </c>
      <c r="X284" s="67">
        <v>208661</v>
      </c>
      <c r="Y284" s="163">
        <v>-1318</v>
      </c>
      <c r="Z284" s="166">
        <v>-6.3164654631196054E-3</v>
      </c>
      <c r="AA284" s="858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596</v>
      </c>
      <c r="B285" s="784" t="s">
        <v>496</v>
      </c>
      <c r="C285" s="784" t="s">
        <v>1598</v>
      </c>
      <c r="D285" s="134">
        <v>39</v>
      </c>
      <c r="E285" s="67">
        <v>5035</v>
      </c>
      <c r="F285" s="146">
        <v>0</v>
      </c>
      <c r="G285" s="146">
        <v>0</v>
      </c>
      <c r="H285" s="91">
        <v>5035</v>
      </c>
      <c r="I285" s="67">
        <v>0</v>
      </c>
      <c r="J285" s="739">
        <v>5035</v>
      </c>
      <c r="K285" s="837" t="s">
        <v>644</v>
      </c>
      <c r="L285" s="740">
        <v>5035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858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599</v>
      </c>
      <c r="B286" s="784" t="s">
        <v>72</v>
      </c>
      <c r="C286" s="784" t="s">
        <v>1400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837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858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599</v>
      </c>
      <c r="B287" s="784" t="s">
        <v>238</v>
      </c>
      <c r="C287" s="784" t="s">
        <v>1475</v>
      </c>
      <c r="D287" s="134">
        <v>7.84</v>
      </c>
      <c r="E287" s="67">
        <v>1012</v>
      </c>
      <c r="F287" s="146">
        <v>0</v>
      </c>
      <c r="G287" s="146">
        <v>0</v>
      </c>
      <c r="H287" s="91">
        <v>1012</v>
      </c>
      <c r="I287" s="67">
        <v>0</v>
      </c>
      <c r="J287" s="739">
        <v>1012</v>
      </c>
      <c r="K287" s="837" t="s">
        <v>644</v>
      </c>
      <c r="L287" s="740">
        <v>1012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858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597</v>
      </c>
      <c r="B288" s="784" t="s">
        <v>191</v>
      </c>
      <c r="C288" s="784" t="s">
        <v>1456</v>
      </c>
      <c r="D288" s="134">
        <v>1106.83</v>
      </c>
      <c r="E288" s="67">
        <v>142884</v>
      </c>
      <c r="F288" s="146">
        <v>0</v>
      </c>
      <c r="G288" s="146">
        <v>0</v>
      </c>
      <c r="H288" s="91">
        <v>142884</v>
      </c>
      <c r="I288" s="67">
        <v>0</v>
      </c>
      <c r="J288" s="739">
        <v>142884</v>
      </c>
      <c r="K288" s="837" t="s">
        <v>621</v>
      </c>
      <c r="L288" s="740">
        <v>0</v>
      </c>
      <c r="M288" s="741">
        <v>1106.83</v>
      </c>
      <c r="N288" s="67">
        <v>1770</v>
      </c>
      <c r="O288" s="67">
        <v>144654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144654</v>
      </c>
      <c r="V288" s="71">
        <v>130.69215688046043</v>
      </c>
      <c r="W288" s="449">
        <v>144654</v>
      </c>
      <c r="X288" s="67">
        <v>144947</v>
      </c>
      <c r="Y288" s="163">
        <v>-293</v>
      </c>
      <c r="Z288" s="166">
        <v>-2.0214285221494752E-3</v>
      </c>
      <c r="AA288" s="858" t="s">
        <v>621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594</v>
      </c>
      <c r="B289" s="784" t="s">
        <v>476</v>
      </c>
      <c r="C289" s="784" t="s">
        <v>1589</v>
      </c>
      <c r="D289" s="134">
        <v>122</v>
      </c>
      <c r="E289" s="67">
        <v>15749</v>
      </c>
      <c r="F289" s="146">
        <v>0</v>
      </c>
      <c r="G289" s="146">
        <v>0</v>
      </c>
      <c r="H289" s="91">
        <v>15749</v>
      </c>
      <c r="I289" s="67">
        <v>0</v>
      </c>
      <c r="J289" s="739">
        <v>15749</v>
      </c>
      <c r="K289" s="837" t="s">
        <v>621</v>
      </c>
      <c r="L289" s="740">
        <v>0</v>
      </c>
      <c r="M289" s="741">
        <v>122</v>
      </c>
      <c r="N289" s="67">
        <v>195</v>
      </c>
      <c r="O289" s="67">
        <v>15944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15944</v>
      </c>
      <c r="V289" s="71">
        <v>130.68852459016392</v>
      </c>
      <c r="W289" s="449">
        <v>15944</v>
      </c>
      <c r="X289" s="67">
        <v>17130</v>
      </c>
      <c r="Y289" s="163">
        <v>-1186</v>
      </c>
      <c r="Z289" s="166">
        <v>-6.9235259778166955E-2</v>
      </c>
      <c r="AA289" s="858" t="s">
        <v>621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605</v>
      </c>
      <c r="B290" s="787" t="s">
        <v>543</v>
      </c>
      <c r="C290" s="784" t="s">
        <v>1620</v>
      </c>
      <c r="D290" s="134">
        <v>177</v>
      </c>
      <c r="E290" s="67">
        <v>22850</v>
      </c>
      <c r="F290" s="146">
        <v>0</v>
      </c>
      <c r="G290" s="146">
        <v>0</v>
      </c>
      <c r="H290" s="91">
        <v>22850</v>
      </c>
      <c r="I290" s="67">
        <v>0</v>
      </c>
      <c r="J290" s="739">
        <v>22850</v>
      </c>
      <c r="K290" s="837" t="s">
        <v>621</v>
      </c>
      <c r="L290" s="740">
        <v>0</v>
      </c>
      <c r="M290" s="741">
        <v>177</v>
      </c>
      <c r="N290" s="67">
        <v>283</v>
      </c>
      <c r="O290" s="67">
        <v>23133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23133</v>
      </c>
      <c r="V290" s="71">
        <v>130.69491525423729</v>
      </c>
      <c r="W290" s="449">
        <v>23133</v>
      </c>
      <c r="X290" s="67">
        <v>24189</v>
      </c>
      <c r="Y290" s="163">
        <v>-1056</v>
      </c>
      <c r="Z290" s="166">
        <v>-4.3656207366984993E-2</v>
      </c>
      <c r="AA290" s="858" t="s">
        <v>621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597</v>
      </c>
      <c r="B291" s="784" t="s">
        <v>349</v>
      </c>
      <c r="C291" s="784" t="s">
        <v>1526</v>
      </c>
      <c r="D291" s="134">
        <v>344.66</v>
      </c>
      <c r="E291" s="67">
        <v>44493</v>
      </c>
      <c r="F291" s="146">
        <v>0</v>
      </c>
      <c r="G291" s="146">
        <v>0</v>
      </c>
      <c r="H291" s="91">
        <v>44493</v>
      </c>
      <c r="I291" s="67">
        <v>0</v>
      </c>
      <c r="J291" s="739">
        <v>44493</v>
      </c>
      <c r="K291" s="837" t="s">
        <v>621</v>
      </c>
      <c r="L291" s="740">
        <v>0</v>
      </c>
      <c r="M291" s="741">
        <v>344.66</v>
      </c>
      <c r="N291" s="67">
        <v>551</v>
      </c>
      <c r="O291" s="67">
        <v>45044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45044</v>
      </c>
      <c r="V291" s="71">
        <v>130.6911158823188</v>
      </c>
      <c r="W291" s="449">
        <v>45044</v>
      </c>
      <c r="X291" s="67">
        <v>36561</v>
      </c>
      <c r="Y291" s="163">
        <v>8483</v>
      </c>
      <c r="Z291" s="166">
        <v>0.23202319411394656</v>
      </c>
      <c r="AA291" s="858" t="s">
        <v>621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454</v>
      </c>
      <c r="C292" s="784" t="s">
        <v>1579</v>
      </c>
      <c r="D292" s="134">
        <v>1.3333333333333333</v>
      </c>
      <c r="E292" s="67">
        <v>172</v>
      </c>
      <c r="F292" s="146">
        <v>0</v>
      </c>
      <c r="G292" s="146">
        <v>0</v>
      </c>
      <c r="H292" s="91">
        <v>172</v>
      </c>
      <c r="I292" s="67">
        <v>0</v>
      </c>
      <c r="J292" s="739">
        <v>172</v>
      </c>
      <c r="K292" s="837" t="s">
        <v>644</v>
      </c>
      <c r="L292" s="740">
        <v>172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858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599</v>
      </c>
      <c r="B293" s="784" t="s">
        <v>49</v>
      </c>
      <c r="C293" s="784" t="s">
        <v>1390</v>
      </c>
      <c r="D293" s="134">
        <v>3199.8366666666666</v>
      </c>
      <c r="E293" s="67">
        <v>413077</v>
      </c>
      <c r="F293" s="146">
        <v>0</v>
      </c>
      <c r="G293" s="146">
        <v>0</v>
      </c>
      <c r="H293" s="91">
        <v>413077</v>
      </c>
      <c r="I293" s="67">
        <v>0</v>
      </c>
      <c r="J293" s="739">
        <v>413077</v>
      </c>
      <c r="K293" s="837" t="s">
        <v>621</v>
      </c>
      <c r="L293" s="740">
        <v>0</v>
      </c>
      <c r="M293" s="741">
        <v>3199.8366666666666</v>
      </c>
      <c r="N293" s="67">
        <v>5117</v>
      </c>
      <c r="O293" s="67">
        <v>418194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418194</v>
      </c>
      <c r="V293" s="71">
        <v>130.6922957525957</v>
      </c>
      <c r="W293" s="449">
        <v>418194</v>
      </c>
      <c r="X293" s="67">
        <v>386229</v>
      </c>
      <c r="Y293" s="163">
        <v>31965</v>
      </c>
      <c r="Z293" s="166">
        <v>8.2761781223056788E-2</v>
      </c>
      <c r="AA293" s="858" t="s">
        <v>621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597</v>
      </c>
      <c r="B294" s="784" t="s">
        <v>183</v>
      </c>
      <c r="C294" s="784" t="s">
        <v>1453</v>
      </c>
      <c r="D294" s="134">
        <v>77.67</v>
      </c>
      <c r="E294" s="67">
        <v>10027</v>
      </c>
      <c r="F294" s="146">
        <v>0</v>
      </c>
      <c r="G294" s="146">
        <v>0</v>
      </c>
      <c r="H294" s="91">
        <v>10027</v>
      </c>
      <c r="I294" s="67">
        <v>0</v>
      </c>
      <c r="J294" s="739">
        <v>10027</v>
      </c>
      <c r="K294" s="837" t="s">
        <v>1306</v>
      </c>
      <c r="L294" s="740">
        <v>0</v>
      </c>
      <c r="M294" s="741">
        <v>77.67</v>
      </c>
      <c r="N294" s="67">
        <v>124</v>
      </c>
      <c r="O294" s="67">
        <v>10151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10151</v>
      </c>
      <c r="V294" s="71">
        <v>130.69396163254797</v>
      </c>
      <c r="W294" s="449">
        <v>0</v>
      </c>
      <c r="X294" s="67">
        <v>0</v>
      </c>
      <c r="Y294" s="163">
        <v>10151</v>
      </c>
      <c r="Z294" s="166">
        <v>0</v>
      </c>
      <c r="AA294" s="858" t="s">
        <v>1306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599</v>
      </c>
      <c r="B295" s="784" t="s">
        <v>488</v>
      </c>
      <c r="C295" s="784" t="s">
        <v>1595</v>
      </c>
      <c r="D295" s="134">
        <v>20.67</v>
      </c>
      <c r="E295" s="67">
        <v>2668</v>
      </c>
      <c r="F295" s="146">
        <v>0</v>
      </c>
      <c r="G295" s="146">
        <v>0</v>
      </c>
      <c r="H295" s="91">
        <v>2668</v>
      </c>
      <c r="I295" s="67">
        <v>0</v>
      </c>
      <c r="J295" s="739">
        <v>2668</v>
      </c>
      <c r="K295" s="837" t="s">
        <v>1306</v>
      </c>
      <c r="L295" s="740">
        <v>0</v>
      </c>
      <c r="M295" s="741">
        <v>20.67</v>
      </c>
      <c r="N295" s="67">
        <v>33</v>
      </c>
      <c r="O295" s="67">
        <v>2701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2701</v>
      </c>
      <c r="V295" s="71">
        <v>130.67247218190613</v>
      </c>
      <c r="W295" s="449">
        <v>0</v>
      </c>
      <c r="X295" s="67">
        <v>0</v>
      </c>
      <c r="Y295" s="163">
        <v>2701</v>
      </c>
      <c r="Z295" s="166">
        <v>0</v>
      </c>
      <c r="AA295" s="858" t="s">
        <v>1306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114</v>
      </c>
      <c r="C296" s="784" t="s">
        <v>634</v>
      </c>
      <c r="D296" s="134">
        <v>1282</v>
      </c>
      <c r="E296" s="67">
        <v>165498</v>
      </c>
      <c r="F296" s="146">
        <v>0</v>
      </c>
      <c r="G296" s="146">
        <v>0</v>
      </c>
      <c r="H296" s="91">
        <v>165498</v>
      </c>
      <c r="I296" s="67">
        <v>0</v>
      </c>
      <c r="J296" s="739">
        <v>165498</v>
      </c>
      <c r="K296" s="837" t="s">
        <v>621</v>
      </c>
      <c r="L296" s="740">
        <v>0</v>
      </c>
      <c r="M296" s="741">
        <v>1282</v>
      </c>
      <c r="N296" s="67">
        <v>2050</v>
      </c>
      <c r="O296" s="67">
        <v>167548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167548</v>
      </c>
      <c r="V296" s="71">
        <v>130.69266770670828</v>
      </c>
      <c r="W296" s="449">
        <v>167548</v>
      </c>
      <c r="X296" s="67">
        <v>172131</v>
      </c>
      <c r="Y296" s="163">
        <v>-4583</v>
      </c>
      <c r="Z296" s="166">
        <v>-2.662507044053657E-2</v>
      </c>
      <c r="AA296" s="858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596</v>
      </c>
      <c r="B297" s="784" t="s">
        <v>500</v>
      </c>
      <c r="C297" s="784" t="s">
        <v>1600</v>
      </c>
      <c r="D297" s="134">
        <v>6</v>
      </c>
      <c r="E297" s="67">
        <v>775</v>
      </c>
      <c r="F297" s="146">
        <v>0</v>
      </c>
      <c r="G297" s="146">
        <v>0</v>
      </c>
      <c r="H297" s="91">
        <v>775</v>
      </c>
      <c r="I297" s="67">
        <v>0</v>
      </c>
      <c r="J297" s="739">
        <v>775</v>
      </c>
      <c r="K297" s="837" t="s">
        <v>644</v>
      </c>
      <c r="L297" s="740">
        <v>775</v>
      </c>
      <c r="M297" s="741">
        <v>0</v>
      </c>
      <c r="N297" s="67">
        <v>0</v>
      </c>
      <c r="O297" s="67">
        <v>0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0</v>
      </c>
      <c r="V297" s="71">
        <v>0</v>
      </c>
      <c r="W297" s="449">
        <v>0</v>
      </c>
      <c r="X297" s="67">
        <v>0</v>
      </c>
      <c r="Y297" s="163">
        <v>0</v>
      </c>
      <c r="Z297" s="166">
        <v>0</v>
      </c>
      <c r="AA297" s="858" t="s">
        <v>644</v>
      </c>
      <c r="AC297" s="67"/>
      <c r="AD297" s="451"/>
      <c r="AE297" s="452"/>
      <c r="AH297" s="36"/>
      <c r="AI297" s="36"/>
      <c r="AJ297" s="36"/>
      <c r="AK297" s="19"/>
    </row>
    <row r="298" spans="1:37">
      <c r="A298" s="64" t="s">
        <v>596</v>
      </c>
      <c r="B298" s="784" t="s">
        <v>492</v>
      </c>
      <c r="C298" s="784" t="s">
        <v>641</v>
      </c>
      <c r="D298" s="134">
        <v>808.5</v>
      </c>
      <c r="E298" s="67">
        <v>104372</v>
      </c>
      <c r="F298" s="146">
        <v>0</v>
      </c>
      <c r="G298" s="146">
        <v>0</v>
      </c>
      <c r="H298" s="91">
        <v>104372</v>
      </c>
      <c r="I298" s="67">
        <v>0</v>
      </c>
      <c r="J298" s="739">
        <v>104372</v>
      </c>
      <c r="K298" s="837" t="s">
        <v>621</v>
      </c>
      <c r="L298" s="740">
        <v>0</v>
      </c>
      <c r="M298" s="741">
        <v>808.5</v>
      </c>
      <c r="N298" s="67">
        <v>1293</v>
      </c>
      <c r="O298" s="67">
        <v>105665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105665</v>
      </c>
      <c r="V298" s="71">
        <v>130.69264069264068</v>
      </c>
      <c r="W298" s="449">
        <v>105665</v>
      </c>
      <c r="X298" s="67">
        <v>90112</v>
      </c>
      <c r="Y298" s="163">
        <v>15553</v>
      </c>
      <c r="Z298" s="166">
        <v>0.17259632457386365</v>
      </c>
      <c r="AA298" s="858" t="s">
        <v>621</v>
      </c>
      <c r="AC298" s="67"/>
      <c r="AD298" s="451"/>
      <c r="AE298" s="452"/>
    </row>
    <row r="299" spans="1:37">
      <c r="A299" s="64" t="s">
        <v>605</v>
      </c>
      <c r="B299" s="784" t="s">
        <v>567</v>
      </c>
      <c r="C299" s="784" t="s">
        <v>1630</v>
      </c>
      <c r="D299" s="134">
        <v>1660.1666666666665</v>
      </c>
      <c r="E299" s="67">
        <v>214316</v>
      </c>
      <c r="F299" s="146">
        <v>0</v>
      </c>
      <c r="G299" s="146">
        <v>0</v>
      </c>
      <c r="H299" s="91">
        <v>214316</v>
      </c>
      <c r="I299" s="67">
        <v>0</v>
      </c>
      <c r="J299" s="739">
        <v>214316</v>
      </c>
      <c r="K299" s="837" t="s">
        <v>621</v>
      </c>
      <c r="L299" s="740">
        <v>0</v>
      </c>
      <c r="M299" s="741">
        <v>1660.1666666666665</v>
      </c>
      <c r="N299" s="67">
        <v>2655</v>
      </c>
      <c r="O299" s="67">
        <v>216971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216971</v>
      </c>
      <c r="V299" s="71">
        <v>130.69229996988255</v>
      </c>
      <c r="W299" s="449">
        <v>216971</v>
      </c>
      <c r="X299" s="67">
        <v>204969</v>
      </c>
      <c r="Y299" s="163">
        <v>12002</v>
      </c>
      <c r="Z299" s="166">
        <v>5.855519615161317E-2</v>
      </c>
      <c r="AA299" s="858" t="s">
        <v>621</v>
      </c>
      <c r="AC299" s="67"/>
      <c r="AD299" s="451"/>
      <c r="AE299" s="452"/>
    </row>
    <row r="300" spans="1:37">
      <c r="A300" s="64" t="s">
        <v>601</v>
      </c>
      <c r="B300" s="784" t="s">
        <v>118</v>
      </c>
      <c r="C300" s="784" t="s">
        <v>1422</v>
      </c>
      <c r="D300" s="134">
        <v>257.5</v>
      </c>
      <c r="E300" s="67">
        <v>33242</v>
      </c>
      <c r="F300" s="146">
        <v>0</v>
      </c>
      <c r="G300" s="146">
        <v>0</v>
      </c>
      <c r="H300" s="91">
        <v>33242</v>
      </c>
      <c r="I300" s="67">
        <v>0</v>
      </c>
      <c r="J300" s="739">
        <v>33242</v>
      </c>
      <c r="K300" s="837" t="s">
        <v>621</v>
      </c>
      <c r="L300" s="740">
        <v>0</v>
      </c>
      <c r="M300" s="741">
        <v>257.5</v>
      </c>
      <c r="N300" s="67">
        <v>412</v>
      </c>
      <c r="O300" s="67">
        <v>33654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33654</v>
      </c>
      <c r="V300" s="71">
        <v>130.69514563106796</v>
      </c>
      <c r="W300" s="449">
        <v>33654</v>
      </c>
      <c r="X300" s="67">
        <v>38755</v>
      </c>
      <c r="Y300" s="163">
        <v>-5101</v>
      </c>
      <c r="Z300" s="166">
        <v>-0.13162172622887369</v>
      </c>
      <c r="AA300" s="858" t="s">
        <v>621</v>
      </c>
      <c r="AC300" s="67"/>
      <c r="AD300" s="451"/>
      <c r="AE300" s="452"/>
    </row>
    <row r="301" spans="1:37">
      <c r="A301" s="64" t="s">
        <v>599</v>
      </c>
      <c r="B301" s="784" t="s">
        <v>56</v>
      </c>
      <c r="C301" s="784" t="s">
        <v>854</v>
      </c>
      <c r="D301" s="134">
        <v>84</v>
      </c>
      <c r="E301" s="67">
        <v>10844</v>
      </c>
      <c r="F301" s="146">
        <v>0</v>
      </c>
      <c r="G301" s="146">
        <v>0</v>
      </c>
      <c r="H301" s="91">
        <v>10844</v>
      </c>
      <c r="I301" s="67">
        <v>0</v>
      </c>
      <c r="J301" s="739">
        <v>10844</v>
      </c>
      <c r="K301" s="837" t="s">
        <v>621</v>
      </c>
      <c r="L301" s="740">
        <v>0</v>
      </c>
      <c r="M301" s="741">
        <v>84</v>
      </c>
      <c r="N301" s="67">
        <v>134</v>
      </c>
      <c r="O301" s="67">
        <v>10978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10978</v>
      </c>
      <c r="V301" s="71">
        <v>130.6904761904762</v>
      </c>
      <c r="W301" s="449">
        <v>10978</v>
      </c>
      <c r="X301" s="67">
        <v>0</v>
      </c>
      <c r="Y301" s="163">
        <v>10978</v>
      </c>
      <c r="Z301" s="166">
        <v>0</v>
      </c>
      <c r="AA301" s="858" t="s">
        <v>621</v>
      </c>
      <c r="AC301" s="67"/>
      <c r="AD301" s="451"/>
      <c r="AE301" s="452"/>
    </row>
    <row r="302" spans="1:37">
      <c r="A302" s="64" t="s">
        <v>603</v>
      </c>
      <c r="B302" s="784" t="s">
        <v>0</v>
      </c>
      <c r="C302" s="784" t="s">
        <v>1369</v>
      </c>
      <c r="D302" s="134">
        <v>0</v>
      </c>
      <c r="E302" s="67">
        <v>0</v>
      </c>
      <c r="F302" s="146">
        <v>0</v>
      </c>
      <c r="G302" s="146">
        <v>0</v>
      </c>
      <c r="H302" s="91">
        <v>0</v>
      </c>
      <c r="I302" s="67">
        <v>0</v>
      </c>
      <c r="J302" s="739">
        <v>0</v>
      </c>
      <c r="K302" s="837" t="s">
        <v>644</v>
      </c>
      <c r="L302" s="740">
        <v>0</v>
      </c>
      <c r="M302" s="741">
        <v>0</v>
      </c>
      <c r="N302" s="67">
        <v>0</v>
      </c>
      <c r="O302" s="67">
        <v>0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0</v>
      </c>
      <c r="V302" s="71">
        <v>0</v>
      </c>
      <c r="W302" s="449">
        <v>0</v>
      </c>
      <c r="X302" s="67">
        <v>0</v>
      </c>
      <c r="Y302" s="163">
        <v>0</v>
      </c>
      <c r="Z302" s="166">
        <v>0</v>
      </c>
      <c r="AA302" s="858" t="s">
        <v>644</v>
      </c>
      <c r="AC302" s="67"/>
      <c r="AD302" s="451"/>
      <c r="AE302" s="452"/>
    </row>
    <row r="303" spans="1:37">
      <c r="A303" s="64" t="s">
        <v>601</v>
      </c>
      <c r="B303" s="784" t="s">
        <v>92</v>
      </c>
      <c r="C303" s="784" t="s">
        <v>1410</v>
      </c>
      <c r="D303" s="134">
        <v>19.170000000000002</v>
      </c>
      <c r="E303" s="67">
        <v>2475</v>
      </c>
      <c r="F303" s="146">
        <v>0</v>
      </c>
      <c r="G303" s="146">
        <v>0</v>
      </c>
      <c r="H303" s="91">
        <v>2475</v>
      </c>
      <c r="I303" s="67">
        <v>0</v>
      </c>
      <c r="J303" s="739">
        <v>2475</v>
      </c>
      <c r="K303" s="837" t="s">
        <v>644</v>
      </c>
      <c r="L303" s="740">
        <v>2475</v>
      </c>
      <c r="M303" s="741">
        <v>0</v>
      </c>
      <c r="N303" s="67">
        <v>0</v>
      </c>
      <c r="O303" s="67">
        <v>0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0</v>
      </c>
      <c r="V303" s="71">
        <v>0</v>
      </c>
      <c r="W303" s="449">
        <v>0</v>
      </c>
      <c r="X303" s="67">
        <v>0</v>
      </c>
      <c r="Y303" s="163">
        <v>0</v>
      </c>
      <c r="Z303" s="166">
        <v>0</v>
      </c>
      <c r="AA303" s="858" t="s">
        <v>644</v>
      </c>
      <c r="AC303" s="67"/>
      <c r="AD303" s="451"/>
      <c r="AE303" s="452"/>
    </row>
    <row r="304" spans="1:37">
      <c r="A304" s="64" t="s">
        <v>603</v>
      </c>
      <c r="B304" s="784" t="s">
        <v>452</v>
      </c>
      <c r="C304" s="784" t="s">
        <v>1578</v>
      </c>
      <c r="D304" s="134">
        <v>108.66666666666667</v>
      </c>
      <c r="E304" s="67">
        <v>14028</v>
      </c>
      <c r="F304" s="146">
        <v>0</v>
      </c>
      <c r="G304" s="146">
        <v>0</v>
      </c>
      <c r="H304" s="91">
        <v>14028</v>
      </c>
      <c r="I304" s="67">
        <v>0</v>
      </c>
      <c r="J304" s="739">
        <v>14028</v>
      </c>
      <c r="K304" s="837" t="s">
        <v>621</v>
      </c>
      <c r="L304" s="740">
        <v>0</v>
      </c>
      <c r="M304" s="741">
        <v>108.66666666666667</v>
      </c>
      <c r="N304" s="67">
        <v>174</v>
      </c>
      <c r="O304" s="67">
        <v>14202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14202</v>
      </c>
      <c r="V304" s="71">
        <v>130.69325153374231</v>
      </c>
      <c r="W304" s="449">
        <v>14202</v>
      </c>
      <c r="X304" s="67">
        <v>13624</v>
      </c>
      <c r="Y304" s="163">
        <v>578</v>
      </c>
      <c r="Z304" s="166">
        <v>4.2425132119788607E-2</v>
      </c>
      <c r="AA304" s="858" t="s">
        <v>621</v>
      </c>
      <c r="AC304" s="67"/>
      <c r="AD304" s="451"/>
      <c r="AE304" s="452"/>
    </row>
    <row r="305" spans="1:37">
      <c r="A305" s="64" t="s">
        <v>601</v>
      </c>
      <c r="B305" s="23" t="s">
        <v>37</v>
      </c>
      <c r="C305" s="788" t="s">
        <v>1384</v>
      </c>
      <c r="D305" s="134">
        <v>1832.9966666666667</v>
      </c>
      <c r="E305" s="67">
        <v>236628</v>
      </c>
      <c r="F305" s="146">
        <v>0</v>
      </c>
      <c r="G305" s="146">
        <v>0</v>
      </c>
      <c r="H305" s="91">
        <v>236628</v>
      </c>
      <c r="I305" s="67">
        <v>0</v>
      </c>
      <c r="J305" s="739">
        <v>236628</v>
      </c>
      <c r="K305" s="837" t="s">
        <v>621</v>
      </c>
      <c r="L305" s="740">
        <v>0</v>
      </c>
      <c r="M305" s="741">
        <v>1832.9966666666667</v>
      </c>
      <c r="N305" s="67">
        <v>2931</v>
      </c>
      <c r="O305" s="67">
        <v>239559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239559</v>
      </c>
      <c r="V305" s="71">
        <v>130.69254535832943</v>
      </c>
      <c r="W305" s="449">
        <v>239559</v>
      </c>
      <c r="X305" s="67">
        <v>241530</v>
      </c>
      <c r="Y305" s="163">
        <v>-1971</v>
      </c>
      <c r="Z305" s="166">
        <v>-8.160476959383928E-3</v>
      </c>
      <c r="AA305" s="858" t="s">
        <v>621</v>
      </c>
      <c r="AB305" s="72"/>
      <c r="AC305" s="67"/>
      <c r="AE305" s="452"/>
    </row>
    <row r="306" spans="1:37">
      <c r="A306" s="64" t="s">
        <v>603</v>
      </c>
      <c r="B306" s="36" t="s">
        <v>443</v>
      </c>
      <c r="C306" s="23" t="s">
        <v>1573</v>
      </c>
      <c r="D306" s="134">
        <v>124.5</v>
      </c>
      <c r="E306" s="67">
        <v>16072</v>
      </c>
      <c r="F306" s="146">
        <v>0</v>
      </c>
      <c r="G306" s="146">
        <v>0</v>
      </c>
      <c r="H306" s="91">
        <v>16072</v>
      </c>
      <c r="I306" s="67">
        <v>0</v>
      </c>
      <c r="J306" s="739">
        <v>16072</v>
      </c>
      <c r="K306" s="837" t="s">
        <v>621</v>
      </c>
      <c r="L306" s="740">
        <v>0</v>
      </c>
      <c r="M306" s="741">
        <v>124.5</v>
      </c>
      <c r="N306" s="67">
        <v>199</v>
      </c>
      <c r="O306" s="67">
        <v>16271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16271</v>
      </c>
      <c r="V306" s="71">
        <v>130.69076305220884</v>
      </c>
      <c r="W306" s="449">
        <v>16271</v>
      </c>
      <c r="X306" s="67">
        <v>10875</v>
      </c>
      <c r="Y306" s="163">
        <v>5396</v>
      </c>
      <c r="Z306" s="166">
        <v>0.49618390804597701</v>
      </c>
      <c r="AA306" s="858" t="s">
        <v>621</v>
      </c>
      <c r="AC306" s="67"/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392.50666666666666</v>
      </c>
      <c r="E307" s="67">
        <v>50670</v>
      </c>
      <c r="F307" s="146">
        <v>0</v>
      </c>
      <c r="G307" s="146">
        <v>0</v>
      </c>
      <c r="H307" s="91">
        <v>50670</v>
      </c>
      <c r="I307" s="67">
        <v>0</v>
      </c>
      <c r="J307" s="739">
        <v>50670</v>
      </c>
      <c r="K307" s="837" t="s">
        <v>621</v>
      </c>
      <c r="L307" s="740">
        <v>0</v>
      </c>
      <c r="M307" s="741">
        <v>392.50666666666666</v>
      </c>
      <c r="N307" s="67">
        <v>628</v>
      </c>
      <c r="O307" s="67">
        <v>51298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51298</v>
      </c>
      <c r="V307" s="71">
        <v>130.693321557171</v>
      </c>
      <c r="W307" s="449">
        <v>51298</v>
      </c>
      <c r="X307" s="67">
        <v>49258</v>
      </c>
      <c r="Y307" s="163">
        <v>2040</v>
      </c>
      <c r="Z307" s="166">
        <v>4.1414592553493848E-2</v>
      </c>
      <c r="AA307" s="858" t="s">
        <v>621</v>
      </c>
      <c r="AC307" s="72"/>
      <c r="AE307" s="452"/>
    </row>
    <row r="308" spans="1:37">
      <c r="A308" s="64" t="s">
        <v>1666</v>
      </c>
      <c r="B308" s="36" t="s">
        <v>1759</v>
      </c>
      <c r="C308" s="23" t="s">
        <v>1760</v>
      </c>
      <c r="D308" s="134">
        <v>0</v>
      </c>
      <c r="E308" s="67">
        <v>0</v>
      </c>
      <c r="F308" s="146">
        <v>0</v>
      </c>
      <c r="G308" s="146">
        <v>0</v>
      </c>
      <c r="H308" s="91">
        <v>0</v>
      </c>
      <c r="I308" s="67">
        <v>0</v>
      </c>
      <c r="J308" s="739">
        <v>0</v>
      </c>
      <c r="K308" s="837" t="s">
        <v>644</v>
      </c>
      <c r="L308" s="740">
        <v>0</v>
      </c>
      <c r="M308" s="741">
        <v>0</v>
      </c>
      <c r="N308" s="67">
        <v>0</v>
      </c>
      <c r="O308" s="67">
        <v>0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0</v>
      </c>
      <c r="V308" s="71">
        <v>0</v>
      </c>
      <c r="W308" s="449">
        <v>0</v>
      </c>
      <c r="X308" s="67">
        <v>0</v>
      </c>
      <c r="Y308" s="163">
        <v>0</v>
      </c>
      <c r="Z308" s="166">
        <v>0</v>
      </c>
      <c r="AA308" s="858" t="s">
        <v>644</v>
      </c>
      <c r="AE308" s="452"/>
    </row>
    <row r="309" spans="1:37">
      <c r="A309" s="64" t="s">
        <v>594</v>
      </c>
      <c r="B309" s="36" t="s">
        <v>276</v>
      </c>
      <c r="C309" s="23" t="s">
        <v>1492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837" t="s">
        <v>644</v>
      </c>
      <c r="L309" s="740">
        <v>0</v>
      </c>
      <c r="M309" s="741">
        <v>0</v>
      </c>
      <c r="N309" s="67">
        <v>0</v>
      </c>
      <c r="O309" s="67">
        <v>0</v>
      </c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858" t="s">
        <v>644</v>
      </c>
      <c r="AE309" s="452"/>
    </row>
    <row r="310" spans="1:37" s="29" customFormat="1">
      <c r="A310" s="64" t="s">
        <v>597</v>
      </c>
      <c r="B310" s="36" t="s">
        <v>367</v>
      </c>
      <c r="C310" s="23" t="s">
        <v>1533</v>
      </c>
      <c r="D310" s="134">
        <v>142.67000000000002</v>
      </c>
      <c r="E310" s="67">
        <v>18418</v>
      </c>
      <c r="F310" s="146">
        <v>0</v>
      </c>
      <c r="G310" s="146">
        <v>0</v>
      </c>
      <c r="H310" s="91">
        <v>18418</v>
      </c>
      <c r="I310" s="67">
        <v>0</v>
      </c>
      <c r="J310" s="739">
        <v>18418</v>
      </c>
      <c r="K310" s="837" t="s">
        <v>621</v>
      </c>
      <c r="L310" s="740">
        <v>0</v>
      </c>
      <c r="M310" s="741">
        <v>142.67000000000002</v>
      </c>
      <c r="N310" s="67">
        <v>228</v>
      </c>
      <c r="O310" s="67">
        <v>18646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18646</v>
      </c>
      <c r="V310" s="71">
        <v>130.69320810261442</v>
      </c>
      <c r="W310" s="449">
        <v>18646</v>
      </c>
      <c r="X310" s="67">
        <v>10472</v>
      </c>
      <c r="Y310" s="163">
        <v>8174</v>
      </c>
      <c r="Z310" s="166">
        <v>0.78055767761650119</v>
      </c>
      <c r="AA310" s="858" t="s">
        <v>621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599</v>
      </c>
      <c r="B311" s="802" t="s">
        <v>248</v>
      </c>
      <c r="C311" s="23" t="s">
        <v>1480</v>
      </c>
      <c r="D311" s="134">
        <v>199.66666666666666</v>
      </c>
      <c r="E311" s="67">
        <v>25776</v>
      </c>
      <c r="F311" s="146">
        <v>0</v>
      </c>
      <c r="G311" s="146">
        <v>0</v>
      </c>
      <c r="H311" s="91">
        <v>25776</v>
      </c>
      <c r="I311" s="67">
        <v>0</v>
      </c>
      <c r="J311" s="739">
        <v>25776</v>
      </c>
      <c r="K311" s="837" t="s">
        <v>621</v>
      </c>
      <c r="L311" s="740">
        <v>0</v>
      </c>
      <c r="M311" s="741">
        <v>199.66666666666666</v>
      </c>
      <c r="N311" s="67">
        <v>319</v>
      </c>
      <c r="O311" s="67">
        <v>26095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26095</v>
      </c>
      <c r="V311" s="71">
        <v>130.69282136894824</v>
      </c>
      <c r="W311" s="449">
        <v>26095</v>
      </c>
      <c r="X311" s="67">
        <v>23787</v>
      </c>
      <c r="Y311" s="163">
        <v>2308</v>
      </c>
      <c r="Z311" s="166">
        <v>9.7027788287720185E-2</v>
      </c>
      <c r="AA311" s="858" t="s">
        <v>621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603</v>
      </c>
      <c r="B312" s="802" t="s">
        <v>289</v>
      </c>
      <c r="C312" s="23" t="s">
        <v>1498</v>
      </c>
      <c r="D312" s="134">
        <v>0</v>
      </c>
      <c r="E312" s="67">
        <v>0</v>
      </c>
      <c r="F312" s="146">
        <v>0</v>
      </c>
      <c r="G312" s="146">
        <v>0</v>
      </c>
      <c r="H312" s="91">
        <v>0</v>
      </c>
      <c r="I312" s="67">
        <v>0</v>
      </c>
      <c r="J312" s="739">
        <v>0</v>
      </c>
      <c r="K312" s="837" t="s">
        <v>644</v>
      </c>
      <c r="L312" s="740">
        <v>0</v>
      </c>
      <c r="M312" s="741">
        <v>0</v>
      </c>
      <c r="N312" s="67">
        <v>0</v>
      </c>
      <c r="O312" s="67">
        <v>0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0</v>
      </c>
      <c r="V312" s="71">
        <v>0</v>
      </c>
      <c r="W312" s="449">
        <v>0</v>
      </c>
      <c r="X312" s="67">
        <v>0</v>
      </c>
      <c r="Y312" s="163">
        <v>0</v>
      </c>
      <c r="Z312" s="166">
        <v>0</v>
      </c>
      <c r="AA312" s="858" t="s">
        <v>644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594</v>
      </c>
      <c r="B313" s="802" t="s">
        <v>332</v>
      </c>
      <c r="C313" s="23" t="s">
        <v>1517</v>
      </c>
      <c r="D313" s="134">
        <v>5.84</v>
      </c>
      <c r="E313" s="67">
        <v>754</v>
      </c>
      <c r="F313" s="146">
        <v>0</v>
      </c>
      <c r="G313" s="146">
        <v>0</v>
      </c>
      <c r="H313" s="91">
        <v>754</v>
      </c>
      <c r="I313" s="67">
        <v>0</v>
      </c>
      <c r="J313" s="739">
        <v>754</v>
      </c>
      <c r="K313" s="837" t="s">
        <v>644</v>
      </c>
      <c r="L313" s="740">
        <v>754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858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596</v>
      </c>
      <c r="B314" s="36" t="s">
        <v>1717</v>
      </c>
      <c r="C314" s="23" t="s">
        <v>1764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837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858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601</v>
      </c>
      <c r="B315" s="36" t="s">
        <v>129</v>
      </c>
      <c r="C315" s="23" t="s">
        <v>1427</v>
      </c>
      <c r="D315" s="134">
        <v>0</v>
      </c>
      <c r="E315" s="67">
        <v>0</v>
      </c>
      <c r="F315" s="146">
        <v>0</v>
      </c>
      <c r="G315" s="146">
        <v>0</v>
      </c>
      <c r="H315" s="91">
        <v>0</v>
      </c>
      <c r="I315" s="67">
        <v>0</v>
      </c>
      <c r="J315" s="739">
        <v>0</v>
      </c>
      <c r="K315" s="837" t="s">
        <v>644</v>
      </c>
      <c r="L315" s="740">
        <v>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858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594</v>
      </c>
      <c r="B316" s="36" t="s">
        <v>264</v>
      </c>
      <c r="C316" s="23" t="s">
        <v>1486</v>
      </c>
      <c r="D316" s="134">
        <v>80</v>
      </c>
      <c r="E316" s="67">
        <v>10327</v>
      </c>
      <c r="F316" s="146">
        <v>0</v>
      </c>
      <c r="G316" s="146">
        <v>0</v>
      </c>
      <c r="H316" s="91">
        <v>10327</v>
      </c>
      <c r="I316" s="67">
        <v>0</v>
      </c>
      <c r="J316" s="739">
        <v>10327</v>
      </c>
      <c r="K316" s="837" t="s">
        <v>621</v>
      </c>
      <c r="L316" s="740">
        <v>0</v>
      </c>
      <c r="M316" s="741">
        <v>80</v>
      </c>
      <c r="N316" s="67">
        <v>128</v>
      </c>
      <c r="O316" s="67">
        <v>10455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10455</v>
      </c>
      <c r="V316" s="71">
        <v>130.6875</v>
      </c>
      <c r="W316" s="449">
        <v>10455</v>
      </c>
      <c r="X316" s="67">
        <v>12002</v>
      </c>
      <c r="Y316" s="163">
        <v>-1547</v>
      </c>
      <c r="Z316" s="166">
        <v>-0.12889518413597734</v>
      </c>
      <c r="AA316" s="858" t="s">
        <v>621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594</v>
      </c>
      <c r="B317" s="36" t="s">
        <v>151</v>
      </c>
      <c r="C317" s="23" t="s">
        <v>1437</v>
      </c>
      <c r="D317" s="134">
        <v>0</v>
      </c>
      <c r="E317" s="67">
        <v>0</v>
      </c>
      <c r="F317" s="146">
        <v>0</v>
      </c>
      <c r="G317" s="146">
        <v>0</v>
      </c>
      <c r="H317" s="91">
        <v>0</v>
      </c>
      <c r="I317" s="67">
        <v>0</v>
      </c>
      <c r="J317" s="739">
        <v>0</v>
      </c>
      <c r="K317" s="837" t="s">
        <v>644</v>
      </c>
      <c r="L317" s="740">
        <v>0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858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599</v>
      </c>
      <c r="B318" s="812" t="s">
        <v>232</v>
      </c>
      <c r="C318" s="543" t="s">
        <v>1472</v>
      </c>
      <c r="D318" s="134">
        <v>0</v>
      </c>
      <c r="E318" s="67">
        <v>0</v>
      </c>
      <c r="F318" s="146">
        <v>0</v>
      </c>
      <c r="G318" s="146">
        <v>0</v>
      </c>
      <c r="H318" s="91">
        <v>0</v>
      </c>
      <c r="I318" s="67">
        <v>0</v>
      </c>
      <c r="J318" s="739">
        <v>0</v>
      </c>
      <c r="K318" s="837" t="s">
        <v>644</v>
      </c>
      <c r="L318" s="740">
        <v>0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858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599</v>
      </c>
      <c r="B319" s="812" t="s">
        <v>78</v>
      </c>
      <c r="C319" s="543" t="s">
        <v>1403</v>
      </c>
      <c r="D319" s="134">
        <v>214.17</v>
      </c>
      <c r="E319" s="67">
        <v>27648</v>
      </c>
      <c r="F319" s="146">
        <v>0</v>
      </c>
      <c r="G319" s="146">
        <v>0</v>
      </c>
      <c r="H319" s="91">
        <v>27648</v>
      </c>
      <c r="I319" s="67">
        <v>0</v>
      </c>
      <c r="J319" s="739">
        <v>27648</v>
      </c>
      <c r="K319" s="837" t="s">
        <v>621</v>
      </c>
      <c r="L319" s="740">
        <v>0</v>
      </c>
      <c r="M319" s="741">
        <v>214.17</v>
      </c>
      <c r="N319" s="67">
        <v>343</v>
      </c>
      <c r="O319" s="67">
        <v>27991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27991</v>
      </c>
      <c r="V319" s="71">
        <v>130.69524209739927</v>
      </c>
      <c r="W319" s="449">
        <v>27991</v>
      </c>
      <c r="X319" s="67">
        <v>22243</v>
      </c>
      <c r="Y319" s="163">
        <v>5748</v>
      </c>
      <c r="Z319" s="166">
        <v>0.2584183788158072</v>
      </c>
      <c r="AA319" s="858" t="s">
        <v>621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605</v>
      </c>
      <c r="B320" s="838" t="s">
        <v>547</v>
      </c>
      <c r="C320" t="s">
        <v>1622</v>
      </c>
      <c r="D320" s="134">
        <v>4855.5</v>
      </c>
      <c r="E320" s="67">
        <v>626813</v>
      </c>
      <c r="F320" s="146">
        <v>0</v>
      </c>
      <c r="G320" s="146">
        <v>0</v>
      </c>
      <c r="H320" s="91">
        <v>626813</v>
      </c>
      <c r="I320" s="67">
        <v>0</v>
      </c>
      <c r="J320" s="739">
        <v>626813</v>
      </c>
      <c r="K320" s="837" t="s">
        <v>621</v>
      </c>
      <c r="L320" s="740">
        <v>0</v>
      </c>
      <c r="M320" s="741">
        <v>4855.5</v>
      </c>
      <c r="N320" s="67">
        <v>7765</v>
      </c>
      <c r="O320" s="67">
        <v>634578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634578</v>
      </c>
      <c r="V320" s="71">
        <v>130.69261662032747</v>
      </c>
      <c r="W320" s="449">
        <v>634578</v>
      </c>
      <c r="X320" s="67">
        <v>673711</v>
      </c>
      <c r="Y320" s="163">
        <v>-39133</v>
      </c>
      <c r="Z320" s="166">
        <v>-5.808573705936225E-2</v>
      </c>
      <c r="AA320" s="858" t="s">
        <v>621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594</v>
      </c>
      <c r="B321" s="838" t="s">
        <v>472</v>
      </c>
      <c r="C321" t="s">
        <v>1588</v>
      </c>
      <c r="D321" s="134">
        <v>166.34</v>
      </c>
      <c r="E321" s="67">
        <v>21473</v>
      </c>
      <c r="F321" s="146">
        <v>0</v>
      </c>
      <c r="G321" s="146">
        <v>0</v>
      </c>
      <c r="H321" s="91">
        <v>21473</v>
      </c>
      <c r="I321" s="67">
        <v>0</v>
      </c>
      <c r="J321" s="739">
        <v>21473</v>
      </c>
      <c r="K321" s="837" t="s">
        <v>644</v>
      </c>
      <c r="L321" s="740">
        <v>21473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858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64" t="s">
        <v>605</v>
      </c>
      <c r="B322" s="838" t="s">
        <v>565</v>
      </c>
      <c r="C322" t="s">
        <v>1629</v>
      </c>
      <c r="D322" s="134">
        <v>143.67000000000002</v>
      </c>
      <c r="E322" s="67">
        <v>18547</v>
      </c>
      <c r="F322" s="146">
        <v>0</v>
      </c>
      <c r="G322" s="146">
        <v>0</v>
      </c>
      <c r="H322" s="91">
        <v>18547</v>
      </c>
      <c r="I322" s="67">
        <v>0</v>
      </c>
      <c r="J322" s="739">
        <v>18547</v>
      </c>
      <c r="K322" s="837" t="s">
        <v>621</v>
      </c>
      <c r="L322" s="740">
        <v>0</v>
      </c>
      <c r="M322" s="741">
        <v>143.67000000000002</v>
      </c>
      <c r="N322" s="67">
        <v>230</v>
      </c>
      <c r="O322" s="67">
        <v>18777</v>
      </c>
      <c r="P322" s="674"/>
      <c r="Q322" s="674">
        <v>0</v>
      </c>
      <c r="R322" s="674" t="s">
        <v>1730</v>
      </c>
      <c r="S322" s="798" t="s">
        <v>801</v>
      </c>
      <c r="T322" s="798">
        <v>0</v>
      </c>
      <c r="U322" s="88">
        <v>18777</v>
      </c>
      <c r="V322" s="71">
        <v>130.69534349551054</v>
      </c>
      <c r="W322" s="449">
        <v>18777</v>
      </c>
      <c r="X322" s="67">
        <v>20683</v>
      </c>
      <c r="Y322" s="163">
        <v>-1906</v>
      </c>
      <c r="Z322" s="166">
        <v>-9.2152975873906112E-2</v>
      </c>
      <c r="AA322" s="858" t="s">
        <v>621</v>
      </c>
      <c r="AB322" s="23"/>
      <c r="AC322" s="28"/>
      <c r="AD322" s="23"/>
      <c r="AE322" s="452"/>
      <c r="AF322" s="23"/>
      <c r="AG322" s="23"/>
      <c r="AH322" s="23"/>
      <c r="AI322" s="23"/>
      <c r="AJ322" s="23"/>
      <c r="AK322" s="23"/>
    </row>
    <row r="323" spans="1:37" s="29" customFormat="1">
      <c r="A323" s="64" t="s">
        <v>1666</v>
      </c>
      <c r="B323" s="838" t="s">
        <v>1757</v>
      </c>
      <c r="C323" t="s">
        <v>1758</v>
      </c>
      <c r="D323" s="134">
        <v>0</v>
      </c>
      <c r="E323" s="67">
        <v>0</v>
      </c>
      <c r="F323" s="146">
        <v>0</v>
      </c>
      <c r="G323" s="146">
        <v>0</v>
      </c>
      <c r="H323" s="91">
        <v>0</v>
      </c>
      <c r="I323" s="67">
        <v>0</v>
      </c>
      <c r="J323" s="739">
        <v>0</v>
      </c>
      <c r="K323" s="837" t="s">
        <v>644</v>
      </c>
      <c r="L323" s="740">
        <v>0</v>
      </c>
      <c r="M323" s="741">
        <v>0</v>
      </c>
      <c r="N323" s="67">
        <v>0</v>
      </c>
      <c r="O323" s="67">
        <v>0</v>
      </c>
      <c r="P323" s="674"/>
      <c r="Q323" s="674">
        <v>0</v>
      </c>
      <c r="R323" s="674" t="s">
        <v>1730</v>
      </c>
      <c r="S323" s="798" t="s">
        <v>801</v>
      </c>
      <c r="T323" s="798">
        <v>0</v>
      </c>
      <c r="U323" s="88">
        <v>0</v>
      </c>
      <c r="V323" s="71">
        <v>0</v>
      </c>
      <c r="W323" s="449">
        <v>0</v>
      </c>
      <c r="X323" s="67">
        <v>0</v>
      </c>
      <c r="Y323" s="163">
        <v>0</v>
      </c>
      <c r="Z323" s="166">
        <v>0</v>
      </c>
      <c r="AA323" s="858" t="s">
        <v>644</v>
      </c>
      <c r="AB323" s="23"/>
      <c r="AC323" s="28"/>
      <c r="AD323" s="23"/>
      <c r="AE323" s="452"/>
      <c r="AF323" s="23"/>
      <c r="AG323" s="23"/>
      <c r="AH323" s="23"/>
      <c r="AI323" s="23"/>
      <c r="AJ323" s="23"/>
      <c r="AK323" s="23"/>
    </row>
    <row r="324" spans="1:37" s="29" customFormat="1">
      <c r="A324" s="23"/>
      <c r="B324" s="23"/>
      <c r="C324" s="23" t="s">
        <v>1667</v>
      </c>
      <c r="D324" s="134">
        <v>134200.31000000006</v>
      </c>
      <c r="E324" s="134">
        <v>17324365</v>
      </c>
      <c r="F324" s="134">
        <v>0</v>
      </c>
      <c r="G324" s="134">
        <v>0</v>
      </c>
      <c r="H324" s="134">
        <v>17324365</v>
      </c>
      <c r="I324" s="134">
        <v>0</v>
      </c>
      <c r="J324" s="134">
        <v>17324365</v>
      </c>
      <c r="K324" s="134"/>
      <c r="L324" s="134">
        <v>211997</v>
      </c>
      <c r="M324" s="134">
        <v>132558.12333333341</v>
      </c>
      <c r="N324" s="134">
        <v>211995</v>
      </c>
      <c r="O324" s="134">
        <v>17324363</v>
      </c>
      <c r="P324" s="134"/>
      <c r="Q324" s="134">
        <v>0</v>
      </c>
      <c r="R324" s="134"/>
      <c r="S324" s="134"/>
      <c r="T324" s="134"/>
      <c r="U324" s="134">
        <v>17324363</v>
      </c>
      <c r="V324" s="134"/>
      <c r="W324" s="134">
        <v>16444606</v>
      </c>
      <c r="X324" s="134">
        <v>15343280</v>
      </c>
      <c r="Y324" s="134">
        <v>1981083</v>
      </c>
      <c r="Z324" s="852">
        <v>24.010836028554916</v>
      </c>
      <c r="AB324" s="23"/>
      <c r="AC324" s="28"/>
      <c r="AD324" s="23"/>
      <c r="AE324" s="23"/>
      <c r="AF324" s="23"/>
      <c r="AG324" s="23"/>
      <c r="AH324" s="23"/>
      <c r="AI324" s="23"/>
      <c r="AJ324" s="23"/>
      <c r="AK324" s="23"/>
    </row>
  </sheetData>
  <autoFilter ref="A8:AK324" xr:uid="{00000000-0009-0000-0000-000006000000}"/>
  <mergeCells count="4">
    <mergeCell ref="E2:H2"/>
    <mergeCell ref="I2:J2"/>
    <mergeCell ref="K2:O2"/>
    <mergeCell ref="R2:T2"/>
  </mergeCells>
  <conditionalFormatting sqref="L9:L323">
    <cfRule type="expression" dxfId="65" priority="3">
      <formula>AND($L9&gt;0,$K9="Yes")</formula>
    </cfRule>
  </conditionalFormatting>
  <conditionalFormatting sqref="C9:C323">
    <cfRule type="expression" dxfId="64" priority="2">
      <formula>AND($O9&lt;10000,$O9&gt;0,$K9="Y")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AK322"/>
  <sheetViews>
    <sheetView workbookViewId="0">
      <selection activeCell="B22" sqref="B22"/>
    </sheetView>
  </sheetViews>
  <sheetFormatPr defaultColWidth="9.140625" defaultRowHeight="12.75"/>
  <cols>
    <col min="1" max="2" width="6.5703125" style="23" customWidth="1"/>
    <col min="3" max="3" width="17.5703125" style="23" customWidth="1"/>
    <col min="4" max="4" width="10.5703125" style="67" customWidth="1"/>
    <col min="5" max="5" width="15.140625" style="67" customWidth="1"/>
    <col min="6" max="6" width="13.85546875" style="67" customWidth="1"/>
    <col min="7" max="7" width="10" style="67" bestFit="1" customWidth="1"/>
    <col min="8" max="8" width="13.42578125" style="91" customWidth="1"/>
    <col min="9" max="9" width="15.42578125" style="71" customWidth="1"/>
    <col min="10" max="10" width="13.5703125" style="71" bestFit="1" customWidth="1"/>
    <col min="11" max="11" width="14.5703125" style="67" customWidth="1"/>
    <col min="12" max="12" width="15.140625" style="88" customWidth="1"/>
    <col min="13" max="13" width="14.42578125" style="67" customWidth="1"/>
    <col min="14" max="14" width="12.85546875" style="67" customWidth="1"/>
    <col min="15" max="15" width="13.5703125" style="67" customWidth="1"/>
    <col min="16" max="16" width="7.140625" style="674" customWidth="1"/>
    <col min="17" max="17" width="9.140625" style="674" bestFit="1" customWidth="1"/>
    <col min="18" max="18" width="13.140625" style="674" customWidth="1"/>
    <col min="19" max="19" width="9.140625" style="674" customWidth="1"/>
    <col min="20" max="20" width="10" style="674" bestFit="1" customWidth="1"/>
    <col min="21" max="21" width="17.140625" style="674" bestFit="1" customWidth="1"/>
    <col min="22" max="22" width="12.140625" style="67" customWidth="1"/>
    <col min="23" max="23" width="15.85546875" style="23" customWidth="1"/>
    <col min="24" max="24" width="13.42578125" style="163" customWidth="1"/>
    <col min="25" max="25" width="12.5703125" style="163" customWidth="1"/>
    <col min="26" max="26" width="12.85546875" style="40" customWidth="1"/>
    <col min="27" max="27" width="13" style="29" customWidth="1"/>
    <col min="28" max="28" width="4.5703125" style="23" customWidth="1"/>
    <col min="29" max="29" width="12.85546875" style="28" bestFit="1" customWidth="1"/>
    <col min="30" max="30" width="9.85546875" style="23" bestFit="1" customWidth="1"/>
    <col min="31" max="34" width="9.140625" style="23"/>
    <col min="35" max="35" width="22.42578125" style="23" bestFit="1" customWidth="1"/>
    <col min="36" max="36" width="5.85546875" style="23" bestFit="1" customWidth="1"/>
    <col min="37" max="37" width="10.140625" style="23" bestFit="1" customWidth="1"/>
    <col min="38" max="16384" width="9.140625" style="23"/>
  </cols>
  <sheetData>
    <row r="1" spans="1:37" ht="15">
      <c r="A1" s="806"/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</row>
    <row r="2" spans="1:37" ht="15">
      <c r="A2" s="149"/>
      <c r="E2" s="884" t="s">
        <v>698</v>
      </c>
      <c r="F2" s="885"/>
      <c r="G2" s="885"/>
      <c r="H2" s="885"/>
      <c r="I2" s="886" t="s">
        <v>700</v>
      </c>
      <c r="J2" s="887"/>
      <c r="K2" s="888" t="s">
        <v>705</v>
      </c>
      <c r="L2" s="889"/>
      <c r="M2" s="889"/>
      <c r="N2" s="889"/>
      <c r="O2" s="889"/>
      <c r="P2" s="673"/>
      <c r="Q2" s="70"/>
      <c r="R2" s="890" t="s">
        <v>1704</v>
      </c>
      <c r="S2" s="890"/>
      <c r="T2" s="890"/>
      <c r="U2" s="799" t="s">
        <v>1672</v>
      </c>
      <c r="V2" s="70"/>
      <c r="W2" s="90"/>
      <c r="X2" s="162"/>
    </row>
    <row r="3" spans="1:37">
      <c r="I3" s="242" t="s">
        <v>717</v>
      </c>
      <c r="J3" s="243"/>
      <c r="L3" s="87">
        <v>210196</v>
      </c>
      <c r="O3" s="87">
        <v>15975124</v>
      </c>
      <c r="Q3" s="67"/>
      <c r="R3" s="67"/>
      <c r="S3" s="67"/>
      <c r="T3" s="67"/>
      <c r="U3" s="67"/>
      <c r="V3" s="151"/>
      <c r="W3" s="87">
        <v>15975124</v>
      </c>
    </row>
    <row r="4" spans="1:37" s="794" customFormat="1" ht="48">
      <c r="A4" s="789" t="s">
        <v>591</v>
      </c>
      <c r="B4" s="789" t="s">
        <v>592</v>
      </c>
      <c r="C4" s="789" t="s">
        <v>593</v>
      </c>
      <c r="D4" s="790" t="s">
        <v>682</v>
      </c>
      <c r="E4" s="791" t="s">
        <v>703</v>
      </c>
      <c r="F4" s="791" t="s">
        <v>684</v>
      </c>
      <c r="G4" s="791" t="s">
        <v>683</v>
      </c>
      <c r="H4" s="791" t="s">
        <v>699</v>
      </c>
      <c r="I4" s="791" t="s">
        <v>868</v>
      </c>
      <c r="J4" s="791" t="s">
        <v>718</v>
      </c>
      <c r="K4" s="791" t="s">
        <v>728</v>
      </c>
      <c r="L4" s="792" t="s">
        <v>727</v>
      </c>
      <c r="M4" s="791" t="s">
        <v>753</v>
      </c>
      <c r="N4" s="792" t="s">
        <v>701</v>
      </c>
      <c r="O4" s="791" t="s">
        <v>711</v>
      </c>
      <c r="P4" s="793" t="s">
        <v>1340</v>
      </c>
      <c r="Q4" s="791" t="s">
        <v>1341</v>
      </c>
      <c r="R4" s="791" t="s">
        <v>1668</v>
      </c>
      <c r="S4" s="791" t="s">
        <v>1669</v>
      </c>
      <c r="T4" s="791" t="s">
        <v>1705</v>
      </c>
      <c r="U4" s="791" t="s">
        <v>1342</v>
      </c>
      <c r="V4" s="791"/>
      <c r="W4" s="810" t="s">
        <v>1709</v>
      </c>
      <c r="X4" s="795" t="s">
        <v>738</v>
      </c>
      <c r="Y4" s="795" t="s">
        <v>770</v>
      </c>
      <c r="Z4" s="794" t="s">
        <v>733</v>
      </c>
      <c r="AA4" s="796"/>
      <c r="AC4" s="810" t="s">
        <v>1746</v>
      </c>
    </row>
    <row r="5" spans="1:37" s="257" customFormat="1" ht="15" customHeight="1">
      <c r="A5" s="250"/>
      <c r="B5" s="251" t="s">
        <v>772</v>
      </c>
      <c r="C5" s="251"/>
      <c r="D5" s="252" t="s">
        <v>774</v>
      </c>
      <c r="E5" s="253"/>
      <c r="F5" s="253" t="s">
        <v>773</v>
      </c>
      <c r="G5" s="253" t="s">
        <v>773</v>
      </c>
      <c r="H5" s="253"/>
      <c r="I5" s="253"/>
      <c r="J5" s="253"/>
      <c r="K5" s="253" t="s">
        <v>775</v>
      </c>
      <c r="L5" s="254"/>
      <c r="M5" s="253"/>
      <c r="N5" s="254"/>
      <c r="O5" s="253"/>
      <c r="P5" s="676"/>
      <c r="Q5" s="253"/>
      <c r="R5" s="253"/>
      <c r="S5" s="253"/>
      <c r="T5" s="253"/>
      <c r="U5" s="253"/>
      <c r="V5" s="253"/>
      <c r="W5" s="255"/>
      <c r="X5" s="256"/>
      <c r="Y5" s="256"/>
      <c r="AA5" s="258"/>
      <c r="AC5" s="259"/>
    </row>
    <row r="6" spans="1:37">
      <c r="A6" s="46"/>
      <c r="B6" s="47"/>
      <c r="C6" s="47"/>
      <c r="E6" s="68">
        <v>15975124</v>
      </c>
      <c r="H6" s="133" t="s">
        <v>1748</v>
      </c>
      <c r="I6" s="68">
        <v>0</v>
      </c>
      <c r="J6" s="73"/>
      <c r="K6" s="220"/>
      <c r="L6" s="87">
        <v>10000</v>
      </c>
      <c r="M6" s="71"/>
      <c r="N6" s="69"/>
      <c r="O6" s="399" t="s">
        <v>1749</v>
      </c>
      <c r="Q6" s="67"/>
      <c r="R6" s="67"/>
      <c r="S6" s="67"/>
      <c r="T6" s="67"/>
      <c r="U6" s="399" t="s">
        <v>865</v>
      </c>
      <c r="W6" s="399" t="s">
        <v>1750</v>
      </c>
      <c r="AA6" s="27"/>
      <c r="AB6" s="26"/>
    </row>
    <row r="7" spans="1:37">
      <c r="A7" s="46"/>
      <c r="B7" s="47"/>
      <c r="C7" s="47" t="s">
        <v>620</v>
      </c>
      <c r="D7" s="67">
        <v>130632.68857142862</v>
      </c>
      <c r="E7" s="88">
        <v>122.29040200198411</v>
      </c>
      <c r="F7" s="72">
        <v>0</v>
      </c>
      <c r="G7" s="72">
        <v>0</v>
      </c>
      <c r="H7" s="161">
        <v>15975125</v>
      </c>
      <c r="I7" s="73">
        <v>0</v>
      </c>
      <c r="J7" s="73">
        <v>15975125</v>
      </c>
      <c r="K7" s="72" t="s">
        <v>1725</v>
      </c>
      <c r="L7" s="88">
        <v>210196</v>
      </c>
      <c r="M7" s="67">
        <v>128913.84571428572</v>
      </c>
      <c r="N7" s="88">
        <v>210194</v>
      </c>
      <c r="O7" s="88">
        <v>15975121</v>
      </c>
      <c r="P7" s="677"/>
      <c r="Q7" s="88">
        <v>-50</v>
      </c>
      <c r="R7" s="88">
        <v>0</v>
      </c>
      <c r="S7" s="88"/>
      <c r="T7" s="88">
        <v>0</v>
      </c>
      <c r="U7" s="88">
        <v>15975121</v>
      </c>
      <c r="W7" s="88">
        <v>15843910</v>
      </c>
      <c r="X7" s="91">
        <v>15343280</v>
      </c>
      <c r="Y7" s="163">
        <v>631841</v>
      </c>
      <c r="Z7" s="166">
        <v>-9.02630022938577E-3</v>
      </c>
      <c r="AA7" s="27">
        <v>27</v>
      </c>
      <c r="AB7" s="26"/>
    </row>
    <row r="8" spans="1:37" s="534" customFormat="1" ht="11.25">
      <c r="A8" s="526"/>
      <c r="B8" s="527" t="s">
        <v>895</v>
      </c>
      <c r="C8" s="528" t="s">
        <v>896</v>
      </c>
      <c r="D8" s="529">
        <v>130632.68857142862</v>
      </c>
      <c r="E8" s="529">
        <v>15975125</v>
      </c>
      <c r="F8" s="529">
        <v>0</v>
      </c>
      <c r="G8" s="529">
        <v>0</v>
      </c>
      <c r="H8" s="529">
        <v>15975125</v>
      </c>
      <c r="I8" s="529">
        <v>0</v>
      </c>
      <c r="J8" s="529">
        <v>15975125</v>
      </c>
      <c r="K8" s="529">
        <v>0</v>
      </c>
      <c r="L8" s="529">
        <v>210196</v>
      </c>
      <c r="M8" s="529">
        <v>128913.84571428572</v>
      </c>
      <c r="N8" s="529">
        <v>210194</v>
      </c>
      <c r="O8" s="529">
        <v>15975121</v>
      </c>
      <c r="P8" s="529"/>
      <c r="Q8" s="529">
        <v>-50</v>
      </c>
      <c r="R8" s="529">
        <v>0</v>
      </c>
      <c r="S8" s="529"/>
      <c r="T8" s="529"/>
      <c r="U8" s="529">
        <v>15975121</v>
      </c>
      <c r="V8" s="531"/>
      <c r="W8" s="529">
        <v>15843910</v>
      </c>
      <c r="X8" s="533"/>
      <c r="Y8" s="533"/>
      <c r="AA8" s="535"/>
      <c r="AC8" s="536"/>
    </row>
    <row r="9" spans="1:37">
      <c r="A9" s="64" t="s">
        <v>603</v>
      </c>
      <c r="B9" s="784" t="s">
        <v>0</v>
      </c>
      <c r="C9" s="784" t="s">
        <v>1369</v>
      </c>
      <c r="D9" s="134">
        <v>0</v>
      </c>
      <c r="E9" s="67">
        <v>0</v>
      </c>
      <c r="F9" s="146">
        <v>0</v>
      </c>
      <c r="G9" s="146">
        <v>0</v>
      </c>
      <c r="H9" s="91">
        <v>0</v>
      </c>
      <c r="I9" s="67">
        <v>0</v>
      </c>
      <c r="J9" s="739">
        <v>0</v>
      </c>
      <c r="K9" s="837" t="s">
        <v>644</v>
      </c>
      <c r="L9" s="740">
        <v>0</v>
      </c>
      <c r="M9" s="741">
        <v>0</v>
      </c>
      <c r="N9" s="67">
        <v>0</v>
      </c>
      <c r="O9" s="67">
        <v>0</v>
      </c>
      <c r="Q9" s="674">
        <v>0</v>
      </c>
      <c r="R9" s="674" t="s">
        <v>1730</v>
      </c>
      <c r="S9" s="798" t="s">
        <v>801</v>
      </c>
      <c r="T9" s="798">
        <v>0</v>
      </c>
      <c r="U9" s="88">
        <v>0</v>
      </c>
      <c r="V9" s="71">
        <v>0</v>
      </c>
      <c r="W9" s="449">
        <v>0</v>
      </c>
      <c r="X9" s="67">
        <v>0</v>
      </c>
      <c r="Y9" s="163">
        <v>0</v>
      </c>
      <c r="Z9" s="166">
        <v>0</v>
      </c>
      <c r="AA9" s="34" t="s">
        <v>644</v>
      </c>
      <c r="AC9" t="s">
        <v>1429</v>
      </c>
      <c r="AE9" s="452"/>
    </row>
    <row r="10" spans="1:37">
      <c r="A10" s="64" t="s">
        <v>603</v>
      </c>
      <c r="B10" s="784" t="s">
        <v>2</v>
      </c>
      <c r="C10" s="784" t="s">
        <v>1370</v>
      </c>
      <c r="D10" s="134">
        <v>0</v>
      </c>
      <c r="E10" s="67">
        <v>0</v>
      </c>
      <c r="F10" s="146">
        <v>0</v>
      </c>
      <c r="G10" s="146">
        <v>0</v>
      </c>
      <c r="H10" s="91">
        <v>0</v>
      </c>
      <c r="I10" s="67">
        <v>0</v>
      </c>
      <c r="J10" s="739">
        <v>0</v>
      </c>
      <c r="K10" s="837" t="s">
        <v>644</v>
      </c>
      <c r="L10" s="740">
        <v>0</v>
      </c>
      <c r="M10" s="741">
        <v>0</v>
      </c>
      <c r="N10" s="67">
        <v>0</v>
      </c>
      <c r="O10" s="67">
        <v>0</v>
      </c>
      <c r="Q10" s="674">
        <v>0</v>
      </c>
      <c r="R10" s="674" t="s">
        <v>1730</v>
      </c>
      <c r="S10" s="798" t="s">
        <v>801</v>
      </c>
      <c r="T10" s="798">
        <v>0</v>
      </c>
      <c r="U10" s="88">
        <v>0</v>
      </c>
      <c r="V10" s="71">
        <v>0</v>
      </c>
      <c r="W10" s="449">
        <v>0</v>
      </c>
      <c r="X10" s="67">
        <v>0</v>
      </c>
      <c r="Y10" s="163">
        <v>0</v>
      </c>
      <c r="Z10" s="166">
        <v>0</v>
      </c>
      <c r="AA10" s="34" t="s">
        <v>644</v>
      </c>
      <c r="AC10" t="s">
        <v>748</v>
      </c>
      <c r="AE10" s="452"/>
      <c r="AH10" s="45"/>
      <c r="AI10" s="45"/>
    </row>
    <row r="11" spans="1:37">
      <c r="A11" s="64" t="s">
        <v>596</v>
      </c>
      <c r="B11" s="784" t="s">
        <v>4</v>
      </c>
      <c r="C11" s="784" t="s">
        <v>632</v>
      </c>
      <c r="D11" s="134">
        <v>1289.43</v>
      </c>
      <c r="E11" s="67">
        <v>157685</v>
      </c>
      <c r="F11" s="146">
        <v>0</v>
      </c>
      <c r="G11" s="146">
        <v>0</v>
      </c>
      <c r="H11" s="91">
        <v>157685</v>
      </c>
      <c r="I11" s="67">
        <v>0</v>
      </c>
      <c r="J11" s="739">
        <v>157685</v>
      </c>
      <c r="K11" s="837" t="s">
        <v>621</v>
      </c>
      <c r="L11" s="740">
        <v>0</v>
      </c>
      <c r="M11" s="741">
        <v>1289.43</v>
      </c>
      <c r="N11" s="67">
        <v>2102</v>
      </c>
      <c r="O11" s="67">
        <v>159787</v>
      </c>
      <c r="Q11" s="674">
        <v>0</v>
      </c>
      <c r="R11" s="674" t="s">
        <v>1730</v>
      </c>
      <c r="S11" s="798" t="s">
        <v>801</v>
      </c>
      <c r="T11" s="798">
        <v>0</v>
      </c>
      <c r="U11" s="88">
        <v>159787</v>
      </c>
      <c r="V11" s="71">
        <v>123.9206471076367</v>
      </c>
      <c r="W11" s="449">
        <v>159787</v>
      </c>
      <c r="X11" s="67">
        <v>230826</v>
      </c>
      <c r="Y11" s="163">
        <v>-71039</v>
      </c>
      <c r="Z11" s="166">
        <v>-0.30775995771706827</v>
      </c>
      <c r="AA11" s="34" t="s">
        <v>621</v>
      </c>
      <c r="AC11" t="s">
        <v>1362</v>
      </c>
      <c r="AE11" s="452"/>
      <c r="AH11" s="36"/>
      <c r="AI11" s="36"/>
      <c r="AJ11" s="36"/>
      <c r="AK11" s="19"/>
    </row>
    <row r="12" spans="1:37" s="112" customFormat="1">
      <c r="A12" s="64" t="s">
        <v>603</v>
      </c>
      <c r="B12" s="785" t="s">
        <v>6</v>
      </c>
      <c r="C12" s="784" t="s">
        <v>1371</v>
      </c>
      <c r="D12" s="134">
        <v>29.43</v>
      </c>
      <c r="E12" s="67">
        <v>3599</v>
      </c>
      <c r="F12" s="146">
        <v>0</v>
      </c>
      <c r="G12" s="146">
        <v>0</v>
      </c>
      <c r="H12" s="91">
        <v>3599</v>
      </c>
      <c r="I12" s="67">
        <v>0</v>
      </c>
      <c r="J12" s="739">
        <v>3599</v>
      </c>
      <c r="K12" s="837" t="s">
        <v>644</v>
      </c>
      <c r="L12" s="740">
        <v>3599</v>
      </c>
      <c r="M12" s="741">
        <v>0</v>
      </c>
      <c r="N12" s="67">
        <v>0</v>
      </c>
      <c r="O12" s="67">
        <v>0</v>
      </c>
      <c r="P12" s="674"/>
      <c r="Q12" s="674">
        <v>0</v>
      </c>
      <c r="R12" s="674" t="s">
        <v>1730</v>
      </c>
      <c r="S12" s="798" t="s">
        <v>801</v>
      </c>
      <c r="T12" s="798">
        <v>0</v>
      </c>
      <c r="U12" s="88">
        <v>0</v>
      </c>
      <c r="V12" s="71">
        <v>0</v>
      </c>
      <c r="W12" s="449">
        <v>0</v>
      </c>
      <c r="X12" s="67">
        <v>0</v>
      </c>
      <c r="Y12" s="163">
        <v>0</v>
      </c>
      <c r="Z12" s="166">
        <v>0</v>
      </c>
      <c r="AA12" s="34" t="s">
        <v>644</v>
      </c>
      <c r="AC12" t="s">
        <v>1528</v>
      </c>
      <c r="AE12" s="452"/>
    </row>
    <row r="13" spans="1:37">
      <c r="A13" s="64" t="s">
        <v>603</v>
      </c>
      <c r="B13" s="784" t="s">
        <v>8</v>
      </c>
      <c r="C13" s="784" t="s">
        <v>1372</v>
      </c>
      <c r="D13" s="134">
        <v>0</v>
      </c>
      <c r="E13" s="67">
        <v>0</v>
      </c>
      <c r="F13" s="146">
        <v>0</v>
      </c>
      <c r="G13" s="146">
        <v>0</v>
      </c>
      <c r="H13" s="91">
        <v>0</v>
      </c>
      <c r="I13" s="67">
        <v>0</v>
      </c>
      <c r="J13" s="739">
        <v>0</v>
      </c>
      <c r="K13" s="837" t="s">
        <v>644</v>
      </c>
      <c r="L13" s="740">
        <v>0</v>
      </c>
      <c r="M13" s="741">
        <v>0</v>
      </c>
      <c r="N13" s="67">
        <v>0</v>
      </c>
      <c r="O13" s="67">
        <v>0</v>
      </c>
      <c r="Q13" s="674">
        <v>0</v>
      </c>
      <c r="R13" s="674" t="s">
        <v>1730</v>
      </c>
      <c r="S13" s="798" t="s">
        <v>801</v>
      </c>
      <c r="T13" s="798">
        <v>0</v>
      </c>
      <c r="U13" s="88">
        <v>0</v>
      </c>
      <c r="V13" s="71">
        <v>0</v>
      </c>
      <c r="W13" s="449">
        <v>0</v>
      </c>
      <c r="X13" s="67">
        <v>0</v>
      </c>
      <c r="Y13" s="163">
        <v>0</v>
      </c>
      <c r="Z13" s="166">
        <v>0</v>
      </c>
      <c r="AA13" s="34" t="s">
        <v>644</v>
      </c>
      <c r="AC13" t="s">
        <v>1740</v>
      </c>
      <c r="AE13" s="452"/>
      <c r="AH13" s="36"/>
      <c r="AI13" s="36"/>
      <c r="AJ13" s="36"/>
      <c r="AK13" s="19"/>
    </row>
    <row r="14" spans="1:37">
      <c r="A14" s="64" t="s">
        <v>596</v>
      </c>
      <c r="B14" s="784" t="s">
        <v>10</v>
      </c>
      <c r="C14" s="784" t="s">
        <v>1373</v>
      </c>
      <c r="D14" s="134">
        <v>27.29</v>
      </c>
      <c r="E14" s="67">
        <v>3337</v>
      </c>
      <c r="F14" s="146">
        <v>0</v>
      </c>
      <c r="G14" s="146">
        <v>0</v>
      </c>
      <c r="H14" s="91">
        <v>3337</v>
      </c>
      <c r="I14" s="67">
        <v>0</v>
      </c>
      <c r="J14" s="739">
        <v>3337</v>
      </c>
      <c r="K14" s="837" t="s">
        <v>644</v>
      </c>
      <c r="L14" s="740">
        <v>3337</v>
      </c>
      <c r="M14" s="741">
        <v>0</v>
      </c>
      <c r="N14" s="67">
        <v>0</v>
      </c>
      <c r="O14" s="67">
        <v>0</v>
      </c>
      <c r="Q14" s="674">
        <v>0</v>
      </c>
      <c r="R14" s="674" t="s">
        <v>1730</v>
      </c>
      <c r="S14" s="798" t="s">
        <v>801</v>
      </c>
      <c r="T14" s="798">
        <v>0</v>
      </c>
      <c r="U14" s="88">
        <v>0</v>
      </c>
      <c r="V14" s="71">
        <v>0</v>
      </c>
      <c r="W14" s="449">
        <v>0</v>
      </c>
      <c r="X14" s="67">
        <v>0</v>
      </c>
      <c r="Y14" s="163">
        <v>0</v>
      </c>
      <c r="Z14" s="166">
        <v>0</v>
      </c>
      <c r="AA14" s="34" t="s">
        <v>644</v>
      </c>
      <c r="AC14" t="s">
        <v>1621</v>
      </c>
      <c r="AE14" s="452"/>
      <c r="AH14" s="36"/>
      <c r="AI14" s="36"/>
      <c r="AJ14" s="36"/>
      <c r="AK14" s="19"/>
    </row>
    <row r="15" spans="1:37">
      <c r="A15" s="64" t="s">
        <v>596</v>
      </c>
      <c r="B15" s="784" t="s">
        <v>12</v>
      </c>
      <c r="C15" s="784" t="s">
        <v>1374</v>
      </c>
      <c r="D15" s="134">
        <v>0</v>
      </c>
      <c r="E15" s="67">
        <v>0</v>
      </c>
      <c r="F15" s="146">
        <v>0</v>
      </c>
      <c r="G15" s="146">
        <v>0</v>
      </c>
      <c r="H15" s="91">
        <v>0</v>
      </c>
      <c r="I15" s="67">
        <v>0</v>
      </c>
      <c r="J15" s="739">
        <v>0</v>
      </c>
      <c r="K15" s="837" t="s">
        <v>644</v>
      </c>
      <c r="L15" s="740">
        <v>0</v>
      </c>
      <c r="M15" s="741">
        <v>0</v>
      </c>
      <c r="N15" s="67">
        <v>0</v>
      </c>
      <c r="O15" s="67">
        <v>0</v>
      </c>
      <c r="Q15" s="674">
        <v>0</v>
      </c>
      <c r="R15" s="674" t="s">
        <v>1730</v>
      </c>
      <c r="S15" s="798" t="s">
        <v>801</v>
      </c>
      <c r="T15" s="798">
        <v>0</v>
      </c>
      <c r="U15" s="88">
        <v>0</v>
      </c>
      <c r="V15" s="71">
        <v>0</v>
      </c>
      <c r="W15" s="449">
        <v>0</v>
      </c>
      <c r="X15" s="67">
        <v>0</v>
      </c>
      <c r="Y15" s="163">
        <v>0</v>
      </c>
      <c r="Z15" s="166">
        <v>0</v>
      </c>
      <c r="AA15" s="34" t="s">
        <v>644</v>
      </c>
      <c r="AC15" t="s">
        <v>1470</v>
      </c>
      <c r="AE15" s="452"/>
      <c r="AH15" s="36"/>
      <c r="AI15" s="36"/>
      <c r="AJ15" s="36"/>
      <c r="AK15" s="19"/>
    </row>
    <row r="16" spans="1:37">
      <c r="A16" s="64" t="s">
        <v>596</v>
      </c>
      <c r="B16" s="784" t="s">
        <v>14</v>
      </c>
      <c r="C16" s="784" t="s">
        <v>636</v>
      </c>
      <c r="D16" s="134">
        <v>2723.71</v>
      </c>
      <c r="E16" s="67">
        <v>333084</v>
      </c>
      <c r="F16" s="146">
        <v>0</v>
      </c>
      <c r="G16" s="146">
        <v>0</v>
      </c>
      <c r="H16" s="91">
        <v>333084</v>
      </c>
      <c r="I16" s="67">
        <v>0</v>
      </c>
      <c r="J16" s="739">
        <v>333084</v>
      </c>
      <c r="K16" s="837" t="s">
        <v>621</v>
      </c>
      <c r="L16" s="740">
        <v>0</v>
      </c>
      <c r="M16" s="741">
        <v>2723.71</v>
      </c>
      <c r="N16" s="67">
        <v>4441</v>
      </c>
      <c r="O16" s="67">
        <v>337525</v>
      </c>
      <c r="Q16" s="674">
        <v>0</v>
      </c>
      <c r="R16" s="674" t="s">
        <v>1730</v>
      </c>
      <c r="S16" s="798" t="s">
        <v>801</v>
      </c>
      <c r="T16" s="798">
        <v>0</v>
      </c>
      <c r="U16" s="88">
        <v>337525</v>
      </c>
      <c r="V16" s="71">
        <v>123.92104886349868</v>
      </c>
      <c r="W16" s="449">
        <v>337525</v>
      </c>
      <c r="X16" s="67">
        <v>341574</v>
      </c>
      <c r="Y16" s="163">
        <v>-4049</v>
      </c>
      <c r="Z16" s="166">
        <v>-1.185394672896649E-2</v>
      </c>
      <c r="AA16" s="34" t="s">
        <v>621</v>
      </c>
      <c r="AC16" t="s">
        <v>1479</v>
      </c>
      <c r="AE16" s="452"/>
      <c r="AH16" s="36"/>
      <c r="AI16" s="36"/>
      <c r="AJ16" s="36"/>
      <c r="AK16" s="19"/>
    </row>
    <row r="17" spans="1:37">
      <c r="A17" s="64" t="s">
        <v>596</v>
      </c>
      <c r="B17" s="784" t="s">
        <v>16</v>
      </c>
      <c r="C17" s="784" t="s">
        <v>1375</v>
      </c>
      <c r="D17" s="134">
        <v>31.86</v>
      </c>
      <c r="E17" s="67">
        <v>3896</v>
      </c>
      <c r="F17" s="146">
        <v>0</v>
      </c>
      <c r="G17" s="146">
        <v>0</v>
      </c>
      <c r="H17" s="91">
        <v>3896</v>
      </c>
      <c r="I17" s="67">
        <v>0</v>
      </c>
      <c r="J17" s="739">
        <v>3896</v>
      </c>
      <c r="K17" s="837" t="s">
        <v>644</v>
      </c>
      <c r="L17" s="740">
        <v>3896</v>
      </c>
      <c r="M17" s="741">
        <v>0</v>
      </c>
      <c r="N17" s="67">
        <v>0</v>
      </c>
      <c r="O17" s="67">
        <v>0</v>
      </c>
      <c r="Q17" s="674">
        <v>0</v>
      </c>
      <c r="R17" s="674" t="s">
        <v>1730</v>
      </c>
      <c r="S17" s="798" t="s">
        <v>801</v>
      </c>
      <c r="T17" s="798">
        <v>0</v>
      </c>
      <c r="U17" s="88">
        <v>0</v>
      </c>
      <c r="V17" s="71">
        <v>0</v>
      </c>
      <c r="W17" s="449">
        <v>0</v>
      </c>
      <c r="X17" s="67">
        <v>0</v>
      </c>
      <c r="Y17" s="163">
        <v>0</v>
      </c>
      <c r="Z17" s="166">
        <v>0</v>
      </c>
      <c r="AA17" s="34" t="s">
        <v>644</v>
      </c>
      <c r="AC17" t="s">
        <v>1356</v>
      </c>
      <c r="AE17" s="452"/>
      <c r="AH17" s="36"/>
      <c r="AI17" s="36"/>
      <c r="AJ17" s="36"/>
      <c r="AK17" s="19"/>
    </row>
    <row r="18" spans="1:37">
      <c r="A18" s="64" t="s">
        <v>596</v>
      </c>
      <c r="B18" s="784" t="s">
        <v>18</v>
      </c>
      <c r="C18" s="784" t="s">
        <v>1376</v>
      </c>
      <c r="D18" s="134">
        <v>357.86</v>
      </c>
      <c r="E18" s="67">
        <v>43763</v>
      </c>
      <c r="F18" s="146">
        <v>0</v>
      </c>
      <c r="G18" s="146">
        <v>0</v>
      </c>
      <c r="H18" s="91">
        <v>43763</v>
      </c>
      <c r="I18" s="67">
        <v>0</v>
      </c>
      <c r="J18" s="739">
        <v>43763</v>
      </c>
      <c r="K18" s="837" t="s">
        <v>621</v>
      </c>
      <c r="L18" s="740">
        <v>0</v>
      </c>
      <c r="M18" s="741">
        <v>357.86</v>
      </c>
      <c r="N18" s="67">
        <v>583</v>
      </c>
      <c r="O18" s="67">
        <v>44346</v>
      </c>
      <c r="Q18" s="674">
        <v>0</v>
      </c>
      <c r="R18" s="674" t="s">
        <v>1730</v>
      </c>
      <c r="S18" s="798" t="s">
        <v>801</v>
      </c>
      <c r="T18" s="798">
        <v>0</v>
      </c>
      <c r="U18" s="88">
        <v>44346</v>
      </c>
      <c r="V18" s="71">
        <v>123.91996870284468</v>
      </c>
      <c r="W18" s="449">
        <v>44346</v>
      </c>
      <c r="X18" s="67">
        <v>38831</v>
      </c>
      <c r="Y18" s="163">
        <v>5515</v>
      </c>
      <c r="Z18" s="166">
        <v>0.14202570111508847</v>
      </c>
      <c r="AA18" s="34" t="s">
        <v>621</v>
      </c>
      <c r="AC18" t="s">
        <v>1489</v>
      </c>
      <c r="AE18" s="452"/>
      <c r="AH18" s="36"/>
      <c r="AI18" s="36"/>
      <c r="AJ18" s="36"/>
      <c r="AK18" s="19"/>
    </row>
    <row r="19" spans="1:37">
      <c r="A19" s="64" t="s">
        <v>596</v>
      </c>
      <c r="B19" s="784" t="s">
        <v>19</v>
      </c>
      <c r="C19" s="784" t="s">
        <v>1377</v>
      </c>
      <c r="D19" s="134">
        <v>169.43</v>
      </c>
      <c r="E19" s="67">
        <v>20720</v>
      </c>
      <c r="F19" s="146">
        <v>0</v>
      </c>
      <c r="G19" s="146">
        <v>0</v>
      </c>
      <c r="H19" s="91">
        <v>20720</v>
      </c>
      <c r="I19" s="67">
        <v>0</v>
      </c>
      <c r="J19" s="739">
        <v>20720</v>
      </c>
      <c r="K19" s="837" t="s">
        <v>621</v>
      </c>
      <c r="L19" s="740">
        <v>0</v>
      </c>
      <c r="M19" s="741">
        <v>169.43</v>
      </c>
      <c r="N19" s="67">
        <v>276</v>
      </c>
      <c r="O19" s="67">
        <v>20996</v>
      </c>
      <c r="Q19" s="674">
        <v>0</v>
      </c>
      <c r="R19" s="674" t="s">
        <v>1730</v>
      </c>
      <c r="S19" s="798" t="s">
        <v>801</v>
      </c>
      <c r="T19" s="798">
        <v>0</v>
      </c>
      <c r="U19" s="88">
        <v>20996</v>
      </c>
      <c r="V19" s="71">
        <v>123.92138346219677</v>
      </c>
      <c r="W19" s="449">
        <v>20996</v>
      </c>
      <c r="X19" s="67">
        <v>19802</v>
      </c>
      <c r="Y19" s="163">
        <v>1194</v>
      </c>
      <c r="Z19" s="166">
        <v>6.0296939703060298E-2</v>
      </c>
      <c r="AA19" s="34" t="s">
        <v>621</v>
      </c>
      <c r="AC19" t="s">
        <v>1741</v>
      </c>
      <c r="AE19" s="452"/>
      <c r="AH19" s="36"/>
      <c r="AI19" s="36"/>
      <c r="AJ19" s="36"/>
      <c r="AK19" s="19"/>
    </row>
    <row r="20" spans="1:37">
      <c r="A20" s="64" t="s">
        <v>596</v>
      </c>
      <c r="B20" s="784" t="s">
        <v>21</v>
      </c>
      <c r="C20" s="784" t="s">
        <v>1378</v>
      </c>
      <c r="D20" s="134">
        <v>572.86</v>
      </c>
      <c r="E20" s="67">
        <v>70055</v>
      </c>
      <c r="F20" s="146">
        <v>0</v>
      </c>
      <c r="G20" s="146">
        <v>0</v>
      </c>
      <c r="H20" s="91">
        <v>70055</v>
      </c>
      <c r="I20" s="67">
        <v>0</v>
      </c>
      <c r="J20" s="739">
        <v>70055</v>
      </c>
      <c r="K20" s="837" t="s">
        <v>621</v>
      </c>
      <c r="L20" s="740">
        <v>0</v>
      </c>
      <c r="M20" s="741">
        <v>572.86</v>
      </c>
      <c r="N20" s="67">
        <v>934</v>
      </c>
      <c r="O20" s="67">
        <v>70989</v>
      </c>
      <c r="Q20" s="674">
        <v>0</v>
      </c>
      <c r="R20" s="674" t="s">
        <v>1730</v>
      </c>
      <c r="S20" s="798" t="s">
        <v>801</v>
      </c>
      <c r="T20" s="798">
        <v>0</v>
      </c>
      <c r="U20" s="88">
        <v>70989</v>
      </c>
      <c r="V20" s="71">
        <v>123.92032957441609</v>
      </c>
      <c r="W20" s="449">
        <v>70989</v>
      </c>
      <c r="X20" s="67">
        <v>77910</v>
      </c>
      <c r="Y20" s="163">
        <v>-6921</v>
      </c>
      <c r="Z20" s="166">
        <v>-8.8833269156719297E-2</v>
      </c>
      <c r="AA20" s="34" t="s">
        <v>621</v>
      </c>
      <c r="AC20" t="s">
        <v>712</v>
      </c>
      <c r="AE20" s="452"/>
      <c r="AH20" s="36"/>
      <c r="AI20" s="36"/>
      <c r="AJ20" s="36"/>
      <c r="AK20" s="19"/>
    </row>
    <row r="21" spans="1:37">
      <c r="A21" s="64" t="s">
        <v>596</v>
      </c>
      <c r="B21" s="784" t="s">
        <v>23</v>
      </c>
      <c r="C21" s="784" t="s">
        <v>1379</v>
      </c>
      <c r="D21" s="134">
        <v>719.86</v>
      </c>
      <c r="E21" s="67">
        <v>88032</v>
      </c>
      <c r="F21" s="146">
        <v>0</v>
      </c>
      <c r="G21" s="146">
        <v>0</v>
      </c>
      <c r="H21" s="91">
        <v>88032</v>
      </c>
      <c r="I21" s="67">
        <v>0</v>
      </c>
      <c r="J21" s="739">
        <v>88032</v>
      </c>
      <c r="K21" s="837" t="s">
        <v>621</v>
      </c>
      <c r="L21" s="740">
        <v>0</v>
      </c>
      <c r="M21" s="741">
        <v>719.86</v>
      </c>
      <c r="N21" s="67">
        <v>1174</v>
      </c>
      <c r="O21" s="67">
        <v>89206</v>
      </c>
      <c r="Q21" s="674">
        <v>0</v>
      </c>
      <c r="R21" s="674" t="s">
        <v>1730</v>
      </c>
      <c r="S21" s="798" t="s">
        <v>801</v>
      </c>
      <c r="T21" s="798">
        <v>0</v>
      </c>
      <c r="U21" s="88">
        <v>89206</v>
      </c>
      <c r="V21" s="71">
        <v>123.92131803406218</v>
      </c>
      <c r="W21" s="449">
        <v>89206</v>
      </c>
      <c r="X21" s="67">
        <v>75115</v>
      </c>
      <c r="Y21" s="163">
        <v>14091</v>
      </c>
      <c r="Z21" s="166">
        <v>0.1875923583838115</v>
      </c>
      <c r="AA21" s="34" t="s">
        <v>621</v>
      </c>
      <c r="AC21" t="s">
        <v>607</v>
      </c>
      <c r="AE21" s="452"/>
      <c r="AH21" s="36"/>
      <c r="AI21" s="36"/>
      <c r="AJ21" s="36"/>
      <c r="AK21" s="19"/>
    </row>
    <row r="22" spans="1:37">
      <c r="A22" s="64" t="s">
        <v>601</v>
      </c>
      <c r="B22" s="784" t="s">
        <v>25</v>
      </c>
      <c r="C22" s="784" t="s">
        <v>1380</v>
      </c>
      <c r="D22" s="134">
        <v>231.14</v>
      </c>
      <c r="E22" s="67">
        <v>28266</v>
      </c>
      <c r="F22" s="146">
        <v>0</v>
      </c>
      <c r="G22" s="146">
        <v>0</v>
      </c>
      <c r="H22" s="91">
        <v>28266</v>
      </c>
      <c r="I22" s="67">
        <v>0</v>
      </c>
      <c r="J22" s="739">
        <v>28266</v>
      </c>
      <c r="K22" s="837" t="s">
        <v>621</v>
      </c>
      <c r="L22" s="740">
        <v>0</v>
      </c>
      <c r="M22" s="741">
        <v>231.14</v>
      </c>
      <c r="N22" s="67">
        <v>377</v>
      </c>
      <c r="O22" s="67">
        <v>28643</v>
      </c>
      <c r="Q22" s="674">
        <v>0</v>
      </c>
      <c r="R22" s="674" t="s">
        <v>1730</v>
      </c>
      <c r="S22" s="798" t="s">
        <v>801</v>
      </c>
      <c r="T22" s="798">
        <v>0</v>
      </c>
      <c r="U22" s="88">
        <v>28643</v>
      </c>
      <c r="V22" s="71">
        <v>123.92056762135503</v>
      </c>
      <c r="W22" s="449">
        <v>28643</v>
      </c>
      <c r="X22" s="67">
        <v>34368</v>
      </c>
      <c r="Y22" s="163">
        <v>-5725</v>
      </c>
      <c r="Z22" s="166">
        <v>-0.16657937616387336</v>
      </c>
      <c r="AA22" s="34" t="s">
        <v>621</v>
      </c>
      <c r="AC22" t="s">
        <v>1438</v>
      </c>
      <c r="AE22" s="452"/>
      <c r="AH22" s="36"/>
      <c r="AI22" s="36"/>
      <c r="AJ22" s="36"/>
      <c r="AK22" s="19"/>
    </row>
    <row r="23" spans="1:37">
      <c r="A23" s="64" t="s">
        <v>601</v>
      </c>
      <c r="B23" s="784" t="s">
        <v>27</v>
      </c>
      <c r="C23" s="784" t="s">
        <v>1381</v>
      </c>
      <c r="D23" s="134">
        <v>0</v>
      </c>
      <c r="E23" s="67">
        <v>0</v>
      </c>
      <c r="F23" s="146">
        <v>0</v>
      </c>
      <c r="G23" s="146">
        <v>0</v>
      </c>
      <c r="H23" s="91">
        <v>0</v>
      </c>
      <c r="I23" s="67">
        <v>0</v>
      </c>
      <c r="J23" s="739">
        <v>0</v>
      </c>
      <c r="K23" s="837" t="s">
        <v>644</v>
      </c>
      <c r="L23" s="740">
        <v>0</v>
      </c>
      <c r="M23" s="741">
        <v>0</v>
      </c>
      <c r="N23" s="67">
        <v>0</v>
      </c>
      <c r="O23" s="67">
        <v>0</v>
      </c>
      <c r="Q23" s="674">
        <v>0</v>
      </c>
      <c r="R23" s="674" t="s">
        <v>1730</v>
      </c>
      <c r="S23" s="798" t="s">
        <v>801</v>
      </c>
      <c r="T23" s="798">
        <v>0</v>
      </c>
      <c r="U23" s="88">
        <v>0</v>
      </c>
      <c r="V23" s="71">
        <v>0</v>
      </c>
      <c r="W23" s="449">
        <v>0</v>
      </c>
      <c r="X23" s="67">
        <v>0</v>
      </c>
      <c r="Y23" s="163">
        <v>0</v>
      </c>
      <c r="Z23" s="166">
        <v>0</v>
      </c>
      <c r="AA23" s="34" t="s">
        <v>644</v>
      </c>
      <c r="AC23" s="55" t="s">
        <v>1514</v>
      </c>
      <c r="AE23" s="452"/>
      <c r="AH23" s="36"/>
      <c r="AI23" s="36"/>
      <c r="AJ23" s="36"/>
      <c r="AK23" s="19"/>
    </row>
    <row r="24" spans="1:37">
      <c r="A24" s="64" t="s">
        <v>601</v>
      </c>
      <c r="B24" s="784" t="s">
        <v>29</v>
      </c>
      <c r="C24" s="784" t="s">
        <v>1382</v>
      </c>
      <c r="D24" s="134">
        <v>45.57</v>
      </c>
      <c r="E24" s="67">
        <v>5573</v>
      </c>
      <c r="F24" s="146">
        <v>0</v>
      </c>
      <c r="G24" s="146">
        <v>0</v>
      </c>
      <c r="H24" s="91">
        <v>5573</v>
      </c>
      <c r="I24" s="67">
        <v>0</v>
      </c>
      <c r="J24" s="739">
        <v>5573</v>
      </c>
      <c r="K24" s="837" t="s">
        <v>644</v>
      </c>
      <c r="L24" s="740">
        <v>5573</v>
      </c>
      <c r="M24" s="741">
        <v>0</v>
      </c>
      <c r="N24" s="67">
        <v>0</v>
      </c>
      <c r="O24" s="67">
        <v>0</v>
      </c>
      <c r="Q24" s="674">
        <v>0</v>
      </c>
      <c r="R24" s="674" t="s">
        <v>1730</v>
      </c>
      <c r="S24" s="798" t="s">
        <v>801</v>
      </c>
      <c r="T24" s="798">
        <v>0</v>
      </c>
      <c r="U24" s="88">
        <v>0</v>
      </c>
      <c r="V24" s="71">
        <v>0</v>
      </c>
      <c r="W24" s="449">
        <v>0</v>
      </c>
      <c r="X24" s="67">
        <v>0</v>
      </c>
      <c r="Y24" s="163">
        <v>0</v>
      </c>
      <c r="Z24" s="166">
        <v>0</v>
      </c>
      <c r="AA24" s="34" t="s">
        <v>644</v>
      </c>
      <c r="AC24" t="s">
        <v>1742</v>
      </c>
      <c r="AE24" s="452"/>
      <c r="AH24" s="36"/>
      <c r="AI24" s="36"/>
      <c r="AJ24" s="36"/>
      <c r="AK24" s="19"/>
    </row>
    <row r="25" spans="1:37">
      <c r="A25" s="64" t="s">
        <v>601</v>
      </c>
      <c r="B25" s="784" t="s">
        <v>31</v>
      </c>
      <c r="C25" s="784" t="s">
        <v>624</v>
      </c>
      <c r="D25" s="134">
        <v>392.28</v>
      </c>
      <c r="E25" s="67">
        <v>47972</v>
      </c>
      <c r="F25" s="146">
        <v>0</v>
      </c>
      <c r="G25" s="146">
        <v>0</v>
      </c>
      <c r="H25" s="91">
        <v>47972</v>
      </c>
      <c r="I25" s="67">
        <v>0</v>
      </c>
      <c r="J25" s="739">
        <v>47972</v>
      </c>
      <c r="K25" s="837" t="s">
        <v>621</v>
      </c>
      <c r="L25" s="740">
        <v>0</v>
      </c>
      <c r="M25" s="741">
        <v>392.28</v>
      </c>
      <c r="N25" s="67">
        <v>640</v>
      </c>
      <c r="O25" s="67">
        <v>48612</v>
      </c>
      <c r="Q25" s="674">
        <v>0</v>
      </c>
      <c r="R25" s="674" t="s">
        <v>1730</v>
      </c>
      <c r="S25" s="798" t="s">
        <v>801</v>
      </c>
      <c r="T25" s="798">
        <v>0</v>
      </c>
      <c r="U25" s="88">
        <v>48612</v>
      </c>
      <c r="V25" s="71">
        <v>123.92168858978282</v>
      </c>
      <c r="W25" s="449">
        <v>48612</v>
      </c>
      <c r="X25" s="67">
        <v>51946</v>
      </c>
      <c r="Y25" s="163">
        <v>-3334</v>
      </c>
      <c r="Z25" s="166">
        <v>-6.4182035190390022E-2</v>
      </c>
      <c r="AA25" s="34" t="s">
        <v>621</v>
      </c>
      <c r="AC25" t="s">
        <v>1743</v>
      </c>
      <c r="AE25" s="452"/>
      <c r="AH25" s="36"/>
      <c r="AI25" s="36"/>
      <c r="AJ25" s="36"/>
      <c r="AK25" s="19"/>
    </row>
    <row r="26" spans="1:37">
      <c r="A26" s="64" t="s">
        <v>601</v>
      </c>
      <c r="B26" s="784" t="s">
        <v>33</v>
      </c>
      <c r="C26" s="784" t="s">
        <v>878</v>
      </c>
      <c r="D26" s="134">
        <v>222.42999999999998</v>
      </c>
      <c r="E26" s="67">
        <v>27201</v>
      </c>
      <c r="F26" s="146">
        <v>0</v>
      </c>
      <c r="G26" s="146">
        <v>0</v>
      </c>
      <c r="H26" s="91">
        <v>27201</v>
      </c>
      <c r="I26" s="67">
        <v>0</v>
      </c>
      <c r="J26" s="739">
        <v>27201</v>
      </c>
      <c r="K26" s="837" t="s">
        <v>621</v>
      </c>
      <c r="L26" s="740">
        <v>0</v>
      </c>
      <c r="M26" s="741">
        <v>222.42999999999998</v>
      </c>
      <c r="N26" s="67">
        <v>363</v>
      </c>
      <c r="O26" s="67">
        <v>27564</v>
      </c>
      <c r="Q26" s="674">
        <v>0</v>
      </c>
      <c r="R26" s="674" t="s">
        <v>1730</v>
      </c>
      <c r="S26" s="798" t="s">
        <v>801</v>
      </c>
      <c r="T26" s="798">
        <v>0</v>
      </c>
      <c r="U26" s="88">
        <v>27564</v>
      </c>
      <c r="V26" s="71">
        <v>123.92213280582656</v>
      </c>
      <c r="W26" s="449">
        <v>27564</v>
      </c>
      <c r="X26" s="67">
        <v>31465</v>
      </c>
      <c r="Y26" s="163">
        <v>-3901</v>
      </c>
      <c r="Z26" s="166">
        <v>-0.12397902431272843</v>
      </c>
      <c r="AA26" s="34" t="s">
        <v>621</v>
      </c>
      <c r="AC26" t="s">
        <v>1744</v>
      </c>
      <c r="AE26" s="452"/>
      <c r="AH26" s="36"/>
      <c r="AI26" s="36"/>
      <c r="AJ26" s="36"/>
      <c r="AK26" s="19"/>
    </row>
    <row r="27" spans="1:37">
      <c r="A27" s="64" t="s">
        <v>601</v>
      </c>
      <c r="B27" s="784" t="s">
        <v>35</v>
      </c>
      <c r="C27" s="784" t="s">
        <v>1383</v>
      </c>
      <c r="D27" s="134">
        <v>177.15</v>
      </c>
      <c r="E27" s="67">
        <v>21664</v>
      </c>
      <c r="F27" s="146">
        <v>0</v>
      </c>
      <c r="G27" s="146">
        <v>0</v>
      </c>
      <c r="H27" s="91">
        <v>21664</v>
      </c>
      <c r="I27" s="67">
        <v>0</v>
      </c>
      <c r="J27" s="739">
        <v>21664</v>
      </c>
      <c r="K27" s="837" t="s">
        <v>621</v>
      </c>
      <c r="L27" s="740">
        <v>0</v>
      </c>
      <c r="M27" s="741">
        <v>177.15</v>
      </c>
      <c r="N27" s="67">
        <v>289</v>
      </c>
      <c r="O27" s="67">
        <v>21953</v>
      </c>
      <c r="Q27" s="674">
        <v>0</v>
      </c>
      <c r="R27" s="674" t="s">
        <v>1730</v>
      </c>
      <c r="S27" s="798" t="s">
        <v>801</v>
      </c>
      <c r="T27" s="798">
        <v>0</v>
      </c>
      <c r="U27" s="88">
        <v>21953</v>
      </c>
      <c r="V27" s="71">
        <v>123.9232289020604</v>
      </c>
      <c r="W27" s="449">
        <v>21953</v>
      </c>
      <c r="X27" s="67">
        <v>22598</v>
      </c>
      <c r="Y27" s="163">
        <v>-645</v>
      </c>
      <c r="Z27" s="166">
        <v>-2.8542348880431896E-2</v>
      </c>
      <c r="AA27" s="34" t="s">
        <v>621</v>
      </c>
      <c r="AC27" t="s">
        <v>1593</v>
      </c>
      <c r="AE27" s="452"/>
      <c r="AH27" s="36"/>
      <c r="AI27" s="36"/>
      <c r="AJ27" s="36"/>
      <c r="AK27" s="19"/>
    </row>
    <row r="28" spans="1:37">
      <c r="A28" s="64" t="s">
        <v>601</v>
      </c>
      <c r="B28" s="784" t="s">
        <v>37</v>
      </c>
      <c r="C28" s="784" t="s">
        <v>1384</v>
      </c>
      <c r="D28" s="134">
        <v>1905.4299999999998</v>
      </c>
      <c r="E28" s="67">
        <v>233016</v>
      </c>
      <c r="F28" s="146">
        <v>0</v>
      </c>
      <c r="G28" s="146">
        <v>0</v>
      </c>
      <c r="H28" s="91">
        <v>233016</v>
      </c>
      <c r="I28" s="67">
        <v>0</v>
      </c>
      <c r="J28" s="739">
        <v>233016</v>
      </c>
      <c r="K28" s="837" t="s">
        <v>621</v>
      </c>
      <c r="L28" s="740">
        <v>0</v>
      </c>
      <c r="M28" s="741">
        <v>1905.4299999999998</v>
      </c>
      <c r="N28" s="67">
        <v>3107</v>
      </c>
      <c r="O28" s="67">
        <v>236123</v>
      </c>
      <c r="Q28" s="674">
        <v>0</v>
      </c>
      <c r="R28" s="674" t="s">
        <v>1730</v>
      </c>
      <c r="S28" s="798" t="s">
        <v>801</v>
      </c>
      <c r="T28" s="798">
        <v>0</v>
      </c>
      <c r="U28" s="88">
        <v>236123</v>
      </c>
      <c r="V28" s="71">
        <v>123.92110967078298</v>
      </c>
      <c r="W28" s="449">
        <v>236123</v>
      </c>
      <c r="X28" s="67">
        <v>241530</v>
      </c>
      <c r="Y28" s="163">
        <v>-5407</v>
      </c>
      <c r="Z28" s="166">
        <v>-2.2386453028609282E-2</v>
      </c>
      <c r="AA28" s="34" t="s">
        <v>621</v>
      </c>
      <c r="AC28" t="s">
        <v>1439</v>
      </c>
      <c r="AE28" s="452"/>
      <c r="AH28" s="36"/>
      <c r="AI28" s="36"/>
      <c r="AJ28" s="36"/>
      <c r="AK28" s="19"/>
    </row>
    <row r="29" spans="1:37">
      <c r="A29" s="64" t="s">
        <v>600</v>
      </c>
      <c r="B29" s="784" t="s">
        <v>39</v>
      </c>
      <c r="C29" s="784" t="s">
        <v>1385</v>
      </c>
      <c r="D29" s="134">
        <v>54.57</v>
      </c>
      <c r="E29" s="67">
        <v>6673</v>
      </c>
      <c r="F29" s="146">
        <v>0</v>
      </c>
      <c r="G29" s="146">
        <v>0</v>
      </c>
      <c r="H29" s="91">
        <v>6673</v>
      </c>
      <c r="I29" s="67">
        <v>0</v>
      </c>
      <c r="J29" s="739">
        <v>6673</v>
      </c>
      <c r="K29" s="837" t="s">
        <v>644</v>
      </c>
      <c r="L29" s="740">
        <v>6673</v>
      </c>
      <c r="M29" s="741">
        <v>0</v>
      </c>
      <c r="N29" s="67">
        <v>0</v>
      </c>
      <c r="O29" s="67">
        <v>0</v>
      </c>
      <c r="Q29" s="674">
        <v>0</v>
      </c>
      <c r="R29" s="674" t="s">
        <v>1730</v>
      </c>
      <c r="S29" s="798" t="s">
        <v>801</v>
      </c>
      <c r="T29" s="798">
        <v>0</v>
      </c>
      <c r="U29" s="88">
        <v>0</v>
      </c>
      <c r="V29" s="71">
        <v>0</v>
      </c>
      <c r="W29" s="449">
        <v>0</v>
      </c>
      <c r="X29" s="67">
        <v>0</v>
      </c>
      <c r="Y29" s="163">
        <v>0</v>
      </c>
      <c r="Z29" s="166">
        <v>0</v>
      </c>
      <c r="AA29" s="34" t="s">
        <v>644</v>
      </c>
      <c r="AC29" t="s">
        <v>1529</v>
      </c>
      <c r="AE29" s="452"/>
      <c r="AH29" s="36"/>
      <c r="AI29" s="36"/>
      <c r="AJ29" s="36"/>
      <c r="AK29" s="19"/>
    </row>
    <row r="30" spans="1:37">
      <c r="A30" s="64" t="s">
        <v>600</v>
      </c>
      <c r="B30" s="784" t="s">
        <v>41</v>
      </c>
      <c r="C30" s="784" t="s">
        <v>1386</v>
      </c>
      <c r="D30" s="134">
        <v>0</v>
      </c>
      <c r="E30" s="67">
        <v>0</v>
      </c>
      <c r="F30" s="146">
        <v>0</v>
      </c>
      <c r="G30" s="146">
        <v>0</v>
      </c>
      <c r="H30" s="91">
        <v>0</v>
      </c>
      <c r="I30" s="67">
        <v>0</v>
      </c>
      <c r="J30" s="739">
        <v>0</v>
      </c>
      <c r="K30" s="837" t="s">
        <v>644</v>
      </c>
      <c r="L30" s="740">
        <v>0</v>
      </c>
      <c r="M30" s="741">
        <v>0</v>
      </c>
      <c r="N30" s="67">
        <v>0</v>
      </c>
      <c r="O30" s="67">
        <v>0</v>
      </c>
      <c r="Q30" s="674">
        <v>0</v>
      </c>
      <c r="R30" s="674" t="s">
        <v>1730</v>
      </c>
      <c r="S30" s="798" t="s">
        <v>801</v>
      </c>
      <c r="T30" s="798">
        <v>0</v>
      </c>
      <c r="U30" s="88">
        <v>0</v>
      </c>
      <c r="V30" s="71">
        <v>0</v>
      </c>
      <c r="W30" s="449">
        <v>0</v>
      </c>
      <c r="X30" s="67">
        <v>0</v>
      </c>
      <c r="Y30" s="163">
        <v>0</v>
      </c>
      <c r="Z30" s="166">
        <v>0</v>
      </c>
      <c r="AA30" s="34" t="s">
        <v>644</v>
      </c>
      <c r="AC30" t="s">
        <v>1453</v>
      </c>
      <c r="AE30" s="452"/>
      <c r="AH30" s="36"/>
      <c r="AI30" s="36"/>
      <c r="AJ30" s="36"/>
      <c r="AK30" s="19"/>
    </row>
    <row r="31" spans="1:37">
      <c r="A31" s="64" t="s">
        <v>600</v>
      </c>
      <c r="B31" s="784" t="s">
        <v>43</v>
      </c>
      <c r="C31" s="784" t="s">
        <v>1387</v>
      </c>
      <c r="D31" s="134">
        <v>57.71</v>
      </c>
      <c r="E31" s="67">
        <v>7057</v>
      </c>
      <c r="F31" s="146">
        <v>0</v>
      </c>
      <c r="G31" s="146">
        <v>0</v>
      </c>
      <c r="H31" s="91">
        <v>7057</v>
      </c>
      <c r="I31" s="67">
        <v>0</v>
      </c>
      <c r="J31" s="739">
        <v>7057</v>
      </c>
      <c r="K31" s="837" t="s">
        <v>644</v>
      </c>
      <c r="L31" s="740">
        <v>7057</v>
      </c>
      <c r="M31" s="741">
        <v>0</v>
      </c>
      <c r="N31" s="67">
        <v>0</v>
      </c>
      <c r="O31" s="67">
        <v>0</v>
      </c>
      <c r="Q31" s="674">
        <v>0</v>
      </c>
      <c r="R31" s="674" t="s">
        <v>1730</v>
      </c>
      <c r="S31" s="798" t="s">
        <v>801</v>
      </c>
      <c r="T31" s="798">
        <v>0</v>
      </c>
      <c r="U31" s="88">
        <v>0</v>
      </c>
      <c r="V31" s="71">
        <v>0</v>
      </c>
      <c r="W31" s="449">
        <v>0</v>
      </c>
      <c r="X31" s="67">
        <v>0</v>
      </c>
      <c r="Y31" s="163">
        <v>0</v>
      </c>
      <c r="Z31" s="166">
        <v>0</v>
      </c>
      <c r="AA31" s="34" t="s">
        <v>644</v>
      </c>
      <c r="AC31" t="s">
        <v>1405</v>
      </c>
      <c r="AE31" s="452"/>
      <c r="AH31" s="36"/>
      <c r="AI31" s="36"/>
      <c r="AJ31" s="36"/>
      <c r="AK31" s="19"/>
    </row>
    <row r="32" spans="1:37">
      <c r="A32" s="64" t="s">
        <v>600</v>
      </c>
      <c r="B32" s="784" t="s">
        <v>45</v>
      </c>
      <c r="C32" s="784" t="s">
        <v>1388</v>
      </c>
      <c r="D32" s="134">
        <v>0</v>
      </c>
      <c r="E32" s="67">
        <v>0</v>
      </c>
      <c r="F32" s="146">
        <v>0</v>
      </c>
      <c r="G32" s="146">
        <v>0</v>
      </c>
      <c r="H32" s="91">
        <v>0</v>
      </c>
      <c r="I32" s="67">
        <v>0</v>
      </c>
      <c r="J32" s="739">
        <v>0</v>
      </c>
      <c r="K32" s="837" t="s">
        <v>644</v>
      </c>
      <c r="L32" s="740">
        <v>0</v>
      </c>
      <c r="M32" s="741">
        <v>0</v>
      </c>
      <c r="N32" s="67">
        <v>0</v>
      </c>
      <c r="O32" s="67">
        <v>0</v>
      </c>
      <c r="Q32" s="674">
        <v>0</v>
      </c>
      <c r="R32" s="674" t="s">
        <v>1730</v>
      </c>
      <c r="S32" s="798" t="s">
        <v>801</v>
      </c>
      <c r="T32" s="798">
        <v>0</v>
      </c>
      <c r="U32" s="88">
        <v>0</v>
      </c>
      <c r="V32" s="71">
        <v>0</v>
      </c>
      <c r="W32" s="449">
        <v>0</v>
      </c>
      <c r="X32" s="67">
        <v>0</v>
      </c>
      <c r="Y32" s="163">
        <v>0</v>
      </c>
      <c r="Z32" s="166">
        <v>0</v>
      </c>
      <c r="AA32" s="34" t="s">
        <v>644</v>
      </c>
      <c r="AC32" t="s">
        <v>1745</v>
      </c>
      <c r="AE32" s="452"/>
      <c r="AH32" s="36"/>
      <c r="AI32" s="36"/>
      <c r="AJ32" s="36"/>
      <c r="AK32" s="19"/>
    </row>
    <row r="33" spans="1:37">
      <c r="A33" s="64" t="s">
        <v>600</v>
      </c>
      <c r="B33" s="784" t="s">
        <v>47</v>
      </c>
      <c r="C33" s="784" t="s">
        <v>1389</v>
      </c>
      <c r="D33" s="134">
        <v>178.43</v>
      </c>
      <c r="E33" s="67">
        <v>21820</v>
      </c>
      <c r="F33" s="146">
        <v>0</v>
      </c>
      <c r="G33" s="146">
        <v>0</v>
      </c>
      <c r="H33" s="91">
        <v>21820</v>
      </c>
      <c r="I33" s="67">
        <v>0</v>
      </c>
      <c r="J33" s="739">
        <v>21820</v>
      </c>
      <c r="K33" s="837" t="s">
        <v>621</v>
      </c>
      <c r="L33" s="740">
        <v>0</v>
      </c>
      <c r="M33" s="741">
        <v>178.43</v>
      </c>
      <c r="N33" s="67">
        <v>291</v>
      </c>
      <c r="O33" s="67">
        <v>22111</v>
      </c>
      <c r="Q33" s="674">
        <v>0</v>
      </c>
      <c r="R33" s="674" t="s">
        <v>1730</v>
      </c>
      <c r="S33" s="798" t="s">
        <v>801</v>
      </c>
      <c r="T33" s="798">
        <v>0</v>
      </c>
      <c r="U33" s="88">
        <v>22111</v>
      </c>
      <c r="V33" s="71">
        <v>123.91974443759457</v>
      </c>
      <c r="W33" s="449">
        <v>22111</v>
      </c>
      <c r="X33" s="67">
        <v>16836</v>
      </c>
      <c r="Y33" s="163">
        <v>5275</v>
      </c>
      <c r="Z33" s="166">
        <v>0.31331670230458541</v>
      </c>
      <c r="AA33" s="34" t="s">
        <v>621</v>
      </c>
      <c r="AC33" t="s">
        <v>1543</v>
      </c>
      <c r="AE33" s="452"/>
      <c r="AH33" s="36"/>
      <c r="AI33" s="36"/>
      <c r="AJ33" s="36"/>
      <c r="AK33" s="19"/>
    </row>
    <row r="34" spans="1:37">
      <c r="A34" s="64" t="s">
        <v>599</v>
      </c>
      <c r="B34" s="784" t="s">
        <v>49</v>
      </c>
      <c r="C34" s="784" t="s">
        <v>1390</v>
      </c>
      <c r="D34" s="134">
        <v>3134</v>
      </c>
      <c r="E34" s="67">
        <v>383258</v>
      </c>
      <c r="F34" s="146">
        <v>0</v>
      </c>
      <c r="G34" s="146">
        <v>0</v>
      </c>
      <c r="H34" s="91">
        <v>383258</v>
      </c>
      <c r="I34" s="67">
        <v>0</v>
      </c>
      <c r="J34" s="739">
        <v>383258</v>
      </c>
      <c r="K34" s="837" t="s">
        <v>621</v>
      </c>
      <c r="L34" s="740">
        <v>0</v>
      </c>
      <c r="M34" s="741">
        <v>3134</v>
      </c>
      <c r="N34" s="67">
        <v>5110</v>
      </c>
      <c r="O34" s="67">
        <v>388368</v>
      </c>
      <c r="Q34" s="674">
        <v>0</v>
      </c>
      <c r="R34" s="674" t="s">
        <v>1730</v>
      </c>
      <c r="S34" s="798" t="s">
        <v>801</v>
      </c>
      <c r="T34" s="798">
        <v>0</v>
      </c>
      <c r="U34" s="88">
        <v>388368</v>
      </c>
      <c r="V34" s="71">
        <v>123.92086790044671</v>
      </c>
      <c r="W34" s="449">
        <v>388368</v>
      </c>
      <c r="X34" s="67">
        <v>386229</v>
      </c>
      <c r="Y34" s="163">
        <v>2139</v>
      </c>
      <c r="Z34" s="166">
        <v>5.5381651817962918E-3</v>
      </c>
      <c r="AA34" s="34" t="s">
        <v>621</v>
      </c>
      <c r="AC34" t="s">
        <v>854</v>
      </c>
      <c r="AE34" s="452"/>
      <c r="AH34" s="36"/>
      <c r="AI34" s="36"/>
      <c r="AJ34" s="36"/>
      <c r="AK34" s="19"/>
    </row>
    <row r="35" spans="1:37">
      <c r="A35" s="64" t="s">
        <v>599</v>
      </c>
      <c r="B35" s="784" t="s">
        <v>51</v>
      </c>
      <c r="C35" s="784" t="s">
        <v>1391</v>
      </c>
      <c r="D35" s="134">
        <v>46.71</v>
      </c>
      <c r="E35" s="67">
        <v>5712</v>
      </c>
      <c r="F35" s="146">
        <v>0</v>
      </c>
      <c r="G35" s="146">
        <v>0</v>
      </c>
      <c r="H35" s="91">
        <v>5712</v>
      </c>
      <c r="I35" s="67">
        <v>0</v>
      </c>
      <c r="J35" s="739">
        <v>5712</v>
      </c>
      <c r="K35" s="837" t="s">
        <v>1306</v>
      </c>
      <c r="L35" s="740">
        <v>0</v>
      </c>
      <c r="M35" s="741">
        <v>46.71</v>
      </c>
      <c r="N35" s="67">
        <v>76</v>
      </c>
      <c r="O35" s="67">
        <v>5788</v>
      </c>
      <c r="Q35" s="674">
        <v>0</v>
      </c>
      <c r="R35" s="674" t="s">
        <v>1730</v>
      </c>
      <c r="S35" s="798" t="s">
        <v>801</v>
      </c>
      <c r="T35" s="798">
        <v>0</v>
      </c>
      <c r="U35" s="88">
        <v>5788</v>
      </c>
      <c r="V35" s="71">
        <v>123.91350888460715</v>
      </c>
      <c r="W35" s="449">
        <v>0</v>
      </c>
      <c r="X35" s="67">
        <v>0</v>
      </c>
      <c r="Y35" s="163">
        <v>5788</v>
      </c>
      <c r="Z35" s="166">
        <v>0</v>
      </c>
      <c r="AA35" s="34" t="s">
        <v>1306</v>
      </c>
      <c r="AC35" t="s">
        <v>1391</v>
      </c>
      <c r="AE35" s="452"/>
      <c r="AH35" s="36"/>
      <c r="AI35" s="36"/>
      <c r="AJ35" s="36"/>
      <c r="AK35" s="19"/>
    </row>
    <row r="36" spans="1:37">
      <c r="A36" s="64" t="s">
        <v>599</v>
      </c>
      <c r="B36" s="784" t="s">
        <v>53</v>
      </c>
      <c r="C36" s="784" t="s">
        <v>1392</v>
      </c>
      <c r="D36" s="134">
        <v>30.43</v>
      </c>
      <c r="E36" s="67">
        <v>3721</v>
      </c>
      <c r="F36" s="146">
        <v>0</v>
      </c>
      <c r="G36" s="146">
        <v>0</v>
      </c>
      <c r="H36" s="91">
        <v>3721</v>
      </c>
      <c r="I36" s="67">
        <v>0</v>
      </c>
      <c r="J36" s="739">
        <v>3721</v>
      </c>
      <c r="K36" s="837" t="s">
        <v>644</v>
      </c>
      <c r="L36" s="740">
        <v>3721</v>
      </c>
      <c r="M36" s="741">
        <v>0</v>
      </c>
      <c r="N36" s="67">
        <v>0</v>
      </c>
      <c r="O36" s="67">
        <v>0</v>
      </c>
      <c r="Q36" s="674">
        <v>0</v>
      </c>
      <c r="R36" s="674" t="s">
        <v>1730</v>
      </c>
      <c r="S36" s="798" t="s">
        <v>801</v>
      </c>
      <c r="T36" s="798">
        <v>0</v>
      </c>
      <c r="U36" s="88">
        <v>0</v>
      </c>
      <c r="V36" s="71">
        <v>0</v>
      </c>
      <c r="W36" s="449">
        <v>0</v>
      </c>
      <c r="X36" s="67">
        <v>0</v>
      </c>
      <c r="Y36" s="163">
        <v>0</v>
      </c>
      <c r="Z36" s="166">
        <v>0</v>
      </c>
      <c r="AA36" s="34" t="s">
        <v>644</v>
      </c>
      <c r="AC36" s="67"/>
      <c r="AD36" s="451"/>
      <c r="AE36" s="452"/>
      <c r="AH36" s="36"/>
      <c r="AI36" s="36"/>
      <c r="AJ36" s="36"/>
      <c r="AK36" s="19"/>
    </row>
    <row r="37" spans="1:37">
      <c r="A37" s="64" t="s">
        <v>599</v>
      </c>
      <c r="B37" s="784" t="s">
        <v>54</v>
      </c>
      <c r="C37" s="784" t="s">
        <v>1393</v>
      </c>
      <c r="D37" s="134">
        <v>0</v>
      </c>
      <c r="E37" s="67">
        <v>0</v>
      </c>
      <c r="F37" s="146">
        <v>0</v>
      </c>
      <c r="G37" s="146">
        <v>0</v>
      </c>
      <c r="H37" s="91">
        <v>0</v>
      </c>
      <c r="I37" s="67">
        <v>0</v>
      </c>
      <c r="J37" s="739">
        <v>0</v>
      </c>
      <c r="K37" s="837" t="s">
        <v>644</v>
      </c>
      <c r="L37" s="740">
        <v>0</v>
      </c>
      <c r="M37" s="741">
        <v>0</v>
      </c>
      <c r="N37" s="67">
        <v>0</v>
      </c>
      <c r="O37" s="67">
        <v>0</v>
      </c>
      <c r="Q37" s="674">
        <v>0</v>
      </c>
      <c r="R37" s="674" t="s">
        <v>1730</v>
      </c>
      <c r="S37" s="798" t="s">
        <v>801</v>
      </c>
      <c r="T37" s="798">
        <v>0</v>
      </c>
      <c r="U37" s="88">
        <v>0</v>
      </c>
      <c r="V37" s="71">
        <v>0</v>
      </c>
      <c r="W37" s="449">
        <v>0</v>
      </c>
      <c r="X37" s="67">
        <v>0</v>
      </c>
      <c r="Y37" s="163">
        <v>0</v>
      </c>
      <c r="Z37" s="166">
        <v>0</v>
      </c>
      <c r="AA37" s="34" t="s">
        <v>644</v>
      </c>
      <c r="AC37" s="67"/>
      <c r="AD37" s="451"/>
      <c r="AE37" s="452"/>
      <c r="AH37" s="36"/>
      <c r="AI37" s="36"/>
      <c r="AJ37" s="36"/>
      <c r="AK37" s="19"/>
    </row>
    <row r="38" spans="1:37">
      <c r="A38" s="64" t="s">
        <v>599</v>
      </c>
      <c r="B38" s="784" t="s">
        <v>56</v>
      </c>
      <c r="C38" s="784" t="s">
        <v>854</v>
      </c>
      <c r="D38" s="134">
        <v>77.42</v>
      </c>
      <c r="E38" s="67">
        <v>9468</v>
      </c>
      <c r="F38" s="146">
        <v>0</v>
      </c>
      <c r="G38" s="146">
        <v>0</v>
      </c>
      <c r="H38" s="91">
        <v>9468</v>
      </c>
      <c r="I38" s="67">
        <v>0</v>
      </c>
      <c r="J38" s="739">
        <v>9468</v>
      </c>
      <c r="K38" s="837" t="s">
        <v>1306</v>
      </c>
      <c r="L38" s="740">
        <v>0</v>
      </c>
      <c r="M38" s="741">
        <v>77.42</v>
      </c>
      <c r="N38" s="67">
        <v>126</v>
      </c>
      <c r="O38" s="67">
        <v>9594</v>
      </c>
      <c r="Q38" s="674">
        <v>0</v>
      </c>
      <c r="R38" s="674" t="s">
        <v>1730</v>
      </c>
      <c r="S38" s="798" t="s">
        <v>801</v>
      </c>
      <c r="T38" s="798">
        <v>0</v>
      </c>
      <c r="U38" s="88">
        <v>9594</v>
      </c>
      <c r="V38" s="71">
        <v>123.92146732110565</v>
      </c>
      <c r="W38" s="449">
        <v>0</v>
      </c>
      <c r="X38" s="67">
        <v>0</v>
      </c>
      <c r="Y38" s="163">
        <v>9594</v>
      </c>
      <c r="Z38" s="166">
        <v>0</v>
      </c>
      <c r="AA38" s="34" t="s">
        <v>1306</v>
      </c>
      <c r="AC38" s="67"/>
      <c r="AD38" s="451"/>
      <c r="AE38" s="452"/>
      <c r="AH38" s="36"/>
      <c r="AI38" s="36"/>
      <c r="AJ38" s="36"/>
      <c r="AK38" s="19"/>
    </row>
    <row r="39" spans="1:37">
      <c r="A39" s="64" t="s">
        <v>599</v>
      </c>
      <c r="B39" s="784" t="s">
        <v>58</v>
      </c>
      <c r="C39" s="784" t="s">
        <v>1394</v>
      </c>
      <c r="D39" s="134">
        <v>3509.28</v>
      </c>
      <c r="E39" s="67">
        <v>429151</v>
      </c>
      <c r="F39" s="146">
        <v>0</v>
      </c>
      <c r="G39" s="146">
        <v>0</v>
      </c>
      <c r="H39" s="91">
        <v>429151</v>
      </c>
      <c r="I39" s="67">
        <v>0</v>
      </c>
      <c r="J39" s="739">
        <v>429151</v>
      </c>
      <c r="K39" s="837" t="s">
        <v>621</v>
      </c>
      <c r="L39" s="740">
        <v>0</v>
      </c>
      <c r="M39" s="741">
        <v>3509.28</v>
      </c>
      <c r="N39" s="67">
        <v>5722</v>
      </c>
      <c r="O39" s="67">
        <v>434873</v>
      </c>
      <c r="Q39" s="674">
        <v>0</v>
      </c>
      <c r="R39" s="674" t="s">
        <v>1730</v>
      </c>
      <c r="S39" s="798" t="s">
        <v>801</v>
      </c>
      <c r="T39" s="798">
        <v>0</v>
      </c>
      <c r="U39" s="88">
        <v>434873</v>
      </c>
      <c r="V39" s="71">
        <v>123.92086125928965</v>
      </c>
      <c r="W39" s="449">
        <v>434873</v>
      </c>
      <c r="X39" s="67">
        <v>439811</v>
      </c>
      <c r="Y39" s="163">
        <v>-4938</v>
      </c>
      <c r="Z39" s="166">
        <v>-1.1227550015802243E-2</v>
      </c>
      <c r="AA39" s="34" t="s">
        <v>621</v>
      </c>
      <c r="AC39" s="67"/>
      <c r="AD39" s="451"/>
      <c r="AE39" s="452"/>
      <c r="AH39" s="36"/>
      <c r="AI39" s="36"/>
      <c r="AJ39" s="36"/>
      <c r="AK39" s="19"/>
    </row>
    <row r="40" spans="1:37">
      <c r="A40" s="64" t="s">
        <v>599</v>
      </c>
      <c r="B40" s="784" t="s">
        <v>60</v>
      </c>
      <c r="C40" s="784" t="s">
        <v>1395</v>
      </c>
      <c r="D40" s="134">
        <v>205.29</v>
      </c>
      <c r="E40" s="67">
        <v>25105</v>
      </c>
      <c r="F40" s="146">
        <v>0</v>
      </c>
      <c r="G40" s="146">
        <v>0</v>
      </c>
      <c r="H40" s="91">
        <v>25105</v>
      </c>
      <c r="I40" s="67">
        <v>0</v>
      </c>
      <c r="J40" s="739">
        <v>25105</v>
      </c>
      <c r="K40" s="837" t="s">
        <v>621</v>
      </c>
      <c r="L40" s="740">
        <v>0</v>
      </c>
      <c r="M40" s="741">
        <v>205.29</v>
      </c>
      <c r="N40" s="67">
        <v>335</v>
      </c>
      <c r="O40" s="67">
        <v>25440</v>
      </c>
      <c r="Q40" s="674">
        <v>0</v>
      </c>
      <c r="R40" s="674" t="s">
        <v>1730</v>
      </c>
      <c r="S40" s="798" t="s">
        <v>801</v>
      </c>
      <c r="T40" s="798">
        <v>0</v>
      </c>
      <c r="U40" s="88">
        <v>25440</v>
      </c>
      <c r="V40" s="71">
        <v>123.92225632032735</v>
      </c>
      <c r="W40" s="449">
        <v>25440</v>
      </c>
      <c r="X40" s="67">
        <v>26058</v>
      </c>
      <c r="Y40" s="163">
        <v>-618</v>
      </c>
      <c r="Z40" s="166">
        <v>-2.3716325120884181E-2</v>
      </c>
      <c r="AA40" s="34" t="s">
        <v>621</v>
      </c>
      <c r="AC40" s="67"/>
      <c r="AD40" s="451"/>
      <c r="AE40" s="452"/>
      <c r="AH40" s="36"/>
      <c r="AI40" s="36"/>
      <c r="AJ40" s="36"/>
      <c r="AK40" s="19"/>
    </row>
    <row r="41" spans="1:37">
      <c r="A41" s="64" t="s">
        <v>599</v>
      </c>
      <c r="B41" s="784" t="s">
        <v>62</v>
      </c>
      <c r="C41" s="784" t="s">
        <v>1396</v>
      </c>
      <c r="D41" s="134">
        <v>832.43000000000006</v>
      </c>
      <c r="E41" s="67">
        <v>101798</v>
      </c>
      <c r="F41" s="146">
        <v>0</v>
      </c>
      <c r="G41" s="146">
        <v>0</v>
      </c>
      <c r="H41" s="91">
        <v>101798</v>
      </c>
      <c r="I41" s="67">
        <v>0</v>
      </c>
      <c r="J41" s="739">
        <v>101798</v>
      </c>
      <c r="K41" s="837" t="s">
        <v>621</v>
      </c>
      <c r="L41" s="740">
        <v>0</v>
      </c>
      <c r="M41" s="741">
        <v>832.43000000000006</v>
      </c>
      <c r="N41" s="67">
        <v>1357</v>
      </c>
      <c r="O41" s="67">
        <v>103155</v>
      </c>
      <c r="Q41" s="674">
        <v>0</v>
      </c>
      <c r="R41" s="674" t="s">
        <v>1730</v>
      </c>
      <c r="S41" s="798" t="s">
        <v>801</v>
      </c>
      <c r="T41" s="798">
        <v>0</v>
      </c>
      <c r="U41" s="88">
        <v>103155</v>
      </c>
      <c r="V41" s="71">
        <v>123.92032963732686</v>
      </c>
      <c r="W41" s="449">
        <v>103155</v>
      </c>
      <c r="X41" s="67">
        <v>101574</v>
      </c>
      <c r="Y41" s="163">
        <v>1581</v>
      </c>
      <c r="Z41" s="166">
        <v>1.5565006793076968E-2</v>
      </c>
      <c r="AA41" s="34" t="s">
        <v>621</v>
      </c>
      <c r="AC41" s="67"/>
      <c r="AD41" s="451"/>
      <c r="AE41" s="452"/>
      <c r="AH41" s="36"/>
      <c r="AI41" s="36"/>
      <c r="AJ41" s="36"/>
      <c r="AK41" s="19"/>
    </row>
    <row r="42" spans="1:37">
      <c r="A42" s="64" t="s">
        <v>599</v>
      </c>
      <c r="B42" s="784" t="s">
        <v>64</v>
      </c>
      <c r="C42" s="784" t="s">
        <v>1397</v>
      </c>
      <c r="D42" s="134">
        <v>94.15</v>
      </c>
      <c r="E42" s="67">
        <v>11514</v>
      </c>
      <c r="F42" s="146">
        <v>0</v>
      </c>
      <c r="G42" s="146">
        <v>0</v>
      </c>
      <c r="H42" s="91">
        <v>11514</v>
      </c>
      <c r="I42" s="67">
        <v>0</v>
      </c>
      <c r="J42" s="739">
        <v>11514</v>
      </c>
      <c r="K42" s="837" t="s">
        <v>621</v>
      </c>
      <c r="L42" s="740">
        <v>0</v>
      </c>
      <c r="M42" s="741">
        <v>94.15</v>
      </c>
      <c r="N42" s="67">
        <v>154</v>
      </c>
      <c r="O42" s="67">
        <v>11668</v>
      </c>
      <c r="Q42" s="674">
        <v>0</v>
      </c>
      <c r="R42" s="674" t="s">
        <v>1730</v>
      </c>
      <c r="S42" s="798" t="s">
        <v>801</v>
      </c>
      <c r="T42" s="798">
        <v>0</v>
      </c>
      <c r="U42" s="88">
        <v>11668</v>
      </c>
      <c r="V42" s="71">
        <v>123.92989909718534</v>
      </c>
      <c r="W42" s="449">
        <v>11668</v>
      </c>
      <c r="X42" s="67">
        <v>10767</v>
      </c>
      <c r="Y42" s="163">
        <v>901</v>
      </c>
      <c r="Z42" s="166">
        <v>8.3681619764093995E-2</v>
      </c>
      <c r="AA42" s="34" t="s">
        <v>621</v>
      </c>
      <c r="AC42" s="67"/>
      <c r="AD42" s="451"/>
      <c r="AE42" s="452"/>
      <c r="AH42" s="36"/>
      <c r="AI42" s="36"/>
      <c r="AJ42" s="36"/>
      <c r="AK42" s="19"/>
    </row>
    <row r="43" spans="1:37">
      <c r="A43" s="64" t="s">
        <v>599</v>
      </c>
      <c r="B43" s="784" t="s">
        <v>651</v>
      </c>
      <c r="C43" s="784" t="s">
        <v>652</v>
      </c>
      <c r="D43" s="134">
        <v>0</v>
      </c>
      <c r="E43" s="67">
        <v>0</v>
      </c>
      <c r="F43" s="146">
        <v>0</v>
      </c>
      <c r="G43" s="146">
        <v>0</v>
      </c>
      <c r="H43" s="91">
        <v>0</v>
      </c>
      <c r="I43" s="67">
        <v>0</v>
      </c>
      <c r="J43" s="739">
        <v>0</v>
      </c>
      <c r="K43" s="837" t="s">
        <v>644</v>
      </c>
      <c r="L43" s="740">
        <v>0</v>
      </c>
      <c r="M43" s="741">
        <v>0</v>
      </c>
      <c r="N43" s="67">
        <v>0</v>
      </c>
      <c r="O43" s="67">
        <v>0</v>
      </c>
      <c r="Q43" s="674">
        <v>0</v>
      </c>
      <c r="R43" s="674" t="s">
        <v>1730</v>
      </c>
      <c r="S43" s="798" t="s">
        <v>801</v>
      </c>
      <c r="T43" s="798">
        <v>0</v>
      </c>
      <c r="U43" s="88">
        <v>0</v>
      </c>
      <c r="V43" s="71">
        <v>0</v>
      </c>
      <c r="W43" s="449">
        <v>0</v>
      </c>
      <c r="X43" s="67">
        <v>0</v>
      </c>
      <c r="Y43" s="163">
        <v>0</v>
      </c>
      <c r="Z43" s="166">
        <v>0</v>
      </c>
      <c r="AA43" s="34" t="s">
        <v>644</v>
      </c>
      <c r="AC43" s="67"/>
      <c r="AD43" s="451"/>
      <c r="AE43" s="452"/>
      <c r="AH43" s="36"/>
      <c r="AI43" s="36"/>
      <c r="AJ43" s="36"/>
      <c r="AK43" s="19"/>
    </row>
    <row r="44" spans="1:37">
      <c r="A44" s="64" t="s">
        <v>596</v>
      </c>
      <c r="B44" s="784" t="s">
        <v>66</v>
      </c>
      <c r="C44" s="784" t="s">
        <v>758</v>
      </c>
      <c r="D44" s="134">
        <v>2</v>
      </c>
      <c r="E44" s="67">
        <v>245</v>
      </c>
      <c r="F44" s="146">
        <v>0</v>
      </c>
      <c r="G44" s="146">
        <v>0</v>
      </c>
      <c r="H44" s="91">
        <v>245</v>
      </c>
      <c r="I44" s="67">
        <v>0</v>
      </c>
      <c r="J44" s="739">
        <v>245</v>
      </c>
      <c r="K44" s="837" t="s">
        <v>644</v>
      </c>
      <c r="L44" s="740">
        <v>245</v>
      </c>
      <c r="M44" s="741">
        <v>0</v>
      </c>
      <c r="N44" s="67">
        <v>0</v>
      </c>
      <c r="O44" s="67">
        <v>0</v>
      </c>
      <c r="Q44" s="674">
        <v>0</v>
      </c>
      <c r="R44" s="674" t="s">
        <v>1730</v>
      </c>
      <c r="S44" s="798" t="s">
        <v>801</v>
      </c>
      <c r="T44" s="798">
        <v>0</v>
      </c>
      <c r="U44" s="88">
        <v>0</v>
      </c>
      <c r="V44" s="71">
        <v>0</v>
      </c>
      <c r="W44" s="449">
        <v>0</v>
      </c>
      <c r="X44" s="67">
        <v>0</v>
      </c>
      <c r="Y44" s="163">
        <v>0</v>
      </c>
      <c r="Z44" s="166">
        <v>0</v>
      </c>
      <c r="AA44" s="34" t="s">
        <v>644</v>
      </c>
      <c r="AC44" s="67"/>
      <c r="AD44" s="451"/>
      <c r="AE44" s="452"/>
      <c r="AH44" s="36"/>
      <c r="AI44" s="36"/>
      <c r="AJ44" s="36"/>
      <c r="AK44" s="19"/>
    </row>
    <row r="45" spans="1:37">
      <c r="A45" s="64" t="s">
        <v>596</v>
      </c>
      <c r="B45" s="784" t="s">
        <v>68</v>
      </c>
      <c r="C45" s="784" t="s">
        <v>1398</v>
      </c>
      <c r="D45" s="134">
        <v>0</v>
      </c>
      <c r="E45" s="67">
        <v>0</v>
      </c>
      <c r="F45" s="146">
        <v>0</v>
      </c>
      <c r="G45" s="146">
        <v>0</v>
      </c>
      <c r="H45" s="91">
        <v>0</v>
      </c>
      <c r="I45" s="67">
        <v>0</v>
      </c>
      <c r="J45" s="739">
        <v>0</v>
      </c>
      <c r="K45" s="837" t="s">
        <v>644</v>
      </c>
      <c r="L45" s="740">
        <v>0</v>
      </c>
      <c r="M45" s="741">
        <v>0</v>
      </c>
      <c r="N45" s="67">
        <v>0</v>
      </c>
      <c r="O45" s="67">
        <v>0</v>
      </c>
      <c r="Q45" s="674">
        <v>0</v>
      </c>
      <c r="R45" s="674" t="s">
        <v>1730</v>
      </c>
      <c r="S45" s="798" t="s">
        <v>801</v>
      </c>
      <c r="T45" s="798">
        <v>0</v>
      </c>
      <c r="U45" s="88">
        <v>0</v>
      </c>
      <c r="V45" s="71">
        <v>0</v>
      </c>
      <c r="W45" s="449">
        <v>0</v>
      </c>
      <c r="X45" s="67">
        <v>0</v>
      </c>
      <c r="Y45" s="163">
        <v>0</v>
      </c>
      <c r="Z45" s="166">
        <v>0</v>
      </c>
      <c r="AA45" s="34" t="s">
        <v>644</v>
      </c>
      <c r="AC45" s="67"/>
      <c r="AD45" s="451"/>
      <c r="AE45" s="452"/>
      <c r="AH45" s="36"/>
      <c r="AI45" s="36"/>
      <c r="AJ45" s="36"/>
      <c r="AK45" s="19"/>
    </row>
    <row r="46" spans="1:37">
      <c r="A46" s="64" t="s">
        <v>599</v>
      </c>
      <c r="B46" s="784" t="s">
        <v>70</v>
      </c>
      <c r="C46" s="784" t="s">
        <v>1399</v>
      </c>
      <c r="D46" s="134">
        <v>358.71</v>
      </c>
      <c r="E46" s="67">
        <v>43867</v>
      </c>
      <c r="F46" s="146">
        <v>0</v>
      </c>
      <c r="G46" s="146">
        <v>0</v>
      </c>
      <c r="H46" s="91">
        <v>43867</v>
      </c>
      <c r="I46" s="67">
        <v>0</v>
      </c>
      <c r="J46" s="739">
        <v>43867</v>
      </c>
      <c r="K46" s="837" t="s">
        <v>621</v>
      </c>
      <c r="L46" s="740">
        <v>0</v>
      </c>
      <c r="M46" s="741">
        <v>358.71</v>
      </c>
      <c r="N46" s="67">
        <v>585</v>
      </c>
      <c r="O46" s="67">
        <v>44452</v>
      </c>
      <c r="Q46" s="674">
        <v>0</v>
      </c>
      <c r="R46" s="674" t="s">
        <v>1730</v>
      </c>
      <c r="S46" s="798" t="s">
        <v>801</v>
      </c>
      <c r="T46" s="798">
        <v>0</v>
      </c>
      <c r="U46" s="88">
        <v>44452</v>
      </c>
      <c r="V46" s="71">
        <v>123.92183100554766</v>
      </c>
      <c r="W46" s="449">
        <v>44452</v>
      </c>
      <c r="X46" s="67">
        <v>54710</v>
      </c>
      <c r="Y46" s="163">
        <v>-10258</v>
      </c>
      <c r="Z46" s="166">
        <v>-0.18749771522573569</v>
      </c>
      <c r="AA46" s="34" t="s">
        <v>621</v>
      </c>
      <c r="AC46" s="67"/>
      <c r="AD46" s="451"/>
      <c r="AE46" s="452"/>
      <c r="AH46" s="36"/>
      <c r="AI46" s="36"/>
      <c r="AJ46" s="36"/>
      <c r="AK46" s="19"/>
    </row>
    <row r="47" spans="1:37">
      <c r="A47" s="64" t="s">
        <v>599</v>
      </c>
      <c r="B47" s="784" t="s">
        <v>72</v>
      </c>
      <c r="C47" s="784" t="s">
        <v>1400</v>
      </c>
      <c r="D47" s="134">
        <v>0</v>
      </c>
      <c r="E47" s="67">
        <v>0</v>
      </c>
      <c r="F47" s="146">
        <v>0</v>
      </c>
      <c r="G47" s="146">
        <v>0</v>
      </c>
      <c r="H47" s="91">
        <v>0</v>
      </c>
      <c r="I47" s="67">
        <v>0</v>
      </c>
      <c r="J47" s="739">
        <v>0</v>
      </c>
      <c r="K47" s="837" t="s">
        <v>644</v>
      </c>
      <c r="L47" s="740">
        <v>0</v>
      </c>
      <c r="M47" s="741">
        <v>0</v>
      </c>
      <c r="N47" s="67">
        <v>0</v>
      </c>
      <c r="O47" s="67">
        <v>0</v>
      </c>
      <c r="Q47" s="674">
        <v>0</v>
      </c>
      <c r="R47" s="674" t="s">
        <v>1730</v>
      </c>
      <c r="S47" s="798" t="s">
        <v>801</v>
      </c>
      <c r="T47" s="798">
        <v>0</v>
      </c>
      <c r="U47" s="88">
        <v>0</v>
      </c>
      <c r="V47" s="71">
        <v>0</v>
      </c>
      <c r="W47" s="449">
        <v>0</v>
      </c>
      <c r="X47" s="67">
        <v>0</v>
      </c>
      <c r="Y47" s="163">
        <v>0</v>
      </c>
      <c r="Z47" s="166">
        <v>0</v>
      </c>
      <c r="AA47" s="34" t="s">
        <v>644</v>
      </c>
      <c r="AC47" s="67"/>
      <c r="AD47" s="451"/>
      <c r="AE47" s="452"/>
      <c r="AH47" s="36"/>
      <c r="AI47" s="36"/>
      <c r="AJ47" s="36"/>
      <c r="AK47" s="19"/>
    </row>
    <row r="48" spans="1:37">
      <c r="A48" s="64" t="s">
        <v>599</v>
      </c>
      <c r="B48" s="784" t="s">
        <v>74</v>
      </c>
      <c r="C48" s="784" t="s">
        <v>1401</v>
      </c>
      <c r="D48" s="134">
        <v>31.15</v>
      </c>
      <c r="E48" s="67">
        <v>3809</v>
      </c>
      <c r="F48" s="146">
        <v>0</v>
      </c>
      <c r="G48" s="146">
        <v>0</v>
      </c>
      <c r="H48" s="91">
        <v>3809</v>
      </c>
      <c r="I48" s="67">
        <v>0</v>
      </c>
      <c r="J48" s="739">
        <v>3809</v>
      </c>
      <c r="K48" s="837" t="s">
        <v>644</v>
      </c>
      <c r="L48" s="740">
        <v>3809</v>
      </c>
      <c r="M48" s="741">
        <v>0</v>
      </c>
      <c r="N48" s="67">
        <v>0</v>
      </c>
      <c r="O48" s="67">
        <v>0</v>
      </c>
      <c r="Q48" s="674">
        <v>0</v>
      </c>
      <c r="R48" s="674" t="s">
        <v>1730</v>
      </c>
      <c r="S48" s="798" t="s">
        <v>801</v>
      </c>
      <c r="T48" s="798">
        <v>0</v>
      </c>
      <c r="U48" s="88">
        <v>0</v>
      </c>
      <c r="V48" s="71">
        <v>0</v>
      </c>
      <c r="W48" s="449">
        <v>0</v>
      </c>
      <c r="X48" s="67">
        <v>0</v>
      </c>
      <c r="Y48" s="163">
        <v>0</v>
      </c>
      <c r="Z48" s="166">
        <v>0</v>
      </c>
      <c r="AA48" s="34" t="s">
        <v>644</v>
      </c>
      <c r="AC48" s="67"/>
      <c r="AD48" s="451"/>
      <c r="AE48" s="452"/>
      <c r="AH48" s="36"/>
      <c r="AI48" s="36"/>
      <c r="AJ48" s="36"/>
      <c r="AK48" s="19"/>
    </row>
    <row r="49" spans="1:37">
      <c r="A49" s="64" t="s">
        <v>599</v>
      </c>
      <c r="B49" s="784" t="s">
        <v>76</v>
      </c>
      <c r="C49" s="784" t="s">
        <v>1402</v>
      </c>
      <c r="D49" s="134">
        <v>0</v>
      </c>
      <c r="E49" s="67">
        <v>0</v>
      </c>
      <c r="F49" s="146">
        <v>0</v>
      </c>
      <c r="G49" s="146">
        <v>0</v>
      </c>
      <c r="H49" s="91">
        <v>0</v>
      </c>
      <c r="I49" s="67">
        <v>0</v>
      </c>
      <c r="J49" s="739">
        <v>0</v>
      </c>
      <c r="K49" s="837" t="s">
        <v>644</v>
      </c>
      <c r="L49" s="740">
        <v>0</v>
      </c>
      <c r="M49" s="741">
        <v>0</v>
      </c>
      <c r="N49" s="67">
        <v>0</v>
      </c>
      <c r="O49" s="67">
        <v>0</v>
      </c>
      <c r="Q49" s="674">
        <v>0</v>
      </c>
      <c r="R49" s="674" t="s">
        <v>1730</v>
      </c>
      <c r="S49" s="798" t="s">
        <v>801</v>
      </c>
      <c r="T49" s="798">
        <v>0</v>
      </c>
      <c r="U49" s="88">
        <v>0</v>
      </c>
      <c r="V49" s="71">
        <v>0</v>
      </c>
      <c r="W49" s="449">
        <v>0</v>
      </c>
      <c r="X49" s="67">
        <v>0</v>
      </c>
      <c r="Y49" s="163">
        <v>0</v>
      </c>
      <c r="Z49" s="166">
        <v>0</v>
      </c>
      <c r="AA49" s="34" t="s">
        <v>644</v>
      </c>
      <c r="AC49" s="67"/>
      <c r="AD49" s="451"/>
      <c r="AE49" s="452"/>
      <c r="AH49" s="36"/>
      <c r="AI49" s="36"/>
      <c r="AJ49" s="36"/>
      <c r="AK49" s="19"/>
    </row>
    <row r="50" spans="1:37">
      <c r="A50" s="64" t="s">
        <v>599</v>
      </c>
      <c r="B50" s="784" t="s">
        <v>78</v>
      </c>
      <c r="C50" s="784" t="s">
        <v>1403</v>
      </c>
      <c r="D50" s="134">
        <v>203.14</v>
      </c>
      <c r="E50" s="67">
        <v>24842</v>
      </c>
      <c r="F50" s="146">
        <v>0</v>
      </c>
      <c r="G50" s="146">
        <v>0</v>
      </c>
      <c r="H50" s="91">
        <v>24842</v>
      </c>
      <c r="I50" s="67">
        <v>0</v>
      </c>
      <c r="J50" s="739">
        <v>24842</v>
      </c>
      <c r="K50" s="837" t="s">
        <v>621</v>
      </c>
      <c r="L50" s="740">
        <v>0</v>
      </c>
      <c r="M50" s="741">
        <v>203.14</v>
      </c>
      <c r="N50" s="67">
        <v>331</v>
      </c>
      <c r="O50" s="67">
        <v>25173</v>
      </c>
      <c r="Q50" s="674">
        <v>0</v>
      </c>
      <c r="R50" s="674" t="s">
        <v>1730</v>
      </c>
      <c r="S50" s="798" t="s">
        <v>801</v>
      </c>
      <c r="T50" s="798">
        <v>0</v>
      </c>
      <c r="U50" s="88">
        <v>25173</v>
      </c>
      <c r="V50" s="71">
        <v>123.91946440878213</v>
      </c>
      <c r="W50" s="449">
        <v>25173</v>
      </c>
      <c r="X50" s="67">
        <v>22243</v>
      </c>
      <c r="Y50" s="163">
        <v>2930</v>
      </c>
      <c r="Z50" s="166">
        <v>0.13172683540889268</v>
      </c>
      <c r="AA50" s="34" t="s">
        <v>621</v>
      </c>
      <c r="AC50" s="67"/>
      <c r="AD50" s="451"/>
      <c r="AE50" s="452"/>
      <c r="AH50" s="36"/>
      <c r="AI50" s="36"/>
      <c r="AJ50" s="36"/>
      <c r="AK50" s="19"/>
    </row>
    <row r="51" spans="1:37">
      <c r="A51" s="64" t="s">
        <v>599</v>
      </c>
      <c r="B51" s="784" t="s">
        <v>80</v>
      </c>
      <c r="C51" s="784" t="s">
        <v>1404</v>
      </c>
      <c r="D51" s="134">
        <v>299</v>
      </c>
      <c r="E51" s="67">
        <v>36565</v>
      </c>
      <c r="F51" s="146">
        <v>0</v>
      </c>
      <c r="G51" s="146">
        <v>0</v>
      </c>
      <c r="H51" s="91">
        <v>36565</v>
      </c>
      <c r="I51" s="67">
        <v>0</v>
      </c>
      <c r="J51" s="739">
        <v>36565</v>
      </c>
      <c r="K51" s="837" t="s">
        <v>621</v>
      </c>
      <c r="L51" s="740">
        <v>0</v>
      </c>
      <c r="M51" s="741">
        <v>299</v>
      </c>
      <c r="N51" s="67">
        <v>488</v>
      </c>
      <c r="O51" s="67">
        <v>37053</v>
      </c>
      <c r="Q51" s="674">
        <v>0</v>
      </c>
      <c r="R51" s="674" t="s">
        <v>1730</v>
      </c>
      <c r="S51" s="798" t="s">
        <v>801</v>
      </c>
      <c r="T51" s="798">
        <v>0</v>
      </c>
      <c r="U51" s="88">
        <v>37053</v>
      </c>
      <c r="V51" s="71">
        <v>123.92307692307692</v>
      </c>
      <c r="W51" s="449">
        <v>37053</v>
      </c>
      <c r="X51" s="67">
        <v>37271</v>
      </c>
      <c r="Y51" s="163">
        <v>-218</v>
      </c>
      <c r="Z51" s="166">
        <v>-5.8490515414128946E-3</v>
      </c>
      <c r="AA51" s="34" t="s">
        <v>621</v>
      </c>
      <c r="AC51" s="67"/>
      <c r="AD51" s="451"/>
      <c r="AE51" s="452"/>
      <c r="AH51" s="36"/>
      <c r="AI51" s="36"/>
      <c r="AJ51" s="36"/>
      <c r="AK51" s="19"/>
    </row>
    <row r="52" spans="1:37">
      <c r="A52" s="64" t="s">
        <v>601</v>
      </c>
      <c r="B52" s="784" t="s">
        <v>82</v>
      </c>
      <c r="C52" s="784" t="s">
        <v>1405</v>
      </c>
      <c r="D52" s="134">
        <v>74.289999999999992</v>
      </c>
      <c r="E52" s="67">
        <v>9085</v>
      </c>
      <c r="F52" s="146">
        <v>0</v>
      </c>
      <c r="G52" s="146">
        <v>0</v>
      </c>
      <c r="H52" s="91">
        <v>9085</v>
      </c>
      <c r="I52" s="67">
        <v>0</v>
      </c>
      <c r="J52" s="739">
        <v>9085</v>
      </c>
      <c r="K52" s="837" t="s">
        <v>1306</v>
      </c>
      <c r="L52" s="740">
        <v>0</v>
      </c>
      <c r="M52" s="741">
        <v>74.289999999999992</v>
      </c>
      <c r="N52" s="67">
        <v>121</v>
      </c>
      <c r="O52" s="67">
        <v>9206</v>
      </c>
      <c r="Q52" s="674">
        <v>0</v>
      </c>
      <c r="R52" s="674" t="s">
        <v>1730</v>
      </c>
      <c r="S52" s="798" t="s">
        <v>801</v>
      </c>
      <c r="T52" s="798">
        <v>0</v>
      </c>
      <c r="U52" s="88">
        <v>9206</v>
      </c>
      <c r="V52" s="71">
        <v>123.91977385920045</v>
      </c>
      <c r="W52" s="449">
        <v>0</v>
      </c>
      <c r="X52" s="67">
        <v>11693</v>
      </c>
      <c r="Y52" s="163">
        <v>-2487</v>
      </c>
      <c r="Z52" s="166">
        <v>-0.21269135380141965</v>
      </c>
      <c r="AA52" s="34" t="s">
        <v>1306</v>
      </c>
      <c r="AC52" s="67"/>
      <c r="AD52" s="451"/>
      <c r="AE52" s="452"/>
      <c r="AH52" s="36"/>
      <c r="AI52" s="36"/>
      <c r="AJ52" s="36"/>
      <c r="AK52" s="19"/>
    </row>
    <row r="53" spans="1:37">
      <c r="A53" s="64" t="s">
        <v>601</v>
      </c>
      <c r="B53" s="784" t="s">
        <v>84</v>
      </c>
      <c r="C53" s="784" t="s">
        <v>1406</v>
      </c>
      <c r="D53" s="134">
        <v>422.43</v>
      </c>
      <c r="E53" s="67">
        <v>51659</v>
      </c>
      <c r="F53" s="146">
        <v>0</v>
      </c>
      <c r="G53" s="146">
        <v>0</v>
      </c>
      <c r="H53" s="91">
        <v>51659</v>
      </c>
      <c r="I53" s="67">
        <v>0</v>
      </c>
      <c r="J53" s="739">
        <v>51659</v>
      </c>
      <c r="K53" s="837" t="s">
        <v>621</v>
      </c>
      <c r="L53" s="740">
        <v>0</v>
      </c>
      <c r="M53" s="741">
        <v>422.43</v>
      </c>
      <c r="N53" s="67">
        <v>689</v>
      </c>
      <c r="O53" s="67">
        <v>52348</v>
      </c>
      <c r="Q53" s="674">
        <v>0</v>
      </c>
      <c r="R53" s="674" t="s">
        <v>1730</v>
      </c>
      <c r="S53" s="798" t="s">
        <v>801</v>
      </c>
      <c r="T53" s="798">
        <v>0</v>
      </c>
      <c r="U53" s="88">
        <v>52348</v>
      </c>
      <c r="V53" s="71">
        <v>123.92112302630021</v>
      </c>
      <c r="W53" s="449">
        <v>52348</v>
      </c>
      <c r="X53" s="67">
        <v>52423</v>
      </c>
      <c r="Y53" s="163">
        <v>-75</v>
      </c>
      <c r="Z53" s="166">
        <v>-1.4306697441962498E-3</v>
      </c>
      <c r="AA53" s="34" t="s">
        <v>621</v>
      </c>
      <c r="AC53" s="67"/>
      <c r="AD53" s="451"/>
      <c r="AE53" s="452"/>
      <c r="AH53" s="36"/>
      <c r="AI53" s="36"/>
      <c r="AJ53" s="36"/>
      <c r="AK53" s="19"/>
    </row>
    <row r="54" spans="1:37">
      <c r="A54" s="64" t="s">
        <v>601</v>
      </c>
      <c r="B54" s="784" t="s">
        <v>86</v>
      </c>
      <c r="C54" s="784" t="s">
        <v>1407</v>
      </c>
      <c r="D54" s="134">
        <v>12.57</v>
      </c>
      <c r="E54" s="67">
        <v>1537</v>
      </c>
      <c r="F54" s="146">
        <v>0</v>
      </c>
      <c r="G54" s="146">
        <v>0</v>
      </c>
      <c r="H54" s="91">
        <v>1537</v>
      </c>
      <c r="I54" s="67">
        <v>0</v>
      </c>
      <c r="J54" s="739">
        <v>1537</v>
      </c>
      <c r="K54" s="837" t="s">
        <v>644</v>
      </c>
      <c r="L54" s="740">
        <v>1537</v>
      </c>
      <c r="M54" s="741">
        <v>0</v>
      </c>
      <c r="N54" s="67">
        <v>0</v>
      </c>
      <c r="O54" s="67">
        <v>0</v>
      </c>
      <c r="Q54" s="674">
        <v>0</v>
      </c>
      <c r="R54" s="674" t="s">
        <v>1730</v>
      </c>
      <c r="S54" s="798" t="s">
        <v>801</v>
      </c>
      <c r="T54" s="798">
        <v>0</v>
      </c>
      <c r="U54" s="88">
        <v>0</v>
      </c>
      <c r="V54" s="71">
        <v>0</v>
      </c>
      <c r="W54" s="449">
        <v>0</v>
      </c>
      <c r="X54" s="67">
        <v>0</v>
      </c>
      <c r="Y54" s="163">
        <v>0</v>
      </c>
      <c r="Z54" s="166">
        <v>0</v>
      </c>
      <c r="AA54" s="34" t="s">
        <v>644</v>
      </c>
      <c r="AC54" s="67"/>
      <c r="AD54" s="451"/>
      <c r="AE54" s="452"/>
      <c r="AH54" s="36"/>
      <c r="AI54" s="36"/>
      <c r="AJ54" s="36"/>
      <c r="AK54" s="19"/>
    </row>
    <row r="55" spans="1:37">
      <c r="A55" s="64" t="s">
        <v>601</v>
      </c>
      <c r="B55" s="784" t="s">
        <v>88</v>
      </c>
      <c r="C55" s="784" t="s">
        <v>1408</v>
      </c>
      <c r="D55" s="134">
        <v>1076.1399999999999</v>
      </c>
      <c r="E55" s="67">
        <v>131602</v>
      </c>
      <c r="F55" s="146">
        <v>0</v>
      </c>
      <c r="G55" s="146">
        <v>0</v>
      </c>
      <c r="H55" s="91">
        <v>131602</v>
      </c>
      <c r="I55" s="67">
        <v>0</v>
      </c>
      <c r="J55" s="739">
        <v>131602</v>
      </c>
      <c r="K55" s="837" t="s">
        <v>621</v>
      </c>
      <c r="L55" s="740">
        <v>0</v>
      </c>
      <c r="M55" s="741">
        <v>1076.1399999999999</v>
      </c>
      <c r="N55" s="67">
        <v>1755</v>
      </c>
      <c r="O55" s="67">
        <v>133357</v>
      </c>
      <c r="Q55" s="674">
        <v>0</v>
      </c>
      <c r="R55" s="674" t="s">
        <v>1730</v>
      </c>
      <c r="S55" s="798" t="s">
        <v>801</v>
      </c>
      <c r="T55" s="798">
        <v>0</v>
      </c>
      <c r="U55" s="88">
        <v>133357</v>
      </c>
      <c r="V55" s="71">
        <v>123.92160871262105</v>
      </c>
      <c r="W55" s="449">
        <v>133357</v>
      </c>
      <c r="X55" s="67">
        <v>139463</v>
      </c>
      <c r="Y55" s="163">
        <v>-6106</v>
      </c>
      <c r="Z55" s="166">
        <v>-4.3782221807934722E-2</v>
      </c>
      <c r="AA55" s="34" t="s">
        <v>621</v>
      </c>
      <c r="AC55" s="67"/>
      <c r="AD55" s="451"/>
      <c r="AE55" s="452"/>
      <c r="AH55" s="36"/>
      <c r="AI55" s="36"/>
      <c r="AJ55" s="36"/>
      <c r="AK55" s="19"/>
    </row>
    <row r="56" spans="1:37">
      <c r="A56" s="64" t="s">
        <v>601</v>
      </c>
      <c r="B56" s="784" t="s">
        <v>90</v>
      </c>
      <c r="C56" s="784" t="s">
        <v>1409</v>
      </c>
      <c r="D56" s="134">
        <v>7</v>
      </c>
      <c r="E56" s="67">
        <v>856</v>
      </c>
      <c r="F56" s="146">
        <v>0</v>
      </c>
      <c r="G56" s="146">
        <v>0</v>
      </c>
      <c r="H56" s="91">
        <v>856</v>
      </c>
      <c r="I56" s="67">
        <v>0</v>
      </c>
      <c r="J56" s="739">
        <v>856</v>
      </c>
      <c r="K56" s="837" t="s">
        <v>644</v>
      </c>
      <c r="L56" s="740">
        <v>856</v>
      </c>
      <c r="M56" s="741">
        <v>0</v>
      </c>
      <c r="N56" s="67">
        <v>0</v>
      </c>
      <c r="O56" s="67">
        <v>0</v>
      </c>
      <c r="Q56" s="674">
        <v>0</v>
      </c>
      <c r="R56" s="674" t="s">
        <v>1730</v>
      </c>
      <c r="S56" s="798" t="s">
        <v>801</v>
      </c>
      <c r="T56" s="798">
        <v>0</v>
      </c>
      <c r="U56" s="88">
        <v>0</v>
      </c>
      <c r="V56" s="71">
        <v>0</v>
      </c>
      <c r="W56" s="449">
        <v>0</v>
      </c>
      <c r="X56" s="67">
        <v>0</v>
      </c>
      <c r="Y56" s="163">
        <v>0</v>
      </c>
      <c r="Z56" s="166">
        <v>0</v>
      </c>
      <c r="AA56" s="34" t="s">
        <v>644</v>
      </c>
      <c r="AC56" s="67"/>
      <c r="AD56" s="451"/>
      <c r="AE56" s="452"/>
      <c r="AH56" s="36"/>
      <c r="AI56" s="36"/>
      <c r="AJ56" s="36"/>
      <c r="AK56" s="19"/>
    </row>
    <row r="57" spans="1:37">
      <c r="A57" s="64" t="s">
        <v>601</v>
      </c>
      <c r="B57" s="784" t="s">
        <v>92</v>
      </c>
      <c r="C57" s="784" t="s">
        <v>1410</v>
      </c>
      <c r="D57" s="134">
        <v>15.71</v>
      </c>
      <c r="E57" s="67">
        <v>1921</v>
      </c>
      <c r="F57" s="146">
        <v>0</v>
      </c>
      <c r="G57" s="146">
        <v>0</v>
      </c>
      <c r="H57" s="91">
        <v>1921</v>
      </c>
      <c r="I57" s="67">
        <v>0</v>
      </c>
      <c r="J57" s="739">
        <v>1921</v>
      </c>
      <c r="K57" s="837" t="s">
        <v>644</v>
      </c>
      <c r="L57" s="740">
        <v>1921</v>
      </c>
      <c r="M57" s="741">
        <v>0</v>
      </c>
      <c r="N57" s="67">
        <v>0</v>
      </c>
      <c r="O57" s="67">
        <v>0</v>
      </c>
      <c r="Q57" s="674">
        <v>0</v>
      </c>
      <c r="R57" s="674" t="s">
        <v>1730</v>
      </c>
      <c r="S57" s="798" t="s">
        <v>801</v>
      </c>
      <c r="T57" s="798">
        <v>0</v>
      </c>
      <c r="U57" s="88">
        <v>0</v>
      </c>
      <c r="V57" s="71">
        <v>0</v>
      </c>
      <c r="W57" s="449">
        <v>0</v>
      </c>
      <c r="X57" s="67">
        <v>0</v>
      </c>
      <c r="Y57" s="163">
        <v>0</v>
      </c>
      <c r="Z57" s="166">
        <v>0</v>
      </c>
      <c r="AA57" s="34" t="s">
        <v>644</v>
      </c>
      <c r="AC57" s="67"/>
      <c r="AD57" s="451"/>
      <c r="AE57" s="452"/>
      <c r="AH57" s="36"/>
      <c r="AI57" s="36"/>
      <c r="AJ57" s="36"/>
      <c r="AK57" s="19"/>
    </row>
    <row r="58" spans="1:37">
      <c r="A58" s="64" t="s">
        <v>603</v>
      </c>
      <c r="B58" s="784" t="s">
        <v>94</v>
      </c>
      <c r="C58" s="784" t="s">
        <v>1411</v>
      </c>
      <c r="D58" s="134">
        <v>0</v>
      </c>
      <c r="E58" s="67">
        <v>0</v>
      </c>
      <c r="F58" s="146">
        <v>0</v>
      </c>
      <c r="G58" s="146">
        <v>0</v>
      </c>
      <c r="H58" s="91">
        <v>0</v>
      </c>
      <c r="I58" s="67">
        <v>0</v>
      </c>
      <c r="J58" s="739">
        <v>0</v>
      </c>
      <c r="K58" s="837" t="s">
        <v>644</v>
      </c>
      <c r="L58" s="740">
        <v>0</v>
      </c>
      <c r="M58" s="741">
        <v>0</v>
      </c>
      <c r="N58" s="67">
        <v>0</v>
      </c>
      <c r="O58" s="67">
        <v>0</v>
      </c>
      <c r="Q58" s="674">
        <v>0</v>
      </c>
      <c r="R58" s="674" t="s">
        <v>1730</v>
      </c>
      <c r="S58" s="798" t="s">
        <v>801</v>
      </c>
      <c r="T58" s="798">
        <v>0</v>
      </c>
      <c r="U58" s="88">
        <v>0</v>
      </c>
      <c r="V58" s="71">
        <v>0</v>
      </c>
      <c r="W58" s="449">
        <v>0</v>
      </c>
      <c r="X58" s="67">
        <v>0</v>
      </c>
      <c r="Y58" s="163">
        <v>0</v>
      </c>
      <c r="Z58" s="166">
        <v>0</v>
      </c>
      <c r="AA58" s="34" t="s">
        <v>644</v>
      </c>
      <c r="AC58" s="67"/>
      <c r="AD58" s="451"/>
      <c r="AE58" s="452"/>
      <c r="AH58" s="36"/>
      <c r="AI58" s="36"/>
      <c r="AJ58" s="36"/>
      <c r="AK58" s="19"/>
    </row>
    <row r="59" spans="1:37">
      <c r="A59" s="64" t="s">
        <v>603</v>
      </c>
      <c r="B59" s="784" t="s">
        <v>96</v>
      </c>
      <c r="C59" s="784" t="s">
        <v>1412</v>
      </c>
      <c r="D59" s="134">
        <v>0</v>
      </c>
      <c r="E59" s="67">
        <v>0</v>
      </c>
      <c r="F59" s="146">
        <v>0</v>
      </c>
      <c r="G59" s="146">
        <v>0</v>
      </c>
      <c r="H59" s="91">
        <v>0</v>
      </c>
      <c r="I59" s="67">
        <v>0</v>
      </c>
      <c r="J59" s="739">
        <v>0</v>
      </c>
      <c r="K59" s="837" t="s">
        <v>644</v>
      </c>
      <c r="L59" s="740">
        <v>0</v>
      </c>
      <c r="M59" s="741">
        <v>0</v>
      </c>
      <c r="N59" s="67">
        <v>0</v>
      </c>
      <c r="O59" s="67">
        <v>0</v>
      </c>
      <c r="Q59" s="674">
        <v>0</v>
      </c>
      <c r="R59" s="674" t="s">
        <v>1730</v>
      </c>
      <c r="S59" s="798" t="s">
        <v>801</v>
      </c>
      <c r="T59" s="798">
        <v>0</v>
      </c>
      <c r="U59" s="88">
        <v>0</v>
      </c>
      <c r="V59" s="71">
        <v>0</v>
      </c>
      <c r="W59" s="449">
        <v>0</v>
      </c>
      <c r="X59" s="67">
        <v>0</v>
      </c>
      <c r="Y59" s="163">
        <v>0</v>
      </c>
      <c r="Z59" s="166">
        <v>0</v>
      </c>
      <c r="AA59" s="34" t="s">
        <v>644</v>
      </c>
      <c r="AC59" s="67"/>
      <c r="AD59" s="451"/>
      <c r="AE59" s="452"/>
      <c r="AH59" s="36"/>
      <c r="AI59" s="36"/>
      <c r="AJ59" s="36"/>
      <c r="AK59" s="19"/>
    </row>
    <row r="60" spans="1:37">
      <c r="A60" s="64" t="s">
        <v>603</v>
      </c>
      <c r="B60" s="784" t="s">
        <v>98</v>
      </c>
      <c r="C60" s="784" t="s">
        <v>1413</v>
      </c>
      <c r="D60" s="134">
        <v>0</v>
      </c>
      <c r="E60" s="67">
        <v>0</v>
      </c>
      <c r="F60" s="146">
        <v>0</v>
      </c>
      <c r="G60" s="146">
        <v>0</v>
      </c>
      <c r="H60" s="91">
        <v>0</v>
      </c>
      <c r="I60" s="67">
        <v>0</v>
      </c>
      <c r="J60" s="739">
        <v>0</v>
      </c>
      <c r="K60" s="837" t="s">
        <v>644</v>
      </c>
      <c r="L60" s="740">
        <v>0</v>
      </c>
      <c r="M60" s="741">
        <v>0</v>
      </c>
      <c r="N60" s="67">
        <v>0</v>
      </c>
      <c r="O60" s="67">
        <v>0</v>
      </c>
      <c r="Q60" s="674">
        <v>0</v>
      </c>
      <c r="R60" s="674" t="s">
        <v>1730</v>
      </c>
      <c r="S60" s="798" t="s">
        <v>801</v>
      </c>
      <c r="T60" s="798">
        <v>0</v>
      </c>
      <c r="U60" s="88">
        <v>0</v>
      </c>
      <c r="V60" s="71">
        <v>0</v>
      </c>
      <c r="W60" s="449">
        <v>0</v>
      </c>
      <c r="X60" s="67">
        <v>0</v>
      </c>
      <c r="Y60" s="163">
        <v>0</v>
      </c>
      <c r="Z60" s="166">
        <v>0</v>
      </c>
      <c r="AA60" s="34" t="s">
        <v>644</v>
      </c>
      <c r="AC60" s="67"/>
      <c r="AD60" s="451"/>
      <c r="AE60" s="452"/>
      <c r="AH60" s="36"/>
      <c r="AI60" s="36"/>
      <c r="AJ60" s="36"/>
      <c r="AK60" s="19"/>
    </row>
    <row r="61" spans="1:37">
      <c r="A61" s="64" t="s">
        <v>603</v>
      </c>
      <c r="B61" s="784" t="s">
        <v>100</v>
      </c>
      <c r="C61" s="784" t="s">
        <v>1414</v>
      </c>
      <c r="D61" s="134">
        <v>91</v>
      </c>
      <c r="E61" s="67">
        <v>11128</v>
      </c>
      <c r="F61" s="146">
        <v>0</v>
      </c>
      <c r="G61" s="146">
        <v>0</v>
      </c>
      <c r="H61" s="91">
        <v>11128</v>
      </c>
      <c r="I61" s="67">
        <v>0</v>
      </c>
      <c r="J61" s="739">
        <v>11128</v>
      </c>
      <c r="K61" s="837" t="s">
        <v>621</v>
      </c>
      <c r="L61" s="740">
        <v>0</v>
      </c>
      <c r="M61" s="741">
        <v>91</v>
      </c>
      <c r="N61" s="67">
        <v>148</v>
      </c>
      <c r="O61" s="67">
        <v>11276</v>
      </c>
      <c r="Q61" s="674">
        <v>0</v>
      </c>
      <c r="R61" s="674" t="s">
        <v>1730</v>
      </c>
      <c r="S61" s="798" t="s">
        <v>801</v>
      </c>
      <c r="T61" s="798">
        <v>0</v>
      </c>
      <c r="U61" s="88">
        <v>11276</v>
      </c>
      <c r="V61" s="71">
        <v>123.91208791208791</v>
      </c>
      <c r="W61" s="449">
        <v>11276</v>
      </c>
      <c r="X61" s="67">
        <v>4943</v>
      </c>
      <c r="Y61" s="163">
        <v>6333</v>
      </c>
      <c r="Z61" s="166">
        <v>1.2812057454986849</v>
      </c>
      <c r="AA61" s="34" t="s">
        <v>621</v>
      </c>
      <c r="AC61" s="67"/>
      <c r="AD61" s="451"/>
      <c r="AE61" s="452"/>
      <c r="AH61" s="36"/>
      <c r="AI61" s="36"/>
      <c r="AJ61" s="36"/>
      <c r="AK61" s="19"/>
    </row>
    <row r="62" spans="1:37">
      <c r="A62" s="64" t="s">
        <v>603</v>
      </c>
      <c r="B62" s="784" t="s">
        <v>102</v>
      </c>
      <c r="C62" s="784" t="s">
        <v>1415</v>
      </c>
      <c r="D62" s="134">
        <v>0</v>
      </c>
      <c r="E62" s="67">
        <v>0</v>
      </c>
      <c r="F62" s="146">
        <v>0</v>
      </c>
      <c r="G62" s="146">
        <v>0</v>
      </c>
      <c r="H62" s="91">
        <v>0</v>
      </c>
      <c r="I62" s="67">
        <v>0</v>
      </c>
      <c r="J62" s="739">
        <v>0</v>
      </c>
      <c r="K62" s="837" t="s">
        <v>644</v>
      </c>
      <c r="L62" s="740">
        <v>0</v>
      </c>
      <c r="M62" s="741">
        <v>0</v>
      </c>
      <c r="N62" s="67">
        <v>0</v>
      </c>
      <c r="O62" s="67">
        <v>0</v>
      </c>
      <c r="Q62" s="674">
        <v>0</v>
      </c>
      <c r="R62" s="674" t="s">
        <v>1730</v>
      </c>
      <c r="S62" s="798" t="s">
        <v>801</v>
      </c>
      <c r="T62" s="798">
        <v>0</v>
      </c>
      <c r="U62" s="88">
        <v>0</v>
      </c>
      <c r="V62" s="71">
        <v>0</v>
      </c>
      <c r="W62" s="449">
        <v>0</v>
      </c>
      <c r="X62" s="67">
        <v>0</v>
      </c>
      <c r="Y62" s="163">
        <v>0</v>
      </c>
      <c r="Z62" s="166">
        <v>0</v>
      </c>
      <c r="AA62" s="34" t="s">
        <v>644</v>
      </c>
      <c r="AC62" s="67"/>
      <c r="AD62" s="451"/>
      <c r="AE62" s="452"/>
      <c r="AH62" s="36"/>
      <c r="AI62" s="36"/>
      <c r="AJ62" s="36"/>
      <c r="AK62" s="19"/>
    </row>
    <row r="63" spans="1:37">
      <c r="A63" s="64" t="s">
        <v>596</v>
      </c>
      <c r="B63" s="784" t="s">
        <v>104</v>
      </c>
      <c r="C63" s="784" t="s">
        <v>1416</v>
      </c>
      <c r="D63" s="134">
        <v>6407.28</v>
      </c>
      <c r="E63" s="67">
        <v>783549</v>
      </c>
      <c r="F63" s="146">
        <v>0</v>
      </c>
      <c r="G63" s="146">
        <v>0</v>
      </c>
      <c r="H63" s="91">
        <v>783549</v>
      </c>
      <c r="I63" s="67">
        <v>0</v>
      </c>
      <c r="J63" s="739">
        <v>783549</v>
      </c>
      <c r="K63" s="837" t="s">
        <v>621</v>
      </c>
      <c r="L63" s="740">
        <v>0</v>
      </c>
      <c r="M63" s="741">
        <v>6407.28</v>
      </c>
      <c r="N63" s="67">
        <v>10447</v>
      </c>
      <c r="O63" s="67">
        <v>793996</v>
      </c>
      <c r="Q63" s="674">
        <v>0</v>
      </c>
      <c r="R63" s="674" t="s">
        <v>1730</v>
      </c>
      <c r="S63" s="798" t="s">
        <v>801</v>
      </c>
      <c r="T63" s="798">
        <v>0</v>
      </c>
      <c r="U63" s="88">
        <v>793996</v>
      </c>
      <c r="V63" s="71">
        <v>123.92091495923388</v>
      </c>
      <c r="W63" s="449">
        <v>793996</v>
      </c>
      <c r="X63" s="67">
        <v>795087</v>
      </c>
      <c r="Y63" s="163">
        <v>-1091</v>
      </c>
      <c r="Z63" s="166">
        <v>-1.3721768812721123E-3</v>
      </c>
      <c r="AA63" s="34" t="s">
        <v>621</v>
      </c>
      <c r="AC63" s="67"/>
      <c r="AD63" s="451"/>
      <c r="AE63" s="452"/>
      <c r="AH63" s="36"/>
      <c r="AI63" s="36"/>
      <c r="AJ63" s="36"/>
      <c r="AK63" s="19"/>
    </row>
    <row r="64" spans="1:37">
      <c r="A64" s="64" t="s">
        <v>596</v>
      </c>
      <c r="B64" s="784" t="s">
        <v>106</v>
      </c>
      <c r="C64" s="784" t="s">
        <v>1417</v>
      </c>
      <c r="D64" s="134">
        <v>762.85</v>
      </c>
      <c r="E64" s="67">
        <v>93289</v>
      </c>
      <c r="F64" s="146">
        <v>0</v>
      </c>
      <c r="G64" s="146">
        <v>0</v>
      </c>
      <c r="H64" s="91">
        <v>93289</v>
      </c>
      <c r="I64" s="67">
        <v>0</v>
      </c>
      <c r="J64" s="739">
        <v>93289</v>
      </c>
      <c r="K64" s="837" t="s">
        <v>621</v>
      </c>
      <c r="L64" s="740">
        <v>0</v>
      </c>
      <c r="M64" s="741">
        <v>762.85</v>
      </c>
      <c r="N64" s="67">
        <v>1244</v>
      </c>
      <c r="O64" s="67">
        <v>94533</v>
      </c>
      <c r="Q64" s="674">
        <v>0</v>
      </c>
      <c r="R64" s="674" t="s">
        <v>1730</v>
      </c>
      <c r="S64" s="798" t="s">
        <v>801</v>
      </c>
      <c r="T64" s="798">
        <v>0</v>
      </c>
      <c r="U64" s="88">
        <v>94533</v>
      </c>
      <c r="V64" s="71">
        <v>123.92082322868191</v>
      </c>
      <c r="W64" s="449">
        <v>94533</v>
      </c>
      <c r="X64" s="67">
        <v>90947</v>
      </c>
      <c r="Y64" s="163">
        <v>3586</v>
      </c>
      <c r="Z64" s="166">
        <v>3.9429557874366389E-2</v>
      </c>
      <c r="AA64" s="34" t="s">
        <v>621</v>
      </c>
      <c r="AC64" s="67"/>
      <c r="AD64" s="451"/>
      <c r="AE64" s="452"/>
      <c r="AH64" s="36"/>
      <c r="AI64" s="36"/>
      <c r="AJ64" s="36"/>
      <c r="AK64" s="19"/>
    </row>
    <row r="65" spans="1:37">
      <c r="A65" s="64" t="s">
        <v>596</v>
      </c>
      <c r="B65" s="784" t="s">
        <v>108</v>
      </c>
      <c r="C65" s="784" t="s">
        <v>1418</v>
      </c>
      <c r="D65" s="134">
        <v>0</v>
      </c>
      <c r="E65" s="67">
        <v>0</v>
      </c>
      <c r="F65" s="146">
        <v>0</v>
      </c>
      <c r="G65" s="146">
        <v>0</v>
      </c>
      <c r="H65" s="91">
        <v>0</v>
      </c>
      <c r="I65" s="67">
        <v>0</v>
      </c>
      <c r="J65" s="739">
        <v>0</v>
      </c>
      <c r="K65" s="837" t="s">
        <v>644</v>
      </c>
      <c r="L65" s="740">
        <v>0</v>
      </c>
      <c r="M65" s="741">
        <v>0</v>
      </c>
      <c r="N65" s="67">
        <v>0</v>
      </c>
      <c r="O65" s="67">
        <v>0</v>
      </c>
      <c r="Q65" s="674">
        <v>0</v>
      </c>
      <c r="R65" s="674" t="s">
        <v>1730</v>
      </c>
      <c r="S65" s="798" t="s">
        <v>801</v>
      </c>
      <c r="T65" s="798">
        <v>0</v>
      </c>
      <c r="U65" s="88">
        <v>0</v>
      </c>
      <c r="V65" s="71">
        <v>0</v>
      </c>
      <c r="W65" s="449">
        <v>0</v>
      </c>
      <c r="X65" s="67">
        <v>0</v>
      </c>
      <c r="Y65" s="163">
        <v>0</v>
      </c>
      <c r="Z65" s="166">
        <v>0</v>
      </c>
      <c r="AA65" s="34" t="s">
        <v>644</v>
      </c>
      <c r="AC65" s="67"/>
      <c r="AD65" s="451"/>
      <c r="AE65" s="452"/>
      <c r="AH65" s="36"/>
      <c r="AI65" s="36"/>
      <c r="AJ65" s="36"/>
      <c r="AK65" s="19"/>
    </row>
    <row r="66" spans="1:37">
      <c r="A66" s="64" t="s">
        <v>596</v>
      </c>
      <c r="B66" s="784" t="s">
        <v>110</v>
      </c>
      <c r="C66" s="784" t="s">
        <v>1419</v>
      </c>
      <c r="D66" s="134">
        <v>0</v>
      </c>
      <c r="E66" s="67">
        <v>0</v>
      </c>
      <c r="F66" s="146">
        <v>0</v>
      </c>
      <c r="G66" s="146">
        <v>0</v>
      </c>
      <c r="H66" s="91">
        <v>0</v>
      </c>
      <c r="I66" s="67">
        <v>0</v>
      </c>
      <c r="J66" s="739">
        <v>0</v>
      </c>
      <c r="K66" s="837" t="s">
        <v>644</v>
      </c>
      <c r="L66" s="740">
        <v>0</v>
      </c>
      <c r="M66" s="741">
        <v>0</v>
      </c>
      <c r="N66" s="67">
        <v>0</v>
      </c>
      <c r="O66" s="67">
        <v>0</v>
      </c>
      <c r="Q66" s="674">
        <v>0</v>
      </c>
      <c r="R66" s="674" t="s">
        <v>1730</v>
      </c>
      <c r="S66" s="798" t="s">
        <v>801</v>
      </c>
      <c r="T66" s="798">
        <v>0</v>
      </c>
      <c r="U66" s="88">
        <v>0</v>
      </c>
      <c r="V66" s="71">
        <v>0</v>
      </c>
      <c r="W66" s="449">
        <v>0</v>
      </c>
      <c r="X66" s="67">
        <v>0</v>
      </c>
      <c r="Y66" s="163">
        <v>0</v>
      </c>
      <c r="Z66" s="166">
        <v>0</v>
      </c>
      <c r="AA66" s="34" t="s">
        <v>644</v>
      </c>
      <c r="AC66" s="67"/>
      <c r="AD66" s="451"/>
      <c r="AE66" s="452"/>
      <c r="AH66" s="36"/>
      <c r="AI66" s="36"/>
      <c r="AJ66" s="36"/>
      <c r="AK66" s="19"/>
    </row>
    <row r="67" spans="1:37">
      <c r="A67" s="64" t="s">
        <v>596</v>
      </c>
      <c r="B67" s="784" t="s">
        <v>112</v>
      </c>
      <c r="C67" s="784" t="s">
        <v>1420</v>
      </c>
      <c r="D67" s="134">
        <v>3.43</v>
      </c>
      <c r="E67" s="67">
        <v>419</v>
      </c>
      <c r="F67" s="146">
        <v>0</v>
      </c>
      <c r="G67" s="146">
        <v>0</v>
      </c>
      <c r="H67" s="91">
        <v>419</v>
      </c>
      <c r="I67" s="67">
        <v>0</v>
      </c>
      <c r="J67" s="739">
        <v>419</v>
      </c>
      <c r="K67" s="837" t="s">
        <v>644</v>
      </c>
      <c r="L67" s="740">
        <v>419</v>
      </c>
      <c r="M67" s="741">
        <v>0</v>
      </c>
      <c r="N67" s="67">
        <v>0</v>
      </c>
      <c r="O67" s="67">
        <v>0</v>
      </c>
      <c r="Q67" s="674">
        <v>0</v>
      </c>
      <c r="R67" s="674" t="s">
        <v>1730</v>
      </c>
      <c r="S67" s="798" t="s">
        <v>801</v>
      </c>
      <c r="T67" s="798">
        <v>0</v>
      </c>
      <c r="U67" s="88">
        <v>0</v>
      </c>
      <c r="V67" s="71">
        <v>0</v>
      </c>
      <c r="W67" s="449">
        <v>0</v>
      </c>
      <c r="X67" s="67">
        <v>0</v>
      </c>
      <c r="Y67" s="163">
        <v>0</v>
      </c>
      <c r="Z67" s="166">
        <v>0</v>
      </c>
      <c r="AA67" s="34" t="s">
        <v>644</v>
      </c>
      <c r="AC67" s="67"/>
      <c r="AD67" s="451"/>
      <c r="AE67" s="452"/>
      <c r="AH67" s="36"/>
      <c r="AI67" s="36"/>
      <c r="AJ67" s="36"/>
      <c r="AK67" s="19"/>
    </row>
    <row r="68" spans="1:37">
      <c r="A68" s="64" t="s">
        <v>605</v>
      </c>
      <c r="B68" s="784" t="s">
        <v>114</v>
      </c>
      <c r="C68" s="784" t="s">
        <v>634</v>
      </c>
      <c r="D68" s="134">
        <v>1283.72</v>
      </c>
      <c r="E68" s="67">
        <v>156987</v>
      </c>
      <c r="F68" s="146">
        <v>0</v>
      </c>
      <c r="G68" s="146">
        <v>0</v>
      </c>
      <c r="H68" s="91">
        <v>156987</v>
      </c>
      <c r="I68" s="67">
        <v>0</v>
      </c>
      <c r="J68" s="739">
        <v>156987</v>
      </c>
      <c r="K68" s="837" t="s">
        <v>621</v>
      </c>
      <c r="L68" s="740">
        <v>0</v>
      </c>
      <c r="M68" s="741">
        <v>1283.72</v>
      </c>
      <c r="N68" s="67">
        <v>2093</v>
      </c>
      <c r="O68" s="67">
        <v>159080</v>
      </c>
      <c r="Q68" s="674">
        <v>0</v>
      </c>
      <c r="R68" s="674" t="s">
        <v>1730</v>
      </c>
      <c r="S68" s="798" t="s">
        <v>801</v>
      </c>
      <c r="T68" s="798">
        <v>0</v>
      </c>
      <c r="U68" s="88">
        <v>159080</v>
      </c>
      <c r="V68" s="71">
        <v>123.92110429065528</v>
      </c>
      <c r="W68" s="449">
        <v>159080</v>
      </c>
      <c r="X68" s="67">
        <v>172131</v>
      </c>
      <c r="Y68" s="163">
        <v>-13051</v>
      </c>
      <c r="Z68" s="166">
        <v>-7.5820160226804004E-2</v>
      </c>
      <c r="AA68" s="34" t="s">
        <v>621</v>
      </c>
      <c r="AC68" s="67"/>
      <c r="AD68" s="451"/>
      <c r="AE68" s="452"/>
      <c r="AH68" s="36"/>
      <c r="AI68" s="36"/>
      <c r="AJ68" s="36"/>
      <c r="AK68" s="19"/>
    </row>
    <row r="69" spans="1:37">
      <c r="A69" s="64" t="s">
        <v>601</v>
      </c>
      <c r="B69" s="784" t="s">
        <v>116</v>
      </c>
      <c r="C69" s="784" t="s">
        <v>1421</v>
      </c>
      <c r="D69" s="134">
        <v>1293.43</v>
      </c>
      <c r="E69" s="67">
        <v>158174</v>
      </c>
      <c r="F69" s="146">
        <v>0</v>
      </c>
      <c r="G69" s="146">
        <v>0</v>
      </c>
      <c r="H69" s="91">
        <v>158174</v>
      </c>
      <c r="I69" s="67">
        <v>0</v>
      </c>
      <c r="J69" s="739">
        <v>158174</v>
      </c>
      <c r="K69" s="837" t="s">
        <v>621</v>
      </c>
      <c r="L69" s="740">
        <v>0</v>
      </c>
      <c r="M69" s="741">
        <v>1293.43</v>
      </c>
      <c r="N69" s="67">
        <v>2109</v>
      </c>
      <c r="O69" s="67">
        <v>160283</v>
      </c>
      <c r="Q69" s="674">
        <v>0</v>
      </c>
      <c r="R69" s="674" t="s">
        <v>1730</v>
      </c>
      <c r="S69" s="798" t="s">
        <v>801</v>
      </c>
      <c r="T69" s="798">
        <v>0</v>
      </c>
      <c r="U69" s="88">
        <v>160283</v>
      </c>
      <c r="V69" s="71">
        <v>123.92089251061131</v>
      </c>
      <c r="W69" s="449">
        <v>160283</v>
      </c>
      <c r="X69" s="67">
        <v>151866</v>
      </c>
      <c r="Y69" s="163">
        <v>8417</v>
      </c>
      <c r="Z69" s="166">
        <v>5.5423860508606274E-2</v>
      </c>
      <c r="AA69" s="34" t="s">
        <v>621</v>
      </c>
      <c r="AC69" s="67"/>
      <c r="AD69" s="451"/>
      <c r="AE69" s="452"/>
      <c r="AH69" s="36"/>
      <c r="AI69" s="36"/>
      <c r="AJ69" s="36"/>
      <c r="AK69" s="19"/>
    </row>
    <row r="70" spans="1:37">
      <c r="A70" s="64" t="s">
        <v>601</v>
      </c>
      <c r="B70" s="784" t="s">
        <v>118</v>
      </c>
      <c r="C70" s="784" t="s">
        <v>1422</v>
      </c>
      <c r="D70" s="134">
        <v>277</v>
      </c>
      <c r="E70" s="67">
        <v>33874</v>
      </c>
      <c r="F70" s="146">
        <v>0</v>
      </c>
      <c r="G70" s="146">
        <v>0</v>
      </c>
      <c r="H70" s="91">
        <v>33874</v>
      </c>
      <c r="I70" s="67">
        <v>0</v>
      </c>
      <c r="J70" s="739">
        <v>33874</v>
      </c>
      <c r="K70" s="837" t="s">
        <v>621</v>
      </c>
      <c r="L70" s="740">
        <v>0</v>
      </c>
      <c r="M70" s="741">
        <v>277</v>
      </c>
      <c r="N70" s="67">
        <v>452</v>
      </c>
      <c r="O70" s="67">
        <v>34326</v>
      </c>
      <c r="Q70" s="674">
        <v>0</v>
      </c>
      <c r="R70" s="674" t="s">
        <v>1730</v>
      </c>
      <c r="S70" s="798" t="s">
        <v>801</v>
      </c>
      <c r="T70" s="798">
        <v>0</v>
      </c>
      <c r="U70" s="88">
        <v>34326</v>
      </c>
      <c r="V70" s="71">
        <v>123.92057761732852</v>
      </c>
      <c r="W70" s="449">
        <v>34326</v>
      </c>
      <c r="X70" s="67">
        <v>38755</v>
      </c>
      <c r="Y70" s="163">
        <v>-4429</v>
      </c>
      <c r="Z70" s="166">
        <v>-0.11428202812540317</v>
      </c>
      <c r="AA70" s="34" t="s">
        <v>621</v>
      </c>
      <c r="AC70" s="67"/>
      <c r="AD70" s="451"/>
      <c r="AE70" s="452"/>
      <c r="AH70" s="36"/>
      <c r="AI70" s="36"/>
      <c r="AJ70" s="36"/>
      <c r="AK70" s="19"/>
    </row>
    <row r="71" spans="1:37">
      <c r="A71" s="64" t="s">
        <v>601</v>
      </c>
      <c r="B71" s="784" t="s">
        <v>120</v>
      </c>
      <c r="C71" s="784" t="s">
        <v>1423</v>
      </c>
      <c r="D71" s="134">
        <v>0</v>
      </c>
      <c r="E71" s="67">
        <v>0</v>
      </c>
      <c r="F71" s="146">
        <v>0</v>
      </c>
      <c r="G71" s="146">
        <v>0</v>
      </c>
      <c r="H71" s="91">
        <v>0</v>
      </c>
      <c r="I71" s="67">
        <v>0</v>
      </c>
      <c r="J71" s="739">
        <v>0</v>
      </c>
      <c r="K71" s="837" t="s">
        <v>644</v>
      </c>
      <c r="L71" s="740">
        <v>0</v>
      </c>
      <c r="M71" s="741">
        <v>0</v>
      </c>
      <c r="N71" s="67">
        <v>0</v>
      </c>
      <c r="O71" s="67">
        <v>0</v>
      </c>
      <c r="Q71" s="674">
        <v>0</v>
      </c>
      <c r="R71" s="674" t="s">
        <v>1730</v>
      </c>
      <c r="S71" s="798" t="s">
        <v>801</v>
      </c>
      <c r="T71" s="798">
        <v>0</v>
      </c>
      <c r="U71" s="88">
        <v>0</v>
      </c>
      <c r="V71" s="71">
        <v>0</v>
      </c>
      <c r="W71" s="449">
        <v>0</v>
      </c>
      <c r="X71" s="67">
        <v>0</v>
      </c>
      <c r="Y71" s="163">
        <v>0</v>
      </c>
      <c r="Z71" s="166">
        <v>0</v>
      </c>
      <c r="AA71" s="34" t="s">
        <v>644</v>
      </c>
      <c r="AC71" s="67"/>
      <c r="AD71" s="451"/>
      <c r="AE71" s="452"/>
      <c r="AH71" s="36"/>
      <c r="AI71" s="36"/>
      <c r="AJ71" s="36"/>
      <c r="AK71" s="19"/>
    </row>
    <row r="72" spans="1:37">
      <c r="A72" s="64" t="s">
        <v>601</v>
      </c>
      <c r="B72" s="784" t="s">
        <v>121</v>
      </c>
      <c r="C72" s="784" t="s">
        <v>1424</v>
      </c>
      <c r="D72" s="134">
        <v>111.28</v>
      </c>
      <c r="E72" s="67">
        <v>13608</v>
      </c>
      <c r="F72" s="146">
        <v>0</v>
      </c>
      <c r="G72" s="146">
        <v>0</v>
      </c>
      <c r="H72" s="91">
        <v>13608</v>
      </c>
      <c r="I72" s="67">
        <v>0</v>
      </c>
      <c r="J72" s="739">
        <v>13608</v>
      </c>
      <c r="K72" s="837" t="s">
        <v>621</v>
      </c>
      <c r="L72" s="740">
        <v>0</v>
      </c>
      <c r="M72" s="741">
        <v>111.28</v>
      </c>
      <c r="N72" s="67">
        <v>181</v>
      </c>
      <c r="O72" s="67">
        <v>13789</v>
      </c>
      <c r="Q72" s="674">
        <v>0</v>
      </c>
      <c r="R72" s="674" t="s">
        <v>1730</v>
      </c>
      <c r="S72" s="798" t="s">
        <v>801</v>
      </c>
      <c r="T72" s="798">
        <v>0</v>
      </c>
      <c r="U72" s="88">
        <v>13789</v>
      </c>
      <c r="V72" s="71">
        <v>123.91265276779295</v>
      </c>
      <c r="W72" s="449">
        <v>13789</v>
      </c>
      <c r="X72" s="67">
        <v>12188</v>
      </c>
      <c r="Y72" s="163">
        <v>1601</v>
      </c>
      <c r="Z72" s="166">
        <v>0.13135871348867739</v>
      </c>
      <c r="AA72" s="34" t="s">
        <v>621</v>
      </c>
      <c r="AC72" s="67"/>
      <c r="AD72" s="451"/>
      <c r="AE72" s="452"/>
      <c r="AH72" s="36"/>
      <c r="AI72" s="36"/>
      <c r="AJ72" s="36"/>
      <c r="AK72" s="19"/>
    </row>
    <row r="73" spans="1:37">
      <c r="A73" s="64" t="s">
        <v>605</v>
      </c>
      <c r="B73" s="784" t="s">
        <v>123</v>
      </c>
      <c r="C73" s="784" t="s">
        <v>1425</v>
      </c>
      <c r="D73" s="134">
        <v>786.14</v>
      </c>
      <c r="E73" s="67">
        <v>96137</v>
      </c>
      <c r="F73" s="146">
        <v>0</v>
      </c>
      <c r="G73" s="146">
        <v>0</v>
      </c>
      <c r="H73" s="91">
        <v>96137</v>
      </c>
      <c r="I73" s="67">
        <v>0</v>
      </c>
      <c r="J73" s="739">
        <v>96137</v>
      </c>
      <c r="K73" s="837" t="s">
        <v>621</v>
      </c>
      <c r="L73" s="740">
        <v>0</v>
      </c>
      <c r="M73" s="741">
        <v>786.14</v>
      </c>
      <c r="N73" s="67">
        <v>1282</v>
      </c>
      <c r="O73" s="67">
        <v>97419</v>
      </c>
      <c r="Q73" s="674">
        <v>0</v>
      </c>
      <c r="R73" s="674" t="s">
        <v>1730</v>
      </c>
      <c r="S73" s="798" t="s">
        <v>801</v>
      </c>
      <c r="T73" s="798">
        <v>0</v>
      </c>
      <c r="U73" s="88">
        <v>97419</v>
      </c>
      <c r="V73" s="71">
        <v>123.92067570661715</v>
      </c>
      <c r="W73" s="449">
        <v>97419</v>
      </c>
      <c r="X73" s="67">
        <v>97759</v>
      </c>
      <c r="Y73" s="163">
        <v>-340</v>
      </c>
      <c r="Z73" s="166">
        <v>-3.477940649965732E-3</v>
      </c>
      <c r="AA73" s="34" t="s">
        <v>621</v>
      </c>
      <c r="AC73" s="67"/>
      <c r="AD73" s="451"/>
      <c r="AE73" s="452"/>
      <c r="AH73" s="36"/>
      <c r="AI73" s="36"/>
      <c r="AJ73" s="36"/>
      <c r="AK73" s="19"/>
    </row>
    <row r="74" spans="1:37">
      <c r="A74" s="64" t="s">
        <v>601</v>
      </c>
      <c r="B74" s="784" t="s">
        <v>125</v>
      </c>
      <c r="C74" s="784" t="s">
        <v>1426</v>
      </c>
      <c r="D74" s="134">
        <v>1377.57</v>
      </c>
      <c r="E74" s="67">
        <v>168464</v>
      </c>
      <c r="F74" s="146">
        <v>0</v>
      </c>
      <c r="G74" s="146">
        <v>0</v>
      </c>
      <c r="H74" s="91">
        <v>168464</v>
      </c>
      <c r="I74" s="67">
        <v>0</v>
      </c>
      <c r="J74" s="739">
        <v>168464</v>
      </c>
      <c r="K74" s="837" t="s">
        <v>621</v>
      </c>
      <c r="L74" s="740">
        <v>0</v>
      </c>
      <c r="M74" s="741">
        <v>1377.57</v>
      </c>
      <c r="N74" s="67">
        <v>2246</v>
      </c>
      <c r="O74" s="67">
        <v>170710</v>
      </c>
      <c r="Q74" s="674">
        <v>0</v>
      </c>
      <c r="R74" s="674" t="s">
        <v>1730</v>
      </c>
      <c r="S74" s="798" t="s">
        <v>801</v>
      </c>
      <c r="T74" s="798">
        <v>0</v>
      </c>
      <c r="U74" s="88">
        <v>170710</v>
      </c>
      <c r="V74" s="71">
        <v>123.9211074573343</v>
      </c>
      <c r="W74" s="449">
        <v>170710</v>
      </c>
      <c r="X74" s="67">
        <v>158014</v>
      </c>
      <c r="Y74" s="163">
        <v>12696</v>
      </c>
      <c r="Z74" s="166">
        <v>8.0347310997759686E-2</v>
      </c>
      <c r="AA74" s="34" t="s">
        <v>621</v>
      </c>
      <c r="AC74" s="67"/>
      <c r="AD74" s="451"/>
      <c r="AE74" s="452"/>
      <c r="AH74" s="36"/>
      <c r="AI74" s="36"/>
      <c r="AJ74" s="36"/>
      <c r="AK74" s="19"/>
    </row>
    <row r="75" spans="1:37">
      <c r="A75" s="64" t="s">
        <v>601</v>
      </c>
      <c r="B75" s="784" t="s">
        <v>127</v>
      </c>
      <c r="C75" s="784" t="s">
        <v>623</v>
      </c>
      <c r="D75" s="134">
        <v>289.43571428571431</v>
      </c>
      <c r="E75" s="67">
        <v>35395</v>
      </c>
      <c r="F75" s="146">
        <v>0</v>
      </c>
      <c r="G75" s="146">
        <v>0</v>
      </c>
      <c r="H75" s="91">
        <v>35395</v>
      </c>
      <c r="I75" s="67">
        <v>0</v>
      </c>
      <c r="J75" s="739">
        <v>35395</v>
      </c>
      <c r="K75" s="837" t="s">
        <v>621</v>
      </c>
      <c r="L75" s="740">
        <v>0</v>
      </c>
      <c r="M75" s="741">
        <v>289.43571428571431</v>
      </c>
      <c r="N75" s="67">
        <v>472</v>
      </c>
      <c r="O75" s="67">
        <v>35867</v>
      </c>
      <c r="Q75" s="674">
        <v>0</v>
      </c>
      <c r="R75" s="674" t="s">
        <v>1730</v>
      </c>
      <c r="S75" s="798" t="s">
        <v>801</v>
      </c>
      <c r="T75" s="798">
        <v>0</v>
      </c>
      <c r="U75" s="88">
        <v>35867</v>
      </c>
      <c r="V75" s="71">
        <v>123.92043631697143</v>
      </c>
      <c r="W75" s="449">
        <v>35867</v>
      </c>
      <c r="X75" s="67">
        <v>36468</v>
      </c>
      <c r="Y75" s="163">
        <v>-601</v>
      </c>
      <c r="Z75" s="166">
        <v>-1.6480201820774379E-2</v>
      </c>
      <c r="AA75" s="34" t="s">
        <v>621</v>
      </c>
      <c r="AC75" s="67"/>
      <c r="AD75" s="451"/>
      <c r="AE75" s="452"/>
      <c r="AH75" s="36"/>
      <c r="AI75" s="36"/>
      <c r="AJ75" s="36"/>
      <c r="AK75" s="19"/>
    </row>
    <row r="76" spans="1:37">
      <c r="A76" s="64" t="s">
        <v>601</v>
      </c>
      <c r="B76" s="784" t="s">
        <v>129</v>
      </c>
      <c r="C76" s="784" t="s">
        <v>1427</v>
      </c>
      <c r="D76" s="134">
        <v>0</v>
      </c>
      <c r="E76" s="67">
        <v>0</v>
      </c>
      <c r="F76" s="146">
        <v>0</v>
      </c>
      <c r="G76" s="146">
        <v>0</v>
      </c>
      <c r="H76" s="91">
        <v>0</v>
      </c>
      <c r="I76" s="67">
        <v>0</v>
      </c>
      <c r="J76" s="739">
        <v>0</v>
      </c>
      <c r="K76" s="837" t="s">
        <v>644</v>
      </c>
      <c r="L76" s="740">
        <v>0</v>
      </c>
      <c r="M76" s="741">
        <v>0</v>
      </c>
      <c r="N76" s="67">
        <v>0</v>
      </c>
      <c r="O76" s="67">
        <v>0</v>
      </c>
      <c r="Q76" s="674">
        <v>0</v>
      </c>
      <c r="R76" s="674" t="s">
        <v>1730</v>
      </c>
      <c r="S76" s="798" t="s">
        <v>801</v>
      </c>
      <c r="T76" s="798">
        <v>0</v>
      </c>
      <c r="U76" s="88">
        <v>0</v>
      </c>
      <c r="V76" s="71">
        <v>0</v>
      </c>
      <c r="W76" s="449">
        <v>0</v>
      </c>
      <c r="X76" s="67">
        <v>0</v>
      </c>
      <c r="Y76" s="163">
        <v>0</v>
      </c>
      <c r="Z76" s="166">
        <v>0</v>
      </c>
      <c r="AA76" s="34" t="s">
        <v>644</v>
      </c>
      <c r="AC76" s="67"/>
      <c r="AD76" s="451"/>
      <c r="AE76" s="452"/>
      <c r="AH76" s="36"/>
      <c r="AI76" s="36"/>
      <c r="AJ76" s="36"/>
      <c r="AK76" s="19"/>
    </row>
    <row r="77" spans="1:37">
      <c r="A77" s="64" t="s">
        <v>601</v>
      </c>
      <c r="B77" s="784" t="s">
        <v>131</v>
      </c>
      <c r="C77" s="784" t="s">
        <v>1428</v>
      </c>
      <c r="D77" s="134">
        <v>89</v>
      </c>
      <c r="E77" s="67">
        <v>10884</v>
      </c>
      <c r="F77" s="146">
        <v>0</v>
      </c>
      <c r="G77" s="146">
        <v>0</v>
      </c>
      <c r="H77" s="91">
        <v>10884</v>
      </c>
      <c r="I77" s="67">
        <v>0</v>
      </c>
      <c r="J77" s="739">
        <v>10884</v>
      </c>
      <c r="K77" s="837" t="s">
        <v>621</v>
      </c>
      <c r="L77" s="740">
        <v>0</v>
      </c>
      <c r="M77" s="741">
        <v>89</v>
      </c>
      <c r="N77" s="67">
        <v>145</v>
      </c>
      <c r="O77" s="67">
        <v>11029</v>
      </c>
      <c r="Q77" s="674">
        <v>0</v>
      </c>
      <c r="R77" s="674" t="s">
        <v>1730</v>
      </c>
      <c r="S77" s="798" t="s">
        <v>801</v>
      </c>
      <c r="T77" s="798">
        <v>0</v>
      </c>
      <c r="U77" s="88">
        <v>11029</v>
      </c>
      <c r="V77" s="71">
        <v>123.92134831460675</v>
      </c>
      <c r="W77" s="449">
        <v>11029</v>
      </c>
      <c r="X77" s="67">
        <v>13346</v>
      </c>
      <c r="Y77" s="163">
        <v>-2317</v>
      </c>
      <c r="Z77" s="166">
        <v>-0.17361007043308857</v>
      </c>
      <c r="AA77" s="34" t="s">
        <v>621</v>
      </c>
      <c r="AC77" s="67"/>
      <c r="AD77" s="451"/>
      <c r="AE77" s="452"/>
      <c r="AH77" s="36"/>
      <c r="AI77" s="36"/>
      <c r="AJ77" s="36"/>
      <c r="AK77" s="19"/>
    </row>
    <row r="78" spans="1:37">
      <c r="A78" s="64" t="s">
        <v>594</v>
      </c>
      <c r="B78" s="784" t="s">
        <v>132</v>
      </c>
      <c r="C78" s="784" t="s">
        <v>1429</v>
      </c>
      <c r="D78" s="134">
        <v>457.14571428571429</v>
      </c>
      <c r="E78" s="67">
        <v>55905</v>
      </c>
      <c r="F78" s="146">
        <v>0</v>
      </c>
      <c r="G78" s="146">
        <v>0</v>
      </c>
      <c r="H78" s="91">
        <v>55905</v>
      </c>
      <c r="I78" s="67">
        <v>0</v>
      </c>
      <c r="J78" s="739">
        <v>55905</v>
      </c>
      <c r="K78" s="837" t="s">
        <v>1306</v>
      </c>
      <c r="L78" s="740">
        <v>0</v>
      </c>
      <c r="M78" s="741">
        <v>457.14571428571429</v>
      </c>
      <c r="N78" s="67">
        <v>745</v>
      </c>
      <c r="O78" s="67">
        <v>56650</v>
      </c>
      <c r="Q78" s="674">
        <v>0</v>
      </c>
      <c r="R78" s="674" t="s">
        <v>1730</v>
      </c>
      <c r="S78" s="798" t="s">
        <v>801</v>
      </c>
      <c r="T78" s="798">
        <v>0</v>
      </c>
      <c r="U78" s="88">
        <v>56650</v>
      </c>
      <c r="V78" s="71">
        <v>123.92110049312191</v>
      </c>
      <c r="W78" s="449">
        <v>56650</v>
      </c>
      <c r="X78" s="67">
        <v>56116</v>
      </c>
      <c r="Y78" s="163">
        <v>534</v>
      </c>
      <c r="Z78" s="166">
        <v>9.5160025661130514E-3</v>
      </c>
      <c r="AA78" s="34" t="s">
        <v>1306</v>
      </c>
      <c r="AC78" s="67"/>
      <c r="AD78" s="451"/>
      <c r="AE78" s="452"/>
      <c r="AH78" s="36"/>
      <c r="AI78" s="36"/>
      <c r="AJ78" s="36"/>
      <c r="AK78" s="19"/>
    </row>
    <row r="79" spans="1:37">
      <c r="A79" s="64" t="s">
        <v>594</v>
      </c>
      <c r="B79" s="784" t="s">
        <v>134</v>
      </c>
      <c r="C79" s="784" t="s">
        <v>748</v>
      </c>
      <c r="D79" s="134">
        <v>72.430000000000007</v>
      </c>
      <c r="E79" s="67">
        <v>8857</v>
      </c>
      <c r="F79" s="146">
        <v>0</v>
      </c>
      <c r="G79" s="146">
        <v>0</v>
      </c>
      <c r="H79" s="91">
        <v>8857</v>
      </c>
      <c r="I79" s="67">
        <v>0</v>
      </c>
      <c r="J79" s="739">
        <v>8857</v>
      </c>
      <c r="K79" s="837" t="s">
        <v>1306</v>
      </c>
      <c r="L79" s="740">
        <v>0</v>
      </c>
      <c r="M79" s="741">
        <v>72.430000000000007</v>
      </c>
      <c r="N79" s="67">
        <v>118</v>
      </c>
      <c r="O79" s="67">
        <v>8975</v>
      </c>
      <c r="Q79" s="674">
        <v>0</v>
      </c>
      <c r="R79" s="674" t="s">
        <v>1730</v>
      </c>
      <c r="S79" s="798" t="s">
        <v>801</v>
      </c>
      <c r="T79" s="798">
        <v>0</v>
      </c>
      <c r="U79" s="88">
        <v>8975</v>
      </c>
      <c r="V79" s="71">
        <v>123.91274333839569</v>
      </c>
      <c r="W79" s="449">
        <v>0</v>
      </c>
      <c r="X79" s="67">
        <v>0</v>
      </c>
      <c r="Y79" s="163">
        <v>8975</v>
      </c>
      <c r="Z79" s="166">
        <v>0</v>
      </c>
      <c r="AA79" s="34" t="s">
        <v>1306</v>
      </c>
      <c r="AC79" s="67"/>
      <c r="AD79" s="451"/>
      <c r="AE79" s="452"/>
      <c r="AH79" s="36"/>
      <c r="AI79" s="36"/>
      <c r="AJ79" s="36"/>
      <c r="AK79" s="19"/>
    </row>
    <row r="80" spans="1:37">
      <c r="A80" s="64" t="s">
        <v>594</v>
      </c>
      <c r="B80" s="784" t="s">
        <v>136</v>
      </c>
      <c r="C80" s="784" t="s">
        <v>1430</v>
      </c>
      <c r="D80" s="134">
        <v>12.14</v>
      </c>
      <c r="E80" s="67">
        <v>1485</v>
      </c>
      <c r="F80" s="146">
        <v>0</v>
      </c>
      <c r="G80" s="146">
        <v>0</v>
      </c>
      <c r="H80" s="91">
        <v>1485</v>
      </c>
      <c r="I80" s="67">
        <v>0</v>
      </c>
      <c r="J80" s="739">
        <v>1485</v>
      </c>
      <c r="K80" s="837" t="s">
        <v>644</v>
      </c>
      <c r="L80" s="740">
        <v>1485</v>
      </c>
      <c r="M80" s="741">
        <v>0</v>
      </c>
      <c r="N80" s="67">
        <v>0</v>
      </c>
      <c r="O80" s="67">
        <v>0</v>
      </c>
      <c r="Q80" s="674">
        <v>0</v>
      </c>
      <c r="R80" s="674" t="s">
        <v>1730</v>
      </c>
      <c r="S80" s="798" t="s">
        <v>801</v>
      </c>
      <c r="T80" s="798">
        <v>0</v>
      </c>
      <c r="U80" s="88">
        <v>0</v>
      </c>
      <c r="V80" s="71">
        <v>0</v>
      </c>
      <c r="W80" s="449">
        <v>0</v>
      </c>
      <c r="X80" s="67">
        <v>0</v>
      </c>
      <c r="Y80" s="163">
        <v>0</v>
      </c>
      <c r="Z80" s="166">
        <v>0</v>
      </c>
      <c r="AA80" s="34" t="s">
        <v>644</v>
      </c>
      <c r="AC80" s="67"/>
      <c r="AD80" s="451"/>
      <c r="AE80" s="452"/>
      <c r="AH80" s="36"/>
      <c r="AI80" s="36"/>
      <c r="AJ80" s="36"/>
      <c r="AK80" s="19"/>
    </row>
    <row r="81" spans="1:37">
      <c r="A81" s="64" t="s">
        <v>594</v>
      </c>
      <c r="B81" s="784" t="s">
        <v>138</v>
      </c>
      <c r="C81" s="784" t="s">
        <v>1431</v>
      </c>
      <c r="D81" s="134">
        <v>0</v>
      </c>
      <c r="E81" s="67">
        <v>0</v>
      </c>
      <c r="F81" s="146">
        <v>0</v>
      </c>
      <c r="G81" s="146">
        <v>0</v>
      </c>
      <c r="H81" s="91">
        <v>0</v>
      </c>
      <c r="I81" s="67">
        <v>0</v>
      </c>
      <c r="J81" s="739">
        <v>0</v>
      </c>
      <c r="K81" s="837" t="s">
        <v>644</v>
      </c>
      <c r="L81" s="740">
        <v>0</v>
      </c>
      <c r="M81" s="741">
        <v>0</v>
      </c>
      <c r="N81" s="67">
        <v>0</v>
      </c>
      <c r="O81" s="67">
        <v>0</v>
      </c>
      <c r="Q81" s="674">
        <v>0</v>
      </c>
      <c r="R81" s="674" t="s">
        <v>1730</v>
      </c>
      <c r="S81" s="798" t="s">
        <v>801</v>
      </c>
      <c r="T81" s="798">
        <v>0</v>
      </c>
      <c r="U81" s="88">
        <v>0</v>
      </c>
      <c r="V81" s="71">
        <v>0</v>
      </c>
      <c r="W81" s="449">
        <v>0</v>
      </c>
      <c r="X81" s="67">
        <v>0</v>
      </c>
      <c r="Y81" s="163">
        <v>0</v>
      </c>
      <c r="Z81" s="166">
        <v>0</v>
      </c>
      <c r="AA81" s="34" t="s">
        <v>644</v>
      </c>
      <c r="AC81" s="67"/>
      <c r="AD81" s="451"/>
      <c r="AE81" s="452"/>
      <c r="AH81" s="36"/>
      <c r="AI81" s="36"/>
      <c r="AJ81" s="36"/>
      <c r="AK81" s="19"/>
    </row>
    <row r="82" spans="1:37">
      <c r="A82" s="64" t="s">
        <v>594</v>
      </c>
      <c r="B82" s="784" t="s">
        <v>139</v>
      </c>
      <c r="C82" s="784" t="s">
        <v>1432</v>
      </c>
      <c r="D82" s="134">
        <v>25.86</v>
      </c>
      <c r="E82" s="67">
        <v>3162</v>
      </c>
      <c r="F82" s="146">
        <v>0</v>
      </c>
      <c r="G82" s="146">
        <v>0</v>
      </c>
      <c r="H82" s="91">
        <v>3162</v>
      </c>
      <c r="I82" s="67">
        <v>0</v>
      </c>
      <c r="J82" s="739">
        <v>3162</v>
      </c>
      <c r="K82" s="837" t="s">
        <v>644</v>
      </c>
      <c r="L82" s="740">
        <v>3162</v>
      </c>
      <c r="M82" s="741">
        <v>0</v>
      </c>
      <c r="N82" s="67">
        <v>0</v>
      </c>
      <c r="O82" s="67">
        <v>0</v>
      </c>
      <c r="Q82" s="674">
        <v>0</v>
      </c>
      <c r="R82" s="674" t="s">
        <v>1730</v>
      </c>
      <c r="S82" s="798" t="s">
        <v>801</v>
      </c>
      <c r="T82" s="798">
        <v>0</v>
      </c>
      <c r="U82" s="88">
        <v>0</v>
      </c>
      <c r="V82" s="71">
        <v>0</v>
      </c>
      <c r="W82" s="449">
        <v>0</v>
      </c>
      <c r="X82" s="67">
        <v>0</v>
      </c>
      <c r="Y82" s="163">
        <v>0</v>
      </c>
      <c r="Z82" s="166">
        <v>0</v>
      </c>
      <c r="AA82" s="34" t="s">
        <v>644</v>
      </c>
      <c r="AC82" s="67"/>
      <c r="AD82" s="451"/>
      <c r="AE82" s="452"/>
      <c r="AH82" s="36"/>
      <c r="AI82" s="36"/>
      <c r="AJ82" s="36"/>
      <c r="AK82" s="19"/>
    </row>
    <row r="83" spans="1:37">
      <c r="A83" s="64" t="s">
        <v>594</v>
      </c>
      <c r="B83" s="784" t="s">
        <v>141</v>
      </c>
      <c r="C83" s="784" t="s">
        <v>1433</v>
      </c>
      <c r="D83" s="134">
        <v>125.58000000000001</v>
      </c>
      <c r="E83" s="67">
        <v>15357</v>
      </c>
      <c r="F83" s="146">
        <v>0</v>
      </c>
      <c r="G83" s="146">
        <v>0</v>
      </c>
      <c r="H83" s="91">
        <v>15357</v>
      </c>
      <c r="I83" s="67">
        <v>0</v>
      </c>
      <c r="J83" s="739">
        <v>15357</v>
      </c>
      <c r="K83" s="837" t="s">
        <v>621</v>
      </c>
      <c r="L83" s="740">
        <v>0</v>
      </c>
      <c r="M83" s="741">
        <v>125.58000000000001</v>
      </c>
      <c r="N83" s="67">
        <v>205</v>
      </c>
      <c r="O83" s="67">
        <v>15562</v>
      </c>
      <c r="Q83" s="674">
        <v>0</v>
      </c>
      <c r="R83" s="674" t="s">
        <v>1730</v>
      </c>
      <c r="S83" s="798" t="s">
        <v>801</v>
      </c>
      <c r="T83" s="798">
        <v>0</v>
      </c>
      <c r="U83" s="88">
        <v>15562</v>
      </c>
      <c r="V83" s="71">
        <v>123.92100652970217</v>
      </c>
      <c r="W83" s="449">
        <v>15562</v>
      </c>
      <c r="X83" s="67">
        <v>13423</v>
      </c>
      <c r="Y83" s="163">
        <v>2139</v>
      </c>
      <c r="Z83" s="166">
        <v>0.15935334872979215</v>
      </c>
      <c r="AA83" s="34" t="s">
        <v>621</v>
      </c>
      <c r="AC83" s="67"/>
      <c r="AD83" s="451"/>
      <c r="AE83" s="452"/>
      <c r="AH83" s="36"/>
      <c r="AI83" s="36"/>
      <c r="AJ83" s="36"/>
      <c r="AK83" s="19"/>
    </row>
    <row r="84" spans="1:37">
      <c r="A84" s="64" t="s">
        <v>594</v>
      </c>
      <c r="B84" s="784" t="s">
        <v>143</v>
      </c>
      <c r="C84" s="784" t="s">
        <v>1434</v>
      </c>
      <c r="D84" s="134">
        <v>0</v>
      </c>
      <c r="E84" s="67">
        <v>0</v>
      </c>
      <c r="F84" s="146">
        <v>0</v>
      </c>
      <c r="G84" s="146">
        <v>0</v>
      </c>
      <c r="H84" s="91">
        <v>0</v>
      </c>
      <c r="I84" s="67">
        <v>0</v>
      </c>
      <c r="J84" s="739">
        <v>0</v>
      </c>
      <c r="K84" s="837" t="s">
        <v>644</v>
      </c>
      <c r="L84" s="740">
        <v>0</v>
      </c>
      <c r="M84" s="741">
        <v>0</v>
      </c>
      <c r="N84" s="67">
        <v>0</v>
      </c>
      <c r="O84" s="67">
        <v>0</v>
      </c>
      <c r="Q84" s="674">
        <v>0</v>
      </c>
      <c r="R84" s="674" t="s">
        <v>1730</v>
      </c>
      <c r="S84" s="798" t="s">
        <v>801</v>
      </c>
      <c r="T84" s="798">
        <v>0</v>
      </c>
      <c r="U84" s="88">
        <v>0</v>
      </c>
      <c r="V84" s="71">
        <v>0</v>
      </c>
      <c r="W84" s="449">
        <v>0</v>
      </c>
      <c r="X84" s="67">
        <v>0</v>
      </c>
      <c r="Y84" s="163">
        <v>0</v>
      </c>
      <c r="Z84" s="166">
        <v>0</v>
      </c>
      <c r="AA84" s="34" t="s">
        <v>644</v>
      </c>
      <c r="AC84" s="67"/>
      <c r="AD84" s="451"/>
      <c r="AE84" s="452"/>
      <c r="AH84" s="36"/>
      <c r="AI84" s="36"/>
      <c r="AJ84" s="36"/>
      <c r="AK84" s="19"/>
    </row>
    <row r="85" spans="1:37">
      <c r="A85" s="64" t="s">
        <v>594</v>
      </c>
      <c r="B85" s="784" t="s">
        <v>145</v>
      </c>
      <c r="C85" s="784" t="s">
        <v>607</v>
      </c>
      <c r="D85" s="134">
        <v>28</v>
      </c>
      <c r="E85" s="67">
        <v>3424</v>
      </c>
      <c r="F85" s="146">
        <v>0</v>
      </c>
      <c r="G85" s="146">
        <v>0</v>
      </c>
      <c r="H85" s="91">
        <v>3424</v>
      </c>
      <c r="I85" s="67">
        <v>0</v>
      </c>
      <c r="J85" s="739">
        <v>3424</v>
      </c>
      <c r="K85" s="837" t="s">
        <v>1306</v>
      </c>
      <c r="L85" s="740">
        <v>0</v>
      </c>
      <c r="M85" s="741">
        <v>28</v>
      </c>
      <c r="N85" s="67">
        <v>46</v>
      </c>
      <c r="O85" s="67">
        <v>3470</v>
      </c>
      <c r="Q85" s="674">
        <v>0</v>
      </c>
      <c r="R85" s="674" t="s">
        <v>1730</v>
      </c>
      <c r="S85" s="798" t="s">
        <v>801</v>
      </c>
      <c r="T85" s="798">
        <v>0</v>
      </c>
      <c r="U85" s="88">
        <v>3470</v>
      </c>
      <c r="V85" s="71">
        <v>123.92857142857143</v>
      </c>
      <c r="W85" s="449">
        <v>0</v>
      </c>
      <c r="X85" s="67">
        <v>5824</v>
      </c>
      <c r="Y85" s="163">
        <v>-2354</v>
      </c>
      <c r="Z85" s="166">
        <v>-0.40418956043956045</v>
      </c>
      <c r="AA85" s="34" t="s">
        <v>1306</v>
      </c>
      <c r="AC85" s="67"/>
      <c r="AD85" s="451"/>
      <c r="AE85" s="452"/>
      <c r="AH85" s="36"/>
      <c r="AI85" s="36"/>
      <c r="AJ85" s="36"/>
      <c r="AK85" s="19"/>
    </row>
    <row r="86" spans="1:37">
      <c r="A86" s="64" t="s">
        <v>594</v>
      </c>
      <c r="B86" s="784" t="s">
        <v>147</v>
      </c>
      <c r="C86" s="784" t="s">
        <v>1435</v>
      </c>
      <c r="D86" s="134">
        <v>0.86</v>
      </c>
      <c r="E86" s="67">
        <v>105</v>
      </c>
      <c r="F86" s="146">
        <v>0</v>
      </c>
      <c r="G86" s="146">
        <v>0</v>
      </c>
      <c r="H86" s="91">
        <v>105</v>
      </c>
      <c r="I86" s="67">
        <v>0</v>
      </c>
      <c r="J86" s="739">
        <v>105</v>
      </c>
      <c r="K86" s="837" t="s">
        <v>644</v>
      </c>
      <c r="L86" s="740">
        <v>105</v>
      </c>
      <c r="M86" s="741">
        <v>0</v>
      </c>
      <c r="N86" s="67">
        <v>0</v>
      </c>
      <c r="O86" s="67">
        <v>0</v>
      </c>
      <c r="Q86" s="674">
        <v>0</v>
      </c>
      <c r="R86" s="674" t="s">
        <v>1730</v>
      </c>
      <c r="S86" s="798" t="s">
        <v>801</v>
      </c>
      <c r="T86" s="798">
        <v>0</v>
      </c>
      <c r="U86" s="88">
        <v>0</v>
      </c>
      <c r="V86" s="71">
        <v>0</v>
      </c>
      <c r="W86" s="449">
        <v>0</v>
      </c>
      <c r="X86" s="67">
        <v>0</v>
      </c>
      <c r="Y86" s="163">
        <v>0</v>
      </c>
      <c r="Z86" s="166">
        <v>0</v>
      </c>
      <c r="AA86" s="34" t="s">
        <v>644</v>
      </c>
      <c r="AC86" s="67"/>
      <c r="AD86" s="451"/>
      <c r="AE86" s="452"/>
      <c r="AH86" s="36"/>
      <c r="AI86" s="36"/>
      <c r="AJ86" s="36"/>
      <c r="AK86" s="19"/>
    </row>
    <row r="87" spans="1:37">
      <c r="A87" s="64" t="s">
        <v>594</v>
      </c>
      <c r="B87" s="784" t="s">
        <v>149</v>
      </c>
      <c r="C87" s="784" t="s">
        <v>1436</v>
      </c>
      <c r="D87" s="134">
        <v>0</v>
      </c>
      <c r="E87" s="67">
        <v>0</v>
      </c>
      <c r="F87" s="146">
        <v>0</v>
      </c>
      <c r="G87" s="146">
        <v>0</v>
      </c>
      <c r="H87" s="91">
        <v>0</v>
      </c>
      <c r="I87" s="67">
        <v>0</v>
      </c>
      <c r="J87" s="739">
        <v>0</v>
      </c>
      <c r="K87" s="837" t="s">
        <v>644</v>
      </c>
      <c r="L87" s="740">
        <v>0</v>
      </c>
      <c r="M87" s="741">
        <v>0</v>
      </c>
      <c r="N87" s="67">
        <v>0</v>
      </c>
      <c r="O87" s="67">
        <v>0</v>
      </c>
      <c r="Q87" s="674">
        <v>0</v>
      </c>
      <c r="R87" s="674" t="s">
        <v>1730</v>
      </c>
      <c r="S87" s="798" t="s">
        <v>801</v>
      </c>
      <c r="T87" s="798">
        <v>0</v>
      </c>
      <c r="U87" s="88">
        <v>0</v>
      </c>
      <c r="V87" s="71">
        <v>0</v>
      </c>
      <c r="W87" s="449">
        <v>0</v>
      </c>
      <c r="X87" s="67">
        <v>0</v>
      </c>
      <c r="Y87" s="163">
        <v>0</v>
      </c>
      <c r="Z87" s="166">
        <v>0</v>
      </c>
      <c r="AA87" s="34" t="s">
        <v>644</v>
      </c>
      <c r="AC87" s="67"/>
      <c r="AD87" s="451"/>
      <c r="AE87" s="452"/>
      <c r="AH87" s="36"/>
      <c r="AI87" s="36"/>
      <c r="AJ87" s="36"/>
      <c r="AK87" s="19"/>
    </row>
    <row r="88" spans="1:37">
      <c r="A88" s="64" t="s">
        <v>594</v>
      </c>
      <c r="B88" s="784" t="s">
        <v>151</v>
      </c>
      <c r="C88" s="784" t="s">
        <v>1437</v>
      </c>
      <c r="D88" s="134">
        <v>0</v>
      </c>
      <c r="E88" s="67">
        <v>0</v>
      </c>
      <c r="F88" s="146">
        <v>0</v>
      </c>
      <c r="G88" s="146">
        <v>0</v>
      </c>
      <c r="H88" s="91">
        <v>0</v>
      </c>
      <c r="I88" s="67">
        <v>0</v>
      </c>
      <c r="J88" s="739">
        <v>0</v>
      </c>
      <c r="K88" s="837" t="s">
        <v>644</v>
      </c>
      <c r="L88" s="740">
        <v>0</v>
      </c>
      <c r="M88" s="741">
        <v>0</v>
      </c>
      <c r="N88" s="67">
        <v>0</v>
      </c>
      <c r="O88" s="67">
        <v>0</v>
      </c>
      <c r="Q88" s="674">
        <v>0</v>
      </c>
      <c r="R88" s="674" t="s">
        <v>1730</v>
      </c>
      <c r="S88" s="798" t="s">
        <v>801</v>
      </c>
      <c r="T88" s="798">
        <v>0</v>
      </c>
      <c r="U88" s="88">
        <v>0</v>
      </c>
      <c r="V88" s="71">
        <v>0</v>
      </c>
      <c r="W88" s="449">
        <v>0</v>
      </c>
      <c r="X88" s="67">
        <v>0</v>
      </c>
      <c r="Y88" s="163">
        <v>0</v>
      </c>
      <c r="Z88" s="166">
        <v>0</v>
      </c>
      <c r="AA88" s="34" t="s">
        <v>644</v>
      </c>
      <c r="AC88" s="67"/>
      <c r="AD88" s="451"/>
      <c r="AE88" s="452"/>
      <c r="AH88" s="36"/>
      <c r="AI88" s="36"/>
      <c r="AJ88" s="36"/>
      <c r="AK88" s="19"/>
    </row>
    <row r="89" spans="1:37">
      <c r="A89" s="64" t="s">
        <v>594</v>
      </c>
      <c r="B89" s="784" t="s">
        <v>153</v>
      </c>
      <c r="C89" s="784" t="s">
        <v>1438</v>
      </c>
      <c r="D89" s="134">
        <v>48.29</v>
      </c>
      <c r="E89" s="67">
        <v>5905</v>
      </c>
      <c r="F89" s="146">
        <v>0</v>
      </c>
      <c r="G89" s="146">
        <v>0</v>
      </c>
      <c r="H89" s="91">
        <v>5905</v>
      </c>
      <c r="I89" s="67">
        <v>0</v>
      </c>
      <c r="J89" s="739">
        <v>5905</v>
      </c>
      <c r="K89" s="837" t="s">
        <v>1306</v>
      </c>
      <c r="L89" s="740">
        <v>0</v>
      </c>
      <c r="M89" s="741">
        <v>48.29</v>
      </c>
      <c r="N89" s="67">
        <v>79</v>
      </c>
      <c r="O89" s="67">
        <v>5984</v>
      </c>
      <c r="Q89" s="674">
        <v>0</v>
      </c>
      <c r="R89" s="674" t="s">
        <v>1730</v>
      </c>
      <c r="S89" s="798" t="s">
        <v>801</v>
      </c>
      <c r="T89" s="798">
        <v>0</v>
      </c>
      <c r="U89" s="88">
        <v>5984</v>
      </c>
      <c r="V89" s="71">
        <v>123.91799544419135</v>
      </c>
      <c r="W89" s="449">
        <v>0</v>
      </c>
      <c r="X89" s="67">
        <v>7043</v>
      </c>
      <c r="Y89" s="163">
        <v>-1059</v>
      </c>
      <c r="Z89" s="166">
        <v>-0.15036206162146812</v>
      </c>
      <c r="AA89" s="34" t="s">
        <v>1306</v>
      </c>
      <c r="AC89" s="67"/>
      <c r="AD89" s="451"/>
      <c r="AE89" s="452"/>
      <c r="AH89" s="36"/>
      <c r="AI89" s="36"/>
      <c r="AJ89" s="36"/>
      <c r="AK89" s="19"/>
    </row>
    <row r="90" spans="1:37">
      <c r="A90" s="64" t="s">
        <v>594</v>
      </c>
      <c r="B90" s="784" t="s">
        <v>155</v>
      </c>
      <c r="C90" s="784" t="s">
        <v>1439</v>
      </c>
      <c r="D90" s="134">
        <v>55.857142857142854</v>
      </c>
      <c r="E90" s="67">
        <v>6831</v>
      </c>
      <c r="F90" s="146">
        <v>0</v>
      </c>
      <c r="G90" s="146">
        <v>0</v>
      </c>
      <c r="H90" s="91">
        <v>6831</v>
      </c>
      <c r="I90" s="67">
        <v>0</v>
      </c>
      <c r="J90" s="739">
        <v>6831</v>
      </c>
      <c r="K90" s="837" t="s">
        <v>1306</v>
      </c>
      <c r="L90" s="740">
        <v>0</v>
      </c>
      <c r="M90" s="741">
        <v>55.857142857142854</v>
      </c>
      <c r="N90" s="67">
        <v>91</v>
      </c>
      <c r="O90" s="67">
        <v>6922</v>
      </c>
      <c r="Q90" s="674">
        <v>0</v>
      </c>
      <c r="R90" s="674" t="s">
        <v>1730</v>
      </c>
      <c r="S90" s="798" t="s">
        <v>801</v>
      </c>
      <c r="T90" s="798">
        <v>0</v>
      </c>
      <c r="U90" s="88">
        <v>6922</v>
      </c>
      <c r="V90" s="71">
        <v>123.92327365728902</v>
      </c>
      <c r="W90" s="449">
        <v>0</v>
      </c>
      <c r="X90" s="67">
        <v>0</v>
      </c>
      <c r="Y90" s="163">
        <v>6922</v>
      </c>
      <c r="Z90" s="166">
        <v>0</v>
      </c>
      <c r="AA90" s="34" t="s">
        <v>1306</v>
      </c>
      <c r="AC90" s="67"/>
      <c r="AD90" s="451"/>
      <c r="AE90" s="452"/>
      <c r="AH90" s="36"/>
      <c r="AI90" s="36"/>
      <c r="AJ90" s="36"/>
      <c r="AK90" s="19"/>
    </row>
    <row r="91" spans="1:37">
      <c r="A91" s="64" t="s">
        <v>595</v>
      </c>
      <c r="B91" s="784" t="s">
        <v>157</v>
      </c>
      <c r="C91" s="784" t="s">
        <v>1440</v>
      </c>
      <c r="D91" s="134">
        <v>285.85428571428571</v>
      </c>
      <c r="E91" s="67">
        <v>34957</v>
      </c>
      <c r="F91" s="146">
        <v>0</v>
      </c>
      <c r="G91" s="146">
        <v>0</v>
      </c>
      <c r="H91" s="91">
        <v>34957</v>
      </c>
      <c r="I91" s="67">
        <v>0</v>
      </c>
      <c r="J91" s="739">
        <v>34957</v>
      </c>
      <c r="K91" s="837" t="s">
        <v>621</v>
      </c>
      <c r="L91" s="740">
        <v>0</v>
      </c>
      <c r="M91" s="741">
        <v>285.85428571428571</v>
      </c>
      <c r="N91" s="67">
        <v>466</v>
      </c>
      <c r="O91" s="67">
        <v>35423</v>
      </c>
      <c r="Q91" s="674">
        <v>0</v>
      </c>
      <c r="R91" s="674" t="s">
        <v>1730</v>
      </c>
      <c r="S91" s="798" t="s">
        <v>801</v>
      </c>
      <c r="T91" s="798">
        <v>0</v>
      </c>
      <c r="U91" s="88">
        <v>35423</v>
      </c>
      <c r="V91" s="71">
        <v>123.91977930813901</v>
      </c>
      <c r="W91" s="449">
        <v>35423</v>
      </c>
      <c r="X91" s="67">
        <v>29997</v>
      </c>
      <c r="Y91" s="163">
        <v>5426</v>
      </c>
      <c r="Z91" s="166">
        <v>0.18088475514218089</v>
      </c>
      <c r="AA91" s="34" t="s">
        <v>621</v>
      </c>
      <c r="AC91" s="67"/>
      <c r="AD91" s="451"/>
      <c r="AE91" s="452"/>
      <c r="AH91" s="36"/>
      <c r="AI91" s="36"/>
      <c r="AJ91" s="36"/>
      <c r="AK91" s="19"/>
    </row>
    <row r="92" spans="1:37">
      <c r="A92" s="64" t="s">
        <v>595</v>
      </c>
      <c r="B92" s="784" t="s">
        <v>159</v>
      </c>
      <c r="C92" s="784" t="s">
        <v>1441</v>
      </c>
      <c r="D92" s="134">
        <v>26.14</v>
      </c>
      <c r="E92" s="67">
        <v>3197</v>
      </c>
      <c r="F92" s="146">
        <v>0</v>
      </c>
      <c r="G92" s="146">
        <v>0</v>
      </c>
      <c r="H92" s="91">
        <v>3197</v>
      </c>
      <c r="I92" s="67">
        <v>0</v>
      </c>
      <c r="J92" s="739">
        <v>3197</v>
      </c>
      <c r="K92" s="837" t="s">
        <v>644</v>
      </c>
      <c r="L92" s="740">
        <v>3197</v>
      </c>
      <c r="M92" s="741">
        <v>0</v>
      </c>
      <c r="N92" s="67">
        <v>0</v>
      </c>
      <c r="O92" s="67">
        <v>0</v>
      </c>
      <c r="Q92" s="674">
        <v>0</v>
      </c>
      <c r="R92" s="674" t="s">
        <v>1730</v>
      </c>
      <c r="S92" s="798" t="s">
        <v>801</v>
      </c>
      <c r="T92" s="798">
        <v>0</v>
      </c>
      <c r="U92" s="88">
        <v>0</v>
      </c>
      <c r="V92" s="71">
        <v>0</v>
      </c>
      <c r="W92" s="449">
        <v>0</v>
      </c>
      <c r="X92" s="67">
        <v>0</v>
      </c>
      <c r="Y92" s="163">
        <v>0</v>
      </c>
      <c r="Z92" s="166">
        <v>0</v>
      </c>
      <c r="AA92" s="34" t="s">
        <v>644</v>
      </c>
      <c r="AC92" s="67"/>
      <c r="AD92" s="451"/>
      <c r="AE92" s="452"/>
      <c r="AH92" s="36"/>
      <c r="AI92" s="36"/>
      <c r="AJ92" s="36"/>
      <c r="AK92" s="19"/>
    </row>
    <row r="93" spans="1:37">
      <c r="A93" s="64" t="s">
        <v>595</v>
      </c>
      <c r="B93" s="784" t="s">
        <v>161</v>
      </c>
      <c r="C93" s="784" t="s">
        <v>1442</v>
      </c>
      <c r="D93" s="134">
        <v>10</v>
      </c>
      <c r="E93" s="67">
        <v>1223</v>
      </c>
      <c r="F93" s="146">
        <v>0</v>
      </c>
      <c r="G93" s="146">
        <v>0</v>
      </c>
      <c r="H93" s="91">
        <v>1223</v>
      </c>
      <c r="I93" s="67">
        <v>0</v>
      </c>
      <c r="J93" s="739">
        <v>1223</v>
      </c>
      <c r="K93" s="837" t="s">
        <v>644</v>
      </c>
      <c r="L93" s="740">
        <v>1223</v>
      </c>
      <c r="M93" s="741">
        <v>0</v>
      </c>
      <c r="N93" s="67">
        <v>0</v>
      </c>
      <c r="O93" s="67">
        <v>0</v>
      </c>
      <c r="Q93" s="674">
        <v>0</v>
      </c>
      <c r="R93" s="674" t="s">
        <v>1730</v>
      </c>
      <c r="S93" s="798" t="s">
        <v>801</v>
      </c>
      <c r="T93" s="798">
        <v>0</v>
      </c>
      <c r="U93" s="88">
        <v>0</v>
      </c>
      <c r="V93" s="71">
        <v>0</v>
      </c>
      <c r="W93" s="449">
        <v>0</v>
      </c>
      <c r="X93" s="67">
        <v>0</v>
      </c>
      <c r="Y93" s="163">
        <v>0</v>
      </c>
      <c r="Z93" s="166">
        <v>0</v>
      </c>
      <c r="AA93" s="34" t="s">
        <v>644</v>
      </c>
      <c r="AC93" s="67"/>
      <c r="AD93" s="451"/>
      <c r="AE93" s="452"/>
      <c r="AH93" s="36"/>
      <c r="AI93" s="36"/>
      <c r="AJ93" s="36"/>
      <c r="AK93" s="19"/>
    </row>
    <row r="94" spans="1:37">
      <c r="A94" s="64" t="s">
        <v>600</v>
      </c>
      <c r="B94" s="784" t="s">
        <v>163</v>
      </c>
      <c r="C94" s="784" t="s">
        <v>1443</v>
      </c>
      <c r="D94" s="134">
        <v>0</v>
      </c>
      <c r="E94" s="67">
        <v>0</v>
      </c>
      <c r="F94" s="146">
        <v>0</v>
      </c>
      <c r="G94" s="146">
        <v>0</v>
      </c>
      <c r="H94" s="91">
        <v>0</v>
      </c>
      <c r="I94" s="67">
        <v>0</v>
      </c>
      <c r="J94" s="739">
        <v>0</v>
      </c>
      <c r="K94" s="837" t="s">
        <v>644</v>
      </c>
      <c r="L94" s="740">
        <v>0</v>
      </c>
      <c r="M94" s="741">
        <v>0</v>
      </c>
      <c r="N94" s="67">
        <v>0</v>
      </c>
      <c r="O94" s="67">
        <v>0</v>
      </c>
      <c r="Q94" s="674">
        <v>0</v>
      </c>
      <c r="R94" s="674" t="s">
        <v>1730</v>
      </c>
      <c r="S94" s="798" t="s">
        <v>801</v>
      </c>
      <c r="T94" s="798">
        <v>0</v>
      </c>
      <c r="U94" s="88">
        <v>0</v>
      </c>
      <c r="V94" s="71">
        <v>0</v>
      </c>
      <c r="W94" s="449">
        <v>0</v>
      </c>
      <c r="X94" s="67">
        <v>0</v>
      </c>
      <c r="Y94" s="163">
        <v>0</v>
      </c>
      <c r="Z94" s="166">
        <v>0</v>
      </c>
      <c r="AA94" s="34" t="s">
        <v>644</v>
      </c>
      <c r="AC94" s="67"/>
      <c r="AD94" s="451"/>
      <c r="AE94" s="452"/>
      <c r="AH94" s="36"/>
      <c r="AI94" s="36"/>
      <c r="AJ94" s="36"/>
      <c r="AK94" s="19"/>
    </row>
    <row r="95" spans="1:37">
      <c r="A95" s="64" t="s">
        <v>600</v>
      </c>
      <c r="B95" s="784" t="s">
        <v>165</v>
      </c>
      <c r="C95" s="784" t="s">
        <v>1444</v>
      </c>
      <c r="D95" s="134">
        <v>0</v>
      </c>
      <c r="E95" s="67">
        <v>0</v>
      </c>
      <c r="F95" s="146">
        <v>0</v>
      </c>
      <c r="G95" s="146">
        <v>0</v>
      </c>
      <c r="H95" s="91">
        <v>0</v>
      </c>
      <c r="I95" s="67">
        <v>0</v>
      </c>
      <c r="J95" s="739">
        <v>0</v>
      </c>
      <c r="K95" s="837" t="s">
        <v>644</v>
      </c>
      <c r="L95" s="740">
        <v>0</v>
      </c>
      <c r="M95" s="741">
        <v>0</v>
      </c>
      <c r="N95" s="67">
        <v>0</v>
      </c>
      <c r="O95" s="67">
        <v>0</v>
      </c>
      <c r="Q95" s="674">
        <v>0</v>
      </c>
      <c r="R95" s="674" t="s">
        <v>1730</v>
      </c>
      <c r="S95" s="798" t="s">
        <v>801</v>
      </c>
      <c r="T95" s="798">
        <v>0</v>
      </c>
      <c r="U95" s="88">
        <v>0</v>
      </c>
      <c r="V95" s="71">
        <v>0</v>
      </c>
      <c r="W95" s="449">
        <v>0</v>
      </c>
      <c r="X95" s="67">
        <v>0</v>
      </c>
      <c r="Y95" s="163">
        <v>0</v>
      </c>
      <c r="Z95" s="166">
        <v>0</v>
      </c>
      <c r="AA95" s="34" t="s">
        <v>644</v>
      </c>
      <c r="AC95" s="67"/>
      <c r="AD95" s="451"/>
      <c r="AE95" s="452"/>
      <c r="AH95" s="36"/>
      <c r="AI95" s="36"/>
      <c r="AJ95" s="36"/>
      <c r="AK95" s="19"/>
    </row>
    <row r="96" spans="1:37">
      <c r="A96" s="64" t="s">
        <v>600</v>
      </c>
      <c r="B96" s="784" t="s">
        <v>167</v>
      </c>
      <c r="C96" s="784" t="s">
        <v>1445</v>
      </c>
      <c r="D96" s="134">
        <v>0</v>
      </c>
      <c r="E96" s="67">
        <v>0</v>
      </c>
      <c r="F96" s="146">
        <v>0</v>
      </c>
      <c r="G96" s="146">
        <v>0</v>
      </c>
      <c r="H96" s="91">
        <v>0</v>
      </c>
      <c r="I96" s="67">
        <v>0</v>
      </c>
      <c r="J96" s="739">
        <v>0</v>
      </c>
      <c r="K96" s="837" t="s">
        <v>644</v>
      </c>
      <c r="L96" s="740">
        <v>0</v>
      </c>
      <c r="M96" s="741">
        <v>0</v>
      </c>
      <c r="N96" s="67">
        <v>0</v>
      </c>
      <c r="O96" s="67">
        <v>0</v>
      </c>
      <c r="Q96" s="674">
        <v>0</v>
      </c>
      <c r="R96" s="674" t="s">
        <v>1730</v>
      </c>
      <c r="S96" s="798" t="s">
        <v>801</v>
      </c>
      <c r="T96" s="798">
        <v>0</v>
      </c>
      <c r="U96" s="88">
        <v>0</v>
      </c>
      <c r="V96" s="71">
        <v>0</v>
      </c>
      <c r="W96" s="449">
        <v>0</v>
      </c>
      <c r="X96" s="67">
        <v>0</v>
      </c>
      <c r="Y96" s="163">
        <v>0</v>
      </c>
      <c r="Z96" s="166">
        <v>0</v>
      </c>
      <c r="AA96" s="34" t="s">
        <v>644</v>
      </c>
      <c r="AC96" s="67"/>
      <c r="AD96" s="451"/>
      <c r="AE96" s="452"/>
      <c r="AH96" s="36"/>
      <c r="AI96" s="36"/>
      <c r="AJ96" s="36"/>
      <c r="AK96" s="19"/>
    </row>
    <row r="97" spans="1:37">
      <c r="A97" s="64" t="s">
        <v>600</v>
      </c>
      <c r="B97" s="784" t="s">
        <v>169</v>
      </c>
      <c r="C97" s="784" t="s">
        <v>1446</v>
      </c>
      <c r="D97" s="134">
        <v>10</v>
      </c>
      <c r="E97" s="67">
        <v>1223</v>
      </c>
      <c r="F97" s="146">
        <v>0</v>
      </c>
      <c r="G97" s="146">
        <v>0</v>
      </c>
      <c r="H97" s="91">
        <v>1223</v>
      </c>
      <c r="I97" s="67">
        <v>0</v>
      </c>
      <c r="J97" s="739">
        <v>1223</v>
      </c>
      <c r="K97" s="837" t="s">
        <v>644</v>
      </c>
      <c r="L97" s="740">
        <v>1223</v>
      </c>
      <c r="M97" s="741">
        <v>0</v>
      </c>
      <c r="N97" s="67">
        <v>0</v>
      </c>
      <c r="O97" s="67">
        <v>0</v>
      </c>
      <c r="Q97" s="674">
        <v>0</v>
      </c>
      <c r="R97" s="674" t="s">
        <v>1730</v>
      </c>
      <c r="S97" s="798" t="s">
        <v>801</v>
      </c>
      <c r="T97" s="798">
        <v>0</v>
      </c>
      <c r="U97" s="88">
        <v>0</v>
      </c>
      <c r="V97" s="71">
        <v>0</v>
      </c>
      <c r="W97" s="449">
        <v>0</v>
      </c>
      <c r="X97" s="67">
        <v>0</v>
      </c>
      <c r="Y97" s="163">
        <v>0</v>
      </c>
      <c r="Z97" s="166">
        <v>0</v>
      </c>
      <c r="AA97" s="34" t="s">
        <v>644</v>
      </c>
      <c r="AC97" s="67"/>
      <c r="AD97" s="451"/>
      <c r="AE97" s="452"/>
      <c r="AH97" s="36"/>
      <c r="AI97" s="36"/>
      <c r="AJ97" s="36"/>
      <c r="AK97" s="19"/>
    </row>
    <row r="98" spans="1:37">
      <c r="A98" s="64" t="s">
        <v>600</v>
      </c>
      <c r="B98" s="784" t="s">
        <v>171</v>
      </c>
      <c r="C98" s="784" t="s">
        <v>1447</v>
      </c>
      <c r="D98" s="134">
        <v>35.28</v>
      </c>
      <c r="E98" s="67">
        <v>4314</v>
      </c>
      <c r="F98" s="146">
        <v>0</v>
      </c>
      <c r="G98" s="146">
        <v>0</v>
      </c>
      <c r="H98" s="91">
        <v>4314</v>
      </c>
      <c r="I98" s="67">
        <v>0</v>
      </c>
      <c r="J98" s="739">
        <v>4314</v>
      </c>
      <c r="K98" s="837" t="s">
        <v>644</v>
      </c>
      <c r="L98" s="740">
        <v>4314</v>
      </c>
      <c r="M98" s="741">
        <v>0</v>
      </c>
      <c r="N98" s="67">
        <v>0</v>
      </c>
      <c r="O98" s="67">
        <v>0</v>
      </c>
      <c r="Q98" s="674">
        <v>0</v>
      </c>
      <c r="R98" s="674" t="s">
        <v>1730</v>
      </c>
      <c r="S98" s="798" t="s">
        <v>801</v>
      </c>
      <c r="T98" s="798">
        <v>0</v>
      </c>
      <c r="U98" s="88">
        <v>0</v>
      </c>
      <c r="V98" s="71">
        <v>0</v>
      </c>
      <c r="W98" s="449">
        <v>0</v>
      </c>
      <c r="X98" s="67">
        <v>0</v>
      </c>
      <c r="Y98" s="163">
        <v>0</v>
      </c>
      <c r="Z98" s="166">
        <v>0</v>
      </c>
      <c r="AA98" s="34" t="s">
        <v>644</v>
      </c>
      <c r="AC98" s="67"/>
      <c r="AD98" s="451"/>
      <c r="AE98" s="452"/>
      <c r="AH98" s="36"/>
      <c r="AI98" s="36"/>
      <c r="AJ98" s="36"/>
      <c r="AK98" s="19"/>
    </row>
    <row r="99" spans="1:37">
      <c r="A99" s="64" t="s">
        <v>597</v>
      </c>
      <c r="B99" s="784" t="s">
        <v>173</v>
      </c>
      <c r="C99" s="784" t="s">
        <v>1448</v>
      </c>
      <c r="D99" s="134">
        <v>6630.7128571428566</v>
      </c>
      <c r="E99" s="67">
        <v>810873</v>
      </c>
      <c r="F99" s="146">
        <v>0</v>
      </c>
      <c r="G99" s="146">
        <v>0</v>
      </c>
      <c r="H99" s="91">
        <v>810873</v>
      </c>
      <c r="I99" s="67">
        <v>0</v>
      </c>
      <c r="J99" s="739">
        <v>810873</v>
      </c>
      <c r="K99" s="837" t="s">
        <v>621</v>
      </c>
      <c r="L99" s="740">
        <v>0</v>
      </c>
      <c r="M99" s="741">
        <v>6630.7128571428566</v>
      </c>
      <c r="N99" s="67">
        <v>10811</v>
      </c>
      <c r="O99" s="67">
        <v>821682</v>
      </c>
      <c r="Q99" s="674">
        <v>0</v>
      </c>
      <c r="R99" s="674" t="s">
        <v>1730</v>
      </c>
      <c r="S99" s="798" t="s">
        <v>801</v>
      </c>
      <c r="T99" s="798">
        <v>0</v>
      </c>
      <c r="U99" s="88">
        <v>821682</v>
      </c>
      <c r="V99" s="71">
        <v>123.92061271584892</v>
      </c>
      <c r="W99" s="449">
        <v>821682</v>
      </c>
      <c r="X99" s="67">
        <v>837981</v>
      </c>
      <c r="Y99" s="163">
        <v>-16299</v>
      </c>
      <c r="Z99" s="166">
        <v>-1.9450321666004359E-2</v>
      </c>
      <c r="AA99" s="34" t="s">
        <v>621</v>
      </c>
      <c r="AC99" s="67"/>
      <c r="AD99" s="451"/>
      <c r="AE99" s="452"/>
      <c r="AH99" s="36"/>
      <c r="AI99" s="36"/>
      <c r="AJ99" s="36"/>
      <c r="AK99" s="19"/>
    </row>
    <row r="100" spans="1:37">
      <c r="A100" s="64" t="s">
        <v>597</v>
      </c>
      <c r="B100" s="784" t="s">
        <v>175</v>
      </c>
      <c r="C100" s="784" t="s">
        <v>1449</v>
      </c>
      <c r="D100" s="134">
        <v>5156.29</v>
      </c>
      <c r="E100" s="67">
        <v>630565</v>
      </c>
      <c r="F100" s="146">
        <v>0</v>
      </c>
      <c r="G100" s="146">
        <v>0</v>
      </c>
      <c r="H100" s="91">
        <v>630565</v>
      </c>
      <c r="I100" s="67">
        <v>0</v>
      </c>
      <c r="J100" s="739">
        <v>630565</v>
      </c>
      <c r="K100" s="837" t="s">
        <v>621</v>
      </c>
      <c r="L100" s="740">
        <v>0</v>
      </c>
      <c r="M100" s="741">
        <v>5156.29</v>
      </c>
      <c r="N100" s="67">
        <v>8407</v>
      </c>
      <c r="O100" s="67">
        <v>638972</v>
      </c>
      <c r="Q100" s="674">
        <v>0</v>
      </c>
      <c r="R100" s="674" t="s">
        <v>1730</v>
      </c>
      <c r="S100" s="798" t="s">
        <v>801</v>
      </c>
      <c r="T100" s="798">
        <v>0</v>
      </c>
      <c r="U100" s="88">
        <v>638972</v>
      </c>
      <c r="V100" s="71">
        <v>123.92088109861936</v>
      </c>
      <c r="W100" s="449">
        <v>638972</v>
      </c>
      <c r="X100" s="67">
        <v>554637</v>
      </c>
      <c r="Y100" s="163">
        <v>84335</v>
      </c>
      <c r="Z100" s="166">
        <v>0.15205440675613058</v>
      </c>
      <c r="AA100" s="34" t="s">
        <v>621</v>
      </c>
      <c r="AC100" s="67"/>
      <c r="AD100" s="451"/>
      <c r="AE100" s="452"/>
      <c r="AH100" s="36"/>
      <c r="AI100" s="36"/>
      <c r="AJ100" s="36"/>
      <c r="AK100" s="19"/>
    </row>
    <row r="101" spans="1:37">
      <c r="A101" s="64" t="s">
        <v>597</v>
      </c>
      <c r="B101" s="784" t="s">
        <v>177</v>
      </c>
      <c r="C101" s="784" t="s">
        <v>1450</v>
      </c>
      <c r="D101" s="134">
        <v>260.14</v>
      </c>
      <c r="E101" s="67">
        <v>31813</v>
      </c>
      <c r="F101" s="146">
        <v>0</v>
      </c>
      <c r="G101" s="146">
        <v>0</v>
      </c>
      <c r="H101" s="91">
        <v>31813</v>
      </c>
      <c r="I101" s="67">
        <v>0</v>
      </c>
      <c r="J101" s="739">
        <v>31813</v>
      </c>
      <c r="K101" s="837" t="s">
        <v>621</v>
      </c>
      <c r="L101" s="740">
        <v>0</v>
      </c>
      <c r="M101" s="741">
        <v>260.14</v>
      </c>
      <c r="N101" s="67">
        <v>424</v>
      </c>
      <c r="O101" s="67">
        <v>32237</v>
      </c>
      <c r="Q101" s="674">
        <v>0</v>
      </c>
      <c r="R101" s="674" t="s">
        <v>1730</v>
      </c>
      <c r="S101" s="798" t="s">
        <v>801</v>
      </c>
      <c r="T101" s="798">
        <v>0</v>
      </c>
      <c r="U101" s="88">
        <v>32237</v>
      </c>
      <c r="V101" s="71">
        <v>123.9217344506804</v>
      </c>
      <c r="W101" s="449">
        <v>32237</v>
      </c>
      <c r="X101" s="67">
        <v>29934</v>
      </c>
      <c r="Y101" s="163">
        <v>2303</v>
      </c>
      <c r="Z101" s="166">
        <v>7.6935925703213739E-2</v>
      </c>
      <c r="AA101" s="34" t="s">
        <v>621</v>
      </c>
      <c r="AC101" s="67"/>
      <c r="AD101" s="451"/>
      <c r="AE101" s="452"/>
      <c r="AH101" s="36"/>
      <c r="AI101" s="36"/>
      <c r="AJ101" s="36"/>
      <c r="AK101" s="19"/>
    </row>
    <row r="102" spans="1:37">
      <c r="A102" s="64" t="s">
        <v>597</v>
      </c>
      <c r="B102" s="784" t="s">
        <v>179</v>
      </c>
      <c r="C102" s="784" t="s">
        <v>1451</v>
      </c>
      <c r="D102" s="134">
        <v>168.86</v>
      </c>
      <c r="E102" s="67">
        <v>20650</v>
      </c>
      <c r="F102" s="146">
        <v>0</v>
      </c>
      <c r="G102" s="146">
        <v>0</v>
      </c>
      <c r="H102" s="91">
        <v>20650</v>
      </c>
      <c r="I102" s="67">
        <v>0</v>
      </c>
      <c r="J102" s="739">
        <v>20650</v>
      </c>
      <c r="K102" s="837" t="s">
        <v>621</v>
      </c>
      <c r="L102" s="740">
        <v>0</v>
      </c>
      <c r="M102" s="741">
        <v>168.86</v>
      </c>
      <c r="N102" s="67">
        <v>275</v>
      </c>
      <c r="O102" s="67">
        <v>20925</v>
      </c>
      <c r="Q102" s="674">
        <v>0</v>
      </c>
      <c r="R102" s="674" t="s">
        <v>1730</v>
      </c>
      <c r="S102" s="798" t="s">
        <v>801</v>
      </c>
      <c r="T102" s="798">
        <v>0</v>
      </c>
      <c r="U102" s="88">
        <v>20925</v>
      </c>
      <c r="V102" s="71">
        <v>123.91922302499111</v>
      </c>
      <c r="W102" s="449">
        <v>20925</v>
      </c>
      <c r="X102" s="67">
        <v>18597</v>
      </c>
      <c r="Y102" s="163">
        <v>2328</v>
      </c>
      <c r="Z102" s="166">
        <v>0.12518148088401354</v>
      </c>
      <c r="AA102" s="34" t="s">
        <v>621</v>
      </c>
      <c r="AC102" s="67"/>
      <c r="AD102" s="451"/>
      <c r="AE102" s="452"/>
      <c r="AH102" s="36"/>
      <c r="AI102" s="36"/>
      <c r="AJ102" s="36"/>
      <c r="AK102" s="19"/>
    </row>
    <row r="103" spans="1:37">
      <c r="A103" s="64" t="s">
        <v>597</v>
      </c>
      <c r="B103" s="784" t="s">
        <v>181</v>
      </c>
      <c r="C103" s="784" t="s">
        <v>1452</v>
      </c>
      <c r="D103" s="134">
        <v>5516.1457142857143</v>
      </c>
      <c r="E103" s="67">
        <v>674572</v>
      </c>
      <c r="F103" s="146">
        <v>0</v>
      </c>
      <c r="G103" s="146">
        <v>0</v>
      </c>
      <c r="H103" s="91">
        <v>674572</v>
      </c>
      <c r="I103" s="67">
        <v>0</v>
      </c>
      <c r="J103" s="739">
        <v>674572</v>
      </c>
      <c r="K103" s="837" t="s">
        <v>621</v>
      </c>
      <c r="L103" s="740">
        <v>0</v>
      </c>
      <c r="M103" s="741">
        <v>5516.1457142857143</v>
      </c>
      <c r="N103" s="67">
        <v>8994</v>
      </c>
      <c r="O103" s="67">
        <v>683566</v>
      </c>
      <c r="Q103" s="674">
        <v>0</v>
      </c>
      <c r="R103" s="674" t="s">
        <v>1730</v>
      </c>
      <c r="S103" s="798" t="s">
        <v>801</v>
      </c>
      <c r="T103" s="798">
        <v>0</v>
      </c>
      <c r="U103" s="88">
        <v>683566</v>
      </c>
      <c r="V103" s="71">
        <v>123.92094687232441</v>
      </c>
      <c r="W103" s="449">
        <v>683566</v>
      </c>
      <c r="X103" s="67">
        <v>679889</v>
      </c>
      <c r="Y103" s="163">
        <v>3677</v>
      </c>
      <c r="Z103" s="166">
        <v>5.4082357561307803E-3</v>
      </c>
      <c r="AA103" s="34" t="s">
        <v>621</v>
      </c>
      <c r="AC103" s="67"/>
      <c r="AD103" s="451"/>
      <c r="AE103" s="452"/>
      <c r="AH103" s="36"/>
      <c r="AI103" s="36"/>
      <c r="AJ103" s="36"/>
      <c r="AK103" s="19"/>
    </row>
    <row r="104" spans="1:37">
      <c r="A104" s="64" t="s">
        <v>597</v>
      </c>
      <c r="B104" s="784" t="s">
        <v>183</v>
      </c>
      <c r="C104" s="784" t="s">
        <v>1453</v>
      </c>
      <c r="D104" s="134">
        <v>75.710000000000008</v>
      </c>
      <c r="E104" s="67">
        <v>9259</v>
      </c>
      <c r="F104" s="146">
        <v>0</v>
      </c>
      <c r="G104" s="146">
        <v>0</v>
      </c>
      <c r="H104" s="91">
        <v>9259</v>
      </c>
      <c r="I104" s="67">
        <v>0</v>
      </c>
      <c r="J104" s="739">
        <v>9259</v>
      </c>
      <c r="K104" s="837" t="s">
        <v>1306</v>
      </c>
      <c r="L104" s="740">
        <v>0</v>
      </c>
      <c r="M104" s="741">
        <v>75.710000000000008</v>
      </c>
      <c r="N104" s="67">
        <v>123</v>
      </c>
      <c r="O104" s="67">
        <v>9382</v>
      </c>
      <c r="Q104" s="674">
        <v>0</v>
      </c>
      <c r="R104" s="674" t="s">
        <v>1730</v>
      </c>
      <c r="S104" s="798" t="s">
        <v>801</v>
      </c>
      <c r="T104" s="798">
        <v>0</v>
      </c>
      <c r="U104" s="88">
        <v>9382</v>
      </c>
      <c r="V104" s="71">
        <v>123.92022189935278</v>
      </c>
      <c r="W104" s="449">
        <v>0</v>
      </c>
      <c r="X104" s="67">
        <v>0</v>
      </c>
      <c r="Y104" s="163">
        <v>9382</v>
      </c>
      <c r="Z104" s="166">
        <v>0</v>
      </c>
      <c r="AA104" s="34" t="s">
        <v>1306</v>
      </c>
      <c r="AC104" s="67"/>
      <c r="AD104" s="451"/>
      <c r="AE104" s="452"/>
      <c r="AH104" s="36"/>
      <c r="AI104" s="36"/>
      <c r="AJ104" s="36"/>
      <c r="AK104" s="19"/>
    </row>
    <row r="105" spans="1:37">
      <c r="A105" s="64" t="s">
        <v>597</v>
      </c>
      <c r="B105" s="784" t="s">
        <v>185</v>
      </c>
      <c r="C105" s="784" t="s">
        <v>638</v>
      </c>
      <c r="D105" s="134">
        <v>2945.57</v>
      </c>
      <c r="E105" s="67">
        <v>360215</v>
      </c>
      <c r="F105" s="146">
        <v>0</v>
      </c>
      <c r="G105" s="146">
        <v>0</v>
      </c>
      <c r="H105" s="91">
        <v>360215</v>
      </c>
      <c r="I105" s="67">
        <v>0</v>
      </c>
      <c r="J105" s="739">
        <v>360215</v>
      </c>
      <c r="K105" s="837" t="s">
        <v>621</v>
      </c>
      <c r="L105" s="740">
        <v>0</v>
      </c>
      <c r="M105" s="741">
        <v>2945.57</v>
      </c>
      <c r="N105" s="67">
        <v>4803</v>
      </c>
      <c r="O105" s="67">
        <v>365018</v>
      </c>
      <c r="Q105" s="674">
        <v>0</v>
      </c>
      <c r="R105" s="674" t="s">
        <v>1730</v>
      </c>
      <c r="S105" s="798" t="s">
        <v>801</v>
      </c>
      <c r="T105" s="798">
        <v>0</v>
      </c>
      <c r="U105" s="88">
        <v>365018</v>
      </c>
      <c r="V105" s="71">
        <v>123.92100680004209</v>
      </c>
      <c r="W105" s="449">
        <v>365018</v>
      </c>
      <c r="X105" s="67">
        <v>350163</v>
      </c>
      <c r="Y105" s="163">
        <v>14855</v>
      </c>
      <c r="Z105" s="166">
        <v>4.2423100099096708E-2</v>
      </c>
      <c r="AA105" s="34" t="s">
        <v>621</v>
      </c>
      <c r="AC105" s="67"/>
      <c r="AD105" s="451"/>
      <c r="AE105" s="452"/>
      <c r="AH105" s="36"/>
      <c r="AI105" s="36"/>
      <c r="AJ105" s="36"/>
      <c r="AK105" s="19"/>
    </row>
    <row r="106" spans="1:37">
      <c r="A106" s="64" t="s">
        <v>597</v>
      </c>
      <c r="B106" s="784" t="s">
        <v>187</v>
      </c>
      <c r="C106" s="784" t="s">
        <v>1454</v>
      </c>
      <c r="D106" s="134">
        <v>0</v>
      </c>
      <c r="E106" s="67">
        <v>0</v>
      </c>
      <c r="F106" s="146">
        <v>0</v>
      </c>
      <c r="G106" s="146">
        <v>0</v>
      </c>
      <c r="H106" s="91">
        <v>0</v>
      </c>
      <c r="I106" s="67">
        <v>0</v>
      </c>
      <c r="J106" s="739">
        <v>0</v>
      </c>
      <c r="K106" s="837" t="s">
        <v>644</v>
      </c>
      <c r="L106" s="740">
        <v>0</v>
      </c>
      <c r="M106" s="741">
        <v>0</v>
      </c>
      <c r="N106" s="67">
        <v>0</v>
      </c>
      <c r="O106" s="67">
        <v>0</v>
      </c>
      <c r="Q106" s="674">
        <v>0</v>
      </c>
      <c r="R106" s="674" t="s">
        <v>1730</v>
      </c>
      <c r="S106" s="798" t="s">
        <v>801</v>
      </c>
      <c r="T106" s="798">
        <v>0</v>
      </c>
      <c r="U106" s="88">
        <v>0</v>
      </c>
      <c r="V106" s="71">
        <v>0</v>
      </c>
      <c r="W106" s="449">
        <v>0</v>
      </c>
      <c r="X106" s="67">
        <v>0</v>
      </c>
      <c r="Y106" s="163">
        <v>0</v>
      </c>
      <c r="Z106" s="166">
        <v>0</v>
      </c>
      <c r="AA106" s="34" t="s">
        <v>644</v>
      </c>
      <c r="AC106" s="67"/>
      <c r="AD106" s="451"/>
      <c r="AE106" s="452"/>
      <c r="AH106" s="36"/>
      <c r="AI106" s="36"/>
      <c r="AJ106" s="36"/>
      <c r="AK106" s="19"/>
    </row>
    <row r="107" spans="1:37">
      <c r="A107" s="64" t="s">
        <v>597</v>
      </c>
      <c r="B107" s="784" t="s">
        <v>189</v>
      </c>
      <c r="C107" s="784" t="s">
        <v>1455</v>
      </c>
      <c r="D107" s="134">
        <v>3218.2871428571425</v>
      </c>
      <c r="E107" s="67">
        <v>393566</v>
      </c>
      <c r="F107" s="146">
        <v>0</v>
      </c>
      <c r="G107" s="146">
        <v>0</v>
      </c>
      <c r="H107" s="91">
        <v>393566</v>
      </c>
      <c r="I107" s="67">
        <v>0</v>
      </c>
      <c r="J107" s="739">
        <v>393566</v>
      </c>
      <c r="K107" s="837" t="s">
        <v>621</v>
      </c>
      <c r="L107" s="740">
        <v>0</v>
      </c>
      <c r="M107" s="741">
        <v>3218.2871428571425</v>
      </c>
      <c r="N107" s="67">
        <v>5247</v>
      </c>
      <c r="O107" s="67">
        <v>398813</v>
      </c>
      <c r="Q107" s="674">
        <v>0</v>
      </c>
      <c r="R107" s="674" t="s">
        <v>1730</v>
      </c>
      <c r="S107" s="798" t="s">
        <v>801</v>
      </c>
      <c r="T107" s="798">
        <v>0</v>
      </c>
      <c r="U107" s="88">
        <v>398813</v>
      </c>
      <c r="V107" s="71">
        <v>123.92088781920819</v>
      </c>
      <c r="W107" s="449">
        <v>398813</v>
      </c>
      <c r="X107" s="67">
        <v>357052</v>
      </c>
      <c r="Y107" s="163">
        <v>41761</v>
      </c>
      <c r="Z107" s="166">
        <v>0.11696055476513224</v>
      </c>
      <c r="AA107" s="34" t="s">
        <v>621</v>
      </c>
      <c r="AC107" s="67"/>
      <c r="AD107" s="451"/>
      <c r="AE107" s="452"/>
      <c r="AH107" s="36"/>
      <c r="AI107" s="36"/>
      <c r="AJ107" s="36"/>
      <c r="AK107" s="19"/>
    </row>
    <row r="108" spans="1:37">
      <c r="A108" s="64" t="s">
        <v>597</v>
      </c>
      <c r="B108" s="784" t="s">
        <v>191</v>
      </c>
      <c r="C108" s="784" t="s">
        <v>1456</v>
      </c>
      <c r="D108" s="134">
        <v>1015</v>
      </c>
      <c r="E108" s="67">
        <v>124125</v>
      </c>
      <c r="F108" s="146">
        <v>0</v>
      </c>
      <c r="G108" s="146">
        <v>0</v>
      </c>
      <c r="H108" s="91">
        <v>124125</v>
      </c>
      <c r="I108" s="67">
        <v>0</v>
      </c>
      <c r="J108" s="739">
        <v>124125</v>
      </c>
      <c r="K108" s="837" t="s">
        <v>621</v>
      </c>
      <c r="L108" s="740">
        <v>0</v>
      </c>
      <c r="M108" s="741">
        <v>1015</v>
      </c>
      <c r="N108" s="67">
        <v>1655</v>
      </c>
      <c r="O108" s="67">
        <v>125780</v>
      </c>
      <c r="Q108" s="674">
        <v>0</v>
      </c>
      <c r="R108" s="674" t="s">
        <v>1730</v>
      </c>
      <c r="S108" s="798" t="s">
        <v>801</v>
      </c>
      <c r="T108" s="798">
        <v>0</v>
      </c>
      <c r="U108" s="88">
        <v>125780</v>
      </c>
      <c r="V108" s="71">
        <v>123.92118226600985</v>
      </c>
      <c r="W108" s="449">
        <v>125780</v>
      </c>
      <c r="X108" s="67">
        <v>144947</v>
      </c>
      <c r="Y108" s="163">
        <v>-19167</v>
      </c>
      <c r="Z108" s="166">
        <v>-0.13223454090115697</v>
      </c>
      <c r="AA108" s="34" t="s">
        <v>621</v>
      </c>
      <c r="AC108" s="67"/>
      <c r="AD108" s="451"/>
      <c r="AE108" s="452"/>
      <c r="AH108" s="36"/>
      <c r="AI108" s="36"/>
      <c r="AJ108" s="36"/>
      <c r="AK108" s="19"/>
    </row>
    <row r="109" spans="1:37">
      <c r="A109" s="64" t="s">
        <v>597</v>
      </c>
      <c r="B109" s="784" t="s">
        <v>193</v>
      </c>
      <c r="C109" s="784" t="s">
        <v>1457</v>
      </c>
      <c r="D109" s="134">
        <v>177.72</v>
      </c>
      <c r="E109" s="67">
        <v>21733</v>
      </c>
      <c r="F109" s="146">
        <v>0</v>
      </c>
      <c r="G109" s="146">
        <v>0</v>
      </c>
      <c r="H109" s="91">
        <v>21733</v>
      </c>
      <c r="I109" s="67">
        <v>0</v>
      </c>
      <c r="J109" s="739">
        <v>21733</v>
      </c>
      <c r="K109" s="837" t="s">
        <v>621</v>
      </c>
      <c r="L109" s="740">
        <v>0</v>
      </c>
      <c r="M109" s="741">
        <v>177.72</v>
      </c>
      <c r="N109" s="67">
        <v>290</v>
      </c>
      <c r="O109" s="67">
        <v>22023</v>
      </c>
      <c r="Q109" s="674">
        <v>0</v>
      </c>
      <c r="R109" s="674" t="s">
        <v>1730</v>
      </c>
      <c r="S109" s="798" t="s">
        <v>801</v>
      </c>
      <c r="T109" s="798">
        <v>0</v>
      </c>
      <c r="U109" s="88">
        <v>22023</v>
      </c>
      <c r="V109" s="71">
        <v>123.91964888588791</v>
      </c>
      <c r="W109" s="449">
        <v>22023</v>
      </c>
      <c r="X109" s="67">
        <v>18057</v>
      </c>
      <c r="Y109" s="163">
        <v>3966</v>
      </c>
      <c r="Z109" s="166">
        <v>0.21963781359029738</v>
      </c>
      <c r="AA109" s="34" t="s">
        <v>621</v>
      </c>
      <c r="AC109" s="67"/>
      <c r="AD109" s="451"/>
      <c r="AE109" s="452"/>
      <c r="AH109" s="36"/>
      <c r="AI109" s="36"/>
      <c r="AJ109" s="36"/>
      <c r="AK109" s="19"/>
    </row>
    <row r="110" spans="1:37">
      <c r="A110" s="64" t="s">
        <v>597</v>
      </c>
      <c r="B110" s="784" t="s">
        <v>195</v>
      </c>
      <c r="C110" s="784" t="s">
        <v>1362</v>
      </c>
      <c r="D110" s="134">
        <v>3407.57</v>
      </c>
      <c r="E110" s="67">
        <v>416713</v>
      </c>
      <c r="F110" s="146">
        <v>0</v>
      </c>
      <c r="G110" s="146">
        <v>0</v>
      </c>
      <c r="H110" s="91">
        <v>416713</v>
      </c>
      <c r="I110" s="67">
        <v>0</v>
      </c>
      <c r="J110" s="739">
        <v>416713</v>
      </c>
      <c r="K110" s="837" t="s">
        <v>1306</v>
      </c>
      <c r="L110" s="740">
        <v>0</v>
      </c>
      <c r="M110" s="741">
        <v>3407.57</v>
      </c>
      <c r="N110" s="67">
        <v>5556</v>
      </c>
      <c r="O110" s="67">
        <v>422269</v>
      </c>
      <c r="Q110" s="674">
        <v>0</v>
      </c>
      <c r="R110" s="674" t="s">
        <v>1730</v>
      </c>
      <c r="S110" s="798" t="s">
        <v>801</v>
      </c>
      <c r="T110" s="798">
        <v>0</v>
      </c>
      <c r="U110" s="88">
        <v>422269</v>
      </c>
      <c r="V110" s="71">
        <v>123.9208585590318</v>
      </c>
      <c r="W110" s="449">
        <v>422269</v>
      </c>
      <c r="X110" s="67">
        <v>361948</v>
      </c>
      <c r="Y110" s="163">
        <v>60321</v>
      </c>
      <c r="Z110" s="166">
        <v>0.16665653629803176</v>
      </c>
      <c r="AA110" s="34" t="s">
        <v>1306</v>
      </c>
      <c r="AC110" s="67"/>
      <c r="AD110" s="451"/>
      <c r="AE110" s="452"/>
      <c r="AH110" s="36"/>
      <c r="AI110" s="36"/>
      <c r="AJ110" s="36"/>
      <c r="AK110" s="19"/>
    </row>
    <row r="111" spans="1:37">
      <c r="A111" s="64" t="s">
        <v>597</v>
      </c>
      <c r="B111" s="784" t="s">
        <v>197</v>
      </c>
      <c r="C111" s="784" t="s">
        <v>627</v>
      </c>
      <c r="D111" s="134">
        <v>250.14714285714288</v>
      </c>
      <c r="E111" s="67">
        <v>30591</v>
      </c>
      <c r="F111" s="146">
        <v>0</v>
      </c>
      <c r="G111" s="146">
        <v>0</v>
      </c>
      <c r="H111" s="91">
        <v>30591</v>
      </c>
      <c r="I111" s="67">
        <v>0</v>
      </c>
      <c r="J111" s="739">
        <v>30591</v>
      </c>
      <c r="K111" s="837" t="s">
        <v>621</v>
      </c>
      <c r="L111" s="740">
        <v>0</v>
      </c>
      <c r="M111" s="741">
        <v>250.14714285714288</v>
      </c>
      <c r="N111" s="67">
        <v>408</v>
      </c>
      <c r="O111" s="67">
        <v>30999</v>
      </c>
      <c r="Q111" s="674">
        <v>0</v>
      </c>
      <c r="R111" s="674" t="s">
        <v>1730</v>
      </c>
      <c r="S111" s="798" t="s">
        <v>801</v>
      </c>
      <c r="T111" s="798">
        <v>0</v>
      </c>
      <c r="U111" s="88">
        <v>30999</v>
      </c>
      <c r="V111" s="71">
        <v>123.9230624261149</v>
      </c>
      <c r="W111" s="449">
        <v>30999</v>
      </c>
      <c r="X111" s="67">
        <v>20111</v>
      </c>
      <c r="Y111" s="163">
        <v>10888</v>
      </c>
      <c r="Z111" s="166">
        <v>0.54139525632738306</v>
      </c>
      <c r="AA111" s="34" t="s">
        <v>621</v>
      </c>
      <c r="AC111" s="67"/>
      <c r="AD111" s="451"/>
      <c r="AE111" s="452"/>
      <c r="AH111" s="36"/>
      <c r="AI111" s="36"/>
      <c r="AJ111" s="36"/>
      <c r="AK111" s="19"/>
    </row>
    <row r="112" spans="1:37">
      <c r="A112" s="64" t="s">
        <v>597</v>
      </c>
      <c r="B112" s="784" t="s">
        <v>199</v>
      </c>
      <c r="C112" s="784" t="s">
        <v>1272</v>
      </c>
      <c r="D112" s="134">
        <v>204.5757142857143</v>
      </c>
      <c r="E112" s="67">
        <v>25018</v>
      </c>
      <c r="F112" s="146">
        <v>0</v>
      </c>
      <c r="G112" s="146">
        <v>0</v>
      </c>
      <c r="H112" s="91">
        <v>25018</v>
      </c>
      <c r="I112" s="67">
        <v>0</v>
      </c>
      <c r="J112" s="739">
        <v>25018</v>
      </c>
      <c r="K112" s="837" t="s">
        <v>621</v>
      </c>
      <c r="L112" s="740">
        <v>0</v>
      </c>
      <c r="M112" s="741">
        <v>204.5757142857143</v>
      </c>
      <c r="N112" s="67">
        <v>334</v>
      </c>
      <c r="O112" s="67">
        <v>25352</v>
      </c>
      <c r="Q112" s="674">
        <v>0</v>
      </c>
      <c r="R112" s="674" t="s">
        <v>1730</v>
      </c>
      <c r="S112" s="798" t="s">
        <v>801</v>
      </c>
      <c r="T112" s="798">
        <v>0</v>
      </c>
      <c r="U112" s="88">
        <v>25352</v>
      </c>
      <c r="V112" s="71">
        <v>123.92477811219038</v>
      </c>
      <c r="W112" s="449">
        <v>25352</v>
      </c>
      <c r="X112" s="67">
        <v>22706</v>
      </c>
      <c r="Y112" s="163">
        <v>2646</v>
      </c>
      <c r="Z112" s="166">
        <v>0.11653307495816084</v>
      </c>
      <c r="AA112" s="34" t="s">
        <v>621</v>
      </c>
      <c r="AC112" s="67"/>
      <c r="AD112" s="451"/>
      <c r="AE112" s="452"/>
      <c r="AH112" s="36"/>
      <c r="AI112" s="36"/>
      <c r="AJ112" s="36"/>
      <c r="AK112" s="19"/>
    </row>
    <row r="113" spans="1:37">
      <c r="A113" s="64" t="s">
        <v>597</v>
      </c>
      <c r="B113" s="786" t="s">
        <v>201</v>
      </c>
      <c r="C113" s="784" t="s">
        <v>1458</v>
      </c>
      <c r="D113" s="134">
        <v>1297.58</v>
      </c>
      <c r="E113" s="67">
        <v>158682</v>
      </c>
      <c r="F113" s="146">
        <v>0</v>
      </c>
      <c r="G113" s="146">
        <v>0</v>
      </c>
      <c r="H113" s="91">
        <v>158682</v>
      </c>
      <c r="I113" s="67">
        <v>0</v>
      </c>
      <c r="J113" s="739">
        <v>158682</v>
      </c>
      <c r="K113" s="837" t="s">
        <v>621</v>
      </c>
      <c r="L113" s="740">
        <v>0</v>
      </c>
      <c r="M113" s="741">
        <v>1297.58</v>
      </c>
      <c r="N113" s="67">
        <v>2116</v>
      </c>
      <c r="O113" s="67">
        <v>160798</v>
      </c>
      <c r="Q113" s="674">
        <v>0</v>
      </c>
      <c r="R113" s="674" t="s">
        <v>1730</v>
      </c>
      <c r="S113" s="798" t="s">
        <v>801</v>
      </c>
      <c r="T113" s="798">
        <v>0</v>
      </c>
      <c r="U113" s="88">
        <v>160798</v>
      </c>
      <c r="V113" s="71">
        <v>123.92145378319641</v>
      </c>
      <c r="W113" s="449">
        <v>160798</v>
      </c>
      <c r="X113" s="67">
        <v>156639</v>
      </c>
      <c r="Y113" s="163">
        <v>4159</v>
      </c>
      <c r="Z113" s="166">
        <v>2.6551497392092647E-2</v>
      </c>
      <c r="AA113" s="34" t="s">
        <v>621</v>
      </c>
      <c r="AC113" s="67"/>
      <c r="AD113" s="451"/>
      <c r="AE113" s="452"/>
      <c r="AH113" s="36"/>
      <c r="AI113" s="36"/>
      <c r="AJ113" s="36"/>
      <c r="AK113" s="19"/>
    </row>
    <row r="114" spans="1:37">
      <c r="A114" s="64" t="s">
        <v>597</v>
      </c>
      <c r="B114" s="784" t="s">
        <v>203</v>
      </c>
      <c r="C114" s="784" t="s">
        <v>640</v>
      </c>
      <c r="D114" s="134">
        <v>800.85428571428577</v>
      </c>
      <c r="E114" s="67">
        <v>97937</v>
      </c>
      <c r="F114" s="146">
        <v>0</v>
      </c>
      <c r="G114" s="146">
        <v>0</v>
      </c>
      <c r="H114" s="91">
        <v>97937</v>
      </c>
      <c r="I114" s="67">
        <v>0</v>
      </c>
      <c r="J114" s="739">
        <v>97937</v>
      </c>
      <c r="K114" s="837" t="s">
        <v>621</v>
      </c>
      <c r="L114" s="740">
        <v>0</v>
      </c>
      <c r="M114" s="741">
        <v>800.85428571428577</v>
      </c>
      <c r="N114" s="67">
        <v>1306</v>
      </c>
      <c r="O114" s="67">
        <v>99243</v>
      </c>
      <c r="Q114" s="674">
        <v>0</v>
      </c>
      <c r="R114" s="674" t="s">
        <v>1730</v>
      </c>
      <c r="S114" s="798" t="s">
        <v>801</v>
      </c>
      <c r="T114" s="798">
        <v>0</v>
      </c>
      <c r="U114" s="88">
        <v>99243</v>
      </c>
      <c r="V114" s="71">
        <v>123.92141962689841</v>
      </c>
      <c r="W114" s="449">
        <v>99243</v>
      </c>
      <c r="X114" s="67">
        <v>86374</v>
      </c>
      <c r="Y114" s="163">
        <v>12869</v>
      </c>
      <c r="Z114" s="166">
        <v>0.1489915946928474</v>
      </c>
      <c r="AA114" s="34" t="s">
        <v>621</v>
      </c>
      <c r="AC114" s="67"/>
      <c r="AD114" s="451"/>
      <c r="AE114" s="452"/>
      <c r="AH114" s="36"/>
      <c r="AI114" s="36"/>
      <c r="AJ114" s="36"/>
      <c r="AK114" s="19"/>
    </row>
    <row r="115" spans="1:37">
      <c r="A115" s="64" t="s">
        <v>597</v>
      </c>
      <c r="B115" s="784" t="s">
        <v>205</v>
      </c>
      <c r="C115" s="784" t="s">
        <v>1459</v>
      </c>
      <c r="D115" s="134">
        <v>3096.4342857142856</v>
      </c>
      <c r="E115" s="67">
        <v>378664</v>
      </c>
      <c r="F115" s="146">
        <v>0</v>
      </c>
      <c r="G115" s="146">
        <v>0</v>
      </c>
      <c r="H115" s="91">
        <v>378664</v>
      </c>
      <c r="I115" s="67">
        <v>0</v>
      </c>
      <c r="J115" s="739">
        <v>378664</v>
      </c>
      <c r="K115" s="837" t="s">
        <v>621</v>
      </c>
      <c r="L115" s="740">
        <v>0</v>
      </c>
      <c r="M115" s="741">
        <v>3096.4342857142856</v>
      </c>
      <c r="N115" s="67">
        <v>5049</v>
      </c>
      <c r="O115" s="67">
        <v>383713</v>
      </c>
      <c r="Q115" s="674">
        <v>0</v>
      </c>
      <c r="R115" s="674" t="s">
        <v>1730</v>
      </c>
      <c r="S115" s="798" t="s">
        <v>801</v>
      </c>
      <c r="T115" s="798">
        <v>0</v>
      </c>
      <c r="U115" s="88">
        <v>383713</v>
      </c>
      <c r="V115" s="71">
        <v>123.92092471340307</v>
      </c>
      <c r="W115" s="449">
        <v>383713</v>
      </c>
      <c r="X115" s="67">
        <v>353670</v>
      </c>
      <c r="Y115" s="163">
        <v>30043</v>
      </c>
      <c r="Z115" s="166">
        <v>8.4946418978143465E-2</v>
      </c>
      <c r="AA115" s="34" t="s">
        <v>621</v>
      </c>
      <c r="AC115" s="67"/>
      <c r="AD115" s="451"/>
      <c r="AE115" s="452"/>
      <c r="AH115" s="36"/>
      <c r="AI115" s="36"/>
      <c r="AJ115" s="36"/>
      <c r="AK115" s="19"/>
    </row>
    <row r="116" spans="1:37">
      <c r="A116" s="64" t="s">
        <v>597</v>
      </c>
      <c r="B116" s="784" t="s">
        <v>207</v>
      </c>
      <c r="C116" s="784" t="s">
        <v>1460</v>
      </c>
      <c r="D116" s="134">
        <v>5714.864285714285</v>
      </c>
      <c r="E116" s="67">
        <v>698873</v>
      </c>
      <c r="F116" s="146">
        <v>0</v>
      </c>
      <c r="G116" s="146">
        <v>0</v>
      </c>
      <c r="H116" s="91">
        <v>698873</v>
      </c>
      <c r="I116" s="67">
        <v>0</v>
      </c>
      <c r="J116" s="739">
        <v>698873</v>
      </c>
      <c r="K116" s="837" t="s">
        <v>621</v>
      </c>
      <c r="L116" s="740">
        <v>0</v>
      </c>
      <c r="M116" s="741">
        <v>5714.864285714285</v>
      </c>
      <c r="N116" s="67">
        <v>9318</v>
      </c>
      <c r="O116" s="67">
        <v>708191</v>
      </c>
      <c r="Q116" s="674">
        <v>0</v>
      </c>
      <c r="R116" s="674" t="s">
        <v>1730</v>
      </c>
      <c r="S116" s="798" t="s">
        <v>801</v>
      </c>
      <c r="T116" s="798">
        <v>0</v>
      </c>
      <c r="U116" s="88">
        <v>708191</v>
      </c>
      <c r="V116" s="71">
        <v>123.92087801110139</v>
      </c>
      <c r="W116" s="449">
        <v>708191</v>
      </c>
      <c r="X116" s="67">
        <v>676043</v>
      </c>
      <c r="Y116" s="163">
        <v>32148</v>
      </c>
      <c r="Z116" s="166">
        <v>4.7553188184775226E-2</v>
      </c>
      <c r="AA116" s="34" t="s">
        <v>621</v>
      </c>
      <c r="AC116" s="67"/>
      <c r="AD116" s="451"/>
      <c r="AE116" s="452"/>
      <c r="AH116" s="36"/>
      <c r="AI116" s="36"/>
      <c r="AJ116" s="36"/>
      <c r="AK116" s="19"/>
    </row>
    <row r="117" spans="1:37">
      <c r="A117" s="64" t="s">
        <v>597</v>
      </c>
      <c r="B117" s="784" t="s">
        <v>209</v>
      </c>
      <c r="C117" s="784" t="s">
        <v>637</v>
      </c>
      <c r="D117" s="134">
        <v>1916.5642857142859</v>
      </c>
      <c r="E117" s="67">
        <v>234377</v>
      </c>
      <c r="F117" s="146">
        <v>0</v>
      </c>
      <c r="G117" s="146">
        <v>0</v>
      </c>
      <c r="H117" s="91">
        <v>234377</v>
      </c>
      <c r="I117" s="67">
        <v>0</v>
      </c>
      <c r="J117" s="739">
        <v>234377</v>
      </c>
      <c r="K117" s="837" t="s">
        <v>621</v>
      </c>
      <c r="L117" s="740">
        <v>0</v>
      </c>
      <c r="M117" s="741">
        <v>1916.5642857142859</v>
      </c>
      <c r="N117" s="67">
        <v>3125</v>
      </c>
      <c r="O117" s="67">
        <v>237502</v>
      </c>
      <c r="Q117" s="674">
        <v>0</v>
      </c>
      <c r="R117" s="674" t="s">
        <v>1730</v>
      </c>
      <c r="S117" s="798" t="s">
        <v>801</v>
      </c>
      <c r="T117" s="798">
        <v>0</v>
      </c>
      <c r="U117" s="88">
        <v>237502</v>
      </c>
      <c r="V117" s="71">
        <v>123.92070632344335</v>
      </c>
      <c r="W117" s="449">
        <v>237502</v>
      </c>
      <c r="X117" s="67">
        <v>206978</v>
      </c>
      <c r="Y117" s="163">
        <v>30524</v>
      </c>
      <c r="Z117" s="166">
        <v>0.14747461082820396</v>
      </c>
      <c r="AA117" s="34" t="s">
        <v>621</v>
      </c>
      <c r="AC117" s="67"/>
      <c r="AD117" s="451"/>
      <c r="AE117" s="452"/>
      <c r="AH117" s="36"/>
      <c r="AI117" s="36"/>
      <c r="AJ117" s="36"/>
      <c r="AK117" s="19"/>
    </row>
    <row r="118" spans="1:37">
      <c r="A118" s="64" t="s">
        <v>597</v>
      </c>
      <c r="B118" s="784" t="s">
        <v>659</v>
      </c>
      <c r="C118" s="784" t="s">
        <v>1461</v>
      </c>
      <c r="D118" s="134">
        <v>0</v>
      </c>
      <c r="E118" s="67">
        <v>0</v>
      </c>
      <c r="F118" s="146">
        <v>0</v>
      </c>
      <c r="G118" s="146">
        <v>0</v>
      </c>
      <c r="H118" s="91">
        <v>0</v>
      </c>
      <c r="I118" s="67">
        <v>0</v>
      </c>
      <c r="J118" s="739">
        <v>0</v>
      </c>
      <c r="K118" s="837" t="s">
        <v>644</v>
      </c>
      <c r="L118" s="740">
        <v>0</v>
      </c>
      <c r="M118" s="741">
        <v>0</v>
      </c>
      <c r="N118" s="67">
        <v>0</v>
      </c>
      <c r="O118" s="67">
        <v>0</v>
      </c>
      <c r="Q118" s="674">
        <v>0</v>
      </c>
      <c r="R118" s="674" t="s">
        <v>1730</v>
      </c>
      <c r="S118" s="798" t="s">
        <v>801</v>
      </c>
      <c r="T118" s="798">
        <v>0</v>
      </c>
      <c r="U118" s="88">
        <v>0</v>
      </c>
      <c r="V118" s="71">
        <v>0</v>
      </c>
      <c r="W118" s="449">
        <v>0</v>
      </c>
      <c r="X118" s="67">
        <v>0</v>
      </c>
      <c r="Y118" s="163">
        <v>0</v>
      </c>
      <c r="Z118" s="166">
        <v>0</v>
      </c>
      <c r="AA118" s="34" t="s">
        <v>644</v>
      </c>
      <c r="AC118" s="67"/>
      <c r="AD118" s="451"/>
      <c r="AE118" s="452"/>
      <c r="AH118" s="36"/>
      <c r="AI118" s="36"/>
      <c r="AJ118" s="36"/>
      <c r="AK118" s="19"/>
    </row>
    <row r="119" spans="1:37">
      <c r="A119" s="64" t="s">
        <v>600</v>
      </c>
      <c r="B119" s="784" t="s">
        <v>211</v>
      </c>
      <c r="C119" s="784" t="s">
        <v>1462</v>
      </c>
      <c r="D119" s="134">
        <v>382.72142857142859</v>
      </c>
      <c r="E119" s="67">
        <v>46803</v>
      </c>
      <c r="F119" s="146">
        <v>0</v>
      </c>
      <c r="G119" s="146">
        <v>0</v>
      </c>
      <c r="H119" s="91">
        <v>46803</v>
      </c>
      <c r="I119" s="67">
        <v>0</v>
      </c>
      <c r="J119" s="739">
        <v>46803</v>
      </c>
      <c r="K119" s="837" t="s">
        <v>621</v>
      </c>
      <c r="L119" s="740">
        <v>0</v>
      </c>
      <c r="M119" s="741">
        <v>382.72142857142859</v>
      </c>
      <c r="N119" s="67">
        <v>624</v>
      </c>
      <c r="O119" s="67">
        <v>47427</v>
      </c>
      <c r="Q119" s="674">
        <v>0</v>
      </c>
      <c r="R119" s="674" t="s">
        <v>1730</v>
      </c>
      <c r="S119" s="798" t="s">
        <v>801</v>
      </c>
      <c r="T119" s="798">
        <v>0</v>
      </c>
      <c r="U119" s="88">
        <v>47427</v>
      </c>
      <c r="V119" s="71">
        <v>123.92041955170676</v>
      </c>
      <c r="W119" s="449">
        <v>47427</v>
      </c>
      <c r="X119" s="67">
        <v>34322</v>
      </c>
      <c r="Y119" s="163">
        <v>13105</v>
      </c>
      <c r="Z119" s="166">
        <v>0.38182506846920344</v>
      </c>
      <c r="AA119" s="34" t="s">
        <v>621</v>
      </c>
      <c r="AC119" s="67"/>
      <c r="AD119" s="451"/>
      <c r="AE119" s="452"/>
      <c r="AH119" s="36"/>
      <c r="AI119" s="36"/>
      <c r="AJ119" s="36"/>
      <c r="AK119" s="19"/>
    </row>
    <row r="120" spans="1:37">
      <c r="A120" s="64" t="s">
        <v>597</v>
      </c>
      <c r="B120" s="784" t="s">
        <v>213</v>
      </c>
      <c r="C120" s="784" t="s">
        <v>1463</v>
      </c>
      <c r="D120" s="134">
        <v>46.14</v>
      </c>
      <c r="E120" s="67">
        <v>5642</v>
      </c>
      <c r="F120" s="146">
        <v>0</v>
      </c>
      <c r="G120" s="146">
        <v>0</v>
      </c>
      <c r="H120" s="91">
        <v>5642</v>
      </c>
      <c r="I120" s="67">
        <v>0</v>
      </c>
      <c r="J120" s="739">
        <v>5642</v>
      </c>
      <c r="K120" s="837" t="s">
        <v>644</v>
      </c>
      <c r="L120" s="740">
        <v>5642</v>
      </c>
      <c r="M120" s="741">
        <v>0</v>
      </c>
      <c r="N120" s="67">
        <v>0</v>
      </c>
      <c r="O120" s="67">
        <v>0</v>
      </c>
      <c r="Q120" s="674">
        <v>0</v>
      </c>
      <c r="R120" s="674" t="s">
        <v>1730</v>
      </c>
      <c r="S120" s="798" t="s">
        <v>801</v>
      </c>
      <c r="T120" s="798">
        <v>0</v>
      </c>
      <c r="U120" s="88">
        <v>0</v>
      </c>
      <c r="V120" s="71">
        <v>0</v>
      </c>
      <c r="W120" s="449">
        <v>0</v>
      </c>
      <c r="X120" s="67">
        <v>0</v>
      </c>
      <c r="Y120" s="163">
        <v>0</v>
      </c>
      <c r="Z120" s="166">
        <v>0</v>
      </c>
      <c r="AA120" s="34" t="s">
        <v>644</v>
      </c>
      <c r="AC120" s="67"/>
      <c r="AD120" s="451"/>
      <c r="AE120" s="452"/>
      <c r="AH120" s="36"/>
      <c r="AI120" s="36"/>
      <c r="AJ120" s="36"/>
      <c r="AK120" s="19"/>
    </row>
    <row r="121" spans="1:37">
      <c r="A121" s="64" t="s">
        <v>600</v>
      </c>
      <c r="B121" s="784" t="s">
        <v>214</v>
      </c>
      <c r="C121" s="784" t="s">
        <v>625</v>
      </c>
      <c r="D121" s="134">
        <v>223.85999999999999</v>
      </c>
      <c r="E121" s="67">
        <v>27376</v>
      </c>
      <c r="F121" s="146">
        <v>0</v>
      </c>
      <c r="G121" s="146">
        <v>0</v>
      </c>
      <c r="H121" s="91">
        <v>27376</v>
      </c>
      <c r="I121" s="67">
        <v>0</v>
      </c>
      <c r="J121" s="739">
        <v>27376</v>
      </c>
      <c r="K121" s="837" t="s">
        <v>621</v>
      </c>
      <c r="L121" s="740">
        <v>0</v>
      </c>
      <c r="M121" s="741">
        <v>223.85999999999999</v>
      </c>
      <c r="N121" s="67">
        <v>365</v>
      </c>
      <c r="O121" s="67">
        <v>27741</v>
      </c>
      <c r="Q121" s="674">
        <v>0</v>
      </c>
      <c r="R121" s="674" t="s">
        <v>1730</v>
      </c>
      <c r="S121" s="798" t="s">
        <v>801</v>
      </c>
      <c r="T121" s="798">
        <v>0</v>
      </c>
      <c r="U121" s="88">
        <v>27741</v>
      </c>
      <c r="V121" s="71">
        <v>123.92120075046905</v>
      </c>
      <c r="W121" s="449">
        <v>27741</v>
      </c>
      <c r="X121" s="67">
        <v>28297</v>
      </c>
      <c r="Y121" s="163">
        <v>-556</v>
      </c>
      <c r="Z121" s="166">
        <v>-1.9648726013358306E-2</v>
      </c>
      <c r="AA121" s="34" t="s">
        <v>621</v>
      </c>
      <c r="AC121" s="67"/>
      <c r="AD121" s="451"/>
      <c r="AE121" s="452"/>
      <c r="AH121" s="36"/>
      <c r="AI121" s="36"/>
      <c r="AJ121" s="36"/>
      <c r="AK121" s="19"/>
    </row>
    <row r="122" spans="1:37">
      <c r="A122" s="64" t="s">
        <v>600</v>
      </c>
      <c r="B122" s="784" t="s">
        <v>216</v>
      </c>
      <c r="C122" s="784" t="s">
        <v>1464</v>
      </c>
      <c r="D122" s="134">
        <v>338.28999999999996</v>
      </c>
      <c r="E122" s="67">
        <v>41370</v>
      </c>
      <c r="F122" s="146">
        <v>0</v>
      </c>
      <c r="G122" s="146">
        <v>0</v>
      </c>
      <c r="H122" s="91">
        <v>41370</v>
      </c>
      <c r="I122" s="67">
        <v>0</v>
      </c>
      <c r="J122" s="739">
        <v>41370</v>
      </c>
      <c r="K122" s="837" t="s">
        <v>621</v>
      </c>
      <c r="L122" s="740">
        <v>0</v>
      </c>
      <c r="M122" s="741">
        <v>338.28999999999996</v>
      </c>
      <c r="N122" s="67">
        <v>552</v>
      </c>
      <c r="O122" s="67">
        <v>41922</v>
      </c>
      <c r="Q122" s="674">
        <v>0</v>
      </c>
      <c r="R122" s="674" t="s">
        <v>1730</v>
      </c>
      <c r="S122" s="798" t="s">
        <v>801</v>
      </c>
      <c r="T122" s="798">
        <v>0</v>
      </c>
      <c r="U122" s="88">
        <v>41922</v>
      </c>
      <c r="V122" s="71">
        <v>123.92326110733396</v>
      </c>
      <c r="W122" s="449">
        <v>41922</v>
      </c>
      <c r="X122" s="67">
        <v>40546</v>
      </c>
      <c r="Y122" s="163">
        <v>1376</v>
      </c>
      <c r="Z122" s="166">
        <v>3.3936763182558081E-2</v>
      </c>
      <c r="AA122" s="34" t="s">
        <v>621</v>
      </c>
      <c r="AC122" s="67"/>
      <c r="AD122" s="451"/>
      <c r="AE122" s="452"/>
      <c r="AH122" s="36"/>
      <c r="AI122" s="36"/>
      <c r="AJ122" s="36"/>
      <c r="AK122" s="19"/>
    </row>
    <row r="123" spans="1:37">
      <c r="A123" s="64" t="s">
        <v>600</v>
      </c>
      <c r="B123" s="784" t="s">
        <v>218</v>
      </c>
      <c r="C123" s="784" t="s">
        <v>1465</v>
      </c>
      <c r="D123" s="134">
        <v>275.0057142857143</v>
      </c>
      <c r="E123" s="67">
        <v>33631</v>
      </c>
      <c r="F123" s="146">
        <v>0</v>
      </c>
      <c r="G123" s="146">
        <v>0</v>
      </c>
      <c r="H123" s="91">
        <v>33631</v>
      </c>
      <c r="I123" s="67">
        <v>0</v>
      </c>
      <c r="J123" s="739">
        <v>33631</v>
      </c>
      <c r="K123" s="837" t="s">
        <v>621</v>
      </c>
      <c r="L123" s="740">
        <v>0</v>
      </c>
      <c r="M123" s="741">
        <v>275.0057142857143</v>
      </c>
      <c r="N123" s="67">
        <v>448</v>
      </c>
      <c r="O123" s="67">
        <v>34079</v>
      </c>
      <c r="Q123" s="674">
        <v>0</v>
      </c>
      <c r="R123" s="674" t="s">
        <v>1730</v>
      </c>
      <c r="S123" s="798" t="s">
        <v>801</v>
      </c>
      <c r="T123" s="798">
        <v>0</v>
      </c>
      <c r="U123" s="88">
        <v>34079</v>
      </c>
      <c r="V123" s="71">
        <v>123.92106138054274</v>
      </c>
      <c r="W123" s="449">
        <v>34079</v>
      </c>
      <c r="X123" s="67">
        <v>21748</v>
      </c>
      <c r="Y123" s="163">
        <v>12331</v>
      </c>
      <c r="Z123" s="166">
        <v>0.56699466617620009</v>
      </c>
      <c r="AA123" s="34" t="s">
        <v>621</v>
      </c>
      <c r="AC123" s="67"/>
      <c r="AD123" s="451"/>
      <c r="AE123" s="452"/>
      <c r="AH123" s="36"/>
      <c r="AI123" s="36"/>
      <c r="AJ123" s="36"/>
      <c r="AK123" s="19"/>
    </row>
    <row r="124" spans="1:37">
      <c r="A124" s="64" t="s">
        <v>605</v>
      </c>
      <c r="B124" s="784" t="s">
        <v>220</v>
      </c>
      <c r="C124" s="784" t="s">
        <v>1466</v>
      </c>
      <c r="D124" s="134">
        <v>0</v>
      </c>
      <c r="E124" s="67">
        <v>0</v>
      </c>
      <c r="F124" s="146">
        <v>0</v>
      </c>
      <c r="G124" s="146">
        <v>0</v>
      </c>
      <c r="H124" s="91">
        <v>0</v>
      </c>
      <c r="I124" s="67">
        <v>0</v>
      </c>
      <c r="J124" s="739">
        <v>0</v>
      </c>
      <c r="K124" s="837" t="s">
        <v>644</v>
      </c>
      <c r="L124" s="740">
        <v>0</v>
      </c>
      <c r="M124" s="741">
        <v>0</v>
      </c>
      <c r="N124" s="67">
        <v>0</v>
      </c>
      <c r="O124" s="67">
        <v>0</v>
      </c>
      <c r="Q124" s="674">
        <v>0</v>
      </c>
      <c r="R124" s="674" t="s">
        <v>1730</v>
      </c>
      <c r="S124" s="798" t="s">
        <v>801</v>
      </c>
      <c r="T124" s="798">
        <v>0</v>
      </c>
      <c r="U124" s="88">
        <v>0</v>
      </c>
      <c r="V124" s="71">
        <v>0</v>
      </c>
      <c r="W124" s="449">
        <v>0</v>
      </c>
      <c r="X124" s="67">
        <v>0</v>
      </c>
      <c r="Y124" s="163">
        <v>0</v>
      </c>
      <c r="Z124" s="166">
        <v>0</v>
      </c>
      <c r="AA124" s="34" t="s">
        <v>644</v>
      </c>
      <c r="AC124" s="67"/>
      <c r="AD124" s="451"/>
      <c r="AE124" s="452"/>
      <c r="AH124" s="36"/>
      <c r="AI124" s="36"/>
      <c r="AJ124" s="36"/>
      <c r="AK124" s="19"/>
    </row>
    <row r="125" spans="1:37">
      <c r="A125" s="64" t="s">
        <v>605</v>
      </c>
      <c r="B125" s="784" t="s">
        <v>222</v>
      </c>
      <c r="C125" s="784" t="s">
        <v>1467</v>
      </c>
      <c r="D125" s="134">
        <v>0</v>
      </c>
      <c r="E125" s="67">
        <v>0</v>
      </c>
      <c r="F125" s="146">
        <v>0</v>
      </c>
      <c r="G125" s="146">
        <v>0</v>
      </c>
      <c r="H125" s="91">
        <v>0</v>
      </c>
      <c r="I125" s="67">
        <v>0</v>
      </c>
      <c r="J125" s="739">
        <v>0</v>
      </c>
      <c r="K125" s="837" t="s">
        <v>644</v>
      </c>
      <c r="L125" s="740">
        <v>0</v>
      </c>
      <c r="M125" s="741">
        <v>0</v>
      </c>
      <c r="N125" s="67">
        <v>0</v>
      </c>
      <c r="O125" s="67">
        <v>0</v>
      </c>
      <c r="Q125" s="674">
        <v>0</v>
      </c>
      <c r="R125" s="674" t="s">
        <v>1730</v>
      </c>
      <c r="S125" s="798" t="s">
        <v>801</v>
      </c>
      <c r="T125" s="798">
        <v>0</v>
      </c>
      <c r="U125" s="88">
        <v>0</v>
      </c>
      <c r="V125" s="71">
        <v>0</v>
      </c>
      <c r="W125" s="449">
        <v>0</v>
      </c>
      <c r="X125" s="67">
        <v>1452</v>
      </c>
      <c r="Y125" s="163">
        <v>-1452</v>
      </c>
      <c r="Z125" s="166">
        <v>-1</v>
      </c>
      <c r="AA125" s="34" t="s">
        <v>644</v>
      </c>
      <c r="AC125" s="67"/>
      <c r="AD125" s="451"/>
      <c r="AE125" s="452"/>
      <c r="AH125" s="36"/>
      <c r="AI125" s="36"/>
      <c r="AJ125" s="36"/>
      <c r="AK125" s="19"/>
    </row>
    <row r="126" spans="1:37">
      <c r="A126" s="64" t="s">
        <v>605</v>
      </c>
      <c r="B126" s="784" t="s">
        <v>224</v>
      </c>
      <c r="C126" s="784" t="s">
        <v>1468</v>
      </c>
      <c r="D126" s="134">
        <v>0</v>
      </c>
      <c r="E126" s="67">
        <v>0</v>
      </c>
      <c r="F126" s="146">
        <v>0</v>
      </c>
      <c r="G126" s="146">
        <v>0</v>
      </c>
      <c r="H126" s="91">
        <v>0</v>
      </c>
      <c r="I126" s="67">
        <v>0</v>
      </c>
      <c r="J126" s="739">
        <v>0</v>
      </c>
      <c r="K126" s="837" t="s">
        <v>644</v>
      </c>
      <c r="L126" s="740">
        <v>0</v>
      </c>
      <c r="M126" s="741">
        <v>0</v>
      </c>
      <c r="N126" s="67">
        <v>0</v>
      </c>
      <c r="O126" s="67">
        <v>0</v>
      </c>
      <c r="Q126" s="674">
        <v>0</v>
      </c>
      <c r="R126" s="674" t="s">
        <v>1730</v>
      </c>
      <c r="S126" s="798" t="s">
        <v>801</v>
      </c>
      <c r="T126" s="798">
        <v>0</v>
      </c>
      <c r="U126" s="88">
        <v>0</v>
      </c>
      <c r="V126" s="71">
        <v>0</v>
      </c>
      <c r="W126" s="449">
        <v>0</v>
      </c>
      <c r="X126" s="67">
        <v>0</v>
      </c>
      <c r="Y126" s="163">
        <v>0</v>
      </c>
      <c r="Z126" s="166">
        <v>0</v>
      </c>
      <c r="AA126" s="34" t="s">
        <v>644</v>
      </c>
      <c r="AC126" s="67"/>
      <c r="AD126" s="451"/>
      <c r="AE126" s="452"/>
      <c r="AH126" s="36"/>
      <c r="AI126" s="36"/>
      <c r="AJ126" s="36"/>
      <c r="AK126" s="19"/>
    </row>
    <row r="127" spans="1:37">
      <c r="A127" s="64" t="s">
        <v>605</v>
      </c>
      <c r="B127" s="784" t="s">
        <v>226</v>
      </c>
      <c r="C127" s="784" t="s">
        <v>1469</v>
      </c>
      <c r="D127" s="134">
        <v>255.28571428571428</v>
      </c>
      <c r="E127" s="67">
        <v>31219</v>
      </c>
      <c r="F127" s="146">
        <v>0</v>
      </c>
      <c r="G127" s="146">
        <v>0</v>
      </c>
      <c r="H127" s="91">
        <v>31219</v>
      </c>
      <c r="I127" s="67">
        <v>0</v>
      </c>
      <c r="J127" s="739">
        <v>31219</v>
      </c>
      <c r="K127" s="837" t="s">
        <v>621</v>
      </c>
      <c r="L127" s="740">
        <v>0</v>
      </c>
      <c r="M127" s="741">
        <v>255.28571428571428</v>
      </c>
      <c r="N127" s="67">
        <v>416</v>
      </c>
      <c r="O127" s="67">
        <v>31635</v>
      </c>
      <c r="Q127" s="674">
        <v>0</v>
      </c>
      <c r="R127" s="674" t="s">
        <v>1730</v>
      </c>
      <c r="S127" s="798" t="s">
        <v>801</v>
      </c>
      <c r="T127" s="798">
        <v>0</v>
      </c>
      <c r="U127" s="88">
        <v>31635</v>
      </c>
      <c r="V127" s="71">
        <v>123.9199776161164</v>
      </c>
      <c r="W127" s="449">
        <v>31635</v>
      </c>
      <c r="X127" s="67">
        <v>29982</v>
      </c>
      <c r="Y127" s="163">
        <v>1653</v>
      </c>
      <c r="Z127" s="166">
        <v>5.5133079847908745E-2</v>
      </c>
      <c r="AA127" s="34" t="s">
        <v>621</v>
      </c>
      <c r="AC127" s="67"/>
      <c r="AD127" s="451"/>
      <c r="AE127" s="452"/>
      <c r="AH127" s="36"/>
      <c r="AI127" s="36"/>
      <c r="AJ127" s="36"/>
      <c r="AK127" s="19"/>
    </row>
    <row r="128" spans="1:37">
      <c r="A128" s="64" t="s">
        <v>605</v>
      </c>
      <c r="B128" s="784" t="s">
        <v>228</v>
      </c>
      <c r="C128" s="784" t="s">
        <v>1470</v>
      </c>
      <c r="D128" s="134">
        <v>52</v>
      </c>
      <c r="E128" s="67">
        <v>6359</v>
      </c>
      <c r="F128" s="146">
        <v>0</v>
      </c>
      <c r="G128" s="146">
        <v>0</v>
      </c>
      <c r="H128" s="91">
        <v>6359</v>
      </c>
      <c r="I128" s="67">
        <v>0</v>
      </c>
      <c r="J128" s="739">
        <v>6359</v>
      </c>
      <c r="K128" s="837" t="s">
        <v>1306</v>
      </c>
      <c r="L128" s="740">
        <v>0</v>
      </c>
      <c r="M128" s="741">
        <v>52</v>
      </c>
      <c r="N128" s="67">
        <v>85</v>
      </c>
      <c r="O128" s="67">
        <v>6444</v>
      </c>
      <c r="Q128" s="674">
        <v>0</v>
      </c>
      <c r="R128" s="674" t="s">
        <v>1730</v>
      </c>
      <c r="S128" s="798" t="s">
        <v>801</v>
      </c>
      <c r="T128" s="798">
        <v>0</v>
      </c>
      <c r="U128" s="88">
        <v>6444</v>
      </c>
      <c r="V128" s="71">
        <v>123.92307692307692</v>
      </c>
      <c r="W128" s="449">
        <v>0</v>
      </c>
      <c r="X128" s="67">
        <v>6426</v>
      </c>
      <c r="Y128" s="163">
        <v>18</v>
      </c>
      <c r="Z128" s="166">
        <v>2.8011204481792717E-3</v>
      </c>
      <c r="AA128" s="34" t="s">
        <v>1306</v>
      </c>
      <c r="AC128" s="67"/>
      <c r="AD128" s="451"/>
      <c r="AE128" s="452"/>
      <c r="AH128" s="36"/>
      <c r="AI128" s="36"/>
      <c r="AJ128" s="36"/>
      <c r="AK128" s="19"/>
    </row>
    <row r="129" spans="1:37">
      <c r="A129" s="64" t="s">
        <v>605</v>
      </c>
      <c r="B129" s="784" t="s">
        <v>230</v>
      </c>
      <c r="C129" s="784" t="s">
        <v>1471</v>
      </c>
      <c r="D129" s="134">
        <v>19</v>
      </c>
      <c r="E129" s="67">
        <v>2324</v>
      </c>
      <c r="F129" s="146">
        <v>0</v>
      </c>
      <c r="G129" s="146">
        <v>0</v>
      </c>
      <c r="H129" s="91">
        <v>2324</v>
      </c>
      <c r="I129" s="67">
        <v>0</v>
      </c>
      <c r="J129" s="739">
        <v>2324</v>
      </c>
      <c r="K129" s="837" t="s">
        <v>1306</v>
      </c>
      <c r="L129" s="740">
        <v>0</v>
      </c>
      <c r="M129" s="741">
        <v>19</v>
      </c>
      <c r="N129" s="67">
        <v>31</v>
      </c>
      <c r="O129" s="67">
        <v>2355</v>
      </c>
      <c r="Q129" s="674">
        <v>0</v>
      </c>
      <c r="R129" s="674" t="s">
        <v>1730</v>
      </c>
      <c r="S129" s="798" t="s">
        <v>801</v>
      </c>
      <c r="T129" s="798">
        <v>0</v>
      </c>
      <c r="U129" s="88">
        <v>2355</v>
      </c>
      <c r="V129" s="71">
        <v>123.94736842105263</v>
      </c>
      <c r="W129" s="449">
        <v>0</v>
      </c>
      <c r="X129" s="67">
        <v>2920</v>
      </c>
      <c r="Y129" s="163">
        <v>-565</v>
      </c>
      <c r="Z129" s="166">
        <v>-0.1934931506849315</v>
      </c>
      <c r="AA129" s="34" t="s">
        <v>1306</v>
      </c>
      <c r="AC129" s="67"/>
      <c r="AD129" s="451"/>
      <c r="AE129" s="452"/>
      <c r="AH129" s="36"/>
      <c r="AI129" s="36"/>
      <c r="AJ129" s="36"/>
      <c r="AK129" s="19"/>
    </row>
    <row r="130" spans="1:37">
      <c r="A130" s="64" t="s">
        <v>599</v>
      </c>
      <c r="B130" s="784" t="s">
        <v>232</v>
      </c>
      <c r="C130" s="784" t="s">
        <v>1472</v>
      </c>
      <c r="D130" s="134">
        <v>0</v>
      </c>
      <c r="E130" s="67">
        <v>0</v>
      </c>
      <c r="F130" s="146">
        <v>0</v>
      </c>
      <c r="G130" s="146">
        <v>0</v>
      </c>
      <c r="H130" s="91">
        <v>0</v>
      </c>
      <c r="I130" s="67">
        <v>0</v>
      </c>
      <c r="J130" s="739">
        <v>0</v>
      </c>
      <c r="K130" s="837" t="s">
        <v>644</v>
      </c>
      <c r="L130" s="740">
        <v>0</v>
      </c>
      <c r="M130" s="741">
        <v>0</v>
      </c>
      <c r="N130" s="67">
        <v>0</v>
      </c>
      <c r="O130" s="67">
        <v>0</v>
      </c>
      <c r="Q130" s="674">
        <v>0</v>
      </c>
      <c r="R130" s="674" t="s">
        <v>1730</v>
      </c>
      <c r="S130" s="798" t="s">
        <v>801</v>
      </c>
      <c r="T130" s="798">
        <v>0</v>
      </c>
      <c r="U130" s="88">
        <v>0</v>
      </c>
      <c r="V130" s="71">
        <v>0</v>
      </c>
      <c r="W130" s="449">
        <v>0</v>
      </c>
      <c r="X130" s="67">
        <v>0</v>
      </c>
      <c r="Y130" s="163">
        <v>0</v>
      </c>
      <c r="Z130" s="166">
        <v>0</v>
      </c>
      <c r="AA130" s="34" t="s">
        <v>644</v>
      </c>
      <c r="AC130" s="67"/>
      <c r="AD130" s="451"/>
      <c r="AE130" s="452"/>
      <c r="AH130" s="36"/>
      <c r="AI130" s="36"/>
      <c r="AJ130" s="36"/>
      <c r="AK130" s="19"/>
    </row>
    <row r="131" spans="1:37">
      <c r="A131" s="64" t="s">
        <v>605</v>
      </c>
      <c r="B131" s="784" t="s">
        <v>234</v>
      </c>
      <c r="C131" s="784" t="s">
        <v>1473</v>
      </c>
      <c r="D131" s="134">
        <v>0</v>
      </c>
      <c r="E131" s="67">
        <v>0</v>
      </c>
      <c r="F131" s="146">
        <v>0</v>
      </c>
      <c r="G131" s="146">
        <v>0</v>
      </c>
      <c r="H131" s="91">
        <v>0</v>
      </c>
      <c r="I131" s="67">
        <v>0</v>
      </c>
      <c r="J131" s="739">
        <v>0</v>
      </c>
      <c r="K131" s="837" t="s">
        <v>644</v>
      </c>
      <c r="L131" s="740">
        <v>0</v>
      </c>
      <c r="M131" s="741">
        <v>0</v>
      </c>
      <c r="N131" s="67">
        <v>0</v>
      </c>
      <c r="O131" s="67">
        <v>0</v>
      </c>
      <c r="Q131" s="674">
        <v>0</v>
      </c>
      <c r="R131" s="674" t="s">
        <v>1730</v>
      </c>
      <c r="S131" s="798" t="s">
        <v>801</v>
      </c>
      <c r="T131" s="798">
        <v>0</v>
      </c>
      <c r="U131" s="88">
        <v>0</v>
      </c>
      <c r="V131" s="71">
        <v>0</v>
      </c>
      <c r="W131" s="449">
        <v>0</v>
      </c>
      <c r="X131" s="67">
        <v>0</v>
      </c>
      <c r="Y131" s="163">
        <v>0</v>
      </c>
      <c r="Z131" s="166">
        <v>0</v>
      </c>
      <c r="AA131" s="34" t="s">
        <v>644</v>
      </c>
      <c r="AC131" s="67"/>
      <c r="AD131" s="451"/>
      <c r="AE131" s="452"/>
      <c r="AH131" s="36"/>
      <c r="AI131" s="36"/>
      <c r="AJ131" s="36"/>
      <c r="AK131" s="19"/>
    </row>
    <row r="132" spans="1:37">
      <c r="A132" s="64" t="s">
        <v>599</v>
      </c>
      <c r="B132" s="784" t="s">
        <v>236</v>
      </c>
      <c r="C132" s="784" t="s">
        <v>1474</v>
      </c>
      <c r="D132" s="134">
        <v>0</v>
      </c>
      <c r="E132" s="67">
        <v>0</v>
      </c>
      <c r="F132" s="146">
        <v>0</v>
      </c>
      <c r="G132" s="146">
        <v>0</v>
      </c>
      <c r="H132" s="91">
        <v>0</v>
      </c>
      <c r="I132" s="67">
        <v>0</v>
      </c>
      <c r="J132" s="739">
        <v>0</v>
      </c>
      <c r="K132" s="837" t="s">
        <v>644</v>
      </c>
      <c r="L132" s="740">
        <v>0</v>
      </c>
      <c r="M132" s="741">
        <v>0</v>
      </c>
      <c r="N132" s="67">
        <v>0</v>
      </c>
      <c r="O132" s="67">
        <v>0</v>
      </c>
      <c r="Q132" s="674">
        <v>0</v>
      </c>
      <c r="R132" s="674" t="s">
        <v>1730</v>
      </c>
      <c r="S132" s="798" t="s">
        <v>801</v>
      </c>
      <c r="T132" s="798">
        <v>0</v>
      </c>
      <c r="U132" s="88">
        <v>0</v>
      </c>
      <c r="V132" s="71">
        <v>0</v>
      </c>
      <c r="W132" s="449">
        <v>0</v>
      </c>
      <c r="X132" s="67">
        <v>0</v>
      </c>
      <c r="Y132" s="163">
        <v>0</v>
      </c>
      <c r="Z132" s="166">
        <v>0</v>
      </c>
      <c r="AA132" s="34" t="s">
        <v>644</v>
      </c>
      <c r="AC132" s="67"/>
      <c r="AD132" s="451"/>
      <c r="AE132" s="452"/>
      <c r="AH132" s="36"/>
      <c r="AI132" s="36"/>
      <c r="AJ132" s="36"/>
      <c r="AK132" s="19"/>
    </row>
    <row r="133" spans="1:37">
      <c r="A133" s="64" t="s">
        <v>599</v>
      </c>
      <c r="B133" s="784" t="s">
        <v>238</v>
      </c>
      <c r="C133" s="784" t="s">
        <v>1475</v>
      </c>
      <c r="D133" s="134">
        <v>6.86</v>
      </c>
      <c r="E133" s="67">
        <v>839</v>
      </c>
      <c r="F133" s="146">
        <v>0</v>
      </c>
      <c r="G133" s="146">
        <v>0</v>
      </c>
      <c r="H133" s="91">
        <v>839</v>
      </c>
      <c r="I133" s="67">
        <v>0</v>
      </c>
      <c r="J133" s="739">
        <v>839</v>
      </c>
      <c r="K133" s="837" t="s">
        <v>644</v>
      </c>
      <c r="L133" s="740">
        <v>839</v>
      </c>
      <c r="M133" s="741">
        <v>0</v>
      </c>
      <c r="N133" s="67">
        <v>0</v>
      </c>
      <c r="O133" s="67">
        <v>0</v>
      </c>
      <c r="Q133" s="674">
        <v>0</v>
      </c>
      <c r="R133" s="674" t="s">
        <v>1730</v>
      </c>
      <c r="S133" s="798" t="s">
        <v>801</v>
      </c>
      <c r="T133" s="798">
        <v>0</v>
      </c>
      <c r="U133" s="88">
        <v>0</v>
      </c>
      <c r="V133" s="71">
        <v>0</v>
      </c>
      <c r="W133" s="449">
        <v>0</v>
      </c>
      <c r="X133" s="67">
        <v>0</v>
      </c>
      <c r="Y133" s="163">
        <v>0</v>
      </c>
      <c r="Z133" s="166">
        <v>0</v>
      </c>
      <c r="AA133" s="34" t="s">
        <v>644</v>
      </c>
      <c r="AC133" s="67"/>
      <c r="AD133" s="451"/>
      <c r="AE133" s="452"/>
      <c r="AH133" s="36"/>
      <c r="AI133" s="36"/>
      <c r="AJ133" s="36"/>
      <c r="AK133" s="19"/>
    </row>
    <row r="134" spans="1:37">
      <c r="A134" s="64" t="s">
        <v>599</v>
      </c>
      <c r="B134" s="784" t="s">
        <v>240</v>
      </c>
      <c r="C134" s="784" t="s">
        <v>1476</v>
      </c>
      <c r="D134" s="134">
        <v>0</v>
      </c>
      <c r="E134" s="67">
        <v>0</v>
      </c>
      <c r="F134" s="146">
        <v>0</v>
      </c>
      <c r="G134" s="146">
        <v>0</v>
      </c>
      <c r="H134" s="91">
        <v>0</v>
      </c>
      <c r="I134" s="67">
        <v>0</v>
      </c>
      <c r="J134" s="739">
        <v>0</v>
      </c>
      <c r="K134" s="837" t="s">
        <v>644</v>
      </c>
      <c r="L134" s="740">
        <v>0</v>
      </c>
      <c r="M134" s="741">
        <v>0</v>
      </c>
      <c r="N134" s="67">
        <v>0</v>
      </c>
      <c r="O134" s="67">
        <v>0</v>
      </c>
      <c r="Q134" s="674">
        <v>0</v>
      </c>
      <c r="R134" s="674" t="s">
        <v>1730</v>
      </c>
      <c r="S134" s="798" t="s">
        <v>801</v>
      </c>
      <c r="T134" s="798">
        <v>0</v>
      </c>
      <c r="U134" s="88">
        <v>0</v>
      </c>
      <c r="V134" s="71">
        <v>0</v>
      </c>
      <c r="W134" s="449">
        <v>0</v>
      </c>
      <c r="X134" s="67">
        <v>0</v>
      </c>
      <c r="Y134" s="163">
        <v>0</v>
      </c>
      <c r="Z134" s="166">
        <v>0</v>
      </c>
      <c r="AA134" s="34" t="s">
        <v>644</v>
      </c>
      <c r="AC134" s="67"/>
      <c r="AD134" s="451"/>
      <c r="AE134" s="452"/>
      <c r="AH134" s="36"/>
      <c r="AI134" s="36"/>
      <c r="AJ134" s="36"/>
      <c r="AK134" s="19"/>
    </row>
    <row r="135" spans="1:37">
      <c r="A135" s="64" t="s">
        <v>599</v>
      </c>
      <c r="B135" s="784" t="s">
        <v>242</v>
      </c>
      <c r="C135" s="784" t="s">
        <v>1477</v>
      </c>
      <c r="D135" s="134">
        <v>0</v>
      </c>
      <c r="E135" s="67">
        <v>0</v>
      </c>
      <c r="F135" s="146">
        <v>0</v>
      </c>
      <c r="G135" s="146">
        <v>0</v>
      </c>
      <c r="H135" s="91">
        <v>0</v>
      </c>
      <c r="I135" s="67">
        <v>0</v>
      </c>
      <c r="J135" s="739">
        <v>0</v>
      </c>
      <c r="K135" s="837" t="s">
        <v>644</v>
      </c>
      <c r="L135" s="740">
        <v>0</v>
      </c>
      <c r="M135" s="741">
        <v>0</v>
      </c>
      <c r="N135" s="67">
        <v>0</v>
      </c>
      <c r="O135" s="67">
        <v>0</v>
      </c>
      <c r="Q135" s="674">
        <v>0</v>
      </c>
      <c r="R135" s="674" t="s">
        <v>1730</v>
      </c>
      <c r="S135" s="798" t="s">
        <v>801</v>
      </c>
      <c r="T135" s="798">
        <v>0</v>
      </c>
      <c r="U135" s="88">
        <v>0</v>
      </c>
      <c r="V135" s="71">
        <v>0</v>
      </c>
      <c r="W135" s="449">
        <v>0</v>
      </c>
      <c r="X135" s="67">
        <v>0</v>
      </c>
      <c r="Y135" s="163">
        <v>0</v>
      </c>
      <c r="Z135" s="166">
        <v>0</v>
      </c>
      <c r="AA135" s="34" t="s">
        <v>644</v>
      </c>
      <c r="AC135" s="67"/>
      <c r="AD135" s="451"/>
      <c r="AE135" s="452"/>
      <c r="AH135" s="36"/>
      <c r="AI135" s="36"/>
      <c r="AJ135" s="36"/>
      <c r="AK135" s="19"/>
    </row>
    <row r="136" spans="1:37">
      <c r="A136" s="64" t="s">
        <v>599</v>
      </c>
      <c r="B136" s="784" t="s">
        <v>244</v>
      </c>
      <c r="C136" s="784" t="s">
        <v>1478</v>
      </c>
      <c r="D136" s="134">
        <v>13.86</v>
      </c>
      <c r="E136" s="67">
        <v>1695</v>
      </c>
      <c r="F136" s="146">
        <v>0</v>
      </c>
      <c r="G136" s="146">
        <v>0</v>
      </c>
      <c r="H136" s="91">
        <v>1695</v>
      </c>
      <c r="I136" s="67">
        <v>0</v>
      </c>
      <c r="J136" s="739">
        <v>1695</v>
      </c>
      <c r="K136" s="837" t="s">
        <v>644</v>
      </c>
      <c r="L136" s="740">
        <v>1695</v>
      </c>
      <c r="M136" s="741">
        <v>0</v>
      </c>
      <c r="N136" s="67">
        <v>0</v>
      </c>
      <c r="O136" s="67">
        <v>0</v>
      </c>
      <c r="Q136" s="674">
        <v>0</v>
      </c>
      <c r="R136" s="674" t="s">
        <v>1730</v>
      </c>
      <c r="S136" s="798" t="s">
        <v>801</v>
      </c>
      <c r="T136" s="798">
        <v>0</v>
      </c>
      <c r="U136" s="88">
        <v>0</v>
      </c>
      <c r="V136" s="71">
        <v>0</v>
      </c>
      <c r="W136" s="449">
        <v>0</v>
      </c>
      <c r="X136" s="67">
        <v>0</v>
      </c>
      <c r="Y136" s="163">
        <v>0</v>
      </c>
      <c r="Z136" s="166">
        <v>0</v>
      </c>
      <c r="AA136" s="34" t="s">
        <v>644</v>
      </c>
      <c r="AC136" s="67"/>
      <c r="AD136" s="451"/>
      <c r="AE136" s="452"/>
      <c r="AH136" s="36"/>
      <c r="AI136" s="36"/>
      <c r="AJ136" s="36"/>
      <c r="AK136" s="19"/>
    </row>
    <row r="137" spans="1:37">
      <c r="A137" s="64" t="s">
        <v>605</v>
      </c>
      <c r="B137" s="784" t="s">
        <v>246</v>
      </c>
      <c r="C137" s="784" t="s">
        <v>1479</v>
      </c>
      <c r="D137" s="134">
        <v>28.852857142857143</v>
      </c>
      <c r="E137" s="67">
        <v>3528</v>
      </c>
      <c r="F137" s="146">
        <v>0</v>
      </c>
      <c r="G137" s="146">
        <v>0</v>
      </c>
      <c r="H137" s="91">
        <v>3528</v>
      </c>
      <c r="I137" s="67">
        <v>0</v>
      </c>
      <c r="J137" s="739">
        <v>3528</v>
      </c>
      <c r="K137" s="837" t="s">
        <v>1306</v>
      </c>
      <c r="L137" s="740">
        <v>0</v>
      </c>
      <c r="M137" s="741">
        <v>28.852857142857143</v>
      </c>
      <c r="N137" s="67">
        <v>47</v>
      </c>
      <c r="O137" s="67">
        <v>3575</v>
      </c>
      <c r="Q137" s="674">
        <v>0</v>
      </c>
      <c r="R137" s="674" t="s">
        <v>1730</v>
      </c>
      <c r="S137" s="798" t="s">
        <v>801</v>
      </c>
      <c r="T137" s="798">
        <v>0</v>
      </c>
      <c r="U137" s="88">
        <v>3575</v>
      </c>
      <c r="V137" s="71">
        <v>123.90454027825915</v>
      </c>
      <c r="W137" s="449">
        <v>0</v>
      </c>
      <c r="X137" s="67">
        <v>3521</v>
      </c>
      <c r="Y137" s="163">
        <v>54</v>
      </c>
      <c r="Z137" s="166">
        <v>1.5336552115876171E-2</v>
      </c>
      <c r="AA137" s="34" t="s">
        <v>1306</v>
      </c>
      <c r="AC137" s="67"/>
      <c r="AD137" s="451"/>
      <c r="AE137" s="452"/>
      <c r="AH137" s="36"/>
      <c r="AI137" s="36"/>
      <c r="AJ137" s="36"/>
      <c r="AK137" s="19"/>
    </row>
    <row r="138" spans="1:37">
      <c r="A138" s="64" t="s">
        <v>599</v>
      </c>
      <c r="B138" s="784" t="s">
        <v>248</v>
      </c>
      <c r="C138" s="784" t="s">
        <v>1480</v>
      </c>
      <c r="D138" s="134">
        <v>197.28</v>
      </c>
      <c r="E138" s="67">
        <v>24125</v>
      </c>
      <c r="F138" s="146">
        <v>0</v>
      </c>
      <c r="G138" s="146">
        <v>0</v>
      </c>
      <c r="H138" s="91">
        <v>24125</v>
      </c>
      <c r="I138" s="67">
        <v>0</v>
      </c>
      <c r="J138" s="739">
        <v>24125</v>
      </c>
      <c r="K138" s="837" t="s">
        <v>621</v>
      </c>
      <c r="L138" s="740">
        <v>0</v>
      </c>
      <c r="M138" s="741">
        <v>197.28</v>
      </c>
      <c r="N138" s="67">
        <v>322</v>
      </c>
      <c r="O138" s="67">
        <v>24447</v>
      </c>
      <c r="Q138" s="674">
        <v>0</v>
      </c>
      <c r="R138" s="674" t="s">
        <v>1730</v>
      </c>
      <c r="S138" s="798" t="s">
        <v>801</v>
      </c>
      <c r="T138" s="798">
        <v>0</v>
      </c>
      <c r="U138" s="88">
        <v>24447</v>
      </c>
      <c r="V138" s="71">
        <v>123.92031630170317</v>
      </c>
      <c r="W138" s="449">
        <v>24447</v>
      </c>
      <c r="X138" s="67">
        <v>23787</v>
      </c>
      <c r="Y138" s="163">
        <v>660</v>
      </c>
      <c r="Z138" s="166">
        <v>2.7746247950561232E-2</v>
      </c>
      <c r="AA138" s="34" t="s">
        <v>621</v>
      </c>
      <c r="AC138" s="67"/>
      <c r="AD138" s="451"/>
      <c r="AE138" s="452"/>
      <c r="AH138" s="36"/>
      <c r="AI138" s="36"/>
      <c r="AJ138" s="36"/>
      <c r="AK138" s="19"/>
    </row>
    <row r="139" spans="1:37">
      <c r="A139" s="64" t="s">
        <v>599</v>
      </c>
      <c r="B139" s="784" t="s">
        <v>250</v>
      </c>
      <c r="C139" s="784" t="s">
        <v>1481</v>
      </c>
      <c r="D139" s="134">
        <v>10.57</v>
      </c>
      <c r="E139" s="67">
        <v>1293</v>
      </c>
      <c r="F139" s="146">
        <v>0</v>
      </c>
      <c r="G139" s="146">
        <v>0</v>
      </c>
      <c r="H139" s="91">
        <v>1293</v>
      </c>
      <c r="I139" s="67">
        <v>0</v>
      </c>
      <c r="J139" s="739">
        <v>1293</v>
      </c>
      <c r="K139" s="837" t="s">
        <v>644</v>
      </c>
      <c r="L139" s="740">
        <v>1293</v>
      </c>
      <c r="M139" s="741">
        <v>0</v>
      </c>
      <c r="N139" s="67">
        <v>0</v>
      </c>
      <c r="O139" s="67">
        <v>0</v>
      </c>
      <c r="Q139" s="674">
        <v>0</v>
      </c>
      <c r="R139" s="674" t="s">
        <v>1730</v>
      </c>
      <c r="S139" s="798" t="s">
        <v>801</v>
      </c>
      <c r="T139" s="798">
        <v>0</v>
      </c>
      <c r="U139" s="88">
        <v>0</v>
      </c>
      <c r="V139" s="71">
        <v>0</v>
      </c>
      <c r="W139" s="449">
        <v>0</v>
      </c>
      <c r="X139" s="67">
        <v>0</v>
      </c>
      <c r="Y139" s="163">
        <v>0</v>
      </c>
      <c r="Z139" s="166">
        <v>0</v>
      </c>
      <c r="AA139" s="34" t="s">
        <v>644</v>
      </c>
      <c r="AC139" s="67"/>
      <c r="AD139" s="451"/>
      <c r="AE139" s="452"/>
      <c r="AH139" s="36"/>
      <c r="AI139" s="36"/>
      <c r="AJ139" s="36"/>
      <c r="AK139" s="19"/>
    </row>
    <row r="140" spans="1:37">
      <c r="A140" s="64" t="s">
        <v>594</v>
      </c>
      <c r="B140" s="784" t="s">
        <v>252</v>
      </c>
      <c r="C140" s="784" t="s">
        <v>1482</v>
      </c>
      <c r="D140" s="134">
        <v>23.57</v>
      </c>
      <c r="E140" s="67">
        <v>2882</v>
      </c>
      <c r="F140" s="146">
        <v>0</v>
      </c>
      <c r="G140" s="146">
        <v>0</v>
      </c>
      <c r="H140" s="91">
        <v>2882</v>
      </c>
      <c r="I140" s="67">
        <v>0</v>
      </c>
      <c r="J140" s="739">
        <v>2882</v>
      </c>
      <c r="K140" s="837" t="s">
        <v>644</v>
      </c>
      <c r="L140" s="740">
        <v>2882</v>
      </c>
      <c r="M140" s="741">
        <v>0</v>
      </c>
      <c r="N140" s="67">
        <v>0</v>
      </c>
      <c r="O140" s="67">
        <v>0</v>
      </c>
      <c r="Q140" s="674">
        <v>0</v>
      </c>
      <c r="R140" s="674" t="s">
        <v>1730</v>
      </c>
      <c r="S140" s="798" t="s">
        <v>801</v>
      </c>
      <c r="T140" s="798">
        <v>0</v>
      </c>
      <c r="U140" s="88">
        <v>0</v>
      </c>
      <c r="V140" s="71">
        <v>0</v>
      </c>
      <c r="W140" s="449">
        <v>0</v>
      </c>
      <c r="X140" s="67">
        <v>0</v>
      </c>
      <c r="Y140" s="163">
        <v>0</v>
      </c>
      <c r="Z140" s="166">
        <v>0</v>
      </c>
      <c r="AA140" s="34" t="s">
        <v>644</v>
      </c>
      <c r="AC140" s="67"/>
      <c r="AD140" s="451"/>
      <c r="AE140" s="452"/>
      <c r="AH140" s="36"/>
      <c r="AI140" s="36"/>
      <c r="AJ140" s="36"/>
      <c r="AK140" s="19"/>
    </row>
    <row r="141" spans="1:37">
      <c r="A141" s="64" t="s">
        <v>594</v>
      </c>
      <c r="B141" s="784" t="s">
        <v>256</v>
      </c>
      <c r="C141" s="784" t="s">
        <v>1483</v>
      </c>
      <c r="D141" s="134">
        <v>5.57</v>
      </c>
      <c r="E141" s="67">
        <v>681</v>
      </c>
      <c r="F141" s="146">
        <v>0</v>
      </c>
      <c r="G141" s="146">
        <v>0</v>
      </c>
      <c r="H141" s="91">
        <v>681</v>
      </c>
      <c r="I141" s="67">
        <v>0</v>
      </c>
      <c r="J141" s="739">
        <v>681</v>
      </c>
      <c r="K141" s="837" t="s">
        <v>644</v>
      </c>
      <c r="L141" s="740">
        <v>681</v>
      </c>
      <c r="M141" s="741">
        <v>0</v>
      </c>
      <c r="N141" s="67">
        <v>0</v>
      </c>
      <c r="O141" s="67">
        <v>0</v>
      </c>
      <c r="Q141" s="674">
        <v>0</v>
      </c>
      <c r="R141" s="674" t="s">
        <v>1730</v>
      </c>
      <c r="S141" s="798" t="s">
        <v>801</v>
      </c>
      <c r="T141" s="798">
        <v>0</v>
      </c>
      <c r="U141" s="88">
        <v>0</v>
      </c>
      <c r="V141" s="71">
        <v>0</v>
      </c>
      <c r="W141" s="449">
        <v>0</v>
      </c>
      <c r="X141" s="67">
        <v>0</v>
      </c>
      <c r="Y141" s="163">
        <v>0</v>
      </c>
      <c r="Z141" s="166">
        <v>0</v>
      </c>
      <c r="AA141" s="34" t="s">
        <v>644</v>
      </c>
      <c r="AC141" s="67"/>
      <c r="AD141" s="451"/>
      <c r="AE141" s="452"/>
      <c r="AH141" s="36"/>
      <c r="AI141" s="36"/>
      <c r="AJ141" s="36"/>
      <c r="AK141" s="19"/>
    </row>
    <row r="142" spans="1:37">
      <c r="A142" s="64" t="s">
        <v>594</v>
      </c>
      <c r="B142" s="784" t="s">
        <v>258</v>
      </c>
      <c r="C142" s="784" t="s">
        <v>1356</v>
      </c>
      <c r="D142" s="134">
        <v>57.14</v>
      </c>
      <c r="E142" s="67">
        <v>6988</v>
      </c>
      <c r="F142" s="146">
        <v>0</v>
      </c>
      <c r="G142" s="146">
        <v>0</v>
      </c>
      <c r="H142" s="91">
        <v>6988</v>
      </c>
      <c r="I142" s="67">
        <v>0</v>
      </c>
      <c r="J142" s="739">
        <v>6988</v>
      </c>
      <c r="K142" s="837" t="s">
        <v>1306</v>
      </c>
      <c r="L142" s="740">
        <v>0</v>
      </c>
      <c r="M142" s="741">
        <v>57.14</v>
      </c>
      <c r="N142" s="67">
        <v>93</v>
      </c>
      <c r="O142" s="67">
        <v>7081</v>
      </c>
      <c r="Q142" s="674">
        <v>0</v>
      </c>
      <c r="R142" s="674" t="s">
        <v>1730</v>
      </c>
      <c r="S142" s="798" t="s">
        <v>801</v>
      </c>
      <c r="T142" s="798">
        <v>0</v>
      </c>
      <c r="U142" s="88">
        <v>7081</v>
      </c>
      <c r="V142" s="71">
        <v>123.92369618480924</v>
      </c>
      <c r="W142" s="449">
        <v>0</v>
      </c>
      <c r="X142" s="67">
        <v>7383</v>
      </c>
      <c r="Y142" s="163">
        <v>-302</v>
      </c>
      <c r="Z142" s="166">
        <v>-4.0904781254232699E-2</v>
      </c>
      <c r="AA142" s="34" t="s">
        <v>1306</v>
      </c>
      <c r="AC142" s="67"/>
      <c r="AD142" s="451"/>
      <c r="AE142" s="452"/>
      <c r="AH142" s="36"/>
      <c r="AI142" s="36"/>
      <c r="AJ142" s="36"/>
      <c r="AK142" s="19"/>
    </row>
    <row r="143" spans="1:37">
      <c r="A143" s="64" t="s">
        <v>594</v>
      </c>
      <c r="B143" s="784" t="s">
        <v>260</v>
      </c>
      <c r="C143" s="784" t="s">
        <v>1484</v>
      </c>
      <c r="D143" s="134">
        <v>0</v>
      </c>
      <c r="E143" s="67">
        <v>0</v>
      </c>
      <c r="F143" s="146">
        <v>0</v>
      </c>
      <c r="G143" s="146">
        <v>0</v>
      </c>
      <c r="H143" s="91">
        <v>0</v>
      </c>
      <c r="I143" s="67">
        <v>0</v>
      </c>
      <c r="J143" s="739">
        <v>0</v>
      </c>
      <c r="K143" s="837" t="s">
        <v>644</v>
      </c>
      <c r="L143" s="740">
        <v>0</v>
      </c>
      <c r="M143" s="741">
        <v>0</v>
      </c>
      <c r="N143" s="67">
        <v>0</v>
      </c>
      <c r="O143" s="67">
        <v>0</v>
      </c>
      <c r="Q143" s="674">
        <v>0</v>
      </c>
      <c r="R143" s="674" t="s">
        <v>1730</v>
      </c>
      <c r="S143" s="798" t="s">
        <v>801</v>
      </c>
      <c r="T143" s="798">
        <v>0</v>
      </c>
      <c r="U143" s="88">
        <v>0</v>
      </c>
      <c r="V143" s="71">
        <v>0</v>
      </c>
      <c r="W143" s="449">
        <v>0</v>
      </c>
      <c r="X143" s="67">
        <v>0</v>
      </c>
      <c r="Y143" s="163">
        <v>0</v>
      </c>
      <c r="Z143" s="166">
        <v>0</v>
      </c>
      <c r="AA143" s="34" t="s">
        <v>644</v>
      </c>
      <c r="AC143" s="67"/>
      <c r="AD143" s="451"/>
      <c r="AE143" s="452"/>
      <c r="AH143" s="36"/>
      <c r="AI143" s="36"/>
      <c r="AJ143" s="36"/>
      <c r="AK143" s="19"/>
    </row>
    <row r="144" spans="1:37">
      <c r="A144" s="64" t="s">
        <v>594</v>
      </c>
      <c r="B144" s="784" t="s">
        <v>262</v>
      </c>
      <c r="C144" s="784" t="s">
        <v>1485</v>
      </c>
      <c r="D144" s="134">
        <v>0</v>
      </c>
      <c r="E144" s="67">
        <v>0</v>
      </c>
      <c r="F144" s="146">
        <v>0</v>
      </c>
      <c r="G144" s="146">
        <v>0</v>
      </c>
      <c r="H144" s="91">
        <v>0</v>
      </c>
      <c r="I144" s="67">
        <v>0</v>
      </c>
      <c r="J144" s="739">
        <v>0</v>
      </c>
      <c r="K144" s="837" t="s">
        <v>644</v>
      </c>
      <c r="L144" s="740">
        <v>0</v>
      </c>
      <c r="M144" s="741">
        <v>0</v>
      </c>
      <c r="N144" s="67">
        <v>0</v>
      </c>
      <c r="O144" s="67">
        <v>0</v>
      </c>
      <c r="Q144" s="674">
        <v>0</v>
      </c>
      <c r="R144" s="674" t="s">
        <v>1730</v>
      </c>
      <c r="S144" s="798" t="s">
        <v>801</v>
      </c>
      <c r="T144" s="798">
        <v>0</v>
      </c>
      <c r="U144" s="88">
        <v>0</v>
      </c>
      <c r="V144" s="71">
        <v>0</v>
      </c>
      <c r="W144" s="449">
        <v>0</v>
      </c>
      <c r="X144" s="67">
        <v>0</v>
      </c>
      <c r="Y144" s="163">
        <v>0</v>
      </c>
      <c r="Z144" s="166">
        <v>0</v>
      </c>
      <c r="AA144" s="34" t="s">
        <v>644</v>
      </c>
      <c r="AC144" s="67"/>
      <c r="AD144" s="451"/>
      <c r="AE144" s="452"/>
      <c r="AH144" s="36"/>
      <c r="AI144" s="36"/>
      <c r="AJ144" s="36"/>
      <c r="AK144" s="19"/>
    </row>
    <row r="145" spans="1:37">
      <c r="A145" s="64" t="s">
        <v>594</v>
      </c>
      <c r="B145" s="784" t="s">
        <v>264</v>
      </c>
      <c r="C145" s="784" t="s">
        <v>1486</v>
      </c>
      <c r="D145" s="134">
        <v>89.710000000000008</v>
      </c>
      <c r="E145" s="67">
        <v>10971</v>
      </c>
      <c r="F145" s="146">
        <v>0</v>
      </c>
      <c r="G145" s="146">
        <v>0</v>
      </c>
      <c r="H145" s="91">
        <v>10971</v>
      </c>
      <c r="I145" s="67">
        <v>0</v>
      </c>
      <c r="J145" s="739">
        <v>10971</v>
      </c>
      <c r="K145" s="837" t="s">
        <v>621</v>
      </c>
      <c r="L145" s="740">
        <v>0</v>
      </c>
      <c r="M145" s="741">
        <v>89.710000000000008</v>
      </c>
      <c r="N145" s="67">
        <v>146</v>
      </c>
      <c r="O145" s="67">
        <v>11117</v>
      </c>
      <c r="Q145" s="674">
        <v>0</v>
      </c>
      <c r="R145" s="674" t="s">
        <v>1730</v>
      </c>
      <c r="S145" s="798" t="s">
        <v>801</v>
      </c>
      <c r="T145" s="798">
        <v>0</v>
      </c>
      <c r="U145" s="88">
        <v>11117</v>
      </c>
      <c r="V145" s="71">
        <v>123.92152491361051</v>
      </c>
      <c r="W145" s="449">
        <v>11117</v>
      </c>
      <c r="X145" s="67">
        <v>12002</v>
      </c>
      <c r="Y145" s="163">
        <v>-885</v>
      </c>
      <c r="Z145" s="166">
        <v>-7.3737710381603067E-2</v>
      </c>
      <c r="AA145" s="34" t="s">
        <v>621</v>
      </c>
      <c r="AC145" s="67"/>
      <c r="AD145" s="451"/>
      <c r="AE145" s="452"/>
      <c r="AH145" s="36"/>
      <c r="AI145" s="36"/>
      <c r="AJ145" s="36"/>
      <c r="AK145" s="19"/>
    </row>
    <row r="146" spans="1:37">
      <c r="A146" s="64" t="s">
        <v>594</v>
      </c>
      <c r="B146" s="784" t="s">
        <v>266</v>
      </c>
      <c r="C146" s="784" t="s">
        <v>1487</v>
      </c>
      <c r="D146" s="134">
        <v>2.8600000000000003</v>
      </c>
      <c r="E146" s="67">
        <v>350</v>
      </c>
      <c r="F146" s="146">
        <v>0</v>
      </c>
      <c r="G146" s="146">
        <v>0</v>
      </c>
      <c r="H146" s="91">
        <v>350</v>
      </c>
      <c r="I146" s="67">
        <v>0</v>
      </c>
      <c r="J146" s="739">
        <v>350</v>
      </c>
      <c r="K146" s="837" t="s">
        <v>644</v>
      </c>
      <c r="L146" s="740">
        <v>350</v>
      </c>
      <c r="M146" s="741">
        <v>0</v>
      </c>
      <c r="N146" s="67">
        <v>0</v>
      </c>
      <c r="O146" s="67">
        <v>0</v>
      </c>
      <c r="Q146" s="674">
        <v>0</v>
      </c>
      <c r="R146" s="674" t="s">
        <v>1730</v>
      </c>
      <c r="S146" s="798" t="s">
        <v>801</v>
      </c>
      <c r="T146" s="798">
        <v>0</v>
      </c>
      <c r="U146" s="88">
        <v>0</v>
      </c>
      <c r="V146" s="71">
        <v>0</v>
      </c>
      <c r="W146" s="449">
        <v>0</v>
      </c>
      <c r="X146" s="67">
        <v>0</v>
      </c>
      <c r="Y146" s="163">
        <v>0</v>
      </c>
      <c r="Z146" s="166">
        <v>0</v>
      </c>
      <c r="AA146" s="34" t="s">
        <v>644</v>
      </c>
      <c r="AC146" s="67"/>
      <c r="AD146" s="451"/>
      <c r="AE146" s="452"/>
      <c r="AH146" s="36"/>
      <c r="AI146" s="36"/>
      <c r="AJ146" s="36"/>
      <c r="AK146" s="19"/>
    </row>
    <row r="147" spans="1:37">
      <c r="A147" s="64" t="s">
        <v>594</v>
      </c>
      <c r="B147" s="784" t="s">
        <v>268</v>
      </c>
      <c r="C147" s="784" t="s">
        <v>1488</v>
      </c>
      <c r="D147" s="134">
        <v>7.57</v>
      </c>
      <c r="E147" s="67">
        <v>926</v>
      </c>
      <c r="F147" s="146">
        <v>0</v>
      </c>
      <c r="G147" s="146">
        <v>0</v>
      </c>
      <c r="H147" s="91">
        <v>926</v>
      </c>
      <c r="I147" s="67">
        <v>0</v>
      </c>
      <c r="J147" s="739">
        <v>926</v>
      </c>
      <c r="K147" s="837" t="s">
        <v>644</v>
      </c>
      <c r="L147" s="740">
        <v>926</v>
      </c>
      <c r="M147" s="741">
        <v>0</v>
      </c>
      <c r="N147" s="67">
        <v>0</v>
      </c>
      <c r="O147" s="67">
        <v>0</v>
      </c>
      <c r="Q147" s="674">
        <v>0</v>
      </c>
      <c r="R147" s="674" t="s">
        <v>1730</v>
      </c>
      <c r="S147" s="798" t="s">
        <v>801</v>
      </c>
      <c r="T147" s="798">
        <v>0</v>
      </c>
      <c r="U147" s="88">
        <v>0</v>
      </c>
      <c r="V147" s="71">
        <v>0</v>
      </c>
      <c r="W147" s="449">
        <v>0</v>
      </c>
      <c r="X147" s="67">
        <v>0</v>
      </c>
      <c r="Y147" s="163">
        <v>0</v>
      </c>
      <c r="Z147" s="166">
        <v>0</v>
      </c>
      <c r="AA147" s="34" t="s">
        <v>644</v>
      </c>
      <c r="AC147" s="67"/>
      <c r="AD147" s="451"/>
      <c r="AE147" s="452"/>
      <c r="AH147" s="36"/>
      <c r="AI147" s="36"/>
      <c r="AJ147" s="36"/>
      <c r="AK147" s="19"/>
    </row>
    <row r="148" spans="1:37">
      <c r="A148" s="64" t="s">
        <v>594</v>
      </c>
      <c r="B148" s="784" t="s">
        <v>270</v>
      </c>
      <c r="C148" s="784" t="s">
        <v>1489</v>
      </c>
      <c r="D148" s="134">
        <v>34.28</v>
      </c>
      <c r="E148" s="67">
        <v>4192</v>
      </c>
      <c r="F148" s="146">
        <v>0</v>
      </c>
      <c r="G148" s="146">
        <v>0</v>
      </c>
      <c r="H148" s="91">
        <v>4192</v>
      </c>
      <c r="I148" s="67">
        <v>0</v>
      </c>
      <c r="J148" s="739">
        <v>4192</v>
      </c>
      <c r="K148" s="837" t="s">
        <v>1306</v>
      </c>
      <c r="L148" s="740">
        <v>0</v>
      </c>
      <c r="M148" s="741">
        <v>34.28</v>
      </c>
      <c r="N148" s="67">
        <v>56</v>
      </c>
      <c r="O148" s="67">
        <v>4248</v>
      </c>
      <c r="Q148" s="674">
        <v>0</v>
      </c>
      <c r="R148" s="674" t="s">
        <v>1730</v>
      </c>
      <c r="S148" s="798" t="s">
        <v>801</v>
      </c>
      <c r="T148" s="798">
        <v>0</v>
      </c>
      <c r="U148" s="88">
        <v>4248</v>
      </c>
      <c r="V148" s="71">
        <v>123.92065344224036</v>
      </c>
      <c r="W148" s="449">
        <v>0</v>
      </c>
      <c r="X148" s="67">
        <v>4170</v>
      </c>
      <c r="Y148" s="163">
        <v>78</v>
      </c>
      <c r="Z148" s="166">
        <v>1.870503597122302E-2</v>
      </c>
      <c r="AA148" s="34" t="s">
        <v>1306</v>
      </c>
      <c r="AC148" s="67"/>
      <c r="AD148" s="451"/>
      <c r="AE148" s="452"/>
      <c r="AH148" s="36"/>
      <c r="AI148" s="36"/>
      <c r="AJ148" s="36"/>
      <c r="AK148" s="19"/>
    </row>
    <row r="149" spans="1:37">
      <c r="A149" s="64" t="s">
        <v>594</v>
      </c>
      <c r="B149" s="784" t="s">
        <v>272</v>
      </c>
      <c r="C149" s="784" t="s">
        <v>1490</v>
      </c>
      <c r="D149" s="134">
        <v>0</v>
      </c>
      <c r="E149" s="67">
        <v>0</v>
      </c>
      <c r="F149" s="146">
        <v>0</v>
      </c>
      <c r="G149" s="146">
        <v>0</v>
      </c>
      <c r="H149" s="91">
        <v>0</v>
      </c>
      <c r="I149" s="67">
        <v>0</v>
      </c>
      <c r="J149" s="739">
        <v>0</v>
      </c>
      <c r="K149" s="837" t="s">
        <v>644</v>
      </c>
      <c r="L149" s="740">
        <v>0</v>
      </c>
      <c r="M149" s="741">
        <v>0</v>
      </c>
      <c r="N149" s="67">
        <v>0</v>
      </c>
      <c r="O149" s="67">
        <v>0</v>
      </c>
      <c r="Q149" s="674">
        <v>0</v>
      </c>
      <c r="R149" s="674" t="s">
        <v>1730</v>
      </c>
      <c r="S149" s="798" t="s">
        <v>801</v>
      </c>
      <c r="T149" s="798">
        <v>0</v>
      </c>
      <c r="U149" s="88">
        <v>0</v>
      </c>
      <c r="V149" s="71">
        <v>0</v>
      </c>
      <c r="W149" s="449">
        <v>0</v>
      </c>
      <c r="X149" s="67">
        <v>0</v>
      </c>
      <c r="Y149" s="163">
        <v>0</v>
      </c>
      <c r="Z149" s="166">
        <v>0</v>
      </c>
      <c r="AA149" s="34" t="s">
        <v>644</v>
      </c>
      <c r="AC149" s="67"/>
      <c r="AD149" s="451"/>
      <c r="AE149" s="452"/>
      <c r="AH149" s="36"/>
      <c r="AI149" s="36"/>
      <c r="AJ149" s="36"/>
      <c r="AK149" s="19"/>
    </row>
    <row r="150" spans="1:37">
      <c r="A150" s="64" t="s">
        <v>594</v>
      </c>
      <c r="B150" s="784" t="s">
        <v>274</v>
      </c>
      <c r="C150" s="784" t="s">
        <v>1491</v>
      </c>
      <c r="D150" s="134">
        <v>155.57</v>
      </c>
      <c r="E150" s="67">
        <v>19025</v>
      </c>
      <c r="F150" s="146">
        <v>0</v>
      </c>
      <c r="G150" s="146">
        <v>0</v>
      </c>
      <c r="H150" s="91">
        <v>19025</v>
      </c>
      <c r="I150" s="67">
        <v>0</v>
      </c>
      <c r="J150" s="739">
        <v>19025</v>
      </c>
      <c r="K150" s="837" t="s">
        <v>621</v>
      </c>
      <c r="L150" s="740">
        <v>0</v>
      </c>
      <c r="M150" s="741">
        <v>155.57</v>
      </c>
      <c r="N150" s="67">
        <v>254</v>
      </c>
      <c r="O150" s="67">
        <v>19279</v>
      </c>
      <c r="Q150" s="674">
        <v>0</v>
      </c>
      <c r="R150" s="674" t="s">
        <v>1730</v>
      </c>
      <c r="S150" s="798" t="s">
        <v>801</v>
      </c>
      <c r="T150" s="798">
        <v>0</v>
      </c>
      <c r="U150" s="88">
        <v>19279</v>
      </c>
      <c r="V150" s="71">
        <v>123.92492125731182</v>
      </c>
      <c r="W150" s="449">
        <v>19279</v>
      </c>
      <c r="X150" s="67">
        <v>17948</v>
      </c>
      <c r="Y150" s="163">
        <v>1331</v>
      </c>
      <c r="Z150" s="166">
        <v>7.4158680632939608E-2</v>
      </c>
      <c r="AA150" s="34" t="s">
        <v>621</v>
      </c>
      <c r="AC150" s="67"/>
      <c r="AD150" s="451"/>
      <c r="AE150" s="452"/>
      <c r="AH150" s="36"/>
      <c r="AI150" s="36"/>
      <c r="AJ150" s="36"/>
      <c r="AK150" s="19"/>
    </row>
    <row r="151" spans="1:37">
      <c r="A151" s="64" t="s">
        <v>594</v>
      </c>
      <c r="B151" s="784" t="s">
        <v>276</v>
      </c>
      <c r="C151" s="784" t="s">
        <v>1492</v>
      </c>
      <c r="D151" s="134">
        <v>0</v>
      </c>
      <c r="E151" s="67">
        <v>0</v>
      </c>
      <c r="F151" s="146">
        <v>0</v>
      </c>
      <c r="G151" s="146">
        <v>0</v>
      </c>
      <c r="H151" s="91">
        <v>0</v>
      </c>
      <c r="I151" s="67">
        <v>0</v>
      </c>
      <c r="J151" s="739">
        <v>0</v>
      </c>
      <c r="K151" s="837" t="s">
        <v>644</v>
      </c>
      <c r="L151" s="740">
        <v>0</v>
      </c>
      <c r="M151" s="741">
        <v>0</v>
      </c>
      <c r="N151" s="67">
        <v>0</v>
      </c>
      <c r="O151" s="67">
        <v>0</v>
      </c>
      <c r="Q151" s="674">
        <v>0</v>
      </c>
      <c r="R151" s="674" t="s">
        <v>1730</v>
      </c>
      <c r="S151" s="798" t="s">
        <v>801</v>
      </c>
      <c r="T151" s="798">
        <v>0</v>
      </c>
      <c r="U151" s="88">
        <v>0</v>
      </c>
      <c r="V151" s="71">
        <v>0</v>
      </c>
      <c r="W151" s="449">
        <v>0</v>
      </c>
      <c r="X151" s="67">
        <v>0</v>
      </c>
      <c r="Y151" s="163">
        <v>0</v>
      </c>
      <c r="Z151" s="166">
        <v>0</v>
      </c>
      <c r="AA151" s="34" t="s">
        <v>644</v>
      </c>
      <c r="AC151" s="67"/>
      <c r="AD151" s="451"/>
      <c r="AE151" s="452"/>
      <c r="AH151" s="36"/>
      <c r="AI151" s="36"/>
      <c r="AJ151" s="36"/>
      <c r="AK151" s="19"/>
    </row>
    <row r="152" spans="1:37">
      <c r="A152" s="64" t="s">
        <v>594</v>
      </c>
      <c r="B152" s="784" t="s">
        <v>278</v>
      </c>
      <c r="C152" s="784" t="s">
        <v>622</v>
      </c>
      <c r="D152" s="134">
        <v>420.14</v>
      </c>
      <c r="E152" s="67">
        <v>51379</v>
      </c>
      <c r="F152" s="146">
        <v>0</v>
      </c>
      <c r="G152" s="146">
        <v>0</v>
      </c>
      <c r="H152" s="91">
        <v>51379</v>
      </c>
      <c r="I152" s="67">
        <v>0</v>
      </c>
      <c r="J152" s="739">
        <v>51379</v>
      </c>
      <c r="K152" s="837" t="s">
        <v>621</v>
      </c>
      <c r="L152" s="740">
        <v>0</v>
      </c>
      <c r="M152" s="741">
        <v>420.14</v>
      </c>
      <c r="N152" s="67">
        <v>685</v>
      </c>
      <c r="O152" s="67">
        <v>52064</v>
      </c>
      <c r="Q152" s="674">
        <v>0</v>
      </c>
      <c r="R152" s="674" t="s">
        <v>1730</v>
      </c>
      <c r="S152" s="798" t="s">
        <v>801</v>
      </c>
      <c r="T152" s="798">
        <v>0</v>
      </c>
      <c r="U152" s="88">
        <v>52064</v>
      </c>
      <c r="V152" s="71">
        <v>123.92059789593945</v>
      </c>
      <c r="W152" s="449">
        <v>52064</v>
      </c>
      <c r="X152" s="67">
        <v>51528</v>
      </c>
      <c r="Y152" s="163">
        <v>536</v>
      </c>
      <c r="Z152" s="166">
        <v>1.04021114733737E-2</v>
      </c>
      <c r="AA152" s="34" t="s">
        <v>621</v>
      </c>
      <c r="AC152" s="67"/>
      <c r="AD152" s="451"/>
      <c r="AE152" s="452"/>
      <c r="AH152" s="36"/>
      <c r="AI152" s="36"/>
      <c r="AJ152" s="36"/>
      <c r="AK152" s="19"/>
    </row>
    <row r="153" spans="1:37">
      <c r="A153" s="64" t="s">
        <v>603</v>
      </c>
      <c r="B153" s="784" t="s">
        <v>280</v>
      </c>
      <c r="C153" s="784" t="s">
        <v>1493</v>
      </c>
      <c r="D153" s="134">
        <v>0</v>
      </c>
      <c r="E153" s="67">
        <v>0</v>
      </c>
      <c r="F153" s="146">
        <v>0</v>
      </c>
      <c r="G153" s="146">
        <v>0</v>
      </c>
      <c r="H153" s="91">
        <v>0</v>
      </c>
      <c r="I153" s="67">
        <v>0</v>
      </c>
      <c r="J153" s="739">
        <v>0</v>
      </c>
      <c r="K153" s="837" t="s">
        <v>644</v>
      </c>
      <c r="L153" s="740">
        <v>0</v>
      </c>
      <c r="M153" s="741">
        <v>0</v>
      </c>
      <c r="N153" s="67">
        <v>0</v>
      </c>
      <c r="O153" s="67">
        <v>0</v>
      </c>
      <c r="Q153" s="674">
        <v>0</v>
      </c>
      <c r="R153" s="674" t="s">
        <v>1730</v>
      </c>
      <c r="S153" s="798" t="s">
        <v>801</v>
      </c>
      <c r="T153" s="798">
        <v>0</v>
      </c>
      <c r="U153" s="88">
        <v>0</v>
      </c>
      <c r="V153" s="71">
        <v>0</v>
      </c>
      <c r="W153" s="449">
        <v>0</v>
      </c>
      <c r="X153" s="67">
        <v>0</v>
      </c>
      <c r="Y153" s="163">
        <v>0</v>
      </c>
      <c r="Z153" s="166">
        <v>0</v>
      </c>
      <c r="AA153" s="34" t="s">
        <v>644</v>
      </c>
      <c r="AC153" s="67"/>
      <c r="AD153" s="451"/>
      <c r="AE153" s="452"/>
      <c r="AH153" s="36"/>
      <c r="AI153" s="36"/>
      <c r="AJ153" s="36"/>
      <c r="AK153" s="19"/>
    </row>
    <row r="154" spans="1:37">
      <c r="A154" s="64" t="s">
        <v>603</v>
      </c>
      <c r="B154" s="784" t="s">
        <v>282</v>
      </c>
      <c r="C154" s="784" t="s">
        <v>1494</v>
      </c>
      <c r="D154" s="134">
        <v>9.86</v>
      </c>
      <c r="E154" s="67">
        <v>1206</v>
      </c>
      <c r="F154" s="146">
        <v>0</v>
      </c>
      <c r="G154" s="146">
        <v>0</v>
      </c>
      <c r="H154" s="91">
        <v>1206</v>
      </c>
      <c r="I154" s="67">
        <v>0</v>
      </c>
      <c r="J154" s="739">
        <v>1206</v>
      </c>
      <c r="K154" s="837" t="s">
        <v>644</v>
      </c>
      <c r="L154" s="740">
        <v>1206</v>
      </c>
      <c r="M154" s="741">
        <v>0</v>
      </c>
      <c r="N154" s="67">
        <v>0</v>
      </c>
      <c r="O154" s="67">
        <v>0</v>
      </c>
      <c r="Q154" s="674">
        <v>0</v>
      </c>
      <c r="R154" s="674" t="s">
        <v>1730</v>
      </c>
      <c r="S154" s="798" t="s">
        <v>801</v>
      </c>
      <c r="T154" s="798">
        <v>0</v>
      </c>
      <c r="U154" s="88">
        <v>0</v>
      </c>
      <c r="V154" s="71">
        <v>0</v>
      </c>
      <c r="W154" s="449">
        <v>0</v>
      </c>
      <c r="X154" s="67">
        <v>0</v>
      </c>
      <c r="Y154" s="163">
        <v>0</v>
      </c>
      <c r="Z154" s="166">
        <v>0</v>
      </c>
      <c r="AA154" s="34" t="s">
        <v>644</v>
      </c>
      <c r="AC154" s="67"/>
      <c r="AD154" s="451"/>
      <c r="AE154" s="452"/>
      <c r="AH154" s="36"/>
      <c r="AI154" s="36"/>
      <c r="AJ154" s="36"/>
      <c r="AK154" s="19"/>
    </row>
    <row r="155" spans="1:37">
      <c r="A155" s="64" t="s">
        <v>603</v>
      </c>
      <c r="B155" s="784" t="s">
        <v>283</v>
      </c>
      <c r="C155" s="784" t="s">
        <v>1495</v>
      </c>
      <c r="D155" s="134">
        <v>0</v>
      </c>
      <c r="E155" s="67">
        <v>0</v>
      </c>
      <c r="F155" s="146">
        <v>0</v>
      </c>
      <c r="G155" s="146">
        <v>0</v>
      </c>
      <c r="H155" s="91">
        <v>0</v>
      </c>
      <c r="I155" s="67">
        <v>0</v>
      </c>
      <c r="J155" s="739">
        <v>0</v>
      </c>
      <c r="K155" s="837" t="s">
        <v>644</v>
      </c>
      <c r="L155" s="740">
        <v>0</v>
      </c>
      <c r="M155" s="741">
        <v>0</v>
      </c>
      <c r="N155" s="67">
        <v>0</v>
      </c>
      <c r="O155" s="67">
        <v>0</v>
      </c>
      <c r="Q155" s="674">
        <v>0</v>
      </c>
      <c r="R155" s="674" t="s">
        <v>1730</v>
      </c>
      <c r="S155" s="798" t="s">
        <v>801</v>
      </c>
      <c r="T155" s="798">
        <v>0</v>
      </c>
      <c r="U155" s="88">
        <v>0</v>
      </c>
      <c r="V155" s="71">
        <v>0</v>
      </c>
      <c r="W155" s="449">
        <v>0</v>
      </c>
      <c r="X155" s="67">
        <v>0</v>
      </c>
      <c r="Y155" s="163">
        <v>0</v>
      </c>
      <c r="Z155" s="166">
        <v>0</v>
      </c>
      <c r="AA155" s="34" t="s">
        <v>644</v>
      </c>
      <c r="AC155" s="67"/>
      <c r="AD155" s="451"/>
      <c r="AE155" s="452"/>
      <c r="AH155" s="36"/>
      <c r="AI155" s="36"/>
      <c r="AJ155" s="36"/>
      <c r="AK155" s="19"/>
    </row>
    <row r="156" spans="1:37">
      <c r="A156" s="64" t="s">
        <v>603</v>
      </c>
      <c r="B156" s="784" t="s">
        <v>285</v>
      </c>
      <c r="C156" s="784" t="s">
        <v>1496</v>
      </c>
      <c r="D156" s="134">
        <v>0</v>
      </c>
      <c r="E156" s="67">
        <v>0</v>
      </c>
      <c r="F156" s="146">
        <v>0</v>
      </c>
      <c r="G156" s="146">
        <v>0</v>
      </c>
      <c r="H156" s="91">
        <v>0</v>
      </c>
      <c r="I156" s="67">
        <v>0</v>
      </c>
      <c r="J156" s="739">
        <v>0</v>
      </c>
      <c r="K156" s="837" t="s">
        <v>644</v>
      </c>
      <c r="L156" s="740">
        <v>0</v>
      </c>
      <c r="M156" s="741">
        <v>0</v>
      </c>
      <c r="N156" s="67">
        <v>0</v>
      </c>
      <c r="O156" s="67">
        <v>0</v>
      </c>
      <c r="Q156" s="674">
        <v>0</v>
      </c>
      <c r="R156" s="674" t="s">
        <v>1730</v>
      </c>
      <c r="S156" s="798" t="s">
        <v>801</v>
      </c>
      <c r="T156" s="798">
        <v>0</v>
      </c>
      <c r="U156" s="88">
        <v>0</v>
      </c>
      <c r="V156" s="71">
        <v>0</v>
      </c>
      <c r="W156" s="449">
        <v>0</v>
      </c>
      <c r="X156" s="67">
        <v>0</v>
      </c>
      <c r="Y156" s="163">
        <v>0</v>
      </c>
      <c r="Z156" s="166">
        <v>0</v>
      </c>
      <c r="AA156" s="34" t="s">
        <v>644</v>
      </c>
      <c r="AC156" s="67"/>
      <c r="AD156" s="451"/>
      <c r="AE156" s="452"/>
      <c r="AH156" s="36"/>
      <c r="AI156" s="36"/>
      <c r="AJ156" s="36"/>
      <c r="AK156" s="19"/>
    </row>
    <row r="157" spans="1:37">
      <c r="A157" s="64" t="s">
        <v>603</v>
      </c>
      <c r="B157" s="784" t="s">
        <v>287</v>
      </c>
      <c r="C157" s="784" t="s">
        <v>1497</v>
      </c>
      <c r="D157" s="134">
        <v>0</v>
      </c>
      <c r="E157" s="67">
        <v>0</v>
      </c>
      <c r="F157" s="146">
        <v>0</v>
      </c>
      <c r="G157" s="146">
        <v>0</v>
      </c>
      <c r="H157" s="91">
        <v>0</v>
      </c>
      <c r="I157" s="67">
        <v>0</v>
      </c>
      <c r="J157" s="739">
        <v>0</v>
      </c>
      <c r="K157" s="837" t="s">
        <v>644</v>
      </c>
      <c r="L157" s="740">
        <v>0</v>
      </c>
      <c r="M157" s="741">
        <v>0</v>
      </c>
      <c r="N157" s="67">
        <v>0</v>
      </c>
      <c r="O157" s="67">
        <v>0</v>
      </c>
      <c r="Q157" s="674">
        <v>0</v>
      </c>
      <c r="R157" s="674" t="s">
        <v>1730</v>
      </c>
      <c r="S157" s="798" t="s">
        <v>801</v>
      </c>
      <c r="T157" s="798">
        <v>0</v>
      </c>
      <c r="U157" s="88">
        <v>0</v>
      </c>
      <c r="V157" s="71">
        <v>0</v>
      </c>
      <c r="W157" s="449">
        <v>0</v>
      </c>
      <c r="X157" s="67">
        <v>0</v>
      </c>
      <c r="Y157" s="163">
        <v>0</v>
      </c>
      <c r="Z157" s="166">
        <v>0</v>
      </c>
      <c r="AA157" s="34" t="s">
        <v>644</v>
      </c>
      <c r="AC157" s="67"/>
      <c r="AD157" s="451"/>
      <c r="AE157" s="452"/>
      <c r="AH157" s="36"/>
      <c r="AI157" s="36"/>
      <c r="AJ157" s="36"/>
      <c r="AK157" s="19"/>
    </row>
    <row r="158" spans="1:37">
      <c r="A158" s="64" t="s">
        <v>603</v>
      </c>
      <c r="B158" s="784" t="s">
        <v>289</v>
      </c>
      <c r="C158" s="784" t="s">
        <v>1498</v>
      </c>
      <c r="D158" s="134">
        <v>0</v>
      </c>
      <c r="E158" s="67">
        <v>0</v>
      </c>
      <c r="F158" s="146">
        <v>0</v>
      </c>
      <c r="G158" s="146">
        <v>0</v>
      </c>
      <c r="H158" s="91">
        <v>0</v>
      </c>
      <c r="I158" s="67">
        <v>0</v>
      </c>
      <c r="J158" s="739">
        <v>0</v>
      </c>
      <c r="K158" s="837" t="s">
        <v>644</v>
      </c>
      <c r="L158" s="740">
        <v>0</v>
      </c>
      <c r="M158" s="741">
        <v>0</v>
      </c>
      <c r="N158" s="67">
        <v>0</v>
      </c>
      <c r="O158" s="67">
        <v>0</v>
      </c>
      <c r="Q158" s="674">
        <v>0</v>
      </c>
      <c r="R158" s="674" t="s">
        <v>1730</v>
      </c>
      <c r="S158" s="798" t="s">
        <v>801</v>
      </c>
      <c r="T158" s="798">
        <v>0</v>
      </c>
      <c r="U158" s="88">
        <v>0</v>
      </c>
      <c r="V158" s="71">
        <v>0</v>
      </c>
      <c r="W158" s="449">
        <v>0</v>
      </c>
      <c r="X158" s="67">
        <v>0</v>
      </c>
      <c r="Y158" s="163">
        <v>0</v>
      </c>
      <c r="Z158" s="166">
        <v>0</v>
      </c>
      <c r="AA158" s="34" t="s">
        <v>644</v>
      </c>
      <c r="AC158" s="67"/>
      <c r="AD158" s="451"/>
      <c r="AE158" s="452"/>
      <c r="AH158" s="36"/>
      <c r="AI158" s="36"/>
      <c r="AJ158" s="36"/>
      <c r="AK158" s="19"/>
    </row>
    <row r="159" spans="1:37">
      <c r="A159" s="64" t="s">
        <v>603</v>
      </c>
      <c r="B159" s="784" t="s">
        <v>291</v>
      </c>
      <c r="C159" s="784" t="s">
        <v>1499</v>
      </c>
      <c r="D159" s="134">
        <v>0</v>
      </c>
      <c r="E159" s="67">
        <v>0</v>
      </c>
      <c r="F159" s="146">
        <v>0</v>
      </c>
      <c r="G159" s="146">
        <v>0</v>
      </c>
      <c r="H159" s="91">
        <v>0</v>
      </c>
      <c r="I159" s="67">
        <v>0</v>
      </c>
      <c r="J159" s="739">
        <v>0</v>
      </c>
      <c r="K159" s="837" t="s">
        <v>644</v>
      </c>
      <c r="L159" s="740">
        <v>0</v>
      </c>
      <c r="M159" s="741">
        <v>0</v>
      </c>
      <c r="N159" s="67">
        <v>0</v>
      </c>
      <c r="O159" s="67">
        <v>0</v>
      </c>
      <c r="Q159" s="674">
        <v>0</v>
      </c>
      <c r="R159" s="674" t="s">
        <v>1730</v>
      </c>
      <c r="S159" s="798" t="s">
        <v>801</v>
      </c>
      <c r="T159" s="798">
        <v>0</v>
      </c>
      <c r="U159" s="88">
        <v>0</v>
      </c>
      <c r="V159" s="71">
        <v>0</v>
      </c>
      <c r="W159" s="449">
        <v>0</v>
      </c>
      <c r="X159" s="67">
        <v>0</v>
      </c>
      <c r="Y159" s="163">
        <v>0</v>
      </c>
      <c r="Z159" s="166">
        <v>0</v>
      </c>
      <c r="AA159" s="34" t="s">
        <v>644</v>
      </c>
      <c r="AC159" s="67"/>
      <c r="AD159" s="451"/>
      <c r="AE159" s="452"/>
      <c r="AH159" s="36"/>
      <c r="AI159" s="36"/>
      <c r="AJ159" s="36"/>
      <c r="AK159" s="19"/>
    </row>
    <row r="160" spans="1:37">
      <c r="A160" s="64" t="s">
        <v>603</v>
      </c>
      <c r="B160" s="784" t="s">
        <v>293</v>
      </c>
      <c r="C160" s="784" t="s">
        <v>1500</v>
      </c>
      <c r="D160" s="134">
        <v>0</v>
      </c>
      <c r="E160" s="67">
        <v>0</v>
      </c>
      <c r="F160" s="146">
        <v>0</v>
      </c>
      <c r="G160" s="146">
        <v>0</v>
      </c>
      <c r="H160" s="91">
        <v>0</v>
      </c>
      <c r="I160" s="67">
        <v>0</v>
      </c>
      <c r="J160" s="739">
        <v>0</v>
      </c>
      <c r="K160" s="837" t="s">
        <v>644</v>
      </c>
      <c r="L160" s="740">
        <v>0</v>
      </c>
      <c r="M160" s="741">
        <v>0</v>
      </c>
      <c r="N160" s="67">
        <v>0</v>
      </c>
      <c r="O160" s="67">
        <v>0</v>
      </c>
      <c r="Q160" s="674">
        <v>0</v>
      </c>
      <c r="R160" s="674" t="s">
        <v>1730</v>
      </c>
      <c r="S160" s="798" t="s">
        <v>801</v>
      </c>
      <c r="T160" s="798">
        <v>0</v>
      </c>
      <c r="U160" s="88">
        <v>0</v>
      </c>
      <c r="V160" s="71">
        <v>0</v>
      </c>
      <c r="W160" s="449">
        <v>0</v>
      </c>
      <c r="X160" s="67">
        <v>0</v>
      </c>
      <c r="Y160" s="163">
        <v>0</v>
      </c>
      <c r="Z160" s="166">
        <v>0</v>
      </c>
      <c r="AA160" s="34" t="s">
        <v>644</v>
      </c>
      <c r="AC160" s="67"/>
      <c r="AD160" s="451"/>
      <c r="AE160" s="452"/>
      <c r="AH160" s="36"/>
      <c r="AI160" s="36"/>
      <c r="AJ160" s="36"/>
      <c r="AK160" s="19"/>
    </row>
    <row r="161" spans="1:37">
      <c r="A161" s="64" t="s">
        <v>594</v>
      </c>
      <c r="B161" s="784" t="s">
        <v>295</v>
      </c>
      <c r="C161" s="784" t="s">
        <v>1501</v>
      </c>
      <c r="D161" s="134">
        <v>0</v>
      </c>
      <c r="E161" s="67">
        <v>0</v>
      </c>
      <c r="F161" s="146">
        <v>0</v>
      </c>
      <c r="G161" s="146">
        <v>0</v>
      </c>
      <c r="H161" s="91">
        <v>0</v>
      </c>
      <c r="I161" s="67">
        <v>0</v>
      </c>
      <c r="J161" s="739">
        <v>0</v>
      </c>
      <c r="K161" s="837" t="s">
        <v>644</v>
      </c>
      <c r="L161" s="740">
        <v>0</v>
      </c>
      <c r="M161" s="741">
        <v>0</v>
      </c>
      <c r="N161" s="67">
        <v>0</v>
      </c>
      <c r="O161" s="67">
        <v>0</v>
      </c>
      <c r="Q161" s="674">
        <v>0</v>
      </c>
      <c r="R161" s="674" t="s">
        <v>1730</v>
      </c>
      <c r="S161" s="798" t="s">
        <v>801</v>
      </c>
      <c r="T161" s="798">
        <v>0</v>
      </c>
      <c r="U161" s="88">
        <v>0</v>
      </c>
      <c r="V161" s="71">
        <v>0</v>
      </c>
      <c r="W161" s="449">
        <v>0</v>
      </c>
      <c r="X161" s="67">
        <v>0</v>
      </c>
      <c r="Y161" s="163">
        <v>0</v>
      </c>
      <c r="Z161" s="166">
        <v>0</v>
      </c>
      <c r="AA161" s="34" t="s">
        <v>644</v>
      </c>
      <c r="AC161" s="67"/>
      <c r="AD161" s="451"/>
      <c r="AE161" s="452"/>
      <c r="AH161" s="36"/>
      <c r="AI161" s="36"/>
      <c r="AJ161" s="36"/>
      <c r="AK161" s="19"/>
    </row>
    <row r="162" spans="1:37">
      <c r="A162" s="64" t="s">
        <v>594</v>
      </c>
      <c r="B162" s="784" t="s">
        <v>297</v>
      </c>
      <c r="C162" s="784" t="s">
        <v>1502</v>
      </c>
      <c r="D162" s="134">
        <v>0</v>
      </c>
      <c r="E162" s="67">
        <v>0</v>
      </c>
      <c r="F162" s="146">
        <v>0</v>
      </c>
      <c r="G162" s="146">
        <v>0</v>
      </c>
      <c r="H162" s="91">
        <v>0</v>
      </c>
      <c r="I162" s="67">
        <v>0</v>
      </c>
      <c r="J162" s="739">
        <v>0</v>
      </c>
      <c r="K162" s="837" t="s">
        <v>644</v>
      </c>
      <c r="L162" s="740">
        <v>0</v>
      </c>
      <c r="M162" s="741">
        <v>0</v>
      </c>
      <c r="N162" s="67">
        <v>0</v>
      </c>
      <c r="O162" s="67">
        <v>0</v>
      </c>
      <c r="Q162" s="674">
        <v>0</v>
      </c>
      <c r="R162" s="674" t="s">
        <v>1730</v>
      </c>
      <c r="S162" s="798" t="s">
        <v>801</v>
      </c>
      <c r="T162" s="798">
        <v>0</v>
      </c>
      <c r="U162" s="88">
        <v>0</v>
      </c>
      <c r="V162" s="71">
        <v>0</v>
      </c>
      <c r="W162" s="449">
        <v>0</v>
      </c>
      <c r="X162" s="67">
        <v>0</v>
      </c>
      <c r="Y162" s="163">
        <v>0</v>
      </c>
      <c r="Z162" s="166">
        <v>0</v>
      </c>
      <c r="AA162" s="34" t="s">
        <v>644</v>
      </c>
      <c r="AC162" s="67"/>
      <c r="AD162" s="451"/>
      <c r="AE162" s="452"/>
      <c r="AH162" s="36"/>
      <c r="AI162" s="36"/>
      <c r="AJ162" s="36"/>
      <c r="AK162" s="19"/>
    </row>
    <row r="163" spans="1:37">
      <c r="A163" s="64" t="s">
        <v>594</v>
      </c>
      <c r="B163" s="784" t="s">
        <v>299</v>
      </c>
      <c r="C163" s="784" t="s">
        <v>1503</v>
      </c>
      <c r="D163" s="134">
        <v>830.85714285714289</v>
      </c>
      <c r="E163" s="67">
        <v>101606</v>
      </c>
      <c r="F163" s="146">
        <v>0</v>
      </c>
      <c r="G163" s="146">
        <v>0</v>
      </c>
      <c r="H163" s="91">
        <v>101606</v>
      </c>
      <c r="I163" s="67">
        <v>0</v>
      </c>
      <c r="J163" s="739">
        <v>101606</v>
      </c>
      <c r="K163" s="837" t="s">
        <v>621</v>
      </c>
      <c r="L163" s="740">
        <v>0</v>
      </c>
      <c r="M163" s="741">
        <v>830.85714285714289</v>
      </c>
      <c r="N163" s="67">
        <v>1355</v>
      </c>
      <c r="O163" s="67">
        <v>102961</v>
      </c>
      <c r="Q163" s="674">
        <v>0</v>
      </c>
      <c r="R163" s="674" t="s">
        <v>1730</v>
      </c>
      <c r="S163" s="798" t="s">
        <v>801</v>
      </c>
      <c r="T163" s="798">
        <v>0</v>
      </c>
      <c r="U163" s="88">
        <v>102961</v>
      </c>
      <c r="V163" s="71">
        <v>123.92142365887207</v>
      </c>
      <c r="W163" s="449">
        <v>102961</v>
      </c>
      <c r="X163" s="67">
        <v>79331</v>
      </c>
      <c r="Y163" s="163">
        <v>23630</v>
      </c>
      <c r="Z163" s="166">
        <v>0.29786590361901399</v>
      </c>
      <c r="AA163" s="34" t="s">
        <v>621</v>
      </c>
      <c r="AC163" s="67"/>
      <c r="AD163" s="451"/>
      <c r="AE163" s="452"/>
      <c r="AH163" s="36"/>
      <c r="AI163" s="36"/>
      <c r="AJ163" s="36"/>
      <c r="AK163" s="19"/>
    </row>
    <row r="164" spans="1:37">
      <c r="A164" s="64" t="s">
        <v>594</v>
      </c>
      <c r="B164" s="784" t="s">
        <v>301</v>
      </c>
      <c r="C164" s="784" t="s">
        <v>1504</v>
      </c>
      <c r="D164" s="134">
        <v>0</v>
      </c>
      <c r="E164" s="67">
        <v>0</v>
      </c>
      <c r="F164" s="146">
        <v>0</v>
      </c>
      <c r="G164" s="146">
        <v>0</v>
      </c>
      <c r="H164" s="91">
        <v>0</v>
      </c>
      <c r="I164" s="67">
        <v>0</v>
      </c>
      <c r="J164" s="739">
        <v>0</v>
      </c>
      <c r="K164" s="837" t="s">
        <v>644</v>
      </c>
      <c r="L164" s="740">
        <v>0</v>
      </c>
      <c r="M164" s="741">
        <v>0</v>
      </c>
      <c r="N164" s="67">
        <v>0</v>
      </c>
      <c r="O164" s="67">
        <v>0</v>
      </c>
      <c r="Q164" s="674">
        <v>0</v>
      </c>
      <c r="R164" s="674" t="s">
        <v>1730</v>
      </c>
      <c r="S164" s="798" t="s">
        <v>801</v>
      </c>
      <c r="T164" s="798">
        <v>0</v>
      </c>
      <c r="U164" s="88">
        <v>0</v>
      </c>
      <c r="V164" s="71">
        <v>0</v>
      </c>
      <c r="W164" s="449">
        <v>0</v>
      </c>
      <c r="X164" s="67">
        <v>0</v>
      </c>
      <c r="Y164" s="163">
        <v>0</v>
      </c>
      <c r="Z164" s="166">
        <v>0</v>
      </c>
      <c r="AA164" s="34" t="s">
        <v>644</v>
      </c>
      <c r="AC164" s="67"/>
      <c r="AD164" s="451"/>
      <c r="AE164" s="452"/>
      <c r="AH164" s="36"/>
      <c r="AI164" s="36"/>
      <c r="AJ164" s="36"/>
      <c r="AK164" s="19"/>
    </row>
    <row r="165" spans="1:37">
      <c r="A165" s="64" t="s">
        <v>594</v>
      </c>
      <c r="B165" s="784" t="s">
        <v>303</v>
      </c>
      <c r="C165" s="784" t="s">
        <v>1505</v>
      </c>
      <c r="D165" s="134">
        <v>13.29</v>
      </c>
      <c r="E165" s="67">
        <v>1625</v>
      </c>
      <c r="F165" s="146">
        <v>0</v>
      </c>
      <c r="G165" s="146">
        <v>0</v>
      </c>
      <c r="H165" s="91">
        <v>1625</v>
      </c>
      <c r="I165" s="67">
        <v>0</v>
      </c>
      <c r="J165" s="739">
        <v>1625</v>
      </c>
      <c r="K165" s="837" t="s">
        <v>644</v>
      </c>
      <c r="L165" s="740">
        <v>1625</v>
      </c>
      <c r="M165" s="741">
        <v>0</v>
      </c>
      <c r="N165" s="67">
        <v>0</v>
      </c>
      <c r="O165" s="67">
        <v>0</v>
      </c>
      <c r="Q165" s="674">
        <v>0</v>
      </c>
      <c r="R165" s="674" t="s">
        <v>1730</v>
      </c>
      <c r="S165" s="798" t="s">
        <v>801</v>
      </c>
      <c r="T165" s="798">
        <v>0</v>
      </c>
      <c r="U165" s="88">
        <v>0</v>
      </c>
      <c r="V165" s="71">
        <v>0</v>
      </c>
      <c r="W165" s="449">
        <v>0</v>
      </c>
      <c r="X165" s="67">
        <v>0</v>
      </c>
      <c r="Y165" s="163">
        <v>0</v>
      </c>
      <c r="Z165" s="166">
        <v>0</v>
      </c>
      <c r="AA165" s="34" t="s">
        <v>644</v>
      </c>
      <c r="AC165" s="67"/>
      <c r="AD165" s="451"/>
      <c r="AE165" s="452"/>
      <c r="AH165" s="36"/>
      <c r="AI165" s="36"/>
      <c r="AJ165" s="36"/>
      <c r="AK165" s="19"/>
    </row>
    <row r="166" spans="1:37">
      <c r="A166" s="64" t="s">
        <v>600</v>
      </c>
      <c r="B166" s="784" t="s">
        <v>305</v>
      </c>
      <c r="C166" s="784" t="s">
        <v>1506</v>
      </c>
      <c r="D166" s="134">
        <v>271.58</v>
      </c>
      <c r="E166" s="67">
        <v>33212</v>
      </c>
      <c r="F166" s="146">
        <v>0</v>
      </c>
      <c r="G166" s="146">
        <v>0</v>
      </c>
      <c r="H166" s="91">
        <v>33212</v>
      </c>
      <c r="I166" s="67">
        <v>0</v>
      </c>
      <c r="J166" s="739">
        <v>33212</v>
      </c>
      <c r="K166" s="837" t="s">
        <v>621</v>
      </c>
      <c r="L166" s="740">
        <v>0</v>
      </c>
      <c r="M166" s="741">
        <v>271.58</v>
      </c>
      <c r="N166" s="67">
        <v>443</v>
      </c>
      <c r="O166" s="67">
        <v>33655</v>
      </c>
      <c r="Q166" s="674">
        <v>0</v>
      </c>
      <c r="R166" s="674" t="s">
        <v>1730</v>
      </c>
      <c r="S166" s="798" t="s">
        <v>801</v>
      </c>
      <c r="T166" s="798">
        <v>0</v>
      </c>
      <c r="U166" s="88">
        <v>33655</v>
      </c>
      <c r="V166" s="71">
        <v>123.92296929081671</v>
      </c>
      <c r="W166" s="449">
        <v>33655</v>
      </c>
      <c r="X166" s="67">
        <v>26598</v>
      </c>
      <c r="Y166" s="163">
        <v>7057</v>
      </c>
      <c r="Z166" s="166">
        <v>0.26532070080457176</v>
      </c>
      <c r="AA166" s="34" t="s">
        <v>621</v>
      </c>
      <c r="AC166" s="67"/>
      <c r="AD166" s="451"/>
      <c r="AE166" s="452"/>
      <c r="AH166" s="36"/>
      <c r="AI166" s="36"/>
      <c r="AJ166" s="36"/>
      <c r="AK166" s="19"/>
    </row>
    <row r="167" spans="1:37">
      <c r="A167" s="64" t="s">
        <v>594</v>
      </c>
      <c r="B167" s="784" t="s">
        <v>307</v>
      </c>
      <c r="C167" s="784" t="s">
        <v>1507</v>
      </c>
      <c r="D167" s="134">
        <v>0</v>
      </c>
      <c r="E167" s="67">
        <v>0</v>
      </c>
      <c r="F167" s="146">
        <v>0</v>
      </c>
      <c r="G167" s="146">
        <v>0</v>
      </c>
      <c r="H167" s="91">
        <v>0</v>
      </c>
      <c r="I167" s="67">
        <v>0</v>
      </c>
      <c r="J167" s="739">
        <v>0</v>
      </c>
      <c r="K167" s="837" t="s">
        <v>644</v>
      </c>
      <c r="L167" s="740">
        <v>0</v>
      </c>
      <c r="M167" s="741">
        <v>0</v>
      </c>
      <c r="N167" s="67">
        <v>0</v>
      </c>
      <c r="O167" s="67">
        <v>0</v>
      </c>
      <c r="Q167" s="674">
        <v>0</v>
      </c>
      <c r="R167" s="674" t="s">
        <v>1730</v>
      </c>
      <c r="S167" s="798" t="s">
        <v>801</v>
      </c>
      <c r="T167" s="798">
        <v>0</v>
      </c>
      <c r="U167" s="88">
        <v>0</v>
      </c>
      <c r="V167" s="71">
        <v>0</v>
      </c>
      <c r="W167" s="449">
        <v>0</v>
      </c>
      <c r="X167" s="67">
        <v>0</v>
      </c>
      <c r="Y167" s="163">
        <v>0</v>
      </c>
      <c r="Z167" s="166">
        <v>0</v>
      </c>
      <c r="AA167" s="34" t="s">
        <v>644</v>
      </c>
      <c r="AC167" s="67"/>
      <c r="AD167" s="451"/>
      <c r="AE167" s="452"/>
      <c r="AH167" s="36"/>
      <c r="AI167" s="36"/>
      <c r="AJ167" s="36"/>
      <c r="AK167" s="19"/>
    </row>
    <row r="168" spans="1:37">
      <c r="A168" s="64" t="s">
        <v>601</v>
      </c>
      <c r="B168" s="784" t="s">
        <v>309</v>
      </c>
      <c r="C168" s="784" t="s">
        <v>1309</v>
      </c>
      <c r="D168" s="134">
        <v>100</v>
      </c>
      <c r="E168" s="67">
        <v>12229</v>
      </c>
      <c r="F168" s="146">
        <v>0</v>
      </c>
      <c r="G168" s="146">
        <v>0</v>
      </c>
      <c r="H168" s="91">
        <v>12229</v>
      </c>
      <c r="I168" s="67">
        <v>0</v>
      </c>
      <c r="J168" s="739">
        <v>12229</v>
      </c>
      <c r="K168" s="837" t="s">
        <v>621</v>
      </c>
      <c r="L168" s="740">
        <v>0</v>
      </c>
      <c r="M168" s="741">
        <v>100</v>
      </c>
      <c r="N168" s="67">
        <v>163</v>
      </c>
      <c r="O168" s="67">
        <v>12392</v>
      </c>
      <c r="P168" s="674">
        <v>0.89600000000000002</v>
      </c>
      <c r="Q168" s="674">
        <v>-50</v>
      </c>
      <c r="R168" s="674" t="s">
        <v>1730</v>
      </c>
      <c r="S168" s="798" t="s">
        <v>801</v>
      </c>
      <c r="T168" s="798">
        <v>0</v>
      </c>
      <c r="U168" s="88">
        <v>12392</v>
      </c>
      <c r="V168" s="71">
        <v>123.92</v>
      </c>
      <c r="W168" s="449">
        <v>12392</v>
      </c>
      <c r="X168" s="67">
        <v>13624</v>
      </c>
      <c r="Y168" s="163">
        <v>-1232</v>
      </c>
      <c r="Z168" s="166">
        <v>-9.0428655314151493E-2</v>
      </c>
      <c r="AA168" s="34" t="s">
        <v>621</v>
      </c>
      <c r="AC168" s="67"/>
      <c r="AD168" s="451"/>
      <c r="AE168" s="452"/>
      <c r="AH168" s="36"/>
      <c r="AI168" s="36"/>
      <c r="AJ168" s="36"/>
      <c r="AK168" s="19"/>
    </row>
    <row r="169" spans="1:37">
      <c r="A169" s="64" t="s">
        <v>601</v>
      </c>
      <c r="B169" s="784" t="s">
        <v>311</v>
      </c>
      <c r="C169" s="784" t="s">
        <v>1508</v>
      </c>
      <c r="D169" s="134">
        <v>211.57</v>
      </c>
      <c r="E169" s="67">
        <v>25873</v>
      </c>
      <c r="F169" s="146">
        <v>0</v>
      </c>
      <c r="G169" s="146">
        <v>0</v>
      </c>
      <c r="H169" s="91">
        <v>25873</v>
      </c>
      <c r="I169" s="67">
        <v>0</v>
      </c>
      <c r="J169" s="739">
        <v>25873</v>
      </c>
      <c r="K169" s="837" t="s">
        <v>621</v>
      </c>
      <c r="L169" s="740">
        <v>0</v>
      </c>
      <c r="M169" s="741">
        <v>211.57</v>
      </c>
      <c r="N169" s="67">
        <v>345</v>
      </c>
      <c r="O169" s="67">
        <v>26218</v>
      </c>
      <c r="Q169" s="674">
        <v>0</v>
      </c>
      <c r="R169" s="674" t="s">
        <v>1730</v>
      </c>
      <c r="S169" s="798" t="s">
        <v>801</v>
      </c>
      <c r="T169" s="798">
        <v>0</v>
      </c>
      <c r="U169" s="88">
        <v>26218</v>
      </c>
      <c r="V169" s="71">
        <v>123.92116084511036</v>
      </c>
      <c r="W169" s="449">
        <v>26218</v>
      </c>
      <c r="X169" s="67">
        <v>21053</v>
      </c>
      <c r="Y169" s="163">
        <v>5165</v>
      </c>
      <c r="Z169" s="166">
        <v>0.24533320666888331</v>
      </c>
      <c r="AA169" s="34" t="s">
        <v>621</v>
      </c>
      <c r="AC169" s="67"/>
      <c r="AD169" s="451"/>
      <c r="AE169" s="452"/>
      <c r="AH169" s="36"/>
      <c r="AI169" s="36"/>
      <c r="AJ169" s="36"/>
      <c r="AK169" s="19"/>
    </row>
    <row r="170" spans="1:37">
      <c r="A170" s="64" t="s">
        <v>601</v>
      </c>
      <c r="B170" s="784" t="s">
        <v>313</v>
      </c>
      <c r="C170" s="784" t="s">
        <v>1509</v>
      </c>
      <c r="D170" s="134">
        <v>121</v>
      </c>
      <c r="E170" s="67">
        <v>14797</v>
      </c>
      <c r="F170" s="146">
        <v>0</v>
      </c>
      <c r="G170" s="146">
        <v>0</v>
      </c>
      <c r="H170" s="91">
        <v>14797</v>
      </c>
      <c r="I170" s="67">
        <v>0</v>
      </c>
      <c r="J170" s="739">
        <v>14797</v>
      </c>
      <c r="K170" s="837" t="s">
        <v>621</v>
      </c>
      <c r="L170" s="740">
        <v>0</v>
      </c>
      <c r="M170" s="741">
        <v>121</v>
      </c>
      <c r="N170" s="67">
        <v>197</v>
      </c>
      <c r="O170" s="67">
        <v>14994</v>
      </c>
      <c r="Q170" s="674">
        <v>0</v>
      </c>
      <c r="R170" s="674" t="s">
        <v>1730</v>
      </c>
      <c r="S170" s="798" t="s">
        <v>801</v>
      </c>
      <c r="T170" s="798">
        <v>0</v>
      </c>
      <c r="U170" s="88">
        <v>14994</v>
      </c>
      <c r="V170" s="71">
        <v>123.91735537190083</v>
      </c>
      <c r="W170" s="449">
        <v>14994</v>
      </c>
      <c r="X170" s="67">
        <v>17717</v>
      </c>
      <c r="Y170" s="163">
        <v>-2723</v>
      </c>
      <c r="Z170" s="166">
        <v>-0.15369419201896484</v>
      </c>
      <c r="AA170" s="34" t="s">
        <v>621</v>
      </c>
      <c r="AC170" s="67"/>
      <c r="AD170" s="451"/>
      <c r="AE170" s="452"/>
      <c r="AH170" s="36"/>
      <c r="AI170" s="36"/>
      <c r="AJ170" s="36"/>
      <c r="AK170" s="19"/>
    </row>
    <row r="171" spans="1:37">
      <c r="A171" s="64" t="s">
        <v>601</v>
      </c>
      <c r="B171" s="784" t="s">
        <v>315</v>
      </c>
      <c r="C171" s="784" t="s">
        <v>1510</v>
      </c>
      <c r="D171" s="134">
        <v>426.43</v>
      </c>
      <c r="E171" s="67">
        <v>52148</v>
      </c>
      <c r="F171" s="146">
        <v>0</v>
      </c>
      <c r="G171" s="146">
        <v>0</v>
      </c>
      <c r="H171" s="91">
        <v>52148</v>
      </c>
      <c r="I171" s="67">
        <v>0</v>
      </c>
      <c r="J171" s="739">
        <v>52148</v>
      </c>
      <c r="K171" s="837" t="s">
        <v>621</v>
      </c>
      <c r="L171" s="740">
        <v>0</v>
      </c>
      <c r="M171" s="741">
        <v>426.43</v>
      </c>
      <c r="N171" s="67">
        <v>695</v>
      </c>
      <c r="O171" s="67">
        <v>52843</v>
      </c>
      <c r="Q171" s="674">
        <v>0</v>
      </c>
      <c r="R171" s="674" t="s">
        <v>1730</v>
      </c>
      <c r="S171" s="798" t="s">
        <v>801</v>
      </c>
      <c r="T171" s="798">
        <v>0</v>
      </c>
      <c r="U171" s="88">
        <v>52843</v>
      </c>
      <c r="V171" s="71">
        <v>123.91951785756162</v>
      </c>
      <c r="W171" s="449">
        <v>52843</v>
      </c>
      <c r="X171" s="67">
        <v>51992</v>
      </c>
      <c r="Y171" s="163">
        <v>851</v>
      </c>
      <c r="Z171" s="166">
        <v>1.6367902754269886E-2</v>
      </c>
      <c r="AA171" s="34" t="s">
        <v>621</v>
      </c>
      <c r="AC171" s="67"/>
      <c r="AD171" s="451"/>
      <c r="AE171" s="452"/>
      <c r="AH171" s="36"/>
      <c r="AI171" s="36"/>
      <c r="AJ171" s="36"/>
      <c r="AK171" s="19"/>
    </row>
    <row r="172" spans="1:37">
      <c r="A172" s="64" t="s">
        <v>601</v>
      </c>
      <c r="B172" s="784" t="s">
        <v>317</v>
      </c>
      <c r="C172" s="784" t="s">
        <v>1511</v>
      </c>
      <c r="D172" s="134">
        <v>37.57</v>
      </c>
      <c r="E172" s="67">
        <v>4594</v>
      </c>
      <c r="F172" s="146">
        <v>0</v>
      </c>
      <c r="G172" s="146">
        <v>0</v>
      </c>
      <c r="H172" s="91">
        <v>4594</v>
      </c>
      <c r="I172" s="67">
        <v>0</v>
      </c>
      <c r="J172" s="739">
        <v>4594</v>
      </c>
      <c r="K172" s="837" t="s">
        <v>644</v>
      </c>
      <c r="L172" s="740">
        <v>4594</v>
      </c>
      <c r="M172" s="741">
        <v>0</v>
      </c>
      <c r="N172" s="67">
        <v>0</v>
      </c>
      <c r="O172" s="67">
        <v>0</v>
      </c>
      <c r="Q172" s="674">
        <v>0</v>
      </c>
      <c r="R172" s="674" t="s">
        <v>1730</v>
      </c>
      <c r="S172" s="798" t="s">
        <v>801</v>
      </c>
      <c r="T172" s="798">
        <v>0</v>
      </c>
      <c r="U172" s="88">
        <v>0</v>
      </c>
      <c r="V172" s="71">
        <v>0</v>
      </c>
      <c r="W172" s="449">
        <v>0</v>
      </c>
      <c r="X172" s="67">
        <v>0</v>
      </c>
      <c r="Y172" s="163">
        <v>0</v>
      </c>
      <c r="Z172" s="166">
        <v>0</v>
      </c>
      <c r="AA172" s="34" t="s">
        <v>644</v>
      </c>
      <c r="AC172" s="67"/>
      <c r="AD172" s="451"/>
      <c r="AE172" s="452"/>
      <c r="AH172" s="36"/>
      <c r="AI172" s="36"/>
      <c r="AJ172" s="36"/>
      <c r="AK172" s="19"/>
    </row>
    <row r="173" spans="1:37">
      <c r="A173" s="64" t="s">
        <v>601</v>
      </c>
      <c r="B173" s="784" t="s">
        <v>319</v>
      </c>
      <c r="C173" s="784" t="s">
        <v>1512</v>
      </c>
      <c r="D173" s="134">
        <v>13</v>
      </c>
      <c r="E173" s="67">
        <v>1590</v>
      </c>
      <c r="F173" s="146">
        <v>0</v>
      </c>
      <c r="G173" s="146">
        <v>0</v>
      </c>
      <c r="H173" s="91">
        <v>1590</v>
      </c>
      <c r="I173" s="67">
        <v>0</v>
      </c>
      <c r="J173" s="739">
        <v>1590</v>
      </c>
      <c r="K173" s="837" t="s">
        <v>644</v>
      </c>
      <c r="L173" s="740">
        <v>1590</v>
      </c>
      <c r="M173" s="741">
        <v>0</v>
      </c>
      <c r="N173" s="67">
        <v>0</v>
      </c>
      <c r="O173" s="67">
        <v>0</v>
      </c>
      <c r="Q173" s="674">
        <v>0</v>
      </c>
      <c r="R173" s="674" t="s">
        <v>1730</v>
      </c>
      <c r="S173" s="798" t="s">
        <v>801</v>
      </c>
      <c r="T173" s="798">
        <v>0</v>
      </c>
      <c r="U173" s="88">
        <v>0</v>
      </c>
      <c r="V173" s="71">
        <v>0</v>
      </c>
      <c r="W173" s="449">
        <v>0</v>
      </c>
      <c r="X173" s="67">
        <v>0</v>
      </c>
      <c r="Y173" s="163">
        <v>0</v>
      </c>
      <c r="Z173" s="166">
        <v>0</v>
      </c>
      <c r="AA173" s="34" t="s">
        <v>644</v>
      </c>
      <c r="AC173" s="67"/>
      <c r="AD173" s="451"/>
      <c r="AE173" s="452"/>
      <c r="AH173" s="36"/>
      <c r="AI173" s="36"/>
      <c r="AJ173" s="36"/>
      <c r="AK173" s="19"/>
    </row>
    <row r="174" spans="1:37">
      <c r="A174" s="64" t="s">
        <v>601</v>
      </c>
      <c r="B174" s="784" t="s">
        <v>321</v>
      </c>
      <c r="C174" s="784" t="s">
        <v>612</v>
      </c>
      <c r="D174" s="134">
        <v>156.70999999999998</v>
      </c>
      <c r="E174" s="67">
        <v>19164</v>
      </c>
      <c r="F174" s="146">
        <v>0</v>
      </c>
      <c r="G174" s="146">
        <v>0</v>
      </c>
      <c r="H174" s="91">
        <v>19164</v>
      </c>
      <c r="I174" s="67">
        <v>0</v>
      </c>
      <c r="J174" s="739">
        <v>19164</v>
      </c>
      <c r="K174" s="837" t="s">
        <v>621</v>
      </c>
      <c r="L174" s="740">
        <v>0</v>
      </c>
      <c r="M174" s="741">
        <v>156.70999999999998</v>
      </c>
      <c r="N174" s="67">
        <v>256</v>
      </c>
      <c r="O174" s="67">
        <v>19420</v>
      </c>
      <c r="Q174" s="674">
        <v>0</v>
      </c>
      <c r="R174" s="674" t="s">
        <v>1730</v>
      </c>
      <c r="S174" s="798" t="s">
        <v>801</v>
      </c>
      <c r="T174" s="798">
        <v>0</v>
      </c>
      <c r="U174" s="88">
        <v>19420</v>
      </c>
      <c r="V174" s="71">
        <v>123.92317018696957</v>
      </c>
      <c r="W174" s="449">
        <v>19420</v>
      </c>
      <c r="X174" s="67">
        <v>20574</v>
      </c>
      <c r="Y174" s="163">
        <v>-1154</v>
      </c>
      <c r="Z174" s="166">
        <v>-5.6090210945853994E-2</v>
      </c>
      <c r="AA174" s="34" t="s">
        <v>621</v>
      </c>
      <c r="AC174" s="67"/>
      <c r="AD174" s="451"/>
      <c r="AE174" s="452"/>
      <c r="AH174" s="36"/>
      <c r="AI174" s="36"/>
      <c r="AJ174" s="36"/>
      <c r="AK174" s="19"/>
    </row>
    <row r="175" spans="1:37">
      <c r="A175" s="64" t="s">
        <v>601</v>
      </c>
      <c r="B175" s="784" t="s">
        <v>323</v>
      </c>
      <c r="C175" s="784" t="s">
        <v>1513</v>
      </c>
      <c r="D175" s="134">
        <v>77.430000000000007</v>
      </c>
      <c r="E175" s="67">
        <v>9469</v>
      </c>
      <c r="F175" s="146">
        <v>0</v>
      </c>
      <c r="G175" s="146">
        <v>0</v>
      </c>
      <c r="H175" s="91">
        <v>9469</v>
      </c>
      <c r="I175" s="67">
        <v>0</v>
      </c>
      <c r="J175" s="739">
        <v>9469</v>
      </c>
      <c r="K175" s="837" t="s">
        <v>644</v>
      </c>
      <c r="L175" s="740">
        <v>9469</v>
      </c>
      <c r="M175" s="741">
        <v>0</v>
      </c>
      <c r="N175" s="67">
        <v>0</v>
      </c>
      <c r="O175" s="67">
        <v>0</v>
      </c>
      <c r="Q175" s="674">
        <v>0</v>
      </c>
      <c r="R175" s="674" t="s">
        <v>1730</v>
      </c>
      <c r="S175" s="798" t="s">
        <v>801</v>
      </c>
      <c r="T175" s="798">
        <v>0</v>
      </c>
      <c r="U175" s="88">
        <v>0</v>
      </c>
      <c r="V175" s="71">
        <v>0</v>
      </c>
      <c r="W175" s="449">
        <v>0</v>
      </c>
      <c r="X175" s="67">
        <v>10565</v>
      </c>
      <c r="Y175" s="163">
        <v>-10565</v>
      </c>
      <c r="Z175" s="166">
        <v>-1</v>
      </c>
      <c r="AA175" s="34" t="s">
        <v>644</v>
      </c>
      <c r="AC175" s="67"/>
      <c r="AD175" s="451"/>
      <c r="AE175" s="452"/>
      <c r="AH175" s="36"/>
      <c r="AI175" s="36"/>
      <c r="AJ175" s="36"/>
      <c r="AK175" s="19"/>
    </row>
    <row r="176" spans="1:37">
      <c r="A176" s="64" t="s">
        <v>599</v>
      </c>
      <c r="B176" s="784" t="s">
        <v>325</v>
      </c>
      <c r="C176" s="784" t="s">
        <v>712</v>
      </c>
      <c r="D176" s="134">
        <v>51.004285714285714</v>
      </c>
      <c r="E176" s="67">
        <v>6237</v>
      </c>
      <c r="F176" s="146">
        <v>0</v>
      </c>
      <c r="G176" s="146">
        <v>0</v>
      </c>
      <c r="H176" s="91">
        <v>6237</v>
      </c>
      <c r="I176" s="67">
        <v>0</v>
      </c>
      <c r="J176" s="739">
        <v>6237</v>
      </c>
      <c r="K176" s="837" t="s">
        <v>1306</v>
      </c>
      <c r="L176" s="740">
        <v>0</v>
      </c>
      <c r="M176" s="741">
        <v>51.004285714285714</v>
      </c>
      <c r="N176" s="67">
        <v>83</v>
      </c>
      <c r="O176" s="67">
        <v>6320</v>
      </c>
      <c r="Q176" s="674">
        <v>0</v>
      </c>
      <c r="R176" s="674" t="s">
        <v>1730</v>
      </c>
      <c r="S176" s="798" t="s">
        <v>801</v>
      </c>
      <c r="T176" s="798">
        <v>0</v>
      </c>
      <c r="U176" s="88">
        <v>6320</v>
      </c>
      <c r="V176" s="71">
        <v>123.91115592527238</v>
      </c>
      <c r="W176" s="449">
        <v>0</v>
      </c>
      <c r="X176" s="67">
        <v>8543</v>
      </c>
      <c r="Y176" s="163">
        <v>-2223</v>
      </c>
      <c r="Z176" s="166">
        <v>-0.26021303991572048</v>
      </c>
      <c r="AA176" s="34" t="s">
        <v>1306</v>
      </c>
      <c r="AC176" s="67"/>
      <c r="AD176" s="451"/>
      <c r="AE176" s="452"/>
      <c r="AH176" s="36"/>
      <c r="AI176" s="36"/>
      <c r="AJ176" s="36"/>
      <c r="AK176" s="19"/>
    </row>
    <row r="177" spans="1:37">
      <c r="A177" s="64" t="s">
        <v>594</v>
      </c>
      <c r="B177" s="784" t="s">
        <v>327</v>
      </c>
      <c r="C177" s="784" t="s">
        <v>1514</v>
      </c>
      <c r="D177" s="134">
        <v>70.569999999999993</v>
      </c>
      <c r="E177" s="67">
        <v>8630</v>
      </c>
      <c r="F177" s="146">
        <v>0</v>
      </c>
      <c r="G177" s="146">
        <v>0</v>
      </c>
      <c r="H177" s="91">
        <v>8630</v>
      </c>
      <c r="I177" s="67">
        <v>0</v>
      </c>
      <c r="J177" s="739">
        <v>8630</v>
      </c>
      <c r="K177" s="837" t="s">
        <v>1306</v>
      </c>
      <c r="L177" s="740">
        <v>0</v>
      </c>
      <c r="M177" s="741">
        <v>70.569999999999993</v>
      </c>
      <c r="N177" s="67">
        <v>115</v>
      </c>
      <c r="O177" s="67">
        <v>8745</v>
      </c>
      <c r="Q177" s="674">
        <v>0</v>
      </c>
      <c r="R177" s="674" t="s">
        <v>1730</v>
      </c>
      <c r="S177" s="798" t="s">
        <v>801</v>
      </c>
      <c r="T177" s="798">
        <v>0</v>
      </c>
      <c r="U177" s="88">
        <v>8745</v>
      </c>
      <c r="V177" s="71">
        <v>123.9195125407397</v>
      </c>
      <c r="W177" s="449">
        <v>0</v>
      </c>
      <c r="X177" s="67">
        <v>9947</v>
      </c>
      <c r="Y177" s="163">
        <v>-1202</v>
      </c>
      <c r="Z177" s="166">
        <v>-0.12084045440836433</v>
      </c>
      <c r="AA177" s="34" t="s">
        <v>1306</v>
      </c>
      <c r="AC177" s="67"/>
      <c r="AD177" s="451"/>
      <c r="AE177" s="452"/>
      <c r="AH177" s="36"/>
      <c r="AI177" s="36"/>
      <c r="AJ177" s="36"/>
      <c r="AK177" s="19"/>
    </row>
    <row r="178" spans="1:37">
      <c r="A178" s="64" t="s">
        <v>594</v>
      </c>
      <c r="B178" s="784" t="s">
        <v>329</v>
      </c>
      <c r="C178" s="784" t="s">
        <v>1515</v>
      </c>
      <c r="D178" s="134">
        <v>109</v>
      </c>
      <c r="E178" s="67">
        <v>13330</v>
      </c>
      <c r="F178" s="146">
        <v>0</v>
      </c>
      <c r="G178" s="146">
        <v>0</v>
      </c>
      <c r="H178" s="91">
        <v>13330</v>
      </c>
      <c r="I178" s="67">
        <v>0</v>
      </c>
      <c r="J178" s="739">
        <v>13330</v>
      </c>
      <c r="K178" s="837" t="s">
        <v>621</v>
      </c>
      <c r="L178" s="740">
        <v>0</v>
      </c>
      <c r="M178" s="741">
        <v>109</v>
      </c>
      <c r="N178" s="67">
        <v>178</v>
      </c>
      <c r="O178" s="67">
        <v>13508</v>
      </c>
      <c r="Q178" s="674">
        <v>0</v>
      </c>
      <c r="R178" s="674" t="s">
        <v>1730</v>
      </c>
      <c r="S178" s="798" t="s">
        <v>801</v>
      </c>
      <c r="T178" s="798">
        <v>0</v>
      </c>
      <c r="U178" s="88">
        <v>13508</v>
      </c>
      <c r="V178" s="71">
        <v>123.92660550458716</v>
      </c>
      <c r="W178" s="449">
        <v>13508</v>
      </c>
      <c r="X178" s="67">
        <v>12589</v>
      </c>
      <c r="Y178" s="163">
        <v>919</v>
      </c>
      <c r="Z178" s="166">
        <v>7.3000238303280646E-2</v>
      </c>
      <c r="AA178" s="34" t="s">
        <v>621</v>
      </c>
      <c r="AC178" s="67"/>
      <c r="AD178" s="451"/>
      <c r="AE178" s="452"/>
      <c r="AH178" s="36"/>
      <c r="AI178" s="36"/>
      <c r="AJ178" s="36"/>
      <c r="AK178" s="19"/>
    </row>
    <row r="179" spans="1:37">
      <c r="A179" s="64" t="s">
        <v>599</v>
      </c>
      <c r="B179" s="784" t="s">
        <v>331</v>
      </c>
      <c r="C179" s="784" t="s">
        <v>1516</v>
      </c>
      <c r="D179" s="134">
        <v>25.72</v>
      </c>
      <c r="E179" s="67">
        <v>3145</v>
      </c>
      <c r="F179" s="146">
        <v>0</v>
      </c>
      <c r="G179" s="146">
        <v>0</v>
      </c>
      <c r="H179" s="91">
        <v>3145</v>
      </c>
      <c r="I179" s="67">
        <v>0</v>
      </c>
      <c r="J179" s="739">
        <v>3145</v>
      </c>
      <c r="K179" s="837" t="s">
        <v>1306</v>
      </c>
      <c r="L179" s="740">
        <v>0</v>
      </c>
      <c r="M179" s="741">
        <v>25.72</v>
      </c>
      <c r="N179" s="67">
        <v>42</v>
      </c>
      <c r="O179" s="67">
        <v>3187</v>
      </c>
      <c r="Q179" s="674">
        <v>0</v>
      </c>
      <c r="R179" s="674" t="s">
        <v>1730</v>
      </c>
      <c r="S179" s="798" t="s">
        <v>801</v>
      </c>
      <c r="T179" s="798">
        <v>0</v>
      </c>
      <c r="U179" s="88">
        <v>3187</v>
      </c>
      <c r="V179" s="71">
        <v>123.91135303265942</v>
      </c>
      <c r="W179" s="449">
        <v>0</v>
      </c>
      <c r="X179" s="67">
        <v>1313</v>
      </c>
      <c r="Y179" s="163">
        <v>1874</v>
      </c>
      <c r="Z179" s="166">
        <v>1.4272658035034274</v>
      </c>
      <c r="AA179" s="34" t="s">
        <v>1306</v>
      </c>
      <c r="AC179" s="67"/>
      <c r="AD179" s="451"/>
      <c r="AE179" s="452"/>
      <c r="AH179" s="36"/>
      <c r="AI179" s="36"/>
      <c r="AJ179" s="36"/>
      <c r="AK179" s="19"/>
    </row>
    <row r="180" spans="1:37">
      <c r="A180" s="64" t="s">
        <v>594</v>
      </c>
      <c r="B180" s="784" t="s">
        <v>332</v>
      </c>
      <c r="C180" s="784" t="s">
        <v>1517</v>
      </c>
      <c r="D180" s="134">
        <v>6.85</v>
      </c>
      <c r="E180" s="67">
        <v>838</v>
      </c>
      <c r="F180" s="146">
        <v>0</v>
      </c>
      <c r="G180" s="146">
        <v>0</v>
      </c>
      <c r="H180" s="91">
        <v>838</v>
      </c>
      <c r="I180" s="67">
        <v>0</v>
      </c>
      <c r="J180" s="739">
        <v>838</v>
      </c>
      <c r="K180" s="837" t="s">
        <v>644</v>
      </c>
      <c r="L180" s="740">
        <v>838</v>
      </c>
      <c r="M180" s="741">
        <v>0</v>
      </c>
      <c r="N180" s="67">
        <v>0</v>
      </c>
      <c r="O180" s="67">
        <v>0</v>
      </c>
      <c r="Q180" s="674">
        <v>0</v>
      </c>
      <c r="R180" s="674" t="s">
        <v>1730</v>
      </c>
      <c r="S180" s="798" t="s">
        <v>801</v>
      </c>
      <c r="T180" s="798">
        <v>0</v>
      </c>
      <c r="U180" s="88">
        <v>0</v>
      </c>
      <c r="V180" s="71">
        <v>0</v>
      </c>
      <c r="W180" s="449">
        <v>0</v>
      </c>
      <c r="X180" s="67">
        <v>0</v>
      </c>
      <c r="Y180" s="163">
        <v>0</v>
      </c>
      <c r="Z180" s="166">
        <v>0</v>
      </c>
      <c r="AA180" s="34" t="s">
        <v>644</v>
      </c>
      <c r="AC180" s="67"/>
      <c r="AD180" s="451"/>
      <c r="AE180" s="452"/>
      <c r="AH180" s="36"/>
      <c r="AI180" s="36"/>
      <c r="AJ180" s="36"/>
      <c r="AK180" s="19"/>
    </row>
    <row r="181" spans="1:37">
      <c r="A181" s="64" t="s">
        <v>594</v>
      </c>
      <c r="B181" s="784" t="s">
        <v>334</v>
      </c>
      <c r="C181" s="784" t="s">
        <v>1518</v>
      </c>
      <c r="D181" s="134">
        <v>0</v>
      </c>
      <c r="E181" s="67">
        <v>0</v>
      </c>
      <c r="F181" s="146">
        <v>0</v>
      </c>
      <c r="G181" s="146">
        <v>0</v>
      </c>
      <c r="H181" s="91">
        <v>0</v>
      </c>
      <c r="I181" s="67">
        <v>0</v>
      </c>
      <c r="J181" s="739">
        <v>0</v>
      </c>
      <c r="K181" s="837" t="s">
        <v>644</v>
      </c>
      <c r="L181" s="740">
        <v>0</v>
      </c>
      <c r="M181" s="741">
        <v>0</v>
      </c>
      <c r="N181" s="67">
        <v>0</v>
      </c>
      <c r="O181" s="67">
        <v>0</v>
      </c>
      <c r="Q181" s="674">
        <v>0</v>
      </c>
      <c r="R181" s="674" t="s">
        <v>1730</v>
      </c>
      <c r="S181" s="798" t="s">
        <v>801</v>
      </c>
      <c r="T181" s="798">
        <v>0</v>
      </c>
      <c r="U181" s="88">
        <v>0</v>
      </c>
      <c r="V181" s="71">
        <v>0</v>
      </c>
      <c r="W181" s="449">
        <v>0</v>
      </c>
      <c r="X181" s="67">
        <v>0</v>
      </c>
      <c r="Y181" s="163">
        <v>0</v>
      </c>
      <c r="Z181" s="166">
        <v>0</v>
      </c>
      <c r="AA181" s="34" t="s">
        <v>644</v>
      </c>
      <c r="AC181" s="67"/>
      <c r="AD181" s="451"/>
      <c r="AE181" s="452"/>
      <c r="AH181" s="36"/>
      <c r="AI181" s="36"/>
      <c r="AJ181" s="36"/>
      <c r="AK181" s="19"/>
    </row>
    <row r="182" spans="1:37">
      <c r="A182" s="64" t="s">
        <v>603</v>
      </c>
      <c r="B182" s="784" t="s">
        <v>336</v>
      </c>
      <c r="C182" s="784" t="s">
        <v>1519</v>
      </c>
      <c r="D182" s="134">
        <v>0</v>
      </c>
      <c r="E182" s="67">
        <v>0</v>
      </c>
      <c r="F182" s="146">
        <v>0</v>
      </c>
      <c r="G182" s="146">
        <v>0</v>
      </c>
      <c r="H182" s="91">
        <v>0</v>
      </c>
      <c r="I182" s="67">
        <v>0</v>
      </c>
      <c r="J182" s="739">
        <v>0</v>
      </c>
      <c r="K182" s="837" t="s">
        <v>644</v>
      </c>
      <c r="L182" s="740">
        <v>0</v>
      </c>
      <c r="M182" s="741">
        <v>0</v>
      </c>
      <c r="N182" s="67">
        <v>0</v>
      </c>
      <c r="O182" s="67">
        <v>0</v>
      </c>
      <c r="Q182" s="674">
        <v>0</v>
      </c>
      <c r="R182" s="674" t="s">
        <v>1730</v>
      </c>
      <c r="S182" s="798" t="s">
        <v>801</v>
      </c>
      <c r="T182" s="798">
        <v>0</v>
      </c>
      <c r="U182" s="88">
        <v>0</v>
      </c>
      <c r="V182" s="71">
        <v>0</v>
      </c>
      <c r="W182" s="449">
        <v>0</v>
      </c>
      <c r="X182" s="67">
        <v>0</v>
      </c>
      <c r="Y182" s="163">
        <v>0</v>
      </c>
      <c r="Z182" s="166">
        <v>0</v>
      </c>
      <c r="AA182" s="34" t="s">
        <v>644</v>
      </c>
      <c r="AC182" s="67"/>
      <c r="AD182" s="451"/>
      <c r="AE182" s="452"/>
      <c r="AH182" s="36"/>
      <c r="AI182" s="36"/>
      <c r="AJ182" s="36"/>
      <c r="AK182" s="19"/>
    </row>
    <row r="183" spans="1:37">
      <c r="A183" s="64" t="s">
        <v>603</v>
      </c>
      <c r="B183" s="784" t="s">
        <v>338</v>
      </c>
      <c r="C183" s="784" t="s">
        <v>1520</v>
      </c>
      <c r="D183" s="134">
        <v>0</v>
      </c>
      <c r="E183" s="67">
        <v>0</v>
      </c>
      <c r="F183" s="146">
        <v>0</v>
      </c>
      <c r="G183" s="146">
        <v>0</v>
      </c>
      <c r="H183" s="91">
        <v>0</v>
      </c>
      <c r="I183" s="67">
        <v>0</v>
      </c>
      <c r="J183" s="739">
        <v>0</v>
      </c>
      <c r="K183" s="837" t="s">
        <v>644</v>
      </c>
      <c r="L183" s="740">
        <v>0</v>
      </c>
      <c r="M183" s="741">
        <v>0</v>
      </c>
      <c r="N183" s="67">
        <v>0</v>
      </c>
      <c r="O183" s="67">
        <v>0</v>
      </c>
      <c r="Q183" s="674">
        <v>0</v>
      </c>
      <c r="R183" s="674" t="s">
        <v>1730</v>
      </c>
      <c r="S183" s="798" t="s">
        <v>801</v>
      </c>
      <c r="T183" s="798">
        <v>0</v>
      </c>
      <c r="U183" s="88">
        <v>0</v>
      </c>
      <c r="V183" s="71">
        <v>0</v>
      </c>
      <c r="W183" s="449">
        <v>0</v>
      </c>
      <c r="X183" s="67">
        <v>0</v>
      </c>
      <c r="Y183" s="163">
        <v>0</v>
      </c>
      <c r="Z183" s="166">
        <v>0</v>
      </c>
      <c r="AA183" s="34" t="s">
        <v>644</v>
      </c>
      <c r="AC183" s="67"/>
      <c r="AD183" s="451"/>
      <c r="AE183" s="452"/>
      <c r="AH183" s="36"/>
      <c r="AI183" s="36"/>
      <c r="AJ183" s="36"/>
      <c r="AK183" s="19"/>
    </row>
    <row r="184" spans="1:37">
      <c r="A184" s="64" t="s">
        <v>603</v>
      </c>
      <c r="B184" s="784" t="s">
        <v>340</v>
      </c>
      <c r="C184" s="784" t="s">
        <v>1521</v>
      </c>
      <c r="D184" s="134">
        <v>0</v>
      </c>
      <c r="E184" s="67">
        <v>0</v>
      </c>
      <c r="F184" s="146">
        <v>0</v>
      </c>
      <c r="G184" s="146">
        <v>0</v>
      </c>
      <c r="H184" s="91">
        <v>0</v>
      </c>
      <c r="I184" s="67">
        <v>0</v>
      </c>
      <c r="J184" s="739">
        <v>0</v>
      </c>
      <c r="K184" s="837" t="s">
        <v>644</v>
      </c>
      <c r="L184" s="740">
        <v>0</v>
      </c>
      <c r="M184" s="741">
        <v>0</v>
      </c>
      <c r="N184" s="67">
        <v>0</v>
      </c>
      <c r="O184" s="67">
        <v>0</v>
      </c>
      <c r="Q184" s="674">
        <v>0</v>
      </c>
      <c r="R184" s="674" t="s">
        <v>1730</v>
      </c>
      <c r="S184" s="798" t="s">
        <v>801</v>
      </c>
      <c r="T184" s="798">
        <v>0</v>
      </c>
      <c r="U184" s="88">
        <v>0</v>
      </c>
      <c r="V184" s="71">
        <v>0</v>
      </c>
      <c r="W184" s="449">
        <v>0</v>
      </c>
      <c r="X184" s="67">
        <v>0</v>
      </c>
      <c r="Y184" s="163">
        <v>0</v>
      </c>
      <c r="Z184" s="166">
        <v>0</v>
      </c>
      <c r="AA184" s="34" t="s">
        <v>644</v>
      </c>
      <c r="AC184" s="67"/>
      <c r="AD184" s="451"/>
      <c r="AE184" s="452"/>
      <c r="AH184" s="36"/>
      <c r="AI184" s="36"/>
      <c r="AJ184" s="36"/>
      <c r="AK184" s="19"/>
    </row>
    <row r="185" spans="1:37">
      <c r="A185" s="64" t="s">
        <v>597</v>
      </c>
      <c r="B185" s="784" t="s">
        <v>342</v>
      </c>
      <c r="C185" s="784" t="s">
        <v>1522</v>
      </c>
      <c r="D185" s="134">
        <v>95</v>
      </c>
      <c r="E185" s="67">
        <v>11618</v>
      </c>
      <c r="F185" s="146">
        <v>0</v>
      </c>
      <c r="G185" s="146">
        <v>0</v>
      </c>
      <c r="H185" s="91">
        <v>11618</v>
      </c>
      <c r="I185" s="67">
        <v>0</v>
      </c>
      <c r="J185" s="739">
        <v>11618</v>
      </c>
      <c r="K185" s="837" t="s">
        <v>621</v>
      </c>
      <c r="L185" s="740">
        <v>0</v>
      </c>
      <c r="M185" s="741">
        <v>95</v>
      </c>
      <c r="N185" s="67">
        <v>155</v>
      </c>
      <c r="O185" s="67">
        <v>11773</v>
      </c>
      <c r="Q185" s="674">
        <v>0</v>
      </c>
      <c r="R185" s="674" t="s">
        <v>1730</v>
      </c>
      <c r="S185" s="798" t="s">
        <v>801</v>
      </c>
      <c r="T185" s="798">
        <v>0</v>
      </c>
      <c r="U185" s="88">
        <v>11773</v>
      </c>
      <c r="V185" s="71">
        <v>123.92631578947369</v>
      </c>
      <c r="W185" s="449">
        <v>11773</v>
      </c>
      <c r="X185" s="67">
        <v>0</v>
      </c>
      <c r="Y185" s="163">
        <v>11773</v>
      </c>
      <c r="Z185" s="166">
        <v>0</v>
      </c>
      <c r="AA185" s="34" t="s">
        <v>621</v>
      </c>
      <c r="AC185" s="67"/>
      <c r="AD185" s="451"/>
      <c r="AE185" s="452"/>
      <c r="AH185" s="36"/>
      <c r="AI185" s="36"/>
      <c r="AJ185" s="36"/>
      <c r="AK185" s="19"/>
    </row>
    <row r="186" spans="1:37">
      <c r="A186" s="64" t="s">
        <v>597</v>
      </c>
      <c r="B186" s="784" t="s">
        <v>343</v>
      </c>
      <c r="C186" s="784" t="s">
        <v>1523</v>
      </c>
      <c r="D186" s="134">
        <v>1345.1399999999999</v>
      </c>
      <c r="E186" s="67">
        <v>164498</v>
      </c>
      <c r="F186" s="146">
        <v>0</v>
      </c>
      <c r="G186" s="146">
        <v>0</v>
      </c>
      <c r="H186" s="91">
        <v>164498</v>
      </c>
      <c r="I186" s="67">
        <v>0</v>
      </c>
      <c r="J186" s="739">
        <v>164498</v>
      </c>
      <c r="K186" s="837" t="s">
        <v>621</v>
      </c>
      <c r="L186" s="740">
        <v>0</v>
      </c>
      <c r="M186" s="741">
        <v>1345.1399999999999</v>
      </c>
      <c r="N186" s="67">
        <v>2193</v>
      </c>
      <c r="O186" s="67">
        <v>166691</v>
      </c>
      <c r="Q186" s="674">
        <v>0</v>
      </c>
      <c r="R186" s="674" t="s">
        <v>1730</v>
      </c>
      <c r="S186" s="798" t="s">
        <v>801</v>
      </c>
      <c r="T186" s="798">
        <v>0</v>
      </c>
      <c r="U186" s="88">
        <v>166691</v>
      </c>
      <c r="V186" s="71">
        <v>123.92093016340307</v>
      </c>
      <c r="W186" s="449">
        <v>166691</v>
      </c>
      <c r="X186" s="67">
        <v>141934</v>
      </c>
      <c r="Y186" s="163">
        <v>24757</v>
      </c>
      <c r="Z186" s="166">
        <v>0.17442614172784535</v>
      </c>
      <c r="AA186" s="34" t="s">
        <v>621</v>
      </c>
      <c r="AC186" s="67"/>
      <c r="AD186" s="451"/>
      <c r="AE186" s="452"/>
      <c r="AH186" s="36"/>
      <c r="AI186" s="36"/>
      <c r="AJ186" s="36"/>
      <c r="AK186" s="19"/>
    </row>
    <row r="187" spans="1:37">
      <c r="A187" s="64" t="s">
        <v>597</v>
      </c>
      <c r="B187" s="784" t="s">
        <v>345</v>
      </c>
      <c r="C187" s="784" t="s">
        <v>1524</v>
      </c>
      <c r="D187" s="134">
        <v>3205.9985714285713</v>
      </c>
      <c r="E187" s="67">
        <v>392063</v>
      </c>
      <c r="F187" s="146">
        <v>0</v>
      </c>
      <c r="G187" s="146">
        <v>0</v>
      </c>
      <c r="H187" s="91">
        <v>392063</v>
      </c>
      <c r="I187" s="67">
        <v>0</v>
      </c>
      <c r="J187" s="739">
        <v>392063</v>
      </c>
      <c r="K187" s="837" t="s">
        <v>621</v>
      </c>
      <c r="L187" s="740">
        <v>0</v>
      </c>
      <c r="M187" s="741">
        <v>3205.9985714285713</v>
      </c>
      <c r="N187" s="67">
        <v>5227</v>
      </c>
      <c r="O187" s="67">
        <v>397290</v>
      </c>
      <c r="Q187" s="674">
        <v>0</v>
      </c>
      <c r="R187" s="674" t="s">
        <v>1730</v>
      </c>
      <c r="S187" s="798" t="s">
        <v>801</v>
      </c>
      <c r="T187" s="798">
        <v>0</v>
      </c>
      <c r="U187" s="88">
        <v>397290</v>
      </c>
      <c r="V187" s="71">
        <v>123.92082876785882</v>
      </c>
      <c r="W187" s="449">
        <v>397290</v>
      </c>
      <c r="X187" s="67">
        <v>365887</v>
      </c>
      <c r="Y187" s="163">
        <v>31403</v>
      </c>
      <c r="Z187" s="166">
        <v>8.5827044961969134E-2</v>
      </c>
      <c r="AA187" s="34" t="s">
        <v>621</v>
      </c>
      <c r="AC187" s="67"/>
      <c r="AD187" s="451"/>
      <c r="AE187" s="452"/>
      <c r="AH187" s="36"/>
      <c r="AI187" s="36"/>
      <c r="AJ187" s="36"/>
      <c r="AK187" s="19"/>
    </row>
    <row r="188" spans="1:37">
      <c r="A188" s="64" t="s">
        <v>597</v>
      </c>
      <c r="B188" s="784" t="s">
        <v>347</v>
      </c>
      <c r="C188" s="784" t="s">
        <v>1525</v>
      </c>
      <c r="D188" s="134">
        <v>0</v>
      </c>
      <c r="E188" s="67">
        <v>0</v>
      </c>
      <c r="F188" s="146">
        <v>0</v>
      </c>
      <c r="G188" s="146">
        <v>0</v>
      </c>
      <c r="H188" s="91">
        <v>0</v>
      </c>
      <c r="I188" s="67">
        <v>0</v>
      </c>
      <c r="J188" s="739">
        <v>0</v>
      </c>
      <c r="K188" s="837" t="s">
        <v>644</v>
      </c>
      <c r="L188" s="740">
        <v>0</v>
      </c>
      <c r="M188" s="741">
        <v>0</v>
      </c>
      <c r="N188" s="67">
        <v>0</v>
      </c>
      <c r="O188" s="67">
        <v>0</v>
      </c>
      <c r="Q188" s="674">
        <v>0</v>
      </c>
      <c r="R188" s="674" t="s">
        <v>1730</v>
      </c>
      <c r="S188" s="798" t="s">
        <v>801</v>
      </c>
      <c r="T188" s="798">
        <v>0</v>
      </c>
      <c r="U188" s="88">
        <v>0</v>
      </c>
      <c r="V188" s="71">
        <v>0</v>
      </c>
      <c r="W188" s="449">
        <v>0</v>
      </c>
      <c r="X188" s="67">
        <v>0</v>
      </c>
      <c r="Y188" s="163">
        <v>0</v>
      </c>
      <c r="Z188" s="166">
        <v>0</v>
      </c>
      <c r="AA188" s="34" t="s">
        <v>644</v>
      </c>
      <c r="AC188" s="67"/>
      <c r="AD188" s="451"/>
      <c r="AE188" s="452"/>
      <c r="AH188" s="36"/>
      <c r="AI188" s="36"/>
      <c r="AJ188" s="36"/>
      <c r="AK188" s="19"/>
    </row>
    <row r="189" spans="1:37">
      <c r="A189" s="64" t="s">
        <v>597</v>
      </c>
      <c r="B189" s="784" t="s">
        <v>349</v>
      </c>
      <c r="C189" s="784" t="s">
        <v>1526</v>
      </c>
      <c r="D189" s="134">
        <v>327.43</v>
      </c>
      <c r="E189" s="67">
        <v>40042</v>
      </c>
      <c r="F189" s="146">
        <v>0</v>
      </c>
      <c r="G189" s="146">
        <v>0</v>
      </c>
      <c r="H189" s="91">
        <v>40042</v>
      </c>
      <c r="I189" s="67">
        <v>0</v>
      </c>
      <c r="J189" s="739">
        <v>40042</v>
      </c>
      <c r="K189" s="837" t="s">
        <v>621</v>
      </c>
      <c r="L189" s="740">
        <v>0</v>
      </c>
      <c r="M189" s="741">
        <v>327.43</v>
      </c>
      <c r="N189" s="67">
        <v>534</v>
      </c>
      <c r="O189" s="67">
        <v>40576</v>
      </c>
      <c r="Q189" s="674">
        <v>0</v>
      </c>
      <c r="R189" s="674" t="s">
        <v>1730</v>
      </c>
      <c r="S189" s="798" t="s">
        <v>801</v>
      </c>
      <c r="T189" s="798">
        <v>0</v>
      </c>
      <c r="U189" s="88">
        <v>40576</v>
      </c>
      <c r="V189" s="71">
        <v>123.92267049445682</v>
      </c>
      <c r="W189" s="449">
        <v>40576</v>
      </c>
      <c r="X189" s="67">
        <v>36561</v>
      </c>
      <c r="Y189" s="163">
        <v>4015</v>
      </c>
      <c r="Z189" s="166">
        <v>0.109816471103088</v>
      </c>
      <c r="AA189" s="34" t="s">
        <v>621</v>
      </c>
      <c r="AC189" s="67"/>
      <c r="AD189" s="451"/>
      <c r="AE189" s="452"/>
      <c r="AH189" s="36"/>
      <c r="AI189" s="36"/>
      <c r="AJ189" s="36"/>
      <c r="AK189" s="19"/>
    </row>
    <row r="190" spans="1:37">
      <c r="A190" s="64" t="s">
        <v>597</v>
      </c>
      <c r="B190" s="784" t="s">
        <v>351</v>
      </c>
      <c r="C190" s="784" t="s">
        <v>1527</v>
      </c>
      <c r="D190" s="134">
        <v>385.56714285714281</v>
      </c>
      <c r="E190" s="67">
        <v>47151</v>
      </c>
      <c r="F190" s="146">
        <v>0</v>
      </c>
      <c r="G190" s="146">
        <v>0</v>
      </c>
      <c r="H190" s="91">
        <v>47151</v>
      </c>
      <c r="I190" s="67">
        <v>0</v>
      </c>
      <c r="J190" s="739">
        <v>47151</v>
      </c>
      <c r="K190" s="837" t="s">
        <v>621</v>
      </c>
      <c r="L190" s="740">
        <v>0</v>
      </c>
      <c r="M190" s="741">
        <v>385.56714285714281</v>
      </c>
      <c r="N190" s="67">
        <v>629</v>
      </c>
      <c r="O190" s="67">
        <v>47780</v>
      </c>
      <c r="Q190" s="674">
        <v>0</v>
      </c>
      <c r="R190" s="674" t="s">
        <v>1730</v>
      </c>
      <c r="S190" s="798" t="s">
        <v>801</v>
      </c>
      <c r="T190" s="798">
        <v>0</v>
      </c>
      <c r="U190" s="88">
        <v>47780</v>
      </c>
      <c r="V190" s="71">
        <v>123.92134777340988</v>
      </c>
      <c r="W190" s="449">
        <v>47780</v>
      </c>
      <c r="X190" s="67">
        <v>39943</v>
      </c>
      <c r="Y190" s="163">
        <v>7837</v>
      </c>
      <c r="Z190" s="166">
        <v>0.1962045915429487</v>
      </c>
      <c r="AA190" s="34" t="s">
        <v>621</v>
      </c>
      <c r="AC190" s="67"/>
      <c r="AD190" s="451"/>
      <c r="AE190" s="452"/>
      <c r="AH190" s="36"/>
      <c r="AI190" s="36"/>
      <c r="AJ190" s="36"/>
      <c r="AK190" s="19"/>
    </row>
    <row r="191" spans="1:37">
      <c r="A191" s="64" t="s">
        <v>597</v>
      </c>
      <c r="B191" s="784" t="s">
        <v>353</v>
      </c>
      <c r="C191" s="784" t="s">
        <v>1528</v>
      </c>
      <c r="D191" s="134">
        <v>68.28</v>
      </c>
      <c r="E191" s="67">
        <v>8350</v>
      </c>
      <c r="F191" s="146">
        <v>0</v>
      </c>
      <c r="G191" s="146">
        <v>0</v>
      </c>
      <c r="H191" s="91">
        <v>8350</v>
      </c>
      <c r="I191" s="67">
        <v>0</v>
      </c>
      <c r="J191" s="739">
        <v>8350</v>
      </c>
      <c r="K191" s="837" t="s">
        <v>1306</v>
      </c>
      <c r="L191" s="740">
        <v>0</v>
      </c>
      <c r="M191" s="741">
        <v>68.28</v>
      </c>
      <c r="N191" s="67">
        <v>111</v>
      </c>
      <c r="O191" s="67">
        <v>8461</v>
      </c>
      <c r="Q191" s="674">
        <v>0</v>
      </c>
      <c r="R191" s="674" t="s">
        <v>1730</v>
      </c>
      <c r="S191" s="798" t="s">
        <v>801</v>
      </c>
      <c r="T191" s="798">
        <v>0</v>
      </c>
      <c r="U191" s="88">
        <v>8461</v>
      </c>
      <c r="V191" s="71">
        <v>123.9162272993556</v>
      </c>
      <c r="W191" s="449">
        <v>0</v>
      </c>
      <c r="X191" s="67">
        <v>6071</v>
      </c>
      <c r="Y191" s="163">
        <v>2390</v>
      </c>
      <c r="Z191" s="166">
        <v>0.39367484763630373</v>
      </c>
      <c r="AA191" s="34" t="s">
        <v>1306</v>
      </c>
      <c r="AC191" s="67"/>
      <c r="AD191" s="451"/>
      <c r="AE191" s="452"/>
      <c r="AH191" s="36"/>
      <c r="AI191" s="36"/>
      <c r="AJ191" s="36"/>
      <c r="AK191" s="19"/>
    </row>
    <row r="192" spans="1:37">
      <c r="A192" s="64" t="s">
        <v>597</v>
      </c>
      <c r="B192" s="784" t="s">
        <v>355</v>
      </c>
      <c r="C192" s="784" t="s">
        <v>1529</v>
      </c>
      <c r="D192" s="134">
        <v>50.86</v>
      </c>
      <c r="E192" s="67">
        <v>6220</v>
      </c>
      <c r="F192" s="146">
        <v>0</v>
      </c>
      <c r="G192" s="146">
        <v>0</v>
      </c>
      <c r="H192" s="91">
        <v>6220</v>
      </c>
      <c r="I192" s="67">
        <v>0</v>
      </c>
      <c r="J192" s="739">
        <v>6220</v>
      </c>
      <c r="K192" s="837" t="s">
        <v>1306</v>
      </c>
      <c r="L192" s="740">
        <v>0</v>
      </c>
      <c r="M192" s="741">
        <v>50.86</v>
      </c>
      <c r="N192" s="67">
        <v>83</v>
      </c>
      <c r="O192" s="67">
        <v>6303</v>
      </c>
      <c r="Q192" s="674">
        <v>0</v>
      </c>
      <c r="R192" s="674" t="s">
        <v>1730</v>
      </c>
      <c r="S192" s="798" t="s">
        <v>801</v>
      </c>
      <c r="T192" s="798">
        <v>0</v>
      </c>
      <c r="U192" s="88">
        <v>6303</v>
      </c>
      <c r="V192" s="71">
        <v>123.92843098702321</v>
      </c>
      <c r="W192" s="449">
        <v>0</v>
      </c>
      <c r="X192" s="67">
        <v>0</v>
      </c>
      <c r="Y192" s="163">
        <v>6303</v>
      </c>
      <c r="Z192" s="166">
        <v>0</v>
      </c>
      <c r="AA192" s="34" t="s">
        <v>1306</v>
      </c>
      <c r="AC192" s="67"/>
      <c r="AD192" s="451"/>
      <c r="AE192" s="452"/>
      <c r="AH192" s="36"/>
      <c r="AI192" s="36"/>
      <c r="AJ192" s="36"/>
      <c r="AK192" s="19"/>
    </row>
    <row r="193" spans="1:37">
      <c r="A193" s="64" t="s">
        <v>597</v>
      </c>
      <c r="B193" s="784" t="s">
        <v>357</v>
      </c>
      <c r="C193" s="784" t="s">
        <v>1530</v>
      </c>
      <c r="D193" s="134">
        <v>1647.8657142857141</v>
      </c>
      <c r="E193" s="67">
        <v>201518</v>
      </c>
      <c r="F193" s="146">
        <v>0</v>
      </c>
      <c r="G193" s="146">
        <v>0</v>
      </c>
      <c r="H193" s="91">
        <v>201518</v>
      </c>
      <c r="I193" s="67">
        <v>0</v>
      </c>
      <c r="J193" s="739">
        <v>201518</v>
      </c>
      <c r="K193" s="837" t="s">
        <v>621</v>
      </c>
      <c r="L193" s="740">
        <v>0</v>
      </c>
      <c r="M193" s="741">
        <v>1647.8657142857141</v>
      </c>
      <c r="N193" s="67">
        <v>2687</v>
      </c>
      <c r="O193" s="67">
        <v>204205</v>
      </c>
      <c r="Q193" s="674">
        <v>0</v>
      </c>
      <c r="R193" s="674" t="s">
        <v>1730</v>
      </c>
      <c r="S193" s="798" t="s">
        <v>801</v>
      </c>
      <c r="T193" s="798">
        <v>0</v>
      </c>
      <c r="U193" s="88">
        <v>204205</v>
      </c>
      <c r="V193" s="71">
        <v>123.92089854755849</v>
      </c>
      <c r="W193" s="449">
        <v>204205</v>
      </c>
      <c r="X193" s="67">
        <v>197494</v>
      </c>
      <c r="Y193" s="163">
        <v>6711</v>
      </c>
      <c r="Z193" s="166">
        <v>3.3980779162911277E-2</v>
      </c>
      <c r="AA193" s="34" t="s">
        <v>621</v>
      </c>
      <c r="AC193" s="67"/>
      <c r="AD193" s="451"/>
      <c r="AE193" s="452"/>
      <c r="AH193" s="36"/>
      <c r="AI193" s="36"/>
      <c r="AJ193" s="36"/>
      <c r="AK193" s="19"/>
    </row>
    <row r="194" spans="1:37">
      <c r="A194" s="64" t="s">
        <v>597</v>
      </c>
      <c r="B194" s="784" t="s">
        <v>359</v>
      </c>
      <c r="C194" s="784" t="s">
        <v>626</v>
      </c>
      <c r="D194" s="134">
        <v>181.28</v>
      </c>
      <c r="E194" s="67">
        <v>22169</v>
      </c>
      <c r="F194" s="146">
        <v>0</v>
      </c>
      <c r="G194" s="146">
        <v>0</v>
      </c>
      <c r="H194" s="91">
        <v>22169</v>
      </c>
      <c r="I194" s="67">
        <v>0</v>
      </c>
      <c r="J194" s="739">
        <v>22169</v>
      </c>
      <c r="K194" s="837" t="s">
        <v>621</v>
      </c>
      <c r="L194" s="740">
        <v>0</v>
      </c>
      <c r="M194" s="741">
        <v>181.28</v>
      </c>
      <c r="N194" s="67">
        <v>296</v>
      </c>
      <c r="O194" s="67">
        <v>22465</v>
      </c>
      <c r="Q194" s="674">
        <v>0</v>
      </c>
      <c r="R194" s="674" t="s">
        <v>1730</v>
      </c>
      <c r="S194" s="798" t="s">
        <v>801</v>
      </c>
      <c r="T194" s="798">
        <v>0</v>
      </c>
      <c r="U194" s="88">
        <v>22465</v>
      </c>
      <c r="V194" s="71">
        <v>123.92431597528685</v>
      </c>
      <c r="W194" s="449">
        <v>22465</v>
      </c>
      <c r="X194" s="67">
        <v>16929</v>
      </c>
      <c r="Y194" s="163">
        <v>5536</v>
      </c>
      <c r="Z194" s="166">
        <v>0.3270128182408884</v>
      </c>
      <c r="AA194" s="34" t="s">
        <v>621</v>
      </c>
      <c r="AC194" s="67"/>
      <c r="AD194" s="451"/>
      <c r="AE194" s="452"/>
      <c r="AH194" s="36"/>
      <c r="AI194" s="36"/>
      <c r="AJ194" s="36"/>
      <c r="AK194" s="19"/>
    </row>
    <row r="195" spans="1:37">
      <c r="A195" s="64" t="s">
        <v>597</v>
      </c>
      <c r="B195" s="784" t="s">
        <v>361</v>
      </c>
      <c r="C195" s="784" t="s">
        <v>630</v>
      </c>
      <c r="D195" s="134">
        <v>842.86</v>
      </c>
      <c r="E195" s="67">
        <v>103074</v>
      </c>
      <c r="F195" s="146">
        <v>0</v>
      </c>
      <c r="G195" s="146">
        <v>0</v>
      </c>
      <c r="H195" s="91">
        <v>103074</v>
      </c>
      <c r="I195" s="67">
        <v>0</v>
      </c>
      <c r="J195" s="739">
        <v>103074</v>
      </c>
      <c r="K195" s="837" t="s">
        <v>621</v>
      </c>
      <c r="L195" s="740">
        <v>0</v>
      </c>
      <c r="M195" s="741">
        <v>842.86</v>
      </c>
      <c r="N195" s="67">
        <v>1374</v>
      </c>
      <c r="O195" s="67">
        <v>104448</v>
      </c>
      <c r="Q195" s="674">
        <v>0</v>
      </c>
      <c r="R195" s="674" t="s">
        <v>1730</v>
      </c>
      <c r="S195" s="798" t="s">
        <v>801</v>
      </c>
      <c r="T195" s="798">
        <v>0</v>
      </c>
      <c r="U195" s="88">
        <v>104448</v>
      </c>
      <c r="V195" s="71">
        <v>123.92093586123437</v>
      </c>
      <c r="W195" s="449">
        <v>104448</v>
      </c>
      <c r="X195" s="67">
        <v>93634</v>
      </c>
      <c r="Y195" s="163">
        <v>10814</v>
      </c>
      <c r="Z195" s="166">
        <v>0.11549223572633872</v>
      </c>
      <c r="AA195" s="34" t="s">
        <v>621</v>
      </c>
      <c r="AC195" s="67"/>
      <c r="AD195" s="451"/>
      <c r="AE195" s="452"/>
      <c r="AH195" s="36"/>
      <c r="AI195" s="36"/>
      <c r="AJ195" s="36"/>
      <c r="AK195" s="19"/>
    </row>
    <row r="196" spans="1:37">
      <c r="A196" s="64" t="s">
        <v>597</v>
      </c>
      <c r="B196" s="784" t="s">
        <v>363</v>
      </c>
      <c r="C196" s="784" t="s">
        <v>1531</v>
      </c>
      <c r="D196" s="134">
        <v>976.99714285714288</v>
      </c>
      <c r="E196" s="67">
        <v>119477</v>
      </c>
      <c r="F196" s="146">
        <v>0</v>
      </c>
      <c r="G196" s="146">
        <v>0</v>
      </c>
      <c r="H196" s="91">
        <v>119477</v>
      </c>
      <c r="I196" s="67">
        <v>0</v>
      </c>
      <c r="J196" s="739">
        <v>119477</v>
      </c>
      <c r="K196" s="837" t="s">
        <v>621</v>
      </c>
      <c r="L196" s="740">
        <v>0</v>
      </c>
      <c r="M196" s="741">
        <v>976.99714285714288</v>
      </c>
      <c r="N196" s="67">
        <v>1593</v>
      </c>
      <c r="O196" s="67">
        <v>121070</v>
      </c>
      <c r="Q196" s="674">
        <v>0</v>
      </c>
      <c r="R196" s="674" t="s">
        <v>1730</v>
      </c>
      <c r="S196" s="798" t="s">
        <v>801</v>
      </c>
      <c r="T196" s="798">
        <v>0</v>
      </c>
      <c r="U196" s="88">
        <v>121070</v>
      </c>
      <c r="V196" s="71">
        <v>123.92052616033385</v>
      </c>
      <c r="W196" s="449">
        <v>121070</v>
      </c>
      <c r="X196" s="67">
        <v>87286</v>
      </c>
      <c r="Y196" s="163">
        <v>33784</v>
      </c>
      <c r="Z196" s="166">
        <v>0.38704946955983777</v>
      </c>
      <c r="AA196" s="34" t="s">
        <v>621</v>
      </c>
      <c r="AC196" s="67"/>
      <c r="AD196" s="451"/>
      <c r="AE196" s="452"/>
      <c r="AH196" s="36"/>
      <c r="AI196" s="36"/>
      <c r="AJ196" s="36"/>
      <c r="AK196" s="19"/>
    </row>
    <row r="197" spans="1:37">
      <c r="A197" s="64" t="s">
        <v>597</v>
      </c>
      <c r="B197" s="784" t="s">
        <v>365</v>
      </c>
      <c r="C197" s="784" t="s">
        <v>1532</v>
      </c>
      <c r="D197" s="134">
        <v>6.71</v>
      </c>
      <c r="E197" s="67">
        <v>821</v>
      </c>
      <c r="F197" s="146">
        <v>0</v>
      </c>
      <c r="G197" s="146">
        <v>0</v>
      </c>
      <c r="H197" s="91">
        <v>821</v>
      </c>
      <c r="I197" s="67">
        <v>0</v>
      </c>
      <c r="J197" s="739">
        <v>821</v>
      </c>
      <c r="K197" s="837" t="s">
        <v>644</v>
      </c>
      <c r="L197" s="740">
        <v>821</v>
      </c>
      <c r="M197" s="741">
        <v>0</v>
      </c>
      <c r="N197" s="67">
        <v>0</v>
      </c>
      <c r="O197" s="67">
        <v>0</v>
      </c>
      <c r="Q197" s="674">
        <v>0</v>
      </c>
      <c r="R197" s="674" t="s">
        <v>1730</v>
      </c>
      <c r="S197" s="798" t="s">
        <v>801</v>
      </c>
      <c r="T197" s="798">
        <v>0</v>
      </c>
      <c r="U197" s="88">
        <v>0</v>
      </c>
      <c r="V197" s="71">
        <v>0</v>
      </c>
      <c r="W197" s="449">
        <v>0</v>
      </c>
      <c r="X197" s="67">
        <v>0</v>
      </c>
      <c r="Y197" s="163">
        <v>0</v>
      </c>
      <c r="Z197" s="166">
        <v>0</v>
      </c>
      <c r="AA197" s="34" t="s">
        <v>644</v>
      </c>
      <c r="AC197" s="67"/>
      <c r="AD197" s="451"/>
      <c r="AE197" s="452"/>
      <c r="AH197" s="36"/>
      <c r="AI197" s="36"/>
      <c r="AJ197" s="36"/>
      <c r="AK197" s="19"/>
    </row>
    <row r="198" spans="1:37">
      <c r="A198" s="64" t="s">
        <v>597</v>
      </c>
      <c r="B198" s="784" t="s">
        <v>367</v>
      </c>
      <c r="C198" s="784" t="s">
        <v>1533</v>
      </c>
      <c r="D198" s="134">
        <v>136.29000000000002</v>
      </c>
      <c r="E198" s="67">
        <v>16667</v>
      </c>
      <c r="F198" s="146">
        <v>0</v>
      </c>
      <c r="G198" s="146">
        <v>0</v>
      </c>
      <c r="H198" s="91">
        <v>16667</v>
      </c>
      <c r="I198" s="67">
        <v>0</v>
      </c>
      <c r="J198" s="739">
        <v>16667</v>
      </c>
      <c r="K198" s="837" t="s">
        <v>621</v>
      </c>
      <c r="L198" s="740">
        <v>0</v>
      </c>
      <c r="M198" s="741">
        <v>136.29000000000002</v>
      </c>
      <c r="N198" s="67">
        <v>222</v>
      </c>
      <c r="O198" s="67">
        <v>16889</v>
      </c>
      <c r="Q198" s="674">
        <v>0</v>
      </c>
      <c r="R198" s="674" t="s">
        <v>1730</v>
      </c>
      <c r="S198" s="798" t="s">
        <v>801</v>
      </c>
      <c r="T198" s="798">
        <v>0</v>
      </c>
      <c r="U198" s="88">
        <v>16889</v>
      </c>
      <c r="V198" s="71">
        <v>123.91958324161712</v>
      </c>
      <c r="W198" s="449">
        <v>16889</v>
      </c>
      <c r="X198" s="67">
        <v>10472</v>
      </c>
      <c r="Y198" s="163">
        <v>6417</v>
      </c>
      <c r="Z198" s="166">
        <v>0.61277692895339952</v>
      </c>
      <c r="AA198" s="34" t="s">
        <v>621</v>
      </c>
      <c r="AC198" s="67"/>
      <c r="AD198" s="451"/>
      <c r="AE198" s="452"/>
      <c r="AH198" s="36"/>
      <c r="AI198" s="36"/>
      <c r="AJ198" s="36"/>
      <c r="AK198" s="19"/>
    </row>
    <row r="199" spans="1:37">
      <c r="A199" s="64" t="s">
        <v>597</v>
      </c>
      <c r="B199" s="784" t="s">
        <v>369</v>
      </c>
      <c r="C199" s="784" t="s">
        <v>1534</v>
      </c>
      <c r="D199" s="134">
        <v>489.57</v>
      </c>
      <c r="E199" s="67">
        <v>59870</v>
      </c>
      <c r="F199" s="146">
        <v>0</v>
      </c>
      <c r="G199" s="146">
        <v>0</v>
      </c>
      <c r="H199" s="91">
        <v>59870</v>
      </c>
      <c r="I199" s="67">
        <v>0</v>
      </c>
      <c r="J199" s="739">
        <v>59870</v>
      </c>
      <c r="K199" s="837" t="s">
        <v>621</v>
      </c>
      <c r="L199" s="740">
        <v>0</v>
      </c>
      <c r="M199" s="741">
        <v>489.57</v>
      </c>
      <c r="N199" s="67">
        <v>798</v>
      </c>
      <c r="O199" s="67">
        <v>60668</v>
      </c>
      <c r="Q199" s="674">
        <v>0</v>
      </c>
      <c r="R199" s="674" t="s">
        <v>1730</v>
      </c>
      <c r="S199" s="798" t="s">
        <v>801</v>
      </c>
      <c r="T199" s="798">
        <v>0</v>
      </c>
      <c r="U199" s="88">
        <v>60668</v>
      </c>
      <c r="V199" s="71">
        <v>123.92099189084298</v>
      </c>
      <c r="W199" s="449">
        <v>60668</v>
      </c>
      <c r="X199" s="67">
        <v>51235</v>
      </c>
      <c r="Y199" s="163">
        <v>9433</v>
      </c>
      <c r="Z199" s="166">
        <v>0.1841124231482385</v>
      </c>
      <c r="AA199" s="34" t="s">
        <v>621</v>
      </c>
      <c r="AC199" s="67"/>
      <c r="AD199" s="451"/>
      <c r="AE199" s="452"/>
      <c r="AH199" s="36"/>
      <c r="AI199" s="36"/>
      <c r="AJ199" s="36"/>
      <c r="AK199" s="19"/>
    </row>
    <row r="200" spans="1:37">
      <c r="A200" s="64" t="s">
        <v>597</v>
      </c>
      <c r="B200" s="784" t="s">
        <v>666</v>
      </c>
      <c r="C200" s="784" t="s">
        <v>1535</v>
      </c>
      <c r="D200" s="134">
        <v>0</v>
      </c>
      <c r="E200" s="67">
        <v>0</v>
      </c>
      <c r="F200" s="146">
        <v>0</v>
      </c>
      <c r="G200" s="146">
        <v>0</v>
      </c>
      <c r="H200" s="91">
        <v>0</v>
      </c>
      <c r="I200" s="67">
        <v>0</v>
      </c>
      <c r="J200" s="739">
        <v>0</v>
      </c>
      <c r="K200" s="837" t="s">
        <v>644</v>
      </c>
      <c r="L200" s="740">
        <v>0</v>
      </c>
      <c r="M200" s="741">
        <v>0</v>
      </c>
      <c r="N200" s="67">
        <v>0</v>
      </c>
      <c r="O200" s="67">
        <v>0</v>
      </c>
      <c r="Q200" s="674">
        <v>0</v>
      </c>
      <c r="R200" s="674" t="s">
        <v>1730</v>
      </c>
      <c r="S200" s="798" t="s">
        <v>801</v>
      </c>
      <c r="T200" s="798">
        <v>0</v>
      </c>
      <c r="U200" s="88">
        <v>0</v>
      </c>
      <c r="V200" s="71">
        <v>0</v>
      </c>
      <c r="W200" s="449">
        <v>0</v>
      </c>
      <c r="X200" s="67">
        <v>0</v>
      </c>
      <c r="Y200" s="163">
        <v>0</v>
      </c>
      <c r="Z200" s="166">
        <v>0</v>
      </c>
      <c r="AA200" s="34" t="s">
        <v>644</v>
      </c>
      <c r="AC200" s="67"/>
      <c r="AD200" s="451"/>
      <c r="AE200" s="452"/>
      <c r="AH200" s="36"/>
      <c r="AI200" s="36"/>
      <c r="AJ200" s="36"/>
      <c r="AK200" s="19"/>
    </row>
    <row r="201" spans="1:37">
      <c r="A201" s="64" t="s">
        <v>597</v>
      </c>
      <c r="B201" s="784" t="s">
        <v>668</v>
      </c>
      <c r="C201" s="784" t="s">
        <v>1536</v>
      </c>
      <c r="D201" s="134">
        <v>0</v>
      </c>
      <c r="E201" s="67">
        <v>0</v>
      </c>
      <c r="F201" s="146">
        <v>0</v>
      </c>
      <c r="G201" s="146">
        <v>0</v>
      </c>
      <c r="H201" s="91">
        <v>0</v>
      </c>
      <c r="I201" s="67">
        <v>0</v>
      </c>
      <c r="J201" s="739">
        <v>0</v>
      </c>
      <c r="K201" s="837" t="s">
        <v>644</v>
      </c>
      <c r="L201" s="740">
        <v>0</v>
      </c>
      <c r="M201" s="741">
        <v>0</v>
      </c>
      <c r="N201" s="67">
        <v>0</v>
      </c>
      <c r="O201" s="67">
        <v>0</v>
      </c>
      <c r="Q201" s="674">
        <v>0</v>
      </c>
      <c r="R201" s="674" t="s">
        <v>1730</v>
      </c>
      <c r="S201" s="798" t="s">
        <v>801</v>
      </c>
      <c r="T201" s="798">
        <v>0</v>
      </c>
      <c r="U201" s="88">
        <v>0</v>
      </c>
      <c r="V201" s="71">
        <v>0</v>
      </c>
      <c r="W201" s="449">
        <v>0</v>
      </c>
      <c r="X201" s="67">
        <v>0</v>
      </c>
      <c r="Y201" s="163">
        <v>0</v>
      </c>
      <c r="Z201" s="166">
        <v>0</v>
      </c>
      <c r="AA201" s="34" t="s">
        <v>644</v>
      </c>
      <c r="AC201" s="67"/>
      <c r="AD201" s="451"/>
      <c r="AE201" s="452"/>
      <c r="AH201" s="36"/>
      <c r="AI201" s="36"/>
      <c r="AJ201" s="36"/>
      <c r="AK201" s="19"/>
    </row>
    <row r="202" spans="1:37">
      <c r="A202" s="64" t="s">
        <v>595</v>
      </c>
      <c r="B202" s="784" t="s">
        <v>371</v>
      </c>
      <c r="C202" s="784" t="s">
        <v>1537</v>
      </c>
      <c r="D202" s="134">
        <v>0</v>
      </c>
      <c r="E202" s="67">
        <v>0</v>
      </c>
      <c r="F202" s="146">
        <v>0</v>
      </c>
      <c r="G202" s="146">
        <v>0</v>
      </c>
      <c r="H202" s="91">
        <v>0</v>
      </c>
      <c r="I202" s="67">
        <v>0</v>
      </c>
      <c r="J202" s="739">
        <v>0</v>
      </c>
      <c r="K202" s="837" t="s">
        <v>644</v>
      </c>
      <c r="L202" s="740">
        <v>0</v>
      </c>
      <c r="M202" s="741">
        <v>0</v>
      </c>
      <c r="N202" s="67">
        <v>0</v>
      </c>
      <c r="O202" s="67">
        <v>0</v>
      </c>
      <c r="Q202" s="674">
        <v>0</v>
      </c>
      <c r="R202" s="674" t="s">
        <v>1730</v>
      </c>
      <c r="S202" s="798" t="s">
        <v>801</v>
      </c>
      <c r="T202" s="798">
        <v>0</v>
      </c>
      <c r="U202" s="88">
        <v>0</v>
      </c>
      <c r="V202" s="71">
        <v>0</v>
      </c>
      <c r="W202" s="449">
        <v>0</v>
      </c>
      <c r="X202" s="67">
        <v>0</v>
      </c>
      <c r="Y202" s="163">
        <v>0</v>
      </c>
      <c r="Z202" s="166">
        <v>0</v>
      </c>
      <c r="AA202" s="34" t="s">
        <v>644</v>
      </c>
      <c r="AC202" s="67"/>
      <c r="AD202" s="451"/>
      <c r="AE202" s="452"/>
      <c r="AH202" s="36"/>
      <c r="AI202" s="36"/>
      <c r="AJ202" s="36"/>
      <c r="AK202" s="19"/>
    </row>
    <row r="203" spans="1:37">
      <c r="A203" s="64" t="s">
        <v>595</v>
      </c>
      <c r="B203" s="784" t="s">
        <v>372</v>
      </c>
      <c r="C203" s="784" t="s">
        <v>1538</v>
      </c>
      <c r="D203" s="134">
        <v>38</v>
      </c>
      <c r="E203" s="67">
        <v>4647</v>
      </c>
      <c r="F203" s="146">
        <v>0</v>
      </c>
      <c r="G203" s="146">
        <v>0</v>
      </c>
      <c r="H203" s="91">
        <v>4647</v>
      </c>
      <c r="I203" s="67">
        <v>0</v>
      </c>
      <c r="J203" s="739">
        <v>4647</v>
      </c>
      <c r="K203" s="837" t="s">
        <v>1306</v>
      </c>
      <c r="L203" s="740">
        <v>0</v>
      </c>
      <c r="M203" s="741">
        <v>38</v>
      </c>
      <c r="N203" s="67">
        <v>62</v>
      </c>
      <c r="O203" s="67">
        <v>4709</v>
      </c>
      <c r="Q203" s="674">
        <v>0</v>
      </c>
      <c r="R203" s="674" t="s">
        <v>1730</v>
      </c>
      <c r="S203" s="798" t="s">
        <v>801</v>
      </c>
      <c r="T203" s="798">
        <v>0</v>
      </c>
      <c r="U203" s="88">
        <v>4709</v>
      </c>
      <c r="V203" s="71">
        <v>123.92105263157895</v>
      </c>
      <c r="W203" s="449">
        <v>0</v>
      </c>
      <c r="X203" s="67">
        <v>4633</v>
      </c>
      <c r="Y203" s="163">
        <v>76</v>
      </c>
      <c r="Z203" s="166">
        <v>1.6404057845888192E-2</v>
      </c>
      <c r="AA203" s="34" t="s">
        <v>1306</v>
      </c>
      <c r="AC203" s="67"/>
      <c r="AD203" s="451"/>
      <c r="AE203" s="452"/>
      <c r="AH203" s="36"/>
      <c r="AI203" s="36"/>
      <c r="AJ203" s="36"/>
      <c r="AK203" s="19"/>
    </row>
    <row r="204" spans="1:37">
      <c r="A204" s="64" t="s">
        <v>595</v>
      </c>
      <c r="B204" s="784" t="s">
        <v>373</v>
      </c>
      <c r="C204" s="784" t="s">
        <v>1539</v>
      </c>
      <c r="D204" s="134">
        <v>22.14</v>
      </c>
      <c r="E204" s="67">
        <v>2708</v>
      </c>
      <c r="F204" s="146">
        <v>0</v>
      </c>
      <c r="G204" s="146">
        <v>0</v>
      </c>
      <c r="H204" s="91">
        <v>2708</v>
      </c>
      <c r="I204" s="67">
        <v>0</v>
      </c>
      <c r="J204" s="739">
        <v>2708</v>
      </c>
      <c r="K204" s="837" t="s">
        <v>1306</v>
      </c>
      <c r="L204" s="740">
        <v>0</v>
      </c>
      <c r="M204" s="741">
        <v>22.14</v>
      </c>
      <c r="N204" s="67">
        <v>36</v>
      </c>
      <c r="O204" s="67">
        <v>2744</v>
      </c>
      <c r="Q204" s="674">
        <v>0</v>
      </c>
      <c r="R204" s="674" t="s">
        <v>1730</v>
      </c>
      <c r="S204" s="798" t="s">
        <v>801</v>
      </c>
      <c r="T204" s="798">
        <v>0</v>
      </c>
      <c r="U204" s="88">
        <v>2744</v>
      </c>
      <c r="V204" s="71">
        <v>123.93857271906052</v>
      </c>
      <c r="W204" s="449">
        <v>0</v>
      </c>
      <c r="X204" s="67">
        <v>3274</v>
      </c>
      <c r="Y204" s="163">
        <v>-530</v>
      </c>
      <c r="Z204" s="166">
        <v>-0.16188149053145998</v>
      </c>
      <c r="AA204" s="34" t="s">
        <v>1306</v>
      </c>
      <c r="AC204" s="67"/>
      <c r="AD204" s="451"/>
      <c r="AE204" s="452"/>
      <c r="AH204" s="36"/>
      <c r="AI204" s="36"/>
      <c r="AJ204" s="36"/>
      <c r="AK204" s="19"/>
    </row>
    <row r="205" spans="1:37">
      <c r="A205" s="64" t="s">
        <v>595</v>
      </c>
      <c r="B205" s="784" t="s">
        <v>375</v>
      </c>
      <c r="C205" s="784" t="s">
        <v>1269</v>
      </c>
      <c r="D205" s="134">
        <v>41.29</v>
      </c>
      <c r="E205" s="67">
        <v>5049</v>
      </c>
      <c r="F205" s="146">
        <v>0</v>
      </c>
      <c r="G205" s="146">
        <v>0</v>
      </c>
      <c r="H205" s="91">
        <v>5049</v>
      </c>
      <c r="I205" s="67">
        <v>0</v>
      </c>
      <c r="J205" s="739">
        <v>5049</v>
      </c>
      <c r="K205" s="837" t="s">
        <v>1306</v>
      </c>
      <c r="L205" s="740">
        <v>0</v>
      </c>
      <c r="M205" s="741">
        <v>41.29</v>
      </c>
      <c r="N205" s="67">
        <v>67</v>
      </c>
      <c r="O205" s="67">
        <v>5116</v>
      </c>
      <c r="Q205" s="674">
        <v>0</v>
      </c>
      <c r="R205" s="674" t="s">
        <v>1730</v>
      </c>
      <c r="S205" s="798" t="s">
        <v>801</v>
      </c>
      <c r="T205" s="798">
        <v>0</v>
      </c>
      <c r="U205" s="88">
        <v>5116</v>
      </c>
      <c r="V205" s="71">
        <v>123.90409300072658</v>
      </c>
      <c r="W205" s="449">
        <v>0</v>
      </c>
      <c r="X205" s="67">
        <v>3692</v>
      </c>
      <c r="Y205" s="163">
        <v>1424</v>
      </c>
      <c r="Z205" s="166">
        <v>0.38569880823401947</v>
      </c>
      <c r="AA205" s="34" t="s">
        <v>1306</v>
      </c>
      <c r="AC205" s="67"/>
      <c r="AD205" s="451"/>
      <c r="AE205" s="452"/>
      <c r="AH205" s="36"/>
      <c r="AI205" s="36"/>
      <c r="AJ205" s="36"/>
      <c r="AK205" s="19"/>
    </row>
    <row r="206" spans="1:37">
      <c r="A206" s="64" t="s">
        <v>595</v>
      </c>
      <c r="B206" s="784" t="s">
        <v>376</v>
      </c>
      <c r="C206" s="784" t="s">
        <v>1540</v>
      </c>
      <c r="D206" s="134">
        <v>0</v>
      </c>
      <c r="E206" s="67">
        <v>0</v>
      </c>
      <c r="F206" s="146">
        <v>0</v>
      </c>
      <c r="G206" s="146">
        <v>0</v>
      </c>
      <c r="H206" s="91">
        <v>0</v>
      </c>
      <c r="I206" s="67">
        <v>0</v>
      </c>
      <c r="J206" s="739">
        <v>0</v>
      </c>
      <c r="K206" s="837" t="s">
        <v>644</v>
      </c>
      <c r="L206" s="740">
        <v>0</v>
      </c>
      <c r="M206" s="741">
        <v>0</v>
      </c>
      <c r="N206" s="67">
        <v>0</v>
      </c>
      <c r="O206" s="67">
        <v>0</v>
      </c>
      <c r="Q206" s="674">
        <v>0</v>
      </c>
      <c r="R206" s="674" t="s">
        <v>1730</v>
      </c>
      <c r="S206" s="798" t="s">
        <v>801</v>
      </c>
      <c r="T206" s="798">
        <v>0</v>
      </c>
      <c r="U206" s="88">
        <v>0</v>
      </c>
      <c r="V206" s="71">
        <v>0</v>
      </c>
      <c r="W206" s="449">
        <v>0</v>
      </c>
      <c r="X206" s="67">
        <v>0</v>
      </c>
      <c r="Y206" s="163">
        <v>0</v>
      </c>
      <c r="Z206" s="166">
        <v>0</v>
      </c>
      <c r="AA206" s="34" t="s">
        <v>644</v>
      </c>
      <c r="AC206" s="67"/>
      <c r="AD206" s="451"/>
      <c r="AE206" s="452"/>
      <c r="AH206" s="36"/>
      <c r="AI206" s="36"/>
      <c r="AJ206" s="36"/>
      <c r="AK206" s="19"/>
    </row>
    <row r="207" spans="1:37">
      <c r="A207" s="64" t="s">
        <v>595</v>
      </c>
      <c r="B207" s="784" t="s">
        <v>378</v>
      </c>
      <c r="C207" s="784" t="s">
        <v>629</v>
      </c>
      <c r="D207" s="134">
        <v>752.85857142857151</v>
      </c>
      <c r="E207" s="67">
        <v>92067</v>
      </c>
      <c r="F207" s="146">
        <v>0</v>
      </c>
      <c r="G207" s="146">
        <v>0</v>
      </c>
      <c r="H207" s="91">
        <v>92067</v>
      </c>
      <c r="I207" s="67">
        <v>0</v>
      </c>
      <c r="J207" s="739">
        <v>92067</v>
      </c>
      <c r="K207" s="837" t="s">
        <v>621</v>
      </c>
      <c r="L207" s="740">
        <v>0</v>
      </c>
      <c r="M207" s="741">
        <v>752.85857142857151</v>
      </c>
      <c r="N207" s="67">
        <v>1228</v>
      </c>
      <c r="O207" s="67">
        <v>93295</v>
      </c>
      <c r="Q207" s="674">
        <v>0</v>
      </c>
      <c r="R207" s="674" t="s">
        <v>1730</v>
      </c>
      <c r="S207" s="798" t="s">
        <v>801</v>
      </c>
      <c r="T207" s="798">
        <v>0</v>
      </c>
      <c r="U207" s="88">
        <v>93295</v>
      </c>
      <c r="V207" s="71">
        <v>123.92101722767129</v>
      </c>
      <c r="W207" s="449">
        <v>93295</v>
      </c>
      <c r="X207" s="67">
        <v>95936</v>
      </c>
      <c r="Y207" s="163">
        <v>-2641</v>
      </c>
      <c r="Z207" s="166">
        <v>-2.7528769179452968E-2</v>
      </c>
      <c r="AA207" s="34" t="s">
        <v>621</v>
      </c>
      <c r="AC207" s="67"/>
      <c r="AD207" s="451"/>
      <c r="AE207" s="452"/>
      <c r="AH207" s="36"/>
      <c r="AI207" s="36"/>
      <c r="AJ207" s="36"/>
      <c r="AK207" s="19"/>
    </row>
    <row r="208" spans="1:37">
      <c r="A208" s="64" t="s">
        <v>595</v>
      </c>
      <c r="B208" s="784" t="s">
        <v>379</v>
      </c>
      <c r="C208" s="784" t="s">
        <v>686</v>
      </c>
      <c r="D208" s="134">
        <v>370.29142857142858</v>
      </c>
      <c r="E208" s="67">
        <v>45283</v>
      </c>
      <c r="F208" s="146">
        <v>0</v>
      </c>
      <c r="G208" s="146">
        <v>0</v>
      </c>
      <c r="H208" s="91">
        <v>45283</v>
      </c>
      <c r="I208" s="67">
        <v>0</v>
      </c>
      <c r="J208" s="739">
        <v>45283</v>
      </c>
      <c r="K208" s="837" t="s">
        <v>621</v>
      </c>
      <c r="L208" s="740">
        <v>0</v>
      </c>
      <c r="M208" s="741">
        <v>370.29142857142858</v>
      </c>
      <c r="N208" s="67">
        <v>604</v>
      </c>
      <c r="O208" s="67">
        <v>45887</v>
      </c>
      <c r="Q208" s="674">
        <v>0</v>
      </c>
      <c r="R208" s="674" t="s">
        <v>1730</v>
      </c>
      <c r="S208" s="798" t="s">
        <v>801</v>
      </c>
      <c r="T208" s="798">
        <v>0</v>
      </c>
      <c r="U208" s="88">
        <v>45887</v>
      </c>
      <c r="V208" s="71">
        <v>123.9213129427015</v>
      </c>
      <c r="W208" s="449">
        <v>45887</v>
      </c>
      <c r="X208" s="67">
        <v>40160</v>
      </c>
      <c r="Y208" s="163">
        <v>5727</v>
      </c>
      <c r="Z208" s="166">
        <v>0.14260458167330678</v>
      </c>
      <c r="AA208" s="34" t="s">
        <v>621</v>
      </c>
      <c r="AC208" s="67"/>
      <c r="AD208" s="451"/>
      <c r="AE208" s="452"/>
      <c r="AH208" s="36"/>
      <c r="AI208" s="36"/>
      <c r="AJ208" s="36"/>
      <c r="AK208" s="19"/>
    </row>
    <row r="209" spans="1:37">
      <c r="A209" s="64" t="s">
        <v>595</v>
      </c>
      <c r="B209" s="784" t="s">
        <v>380</v>
      </c>
      <c r="C209" s="784" t="s">
        <v>1541</v>
      </c>
      <c r="D209" s="134">
        <v>50.86</v>
      </c>
      <c r="E209" s="67">
        <v>6220</v>
      </c>
      <c r="F209" s="146">
        <v>0</v>
      </c>
      <c r="G209" s="146">
        <v>0</v>
      </c>
      <c r="H209" s="91">
        <v>6220</v>
      </c>
      <c r="I209" s="67">
        <v>0</v>
      </c>
      <c r="J209" s="739">
        <v>6220</v>
      </c>
      <c r="K209" s="837" t="s">
        <v>644</v>
      </c>
      <c r="L209" s="740">
        <v>6220</v>
      </c>
      <c r="M209" s="741">
        <v>0</v>
      </c>
      <c r="N209" s="67">
        <v>0</v>
      </c>
      <c r="O209" s="67">
        <v>0</v>
      </c>
      <c r="Q209" s="674">
        <v>0</v>
      </c>
      <c r="R209" s="674" t="s">
        <v>1730</v>
      </c>
      <c r="S209" s="798" t="s">
        <v>801</v>
      </c>
      <c r="T209" s="798">
        <v>0</v>
      </c>
      <c r="U209" s="88">
        <v>0</v>
      </c>
      <c r="V209" s="71">
        <v>0</v>
      </c>
      <c r="W209" s="449">
        <v>0</v>
      </c>
      <c r="X209" s="67">
        <v>0</v>
      </c>
      <c r="Y209" s="163">
        <v>0</v>
      </c>
      <c r="Z209" s="166">
        <v>0</v>
      </c>
      <c r="AA209" s="34" t="s">
        <v>644</v>
      </c>
      <c r="AC209" s="67"/>
      <c r="AD209" s="451"/>
      <c r="AE209" s="452"/>
      <c r="AH209" s="36"/>
      <c r="AI209" s="36"/>
      <c r="AJ209" s="36"/>
      <c r="AK209" s="19"/>
    </row>
    <row r="210" spans="1:37">
      <c r="A210" s="64" t="s">
        <v>595</v>
      </c>
      <c r="B210" s="784" t="s">
        <v>382</v>
      </c>
      <c r="C210" s="784" t="s">
        <v>1542</v>
      </c>
      <c r="D210" s="134">
        <v>112.99714285714286</v>
      </c>
      <c r="E210" s="67">
        <v>13818</v>
      </c>
      <c r="F210" s="146">
        <v>0</v>
      </c>
      <c r="G210" s="146">
        <v>0</v>
      </c>
      <c r="H210" s="91">
        <v>13818</v>
      </c>
      <c r="I210" s="67">
        <v>0</v>
      </c>
      <c r="J210" s="739">
        <v>13818</v>
      </c>
      <c r="K210" s="837" t="s">
        <v>621</v>
      </c>
      <c r="L210" s="740">
        <v>0</v>
      </c>
      <c r="M210" s="741">
        <v>112.99714285714286</v>
      </c>
      <c r="N210" s="67">
        <v>184</v>
      </c>
      <c r="O210" s="67">
        <v>14002</v>
      </c>
      <c r="Q210" s="674">
        <v>0</v>
      </c>
      <c r="R210" s="674" t="s">
        <v>1730</v>
      </c>
      <c r="S210" s="798" t="s">
        <v>801</v>
      </c>
      <c r="T210" s="798">
        <v>0</v>
      </c>
      <c r="U210" s="88">
        <v>14002</v>
      </c>
      <c r="V210" s="71">
        <v>123.9146375382437</v>
      </c>
      <c r="W210" s="449">
        <v>14002</v>
      </c>
      <c r="X210" s="67">
        <v>10087</v>
      </c>
      <c r="Y210" s="163">
        <v>3915</v>
      </c>
      <c r="Z210" s="166">
        <v>0.38812332705462477</v>
      </c>
      <c r="AA210" s="34" t="s">
        <v>621</v>
      </c>
      <c r="AC210" s="67"/>
      <c r="AD210" s="451"/>
      <c r="AE210" s="452"/>
      <c r="AH210" s="36"/>
      <c r="AI210" s="36"/>
      <c r="AJ210" s="36"/>
      <c r="AK210" s="19"/>
    </row>
    <row r="211" spans="1:37">
      <c r="A211" s="64" t="s">
        <v>595</v>
      </c>
      <c r="B211" s="784" t="s">
        <v>384</v>
      </c>
      <c r="C211" s="784" t="s">
        <v>1543</v>
      </c>
      <c r="D211" s="134">
        <v>21</v>
      </c>
      <c r="E211" s="67">
        <v>2568</v>
      </c>
      <c r="F211" s="146">
        <v>0</v>
      </c>
      <c r="G211" s="146">
        <v>0</v>
      </c>
      <c r="H211" s="91">
        <v>2568</v>
      </c>
      <c r="I211" s="67">
        <v>0</v>
      </c>
      <c r="J211" s="739">
        <v>2568</v>
      </c>
      <c r="K211" s="837" t="s">
        <v>1306</v>
      </c>
      <c r="L211" s="740">
        <v>0</v>
      </c>
      <c r="M211" s="741">
        <v>21</v>
      </c>
      <c r="N211" s="67">
        <v>34</v>
      </c>
      <c r="O211" s="67">
        <v>2602</v>
      </c>
      <c r="Q211" s="674">
        <v>0</v>
      </c>
      <c r="R211" s="674" t="s">
        <v>1730</v>
      </c>
      <c r="S211" s="798" t="s">
        <v>801</v>
      </c>
      <c r="T211" s="798">
        <v>0</v>
      </c>
      <c r="U211" s="88">
        <v>2602</v>
      </c>
      <c r="V211" s="71">
        <v>123.9047619047619</v>
      </c>
      <c r="W211" s="449">
        <v>0</v>
      </c>
      <c r="X211" s="67">
        <v>0</v>
      </c>
      <c r="Y211" s="163">
        <v>2602</v>
      </c>
      <c r="Z211" s="166">
        <v>0</v>
      </c>
      <c r="AA211" s="34" t="s">
        <v>1306</v>
      </c>
      <c r="AC211" s="67"/>
      <c r="AD211" s="451"/>
      <c r="AE211" s="452"/>
      <c r="AH211" s="36"/>
      <c r="AI211" s="36"/>
      <c r="AJ211" s="36"/>
      <c r="AK211" s="19"/>
    </row>
    <row r="212" spans="1:37">
      <c r="A212" s="64" t="s">
        <v>595</v>
      </c>
      <c r="B212" s="784" t="s">
        <v>386</v>
      </c>
      <c r="C212" s="784" t="s">
        <v>1544</v>
      </c>
      <c r="D212" s="134">
        <v>1640.9985714285715</v>
      </c>
      <c r="E212" s="67">
        <v>200678</v>
      </c>
      <c r="F212" s="146">
        <v>0</v>
      </c>
      <c r="G212" s="146">
        <v>0</v>
      </c>
      <c r="H212" s="91">
        <v>200678</v>
      </c>
      <c r="I212" s="67">
        <v>0</v>
      </c>
      <c r="J212" s="739">
        <v>200678</v>
      </c>
      <c r="K212" s="837" t="s">
        <v>1306</v>
      </c>
      <c r="L212" s="740">
        <v>0</v>
      </c>
      <c r="M212" s="741">
        <v>1640.9985714285715</v>
      </c>
      <c r="N212" s="67">
        <v>2676</v>
      </c>
      <c r="O212" s="67">
        <v>203354</v>
      </c>
      <c r="Q212" s="674">
        <v>0</v>
      </c>
      <c r="R212" s="674" t="s">
        <v>1730</v>
      </c>
      <c r="S212" s="798" t="s">
        <v>801</v>
      </c>
      <c r="T212" s="798">
        <v>0</v>
      </c>
      <c r="U212" s="88">
        <v>203354</v>
      </c>
      <c r="V212" s="71">
        <v>123.92088789143196</v>
      </c>
      <c r="W212" s="449">
        <v>203354</v>
      </c>
      <c r="X212" s="67">
        <v>204598</v>
      </c>
      <c r="Y212" s="163">
        <v>-1244</v>
      </c>
      <c r="Z212" s="166">
        <v>-6.0802158378869785E-3</v>
      </c>
      <c r="AA212" s="34" t="s">
        <v>1306</v>
      </c>
      <c r="AC212" s="67"/>
      <c r="AD212" s="451"/>
      <c r="AE212" s="452"/>
      <c r="AH212" s="36"/>
      <c r="AI212" s="36"/>
      <c r="AJ212" s="36"/>
      <c r="AK212" s="19"/>
    </row>
    <row r="213" spans="1:37">
      <c r="A213" s="64" t="s">
        <v>599</v>
      </c>
      <c r="B213" s="784" t="s">
        <v>387</v>
      </c>
      <c r="C213" s="784" t="s">
        <v>1545</v>
      </c>
      <c r="D213" s="134">
        <v>0</v>
      </c>
      <c r="E213" s="67">
        <v>0</v>
      </c>
      <c r="F213" s="146">
        <v>0</v>
      </c>
      <c r="G213" s="146">
        <v>0</v>
      </c>
      <c r="H213" s="91">
        <v>0</v>
      </c>
      <c r="I213" s="67">
        <v>0</v>
      </c>
      <c r="J213" s="739">
        <v>0</v>
      </c>
      <c r="K213" s="837" t="s">
        <v>644</v>
      </c>
      <c r="L213" s="740">
        <v>0</v>
      </c>
      <c r="M213" s="741">
        <v>0</v>
      </c>
      <c r="N213" s="67">
        <v>0</v>
      </c>
      <c r="O213" s="67">
        <v>0</v>
      </c>
      <c r="Q213" s="674">
        <v>0</v>
      </c>
      <c r="R213" s="674" t="s">
        <v>1730</v>
      </c>
      <c r="S213" s="798" t="s">
        <v>801</v>
      </c>
      <c r="T213" s="798">
        <v>0</v>
      </c>
      <c r="U213" s="88">
        <v>0</v>
      </c>
      <c r="V213" s="71">
        <v>0</v>
      </c>
      <c r="W213" s="449">
        <v>0</v>
      </c>
      <c r="X213" s="67">
        <v>0</v>
      </c>
      <c r="Y213" s="163">
        <v>0</v>
      </c>
      <c r="Z213" s="166">
        <v>0</v>
      </c>
      <c r="AA213" s="34" t="s">
        <v>644</v>
      </c>
      <c r="AC213" s="67"/>
      <c r="AD213" s="451"/>
      <c r="AE213" s="452"/>
      <c r="AH213" s="36"/>
      <c r="AI213" s="36"/>
      <c r="AJ213" s="36"/>
      <c r="AK213" s="19"/>
    </row>
    <row r="214" spans="1:37">
      <c r="A214" s="64" t="s">
        <v>599</v>
      </c>
      <c r="B214" s="784" t="s">
        <v>389</v>
      </c>
      <c r="C214" s="784" t="s">
        <v>1546</v>
      </c>
      <c r="D214" s="134">
        <v>0</v>
      </c>
      <c r="E214" s="67">
        <v>0</v>
      </c>
      <c r="F214" s="146">
        <v>0</v>
      </c>
      <c r="G214" s="146">
        <v>0</v>
      </c>
      <c r="H214" s="91">
        <v>0</v>
      </c>
      <c r="I214" s="67">
        <v>0</v>
      </c>
      <c r="J214" s="739">
        <v>0</v>
      </c>
      <c r="K214" s="837" t="s">
        <v>644</v>
      </c>
      <c r="L214" s="740">
        <v>0</v>
      </c>
      <c r="M214" s="741">
        <v>0</v>
      </c>
      <c r="N214" s="67">
        <v>0</v>
      </c>
      <c r="O214" s="67">
        <v>0</v>
      </c>
      <c r="Q214" s="674">
        <v>0</v>
      </c>
      <c r="R214" s="674" t="s">
        <v>1730</v>
      </c>
      <c r="S214" s="798" t="s">
        <v>801</v>
      </c>
      <c r="T214" s="798">
        <v>0</v>
      </c>
      <c r="U214" s="88">
        <v>0</v>
      </c>
      <c r="V214" s="71">
        <v>0</v>
      </c>
      <c r="W214" s="449">
        <v>0</v>
      </c>
      <c r="X214" s="67">
        <v>0</v>
      </c>
      <c r="Y214" s="163">
        <v>0</v>
      </c>
      <c r="Z214" s="166">
        <v>0</v>
      </c>
      <c r="AA214" s="34" t="s">
        <v>644</v>
      </c>
      <c r="AC214" s="67"/>
      <c r="AD214" s="451"/>
      <c r="AE214" s="452"/>
      <c r="AH214" s="36"/>
      <c r="AI214" s="36"/>
      <c r="AJ214" s="36"/>
      <c r="AK214" s="19"/>
    </row>
    <row r="215" spans="1:37">
      <c r="A215" s="64" t="s">
        <v>599</v>
      </c>
      <c r="B215" s="784" t="s">
        <v>391</v>
      </c>
      <c r="C215" s="784" t="s">
        <v>1547</v>
      </c>
      <c r="D215" s="134">
        <v>0</v>
      </c>
      <c r="E215" s="67">
        <v>0</v>
      </c>
      <c r="F215" s="146">
        <v>0</v>
      </c>
      <c r="G215" s="146">
        <v>0</v>
      </c>
      <c r="H215" s="91">
        <v>0</v>
      </c>
      <c r="I215" s="67">
        <v>0</v>
      </c>
      <c r="J215" s="739">
        <v>0</v>
      </c>
      <c r="K215" s="837" t="s">
        <v>644</v>
      </c>
      <c r="L215" s="740">
        <v>0</v>
      </c>
      <c r="M215" s="741">
        <v>0</v>
      </c>
      <c r="N215" s="67">
        <v>0</v>
      </c>
      <c r="O215" s="67">
        <v>0</v>
      </c>
      <c r="Q215" s="674">
        <v>0</v>
      </c>
      <c r="R215" s="674" t="s">
        <v>1730</v>
      </c>
      <c r="S215" s="798" t="s">
        <v>801</v>
      </c>
      <c r="T215" s="798">
        <v>0</v>
      </c>
      <c r="U215" s="88">
        <v>0</v>
      </c>
      <c r="V215" s="71">
        <v>0</v>
      </c>
      <c r="W215" s="449">
        <v>0</v>
      </c>
      <c r="X215" s="67">
        <v>0</v>
      </c>
      <c r="Y215" s="163">
        <v>0</v>
      </c>
      <c r="Z215" s="166">
        <v>0</v>
      </c>
      <c r="AA215" s="34" t="s">
        <v>644</v>
      </c>
      <c r="AC215" s="67"/>
      <c r="AD215" s="451"/>
      <c r="AE215" s="452"/>
      <c r="AH215" s="36"/>
      <c r="AI215" s="36"/>
      <c r="AJ215" s="36"/>
      <c r="AK215" s="19"/>
    </row>
    <row r="216" spans="1:37">
      <c r="A216" s="64" t="s">
        <v>599</v>
      </c>
      <c r="B216" s="784" t="s">
        <v>393</v>
      </c>
      <c r="C216" s="784" t="s">
        <v>1548</v>
      </c>
      <c r="D216" s="134">
        <v>32.28142857142857</v>
      </c>
      <c r="E216" s="67">
        <v>3948</v>
      </c>
      <c r="F216" s="146">
        <v>0</v>
      </c>
      <c r="G216" s="146">
        <v>0</v>
      </c>
      <c r="H216" s="91">
        <v>3948</v>
      </c>
      <c r="I216" s="67">
        <v>0</v>
      </c>
      <c r="J216" s="739">
        <v>3948</v>
      </c>
      <c r="K216" s="837" t="s">
        <v>644</v>
      </c>
      <c r="L216" s="740">
        <v>3948</v>
      </c>
      <c r="M216" s="741">
        <v>0</v>
      </c>
      <c r="N216" s="67">
        <v>0</v>
      </c>
      <c r="O216" s="67">
        <v>0</v>
      </c>
      <c r="Q216" s="674">
        <v>0</v>
      </c>
      <c r="R216" s="674" t="s">
        <v>1730</v>
      </c>
      <c r="S216" s="798" t="s">
        <v>801</v>
      </c>
      <c r="T216" s="798">
        <v>0</v>
      </c>
      <c r="U216" s="88">
        <v>0</v>
      </c>
      <c r="V216" s="71">
        <v>0</v>
      </c>
      <c r="W216" s="449">
        <v>0</v>
      </c>
      <c r="X216" s="67">
        <v>0</v>
      </c>
      <c r="Y216" s="163">
        <v>0</v>
      </c>
      <c r="Z216" s="166">
        <v>0</v>
      </c>
      <c r="AA216" s="34" t="s">
        <v>644</v>
      </c>
      <c r="AC216" s="67"/>
      <c r="AD216" s="451"/>
      <c r="AE216" s="452"/>
      <c r="AH216" s="36"/>
      <c r="AI216" s="36"/>
      <c r="AJ216" s="36"/>
      <c r="AK216" s="19"/>
    </row>
    <row r="217" spans="1:37">
      <c r="A217" s="64" t="s">
        <v>595</v>
      </c>
      <c r="B217" s="784" t="s">
        <v>395</v>
      </c>
      <c r="C217" s="784" t="s">
        <v>635</v>
      </c>
      <c r="D217" s="134">
        <v>3012.4300000000003</v>
      </c>
      <c r="E217" s="67">
        <v>368391</v>
      </c>
      <c r="F217" s="146">
        <v>0</v>
      </c>
      <c r="G217" s="146">
        <v>0</v>
      </c>
      <c r="H217" s="91">
        <v>368391</v>
      </c>
      <c r="I217" s="67">
        <v>0</v>
      </c>
      <c r="J217" s="739">
        <v>368391</v>
      </c>
      <c r="K217" s="837" t="s">
        <v>621</v>
      </c>
      <c r="L217" s="740">
        <v>0</v>
      </c>
      <c r="M217" s="741">
        <v>3012.4300000000003</v>
      </c>
      <c r="N217" s="67">
        <v>4912</v>
      </c>
      <c r="O217" s="67">
        <v>373303</v>
      </c>
      <c r="Q217" s="674">
        <v>0</v>
      </c>
      <c r="R217" s="674" t="s">
        <v>1730</v>
      </c>
      <c r="S217" s="798" t="s">
        <v>801</v>
      </c>
      <c r="T217" s="798">
        <v>0</v>
      </c>
      <c r="U217" s="88">
        <v>373303</v>
      </c>
      <c r="V217" s="71">
        <v>123.92088778826395</v>
      </c>
      <c r="W217" s="449">
        <v>373303</v>
      </c>
      <c r="X217" s="67">
        <v>342501</v>
      </c>
      <c r="Y217" s="163">
        <v>30802</v>
      </c>
      <c r="Z217" s="166">
        <v>8.9932584138440477E-2</v>
      </c>
      <c r="AA217" s="34" t="s">
        <v>621</v>
      </c>
      <c r="AC217" s="67"/>
      <c r="AD217" s="451"/>
      <c r="AE217" s="452"/>
      <c r="AH217" s="36"/>
      <c r="AI217" s="36"/>
      <c r="AJ217" s="36"/>
      <c r="AK217" s="19"/>
    </row>
    <row r="218" spans="1:37">
      <c r="A218" s="64" t="s">
        <v>595</v>
      </c>
      <c r="B218" s="784" t="s">
        <v>397</v>
      </c>
      <c r="C218" s="784" t="s">
        <v>1549</v>
      </c>
      <c r="D218" s="134">
        <v>411.5757142857143</v>
      </c>
      <c r="E218" s="67">
        <v>50332</v>
      </c>
      <c r="F218" s="146">
        <v>0</v>
      </c>
      <c r="G218" s="146">
        <v>0</v>
      </c>
      <c r="H218" s="91">
        <v>50332</v>
      </c>
      <c r="I218" s="67">
        <v>0</v>
      </c>
      <c r="J218" s="739">
        <v>50332</v>
      </c>
      <c r="K218" s="837" t="s">
        <v>621</v>
      </c>
      <c r="L218" s="740">
        <v>0</v>
      </c>
      <c r="M218" s="741">
        <v>411.5757142857143</v>
      </c>
      <c r="N218" s="67">
        <v>671</v>
      </c>
      <c r="O218" s="67">
        <v>51003</v>
      </c>
      <c r="Q218" s="674">
        <v>0</v>
      </c>
      <c r="R218" s="674" t="s">
        <v>1730</v>
      </c>
      <c r="S218" s="798" t="s">
        <v>801</v>
      </c>
      <c r="T218" s="798">
        <v>0</v>
      </c>
      <c r="U218" s="88">
        <v>51003</v>
      </c>
      <c r="V218" s="71">
        <v>123.92130592184044</v>
      </c>
      <c r="W218" s="449">
        <v>51003</v>
      </c>
      <c r="X218" s="67">
        <v>42508</v>
      </c>
      <c r="Y218" s="163">
        <v>8495</v>
      </c>
      <c r="Z218" s="166">
        <v>0.19984473510868542</v>
      </c>
      <c r="AA218" s="34" t="s">
        <v>621</v>
      </c>
      <c r="AC218" s="67"/>
      <c r="AD218" s="451"/>
      <c r="AE218" s="452"/>
      <c r="AH218" s="36"/>
      <c r="AI218" s="36"/>
      <c r="AJ218" s="36"/>
      <c r="AK218" s="19"/>
    </row>
    <row r="219" spans="1:37">
      <c r="A219" s="64" t="s">
        <v>595</v>
      </c>
      <c r="B219" s="784" t="s">
        <v>399</v>
      </c>
      <c r="C219" s="784" t="s">
        <v>1550</v>
      </c>
      <c r="D219" s="134">
        <v>3213</v>
      </c>
      <c r="E219" s="67">
        <v>392919</v>
      </c>
      <c r="F219" s="146">
        <v>0</v>
      </c>
      <c r="G219" s="146">
        <v>0</v>
      </c>
      <c r="H219" s="91">
        <v>392919</v>
      </c>
      <c r="I219" s="67">
        <v>0</v>
      </c>
      <c r="J219" s="739">
        <v>392919</v>
      </c>
      <c r="K219" s="837" t="s">
        <v>621</v>
      </c>
      <c r="L219" s="740">
        <v>0</v>
      </c>
      <c r="M219" s="741">
        <v>3213</v>
      </c>
      <c r="N219" s="67">
        <v>5239</v>
      </c>
      <c r="O219" s="67">
        <v>398158</v>
      </c>
      <c r="Q219" s="674">
        <v>0</v>
      </c>
      <c r="R219" s="674" t="s">
        <v>1730</v>
      </c>
      <c r="S219" s="798" t="s">
        <v>801</v>
      </c>
      <c r="T219" s="798">
        <v>0</v>
      </c>
      <c r="U219" s="88">
        <v>398158</v>
      </c>
      <c r="V219" s="71">
        <v>123.92094615624028</v>
      </c>
      <c r="W219" s="449">
        <v>398158</v>
      </c>
      <c r="X219" s="67">
        <v>382599</v>
      </c>
      <c r="Y219" s="163">
        <v>15559</v>
      </c>
      <c r="Z219" s="166">
        <v>4.0666598710399141E-2</v>
      </c>
      <c r="AA219" s="34" t="s">
        <v>621</v>
      </c>
      <c r="AC219" s="67"/>
      <c r="AD219" s="451"/>
      <c r="AE219" s="452"/>
      <c r="AH219" s="36"/>
      <c r="AI219" s="36"/>
      <c r="AJ219" s="36"/>
      <c r="AK219" s="19"/>
    </row>
    <row r="220" spans="1:37">
      <c r="A220" s="64" t="s">
        <v>595</v>
      </c>
      <c r="B220" s="784" t="s">
        <v>401</v>
      </c>
      <c r="C220" s="784" t="s">
        <v>1551</v>
      </c>
      <c r="D220" s="134">
        <v>2945.2771428571427</v>
      </c>
      <c r="E220" s="67">
        <v>360179</v>
      </c>
      <c r="F220" s="146">
        <v>0</v>
      </c>
      <c r="G220" s="146">
        <v>0</v>
      </c>
      <c r="H220" s="91">
        <v>360179</v>
      </c>
      <c r="I220" s="67">
        <v>0</v>
      </c>
      <c r="J220" s="739">
        <v>360179</v>
      </c>
      <c r="K220" s="837" t="s">
        <v>621</v>
      </c>
      <c r="L220" s="740">
        <v>0</v>
      </c>
      <c r="M220" s="741">
        <v>2945.2771428571427</v>
      </c>
      <c r="N220" s="67">
        <v>4802</v>
      </c>
      <c r="O220" s="67">
        <v>364981</v>
      </c>
      <c r="Q220" s="674">
        <v>0</v>
      </c>
      <c r="R220" s="674" t="s">
        <v>1730</v>
      </c>
      <c r="S220" s="798" t="s">
        <v>801</v>
      </c>
      <c r="T220" s="798">
        <v>0</v>
      </c>
      <c r="U220" s="88">
        <v>364981</v>
      </c>
      <c r="V220" s="71">
        <v>123.92076612727205</v>
      </c>
      <c r="W220" s="449">
        <v>364981</v>
      </c>
      <c r="X220" s="67">
        <v>347351</v>
      </c>
      <c r="Y220" s="163">
        <v>17630</v>
      </c>
      <c r="Z220" s="166">
        <v>5.0755575772057658E-2</v>
      </c>
      <c r="AA220" s="34" t="s">
        <v>621</v>
      </c>
      <c r="AC220" s="67"/>
      <c r="AD220" s="451"/>
      <c r="AE220" s="452"/>
      <c r="AH220" s="36"/>
      <c r="AI220" s="36"/>
      <c r="AJ220" s="36"/>
      <c r="AK220" s="19"/>
    </row>
    <row r="221" spans="1:37">
      <c r="A221" s="64" t="s">
        <v>595</v>
      </c>
      <c r="B221" s="784" t="s">
        <v>403</v>
      </c>
      <c r="C221" s="784" t="s">
        <v>1552</v>
      </c>
      <c r="D221" s="134">
        <v>282.14285714285717</v>
      </c>
      <c r="E221" s="67">
        <v>34503</v>
      </c>
      <c r="F221" s="146">
        <v>0</v>
      </c>
      <c r="G221" s="146">
        <v>0</v>
      </c>
      <c r="H221" s="91">
        <v>34503</v>
      </c>
      <c r="I221" s="67">
        <v>0</v>
      </c>
      <c r="J221" s="739">
        <v>34503</v>
      </c>
      <c r="K221" s="837" t="s">
        <v>621</v>
      </c>
      <c r="L221" s="740">
        <v>0</v>
      </c>
      <c r="M221" s="741">
        <v>282.14285714285717</v>
      </c>
      <c r="N221" s="67">
        <v>460</v>
      </c>
      <c r="O221" s="67">
        <v>34963</v>
      </c>
      <c r="Q221" s="674">
        <v>0</v>
      </c>
      <c r="R221" s="674" t="s">
        <v>1730</v>
      </c>
      <c r="S221" s="798" t="s">
        <v>801</v>
      </c>
      <c r="T221" s="798">
        <v>0</v>
      </c>
      <c r="U221" s="88">
        <v>34963</v>
      </c>
      <c r="V221" s="71">
        <v>123.91949367088607</v>
      </c>
      <c r="W221" s="449">
        <v>34963</v>
      </c>
      <c r="X221" s="67">
        <v>31757</v>
      </c>
      <c r="Y221" s="163">
        <v>3206</v>
      </c>
      <c r="Z221" s="166">
        <v>0.10095412035141858</v>
      </c>
      <c r="AA221" s="34" t="s">
        <v>621</v>
      </c>
      <c r="AC221" s="67"/>
      <c r="AD221" s="451"/>
      <c r="AE221" s="452"/>
      <c r="AH221" s="36"/>
      <c r="AI221" s="36"/>
      <c r="AJ221" s="36"/>
      <c r="AK221" s="19"/>
    </row>
    <row r="222" spans="1:37">
      <c r="A222" s="64" t="s">
        <v>595</v>
      </c>
      <c r="B222" s="784" t="s">
        <v>405</v>
      </c>
      <c r="C222" s="784" t="s">
        <v>1553</v>
      </c>
      <c r="D222" s="134">
        <v>1428.5714285714284</v>
      </c>
      <c r="E222" s="67">
        <v>174701</v>
      </c>
      <c r="F222" s="146">
        <v>0</v>
      </c>
      <c r="G222" s="146">
        <v>0</v>
      </c>
      <c r="H222" s="91">
        <v>174701</v>
      </c>
      <c r="I222" s="67">
        <v>0</v>
      </c>
      <c r="J222" s="739">
        <v>174701</v>
      </c>
      <c r="K222" s="837" t="s">
        <v>621</v>
      </c>
      <c r="L222" s="740">
        <v>0</v>
      </c>
      <c r="M222" s="741">
        <v>1428.5714285714284</v>
      </c>
      <c r="N222" s="67">
        <v>2329</v>
      </c>
      <c r="O222" s="67">
        <v>177030</v>
      </c>
      <c r="Q222" s="674">
        <v>0</v>
      </c>
      <c r="R222" s="674" t="s">
        <v>1730</v>
      </c>
      <c r="S222" s="798" t="s">
        <v>801</v>
      </c>
      <c r="T222" s="798">
        <v>0</v>
      </c>
      <c r="U222" s="88">
        <v>177030</v>
      </c>
      <c r="V222" s="71">
        <v>123.92100000000001</v>
      </c>
      <c r="W222" s="449">
        <v>177030</v>
      </c>
      <c r="X222" s="67">
        <v>161381</v>
      </c>
      <c r="Y222" s="163">
        <v>15649</v>
      </c>
      <c r="Z222" s="166">
        <v>9.6969283868609063E-2</v>
      </c>
      <c r="AA222" s="34" t="s">
        <v>621</v>
      </c>
      <c r="AC222" s="67"/>
      <c r="AD222" s="451"/>
      <c r="AE222" s="452"/>
      <c r="AH222" s="36"/>
      <c r="AI222" s="36"/>
      <c r="AJ222" s="36"/>
      <c r="AK222" s="19"/>
    </row>
    <row r="223" spans="1:37">
      <c r="A223" s="64" t="s">
        <v>595</v>
      </c>
      <c r="B223" s="784" t="s">
        <v>407</v>
      </c>
      <c r="C223" s="784" t="s">
        <v>1554</v>
      </c>
      <c r="D223" s="134">
        <v>0</v>
      </c>
      <c r="E223" s="67">
        <v>0</v>
      </c>
      <c r="F223" s="146">
        <v>0</v>
      </c>
      <c r="G223" s="146">
        <v>0</v>
      </c>
      <c r="H223" s="91">
        <v>0</v>
      </c>
      <c r="I223" s="67">
        <v>0</v>
      </c>
      <c r="J223" s="739">
        <v>0</v>
      </c>
      <c r="K223" s="837" t="s">
        <v>644</v>
      </c>
      <c r="L223" s="740">
        <v>0</v>
      </c>
      <c r="M223" s="741">
        <v>0</v>
      </c>
      <c r="N223" s="67">
        <v>0</v>
      </c>
      <c r="O223" s="67">
        <v>0</v>
      </c>
      <c r="Q223" s="674">
        <v>0</v>
      </c>
      <c r="R223" s="674" t="s">
        <v>1730</v>
      </c>
      <c r="S223" s="798" t="s">
        <v>801</v>
      </c>
      <c r="T223" s="798">
        <v>0</v>
      </c>
      <c r="U223" s="88">
        <v>0</v>
      </c>
      <c r="V223" s="71">
        <v>0</v>
      </c>
      <c r="W223" s="449">
        <v>0</v>
      </c>
      <c r="X223" s="67">
        <v>0</v>
      </c>
      <c r="Y223" s="163">
        <v>0</v>
      </c>
      <c r="Z223" s="166">
        <v>0</v>
      </c>
      <c r="AA223" s="34" t="s">
        <v>644</v>
      </c>
      <c r="AC223" s="67"/>
      <c r="AD223" s="451"/>
      <c r="AE223" s="452"/>
      <c r="AH223" s="36"/>
      <c r="AI223" s="36"/>
      <c r="AJ223" s="36"/>
      <c r="AK223" s="19"/>
    </row>
    <row r="224" spans="1:37">
      <c r="A224" s="64" t="s">
        <v>595</v>
      </c>
      <c r="B224" s="784" t="s">
        <v>409</v>
      </c>
      <c r="C224" s="784" t="s">
        <v>1555</v>
      </c>
      <c r="D224" s="134">
        <v>636.42857142857144</v>
      </c>
      <c r="E224" s="67">
        <v>77829</v>
      </c>
      <c r="F224" s="146">
        <v>0</v>
      </c>
      <c r="G224" s="146">
        <v>0</v>
      </c>
      <c r="H224" s="91">
        <v>77829</v>
      </c>
      <c r="I224" s="67">
        <v>0</v>
      </c>
      <c r="J224" s="739">
        <v>77829</v>
      </c>
      <c r="K224" s="837" t="s">
        <v>621</v>
      </c>
      <c r="L224" s="740">
        <v>0</v>
      </c>
      <c r="M224" s="741">
        <v>636.42857142857144</v>
      </c>
      <c r="N224" s="67">
        <v>1038</v>
      </c>
      <c r="O224" s="67">
        <v>78867</v>
      </c>
      <c r="Q224" s="674">
        <v>0</v>
      </c>
      <c r="R224" s="674" t="s">
        <v>1730</v>
      </c>
      <c r="S224" s="798" t="s">
        <v>801</v>
      </c>
      <c r="T224" s="798">
        <v>0</v>
      </c>
      <c r="U224" s="88">
        <v>78867</v>
      </c>
      <c r="V224" s="71">
        <v>123.92121212121212</v>
      </c>
      <c r="W224" s="449">
        <v>78867</v>
      </c>
      <c r="X224" s="67">
        <v>71161</v>
      </c>
      <c r="Y224" s="163">
        <v>7706</v>
      </c>
      <c r="Z224" s="166">
        <v>0.10828965304028892</v>
      </c>
      <c r="AA224" s="34" t="s">
        <v>621</v>
      </c>
      <c r="AC224" s="67"/>
      <c r="AD224" s="451"/>
      <c r="AE224" s="452"/>
      <c r="AH224" s="36"/>
      <c r="AI224" s="36"/>
      <c r="AJ224" s="36"/>
      <c r="AK224" s="19"/>
    </row>
    <row r="225" spans="1:37">
      <c r="A225" s="64" t="s">
        <v>595</v>
      </c>
      <c r="B225" s="784" t="s">
        <v>411</v>
      </c>
      <c r="C225" s="784" t="s">
        <v>1556</v>
      </c>
      <c r="D225" s="134">
        <v>405.86</v>
      </c>
      <c r="E225" s="67">
        <v>49633</v>
      </c>
      <c r="F225" s="146">
        <v>0</v>
      </c>
      <c r="G225" s="146">
        <v>0</v>
      </c>
      <c r="H225" s="91">
        <v>49633</v>
      </c>
      <c r="I225" s="67">
        <v>0</v>
      </c>
      <c r="J225" s="739">
        <v>49633</v>
      </c>
      <c r="K225" s="837" t="s">
        <v>621</v>
      </c>
      <c r="L225" s="740">
        <v>0</v>
      </c>
      <c r="M225" s="741">
        <v>405.86</v>
      </c>
      <c r="N225" s="67">
        <v>662</v>
      </c>
      <c r="O225" s="67">
        <v>50295</v>
      </c>
      <c r="Q225" s="674">
        <v>0</v>
      </c>
      <c r="R225" s="674" t="s">
        <v>1730</v>
      </c>
      <c r="S225" s="798" t="s">
        <v>801</v>
      </c>
      <c r="T225" s="798">
        <v>0</v>
      </c>
      <c r="U225" s="88">
        <v>50295</v>
      </c>
      <c r="V225" s="71">
        <v>123.92204208347705</v>
      </c>
      <c r="W225" s="449">
        <v>50295</v>
      </c>
      <c r="X225" s="67">
        <v>45087</v>
      </c>
      <c r="Y225" s="163">
        <v>5208</v>
      </c>
      <c r="Z225" s="166">
        <v>0.11551001397298556</v>
      </c>
      <c r="AA225" s="34" t="s">
        <v>621</v>
      </c>
      <c r="AC225" s="67"/>
      <c r="AD225" s="451"/>
      <c r="AE225" s="452"/>
      <c r="AH225" s="36"/>
      <c r="AI225" s="36"/>
      <c r="AJ225" s="36"/>
      <c r="AK225" s="19"/>
    </row>
    <row r="226" spans="1:37">
      <c r="A226" s="64" t="s">
        <v>595</v>
      </c>
      <c r="B226" s="784" t="s">
        <v>413</v>
      </c>
      <c r="C226" s="784" t="s">
        <v>1557</v>
      </c>
      <c r="D226" s="134">
        <v>160.85285714285712</v>
      </c>
      <c r="E226" s="67">
        <v>19671</v>
      </c>
      <c r="F226" s="146">
        <v>0</v>
      </c>
      <c r="G226" s="146">
        <v>0</v>
      </c>
      <c r="H226" s="91">
        <v>19671</v>
      </c>
      <c r="I226" s="67">
        <v>0</v>
      </c>
      <c r="J226" s="739">
        <v>19671</v>
      </c>
      <c r="K226" s="837" t="s">
        <v>621</v>
      </c>
      <c r="L226" s="740">
        <v>0</v>
      </c>
      <c r="M226" s="741">
        <v>160.85285714285712</v>
      </c>
      <c r="N226" s="67">
        <v>262</v>
      </c>
      <c r="O226" s="67">
        <v>19933</v>
      </c>
      <c r="Q226" s="674">
        <v>0</v>
      </c>
      <c r="R226" s="674" t="s">
        <v>1730</v>
      </c>
      <c r="S226" s="798" t="s">
        <v>801</v>
      </c>
      <c r="T226" s="798">
        <v>0</v>
      </c>
      <c r="U226" s="88">
        <v>19933</v>
      </c>
      <c r="V226" s="71">
        <v>123.92070836700802</v>
      </c>
      <c r="W226" s="449">
        <v>19933</v>
      </c>
      <c r="X226" s="67">
        <v>16821</v>
      </c>
      <c r="Y226" s="163">
        <v>3112</v>
      </c>
      <c r="Z226" s="166">
        <v>0.18500683669222995</v>
      </c>
      <c r="AA226" s="34" t="s">
        <v>621</v>
      </c>
      <c r="AC226" s="67"/>
      <c r="AD226" s="451"/>
      <c r="AE226" s="452"/>
      <c r="AH226" s="36"/>
      <c r="AI226" s="36"/>
      <c r="AJ226" s="36"/>
      <c r="AK226" s="19"/>
    </row>
    <row r="227" spans="1:37">
      <c r="A227" s="64" t="s">
        <v>595</v>
      </c>
      <c r="B227" s="784" t="s">
        <v>415</v>
      </c>
      <c r="C227" s="784" t="s">
        <v>1558</v>
      </c>
      <c r="D227" s="134">
        <v>180.85</v>
      </c>
      <c r="E227" s="67">
        <v>22116</v>
      </c>
      <c r="F227" s="146">
        <v>0</v>
      </c>
      <c r="G227" s="146">
        <v>0</v>
      </c>
      <c r="H227" s="91">
        <v>22116</v>
      </c>
      <c r="I227" s="67">
        <v>0</v>
      </c>
      <c r="J227" s="739">
        <v>22116</v>
      </c>
      <c r="K227" s="837" t="s">
        <v>621</v>
      </c>
      <c r="L227" s="740">
        <v>0</v>
      </c>
      <c r="M227" s="741">
        <v>180.85</v>
      </c>
      <c r="N227" s="67">
        <v>295</v>
      </c>
      <c r="O227" s="67">
        <v>22411</v>
      </c>
      <c r="Q227" s="674">
        <v>0</v>
      </c>
      <c r="R227" s="674" t="s">
        <v>1730</v>
      </c>
      <c r="S227" s="798" t="s">
        <v>801</v>
      </c>
      <c r="T227" s="798">
        <v>0</v>
      </c>
      <c r="U227" s="88">
        <v>22411</v>
      </c>
      <c r="V227" s="71">
        <v>123.92037600221178</v>
      </c>
      <c r="W227" s="449">
        <v>22411</v>
      </c>
      <c r="X227" s="67">
        <v>20235</v>
      </c>
      <c r="Y227" s="163">
        <v>2176</v>
      </c>
      <c r="Z227" s="166">
        <v>0.10753644675067951</v>
      </c>
      <c r="AA227" s="34" t="s">
        <v>621</v>
      </c>
      <c r="AC227" s="67"/>
      <c r="AD227" s="451"/>
      <c r="AE227" s="452"/>
      <c r="AH227" s="36"/>
      <c r="AI227" s="36"/>
      <c r="AJ227" s="36"/>
      <c r="AK227" s="19"/>
    </row>
    <row r="228" spans="1:37">
      <c r="A228" s="64" t="s">
        <v>595</v>
      </c>
      <c r="B228" s="784" t="s">
        <v>417</v>
      </c>
      <c r="C228" s="784" t="s">
        <v>1559</v>
      </c>
      <c r="D228" s="134">
        <v>2.29</v>
      </c>
      <c r="E228" s="67">
        <v>280</v>
      </c>
      <c r="F228" s="146">
        <v>0</v>
      </c>
      <c r="G228" s="146">
        <v>0</v>
      </c>
      <c r="H228" s="91">
        <v>280</v>
      </c>
      <c r="I228" s="67">
        <v>0</v>
      </c>
      <c r="J228" s="739">
        <v>280</v>
      </c>
      <c r="K228" s="837" t="s">
        <v>644</v>
      </c>
      <c r="L228" s="740">
        <v>280</v>
      </c>
      <c r="M228" s="741">
        <v>0</v>
      </c>
      <c r="N228" s="67">
        <v>0</v>
      </c>
      <c r="O228" s="303">
        <v>0</v>
      </c>
      <c r="Q228" s="674">
        <v>0</v>
      </c>
      <c r="R228" s="674" t="s">
        <v>1730</v>
      </c>
      <c r="S228" s="798" t="s">
        <v>801</v>
      </c>
      <c r="T228" s="798">
        <v>0</v>
      </c>
      <c r="U228" s="88">
        <v>0</v>
      </c>
      <c r="V228" s="71">
        <v>0</v>
      </c>
      <c r="W228" s="449">
        <v>0</v>
      </c>
      <c r="X228" s="67">
        <v>0</v>
      </c>
      <c r="Y228" s="163">
        <v>0</v>
      </c>
      <c r="Z228" s="166">
        <v>0</v>
      </c>
      <c r="AA228" s="34" t="s">
        <v>644</v>
      </c>
      <c r="AC228" s="303"/>
      <c r="AD228" s="451"/>
      <c r="AE228" s="452"/>
      <c r="AH228" s="36"/>
      <c r="AI228" s="36"/>
      <c r="AJ228" s="36"/>
      <c r="AK228" s="19"/>
    </row>
    <row r="229" spans="1:37">
      <c r="A229" s="64" t="s">
        <v>595</v>
      </c>
      <c r="B229" s="784" t="s">
        <v>419</v>
      </c>
      <c r="C229" s="784" t="s">
        <v>1560</v>
      </c>
      <c r="D229" s="134">
        <v>55.14</v>
      </c>
      <c r="E229" s="67">
        <v>6743</v>
      </c>
      <c r="F229" s="146">
        <v>0</v>
      </c>
      <c r="G229" s="146">
        <v>0</v>
      </c>
      <c r="H229" s="91">
        <v>6743</v>
      </c>
      <c r="I229" s="67">
        <v>0</v>
      </c>
      <c r="J229" s="739">
        <v>6743</v>
      </c>
      <c r="K229" s="837" t="s">
        <v>644</v>
      </c>
      <c r="L229" s="740">
        <v>6743</v>
      </c>
      <c r="M229" s="741">
        <v>0</v>
      </c>
      <c r="N229" s="67">
        <v>0</v>
      </c>
      <c r="O229" s="67">
        <v>0</v>
      </c>
      <c r="Q229" s="674">
        <v>0</v>
      </c>
      <c r="R229" s="674" t="s">
        <v>1730</v>
      </c>
      <c r="S229" s="798" t="s">
        <v>801</v>
      </c>
      <c r="T229" s="798">
        <v>0</v>
      </c>
      <c r="U229" s="88">
        <v>0</v>
      </c>
      <c r="V229" s="71">
        <v>0</v>
      </c>
      <c r="W229" s="449">
        <v>0</v>
      </c>
      <c r="X229" s="67">
        <v>0</v>
      </c>
      <c r="Y229" s="163">
        <v>0</v>
      </c>
      <c r="Z229" s="166">
        <v>0</v>
      </c>
      <c r="AA229" s="34" t="s">
        <v>644</v>
      </c>
      <c r="AC229" s="67"/>
      <c r="AD229" s="451"/>
      <c r="AE229" s="452"/>
      <c r="AH229" s="36"/>
      <c r="AI229" s="36"/>
      <c r="AJ229" s="36"/>
      <c r="AK229" s="19"/>
    </row>
    <row r="230" spans="1:37" s="112" customFormat="1">
      <c r="A230" s="64" t="s">
        <v>595</v>
      </c>
      <c r="B230" s="785" t="s">
        <v>421</v>
      </c>
      <c r="C230" s="784" t="s">
        <v>1561</v>
      </c>
      <c r="D230" s="134">
        <v>143.85714285714286</v>
      </c>
      <c r="E230" s="67">
        <v>17592</v>
      </c>
      <c r="F230" s="146">
        <v>0</v>
      </c>
      <c r="G230" s="146">
        <v>0</v>
      </c>
      <c r="H230" s="91">
        <v>17592</v>
      </c>
      <c r="I230" s="67">
        <v>0</v>
      </c>
      <c r="J230" s="739">
        <v>17592</v>
      </c>
      <c r="K230" s="837" t="s">
        <v>621</v>
      </c>
      <c r="L230" s="740">
        <v>0</v>
      </c>
      <c r="M230" s="741">
        <v>143.85714285714286</v>
      </c>
      <c r="N230" s="67">
        <v>235</v>
      </c>
      <c r="O230" s="67">
        <v>17827</v>
      </c>
      <c r="P230" s="674"/>
      <c r="Q230" s="674">
        <v>0</v>
      </c>
      <c r="R230" s="674" t="s">
        <v>1730</v>
      </c>
      <c r="S230" s="798" t="s">
        <v>801</v>
      </c>
      <c r="T230" s="798">
        <v>0</v>
      </c>
      <c r="U230" s="88">
        <v>17827</v>
      </c>
      <c r="V230" s="71">
        <v>123.92154915590864</v>
      </c>
      <c r="W230" s="449">
        <v>17827</v>
      </c>
      <c r="X230" s="67">
        <v>15013</v>
      </c>
      <c r="Y230" s="163">
        <v>2814</v>
      </c>
      <c r="Z230" s="166">
        <v>0.18743755411976287</v>
      </c>
      <c r="AA230" s="34" t="s">
        <v>621</v>
      </c>
      <c r="AC230" s="67"/>
      <c r="AD230" s="451"/>
      <c r="AE230" s="452"/>
      <c r="AH230" s="116"/>
      <c r="AI230" s="116"/>
      <c r="AJ230" s="116"/>
      <c r="AK230" s="117"/>
    </row>
    <row r="231" spans="1:37">
      <c r="A231" s="64" t="s">
        <v>603</v>
      </c>
      <c r="B231" s="784" t="s">
        <v>422</v>
      </c>
      <c r="C231" s="784" t="s">
        <v>1562</v>
      </c>
      <c r="D231" s="134">
        <v>2166.2814285714285</v>
      </c>
      <c r="E231" s="67">
        <v>264915</v>
      </c>
      <c r="F231" s="146">
        <v>0</v>
      </c>
      <c r="G231" s="146">
        <v>0</v>
      </c>
      <c r="H231" s="91">
        <v>264915</v>
      </c>
      <c r="I231" s="67">
        <v>0</v>
      </c>
      <c r="J231" s="739">
        <v>264915</v>
      </c>
      <c r="K231" s="837" t="s">
        <v>621</v>
      </c>
      <c r="L231" s="740">
        <v>0</v>
      </c>
      <c r="M231" s="741">
        <v>2166.2814285714285</v>
      </c>
      <c r="N231" s="67">
        <v>3532</v>
      </c>
      <c r="O231" s="67">
        <v>268447</v>
      </c>
      <c r="Q231" s="674">
        <v>0</v>
      </c>
      <c r="R231" s="674" t="s">
        <v>1730</v>
      </c>
      <c r="S231" s="798" t="s">
        <v>801</v>
      </c>
      <c r="T231" s="798">
        <v>0</v>
      </c>
      <c r="U231" s="88">
        <v>268447</v>
      </c>
      <c r="V231" s="71">
        <v>123.92064874831591</v>
      </c>
      <c r="W231" s="449">
        <v>268447</v>
      </c>
      <c r="X231" s="67">
        <v>231615</v>
      </c>
      <c r="Y231" s="163">
        <v>36832</v>
      </c>
      <c r="Z231" s="166">
        <v>0.15902251581287913</v>
      </c>
      <c r="AA231" s="34" t="s">
        <v>621</v>
      </c>
      <c r="AC231" s="67"/>
      <c r="AD231" s="451"/>
      <c r="AE231" s="452"/>
      <c r="AH231" s="36"/>
      <c r="AI231" s="36"/>
      <c r="AJ231" s="36"/>
      <c r="AK231" s="19"/>
    </row>
    <row r="232" spans="1:37">
      <c r="A232" s="64" t="s">
        <v>603</v>
      </c>
      <c r="B232" s="784" t="s">
        <v>424</v>
      </c>
      <c r="C232" s="784" t="s">
        <v>1563</v>
      </c>
      <c r="D232" s="134">
        <v>0</v>
      </c>
      <c r="E232" s="67">
        <v>0</v>
      </c>
      <c r="F232" s="146">
        <v>0</v>
      </c>
      <c r="G232" s="146">
        <v>0</v>
      </c>
      <c r="H232" s="91">
        <v>0</v>
      </c>
      <c r="I232" s="67">
        <v>0</v>
      </c>
      <c r="J232" s="739">
        <v>0</v>
      </c>
      <c r="K232" s="837" t="s">
        <v>644</v>
      </c>
      <c r="L232" s="740">
        <v>0</v>
      </c>
      <c r="M232" s="741">
        <v>0</v>
      </c>
      <c r="N232" s="67">
        <v>0</v>
      </c>
      <c r="O232" s="67">
        <v>0</v>
      </c>
      <c r="Q232" s="674">
        <v>0</v>
      </c>
      <c r="R232" s="674" t="s">
        <v>1730</v>
      </c>
      <c r="S232" s="798" t="s">
        <v>801</v>
      </c>
      <c r="T232" s="798">
        <v>0</v>
      </c>
      <c r="U232" s="88">
        <v>0</v>
      </c>
      <c r="V232" s="71">
        <v>0</v>
      </c>
      <c r="W232" s="449">
        <v>0</v>
      </c>
      <c r="X232" s="67">
        <v>0</v>
      </c>
      <c r="Y232" s="163">
        <v>0</v>
      </c>
      <c r="Z232" s="166">
        <v>0</v>
      </c>
      <c r="AA232" s="34" t="s">
        <v>644</v>
      </c>
      <c r="AC232" s="67"/>
      <c r="AD232" s="451"/>
      <c r="AE232" s="452"/>
      <c r="AH232" s="36"/>
      <c r="AI232" s="36"/>
      <c r="AJ232" s="36"/>
      <c r="AK232" s="19"/>
    </row>
    <row r="233" spans="1:37">
      <c r="A233" s="64" t="s">
        <v>603</v>
      </c>
      <c r="B233" s="784" t="s">
        <v>426</v>
      </c>
      <c r="C233" s="784" t="s">
        <v>1564</v>
      </c>
      <c r="D233" s="134">
        <v>0</v>
      </c>
      <c r="E233" s="67">
        <v>0</v>
      </c>
      <c r="F233" s="146">
        <v>0</v>
      </c>
      <c r="G233" s="146">
        <v>0</v>
      </c>
      <c r="H233" s="91">
        <v>0</v>
      </c>
      <c r="I233" s="67">
        <v>0</v>
      </c>
      <c r="J233" s="739">
        <v>0</v>
      </c>
      <c r="K233" s="837" t="s">
        <v>644</v>
      </c>
      <c r="L233" s="740">
        <v>0</v>
      </c>
      <c r="M233" s="741">
        <v>0</v>
      </c>
      <c r="N233" s="67">
        <v>0</v>
      </c>
      <c r="O233" s="67">
        <v>0</v>
      </c>
      <c r="Q233" s="674">
        <v>0</v>
      </c>
      <c r="R233" s="674" t="s">
        <v>1730</v>
      </c>
      <c r="S233" s="798" t="s">
        <v>801</v>
      </c>
      <c r="T233" s="798">
        <v>0</v>
      </c>
      <c r="U233" s="88">
        <v>0</v>
      </c>
      <c r="V233" s="71">
        <v>0</v>
      </c>
      <c r="W233" s="449">
        <v>0</v>
      </c>
      <c r="X233" s="67">
        <v>0</v>
      </c>
      <c r="Y233" s="163">
        <v>0</v>
      </c>
      <c r="Z233" s="166">
        <v>0</v>
      </c>
      <c r="AA233" s="34" t="s">
        <v>644</v>
      </c>
      <c r="AC233" s="67"/>
      <c r="AD233" s="451"/>
      <c r="AE233" s="452"/>
      <c r="AH233" s="36"/>
      <c r="AI233" s="36"/>
      <c r="AJ233" s="36"/>
      <c r="AK233" s="19"/>
    </row>
    <row r="234" spans="1:37">
      <c r="A234" s="64" t="s">
        <v>603</v>
      </c>
      <c r="B234" s="784" t="s">
        <v>428</v>
      </c>
      <c r="C234" s="784" t="s">
        <v>1565</v>
      </c>
      <c r="D234" s="134">
        <v>0</v>
      </c>
      <c r="E234" s="67">
        <v>0</v>
      </c>
      <c r="F234" s="146">
        <v>0</v>
      </c>
      <c r="G234" s="146">
        <v>0</v>
      </c>
      <c r="H234" s="91">
        <v>0</v>
      </c>
      <c r="I234" s="67">
        <v>0</v>
      </c>
      <c r="J234" s="739">
        <v>0</v>
      </c>
      <c r="K234" s="837" t="s">
        <v>644</v>
      </c>
      <c r="L234" s="740">
        <v>0</v>
      </c>
      <c r="M234" s="741">
        <v>0</v>
      </c>
      <c r="N234" s="67">
        <v>0</v>
      </c>
      <c r="O234" s="67">
        <v>0</v>
      </c>
      <c r="Q234" s="674">
        <v>0</v>
      </c>
      <c r="R234" s="674" t="s">
        <v>1730</v>
      </c>
      <c r="S234" s="798" t="s">
        <v>801</v>
      </c>
      <c r="T234" s="798">
        <v>0</v>
      </c>
      <c r="U234" s="88">
        <v>0</v>
      </c>
      <c r="V234" s="71">
        <v>0</v>
      </c>
      <c r="W234" s="449">
        <v>0</v>
      </c>
      <c r="X234" s="67">
        <v>0</v>
      </c>
      <c r="Y234" s="163">
        <v>0</v>
      </c>
      <c r="Z234" s="166">
        <v>0</v>
      </c>
      <c r="AA234" s="34" t="s">
        <v>644</v>
      </c>
      <c r="AC234" s="67"/>
      <c r="AD234" s="451"/>
      <c r="AE234" s="452"/>
      <c r="AH234" s="36"/>
      <c r="AI234" s="36"/>
      <c r="AJ234" s="36"/>
      <c r="AK234" s="19"/>
    </row>
    <row r="235" spans="1:37">
      <c r="A235" s="64" t="s">
        <v>603</v>
      </c>
      <c r="B235" s="784" t="s">
        <v>430</v>
      </c>
      <c r="C235" s="784" t="s">
        <v>1566</v>
      </c>
      <c r="D235" s="134">
        <v>5.57</v>
      </c>
      <c r="E235" s="67">
        <v>681</v>
      </c>
      <c r="F235" s="146">
        <v>0</v>
      </c>
      <c r="G235" s="146">
        <v>0</v>
      </c>
      <c r="H235" s="91">
        <v>681</v>
      </c>
      <c r="I235" s="67">
        <v>0</v>
      </c>
      <c r="J235" s="739">
        <v>681</v>
      </c>
      <c r="K235" s="837" t="s">
        <v>644</v>
      </c>
      <c r="L235" s="740">
        <v>681</v>
      </c>
      <c r="M235" s="741">
        <v>0</v>
      </c>
      <c r="N235" s="67">
        <v>0</v>
      </c>
      <c r="O235" s="67">
        <v>0</v>
      </c>
      <c r="Q235" s="674">
        <v>0</v>
      </c>
      <c r="R235" s="674" t="s">
        <v>1730</v>
      </c>
      <c r="S235" s="798" t="s">
        <v>801</v>
      </c>
      <c r="T235" s="798">
        <v>0</v>
      </c>
      <c r="U235" s="88">
        <v>0</v>
      </c>
      <c r="V235" s="71">
        <v>0</v>
      </c>
      <c r="W235" s="449">
        <v>0</v>
      </c>
      <c r="X235" s="67">
        <v>0</v>
      </c>
      <c r="Y235" s="163">
        <v>0</v>
      </c>
      <c r="Z235" s="166">
        <v>0</v>
      </c>
      <c r="AA235" s="34" t="s">
        <v>644</v>
      </c>
      <c r="AC235" s="67"/>
      <c r="AD235" s="451"/>
      <c r="AE235" s="452"/>
      <c r="AH235" s="36"/>
      <c r="AI235" s="36"/>
      <c r="AJ235" s="36"/>
      <c r="AK235" s="19"/>
    </row>
    <row r="236" spans="1:37">
      <c r="A236" s="64" t="s">
        <v>603</v>
      </c>
      <c r="B236" s="784" t="s">
        <v>432</v>
      </c>
      <c r="C236" s="784" t="s">
        <v>1567</v>
      </c>
      <c r="D236" s="134">
        <v>368.28285714285715</v>
      </c>
      <c r="E236" s="67">
        <v>45037</v>
      </c>
      <c r="F236" s="146">
        <v>0</v>
      </c>
      <c r="G236" s="146">
        <v>0</v>
      </c>
      <c r="H236" s="91">
        <v>45037</v>
      </c>
      <c r="I236" s="67">
        <v>0</v>
      </c>
      <c r="J236" s="739">
        <v>45037</v>
      </c>
      <c r="K236" s="837" t="s">
        <v>621</v>
      </c>
      <c r="L236" s="740">
        <v>0</v>
      </c>
      <c r="M236" s="741">
        <v>368.28285714285715</v>
      </c>
      <c r="N236" s="67">
        <v>600</v>
      </c>
      <c r="O236" s="67">
        <v>45637</v>
      </c>
      <c r="Q236" s="674">
        <v>0</v>
      </c>
      <c r="R236" s="674" t="s">
        <v>1730</v>
      </c>
      <c r="S236" s="798" t="s">
        <v>801</v>
      </c>
      <c r="T236" s="798">
        <v>0</v>
      </c>
      <c r="U236" s="88">
        <v>45637</v>
      </c>
      <c r="V236" s="71">
        <v>123.91833916477242</v>
      </c>
      <c r="W236" s="449">
        <v>45637</v>
      </c>
      <c r="X236" s="67">
        <v>38554</v>
      </c>
      <c r="Y236" s="163">
        <v>7083</v>
      </c>
      <c r="Z236" s="166">
        <v>0.18371634590444572</v>
      </c>
      <c r="AA236" s="34" t="s">
        <v>621</v>
      </c>
      <c r="AC236" s="67"/>
      <c r="AD236" s="451"/>
      <c r="AE236" s="452"/>
      <c r="AH236" s="36"/>
      <c r="AI236" s="36"/>
      <c r="AJ236" s="36"/>
      <c r="AK236" s="19"/>
    </row>
    <row r="237" spans="1:37">
      <c r="A237" s="64" t="s">
        <v>603</v>
      </c>
      <c r="B237" s="784" t="s">
        <v>434</v>
      </c>
      <c r="C237" s="784" t="s">
        <v>1568</v>
      </c>
      <c r="D237" s="134">
        <v>470.28</v>
      </c>
      <c r="E237" s="67">
        <v>57511</v>
      </c>
      <c r="F237" s="146">
        <v>0</v>
      </c>
      <c r="G237" s="146">
        <v>0</v>
      </c>
      <c r="H237" s="91">
        <v>57511</v>
      </c>
      <c r="I237" s="67">
        <v>0</v>
      </c>
      <c r="J237" s="739">
        <v>57511</v>
      </c>
      <c r="K237" s="837" t="s">
        <v>621</v>
      </c>
      <c r="L237" s="740">
        <v>0</v>
      </c>
      <c r="M237" s="741">
        <v>470.28</v>
      </c>
      <c r="N237" s="67">
        <v>767</v>
      </c>
      <c r="O237" s="67">
        <v>58278</v>
      </c>
      <c r="Q237" s="674">
        <v>0</v>
      </c>
      <c r="R237" s="674" t="s">
        <v>1730</v>
      </c>
      <c r="S237" s="798" t="s">
        <v>801</v>
      </c>
      <c r="T237" s="798">
        <v>0</v>
      </c>
      <c r="U237" s="88">
        <v>58278</v>
      </c>
      <c r="V237" s="71">
        <v>123.92191885685125</v>
      </c>
      <c r="W237" s="449">
        <v>58278</v>
      </c>
      <c r="X237" s="67">
        <v>59360</v>
      </c>
      <c r="Y237" s="163">
        <v>-1082</v>
      </c>
      <c r="Z237" s="166">
        <v>-1.8227762803234501E-2</v>
      </c>
      <c r="AA237" s="34" t="s">
        <v>621</v>
      </c>
      <c r="AC237" s="67"/>
      <c r="AD237" s="451"/>
      <c r="AE237" s="452"/>
      <c r="AH237" s="36"/>
      <c r="AI237" s="36"/>
      <c r="AJ237" s="36"/>
      <c r="AK237" s="19"/>
    </row>
    <row r="238" spans="1:37">
      <c r="A238" s="64" t="s">
        <v>603</v>
      </c>
      <c r="B238" s="784" t="s">
        <v>436</v>
      </c>
      <c r="C238" s="784" t="s">
        <v>1569</v>
      </c>
      <c r="D238" s="134">
        <v>0</v>
      </c>
      <c r="E238" s="67">
        <v>0</v>
      </c>
      <c r="F238" s="146">
        <v>0</v>
      </c>
      <c r="G238" s="146">
        <v>0</v>
      </c>
      <c r="H238" s="91">
        <v>0</v>
      </c>
      <c r="I238" s="67">
        <v>0</v>
      </c>
      <c r="J238" s="739">
        <v>0</v>
      </c>
      <c r="K238" s="837" t="s">
        <v>644</v>
      </c>
      <c r="L238" s="740">
        <v>0</v>
      </c>
      <c r="M238" s="741">
        <v>0</v>
      </c>
      <c r="N238" s="67">
        <v>0</v>
      </c>
      <c r="O238" s="67">
        <v>0</v>
      </c>
      <c r="Q238" s="674">
        <v>0</v>
      </c>
      <c r="R238" s="674" t="s">
        <v>1730</v>
      </c>
      <c r="S238" s="798" t="s">
        <v>801</v>
      </c>
      <c r="T238" s="798">
        <v>0</v>
      </c>
      <c r="U238" s="88">
        <v>0</v>
      </c>
      <c r="V238" s="71">
        <v>0</v>
      </c>
      <c r="W238" s="449">
        <v>0</v>
      </c>
      <c r="X238" s="67">
        <v>0</v>
      </c>
      <c r="Y238" s="163">
        <v>0</v>
      </c>
      <c r="Z238" s="166">
        <v>0</v>
      </c>
      <c r="AA238" s="34" t="s">
        <v>644</v>
      </c>
      <c r="AC238" s="67"/>
      <c r="AD238" s="451"/>
      <c r="AE238" s="452"/>
      <c r="AH238" s="36"/>
      <c r="AI238" s="36"/>
      <c r="AJ238" s="36"/>
      <c r="AK238" s="19"/>
    </row>
    <row r="239" spans="1:37">
      <c r="A239" s="64" t="s">
        <v>603</v>
      </c>
      <c r="B239" s="784" t="s">
        <v>438</v>
      </c>
      <c r="C239" s="784" t="s">
        <v>1570</v>
      </c>
      <c r="D239" s="134">
        <v>186.43</v>
      </c>
      <c r="E239" s="67">
        <v>22799</v>
      </c>
      <c r="F239" s="146">
        <v>0</v>
      </c>
      <c r="G239" s="146">
        <v>0</v>
      </c>
      <c r="H239" s="91">
        <v>22799</v>
      </c>
      <c r="I239" s="67">
        <v>0</v>
      </c>
      <c r="J239" s="739">
        <v>22799</v>
      </c>
      <c r="K239" s="837" t="s">
        <v>621</v>
      </c>
      <c r="L239" s="740">
        <v>0</v>
      </c>
      <c r="M239" s="741">
        <v>186.43</v>
      </c>
      <c r="N239" s="67">
        <v>304</v>
      </c>
      <c r="O239" s="67">
        <v>23103</v>
      </c>
      <c r="Q239" s="674">
        <v>0</v>
      </c>
      <c r="R239" s="674" t="s">
        <v>1730</v>
      </c>
      <c r="S239" s="798" t="s">
        <v>801</v>
      </c>
      <c r="T239" s="798">
        <v>0</v>
      </c>
      <c r="U239" s="88">
        <v>23103</v>
      </c>
      <c r="V239" s="71">
        <v>123.92318832805879</v>
      </c>
      <c r="W239" s="449">
        <v>23103</v>
      </c>
      <c r="X239" s="67">
        <v>16404</v>
      </c>
      <c r="Y239" s="163">
        <v>6699</v>
      </c>
      <c r="Z239" s="166">
        <v>0.40837600585223116</v>
      </c>
      <c r="AA239" s="34" t="s">
        <v>621</v>
      </c>
      <c r="AC239" s="67"/>
      <c r="AD239" s="451"/>
      <c r="AE239" s="452"/>
      <c r="AH239" s="36"/>
      <c r="AI239" s="36"/>
      <c r="AJ239" s="36"/>
      <c r="AK239" s="19"/>
    </row>
    <row r="240" spans="1:37">
      <c r="A240" s="64" t="s">
        <v>603</v>
      </c>
      <c r="B240" s="784" t="s">
        <v>440</v>
      </c>
      <c r="C240" s="784" t="s">
        <v>1571</v>
      </c>
      <c r="D240" s="134">
        <v>108.43</v>
      </c>
      <c r="E240" s="67">
        <v>13260</v>
      </c>
      <c r="F240" s="146">
        <v>0</v>
      </c>
      <c r="G240" s="146">
        <v>0</v>
      </c>
      <c r="H240" s="91">
        <v>13260</v>
      </c>
      <c r="I240" s="67">
        <v>0</v>
      </c>
      <c r="J240" s="739">
        <v>13260</v>
      </c>
      <c r="K240" s="837" t="s">
        <v>621</v>
      </c>
      <c r="L240" s="740">
        <v>0</v>
      </c>
      <c r="M240" s="741">
        <v>108.43</v>
      </c>
      <c r="N240" s="67">
        <v>177</v>
      </c>
      <c r="O240" s="67">
        <v>13437</v>
      </c>
      <c r="Q240" s="674">
        <v>0</v>
      </c>
      <c r="R240" s="674" t="s">
        <v>1730</v>
      </c>
      <c r="S240" s="798" t="s">
        <v>801</v>
      </c>
      <c r="T240" s="798">
        <v>0</v>
      </c>
      <c r="U240" s="88">
        <v>13437</v>
      </c>
      <c r="V240" s="71">
        <v>123.92326846813611</v>
      </c>
      <c r="W240" s="449">
        <v>13437</v>
      </c>
      <c r="X240" s="67">
        <v>14845</v>
      </c>
      <c r="Y240" s="163">
        <v>-1408</v>
      </c>
      <c r="Z240" s="166">
        <v>-9.48467497473897E-2</v>
      </c>
      <c r="AA240" s="34" t="s">
        <v>621</v>
      </c>
      <c r="AC240" s="67"/>
      <c r="AD240" s="451"/>
      <c r="AE240" s="452"/>
      <c r="AH240" s="36"/>
      <c r="AI240" s="36"/>
      <c r="AJ240" s="36"/>
      <c r="AK240" s="19"/>
    </row>
    <row r="241" spans="1:37">
      <c r="A241" s="64" t="s">
        <v>603</v>
      </c>
      <c r="B241" s="784" t="s">
        <v>441</v>
      </c>
      <c r="C241" s="784" t="s">
        <v>1572</v>
      </c>
      <c r="D241" s="134">
        <v>5.72</v>
      </c>
      <c r="E241" s="67">
        <v>700</v>
      </c>
      <c r="F241" s="146">
        <v>0</v>
      </c>
      <c r="G241" s="146">
        <v>0</v>
      </c>
      <c r="H241" s="91">
        <v>700</v>
      </c>
      <c r="I241" s="67">
        <v>0</v>
      </c>
      <c r="J241" s="739">
        <v>700</v>
      </c>
      <c r="K241" s="837" t="s">
        <v>644</v>
      </c>
      <c r="L241" s="740">
        <v>700</v>
      </c>
      <c r="M241" s="741">
        <v>0</v>
      </c>
      <c r="N241" s="67">
        <v>0</v>
      </c>
      <c r="O241" s="67">
        <v>0</v>
      </c>
      <c r="Q241" s="674">
        <v>0</v>
      </c>
      <c r="R241" s="674" t="s">
        <v>1730</v>
      </c>
      <c r="S241" s="798" t="s">
        <v>801</v>
      </c>
      <c r="T241" s="798">
        <v>0</v>
      </c>
      <c r="U241" s="88">
        <v>0</v>
      </c>
      <c r="V241" s="71">
        <v>0</v>
      </c>
      <c r="W241" s="449">
        <v>0</v>
      </c>
      <c r="X241" s="67">
        <v>0</v>
      </c>
      <c r="Y241" s="163">
        <v>0</v>
      </c>
      <c r="Z241" s="166">
        <v>0</v>
      </c>
      <c r="AA241" s="34" t="s">
        <v>644</v>
      </c>
      <c r="AC241" s="67"/>
      <c r="AD241" s="451"/>
      <c r="AE241" s="452"/>
      <c r="AH241" s="36"/>
      <c r="AI241" s="36"/>
      <c r="AJ241" s="36"/>
      <c r="AK241" s="19"/>
    </row>
    <row r="242" spans="1:37">
      <c r="A242" s="64" t="s">
        <v>603</v>
      </c>
      <c r="B242" s="784" t="s">
        <v>443</v>
      </c>
      <c r="C242" s="784" t="s">
        <v>1573</v>
      </c>
      <c r="D242" s="134">
        <v>111.00285714285712</v>
      </c>
      <c r="E242" s="67">
        <v>13575</v>
      </c>
      <c r="F242" s="146">
        <v>0</v>
      </c>
      <c r="G242" s="146">
        <v>0</v>
      </c>
      <c r="H242" s="91">
        <v>13575</v>
      </c>
      <c r="I242" s="67">
        <v>0</v>
      </c>
      <c r="J242" s="739">
        <v>13575</v>
      </c>
      <c r="K242" s="837" t="s">
        <v>621</v>
      </c>
      <c r="L242" s="740">
        <v>0</v>
      </c>
      <c r="M242" s="741">
        <v>111.00285714285712</v>
      </c>
      <c r="N242" s="67">
        <v>181</v>
      </c>
      <c r="O242" s="67">
        <v>13756</v>
      </c>
      <c r="Q242" s="674">
        <v>0</v>
      </c>
      <c r="R242" s="674" t="s">
        <v>1730</v>
      </c>
      <c r="S242" s="798" t="s">
        <v>801</v>
      </c>
      <c r="T242" s="798">
        <v>0</v>
      </c>
      <c r="U242" s="88">
        <v>13756</v>
      </c>
      <c r="V242" s="71">
        <v>123.92473810197937</v>
      </c>
      <c r="W242" s="449">
        <v>13756</v>
      </c>
      <c r="X242" s="67">
        <v>10875</v>
      </c>
      <c r="Y242" s="163">
        <v>2881</v>
      </c>
      <c r="Z242" s="166">
        <v>0.26491954022988506</v>
      </c>
      <c r="AA242" s="34" t="s">
        <v>621</v>
      </c>
      <c r="AC242" s="67"/>
      <c r="AD242" s="451"/>
      <c r="AE242" s="452"/>
      <c r="AH242" s="36"/>
      <c r="AI242" s="36"/>
      <c r="AJ242" s="36"/>
      <c r="AK242" s="19"/>
    </row>
    <row r="243" spans="1:37">
      <c r="A243" s="64" t="s">
        <v>603</v>
      </c>
      <c r="B243" s="784" t="s">
        <v>444</v>
      </c>
      <c r="C243" s="784" t="s">
        <v>1574</v>
      </c>
      <c r="D243" s="134">
        <v>19.86</v>
      </c>
      <c r="E243" s="67">
        <v>2429</v>
      </c>
      <c r="F243" s="146">
        <v>0</v>
      </c>
      <c r="G243" s="146">
        <v>0</v>
      </c>
      <c r="H243" s="91">
        <v>2429</v>
      </c>
      <c r="I243" s="67">
        <v>0</v>
      </c>
      <c r="J243" s="739">
        <v>2429</v>
      </c>
      <c r="K243" s="837" t="s">
        <v>644</v>
      </c>
      <c r="L243" s="740">
        <v>2429</v>
      </c>
      <c r="M243" s="741">
        <v>0</v>
      </c>
      <c r="N243" s="67">
        <v>0</v>
      </c>
      <c r="O243" s="67">
        <v>0</v>
      </c>
      <c r="Q243" s="674">
        <v>0</v>
      </c>
      <c r="R243" s="674" t="s">
        <v>1730</v>
      </c>
      <c r="S243" s="798" t="s">
        <v>801</v>
      </c>
      <c r="T243" s="798">
        <v>0</v>
      </c>
      <c r="U243" s="88">
        <v>0</v>
      </c>
      <c r="V243" s="71">
        <v>0</v>
      </c>
      <c r="W243" s="449">
        <v>0</v>
      </c>
      <c r="X243" s="67">
        <v>0</v>
      </c>
      <c r="Y243" s="163">
        <v>0</v>
      </c>
      <c r="Z243" s="166">
        <v>0</v>
      </c>
      <c r="AA243" s="34" t="s">
        <v>644</v>
      </c>
      <c r="AC243" s="67"/>
      <c r="AD243" s="451"/>
      <c r="AE243" s="452"/>
      <c r="AH243" s="36"/>
      <c r="AI243" s="36"/>
      <c r="AJ243" s="36"/>
      <c r="AK243" s="19"/>
    </row>
    <row r="244" spans="1:37">
      <c r="A244" s="64" t="s">
        <v>603</v>
      </c>
      <c r="B244" s="784" t="s">
        <v>446</v>
      </c>
      <c r="C244" s="784" t="s">
        <v>1575</v>
      </c>
      <c r="D244" s="134">
        <v>9.7100000000000009</v>
      </c>
      <c r="E244" s="67">
        <v>1187</v>
      </c>
      <c r="F244" s="146">
        <v>0</v>
      </c>
      <c r="G244" s="146">
        <v>0</v>
      </c>
      <c r="H244" s="91">
        <v>1187</v>
      </c>
      <c r="I244" s="67">
        <v>0</v>
      </c>
      <c r="J244" s="739">
        <v>1187</v>
      </c>
      <c r="K244" s="837" t="s">
        <v>644</v>
      </c>
      <c r="L244" s="740">
        <v>1187</v>
      </c>
      <c r="M244" s="741">
        <v>0</v>
      </c>
      <c r="N244" s="67">
        <v>0</v>
      </c>
      <c r="O244" s="67">
        <v>0</v>
      </c>
      <c r="Q244" s="674">
        <v>0</v>
      </c>
      <c r="R244" s="674" t="s">
        <v>1730</v>
      </c>
      <c r="S244" s="798" t="s">
        <v>801</v>
      </c>
      <c r="T244" s="798">
        <v>0</v>
      </c>
      <c r="U244" s="88">
        <v>0</v>
      </c>
      <c r="V244" s="71">
        <v>0</v>
      </c>
      <c r="W244" s="449">
        <v>0</v>
      </c>
      <c r="X244" s="67">
        <v>0</v>
      </c>
      <c r="Y244" s="163">
        <v>0</v>
      </c>
      <c r="Z244" s="166">
        <v>0</v>
      </c>
      <c r="AA244" s="34" t="s">
        <v>644</v>
      </c>
      <c r="AC244" s="67"/>
      <c r="AD244" s="451"/>
      <c r="AE244" s="452"/>
      <c r="AH244" s="36"/>
      <c r="AI244" s="36"/>
      <c r="AJ244" s="36"/>
      <c r="AK244" s="19"/>
    </row>
    <row r="245" spans="1:37">
      <c r="A245" s="64" t="s">
        <v>603</v>
      </c>
      <c r="B245" s="784" t="s">
        <v>448</v>
      </c>
      <c r="C245" s="784" t="s">
        <v>1576</v>
      </c>
      <c r="D245" s="134">
        <v>0</v>
      </c>
      <c r="E245" s="67">
        <v>0</v>
      </c>
      <c r="F245" s="146">
        <v>0</v>
      </c>
      <c r="G245" s="146">
        <v>0</v>
      </c>
      <c r="H245" s="91">
        <v>0</v>
      </c>
      <c r="I245" s="67">
        <v>0</v>
      </c>
      <c r="J245" s="739">
        <v>0</v>
      </c>
      <c r="K245" s="837" t="s">
        <v>644</v>
      </c>
      <c r="L245" s="740">
        <v>0</v>
      </c>
      <c r="M245" s="741">
        <v>0</v>
      </c>
      <c r="N245" s="67">
        <v>0</v>
      </c>
      <c r="O245" s="67">
        <v>0</v>
      </c>
      <c r="Q245" s="674">
        <v>0</v>
      </c>
      <c r="R245" s="674" t="s">
        <v>1730</v>
      </c>
      <c r="S245" s="798" t="s">
        <v>801</v>
      </c>
      <c r="T245" s="798">
        <v>0</v>
      </c>
      <c r="U245" s="88">
        <v>0</v>
      </c>
      <c r="V245" s="71">
        <v>0</v>
      </c>
      <c r="W245" s="449">
        <v>0</v>
      </c>
      <c r="X245" s="67">
        <v>0</v>
      </c>
      <c r="Y245" s="163">
        <v>0</v>
      </c>
      <c r="Z245" s="166">
        <v>0</v>
      </c>
      <c r="AA245" s="34" t="s">
        <v>644</v>
      </c>
      <c r="AC245" s="67"/>
      <c r="AD245" s="451"/>
      <c r="AE245" s="452"/>
      <c r="AH245" s="36"/>
      <c r="AI245" s="36"/>
      <c r="AJ245" s="36"/>
      <c r="AK245" s="19"/>
    </row>
    <row r="246" spans="1:37">
      <c r="A246" s="64" t="s">
        <v>603</v>
      </c>
      <c r="B246" s="784" t="s">
        <v>450</v>
      </c>
      <c r="C246" s="784" t="s">
        <v>1577</v>
      </c>
      <c r="D246" s="134">
        <v>0</v>
      </c>
      <c r="E246" s="67">
        <v>0</v>
      </c>
      <c r="F246" s="146">
        <v>0</v>
      </c>
      <c r="G246" s="146">
        <v>0</v>
      </c>
      <c r="H246" s="91">
        <v>0</v>
      </c>
      <c r="I246" s="67">
        <v>0</v>
      </c>
      <c r="J246" s="739">
        <v>0</v>
      </c>
      <c r="K246" s="837" t="s">
        <v>644</v>
      </c>
      <c r="L246" s="740">
        <v>0</v>
      </c>
      <c r="M246" s="741">
        <v>0</v>
      </c>
      <c r="N246" s="67">
        <v>0</v>
      </c>
      <c r="O246" s="67">
        <v>0</v>
      </c>
      <c r="Q246" s="674">
        <v>0</v>
      </c>
      <c r="R246" s="674" t="s">
        <v>1730</v>
      </c>
      <c r="S246" s="798" t="s">
        <v>801</v>
      </c>
      <c r="T246" s="798">
        <v>0</v>
      </c>
      <c r="U246" s="88">
        <v>0</v>
      </c>
      <c r="V246" s="71">
        <v>0</v>
      </c>
      <c r="W246" s="449">
        <v>0</v>
      </c>
      <c r="X246" s="67">
        <v>0</v>
      </c>
      <c r="Y246" s="163">
        <v>0</v>
      </c>
      <c r="Z246" s="166">
        <v>0</v>
      </c>
      <c r="AA246" s="34" t="s">
        <v>644</v>
      </c>
      <c r="AC246" s="67"/>
      <c r="AD246" s="451"/>
      <c r="AE246" s="452"/>
      <c r="AH246" s="36"/>
      <c r="AI246" s="36"/>
      <c r="AJ246" s="36"/>
      <c r="AK246" s="19"/>
    </row>
    <row r="247" spans="1:37">
      <c r="A247" s="64" t="s">
        <v>603</v>
      </c>
      <c r="B247" s="784" t="s">
        <v>452</v>
      </c>
      <c r="C247" s="784" t="s">
        <v>1578</v>
      </c>
      <c r="D247" s="134">
        <v>85.428571428571431</v>
      </c>
      <c r="E247" s="67">
        <v>10447</v>
      </c>
      <c r="F247" s="146">
        <v>0</v>
      </c>
      <c r="G247" s="146">
        <v>0</v>
      </c>
      <c r="H247" s="91">
        <v>10447</v>
      </c>
      <c r="I247" s="67">
        <v>0</v>
      </c>
      <c r="J247" s="739">
        <v>10447</v>
      </c>
      <c r="K247" s="837" t="s">
        <v>621</v>
      </c>
      <c r="L247" s="740">
        <v>0</v>
      </c>
      <c r="M247" s="741">
        <v>85.428571428571431</v>
      </c>
      <c r="N247" s="67">
        <v>139</v>
      </c>
      <c r="O247" s="67">
        <v>10586</v>
      </c>
      <c r="Q247" s="674">
        <v>0</v>
      </c>
      <c r="R247" s="674" t="s">
        <v>1730</v>
      </c>
      <c r="S247" s="798" t="s">
        <v>801</v>
      </c>
      <c r="T247" s="798">
        <v>0</v>
      </c>
      <c r="U247" s="88">
        <v>10586</v>
      </c>
      <c r="V247" s="71">
        <v>123.91638795986621</v>
      </c>
      <c r="W247" s="449">
        <v>10586</v>
      </c>
      <c r="X247" s="67">
        <v>13624</v>
      </c>
      <c r="Y247" s="163">
        <v>-3038</v>
      </c>
      <c r="Z247" s="166">
        <v>-0.22298884321785084</v>
      </c>
      <c r="AA247" s="34" t="s">
        <v>621</v>
      </c>
      <c r="AC247" s="67"/>
      <c r="AD247" s="451"/>
      <c r="AE247" s="452"/>
      <c r="AH247" s="36"/>
      <c r="AI247" s="36"/>
      <c r="AJ247" s="36"/>
      <c r="AK247" s="19"/>
    </row>
    <row r="248" spans="1:37">
      <c r="A248" s="64" t="s">
        <v>603</v>
      </c>
      <c r="B248" s="784" t="s">
        <v>454</v>
      </c>
      <c r="C248" s="784" t="s">
        <v>1579</v>
      </c>
      <c r="D248" s="134">
        <v>0</v>
      </c>
      <c r="E248" s="67">
        <v>0</v>
      </c>
      <c r="F248" s="146">
        <v>0</v>
      </c>
      <c r="G248" s="146">
        <v>0</v>
      </c>
      <c r="H248" s="91">
        <v>0</v>
      </c>
      <c r="I248" s="67">
        <v>0</v>
      </c>
      <c r="J248" s="739">
        <v>0</v>
      </c>
      <c r="K248" s="837" t="s">
        <v>644</v>
      </c>
      <c r="L248" s="740">
        <v>0</v>
      </c>
      <c r="M248" s="741">
        <v>0</v>
      </c>
      <c r="N248" s="67">
        <v>0</v>
      </c>
      <c r="O248" s="67">
        <v>0</v>
      </c>
      <c r="Q248" s="674">
        <v>0</v>
      </c>
      <c r="R248" s="674" t="s">
        <v>1730</v>
      </c>
      <c r="S248" s="798" t="s">
        <v>801</v>
      </c>
      <c r="T248" s="798">
        <v>0</v>
      </c>
      <c r="U248" s="88">
        <v>0</v>
      </c>
      <c r="V248" s="71">
        <v>0</v>
      </c>
      <c r="W248" s="449">
        <v>0</v>
      </c>
      <c r="X248" s="67">
        <v>0</v>
      </c>
      <c r="Y248" s="163">
        <v>0</v>
      </c>
      <c r="Z248" s="166">
        <v>0</v>
      </c>
      <c r="AA248" s="34" t="s">
        <v>644</v>
      </c>
      <c r="AC248" s="67"/>
      <c r="AD248" s="451"/>
      <c r="AE248" s="452"/>
      <c r="AH248" s="36"/>
      <c r="AI248" s="36"/>
      <c r="AJ248" s="36"/>
      <c r="AK248" s="19"/>
    </row>
    <row r="249" spans="1:37">
      <c r="A249" s="64" t="s">
        <v>603</v>
      </c>
      <c r="B249" s="784" t="s">
        <v>456</v>
      </c>
      <c r="C249" s="784" t="s">
        <v>1580</v>
      </c>
      <c r="D249" s="134">
        <v>22.71</v>
      </c>
      <c r="E249" s="67">
        <v>2777</v>
      </c>
      <c r="F249" s="146">
        <v>0</v>
      </c>
      <c r="G249" s="146">
        <v>0</v>
      </c>
      <c r="H249" s="91">
        <v>2777</v>
      </c>
      <c r="I249" s="67">
        <v>0</v>
      </c>
      <c r="J249" s="739">
        <v>2777</v>
      </c>
      <c r="K249" s="837" t="s">
        <v>644</v>
      </c>
      <c r="L249" s="740">
        <v>2777</v>
      </c>
      <c r="M249" s="741">
        <v>0</v>
      </c>
      <c r="N249" s="67">
        <v>0</v>
      </c>
      <c r="O249" s="67">
        <v>0</v>
      </c>
      <c r="Q249" s="674">
        <v>0</v>
      </c>
      <c r="R249" s="674" t="s">
        <v>1730</v>
      </c>
      <c r="S249" s="798" t="s">
        <v>801</v>
      </c>
      <c r="T249" s="798">
        <v>0</v>
      </c>
      <c r="U249" s="88">
        <v>0</v>
      </c>
      <c r="V249" s="71">
        <v>0</v>
      </c>
      <c r="W249" s="449">
        <v>0</v>
      </c>
      <c r="X249" s="67">
        <v>0</v>
      </c>
      <c r="Y249" s="163">
        <v>0</v>
      </c>
      <c r="Z249" s="166">
        <v>0</v>
      </c>
      <c r="AA249" s="34" t="s">
        <v>644</v>
      </c>
      <c r="AC249" s="67"/>
      <c r="AD249" s="451"/>
      <c r="AE249" s="452"/>
      <c r="AH249" s="36"/>
      <c r="AI249" s="36"/>
      <c r="AJ249" s="36"/>
      <c r="AK249" s="19"/>
    </row>
    <row r="250" spans="1:37">
      <c r="A250" s="64" t="s">
        <v>603</v>
      </c>
      <c r="B250" s="784" t="s">
        <v>458</v>
      </c>
      <c r="C250" s="784" t="s">
        <v>1581</v>
      </c>
      <c r="D250" s="134">
        <v>0</v>
      </c>
      <c r="E250" s="67">
        <v>0</v>
      </c>
      <c r="F250" s="146">
        <v>0</v>
      </c>
      <c r="G250" s="146">
        <v>0</v>
      </c>
      <c r="H250" s="91">
        <v>0</v>
      </c>
      <c r="I250" s="67">
        <v>0</v>
      </c>
      <c r="J250" s="739">
        <v>0</v>
      </c>
      <c r="K250" s="837" t="s">
        <v>644</v>
      </c>
      <c r="L250" s="740">
        <v>0</v>
      </c>
      <c r="M250" s="741">
        <v>0</v>
      </c>
      <c r="N250" s="67">
        <v>0</v>
      </c>
      <c r="O250" s="67">
        <v>0</v>
      </c>
      <c r="Q250" s="674">
        <v>0</v>
      </c>
      <c r="R250" s="674" t="s">
        <v>1730</v>
      </c>
      <c r="S250" s="798" t="s">
        <v>801</v>
      </c>
      <c r="T250" s="798">
        <v>0</v>
      </c>
      <c r="U250" s="88">
        <v>0</v>
      </c>
      <c r="V250" s="71">
        <v>0</v>
      </c>
      <c r="W250" s="449">
        <v>0</v>
      </c>
      <c r="X250" s="67">
        <v>0</v>
      </c>
      <c r="Y250" s="163">
        <v>0</v>
      </c>
      <c r="Z250" s="166">
        <v>0</v>
      </c>
      <c r="AA250" s="34" t="s">
        <v>644</v>
      </c>
      <c r="AC250" s="67"/>
      <c r="AD250" s="451"/>
      <c r="AE250" s="452"/>
      <c r="AH250" s="36"/>
      <c r="AI250" s="36"/>
      <c r="AJ250" s="36"/>
      <c r="AK250" s="19"/>
    </row>
    <row r="251" spans="1:37">
      <c r="A251" s="64" t="s">
        <v>603</v>
      </c>
      <c r="B251" s="784" t="s">
        <v>460</v>
      </c>
      <c r="C251" s="784" t="s">
        <v>1582</v>
      </c>
      <c r="D251" s="134">
        <v>0</v>
      </c>
      <c r="E251" s="67">
        <v>0</v>
      </c>
      <c r="F251" s="146">
        <v>0</v>
      </c>
      <c r="G251" s="146">
        <v>0</v>
      </c>
      <c r="H251" s="91">
        <v>0</v>
      </c>
      <c r="I251" s="67">
        <v>0</v>
      </c>
      <c r="J251" s="739">
        <v>0</v>
      </c>
      <c r="K251" s="837" t="s">
        <v>644</v>
      </c>
      <c r="L251" s="740">
        <v>0</v>
      </c>
      <c r="M251" s="741">
        <v>0</v>
      </c>
      <c r="N251" s="67">
        <v>0</v>
      </c>
      <c r="O251" s="67">
        <v>0</v>
      </c>
      <c r="Q251" s="674">
        <v>0</v>
      </c>
      <c r="R251" s="674" t="s">
        <v>1730</v>
      </c>
      <c r="S251" s="798" t="s">
        <v>801</v>
      </c>
      <c r="T251" s="798">
        <v>0</v>
      </c>
      <c r="U251" s="88">
        <v>0</v>
      </c>
      <c r="V251" s="71">
        <v>0</v>
      </c>
      <c r="W251" s="449">
        <v>0</v>
      </c>
      <c r="X251" s="67">
        <v>0</v>
      </c>
      <c r="Y251" s="163">
        <v>0</v>
      </c>
      <c r="Z251" s="166">
        <v>0</v>
      </c>
      <c r="AA251" s="34" t="s">
        <v>644</v>
      </c>
      <c r="AC251" s="67"/>
      <c r="AD251" s="451"/>
      <c r="AE251" s="452"/>
      <c r="AH251" s="36"/>
      <c r="AI251" s="36"/>
      <c r="AJ251" s="36"/>
      <c r="AK251" s="19"/>
    </row>
    <row r="252" spans="1:37">
      <c r="A252" s="64" t="s">
        <v>603</v>
      </c>
      <c r="B252" s="784" t="s">
        <v>462</v>
      </c>
      <c r="C252" s="784" t="s">
        <v>1583</v>
      </c>
      <c r="D252" s="134">
        <v>0</v>
      </c>
      <c r="E252" s="67">
        <v>0</v>
      </c>
      <c r="F252" s="146">
        <v>0</v>
      </c>
      <c r="G252" s="146">
        <v>0</v>
      </c>
      <c r="H252" s="91">
        <v>0</v>
      </c>
      <c r="I252" s="67">
        <v>0</v>
      </c>
      <c r="J252" s="739">
        <v>0</v>
      </c>
      <c r="K252" s="837" t="s">
        <v>644</v>
      </c>
      <c r="L252" s="740">
        <v>0</v>
      </c>
      <c r="M252" s="741">
        <v>0</v>
      </c>
      <c r="N252" s="67">
        <v>0</v>
      </c>
      <c r="O252" s="67">
        <v>0</v>
      </c>
      <c r="Q252" s="674">
        <v>0</v>
      </c>
      <c r="R252" s="674" t="s">
        <v>1730</v>
      </c>
      <c r="S252" s="798" t="s">
        <v>801</v>
      </c>
      <c r="T252" s="798">
        <v>0</v>
      </c>
      <c r="U252" s="88">
        <v>0</v>
      </c>
      <c r="V252" s="71">
        <v>0</v>
      </c>
      <c r="W252" s="449">
        <v>0</v>
      </c>
      <c r="X252" s="67">
        <v>0</v>
      </c>
      <c r="Y252" s="163">
        <v>0</v>
      </c>
      <c r="Z252" s="166">
        <v>0</v>
      </c>
      <c r="AA252" s="34" t="s">
        <v>644</v>
      </c>
      <c r="AC252" s="67"/>
      <c r="AD252" s="451"/>
      <c r="AE252" s="452"/>
      <c r="AH252" s="36"/>
      <c r="AI252" s="36"/>
      <c r="AJ252" s="36"/>
      <c r="AK252" s="19"/>
    </row>
    <row r="253" spans="1:37">
      <c r="A253" s="64" t="s">
        <v>603</v>
      </c>
      <c r="B253" s="784" t="s">
        <v>464</v>
      </c>
      <c r="C253" s="784" t="s">
        <v>1584</v>
      </c>
      <c r="D253" s="134">
        <v>0</v>
      </c>
      <c r="E253" s="67">
        <v>0</v>
      </c>
      <c r="F253" s="146">
        <v>0</v>
      </c>
      <c r="G253" s="146">
        <v>0</v>
      </c>
      <c r="H253" s="91">
        <v>0</v>
      </c>
      <c r="I253" s="67">
        <v>0</v>
      </c>
      <c r="J253" s="739">
        <v>0</v>
      </c>
      <c r="K253" s="837" t="s">
        <v>644</v>
      </c>
      <c r="L253" s="740">
        <v>0</v>
      </c>
      <c r="M253" s="741">
        <v>0</v>
      </c>
      <c r="N253" s="67">
        <v>0</v>
      </c>
      <c r="O253" s="67">
        <v>0</v>
      </c>
      <c r="Q253" s="674">
        <v>0</v>
      </c>
      <c r="R253" s="674" t="s">
        <v>1730</v>
      </c>
      <c r="S253" s="798" t="s">
        <v>801</v>
      </c>
      <c r="T253" s="798">
        <v>0</v>
      </c>
      <c r="U253" s="88">
        <v>0</v>
      </c>
      <c r="V253" s="71">
        <v>0</v>
      </c>
      <c r="W253" s="449">
        <v>0</v>
      </c>
      <c r="X253" s="67">
        <v>0</v>
      </c>
      <c r="Y253" s="163">
        <v>0</v>
      </c>
      <c r="Z253" s="166">
        <v>0</v>
      </c>
      <c r="AA253" s="34" t="s">
        <v>644</v>
      </c>
      <c r="AC253" s="67"/>
      <c r="AD253" s="451"/>
      <c r="AE253" s="452"/>
      <c r="AH253" s="36"/>
      <c r="AI253" s="36"/>
      <c r="AJ253" s="36"/>
      <c r="AK253" s="19"/>
    </row>
    <row r="254" spans="1:37">
      <c r="A254" s="64" t="s">
        <v>603</v>
      </c>
      <c r="B254" s="784" t="s">
        <v>466</v>
      </c>
      <c r="C254" s="784" t="s">
        <v>1585</v>
      </c>
      <c r="D254" s="134">
        <v>0</v>
      </c>
      <c r="E254" s="67">
        <v>0</v>
      </c>
      <c r="F254" s="146">
        <v>0</v>
      </c>
      <c r="G254" s="146">
        <v>0</v>
      </c>
      <c r="H254" s="91">
        <v>0</v>
      </c>
      <c r="I254" s="67">
        <v>0</v>
      </c>
      <c r="J254" s="739">
        <v>0</v>
      </c>
      <c r="K254" s="837" t="s">
        <v>644</v>
      </c>
      <c r="L254" s="740">
        <v>0</v>
      </c>
      <c r="M254" s="741">
        <v>0</v>
      </c>
      <c r="N254" s="67">
        <v>0</v>
      </c>
      <c r="O254" s="67">
        <v>0</v>
      </c>
      <c r="Q254" s="674">
        <v>0</v>
      </c>
      <c r="R254" s="674" t="s">
        <v>1730</v>
      </c>
      <c r="S254" s="798" t="s">
        <v>801</v>
      </c>
      <c r="T254" s="798">
        <v>0</v>
      </c>
      <c r="U254" s="88">
        <v>0</v>
      </c>
      <c r="V254" s="71">
        <v>0</v>
      </c>
      <c r="W254" s="449">
        <v>0</v>
      </c>
      <c r="X254" s="67">
        <v>0</v>
      </c>
      <c r="Y254" s="163">
        <v>0</v>
      </c>
      <c r="Z254" s="166">
        <v>0</v>
      </c>
      <c r="AA254" s="34" t="s">
        <v>644</v>
      </c>
      <c r="AC254" s="67"/>
      <c r="AD254" s="451"/>
      <c r="AE254" s="452"/>
      <c r="AH254" s="36"/>
      <c r="AI254" s="36"/>
      <c r="AJ254" s="36"/>
      <c r="AK254" s="19"/>
    </row>
    <row r="255" spans="1:37">
      <c r="A255" s="64" t="s">
        <v>603</v>
      </c>
      <c r="B255" s="784" t="s">
        <v>468</v>
      </c>
      <c r="C255" s="784" t="s">
        <v>1586</v>
      </c>
      <c r="D255" s="134">
        <v>0</v>
      </c>
      <c r="E255" s="67">
        <v>0</v>
      </c>
      <c r="F255" s="146">
        <v>0</v>
      </c>
      <c r="G255" s="146">
        <v>0</v>
      </c>
      <c r="H255" s="91">
        <v>0</v>
      </c>
      <c r="I255" s="67">
        <v>0</v>
      </c>
      <c r="J255" s="739">
        <v>0</v>
      </c>
      <c r="K255" s="837" t="s">
        <v>644</v>
      </c>
      <c r="L255" s="740">
        <v>0</v>
      </c>
      <c r="M255" s="741">
        <v>0</v>
      </c>
      <c r="N255" s="67">
        <v>0</v>
      </c>
      <c r="O255" s="67">
        <v>0</v>
      </c>
      <c r="Q255" s="674">
        <v>0</v>
      </c>
      <c r="R255" s="674" t="s">
        <v>1730</v>
      </c>
      <c r="S255" s="798" t="s">
        <v>801</v>
      </c>
      <c r="T255" s="798">
        <v>0</v>
      </c>
      <c r="U255" s="88">
        <v>0</v>
      </c>
      <c r="V255" s="71">
        <v>0</v>
      </c>
      <c r="W255" s="449">
        <v>0</v>
      </c>
      <c r="X255" s="67">
        <v>0</v>
      </c>
      <c r="Y255" s="163">
        <v>0</v>
      </c>
      <c r="Z255" s="166">
        <v>0</v>
      </c>
      <c r="AA255" s="34" t="s">
        <v>644</v>
      </c>
      <c r="AC255" s="67"/>
      <c r="AD255" s="451"/>
      <c r="AE255" s="452"/>
      <c r="AH255" s="36"/>
      <c r="AI255" s="36"/>
      <c r="AJ255" s="36"/>
      <c r="AK255" s="19"/>
    </row>
    <row r="256" spans="1:37">
      <c r="A256" s="64" t="s">
        <v>603</v>
      </c>
      <c r="B256" s="784" t="s">
        <v>470</v>
      </c>
      <c r="C256" s="784" t="s">
        <v>1587</v>
      </c>
      <c r="D256" s="134">
        <v>0</v>
      </c>
      <c r="E256" s="67">
        <v>0</v>
      </c>
      <c r="F256" s="146">
        <v>0</v>
      </c>
      <c r="G256" s="146">
        <v>0</v>
      </c>
      <c r="H256" s="91">
        <v>0</v>
      </c>
      <c r="I256" s="67">
        <v>0</v>
      </c>
      <c r="J256" s="739">
        <v>0</v>
      </c>
      <c r="K256" s="837" t="s">
        <v>644</v>
      </c>
      <c r="L256" s="740">
        <v>0</v>
      </c>
      <c r="M256" s="741">
        <v>0</v>
      </c>
      <c r="N256" s="67">
        <v>0</v>
      </c>
      <c r="O256" s="67">
        <v>0</v>
      </c>
      <c r="Q256" s="674">
        <v>0</v>
      </c>
      <c r="R256" s="674" t="s">
        <v>1730</v>
      </c>
      <c r="S256" s="798" t="s">
        <v>801</v>
      </c>
      <c r="T256" s="798">
        <v>0</v>
      </c>
      <c r="U256" s="88">
        <v>0</v>
      </c>
      <c r="V256" s="71">
        <v>0</v>
      </c>
      <c r="W256" s="449">
        <v>0</v>
      </c>
      <c r="X256" s="67">
        <v>0</v>
      </c>
      <c r="Y256" s="163">
        <v>0</v>
      </c>
      <c r="Z256" s="166">
        <v>0</v>
      </c>
      <c r="AA256" s="34" t="s">
        <v>644</v>
      </c>
      <c r="AC256" s="67"/>
      <c r="AD256" s="451"/>
      <c r="AE256" s="452"/>
      <c r="AH256" s="36"/>
      <c r="AI256" s="36"/>
      <c r="AJ256" s="36"/>
      <c r="AK256" s="19"/>
    </row>
    <row r="257" spans="1:37">
      <c r="A257" s="64" t="s">
        <v>594</v>
      </c>
      <c r="B257" s="784" t="s">
        <v>472</v>
      </c>
      <c r="C257" s="784" t="s">
        <v>1588</v>
      </c>
      <c r="D257" s="134">
        <v>153.14000000000001</v>
      </c>
      <c r="E257" s="67">
        <v>18728</v>
      </c>
      <c r="F257" s="146">
        <v>0</v>
      </c>
      <c r="G257" s="146">
        <v>0</v>
      </c>
      <c r="H257" s="91">
        <v>18728</v>
      </c>
      <c r="I257" s="67">
        <v>0</v>
      </c>
      <c r="J257" s="739">
        <v>18728</v>
      </c>
      <c r="K257" s="837" t="s">
        <v>644</v>
      </c>
      <c r="L257" s="740">
        <v>18728</v>
      </c>
      <c r="M257" s="741">
        <v>0</v>
      </c>
      <c r="N257" s="67">
        <v>0</v>
      </c>
      <c r="O257" s="67">
        <v>0</v>
      </c>
      <c r="Q257" s="674">
        <v>0</v>
      </c>
      <c r="R257" s="674" t="s">
        <v>1730</v>
      </c>
      <c r="S257" s="798" t="s">
        <v>801</v>
      </c>
      <c r="T257" s="798">
        <v>0</v>
      </c>
      <c r="U257" s="88">
        <v>0</v>
      </c>
      <c r="V257" s="71">
        <v>0</v>
      </c>
      <c r="W257" s="449">
        <v>0</v>
      </c>
      <c r="X257" s="67">
        <v>0</v>
      </c>
      <c r="Y257" s="163">
        <v>0</v>
      </c>
      <c r="Z257" s="166">
        <v>0</v>
      </c>
      <c r="AA257" s="34" t="s">
        <v>644</v>
      </c>
      <c r="AC257" s="67"/>
      <c r="AD257" s="451"/>
      <c r="AE257" s="452"/>
      <c r="AH257" s="36"/>
      <c r="AI257" s="36"/>
      <c r="AJ257" s="36"/>
      <c r="AK257" s="19"/>
    </row>
    <row r="258" spans="1:37">
      <c r="A258" s="64" t="s">
        <v>594</v>
      </c>
      <c r="B258" s="784" t="s">
        <v>474</v>
      </c>
      <c r="C258" s="784" t="s">
        <v>631</v>
      </c>
      <c r="D258" s="134">
        <v>813.42714285714283</v>
      </c>
      <c r="E258" s="67">
        <v>99474</v>
      </c>
      <c r="F258" s="146">
        <v>0</v>
      </c>
      <c r="G258" s="146">
        <v>0</v>
      </c>
      <c r="H258" s="91">
        <v>99474</v>
      </c>
      <c r="I258" s="67">
        <v>0</v>
      </c>
      <c r="J258" s="739">
        <v>99474</v>
      </c>
      <c r="K258" s="837" t="s">
        <v>621</v>
      </c>
      <c r="L258" s="740">
        <v>0</v>
      </c>
      <c r="M258" s="741">
        <v>813.42714285714283</v>
      </c>
      <c r="N258" s="67">
        <v>1326</v>
      </c>
      <c r="O258" s="67">
        <v>100800</v>
      </c>
      <c r="Q258" s="674">
        <v>0</v>
      </c>
      <c r="R258" s="674" t="s">
        <v>1730</v>
      </c>
      <c r="S258" s="798" t="s">
        <v>801</v>
      </c>
      <c r="T258" s="798">
        <v>0</v>
      </c>
      <c r="U258" s="88">
        <v>100800</v>
      </c>
      <c r="V258" s="71">
        <v>123.92013333356751</v>
      </c>
      <c r="W258" s="449">
        <v>100800</v>
      </c>
      <c r="X258" s="67">
        <v>95518</v>
      </c>
      <c r="Y258" s="163">
        <v>5282</v>
      </c>
      <c r="Z258" s="166">
        <v>5.5298477773822734E-2</v>
      </c>
      <c r="AA258" s="34" t="s">
        <v>621</v>
      </c>
      <c r="AC258" s="67"/>
      <c r="AD258" s="451"/>
      <c r="AE258" s="452"/>
      <c r="AH258" s="36"/>
      <c r="AI258" s="36"/>
      <c r="AJ258" s="36"/>
      <c r="AK258" s="19"/>
    </row>
    <row r="259" spans="1:37">
      <c r="A259" s="64" t="s">
        <v>594</v>
      </c>
      <c r="B259" s="784" t="s">
        <v>476</v>
      </c>
      <c r="C259" s="784" t="s">
        <v>1589</v>
      </c>
      <c r="D259" s="134">
        <v>125.28</v>
      </c>
      <c r="E259" s="67">
        <v>15321</v>
      </c>
      <c r="F259" s="146">
        <v>0</v>
      </c>
      <c r="G259" s="146">
        <v>0</v>
      </c>
      <c r="H259" s="91">
        <v>15321</v>
      </c>
      <c r="I259" s="67">
        <v>0</v>
      </c>
      <c r="J259" s="739">
        <v>15321</v>
      </c>
      <c r="K259" s="837" t="s">
        <v>621</v>
      </c>
      <c r="L259" s="740">
        <v>0</v>
      </c>
      <c r="M259" s="741">
        <v>125.28</v>
      </c>
      <c r="N259" s="67">
        <v>204</v>
      </c>
      <c r="O259" s="67">
        <v>15525</v>
      </c>
      <c r="Q259" s="674">
        <v>0</v>
      </c>
      <c r="R259" s="674" t="s">
        <v>1730</v>
      </c>
      <c r="S259" s="798" t="s">
        <v>801</v>
      </c>
      <c r="T259" s="798">
        <v>0</v>
      </c>
      <c r="U259" s="88">
        <v>15525</v>
      </c>
      <c r="V259" s="71">
        <v>123.92241379310344</v>
      </c>
      <c r="W259" s="449">
        <v>15525</v>
      </c>
      <c r="X259" s="67">
        <v>17130</v>
      </c>
      <c r="Y259" s="163">
        <v>-1605</v>
      </c>
      <c r="Z259" s="166">
        <v>-9.369527145359019E-2</v>
      </c>
      <c r="AA259" s="34" t="s">
        <v>621</v>
      </c>
      <c r="AC259" s="67"/>
      <c r="AD259" s="451"/>
      <c r="AE259" s="452"/>
      <c r="AH259" s="36"/>
      <c r="AI259" s="36"/>
      <c r="AJ259" s="36"/>
      <c r="AK259" s="19"/>
    </row>
    <row r="260" spans="1:37">
      <c r="A260" s="64" t="s">
        <v>594</v>
      </c>
      <c r="B260" s="784" t="s">
        <v>478</v>
      </c>
      <c r="C260" s="784" t="s">
        <v>1590</v>
      </c>
      <c r="D260" s="134">
        <v>310.9942857142857</v>
      </c>
      <c r="E260" s="67">
        <v>38032</v>
      </c>
      <c r="F260" s="146">
        <v>0</v>
      </c>
      <c r="G260" s="146">
        <v>0</v>
      </c>
      <c r="H260" s="91">
        <v>38032</v>
      </c>
      <c r="I260" s="67">
        <v>0</v>
      </c>
      <c r="J260" s="739">
        <v>38032</v>
      </c>
      <c r="K260" s="837" t="s">
        <v>621</v>
      </c>
      <c r="L260" s="740">
        <v>0</v>
      </c>
      <c r="M260" s="741">
        <v>310.9942857142857</v>
      </c>
      <c r="N260" s="67">
        <v>507</v>
      </c>
      <c r="O260" s="67">
        <v>38539</v>
      </c>
      <c r="Q260" s="674">
        <v>0</v>
      </c>
      <c r="R260" s="674" t="s">
        <v>1730</v>
      </c>
      <c r="S260" s="798" t="s">
        <v>801</v>
      </c>
      <c r="T260" s="798">
        <v>0</v>
      </c>
      <c r="U260" s="88">
        <v>38539</v>
      </c>
      <c r="V260" s="71">
        <v>123.92189107746583</v>
      </c>
      <c r="W260" s="449">
        <v>38539</v>
      </c>
      <c r="X260" s="67">
        <v>29873</v>
      </c>
      <c r="Y260" s="163">
        <v>8666</v>
      </c>
      <c r="Z260" s="166">
        <v>0.29009473437552302</v>
      </c>
      <c r="AA260" s="34" t="s">
        <v>621</v>
      </c>
      <c r="AC260" s="67"/>
      <c r="AD260" s="451"/>
      <c r="AE260" s="452"/>
      <c r="AH260" s="36"/>
      <c r="AI260" s="36"/>
      <c r="AJ260" s="36"/>
      <c r="AK260" s="19"/>
    </row>
    <row r="261" spans="1:37">
      <c r="A261" s="64" t="s">
        <v>594</v>
      </c>
      <c r="B261" s="784" t="s">
        <v>480</v>
      </c>
      <c r="C261" s="784" t="s">
        <v>1591</v>
      </c>
      <c r="D261" s="134">
        <v>0</v>
      </c>
      <c r="E261" s="67">
        <v>0</v>
      </c>
      <c r="F261" s="146">
        <v>0</v>
      </c>
      <c r="G261" s="146">
        <v>0</v>
      </c>
      <c r="H261" s="91">
        <v>0</v>
      </c>
      <c r="I261" s="67">
        <v>0</v>
      </c>
      <c r="J261" s="739">
        <v>0</v>
      </c>
      <c r="K261" s="837" t="s">
        <v>644</v>
      </c>
      <c r="L261" s="740">
        <v>0</v>
      </c>
      <c r="M261" s="741">
        <v>0</v>
      </c>
      <c r="N261" s="67">
        <v>0</v>
      </c>
      <c r="O261" s="67">
        <v>0</v>
      </c>
      <c r="Q261" s="674">
        <v>0</v>
      </c>
      <c r="R261" s="674" t="s">
        <v>1730</v>
      </c>
      <c r="S261" s="798" t="s">
        <v>801</v>
      </c>
      <c r="T261" s="798">
        <v>0</v>
      </c>
      <c r="U261" s="88">
        <v>0</v>
      </c>
      <c r="V261" s="71">
        <v>0</v>
      </c>
      <c r="W261" s="449">
        <v>0</v>
      </c>
      <c r="X261" s="67">
        <v>0</v>
      </c>
      <c r="Y261" s="163">
        <v>0</v>
      </c>
      <c r="Z261" s="166">
        <v>0</v>
      </c>
      <c r="AA261" s="34" t="s">
        <v>644</v>
      </c>
      <c r="AC261" s="67"/>
      <c r="AD261" s="451"/>
      <c r="AE261" s="452"/>
      <c r="AH261" s="36"/>
      <c r="AI261" s="36"/>
      <c r="AJ261" s="36"/>
      <c r="AK261" s="19"/>
    </row>
    <row r="262" spans="1:37">
      <c r="A262" s="64" t="s">
        <v>594</v>
      </c>
      <c r="B262" s="784" t="s">
        <v>482</v>
      </c>
      <c r="C262" s="784" t="s">
        <v>1592</v>
      </c>
      <c r="D262" s="134">
        <v>5</v>
      </c>
      <c r="E262" s="67">
        <v>611</v>
      </c>
      <c r="F262" s="146">
        <v>0</v>
      </c>
      <c r="G262" s="146">
        <v>0</v>
      </c>
      <c r="H262" s="91">
        <v>611</v>
      </c>
      <c r="I262" s="67">
        <v>0</v>
      </c>
      <c r="J262" s="739">
        <v>611</v>
      </c>
      <c r="K262" s="837" t="s">
        <v>644</v>
      </c>
      <c r="L262" s="740">
        <v>611</v>
      </c>
      <c r="M262" s="741">
        <v>0</v>
      </c>
      <c r="N262" s="67">
        <v>0</v>
      </c>
      <c r="O262" s="67">
        <v>0</v>
      </c>
      <c r="Q262" s="674">
        <v>0</v>
      </c>
      <c r="R262" s="674" t="s">
        <v>1730</v>
      </c>
      <c r="S262" s="798" t="s">
        <v>801</v>
      </c>
      <c r="T262" s="798">
        <v>0</v>
      </c>
      <c r="U262" s="88">
        <v>0</v>
      </c>
      <c r="V262" s="71">
        <v>0</v>
      </c>
      <c r="W262" s="449">
        <v>0</v>
      </c>
      <c r="X262" s="67">
        <v>0</v>
      </c>
      <c r="Y262" s="163">
        <v>0</v>
      </c>
      <c r="Z262" s="166">
        <v>0</v>
      </c>
      <c r="AA262" s="34" t="s">
        <v>644</v>
      </c>
      <c r="AC262" s="67"/>
      <c r="AD262" s="451"/>
      <c r="AE262" s="452"/>
      <c r="AH262" s="36"/>
      <c r="AI262" s="36"/>
      <c r="AJ262" s="36"/>
      <c r="AK262" s="19"/>
    </row>
    <row r="263" spans="1:37">
      <c r="A263" s="64" t="s">
        <v>594</v>
      </c>
      <c r="B263" s="784" t="s">
        <v>484</v>
      </c>
      <c r="C263" s="784" t="s">
        <v>1593</v>
      </c>
      <c r="D263" s="134">
        <v>209.28285714285713</v>
      </c>
      <c r="E263" s="67">
        <v>25593</v>
      </c>
      <c r="F263" s="146">
        <v>0</v>
      </c>
      <c r="G263" s="146">
        <v>0</v>
      </c>
      <c r="H263" s="91">
        <v>25593</v>
      </c>
      <c r="I263" s="67">
        <v>0</v>
      </c>
      <c r="J263" s="739">
        <v>25593</v>
      </c>
      <c r="K263" s="837" t="s">
        <v>1306</v>
      </c>
      <c r="L263" s="740">
        <v>0</v>
      </c>
      <c r="M263" s="741">
        <v>209.28285714285713</v>
      </c>
      <c r="N263" s="67">
        <v>341</v>
      </c>
      <c r="O263" s="67">
        <v>25934</v>
      </c>
      <c r="Q263" s="674">
        <v>0</v>
      </c>
      <c r="R263" s="674" t="s">
        <v>1730</v>
      </c>
      <c r="S263" s="798" t="s">
        <v>801</v>
      </c>
      <c r="T263" s="798">
        <v>0</v>
      </c>
      <c r="U263" s="88">
        <v>25934</v>
      </c>
      <c r="V263" s="71">
        <v>123.91841526846784</v>
      </c>
      <c r="W263" s="449">
        <v>25934</v>
      </c>
      <c r="X263" s="67">
        <v>20235</v>
      </c>
      <c r="Y263" s="163">
        <v>5699</v>
      </c>
      <c r="Z263" s="166">
        <v>0.28164072152211517</v>
      </c>
      <c r="AA263" s="34" t="s">
        <v>1306</v>
      </c>
      <c r="AC263" s="67"/>
      <c r="AD263" s="451"/>
      <c r="AE263" s="452"/>
      <c r="AH263" s="36"/>
      <c r="AI263" s="36"/>
      <c r="AJ263" s="36"/>
      <c r="AK263" s="19"/>
    </row>
    <row r="264" spans="1:37">
      <c r="A264" s="64" t="s">
        <v>594</v>
      </c>
      <c r="B264" s="784" t="s">
        <v>486</v>
      </c>
      <c r="C264" s="784" t="s">
        <v>1594</v>
      </c>
      <c r="D264" s="134">
        <v>16.28</v>
      </c>
      <c r="E264" s="67">
        <v>1991</v>
      </c>
      <c r="F264" s="146">
        <v>0</v>
      </c>
      <c r="G264" s="146">
        <v>0</v>
      </c>
      <c r="H264" s="91">
        <v>1991</v>
      </c>
      <c r="I264" s="67">
        <v>0</v>
      </c>
      <c r="J264" s="739">
        <v>1991</v>
      </c>
      <c r="K264" s="837" t="s">
        <v>644</v>
      </c>
      <c r="L264" s="740">
        <v>1991</v>
      </c>
      <c r="M264" s="741">
        <v>0</v>
      </c>
      <c r="N264" s="67">
        <v>0</v>
      </c>
      <c r="O264" s="67">
        <v>0</v>
      </c>
      <c r="Q264" s="674">
        <v>0</v>
      </c>
      <c r="R264" s="674" t="s">
        <v>1730</v>
      </c>
      <c r="S264" s="798" t="s">
        <v>801</v>
      </c>
      <c r="T264" s="798">
        <v>0</v>
      </c>
      <c r="U264" s="88">
        <v>0</v>
      </c>
      <c r="V264" s="71">
        <v>0</v>
      </c>
      <c r="W264" s="449">
        <v>0</v>
      </c>
      <c r="X264" s="67">
        <v>1036</v>
      </c>
      <c r="Y264" s="163">
        <v>-1036</v>
      </c>
      <c r="Z264" s="166">
        <v>-1</v>
      </c>
      <c r="AA264" s="34" t="s">
        <v>644</v>
      </c>
      <c r="AC264" s="67"/>
      <c r="AD264" s="451"/>
      <c r="AE264" s="452"/>
      <c r="AH264" s="36"/>
      <c r="AI264" s="36"/>
      <c r="AJ264" s="36"/>
      <c r="AK264" s="19"/>
    </row>
    <row r="265" spans="1:37">
      <c r="A265" s="64" t="s">
        <v>594</v>
      </c>
      <c r="B265" s="784" t="s">
        <v>678</v>
      </c>
      <c r="C265" s="784" t="s">
        <v>679</v>
      </c>
      <c r="D265" s="134">
        <v>0</v>
      </c>
      <c r="E265" s="67">
        <v>0</v>
      </c>
      <c r="F265" s="146">
        <v>0</v>
      </c>
      <c r="G265" s="146">
        <v>0</v>
      </c>
      <c r="H265" s="91">
        <v>0</v>
      </c>
      <c r="I265" s="67">
        <v>0</v>
      </c>
      <c r="J265" s="739">
        <v>0</v>
      </c>
      <c r="K265" s="837" t="s">
        <v>644</v>
      </c>
      <c r="L265" s="740">
        <v>0</v>
      </c>
      <c r="M265" s="741">
        <v>0</v>
      </c>
      <c r="N265" s="67">
        <v>0</v>
      </c>
      <c r="O265" s="67">
        <v>0</v>
      </c>
      <c r="Q265" s="674">
        <v>0</v>
      </c>
      <c r="R265" s="674" t="s">
        <v>1730</v>
      </c>
      <c r="S265" s="798" t="s">
        <v>801</v>
      </c>
      <c r="T265" s="798">
        <v>0</v>
      </c>
      <c r="U265" s="88">
        <v>0</v>
      </c>
      <c r="V265" s="71">
        <v>0</v>
      </c>
      <c r="W265" s="449">
        <v>0</v>
      </c>
      <c r="X265" s="67">
        <v>0</v>
      </c>
      <c r="Y265" s="163">
        <v>0</v>
      </c>
      <c r="Z265" s="166">
        <v>0</v>
      </c>
      <c r="AA265" s="34" t="s">
        <v>644</v>
      </c>
      <c r="AC265" s="67"/>
      <c r="AD265" s="451"/>
      <c r="AE265" s="452"/>
      <c r="AH265" s="36"/>
      <c r="AI265" s="36"/>
      <c r="AJ265" s="36"/>
      <c r="AK265" s="19"/>
    </row>
    <row r="266" spans="1:37">
      <c r="A266" s="64" t="s">
        <v>599</v>
      </c>
      <c r="B266" s="784" t="s">
        <v>488</v>
      </c>
      <c r="C266" s="784" t="s">
        <v>1595</v>
      </c>
      <c r="D266" s="134">
        <v>19.29</v>
      </c>
      <c r="E266" s="67">
        <v>2359</v>
      </c>
      <c r="F266" s="146">
        <v>0</v>
      </c>
      <c r="G266" s="146">
        <v>0</v>
      </c>
      <c r="H266" s="91">
        <v>2359</v>
      </c>
      <c r="I266" s="67">
        <v>0</v>
      </c>
      <c r="J266" s="739">
        <v>2359</v>
      </c>
      <c r="K266" s="837" t="s">
        <v>644</v>
      </c>
      <c r="L266" s="740">
        <v>2359</v>
      </c>
      <c r="M266" s="741">
        <v>0</v>
      </c>
      <c r="N266" s="67">
        <v>0</v>
      </c>
      <c r="O266" s="67">
        <v>0</v>
      </c>
      <c r="Q266" s="674">
        <v>0</v>
      </c>
      <c r="R266" s="674" t="s">
        <v>1730</v>
      </c>
      <c r="S266" s="798" t="s">
        <v>801</v>
      </c>
      <c r="T266" s="798">
        <v>0</v>
      </c>
      <c r="U266" s="88">
        <v>0</v>
      </c>
      <c r="V266" s="71">
        <v>0</v>
      </c>
      <c r="W266" s="449">
        <v>0</v>
      </c>
      <c r="X266" s="67">
        <v>0</v>
      </c>
      <c r="Y266" s="163">
        <v>0</v>
      </c>
      <c r="Z266" s="166">
        <v>0</v>
      </c>
      <c r="AA266" s="34" t="s">
        <v>644</v>
      </c>
      <c r="AC266" s="67"/>
      <c r="AD266" s="451"/>
      <c r="AE266" s="452"/>
      <c r="AH266" s="36"/>
      <c r="AI266" s="36"/>
      <c r="AJ266" s="36"/>
      <c r="AK266" s="19"/>
    </row>
    <row r="267" spans="1:37">
      <c r="A267" s="64" t="s">
        <v>596</v>
      </c>
      <c r="B267" s="784" t="s">
        <v>490</v>
      </c>
      <c r="C267" s="784" t="s">
        <v>1596</v>
      </c>
      <c r="D267" s="134">
        <v>0</v>
      </c>
      <c r="E267" s="67">
        <v>0</v>
      </c>
      <c r="F267" s="146">
        <v>0</v>
      </c>
      <c r="G267" s="146">
        <v>0</v>
      </c>
      <c r="H267" s="91">
        <v>0</v>
      </c>
      <c r="I267" s="67">
        <v>0</v>
      </c>
      <c r="J267" s="739">
        <v>0</v>
      </c>
      <c r="K267" s="837" t="s">
        <v>644</v>
      </c>
      <c r="L267" s="740">
        <v>0</v>
      </c>
      <c r="M267" s="741">
        <v>0</v>
      </c>
      <c r="N267" s="67">
        <v>0</v>
      </c>
      <c r="O267" s="67">
        <v>0</v>
      </c>
      <c r="Q267" s="674">
        <v>0</v>
      </c>
      <c r="R267" s="674" t="s">
        <v>1730</v>
      </c>
      <c r="S267" s="798" t="s">
        <v>801</v>
      </c>
      <c r="T267" s="798">
        <v>0</v>
      </c>
      <c r="U267" s="88">
        <v>0</v>
      </c>
      <c r="V267" s="71">
        <v>0</v>
      </c>
      <c r="W267" s="449">
        <v>0</v>
      </c>
      <c r="X267" s="67">
        <v>0</v>
      </c>
      <c r="Y267" s="163">
        <v>0</v>
      </c>
      <c r="Z267" s="166">
        <v>0</v>
      </c>
      <c r="AA267" s="34" t="s">
        <v>644</v>
      </c>
      <c r="AC267" s="67"/>
      <c r="AD267" s="451"/>
      <c r="AE267" s="452"/>
      <c r="AH267" s="36"/>
      <c r="AI267" s="36"/>
      <c r="AJ267" s="36"/>
      <c r="AK267" s="19"/>
    </row>
    <row r="268" spans="1:37">
      <c r="A268" s="64" t="s">
        <v>596</v>
      </c>
      <c r="B268" s="784" t="s">
        <v>492</v>
      </c>
      <c r="C268" s="784" t="s">
        <v>641</v>
      </c>
      <c r="D268" s="134">
        <v>772.1400000000001</v>
      </c>
      <c r="E268" s="67">
        <v>94425</v>
      </c>
      <c r="F268" s="146">
        <v>0</v>
      </c>
      <c r="G268" s="146">
        <v>0</v>
      </c>
      <c r="H268" s="91">
        <v>94425</v>
      </c>
      <c r="I268" s="67">
        <v>0</v>
      </c>
      <c r="J268" s="739">
        <v>94425</v>
      </c>
      <c r="K268" s="837" t="s">
        <v>621</v>
      </c>
      <c r="L268" s="740">
        <v>0</v>
      </c>
      <c r="M268" s="741">
        <v>772.1400000000001</v>
      </c>
      <c r="N268" s="67">
        <v>1259</v>
      </c>
      <c r="O268" s="67">
        <v>95684</v>
      </c>
      <c r="Q268" s="674">
        <v>0</v>
      </c>
      <c r="R268" s="674" t="s">
        <v>1730</v>
      </c>
      <c r="S268" s="798" t="s">
        <v>801</v>
      </c>
      <c r="T268" s="798">
        <v>0</v>
      </c>
      <c r="U268" s="88">
        <v>95684</v>
      </c>
      <c r="V268" s="71">
        <v>123.92053254591134</v>
      </c>
      <c r="W268" s="449">
        <v>95684</v>
      </c>
      <c r="X268" s="67">
        <v>90112</v>
      </c>
      <c r="Y268" s="163">
        <v>5572</v>
      </c>
      <c r="Z268" s="166">
        <v>6.1834161931818184E-2</v>
      </c>
      <c r="AA268" s="34" t="s">
        <v>621</v>
      </c>
      <c r="AC268" s="67"/>
      <c r="AD268" s="451"/>
      <c r="AE268" s="452"/>
      <c r="AH268" s="36"/>
      <c r="AI268" s="36"/>
      <c r="AJ268" s="36"/>
      <c r="AK268" s="19"/>
    </row>
    <row r="269" spans="1:37">
      <c r="A269" s="64" t="s">
        <v>596</v>
      </c>
      <c r="B269" s="784" t="s">
        <v>494</v>
      </c>
      <c r="C269" s="784" t="s">
        <v>1597</v>
      </c>
      <c r="D269" s="134">
        <v>268</v>
      </c>
      <c r="E269" s="67">
        <v>32774</v>
      </c>
      <c r="F269" s="146">
        <v>0</v>
      </c>
      <c r="G269" s="146">
        <v>0</v>
      </c>
      <c r="H269" s="91">
        <v>32774</v>
      </c>
      <c r="I269" s="67">
        <v>0</v>
      </c>
      <c r="J269" s="739">
        <v>32774</v>
      </c>
      <c r="K269" s="837" t="s">
        <v>621</v>
      </c>
      <c r="L269" s="740">
        <v>0</v>
      </c>
      <c r="M269" s="741">
        <v>268</v>
      </c>
      <c r="N269" s="67">
        <v>437</v>
      </c>
      <c r="O269" s="67">
        <v>33211</v>
      </c>
      <c r="Q269" s="674">
        <v>0</v>
      </c>
      <c r="R269" s="674" t="s">
        <v>1730</v>
      </c>
      <c r="S269" s="798" t="s">
        <v>801</v>
      </c>
      <c r="T269" s="798">
        <v>0</v>
      </c>
      <c r="U269" s="88">
        <v>33211</v>
      </c>
      <c r="V269" s="71">
        <v>123.92164179104478</v>
      </c>
      <c r="W269" s="449">
        <v>33211</v>
      </c>
      <c r="X269" s="67">
        <v>34691</v>
      </c>
      <c r="Y269" s="163">
        <v>-1480</v>
      </c>
      <c r="Z269" s="166">
        <v>-4.2662361995906721E-2</v>
      </c>
      <c r="AA269" s="34" t="s">
        <v>621</v>
      </c>
      <c r="AC269" s="67"/>
      <c r="AD269" s="451"/>
      <c r="AE269" s="452"/>
      <c r="AH269" s="36"/>
      <c r="AI269" s="36"/>
      <c r="AJ269" s="36"/>
      <c r="AK269" s="19"/>
    </row>
    <row r="270" spans="1:37">
      <c r="A270" s="64" t="s">
        <v>596</v>
      </c>
      <c r="B270" s="784" t="s">
        <v>496</v>
      </c>
      <c r="C270" s="784" t="s">
        <v>1598</v>
      </c>
      <c r="D270" s="134">
        <v>36.43</v>
      </c>
      <c r="E270" s="67">
        <v>4455</v>
      </c>
      <c r="F270" s="146">
        <v>0</v>
      </c>
      <c r="G270" s="146">
        <v>0</v>
      </c>
      <c r="H270" s="91">
        <v>4455</v>
      </c>
      <c r="I270" s="67">
        <v>0</v>
      </c>
      <c r="J270" s="739">
        <v>4455</v>
      </c>
      <c r="K270" s="837" t="s">
        <v>644</v>
      </c>
      <c r="L270" s="740">
        <v>4455</v>
      </c>
      <c r="M270" s="741">
        <v>0</v>
      </c>
      <c r="N270" s="67">
        <v>0</v>
      </c>
      <c r="O270" s="67">
        <v>0</v>
      </c>
      <c r="Q270" s="674">
        <v>0</v>
      </c>
      <c r="R270" s="674" t="s">
        <v>1730</v>
      </c>
      <c r="S270" s="798" t="s">
        <v>801</v>
      </c>
      <c r="T270" s="798">
        <v>0</v>
      </c>
      <c r="U270" s="88">
        <v>0</v>
      </c>
      <c r="V270" s="71">
        <v>0</v>
      </c>
      <c r="W270" s="449">
        <v>0</v>
      </c>
      <c r="X270" s="67">
        <v>0</v>
      </c>
      <c r="Y270" s="163">
        <v>0</v>
      </c>
      <c r="Z270" s="166">
        <v>0</v>
      </c>
      <c r="AA270" s="34" t="s">
        <v>644</v>
      </c>
      <c r="AC270" s="67"/>
      <c r="AD270" s="451"/>
      <c r="AE270" s="452"/>
      <c r="AH270" s="36"/>
      <c r="AI270" s="36"/>
      <c r="AJ270" s="36"/>
      <c r="AK270" s="19"/>
    </row>
    <row r="271" spans="1:37">
      <c r="A271" s="64" t="s">
        <v>596</v>
      </c>
      <c r="B271" s="784" t="s">
        <v>498</v>
      </c>
      <c r="C271" s="784" t="s">
        <v>1599</v>
      </c>
      <c r="D271" s="134">
        <v>128.43</v>
      </c>
      <c r="E271" s="67">
        <v>15706</v>
      </c>
      <c r="F271" s="146">
        <v>0</v>
      </c>
      <c r="G271" s="146">
        <v>0</v>
      </c>
      <c r="H271" s="91">
        <v>15706</v>
      </c>
      <c r="I271" s="67">
        <v>0</v>
      </c>
      <c r="J271" s="739">
        <v>15706</v>
      </c>
      <c r="K271" s="837" t="s">
        <v>621</v>
      </c>
      <c r="L271" s="740">
        <v>0</v>
      </c>
      <c r="M271" s="741">
        <v>128.43</v>
      </c>
      <c r="N271" s="67">
        <v>209</v>
      </c>
      <c r="O271" s="67">
        <v>15915</v>
      </c>
      <c r="Q271" s="674">
        <v>0</v>
      </c>
      <c r="R271" s="674" t="s">
        <v>1730</v>
      </c>
      <c r="S271" s="798" t="s">
        <v>801</v>
      </c>
      <c r="T271" s="798">
        <v>0</v>
      </c>
      <c r="U271" s="88">
        <v>15915</v>
      </c>
      <c r="V271" s="71">
        <v>123.91964494277038</v>
      </c>
      <c r="W271" s="449">
        <v>15915</v>
      </c>
      <c r="X271" s="67">
        <v>14845</v>
      </c>
      <c r="Y271" s="163">
        <v>1070</v>
      </c>
      <c r="Z271" s="166">
        <v>7.207814078814416E-2</v>
      </c>
      <c r="AA271" s="34" t="s">
        <v>621</v>
      </c>
      <c r="AC271" s="67"/>
      <c r="AD271" s="451"/>
      <c r="AE271" s="452"/>
      <c r="AH271" s="36"/>
      <c r="AI271" s="36"/>
      <c r="AJ271" s="36"/>
      <c r="AK271" s="19"/>
    </row>
    <row r="272" spans="1:37">
      <c r="A272" s="64" t="s">
        <v>596</v>
      </c>
      <c r="B272" s="784" t="s">
        <v>500</v>
      </c>
      <c r="C272" s="784" t="s">
        <v>1600</v>
      </c>
      <c r="D272" s="134">
        <v>9</v>
      </c>
      <c r="E272" s="67">
        <v>1101</v>
      </c>
      <c r="F272" s="146">
        <v>0</v>
      </c>
      <c r="G272" s="146">
        <v>0</v>
      </c>
      <c r="H272" s="91">
        <v>1101</v>
      </c>
      <c r="I272" s="67">
        <v>0</v>
      </c>
      <c r="J272" s="739">
        <v>1101</v>
      </c>
      <c r="K272" s="837" t="s">
        <v>644</v>
      </c>
      <c r="L272" s="740">
        <v>1101</v>
      </c>
      <c r="M272" s="741">
        <v>0</v>
      </c>
      <c r="N272" s="67">
        <v>0</v>
      </c>
      <c r="O272" s="67">
        <v>0</v>
      </c>
      <c r="Q272" s="674">
        <v>0</v>
      </c>
      <c r="R272" s="674" t="s">
        <v>1730</v>
      </c>
      <c r="S272" s="798" t="s">
        <v>801</v>
      </c>
      <c r="T272" s="798">
        <v>0</v>
      </c>
      <c r="U272" s="88">
        <v>0</v>
      </c>
      <c r="V272" s="71">
        <v>0</v>
      </c>
      <c r="W272" s="449">
        <v>0</v>
      </c>
      <c r="X272" s="67">
        <v>0</v>
      </c>
      <c r="Y272" s="163">
        <v>0</v>
      </c>
      <c r="Z272" s="166">
        <v>0</v>
      </c>
      <c r="AA272" s="34" t="s">
        <v>644</v>
      </c>
      <c r="AC272" s="67"/>
      <c r="AD272" s="451"/>
      <c r="AE272" s="452"/>
      <c r="AH272" s="36"/>
      <c r="AI272" s="36"/>
      <c r="AJ272" s="36"/>
      <c r="AK272" s="19"/>
    </row>
    <row r="273" spans="1:37">
      <c r="A273" s="64" t="s">
        <v>596</v>
      </c>
      <c r="B273" s="784" t="s">
        <v>502</v>
      </c>
      <c r="C273" s="784" t="s">
        <v>1601</v>
      </c>
      <c r="D273" s="134">
        <v>101.86000000000001</v>
      </c>
      <c r="E273" s="67">
        <v>12457</v>
      </c>
      <c r="F273" s="146">
        <v>0</v>
      </c>
      <c r="G273" s="146">
        <v>0</v>
      </c>
      <c r="H273" s="91">
        <v>12457</v>
      </c>
      <c r="I273" s="67">
        <v>0</v>
      </c>
      <c r="J273" s="739">
        <v>12457</v>
      </c>
      <c r="K273" s="837" t="s">
        <v>621</v>
      </c>
      <c r="L273" s="740">
        <v>0</v>
      </c>
      <c r="M273" s="741">
        <v>101.86000000000001</v>
      </c>
      <c r="N273" s="67">
        <v>166</v>
      </c>
      <c r="O273" s="67">
        <v>12623</v>
      </c>
      <c r="Q273" s="674">
        <v>0</v>
      </c>
      <c r="R273" s="674" t="s">
        <v>1730</v>
      </c>
      <c r="S273" s="798" t="s">
        <v>801</v>
      </c>
      <c r="T273" s="798">
        <v>0</v>
      </c>
      <c r="U273" s="88">
        <v>12623</v>
      </c>
      <c r="V273" s="71">
        <v>123.92499509130177</v>
      </c>
      <c r="W273" s="449">
        <v>12623</v>
      </c>
      <c r="X273" s="67">
        <v>12789</v>
      </c>
      <c r="Y273" s="163">
        <v>-166</v>
      </c>
      <c r="Z273" s="166">
        <v>-1.2979904605520369E-2</v>
      </c>
      <c r="AA273" s="34" t="s">
        <v>621</v>
      </c>
      <c r="AC273" s="67"/>
      <c r="AD273" s="451"/>
      <c r="AE273" s="452"/>
      <c r="AH273" s="36"/>
      <c r="AI273" s="36"/>
      <c r="AJ273" s="36"/>
      <c r="AK273" s="19"/>
    </row>
    <row r="274" spans="1:37" s="112" customFormat="1">
      <c r="A274" s="64" t="s">
        <v>595</v>
      </c>
      <c r="B274" s="785" t="s">
        <v>504</v>
      </c>
      <c r="C274" s="784" t="s">
        <v>628</v>
      </c>
      <c r="D274" s="134">
        <v>840.86</v>
      </c>
      <c r="E274" s="67">
        <v>102829</v>
      </c>
      <c r="F274" s="146">
        <v>0</v>
      </c>
      <c r="G274" s="146">
        <v>0</v>
      </c>
      <c r="H274" s="91">
        <v>102829</v>
      </c>
      <c r="I274" s="67">
        <v>0</v>
      </c>
      <c r="J274" s="739">
        <v>102829</v>
      </c>
      <c r="K274" s="837" t="s">
        <v>621</v>
      </c>
      <c r="L274" s="740">
        <v>0</v>
      </c>
      <c r="M274" s="741">
        <v>840.86</v>
      </c>
      <c r="N274" s="67">
        <v>1371</v>
      </c>
      <c r="O274" s="67">
        <v>104200</v>
      </c>
      <c r="P274" s="674"/>
      <c r="Q274" s="674">
        <v>0</v>
      </c>
      <c r="R274" s="674" t="s">
        <v>1730</v>
      </c>
      <c r="S274" s="798" t="s">
        <v>801</v>
      </c>
      <c r="T274" s="798">
        <v>0</v>
      </c>
      <c r="U274" s="88">
        <v>104200</v>
      </c>
      <c r="V274" s="71">
        <v>123.92074780581785</v>
      </c>
      <c r="W274" s="449">
        <v>104200</v>
      </c>
      <c r="X274" s="67">
        <v>92414</v>
      </c>
      <c r="Y274" s="163">
        <v>11786</v>
      </c>
      <c r="Z274" s="166">
        <v>0.12753478910121843</v>
      </c>
      <c r="AA274" s="34" t="s">
        <v>621</v>
      </c>
      <c r="AC274" s="67"/>
      <c r="AD274" s="451"/>
      <c r="AE274" s="452"/>
      <c r="AH274" s="116"/>
      <c r="AI274" s="116"/>
      <c r="AJ274" s="116"/>
      <c r="AK274" s="117"/>
    </row>
    <row r="275" spans="1:37">
      <c r="A275" s="64" t="s">
        <v>595</v>
      </c>
      <c r="B275" s="784" t="s">
        <v>506</v>
      </c>
      <c r="C275" s="784" t="s">
        <v>1602</v>
      </c>
      <c r="D275" s="134">
        <v>341.00142857142856</v>
      </c>
      <c r="E275" s="67">
        <v>41701</v>
      </c>
      <c r="F275" s="146">
        <v>0</v>
      </c>
      <c r="G275" s="146">
        <v>0</v>
      </c>
      <c r="H275" s="91">
        <v>41701</v>
      </c>
      <c r="I275" s="67">
        <v>0</v>
      </c>
      <c r="J275" s="739">
        <v>41701</v>
      </c>
      <c r="K275" s="837" t="s">
        <v>644</v>
      </c>
      <c r="L275" s="740">
        <v>41701</v>
      </c>
      <c r="M275" s="741">
        <v>0</v>
      </c>
      <c r="N275" s="67">
        <v>0</v>
      </c>
      <c r="O275" s="67">
        <v>0</v>
      </c>
      <c r="Q275" s="674">
        <v>0</v>
      </c>
      <c r="R275" s="674" t="s">
        <v>1730</v>
      </c>
      <c r="S275" s="798" t="s">
        <v>801</v>
      </c>
      <c r="T275" s="798">
        <v>0</v>
      </c>
      <c r="U275" s="88">
        <v>0</v>
      </c>
      <c r="V275" s="71">
        <v>0</v>
      </c>
      <c r="W275" s="449">
        <v>0</v>
      </c>
      <c r="X275" s="67">
        <v>0</v>
      </c>
      <c r="Y275" s="163">
        <v>0</v>
      </c>
      <c r="Z275" s="166">
        <v>0</v>
      </c>
      <c r="AA275" s="34" t="s">
        <v>644</v>
      </c>
      <c r="AC275" s="67"/>
      <c r="AD275" s="451"/>
      <c r="AE275" s="452"/>
      <c r="AH275" s="36"/>
      <c r="AI275" s="36"/>
      <c r="AJ275" s="36"/>
      <c r="AK275" s="19"/>
    </row>
    <row r="276" spans="1:37">
      <c r="A276" s="64" t="s">
        <v>595</v>
      </c>
      <c r="B276" s="784" t="s">
        <v>508</v>
      </c>
      <c r="C276" s="784" t="s">
        <v>1603</v>
      </c>
      <c r="D276" s="134">
        <v>98.994285714285709</v>
      </c>
      <c r="E276" s="67">
        <v>12106</v>
      </c>
      <c r="F276" s="146">
        <v>0</v>
      </c>
      <c r="G276" s="146">
        <v>0</v>
      </c>
      <c r="H276" s="91">
        <v>12106</v>
      </c>
      <c r="I276" s="67">
        <v>0</v>
      </c>
      <c r="J276" s="739">
        <v>12106</v>
      </c>
      <c r="K276" s="837" t="s">
        <v>621</v>
      </c>
      <c r="L276" s="740">
        <v>0</v>
      </c>
      <c r="M276" s="741">
        <v>98.994285714285709</v>
      </c>
      <c r="N276" s="67">
        <v>161</v>
      </c>
      <c r="O276" s="67">
        <v>12267</v>
      </c>
      <c r="Q276" s="674">
        <v>0</v>
      </c>
      <c r="R276" s="674" t="s">
        <v>1730</v>
      </c>
      <c r="S276" s="798" t="s">
        <v>801</v>
      </c>
      <c r="T276" s="798">
        <v>0</v>
      </c>
      <c r="U276" s="88">
        <v>12267</v>
      </c>
      <c r="V276" s="71">
        <v>123.91624336181022</v>
      </c>
      <c r="W276" s="449">
        <v>12267</v>
      </c>
      <c r="X276" s="67">
        <v>10226</v>
      </c>
      <c r="Y276" s="163">
        <v>2041</v>
      </c>
      <c r="Z276" s="166">
        <v>0.1995892822217876</v>
      </c>
      <c r="AA276" s="34" t="s">
        <v>621</v>
      </c>
      <c r="AC276" s="67"/>
      <c r="AD276" s="451"/>
      <c r="AE276" s="452"/>
      <c r="AH276" s="36"/>
      <c r="AI276" s="36"/>
      <c r="AJ276" s="36"/>
      <c r="AK276" s="19"/>
    </row>
    <row r="277" spans="1:37" s="112" customFormat="1">
      <c r="A277" s="64" t="s">
        <v>595</v>
      </c>
      <c r="B277" s="785" t="s">
        <v>510</v>
      </c>
      <c r="C277" s="784" t="s">
        <v>1604</v>
      </c>
      <c r="D277" s="134">
        <v>362.57</v>
      </c>
      <c r="E277" s="67">
        <v>44339</v>
      </c>
      <c r="F277" s="146">
        <v>0</v>
      </c>
      <c r="G277" s="146">
        <v>0</v>
      </c>
      <c r="H277" s="91">
        <v>44339</v>
      </c>
      <c r="I277" s="67">
        <v>0</v>
      </c>
      <c r="J277" s="739">
        <v>44339</v>
      </c>
      <c r="K277" s="837" t="s">
        <v>621</v>
      </c>
      <c r="L277" s="740">
        <v>0</v>
      </c>
      <c r="M277" s="741">
        <v>362.57</v>
      </c>
      <c r="N277" s="67">
        <v>591</v>
      </c>
      <c r="O277" s="67">
        <v>44930</v>
      </c>
      <c r="P277" s="674"/>
      <c r="Q277" s="674">
        <v>0</v>
      </c>
      <c r="R277" s="674" t="s">
        <v>1730</v>
      </c>
      <c r="S277" s="798" t="s">
        <v>801</v>
      </c>
      <c r="T277" s="798">
        <v>0</v>
      </c>
      <c r="U277" s="88">
        <v>44930</v>
      </c>
      <c r="V277" s="71">
        <v>123.9208980334832</v>
      </c>
      <c r="W277" s="449">
        <v>44930</v>
      </c>
      <c r="X277" s="67">
        <v>40222</v>
      </c>
      <c r="Y277" s="163">
        <v>4708</v>
      </c>
      <c r="Z277" s="166">
        <v>0.1170503704440356</v>
      </c>
      <c r="AA277" s="34" t="s">
        <v>621</v>
      </c>
      <c r="AC277" s="67"/>
      <c r="AD277" s="451"/>
      <c r="AE277" s="452"/>
      <c r="AH277" s="116"/>
      <c r="AI277" s="116"/>
      <c r="AJ277" s="116"/>
      <c r="AK277" s="117"/>
    </row>
    <row r="278" spans="1:37">
      <c r="A278" s="64" t="s">
        <v>595</v>
      </c>
      <c r="B278" s="784" t="s">
        <v>512</v>
      </c>
      <c r="C278" s="784" t="s">
        <v>1605</v>
      </c>
      <c r="D278" s="134">
        <v>178.71714285714287</v>
      </c>
      <c r="E278" s="67">
        <v>21855</v>
      </c>
      <c r="F278" s="146">
        <v>0</v>
      </c>
      <c r="G278" s="146">
        <v>0</v>
      </c>
      <c r="H278" s="91">
        <v>21855</v>
      </c>
      <c r="I278" s="67">
        <v>0</v>
      </c>
      <c r="J278" s="739">
        <v>21855</v>
      </c>
      <c r="K278" s="837" t="s">
        <v>621</v>
      </c>
      <c r="L278" s="740">
        <v>0</v>
      </c>
      <c r="M278" s="741">
        <v>178.71714285714287</v>
      </c>
      <c r="N278" s="67">
        <v>291</v>
      </c>
      <c r="O278" s="67">
        <v>22146</v>
      </c>
      <c r="Q278" s="674">
        <v>0</v>
      </c>
      <c r="R278" s="674" t="s">
        <v>1730</v>
      </c>
      <c r="S278" s="798" t="s">
        <v>801</v>
      </c>
      <c r="T278" s="798">
        <v>0</v>
      </c>
      <c r="U278" s="88">
        <v>22146</v>
      </c>
      <c r="V278" s="71">
        <v>123.91648414893446</v>
      </c>
      <c r="W278" s="449">
        <v>22146</v>
      </c>
      <c r="X278" s="67">
        <v>19354</v>
      </c>
      <c r="Y278" s="163">
        <v>2792</v>
      </c>
      <c r="Z278" s="166">
        <v>0.14425958458199856</v>
      </c>
      <c r="AA278" s="34" t="s">
        <v>621</v>
      </c>
      <c r="AC278" s="67"/>
      <c r="AD278" s="451"/>
      <c r="AE278" s="452"/>
      <c r="AH278" s="36"/>
      <c r="AI278" s="36"/>
      <c r="AJ278" s="36"/>
      <c r="AK278" s="19"/>
    </row>
    <row r="279" spans="1:37">
      <c r="A279" s="64" t="s">
        <v>595</v>
      </c>
      <c r="B279" s="784" t="s">
        <v>514</v>
      </c>
      <c r="C279" s="784" t="s">
        <v>685</v>
      </c>
      <c r="D279" s="134">
        <v>264.29285714285714</v>
      </c>
      <c r="E279" s="67">
        <v>32320</v>
      </c>
      <c r="F279" s="146">
        <v>0</v>
      </c>
      <c r="G279" s="146">
        <v>0</v>
      </c>
      <c r="H279" s="91">
        <v>32320</v>
      </c>
      <c r="I279" s="67">
        <v>0</v>
      </c>
      <c r="J279" s="739">
        <v>32320</v>
      </c>
      <c r="K279" s="837" t="s">
        <v>621</v>
      </c>
      <c r="L279" s="740">
        <v>0</v>
      </c>
      <c r="M279" s="741">
        <v>264.29285714285714</v>
      </c>
      <c r="N279" s="67">
        <v>431</v>
      </c>
      <c r="O279" s="67">
        <v>32751</v>
      </c>
      <c r="Q279" s="674">
        <v>0</v>
      </c>
      <c r="R279" s="674" t="s">
        <v>1730</v>
      </c>
      <c r="S279" s="798" t="s">
        <v>801</v>
      </c>
      <c r="T279" s="798">
        <v>0</v>
      </c>
      <c r="U279" s="88">
        <v>32751</v>
      </c>
      <c r="V279" s="71">
        <v>123.91935353098565</v>
      </c>
      <c r="W279" s="449">
        <v>32751</v>
      </c>
      <c r="X279" s="67">
        <v>31448</v>
      </c>
      <c r="Y279" s="163">
        <v>1303</v>
      </c>
      <c r="Z279" s="166">
        <v>4.1433477486644617E-2</v>
      </c>
      <c r="AA279" s="34" t="s">
        <v>621</v>
      </c>
      <c r="AC279" s="67"/>
      <c r="AD279" s="451"/>
      <c r="AE279" s="452"/>
      <c r="AH279" s="36"/>
      <c r="AI279" s="36"/>
      <c r="AJ279" s="36"/>
      <c r="AK279" s="19"/>
    </row>
    <row r="280" spans="1:37">
      <c r="A280" s="64" t="s">
        <v>595</v>
      </c>
      <c r="B280" s="784" t="s">
        <v>516</v>
      </c>
      <c r="C280" s="784" t="s">
        <v>1606</v>
      </c>
      <c r="D280" s="134">
        <v>157.70857142857142</v>
      </c>
      <c r="E280" s="67">
        <v>19286</v>
      </c>
      <c r="F280" s="146">
        <v>0</v>
      </c>
      <c r="G280" s="146">
        <v>0</v>
      </c>
      <c r="H280" s="91">
        <v>19286</v>
      </c>
      <c r="I280" s="67">
        <v>0</v>
      </c>
      <c r="J280" s="739">
        <v>19286</v>
      </c>
      <c r="K280" s="837" t="s">
        <v>621</v>
      </c>
      <c r="L280" s="740">
        <v>0</v>
      </c>
      <c r="M280" s="741">
        <v>157.70857142857142</v>
      </c>
      <c r="N280" s="67">
        <v>257</v>
      </c>
      <c r="O280" s="67">
        <v>19543</v>
      </c>
      <c r="Q280" s="674">
        <v>0</v>
      </c>
      <c r="R280" s="674" t="s">
        <v>1730</v>
      </c>
      <c r="S280" s="798" t="s">
        <v>801</v>
      </c>
      <c r="T280" s="798">
        <v>0</v>
      </c>
      <c r="U280" s="88">
        <v>19543</v>
      </c>
      <c r="V280" s="71">
        <v>123.9184390738795</v>
      </c>
      <c r="W280" s="449">
        <v>19543</v>
      </c>
      <c r="X280" s="67">
        <v>13825</v>
      </c>
      <c r="Y280" s="163">
        <v>5718</v>
      </c>
      <c r="Z280" s="166">
        <v>0.41359855334538881</v>
      </c>
      <c r="AA280" s="34" t="s">
        <v>621</v>
      </c>
      <c r="AC280" s="67"/>
      <c r="AD280" s="451"/>
      <c r="AE280" s="452"/>
      <c r="AH280" s="36"/>
      <c r="AI280" s="36"/>
      <c r="AJ280" s="36"/>
      <c r="AK280" s="19"/>
    </row>
    <row r="281" spans="1:37">
      <c r="A281" s="64" t="s">
        <v>603</v>
      </c>
      <c r="B281" s="784" t="s">
        <v>518</v>
      </c>
      <c r="C281" s="784" t="s">
        <v>1607</v>
      </c>
      <c r="D281" s="134">
        <v>0</v>
      </c>
      <c r="E281" s="67">
        <v>0</v>
      </c>
      <c r="F281" s="146">
        <v>0</v>
      </c>
      <c r="G281" s="146">
        <v>0</v>
      </c>
      <c r="H281" s="91">
        <v>0</v>
      </c>
      <c r="I281" s="67">
        <v>0</v>
      </c>
      <c r="J281" s="739">
        <v>0</v>
      </c>
      <c r="K281" s="837" t="s">
        <v>644</v>
      </c>
      <c r="L281" s="740">
        <v>0</v>
      </c>
      <c r="M281" s="741">
        <v>0</v>
      </c>
      <c r="N281" s="67">
        <v>0</v>
      </c>
      <c r="O281" s="67">
        <v>0</v>
      </c>
      <c r="Q281" s="674">
        <v>0</v>
      </c>
      <c r="R281" s="674" t="s">
        <v>1730</v>
      </c>
      <c r="S281" s="798" t="s">
        <v>801</v>
      </c>
      <c r="T281" s="798">
        <v>0</v>
      </c>
      <c r="U281" s="88">
        <v>0</v>
      </c>
      <c r="V281" s="71">
        <v>0</v>
      </c>
      <c r="W281" s="449">
        <v>0</v>
      </c>
      <c r="X281" s="67">
        <v>0</v>
      </c>
      <c r="Y281" s="163">
        <v>0</v>
      </c>
      <c r="Z281" s="166">
        <v>0</v>
      </c>
      <c r="AA281" s="34" t="s">
        <v>644</v>
      </c>
      <c r="AC281" s="67"/>
      <c r="AD281" s="451"/>
      <c r="AE281" s="452"/>
      <c r="AH281" s="36"/>
      <c r="AI281" s="36"/>
      <c r="AJ281" s="36"/>
      <c r="AK281" s="19"/>
    </row>
    <row r="282" spans="1:37">
      <c r="A282" s="64" t="s">
        <v>603</v>
      </c>
      <c r="B282" s="784" t="s">
        <v>519</v>
      </c>
      <c r="C282" s="784" t="s">
        <v>1608</v>
      </c>
      <c r="D282" s="134">
        <v>0</v>
      </c>
      <c r="E282" s="67">
        <v>0</v>
      </c>
      <c r="F282" s="146">
        <v>0</v>
      </c>
      <c r="G282" s="146">
        <v>0</v>
      </c>
      <c r="H282" s="91">
        <v>0</v>
      </c>
      <c r="I282" s="67">
        <v>0</v>
      </c>
      <c r="J282" s="739">
        <v>0</v>
      </c>
      <c r="K282" s="837" t="s">
        <v>644</v>
      </c>
      <c r="L282" s="740">
        <v>0</v>
      </c>
      <c r="M282" s="741">
        <v>0</v>
      </c>
      <c r="N282" s="67">
        <v>0</v>
      </c>
      <c r="O282" s="67">
        <v>0</v>
      </c>
      <c r="Q282" s="674">
        <v>0</v>
      </c>
      <c r="R282" s="674" t="s">
        <v>1730</v>
      </c>
      <c r="S282" s="798" t="s">
        <v>801</v>
      </c>
      <c r="T282" s="798">
        <v>0</v>
      </c>
      <c r="U282" s="88">
        <v>0</v>
      </c>
      <c r="V282" s="71">
        <v>0</v>
      </c>
      <c r="W282" s="449">
        <v>0</v>
      </c>
      <c r="X282" s="67">
        <v>0</v>
      </c>
      <c r="Y282" s="163">
        <v>0</v>
      </c>
      <c r="Z282" s="166">
        <v>0</v>
      </c>
      <c r="AA282" s="34" t="s">
        <v>644</v>
      </c>
      <c r="AC282" s="67"/>
      <c r="AD282" s="451"/>
      <c r="AE282" s="452"/>
      <c r="AH282" s="36"/>
      <c r="AI282" s="36"/>
      <c r="AJ282" s="36"/>
      <c r="AK282" s="19"/>
    </row>
    <row r="283" spans="1:37">
      <c r="A283" s="64" t="s">
        <v>603</v>
      </c>
      <c r="B283" s="784" t="s">
        <v>521</v>
      </c>
      <c r="C283" s="784" t="s">
        <v>1609</v>
      </c>
      <c r="D283" s="134">
        <v>1</v>
      </c>
      <c r="E283" s="67">
        <v>122</v>
      </c>
      <c r="F283" s="146">
        <v>0</v>
      </c>
      <c r="G283" s="146">
        <v>0</v>
      </c>
      <c r="H283" s="91">
        <v>122</v>
      </c>
      <c r="I283" s="67">
        <v>0</v>
      </c>
      <c r="J283" s="739">
        <v>122</v>
      </c>
      <c r="K283" s="837" t="s">
        <v>644</v>
      </c>
      <c r="L283" s="740">
        <v>122</v>
      </c>
      <c r="M283" s="741">
        <v>0</v>
      </c>
      <c r="N283" s="67">
        <v>0</v>
      </c>
      <c r="O283" s="67">
        <v>0</v>
      </c>
      <c r="Q283" s="674">
        <v>0</v>
      </c>
      <c r="R283" s="674" t="s">
        <v>1730</v>
      </c>
      <c r="S283" s="798" t="s">
        <v>801</v>
      </c>
      <c r="T283" s="798">
        <v>0</v>
      </c>
      <c r="U283" s="88">
        <v>0</v>
      </c>
      <c r="V283" s="71">
        <v>0</v>
      </c>
      <c r="W283" s="449">
        <v>0</v>
      </c>
      <c r="X283" s="67">
        <v>0</v>
      </c>
      <c r="Y283" s="163">
        <v>0</v>
      </c>
      <c r="Z283" s="166">
        <v>0</v>
      </c>
      <c r="AA283" s="34" t="s">
        <v>644</v>
      </c>
      <c r="AC283" s="67"/>
      <c r="AD283" s="451"/>
      <c r="AE283" s="452"/>
      <c r="AH283" s="36"/>
      <c r="AI283" s="36"/>
      <c r="AJ283" s="36"/>
      <c r="AK283" s="19"/>
    </row>
    <row r="284" spans="1:37">
      <c r="A284" s="64" t="s">
        <v>603</v>
      </c>
      <c r="B284" s="784" t="s">
        <v>523</v>
      </c>
      <c r="C284" s="784" t="s">
        <v>1610</v>
      </c>
      <c r="D284" s="134">
        <v>183.57</v>
      </c>
      <c r="E284" s="67">
        <v>22449</v>
      </c>
      <c r="F284" s="146">
        <v>0</v>
      </c>
      <c r="G284" s="146">
        <v>0</v>
      </c>
      <c r="H284" s="91">
        <v>22449</v>
      </c>
      <c r="I284" s="67">
        <v>0</v>
      </c>
      <c r="J284" s="739">
        <v>22449</v>
      </c>
      <c r="K284" s="837" t="s">
        <v>621</v>
      </c>
      <c r="L284" s="740">
        <v>0</v>
      </c>
      <c r="M284" s="741">
        <v>183.57</v>
      </c>
      <c r="N284" s="67">
        <v>299</v>
      </c>
      <c r="O284" s="67">
        <v>22748</v>
      </c>
      <c r="Q284" s="674">
        <v>0</v>
      </c>
      <c r="R284" s="674" t="s">
        <v>1730</v>
      </c>
      <c r="S284" s="798" t="s">
        <v>801</v>
      </c>
      <c r="T284" s="798">
        <v>0</v>
      </c>
      <c r="U284" s="88">
        <v>22748</v>
      </c>
      <c r="V284" s="71">
        <v>123.92003050607399</v>
      </c>
      <c r="W284" s="449">
        <v>22748</v>
      </c>
      <c r="X284" s="67">
        <v>21996</v>
      </c>
      <c r="Y284" s="163">
        <v>752</v>
      </c>
      <c r="Z284" s="166">
        <v>3.4188034188034191E-2</v>
      </c>
      <c r="AA284" s="34" t="s">
        <v>621</v>
      </c>
      <c r="AC284" s="67"/>
      <c r="AD284" s="451"/>
      <c r="AE284" s="452"/>
      <c r="AH284" s="36"/>
      <c r="AI284" s="36"/>
      <c r="AJ284" s="36"/>
      <c r="AK284" s="19"/>
    </row>
    <row r="285" spans="1:37">
      <c r="A285" s="64" t="s">
        <v>603</v>
      </c>
      <c r="B285" s="784" t="s">
        <v>525</v>
      </c>
      <c r="C285" s="784" t="s">
        <v>1611</v>
      </c>
      <c r="D285" s="134">
        <v>0</v>
      </c>
      <c r="E285" s="67">
        <v>0</v>
      </c>
      <c r="F285" s="146">
        <v>0</v>
      </c>
      <c r="G285" s="146">
        <v>0</v>
      </c>
      <c r="H285" s="91">
        <v>0</v>
      </c>
      <c r="I285" s="67">
        <v>0</v>
      </c>
      <c r="J285" s="739">
        <v>0</v>
      </c>
      <c r="K285" s="837" t="s">
        <v>644</v>
      </c>
      <c r="L285" s="740">
        <v>0</v>
      </c>
      <c r="M285" s="741">
        <v>0</v>
      </c>
      <c r="N285" s="67">
        <v>0</v>
      </c>
      <c r="O285" s="67">
        <v>0</v>
      </c>
      <c r="Q285" s="674">
        <v>0</v>
      </c>
      <c r="R285" s="674" t="s">
        <v>1730</v>
      </c>
      <c r="S285" s="798" t="s">
        <v>801</v>
      </c>
      <c r="T285" s="798">
        <v>0</v>
      </c>
      <c r="U285" s="88">
        <v>0</v>
      </c>
      <c r="V285" s="71">
        <v>0</v>
      </c>
      <c r="W285" s="449">
        <v>0</v>
      </c>
      <c r="X285" s="67">
        <v>0</v>
      </c>
      <c r="Y285" s="163">
        <v>0</v>
      </c>
      <c r="Z285" s="166">
        <v>0</v>
      </c>
      <c r="AA285" s="34" t="s">
        <v>644</v>
      </c>
      <c r="AC285" s="67"/>
      <c r="AD285" s="451"/>
      <c r="AE285" s="452"/>
      <c r="AH285" s="36"/>
      <c r="AI285" s="36"/>
      <c r="AJ285" s="36"/>
      <c r="AK285" s="19"/>
    </row>
    <row r="286" spans="1:37">
      <c r="A286" s="64" t="s">
        <v>603</v>
      </c>
      <c r="B286" s="784" t="s">
        <v>527</v>
      </c>
      <c r="C286" s="784" t="s">
        <v>1612</v>
      </c>
      <c r="D286" s="134">
        <v>0</v>
      </c>
      <c r="E286" s="67">
        <v>0</v>
      </c>
      <c r="F286" s="146">
        <v>0</v>
      </c>
      <c r="G286" s="146">
        <v>0</v>
      </c>
      <c r="H286" s="91">
        <v>0</v>
      </c>
      <c r="I286" s="67">
        <v>0</v>
      </c>
      <c r="J286" s="739">
        <v>0</v>
      </c>
      <c r="K286" s="837" t="s">
        <v>644</v>
      </c>
      <c r="L286" s="740">
        <v>0</v>
      </c>
      <c r="M286" s="741">
        <v>0</v>
      </c>
      <c r="N286" s="67">
        <v>0</v>
      </c>
      <c r="O286" s="67">
        <v>0</v>
      </c>
      <c r="Q286" s="674">
        <v>0</v>
      </c>
      <c r="R286" s="674" t="s">
        <v>1730</v>
      </c>
      <c r="S286" s="798" t="s">
        <v>801</v>
      </c>
      <c r="T286" s="798">
        <v>0</v>
      </c>
      <c r="U286" s="88">
        <v>0</v>
      </c>
      <c r="V286" s="71">
        <v>0</v>
      </c>
      <c r="W286" s="449">
        <v>0</v>
      </c>
      <c r="X286" s="67">
        <v>0</v>
      </c>
      <c r="Y286" s="163">
        <v>0</v>
      </c>
      <c r="Z286" s="166">
        <v>0</v>
      </c>
      <c r="AA286" s="34" t="s">
        <v>644</v>
      </c>
      <c r="AC286" s="67"/>
      <c r="AD286" s="451"/>
      <c r="AE286" s="452"/>
      <c r="AH286" s="36"/>
      <c r="AI286" s="36"/>
      <c r="AJ286" s="36"/>
      <c r="AK286" s="19"/>
    </row>
    <row r="287" spans="1:37">
      <c r="A287" s="64" t="s">
        <v>603</v>
      </c>
      <c r="B287" s="784" t="s">
        <v>529</v>
      </c>
      <c r="C287" s="784" t="s">
        <v>1613</v>
      </c>
      <c r="D287" s="134">
        <v>0</v>
      </c>
      <c r="E287" s="67">
        <v>0</v>
      </c>
      <c r="F287" s="146">
        <v>0</v>
      </c>
      <c r="G287" s="146">
        <v>0</v>
      </c>
      <c r="H287" s="91">
        <v>0</v>
      </c>
      <c r="I287" s="67">
        <v>0</v>
      </c>
      <c r="J287" s="739">
        <v>0</v>
      </c>
      <c r="K287" s="837" t="s">
        <v>644</v>
      </c>
      <c r="L287" s="740">
        <v>0</v>
      </c>
      <c r="M287" s="741">
        <v>0</v>
      </c>
      <c r="N287" s="67">
        <v>0</v>
      </c>
      <c r="O287" s="67">
        <v>0</v>
      </c>
      <c r="Q287" s="674">
        <v>0</v>
      </c>
      <c r="R287" s="674" t="s">
        <v>1730</v>
      </c>
      <c r="S287" s="798" t="s">
        <v>801</v>
      </c>
      <c r="T287" s="798">
        <v>0</v>
      </c>
      <c r="U287" s="88">
        <v>0</v>
      </c>
      <c r="V287" s="71">
        <v>0</v>
      </c>
      <c r="W287" s="449">
        <v>0</v>
      </c>
      <c r="X287" s="67">
        <v>0</v>
      </c>
      <c r="Y287" s="163">
        <v>0</v>
      </c>
      <c r="Z287" s="166">
        <v>0</v>
      </c>
      <c r="AA287" s="34" t="s">
        <v>644</v>
      </c>
      <c r="AC287" s="67"/>
      <c r="AD287" s="451"/>
      <c r="AE287" s="452"/>
      <c r="AH287" s="36"/>
      <c r="AI287" s="36"/>
      <c r="AJ287" s="36"/>
      <c r="AK287" s="19"/>
    </row>
    <row r="288" spans="1:37">
      <c r="A288" s="64" t="s">
        <v>603</v>
      </c>
      <c r="B288" s="784" t="s">
        <v>531</v>
      </c>
      <c r="C288" s="784" t="s">
        <v>1614</v>
      </c>
      <c r="D288" s="134">
        <v>0</v>
      </c>
      <c r="E288" s="67">
        <v>0</v>
      </c>
      <c r="F288" s="146">
        <v>0</v>
      </c>
      <c r="G288" s="146">
        <v>0</v>
      </c>
      <c r="H288" s="91">
        <v>0</v>
      </c>
      <c r="I288" s="67">
        <v>0</v>
      </c>
      <c r="J288" s="739">
        <v>0</v>
      </c>
      <c r="K288" s="837" t="s">
        <v>644</v>
      </c>
      <c r="L288" s="740">
        <v>0</v>
      </c>
      <c r="M288" s="741">
        <v>0</v>
      </c>
      <c r="N288" s="67">
        <v>0</v>
      </c>
      <c r="O288" s="67">
        <v>0</v>
      </c>
      <c r="Q288" s="674">
        <v>0</v>
      </c>
      <c r="R288" s="674" t="s">
        <v>1730</v>
      </c>
      <c r="S288" s="798" t="s">
        <v>801</v>
      </c>
      <c r="T288" s="798">
        <v>0</v>
      </c>
      <c r="U288" s="88">
        <v>0</v>
      </c>
      <c r="V288" s="71">
        <v>0</v>
      </c>
      <c r="W288" s="449">
        <v>0</v>
      </c>
      <c r="X288" s="67">
        <v>0</v>
      </c>
      <c r="Y288" s="163">
        <v>0</v>
      </c>
      <c r="Z288" s="166">
        <v>0</v>
      </c>
      <c r="AA288" s="34" t="s">
        <v>644</v>
      </c>
      <c r="AC288" s="67"/>
      <c r="AD288" s="451"/>
      <c r="AE288" s="452"/>
      <c r="AH288" s="36"/>
      <c r="AI288" s="36"/>
      <c r="AJ288" s="36"/>
      <c r="AK288" s="19"/>
    </row>
    <row r="289" spans="1:37">
      <c r="A289" s="64" t="s">
        <v>603</v>
      </c>
      <c r="B289" s="787" t="s">
        <v>533</v>
      </c>
      <c r="C289" s="784" t="s">
        <v>1615</v>
      </c>
      <c r="D289" s="134">
        <v>0</v>
      </c>
      <c r="E289" s="67">
        <v>0</v>
      </c>
      <c r="F289" s="146">
        <v>0</v>
      </c>
      <c r="G289" s="146">
        <v>0</v>
      </c>
      <c r="H289" s="91">
        <v>0</v>
      </c>
      <c r="I289" s="67">
        <v>0</v>
      </c>
      <c r="J289" s="739">
        <v>0</v>
      </c>
      <c r="K289" s="837" t="s">
        <v>644</v>
      </c>
      <c r="L289" s="740">
        <v>0</v>
      </c>
      <c r="M289" s="741">
        <v>0</v>
      </c>
      <c r="N289" s="67">
        <v>0</v>
      </c>
      <c r="O289" s="67">
        <v>0</v>
      </c>
      <c r="Q289" s="674">
        <v>0</v>
      </c>
      <c r="R289" s="674" t="s">
        <v>1730</v>
      </c>
      <c r="S289" s="798" t="s">
        <v>801</v>
      </c>
      <c r="T289" s="798">
        <v>0</v>
      </c>
      <c r="U289" s="88">
        <v>0</v>
      </c>
      <c r="V289" s="71">
        <v>0</v>
      </c>
      <c r="W289" s="449">
        <v>0</v>
      </c>
      <c r="X289" s="67">
        <v>0</v>
      </c>
      <c r="Y289" s="163">
        <v>0</v>
      </c>
      <c r="Z289" s="166">
        <v>0</v>
      </c>
      <c r="AA289" s="34" t="s">
        <v>644</v>
      </c>
      <c r="AC289" s="67"/>
      <c r="AD289" s="451"/>
      <c r="AE289" s="452"/>
      <c r="AH289" s="36"/>
      <c r="AI289" s="36"/>
      <c r="AJ289" s="36"/>
      <c r="AK289" s="19"/>
    </row>
    <row r="290" spans="1:37">
      <c r="A290" s="64" t="s">
        <v>603</v>
      </c>
      <c r="B290" s="784" t="s">
        <v>535</v>
      </c>
      <c r="C290" s="784" t="s">
        <v>1616</v>
      </c>
      <c r="D290" s="134">
        <v>0</v>
      </c>
      <c r="E290" s="67">
        <v>0</v>
      </c>
      <c r="F290" s="146">
        <v>0</v>
      </c>
      <c r="G290" s="146">
        <v>0</v>
      </c>
      <c r="H290" s="91">
        <v>0</v>
      </c>
      <c r="I290" s="67">
        <v>0</v>
      </c>
      <c r="J290" s="739">
        <v>0</v>
      </c>
      <c r="K290" s="837" t="s">
        <v>644</v>
      </c>
      <c r="L290" s="740">
        <v>0</v>
      </c>
      <c r="M290" s="741">
        <v>0</v>
      </c>
      <c r="N290" s="67">
        <v>0</v>
      </c>
      <c r="O290" s="67">
        <v>0</v>
      </c>
      <c r="Q290" s="674">
        <v>0</v>
      </c>
      <c r="R290" s="674" t="s">
        <v>1730</v>
      </c>
      <c r="S290" s="798" t="s">
        <v>801</v>
      </c>
      <c r="T290" s="798">
        <v>0</v>
      </c>
      <c r="U290" s="88">
        <v>0</v>
      </c>
      <c r="V290" s="71">
        <v>0</v>
      </c>
      <c r="W290" s="449">
        <v>0</v>
      </c>
      <c r="X290" s="67">
        <v>0</v>
      </c>
      <c r="Y290" s="163">
        <v>0</v>
      </c>
      <c r="Z290" s="166">
        <v>0</v>
      </c>
      <c r="AA290" s="34" t="s">
        <v>644</v>
      </c>
      <c r="AC290" s="67"/>
      <c r="AD290" s="451"/>
      <c r="AE290" s="452"/>
      <c r="AH290" s="36"/>
      <c r="AI290" s="36"/>
      <c r="AJ290" s="36"/>
      <c r="AK290" s="19"/>
    </row>
    <row r="291" spans="1:37">
      <c r="A291" s="64" t="s">
        <v>603</v>
      </c>
      <c r="B291" s="784" t="s">
        <v>537</v>
      </c>
      <c r="C291" s="784" t="s">
        <v>1617</v>
      </c>
      <c r="D291" s="134">
        <v>0</v>
      </c>
      <c r="E291" s="67">
        <v>0</v>
      </c>
      <c r="F291" s="146">
        <v>0</v>
      </c>
      <c r="G291" s="146">
        <v>0</v>
      </c>
      <c r="H291" s="91">
        <v>0</v>
      </c>
      <c r="I291" s="67">
        <v>0</v>
      </c>
      <c r="J291" s="739">
        <v>0</v>
      </c>
      <c r="K291" s="837" t="s">
        <v>644</v>
      </c>
      <c r="L291" s="740">
        <v>0</v>
      </c>
      <c r="M291" s="741">
        <v>0</v>
      </c>
      <c r="N291" s="67">
        <v>0</v>
      </c>
      <c r="O291" s="67">
        <v>0</v>
      </c>
      <c r="Q291" s="674">
        <v>0</v>
      </c>
      <c r="R291" s="674" t="s">
        <v>1730</v>
      </c>
      <c r="S291" s="798" t="s">
        <v>801</v>
      </c>
      <c r="T291" s="798">
        <v>0</v>
      </c>
      <c r="U291" s="88">
        <v>0</v>
      </c>
      <c r="V291" s="71">
        <v>0</v>
      </c>
      <c r="W291" s="449">
        <v>0</v>
      </c>
      <c r="X291" s="67">
        <v>0</v>
      </c>
      <c r="Y291" s="163">
        <v>0</v>
      </c>
      <c r="Z291" s="166">
        <v>0</v>
      </c>
      <c r="AA291" s="34" t="s">
        <v>644</v>
      </c>
      <c r="AC291" s="67"/>
      <c r="AD291" s="451"/>
      <c r="AE291" s="452"/>
      <c r="AH291" s="36"/>
      <c r="AI291" s="36"/>
      <c r="AJ291" s="36"/>
      <c r="AK291" s="19"/>
    </row>
    <row r="292" spans="1:37">
      <c r="A292" s="64" t="s">
        <v>603</v>
      </c>
      <c r="B292" s="784" t="s">
        <v>539</v>
      </c>
      <c r="C292" s="784" t="s">
        <v>1618</v>
      </c>
      <c r="D292" s="134">
        <v>0</v>
      </c>
      <c r="E292" s="67">
        <v>0</v>
      </c>
      <c r="F292" s="146">
        <v>0</v>
      </c>
      <c r="G292" s="146">
        <v>0</v>
      </c>
      <c r="H292" s="91">
        <v>0</v>
      </c>
      <c r="I292" s="67">
        <v>0</v>
      </c>
      <c r="J292" s="739">
        <v>0</v>
      </c>
      <c r="K292" s="837" t="s">
        <v>644</v>
      </c>
      <c r="L292" s="740">
        <v>0</v>
      </c>
      <c r="M292" s="741">
        <v>0</v>
      </c>
      <c r="N292" s="67">
        <v>0</v>
      </c>
      <c r="O292" s="67">
        <v>0</v>
      </c>
      <c r="Q292" s="674">
        <v>0</v>
      </c>
      <c r="R292" s="674" t="s">
        <v>1730</v>
      </c>
      <c r="S292" s="798" t="s">
        <v>801</v>
      </c>
      <c r="T292" s="798">
        <v>0</v>
      </c>
      <c r="U292" s="88">
        <v>0</v>
      </c>
      <c r="V292" s="71">
        <v>0</v>
      </c>
      <c r="W292" s="449">
        <v>0</v>
      </c>
      <c r="X292" s="67">
        <v>0</v>
      </c>
      <c r="Y292" s="163">
        <v>0</v>
      </c>
      <c r="Z292" s="166">
        <v>0</v>
      </c>
      <c r="AA292" s="34" t="s">
        <v>644</v>
      </c>
      <c r="AC292" s="67"/>
      <c r="AD292" s="451"/>
      <c r="AE292" s="452"/>
      <c r="AH292" s="36"/>
      <c r="AI292" s="36"/>
      <c r="AJ292" s="36"/>
      <c r="AK292" s="19"/>
    </row>
    <row r="293" spans="1:37">
      <c r="A293" s="64" t="s">
        <v>603</v>
      </c>
      <c r="B293" s="784" t="s">
        <v>541</v>
      </c>
      <c r="C293" s="784" t="s">
        <v>1619</v>
      </c>
      <c r="D293" s="134">
        <v>0</v>
      </c>
      <c r="E293" s="67">
        <v>0</v>
      </c>
      <c r="F293" s="146">
        <v>0</v>
      </c>
      <c r="G293" s="146">
        <v>0</v>
      </c>
      <c r="H293" s="91">
        <v>0</v>
      </c>
      <c r="I293" s="67">
        <v>0</v>
      </c>
      <c r="J293" s="739">
        <v>0</v>
      </c>
      <c r="K293" s="837" t="s">
        <v>644</v>
      </c>
      <c r="L293" s="740">
        <v>0</v>
      </c>
      <c r="M293" s="741">
        <v>0</v>
      </c>
      <c r="N293" s="67">
        <v>0</v>
      </c>
      <c r="O293" s="67">
        <v>0</v>
      </c>
      <c r="Q293" s="674">
        <v>0</v>
      </c>
      <c r="R293" s="674" t="s">
        <v>1730</v>
      </c>
      <c r="S293" s="798" t="s">
        <v>801</v>
      </c>
      <c r="T293" s="798">
        <v>0</v>
      </c>
      <c r="U293" s="88">
        <v>0</v>
      </c>
      <c r="V293" s="71">
        <v>0</v>
      </c>
      <c r="W293" s="449">
        <v>0</v>
      </c>
      <c r="X293" s="67">
        <v>0</v>
      </c>
      <c r="Y293" s="163">
        <v>0</v>
      </c>
      <c r="Z293" s="166">
        <v>0</v>
      </c>
      <c r="AA293" s="34" t="s">
        <v>644</v>
      </c>
      <c r="AC293" s="67"/>
      <c r="AD293" s="451"/>
      <c r="AE293" s="452"/>
      <c r="AH293" s="36"/>
      <c r="AI293" s="36"/>
      <c r="AJ293" s="36"/>
      <c r="AK293" s="19"/>
    </row>
    <row r="294" spans="1:37">
      <c r="A294" s="64" t="s">
        <v>605</v>
      </c>
      <c r="B294" s="784" t="s">
        <v>543</v>
      </c>
      <c r="C294" s="784" t="s">
        <v>1620</v>
      </c>
      <c r="D294" s="134">
        <v>193.28714285714287</v>
      </c>
      <c r="E294" s="67">
        <v>23637</v>
      </c>
      <c r="F294" s="146">
        <v>0</v>
      </c>
      <c r="G294" s="146">
        <v>0</v>
      </c>
      <c r="H294" s="91">
        <v>23637</v>
      </c>
      <c r="I294" s="67">
        <v>0</v>
      </c>
      <c r="J294" s="739">
        <v>23637</v>
      </c>
      <c r="K294" s="837" t="s">
        <v>621</v>
      </c>
      <c r="L294" s="740">
        <v>0</v>
      </c>
      <c r="M294" s="741">
        <v>193.28714285714287</v>
      </c>
      <c r="N294" s="67">
        <v>315</v>
      </c>
      <c r="O294" s="67">
        <v>23952</v>
      </c>
      <c r="Q294" s="674">
        <v>0</v>
      </c>
      <c r="R294" s="674" t="s">
        <v>1730</v>
      </c>
      <c r="S294" s="798" t="s">
        <v>801</v>
      </c>
      <c r="T294" s="798">
        <v>0</v>
      </c>
      <c r="U294" s="88">
        <v>23952</v>
      </c>
      <c r="V294" s="71">
        <v>123.91926149843681</v>
      </c>
      <c r="W294" s="449">
        <v>23952</v>
      </c>
      <c r="X294" s="67">
        <v>24189</v>
      </c>
      <c r="Y294" s="163">
        <v>-237</v>
      </c>
      <c r="Z294" s="166">
        <v>-9.7978419942949275E-3</v>
      </c>
      <c r="AA294" s="34" t="s">
        <v>621</v>
      </c>
      <c r="AC294" s="67"/>
      <c r="AD294" s="451"/>
      <c r="AE294" s="452"/>
      <c r="AH294" s="36"/>
      <c r="AI294" s="36"/>
      <c r="AJ294" s="36"/>
      <c r="AK294" s="19"/>
    </row>
    <row r="295" spans="1:37">
      <c r="A295" s="64" t="s">
        <v>605</v>
      </c>
      <c r="B295" s="784" t="s">
        <v>545</v>
      </c>
      <c r="C295" s="784" t="s">
        <v>1621</v>
      </c>
      <c r="D295" s="134">
        <v>82.710000000000008</v>
      </c>
      <c r="E295" s="67">
        <v>10115</v>
      </c>
      <c r="F295" s="146">
        <v>0</v>
      </c>
      <c r="G295" s="146">
        <v>0</v>
      </c>
      <c r="H295" s="91">
        <v>10115</v>
      </c>
      <c r="I295" s="67">
        <v>0</v>
      </c>
      <c r="J295" s="739">
        <v>10115</v>
      </c>
      <c r="K295" s="837" t="s">
        <v>1306</v>
      </c>
      <c r="L295" s="740">
        <v>0</v>
      </c>
      <c r="M295" s="741">
        <v>82.710000000000008</v>
      </c>
      <c r="N295" s="67">
        <v>135</v>
      </c>
      <c r="O295" s="67">
        <v>10250</v>
      </c>
      <c r="Q295" s="674">
        <v>0</v>
      </c>
      <c r="R295" s="674" t="s">
        <v>1730</v>
      </c>
      <c r="S295" s="798" t="s">
        <v>801</v>
      </c>
      <c r="T295" s="798">
        <v>0</v>
      </c>
      <c r="U295" s="88">
        <v>10250</v>
      </c>
      <c r="V295" s="71">
        <v>123.92697376375286</v>
      </c>
      <c r="W295" s="449">
        <v>10250</v>
      </c>
      <c r="X295" s="67">
        <v>10442</v>
      </c>
      <c r="Y295" s="163">
        <v>-192</v>
      </c>
      <c r="Z295" s="166">
        <v>-1.8387282129860179E-2</v>
      </c>
      <c r="AA295" s="34" t="s">
        <v>1306</v>
      </c>
      <c r="AC295" s="67"/>
      <c r="AD295" s="451"/>
      <c r="AE295" s="452"/>
      <c r="AH295" s="36"/>
      <c r="AI295" s="36"/>
      <c r="AJ295" s="36"/>
      <c r="AK295" s="19"/>
    </row>
    <row r="296" spans="1:37">
      <c r="A296" s="64" t="s">
        <v>605</v>
      </c>
      <c r="B296" s="784" t="s">
        <v>547</v>
      </c>
      <c r="C296" s="784" t="s">
        <v>1622</v>
      </c>
      <c r="D296" s="134">
        <v>5023.2814285714285</v>
      </c>
      <c r="E296" s="67">
        <v>614299</v>
      </c>
      <c r="F296" s="146">
        <v>0</v>
      </c>
      <c r="G296" s="146">
        <v>0</v>
      </c>
      <c r="H296" s="91">
        <v>614299</v>
      </c>
      <c r="I296" s="67">
        <v>0</v>
      </c>
      <c r="J296" s="739">
        <v>614299</v>
      </c>
      <c r="K296" s="837" t="s">
        <v>621</v>
      </c>
      <c r="L296" s="740">
        <v>0</v>
      </c>
      <c r="M296" s="741">
        <v>5023.2814285714285</v>
      </c>
      <c r="N296" s="67">
        <v>8191</v>
      </c>
      <c r="O296" s="67">
        <v>622490</v>
      </c>
      <c r="Q296" s="674">
        <v>0</v>
      </c>
      <c r="R296" s="674" t="s">
        <v>1730</v>
      </c>
      <c r="S296" s="798" t="s">
        <v>801</v>
      </c>
      <c r="T296" s="798">
        <v>0</v>
      </c>
      <c r="U296" s="88">
        <v>622490</v>
      </c>
      <c r="V296" s="71">
        <v>123.92098847167915</v>
      </c>
      <c r="W296" s="449">
        <v>622490</v>
      </c>
      <c r="X296" s="67">
        <v>673711</v>
      </c>
      <c r="Y296" s="163">
        <v>-51221</v>
      </c>
      <c r="Z296" s="166">
        <v>-7.6028148568154597E-2</v>
      </c>
      <c r="AA296" s="34" t="s">
        <v>621</v>
      </c>
      <c r="AC296" s="67"/>
      <c r="AD296" s="451"/>
      <c r="AE296" s="452"/>
      <c r="AH296" s="36"/>
      <c r="AI296" s="36"/>
      <c r="AJ296" s="36"/>
      <c r="AK296" s="19"/>
    </row>
    <row r="297" spans="1:37">
      <c r="A297" s="64" t="s">
        <v>605</v>
      </c>
      <c r="B297" s="784" t="s">
        <v>549</v>
      </c>
      <c r="C297" s="784" t="s">
        <v>1623</v>
      </c>
      <c r="D297" s="134">
        <v>341</v>
      </c>
      <c r="E297" s="67">
        <v>41701</v>
      </c>
      <c r="F297" s="146">
        <v>0</v>
      </c>
      <c r="G297" s="146">
        <v>0</v>
      </c>
      <c r="H297" s="91">
        <v>41701</v>
      </c>
      <c r="I297" s="67">
        <v>0</v>
      </c>
      <c r="J297" s="739">
        <v>41701</v>
      </c>
      <c r="K297" s="837" t="s">
        <v>621</v>
      </c>
      <c r="L297" s="740">
        <v>0</v>
      </c>
      <c r="M297" s="741">
        <v>341</v>
      </c>
      <c r="N297" s="67">
        <v>556</v>
      </c>
      <c r="O297" s="67">
        <v>42257</v>
      </c>
      <c r="Q297" s="674">
        <v>0</v>
      </c>
      <c r="R297" s="674" t="s">
        <v>1730</v>
      </c>
      <c r="S297" s="798" t="s">
        <v>801</v>
      </c>
      <c r="T297" s="798">
        <v>0</v>
      </c>
      <c r="U297" s="88">
        <v>42257</v>
      </c>
      <c r="V297" s="71">
        <v>123.9208211143695</v>
      </c>
      <c r="W297" s="449">
        <v>42257</v>
      </c>
      <c r="X297" s="67">
        <v>46770</v>
      </c>
      <c r="Y297" s="163">
        <v>-4513</v>
      </c>
      <c r="Z297" s="166">
        <v>-9.6493478725678858E-2</v>
      </c>
      <c r="AA297" s="34" t="s">
        <v>621</v>
      </c>
      <c r="AC297" s="67"/>
      <c r="AD297" s="451"/>
      <c r="AE297" s="452"/>
    </row>
    <row r="298" spans="1:37">
      <c r="A298" s="64" t="s">
        <v>605</v>
      </c>
      <c r="B298" s="784" t="s">
        <v>551</v>
      </c>
      <c r="C298" s="784" t="s">
        <v>1624</v>
      </c>
      <c r="D298" s="134">
        <v>331.56285714285718</v>
      </c>
      <c r="E298" s="67">
        <v>40547</v>
      </c>
      <c r="F298" s="146">
        <v>0</v>
      </c>
      <c r="G298" s="146">
        <v>0</v>
      </c>
      <c r="H298" s="91">
        <v>40547</v>
      </c>
      <c r="I298" s="67">
        <v>0</v>
      </c>
      <c r="J298" s="739">
        <v>40547</v>
      </c>
      <c r="K298" s="837" t="s">
        <v>621</v>
      </c>
      <c r="L298" s="740">
        <v>0</v>
      </c>
      <c r="M298" s="741">
        <v>331.56285714285718</v>
      </c>
      <c r="N298" s="67">
        <v>541</v>
      </c>
      <c r="O298" s="67">
        <v>41088</v>
      </c>
      <c r="Q298" s="674">
        <v>0</v>
      </c>
      <c r="R298" s="674" t="s">
        <v>1730</v>
      </c>
      <c r="S298" s="798" t="s">
        <v>801</v>
      </c>
      <c r="T298" s="798">
        <v>0</v>
      </c>
      <c r="U298" s="88">
        <v>41088</v>
      </c>
      <c r="V298" s="71">
        <v>123.92220393461268</v>
      </c>
      <c r="W298" s="449">
        <v>41088</v>
      </c>
      <c r="X298" s="67">
        <v>39295</v>
      </c>
      <c r="Y298" s="163">
        <v>1793</v>
      </c>
      <c r="Z298" s="166">
        <v>4.5629214912838785E-2</v>
      </c>
      <c r="AA298" s="34" t="s">
        <v>621</v>
      </c>
      <c r="AC298" s="67"/>
      <c r="AD298" s="451"/>
      <c r="AE298" s="452"/>
    </row>
    <row r="299" spans="1:37">
      <c r="A299" s="64" t="s">
        <v>605</v>
      </c>
      <c r="B299" s="784" t="s">
        <v>553</v>
      </c>
      <c r="C299" s="784" t="s">
        <v>639</v>
      </c>
      <c r="D299" s="134">
        <v>371.28</v>
      </c>
      <c r="E299" s="67">
        <v>45404</v>
      </c>
      <c r="F299" s="146">
        <v>0</v>
      </c>
      <c r="G299" s="146">
        <v>0</v>
      </c>
      <c r="H299" s="91">
        <v>45404</v>
      </c>
      <c r="I299" s="67">
        <v>0</v>
      </c>
      <c r="J299" s="739">
        <v>45404</v>
      </c>
      <c r="K299" s="837" t="s">
        <v>621</v>
      </c>
      <c r="L299" s="740">
        <v>0</v>
      </c>
      <c r="M299" s="741">
        <v>371.28</v>
      </c>
      <c r="N299" s="67">
        <v>605</v>
      </c>
      <c r="O299" s="67">
        <v>46009</v>
      </c>
      <c r="Q299" s="674">
        <v>0</v>
      </c>
      <c r="R299" s="674" t="s">
        <v>1730</v>
      </c>
      <c r="S299" s="798" t="s">
        <v>801</v>
      </c>
      <c r="T299" s="798">
        <v>0</v>
      </c>
      <c r="U299" s="88">
        <v>46009</v>
      </c>
      <c r="V299" s="71">
        <v>123.91995259642319</v>
      </c>
      <c r="W299" s="449">
        <v>46009</v>
      </c>
      <c r="X299" s="67">
        <v>49876</v>
      </c>
      <c r="Y299" s="163">
        <v>-3867</v>
      </c>
      <c r="Z299" s="166">
        <v>-7.7532280054535246E-2</v>
      </c>
      <c r="AA299" s="34" t="s">
        <v>621</v>
      </c>
      <c r="AC299" s="67"/>
      <c r="AD299" s="451"/>
      <c r="AE299" s="452"/>
    </row>
    <row r="300" spans="1:37">
      <c r="A300" s="64" t="s">
        <v>605</v>
      </c>
      <c r="B300" s="784" t="s">
        <v>555</v>
      </c>
      <c r="C300" s="784" t="s">
        <v>1625</v>
      </c>
      <c r="D300" s="134">
        <v>1191</v>
      </c>
      <c r="E300" s="67">
        <v>145648</v>
      </c>
      <c r="F300" s="146">
        <v>0</v>
      </c>
      <c r="G300" s="146">
        <v>0</v>
      </c>
      <c r="H300" s="91">
        <v>145648</v>
      </c>
      <c r="I300" s="67">
        <v>0</v>
      </c>
      <c r="J300" s="739">
        <v>145648</v>
      </c>
      <c r="K300" s="837" t="s">
        <v>621</v>
      </c>
      <c r="L300" s="740">
        <v>0</v>
      </c>
      <c r="M300" s="741">
        <v>1191</v>
      </c>
      <c r="N300" s="67">
        <v>1942</v>
      </c>
      <c r="O300" s="67">
        <v>147590</v>
      </c>
      <c r="Q300" s="674">
        <v>0</v>
      </c>
      <c r="R300" s="674" t="s">
        <v>1730</v>
      </c>
      <c r="S300" s="798" t="s">
        <v>801</v>
      </c>
      <c r="T300" s="798">
        <v>0</v>
      </c>
      <c r="U300" s="88">
        <v>147590</v>
      </c>
      <c r="V300" s="71">
        <v>123.92107472712007</v>
      </c>
      <c r="W300" s="449">
        <v>147590</v>
      </c>
      <c r="X300" s="67">
        <v>163821</v>
      </c>
      <c r="Y300" s="163">
        <v>-16231</v>
      </c>
      <c r="Z300" s="166">
        <v>-9.9077651827299315E-2</v>
      </c>
      <c r="AA300" s="34" t="s">
        <v>621</v>
      </c>
      <c r="AC300" s="67"/>
      <c r="AD300" s="451"/>
      <c r="AE300" s="452"/>
    </row>
    <row r="301" spans="1:37">
      <c r="A301" s="64" t="s">
        <v>605</v>
      </c>
      <c r="B301" s="784" t="s">
        <v>557</v>
      </c>
      <c r="C301" s="784" t="s">
        <v>1626</v>
      </c>
      <c r="D301" s="134">
        <v>2174.5685714285714</v>
      </c>
      <c r="E301" s="67">
        <v>265929</v>
      </c>
      <c r="F301" s="146">
        <v>0</v>
      </c>
      <c r="G301" s="146">
        <v>0</v>
      </c>
      <c r="H301" s="91">
        <v>265929</v>
      </c>
      <c r="I301" s="67">
        <v>0</v>
      </c>
      <c r="J301" s="739">
        <v>265929</v>
      </c>
      <c r="K301" s="837" t="s">
        <v>621</v>
      </c>
      <c r="L301" s="740">
        <v>0</v>
      </c>
      <c r="M301" s="741">
        <v>2174.5685714285714</v>
      </c>
      <c r="N301" s="67">
        <v>3546</v>
      </c>
      <c r="O301" s="67">
        <v>269475</v>
      </c>
      <c r="Q301" s="674">
        <v>0</v>
      </c>
      <c r="R301" s="674" t="s">
        <v>1730</v>
      </c>
      <c r="S301" s="798" t="s">
        <v>801</v>
      </c>
      <c r="T301" s="798">
        <v>0</v>
      </c>
      <c r="U301" s="88">
        <v>269475</v>
      </c>
      <c r="V301" s="71">
        <v>123.92113246765533</v>
      </c>
      <c r="W301" s="449">
        <v>269475</v>
      </c>
      <c r="X301" s="67">
        <v>277411</v>
      </c>
      <c r="Y301" s="163">
        <v>-7936</v>
      </c>
      <c r="Z301" s="166">
        <v>-2.8607373175540983E-2</v>
      </c>
      <c r="AA301" s="34" t="s">
        <v>621</v>
      </c>
      <c r="AC301" s="67"/>
      <c r="AD301" s="451"/>
      <c r="AE301" s="452"/>
    </row>
    <row r="302" spans="1:37">
      <c r="A302" s="64" t="s">
        <v>605</v>
      </c>
      <c r="B302" s="784" t="s">
        <v>559</v>
      </c>
      <c r="C302" s="784" t="s">
        <v>633</v>
      </c>
      <c r="D302" s="134">
        <v>1659.002857142857</v>
      </c>
      <c r="E302" s="67">
        <v>202880</v>
      </c>
      <c r="F302" s="146">
        <v>0</v>
      </c>
      <c r="G302" s="146">
        <v>0</v>
      </c>
      <c r="H302" s="91">
        <v>202880</v>
      </c>
      <c r="I302" s="67">
        <v>0</v>
      </c>
      <c r="J302" s="739">
        <v>202880</v>
      </c>
      <c r="K302" s="837" t="s">
        <v>621</v>
      </c>
      <c r="L302" s="740">
        <v>0</v>
      </c>
      <c r="M302" s="741">
        <v>1659.002857142857</v>
      </c>
      <c r="N302" s="67">
        <v>2705</v>
      </c>
      <c r="O302" s="67">
        <v>205585</v>
      </c>
      <c r="Q302" s="674">
        <v>0</v>
      </c>
      <c r="R302" s="674" t="s">
        <v>1730</v>
      </c>
      <c r="S302" s="798" t="s">
        <v>801</v>
      </c>
      <c r="T302" s="798">
        <v>0</v>
      </c>
      <c r="U302" s="88">
        <v>205585</v>
      </c>
      <c r="V302" s="71">
        <v>123.92082335172076</v>
      </c>
      <c r="W302" s="449">
        <v>205585</v>
      </c>
      <c r="X302" s="67">
        <v>208661</v>
      </c>
      <c r="Y302" s="163">
        <v>-3076</v>
      </c>
      <c r="Z302" s="166">
        <v>-1.4741614388889155E-2</v>
      </c>
      <c r="AA302" s="34" t="s">
        <v>621</v>
      </c>
      <c r="AC302" s="67"/>
      <c r="AD302" s="451"/>
      <c r="AE302" s="452"/>
    </row>
    <row r="303" spans="1:37">
      <c r="A303" s="64" t="s">
        <v>605</v>
      </c>
      <c r="B303" s="784" t="s">
        <v>561</v>
      </c>
      <c r="C303" s="784" t="s">
        <v>1627</v>
      </c>
      <c r="D303" s="134">
        <v>371.86</v>
      </c>
      <c r="E303" s="67">
        <v>45475</v>
      </c>
      <c r="F303" s="146">
        <v>0</v>
      </c>
      <c r="G303" s="146">
        <v>0</v>
      </c>
      <c r="H303" s="91">
        <v>45475</v>
      </c>
      <c r="I303" s="67">
        <v>0</v>
      </c>
      <c r="J303" s="739">
        <v>45475</v>
      </c>
      <c r="K303" s="837" t="s">
        <v>621</v>
      </c>
      <c r="L303" s="740">
        <v>0</v>
      </c>
      <c r="M303" s="741">
        <v>371.86</v>
      </c>
      <c r="N303" s="67">
        <v>606</v>
      </c>
      <c r="O303" s="67">
        <v>46081</v>
      </c>
      <c r="Q303" s="674">
        <v>0</v>
      </c>
      <c r="R303" s="674" t="s">
        <v>1730</v>
      </c>
      <c r="S303" s="798" t="s">
        <v>801</v>
      </c>
      <c r="T303" s="798">
        <v>0</v>
      </c>
      <c r="U303" s="88">
        <v>46081</v>
      </c>
      <c r="V303" s="71">
        <v>123.92029258323025</v>
      </c>
      <c r="W303" s="449">
        <v>46081</v>
      </c>
      <c r="X303" s="67">
        <v>42987</v>
      </c>
      <c r="Y303" s="163">
        <v>3094</v>
      </c>
      <c r="Z303" s="166">
        <v>7.1975248330890737E-2</v>
      </c>
      <c r="AA303" s="34" t="s">
        <v>621</v>
      </c>
      <c r="AC303" s="67"/>
      <c r="AD303" s="451"/>
      <c r="AE303" s="452"/>
    </row>
    <row r="304" spans="1:37">
      <c r="A304" s="64" t="s">
        <v>605</v>
      </c>
      <c r="B304" s="23" t="s">
        <v>563</v>
      </c>
      <c r="C304" s="788" t="s">
        <v>1628</v>
      </c>
      <c r="D304" s="134">
        <v>598.57142857142856</v>
      </c>
      <c r="E304" s="67">
        <v>73200</v>
      </c>
      <c r="F304" s="146">
        <v>0</v>
      </c>
      <c r="G304" s="146">
        <v>0</v>
      </c>
      <c r="H304" s="91">
        <v>73200</v>
      </c>
      <c r="I304" s="67">
        <v>0</v>
      </c>
      <c r="J304" s="739">
        <v>73200</v>
      </c>
      <c r="K304" s="837" t="s">
        <v>621</v>
      </c>
      <c r="L304" s="740">
        <v>0</v>
      </c>
      <c r="M304" s="741">
        <v>598.57142857142856</v>
      </c>
      <c r="N304" s="67">
        <v>976</v>
      </c>
      <c r="O304" s="67">
        <v>74176</v>
      </c>
      <c r="Q304" s="674">
        <v>0</v>
      </c>
      <c r="R304" s="674" t="s">
        <v>1730</v>
      </c>
      <c r="S304" s="798" t="s">
        <v>801</v>
      </c>
      <c r="T304" s="798">
        <v>0</v>
      </c>
      <c r="U304" s="88">
        <v>74176</v>
      </c>
      <c r="V304" s="71">
        <v>123.92171837708831</v>
      </c>
      <c r="W304" s="449">
        <v>74176</v>
      </c>
      <c r="X304" s="67">
        <v>71963</v>
      </c>
      <c r="Y304" s="163">
        <v>2213</v>
      </c>
      <c r="Z304" s="166">
        <v>3.0751914178119313E-2</v>
      </c>
      <c r="AA304" s="34" t="s">
        <v>621</v>
      </c>
      <c r="AB304" s="72"/>
      <c r="AC304" s="72"/>
      <c r="AE304" s="452"/>
    </row>
    <row r="305" spans="1:37">
      <c r="A305" s="64" t="s">
        <v>605</v>
      </c>
      <c r="B305" s="36" t="s">
        <v>565</v>
      </c>
      <c r="C305" s="23" t="s">
        <v>1629</v>
      </c>
      <c r="D305" s="134">
        <v>156.71285714285713</v>
      </c>
      <c r="E305" s="67">
        <v>19164</v>
      </c>
      <c r="F305" s="146">
        <v>0</v>
      </c>
      <c r="G305" s="146">
        <v>0</v>
      </c>
      <c r="H305" s="91">
        <v>19164</v>
      </c>
      <c r="I305" s="67">
        <v>0</v>
      </c>
      <c r="J305" s="739">
        <v>19164</v>
      </c>
      <c r="K305" s="837" t="s">
        <v>621</v>
      </c>
      <c r="L305" s="740">
        <v>0</v>
      </c>
      <c r="M305" s="741">
        <v>156.71285714285713</v>
      </c>
      <c r="N305" s="67">
        <v>256</v>
      </c>
      <c r="O305" s="67">
        <v>19420</v>
      </c>
      <c r="Q305" s="674">
        <v>0</v>
      </c>
      <c r="R305" s="674" t="s">
        <v>1730</v>
      </c>
      <c r="S305" s="798" t="s">
        <v>801</v>
      </c>
      <c r="T305" s="798">
        <v>0</v>
      </c>
      <c r="U305" s="88">
        <v>19420</v>
      </c>
      <c r="V305" s="71">
        <v>123.9209108560698</v>
      </c>
      <c r="W305" s="449">
        <v>19420</v>
      </c>
      <c r="X305" s="67">
        <v>20683</v>
      </c>
      <c r="Y305" s="163">
        <v>-1263</v>
      </c>
      <c r="Z305" s="166">
        <v>-6.1064642459991297E-2</v>
      </c>
      <c r="AA305" s="34" t="s">
        <v>621</v>
      </c>
      <c r="AE305" s="452"/>
    </row>
    <row r="306" spans="1:37">
      <c r="A306" s="64" t="s">
        <v>605</v>
      </c>
      <c r="B306" s="36" t="s">
        <v>567</v>
      </c>
      <c r="C306" s="23" t="s">
        <v>1630</v>
      </c>
      <c r="D306" s="134">
        <v>1738.0042857142857</v>
      </c>
      <c r="E306" s="67">
        <v>212541</v>
      </c>
      <c r="F306" s="146">
        <v>0</v>
      </c>
      <c r="G306" s="146">
        <v>0</v>
      </c>
      <c r="H306" s="91">
        <v>212541</v>
      </c>
      <c r="I306" s="67">
        <v>0</v>
      </c>
      <c r="J306" s="739">
        <v>212541</v>
      </c>
      <c r="K306" s="837" t="s">
        <v>621</v>
      </c>
      <c r="L306" s="740">
        <v>0</v>
      </c>
      <c r="M306" s="741">
        <v>1738.0042857142857</v>
      </c>
      <c r="N306" s="67">
        <v>2834</v>
      </c>
      <c r="O306" s="67">
        <v>215375</v>
      </c>
      <c r="Q306" s="674">
        <v>0</v>
      </c>
      <c r="R306" s="674" t="s">
        <v>1730</v>
      </c>
      <c r="S306" s="798" t="s">
        <v>801</v>
      </c>
      <c r="T306" s="798">
        <v>0</v>
      </c>
      <c r="U306" s="88">
        <v>215375</v>
      </c>
      <c r="V306" s="71">
        <v>123.92086818789696</v>
      </c>
      <c r="W306" s="449">
        <v>215375</v>
      </c>
      <c r="X306" s="67">
        <v>204969</v>
      </c>
      <c r="Y306" s="163">
        <v>10406</v>
      </c>
      <c r="Z306" s="166">
        <v>5.0768652820670446E-2</v>
      </c>
      <c r="AA306" s="34" t="s">
        <v>621</v>
      </c>
      <c r="AE306" s="452"/>
    </row>
    <row r="307" spans="1:37">
      <c r="A307" s="64" t="s">
        <v>605</v>
      </c>
      <c r="B307" s="36" t="s">
        <v>569</v>
      </c>
      <c r="C307" s="23" t="s">
        <v>1631</v>
      </c>
      <c r="D307" s="134">
        <v>389.28571428571428</v>
      </c>
      <c r="E307" s="67">
        <v>47606</v>
      </c>
      <c r="F307" s="146">
        <v>0</v>
      </c>
      <c r="G307" s="146">
        <v>0</v>
      </c>
      <c r="H307" s="91">
        <v>47606</v>
      </c>
      <c r="I307" s="67">
        <v>0</v>
      </c>
      <c r="J307" s="739">
        <v>47606</v>
      </c>
      <c r="K307" s="837" t="s">
        <v>621</v>
      </c>
      <c r="L307" s="740">
        <v>0</v>
      </c>
      <c r="M307" s="741">
        <v>389.28571428571428</v>
      </c>
      <c r="N307" s="67">
        <v>635</v>
      </c>
      <c r="O307" s="67">
        <v>48241</v>
      </c>
      <c r="Q307" s="674">
        <v>0</v>
      </c>
      <c r="R307" s="674" t="s">
        <v>1730</v>
      </c>
      <c r="S307" s="798" t="s">
        <v>801</v>
      </c>
      <c r="T307" s="798">
        <v>0</v>
      </c>
      <c r="U307" s="88">
        <v>48241</v>
      </c>
      <c r="V307" s="71">
        <v>123.92183486238532</v>
      </c>
      <c r="W307" s="449">
        <v>48241</v>
      </c>
      <c r="X307" s="67">
        <v>49258</v>
      </c>
      <c r="Y307" s="163">
        <v>-1017</v>
      </c>
      <c r="Z307" s="166">
        <v>-2.0646392464168255E-2</v>
      </c>
      <c r="AA307" s="34" t="s">
        <v>621</v>
      </c>
      <c r="AE307" s="452"/>
    </row>
    <row r="308" spans="1:37">
      <c r="A308" s="64" t="s">
        <v>605</v>
      </c>
      <c r="B308" s="36" t="s">
        <v>571</v>
      </c>
      <c r="C308" s="23" t="s">
        <v>1632</v>
      </c>
      <c r="D308" s="134">
        <v>447.28</v>
      </c>
      <c r="E308" s="67">
        <v>54698</v>
      </c>
      <c r="F308" s="146">
        <v>0</v>
      </c>
      <c r="G308" s="146">
        <v>0</v>
      </c>
      <c r="H308" s="91">
        <v>54698</v>
      </c>
      <c r="I308" s="67">
        <v>0</v>
      </c>
      <c r="J308" s="739">
        <v>54698</v>
      </c>
      <c r="K308" s="837" t="s">
        <v>621</v>
      </c>
      <c r="L308" s="740">
        <v>0</v>
      </c>
      <c r="M308" s="741">
        <v>447.28</v>
      </c>
      <c r="N308" s="67">
        <v>729</v>
      </c>
      <c r="O308" s="67">
        <v>55427</v>
      </c>
      <c r="Q308" s="674">
        <v>0</v>
      </c>
      <c r="R308" s="674" t="s">
        <v>1730</v>
      </c>
      <c r="S308" s="798" t="s">
        <v>801</v>
      </c>
      <c r="T308" s="798">
        <v>0</v>
      </c>
      <c r="U308" s="88">
        <v>55427</v>
      </c>
      <c r="V308" s="71">
        <v>123.92013950992667</v>
      </c>
      <c r="W308" s="449">
        <v>55427</v>
      </c>
      <c r="X308" s="67">
        <v>57459</v>
      </c>
      <c r="Y308" s="163">
        <v>-2032</v>
      </c>
      <c r="Z308" s="166">
        <v>-3.536434675159679E-2</v>
      </c>
      <c r="AA308" s="34" t="s">
        <v>621</v>
      </c>
      <c r="AE308" s="452"/>
    </row>
    <row r="309" spans="1:37" s="29" customFormat="1">
      <c r="A309" s="64" t="s">
        <v>1666</v>
      </c>
      <c r="B309" s="36" t="s">
        <v>1660</v>
      </c>
      <c r="C309" s="23" t="s">
        <v>1661</v>
      </c>
      <c r="D309" s="134">
        <v>0</v>
      </c>
      <c r="E309" s="67">
        <v>0</v>
      </c>
      <c r="F309" s="146">
        <v>0</v>
      </c>
      <c r="G309" s="146">
        <v>0</v>
      </c>
      <c r="H309" s="91">
        <v>0</v>
      </c>
      <c r="I309" s="67">
        <v>0</v>
      </c>
      <c r="J309" s="739">
        <v>0</v>
      </c>
      <c r="K309" s="837" t="s">
        <v>644</v>
      </c>
      <c r="L309" s="740">
        <v>0</v>
      </c>
      <c r="M309" s="741">
        <v>0</v>
      </c>
      <c r="N309" s="67">
        <v>0</v>
      </c>
      <c r="O309" s="67">
        <v>0</v>
      </c>
      <c r="P309" s="674"/>
      <c r="Q309" s="674">
        <v>0</v>
      </c>
      <c r="R309" s="674" t="s">
        <v>1730</v>
      </c>
      <c r="S309" s="798" t="s">
        <v>801</v>
      </c>
      <c r="T309" s="798">
        <v>0</v>
      </c>
      <c r="U309" s="88">
        <v>0</v>
      </c>
      <c r="V309" s="71">
        <v>0</v>
      </c>
      <c r="W309" s="449">
        <v>0</v>
      </c>
      <c r="X309" s="67">
        <v>0</v>
      </c>
      <c r="Y309" s="163">
        <v>0</v>
      </c>
      <c r="Z309" s="166">
        <v>0</v>
      </c>
      <c r="AA309" s="34" t="s">
        <v>644</v>
      </c>
      <c r="AB309" s="23"/>
      <c r="AC309" s="28"/>
      <c r="AD309" s="23"/>
      <c r="AE309" s="452"/>
      <c r="AF309" s="23"/>
      <c r="AG309" s="23"/>
      <c r="AH309" s="23"/>
      <c r="AI309" s="23"/>
      <c r="AJ309" s="23"/>
      <c r="AK309" s="23"/>
    </row>
    <row r="310" spans="1:37" s="29" customFormat="1">
      <c r="A310" s="64" t="s">
        <v>1666</v>
      </c>
      <c r="B310" s="802" t="s">
        <v>1682</v>
      </c>
      <c r="C310" s="23" t="s">
        <v>1683</v>
      </c>
      <c r="D310" s="134">
        <v>0</v>
      </c>
      <c r="E310" s="67">
        <v>0</v>
      </c>
      <c r="F310" s="146">
        <v>0</v>
      </c>
      <c r="G310" s="146">
        <v>0</v>
      </c>
      <c r="H310" s="91">
        <v>0</v>
      </c>
      <c r="I310" s="67">
        <v>0</v>
      </c>
      <c r="J310" s="739">
        <v>0</v>
      </c>
      <c r="K310" s="837" t="s">
        <v>644</v>
      </c>
      <c r="L310" s="740">
        <v>0</v>
      </c>
      <c r="M310" s="741">
        <v>0</v>
      </c>
      <c r="N310" s="67">
        <v>0</v>
      </c>
      <c r="O310" s="67">
        <v>0</v>
      </c>
      <c r="P310" s="674"/>
      <c r="Q310" s="674">
        <v>0</v>
      </c>
      <c r="R310" s="674" t="s">
        <v>1730</v>
      </c>
      <c r="S310" s="798" t="s">
        <v>801</v>
      </c>
      <c r="T310" s="798">
        <v>0</v>
      </c>
      <c r="U310" s="88">
        <v>0</v>
      </c>
      <c r="V310" s="71">
        <v>0</v>
      </c>
      <c r="W310" s="449">
        <v>0</v>
      </c>
      <c r="X310" s="67">
        <v>0</v>
      </c>
      <c r="Y310" s="163">
        <v>0</v>
      </c>
      <c r="Z310" s="166">
        <v>0</v>
      </c>
      <c r="AA310" s="34" t="s">
        <v>644</v>
      </c>
      <c r="AB310" s="23"/>
      <c r="AC310" s="28"/>
      <c r="AD310" s="23"/>
      <c r="AE310" s="452"/>
      <c r="AF310" s="23"/>
      <c r="AG310" s="23"/>
      <c r="AH310" s="23"/>
      <c r="AI310" s="23"/>
      <c r="AJ310" s="23"/>
      <c r="AK310" s="23"/>
    </row>
    <row r="311" spans="1:37" s="29" customFormat="1">
      <c r="A311" s="64" t="s">
        <v>1666</v>
      </c>
      <c r="B311" s="802" t="s">
        <v>1684</v>
      </c>
      <c r="C311" s="23" t="s">
        <v>1685</v>
      </c>
      <c r="D311" s="134">
        <v>0</v>
      </c>
      <c r="E311" s="67">
        <v>0</v>
      </c>
      <c r="F311" s="146">
        <v>0</v>
      </c>
      <c r="G311" s="146">
        <v>0</v>
      </c>
      <c r="H311" s="91">
        <v>0</v>
      </c>
      <c r="I311" s="67">
        <v>0</v>
      </c>
      <c r="J311" s="739">
        <v>0</v>
      </c>
      <c r="K311" s="837" t="s">
        <v>644</v>
      </c>
      <c r="L311" s="740">
        <v>0</v>
      </c>
      <c r="M311" s="741">
        <v>0</v>
      </c>
      <c r="N311" s="67">
        <v>0</v>
      </c>
      <c r="O311" s="67">
        <v>0</v>
      </c>
      <c r="P311" s="674"/>
      <c r="Q311" s="674">
        <v>0</v>
      </c>
      <c r="R311" s="674" t="s">
        <v>1730</v>
      </c>
      <c r="S311" s="798" t="s">
        <v>801</v>
      </c>
      <c r="T311" s="798">
        <v>0</v>
      </c>
      <c r="U311" s="88">
        <v>0</v>
      </c>
      <c r="V311" s="71">
        <v>0</v>
      </c>
      <c r="W311" s="449">
        <v>0</v>
      </c>
      <c r="X311" s="67">
        <v>0</v>
      </c>
      <c r="Y311" s="163">
        <v>0</v>
      </c>
      <c r="Z311" s="166">
        <v>0</v>
      </c>
      <c r="AA311" s="34" t="s">
        <v>644</v>
      </c>
      <c r="AB311" s="23"/>
      <c r="AC311" s="28"/>
      <c r="AD311" s="23"/>
      <c r="AE311" s="452"/>
      <c r="AF311" s="23"/>
      <c r="AG311" s="23"/>
      <c r="AH311" s="23"/>
      <c r="AI311" s="23"/>
      <c r="AJ311" s="23"/>
      <c r="AK311" s="23"/>
    </row>
    <row r="312" spans="1:37" s="29" customFormat="1">
      <c r="A312" s="64" t="s">
        <v>1666</v>
      </c>
      <c r="B312" s="802" t="s">
        <v>1686</v>
      </c>
      <c r="C312" s="23" t="s">
        <v>1687</v>
      </c>
      <c r="D312" s="134">
        <v>87.15</v>
      </c>
      <c r="E312" s="67">
        <v>10658</v>
      </c>
      <c r="F312" s="146">
        <v>0</v>
      </c>
      <c r="G312" s="146">
        <v>0</v>
      </c>
      <c r="H312" s="91">
        <v>10658</v>
      </c>
      <c r="I312" s="67">
        <v>0</v>
      </c>
      <c r="J312" s="739">
        <v>10658</v>
      </c>
      <c r="K312" s="837" t="s">
        <v>621</v>
      </c>
      <c r="L312" s="740">
        <v>0</v>
      </c>
      <c r="M312" s="741">
        <v>87.15</v>
      </c>
      <c r="N312" s="67">
        <v>142</v>
      </c>
      <c r="O312" s="67">
        <v>10800</v>
      </c>
      <c r="P312" s="674"/>
      <c r="Q312" s="674">
        <v>0</v>
      </c>
      <c r="R312" s="674" t="s">
        <v>1730</v>
      </c>
      <c r="S312" s="798" t="s">
        <v>801</v>
      </c>
      <c r="T312" s="798">
        <v>0</v>
      </c>
      <c r="U312" s="88">
        <v>10800</v>
      </c>
      <c r="V312" s="71">
        <v>123.92426850258175</v>
      </c>
      <c r="W312" s="449">
        <v>10800</v>
      </c>
      <c r="X312" s="67">
        <v>0</v>
      </c>
      <c r="Y312" s="163">
        <v>10800</v>
      </c>
      <c r="Z312" s="166">
        <v>0</v>
      </c>
      <c r="AA312" s="34" t="s">
        <v>621</v>
      </c>
      <c r="AB312" s="23"/>
      <c r="AC312" s="28"/>
      <c r="AD312" s="23"/>
      <c r="AE312" s="452"/>
      <c r="AF312" s="23"/>
      <c r="AG312" s="23"/>
      <c r="AH312" s="23"/>
      <c r="AI312" s="23"/>
      <c r="AJ312" s="23"/>
      <c r="AK312" s="23"/>
    </row>
    <row r="313" spans="1:37" s="29" customFormat="1">
      <c r="A313" s="64" t="s">
        <v>1666</v>
      </c>
      <c r="B313" s="802" t="s">
        <v>1689</v>
      </c>
      <c r="C313" s="23" t="s">
        <v>1688</v>
      </c>
      <c r="D313" s="134">
        <v>14.57</v>
      </c>
      <c r="E313" s="67">
        <v>1782</v>
      </c>
      <c r="F313" s="146">
        <v>0</v>
      </c>
      <c r="G313" s="146">
        <v>0</v>
      </c>
      <c r="H313" s="91">
        <v>1782</v>
      </c>
      <c r="I313" s="67">
        <v>0</v>
      </c>
      <c r="J313" s="739">
        <v>1782</v>
      </c>
      <c r="K313" s="837" t="s">
        <v>644</v>
      </c>
      <c r="L313" s="740">
        <v>1782</v>
      </c>
      <c r="M313" s="741">
        <v>0</v>
      </c>
      <c r="N313" s="67">
        <v>0</v>
      </c>
      <c r="O313" s="67">
        <v>0</v>
      </c>
      <c r="P313" s="674"/>
      <c r="Q313" s="674">
        <v>0</v>
      </c>
      <c r="R313" s="674" t="s">
        <v>1730</v>
      </c>
      <c r="S313" s="798" t="s">
        <v>801</v>
      </c>
      <c r="T313" s="798">
        <v>0</v>
      </c>
      <c r="U313" s="88">
        <v>0</v>
      </c>
      <c r="V313" s="71">
        <v>0</v>
      </c>
      <c r="W313" s="449">
        <v>0</v>
      </c>
      <c r="X313" s="67">
        <v>0</v>
      </c>
      <c r="Y313" s="163">
        <v>0</v>
      </c>
      <c r="Z313" s="166">
        <v>0</v>
      </c>
      <c r="AA313" s="34" t="s">
        <v>644</v>
      </c>
      <c r="AB313" s="23"/>
      <c r="AC313" s="28"/>
      <c r="AD313" s="23"/>
      <c r="AE313" s="452"/>
      <c r="AF313" s="23"/>
      <c r="AG313" s="23"/>
      <c r="AH313" s="23"/>
      <c r="AI313" s="23"/>
      <c r="AJ313" s="23"/>
      <c r="AK313" s="23"/>
    </row>
    <row r="314" spans="1:37" s="29" customFormat="1">
      <c r="A314" s="64" t="s">
        <v>1666</v>
      </c>
      <c r="B314" s="36" t="s">
        <v>1690</v>
      </c>
      <c r="C314" s="23" t="s">
        <v>1695</v>
      </c>
      <c r="D314" s="134">
        <v>0</v>
      </c>
      <c r="E314" s="67">
        <v>0</v>
      </c>
      <c r="F314" s="146">
        <v>0</v>
      </c>
      <c r="G314" s="146">
        <v>0</v>
      </c>
      <c r="H314" s="91">
        <v>0</v>
      </c>
      <c r="I314" s="67">
        <v>0</v>
      </c>
      <c r="J314" s="739">
        <v>0</v>
      </c>
      <c r="K314" s="837" t="s">
        <v>644</v>
      </c>
      <c r="L314" s="740">
        <v>0</v>
      </c>
      <c r="M314" s="741">
        <v>0</v>
      </c>
      <c r="N314" s="67">
        <v>0</v>
      </c>
      <c r="O314" s="67">
        <v>0</v>
      </c>
      <c r="P314" s="674"/>
      <c r="Q314" s="674">
        <v>0</v>
      </c>
      <c r="R314" s="674" t="s">
        <v>1730</v>
      </c>
      <c r="S314" s="798" t="s">
        <v>801</v>
      </c>
      <c r="T314" s="798">
        <v>0</v>
      </c>
      <c r="U314" s="88">
        <v>0</v>
      </c>
      <c r="V314" s="71">
        <v>0</v>
      </c>
      <c r="W314" s="449">
        <v>0</v>
      </c>
      <c r="X314" s="67">
        <v>0</v>
      </c>
      <c r="Y314" s="163">
        <v>0</v>
      </c>
      <c r="Z314" s="166">
        <v>0</v>
      </c>
      <c r="AA314" s="34" t="s">
        <v>644</v>
      </c>
      <c r="AB314" s="23"/>
      <c r="AC314" s="28"/>
      <c r="AD314" s="23"/>
      <c r="AE314" s="452"/>
      <c r="AF314" s="23"/>
      <c r="AG314" s="23"/>
      <c r="AH314" s="23"/>
      <c r="AI314" s="23"/>
      <c r="AJ314" s="23"/>
      <c r="AK314" s="23"/>
    </row>
    <row r="315" spans="1:37" s="29" customFormat="1">
      <c r="A315" s="64" t="s">
        <v>1666</v>
      </c>
      <c r="B315" s="36" t="s">
        <v>1691</v>
      </c>
      <c r="C315" s="23" t="s">
        <v>1696</v>
      </c>
      <c r="D315" s="134">
        <v>9.57</v>
      </c>
      <c r="E315" s="67">
        <v>1170</v>
      </c>
      <c r="F315" s="146">
        <v>0</v>
      </c>
      <c r="G315" s="146">
        <v>0</v>
      </c>
      <c r="H315" s="91">
        <v>1170</v>
      </c>
      <c r="I315" s="67">
        <v>0</v>
      </c>
      <c r="J315" s="739">
        <v>1170</v>
      </c>
      <c r="K315" s="837" t="s">
        <v>644</v>
      </c>
      <c r="L315" s="740">
        <v>1170</v>
      </c>
      <c r="M315" s="741">
        <v>0</v>
      </c>
      <c r="N315" s="67">
        <v>0</v>
      </c>
      <c r="O315" s="67">
        <v>0</v>
      </c>
      <c r="P315" s="674"/>
      <c r="Q315" s="674">
        <v>0</v>
      </c>
      <c r="R315" s="674" t="s">
        <v>1730</v>
      </c>
      <c r="S315" s="798" t="s">
        <v>801</v>
      </c>
      <c r="T315" s="798">
        <v>0</v>
      </c>
      <c r="U315" s="88">
        <v>0</v>
      </c>
      <c r="V315" s="71">
        <v>0</v>
      </c>
      <c r="W315" s="449">
        <v>0</v>
      </c>
      <c r="X315" s="67">
        <v>0</v>
      </c>
      <c r="Y315" s="163">
        <v>0</v>
      </c>
      <c r="Z315" s="166">
        <v>0</v>
      </c>
      <c r="AA315" s="34" t="s">
        <v>644</v>
      </c>
      <c r="AB315" s="23"/>
      <c r="AC315" s="28"/>
      <c r="AD315" s="23"/>
      <c r="AE315" s="452"/>
      <c r="AF315" s="23"/>
      <c r="AG315" s="23"/>
      <c r="AH315" s="23"/>
      <c r="AI315" s="23"/>
      <c r="AJ315" s="23"/>
      <c r="AK315" s="23"/>
    </row>
    <row r="316" spans="1:37" s="29" customFormat="1">
      <c r="A316" s="64" t="s">
        <v>1666</v>
      </c>
      <c r="B316" s="802" t="s">
        <v>1701</v>
      </c>
      <c r="C316" s="23" t="s">
        <v>1697</v>
      </c>
      <c r="D316" s="134">
        <v>11.29</v>
      </c>
      <c r="E316" s="67">
        <v>1381</v>
      </c>
      <c r="F316" s="146">
        <v>0</v>
      </c>
      <c r="G316" s="146">
        <v>0</v>
      </c>
      <c r="H316" s="91">
        <v>1381</v>
      </c>
      <c r="I316" s="67">
        <v>0</v>
      </c>
      <c r="J316" s="739">
        <v>1381</v>
      </c>
      <c r="K316" s="837" t="s">
        <v>644</v>
      </c>
      <c r="L316" s="740">
        <v>1381</v>
      </c>
      <c r="M316" s="741">
        <v>0</v>
      </c>
      <c r="N316" s="67">
        <v>0</v>
      </c>
      <c r="O316" s="67">
        <v>0</v>
      </c>
      <c r="P316" s="674"/>
      <c r="Q316" s="674">
        <v>0</v>
      </c>
      <c r="R316" s="674" t="s">
        <v>1730</v>
      </c>
      <c r="S316" s="798" t="s">
        <v>801</v>
      </c>
      <c r="T316" s="798">
        <v>0</v>
      </c>
      <c r="U316" s="88">
        <v>0</v>
      </c>
      <c r="V316" s="71">
        <v>0</v>
      </c>
      <c r="W316" s="449">
        <v>0</v>
      </c>
      <c r="X316" s="67">
        <v>0</v>
      </c>
      <c r="Y316" s="163">
        <v>0</v>
      </c>
      <c r="Z316" s="166">
        <v>0</v>
      </c>
      <c r="AA316" s="34" t="s">
        <v>644</v>
      </c>
      <c r="AB316" s="23"/>
      <c r="AC316" s="28"/>
      <c r="AD316" s="23"/>
      <c r="AE316" s="452"/>
      <c r="AF316" s="23"/>
      <c r="AG316" s="23"/>
      <c r="AH316" s="23"/>
      <c r="AI316" s="23"/>
      <c r="AJ316" s="23"/>
      <c r="AK316" s="23"/>
    </row>
    <row r="317" spans="1:37" s="29" customFormat="1">
      <c r="A317" s="64" t="s">
        <v>1666</v>
      </c>
      <c r="B317" s="36" t="s">
        <v>1692</v>
      </c>
      <c r="C317" s="23" t="s">
        <v>1698</v>
      </c>
      <c r="D317" s="134">
        <v>19.71</v>
      </c>
      <c r="E317" s="67">
        <v>2410</v>
      </c>
      <c r="F317" s="146">
        <v>0</v>
      </c>
      <c r="G317" s="146">
        <v>0</v>
      </c>
      <c r="H317" s="91">
        <v>2410</v>
      </c>
      <c r="I317" s="67">
        <v>0</v>
      </c>
      <c r="J317" s="739">
        <v>2410</v>
      </c>
      <c r="K317" s="837" t="s">
        <v>644</v>
      </c>
      <c r="L317" s="740">
        <v>2410</v>
      </c>
      <c r="M317" s="741">
        <v>0</v>
      </c>
      <c r="N317" s="67">
        <v>0</v>
      </c>
      <c r="O317" s="67">
        <v>0</v>
      </c>
      <c r="P317" s="674"/>
      <c r="Q317" s="674">
        <v>0</v>
      </c>
      <c r="R317" s="674" t="s">
        <v>1730</v>
      </c>
      <c r="S317" s="798" t="s">
        <v>801</v>
      </c>
      <c r="T317" s="798">
        <v>0</v>
      </c>
      <c r="U317" s="88">
        <v>0</v>
      </c>
      <c r="V317" s="71">
        <v>0</v>
      </c>
      <c r="W317" s="449">
        <v>0</v>
      </c>
      <c r="X317" s="67">
        <v>0</v>
      </c>
      <c r="Y317" s="163">
        <v>0</v>
      </c>
      <c r="Z317" s="166">
        <v>0</v>
      </c>
      <c r="AA317" s="34" t="s">
        <v>644</v>
      </c>
      <c r="AB317" s="23"/>
      <c r="AC317" s="28"/>
      <c r="AD317" s="23"/>
      <c r="AE317" s="452"/>
      <c r="AF317" s="23"/>
      <c r="AG317" s="23"/>
      <c r="AH317" s="23"/>
      <c r="AI317" s="23"/>
      <c r="AJ317" s="23"/>
      <c r="AK317" s="23"/>
    </row>
    <row r="318" spans="1:37" s="29" customFormat="1">
      <c r="A318" s="64" t="s">
        <v>1666</v>
      </c>
      <c r="B318" s="36" t="s">
        <v>1693</v>
      </c>
      <c r="C318" s="23" t="s">
        <v>1699</v>
      </c>
      <c r="D318" s="134">
        <v>30.57</v>
      </c>
      <c r="E318" s="67">
        <v>3738</v>
      </c>
      <c r="F318" s="146">
        <v>0</v>
      </c>
      <c r="G318" s="146">
        <v>0</v>
      </c>
      <c r="H318" s="91">
        <v>3738</v>
      </c>
      <c r="I318" s="67">
        <v>0</v>
      </c>
      <c r="J318" s="739">
        <v>3738</v>
      </c>
      <c r="K318" s="837" t="s">
        <v>644</v>
      </c>
      <c r="L318" s="740">
        <v>3738</v>
      </c>
      <c r="M318" s="741">
        <v>0</v>
      </c>
      <c r="N318" s="67">
        <v>0</v>
      </c>
      <c r="O318" s="67">
        <v>0</v>
      </c>
      <c r="P318" s="674"/>
      <c r="Q318" s="674">
        <v>0</v>
      </c>
      <c r="R318" s="674" t="s">
        <v>1730</v>
      </c>
      <c r="S318" s="798" t="s">
        <v>801</v>
      </c>
      <c r="T318" s="798">
        <v>0</v>
      </c>
      <c r="U318" s="88">
        <v>0</v>
      </c>
      <c r="V318" s="71">
        <v>0</v>
      </c>
      <c r="W318" s="449">
        <v>0</v>
      </c>
      <c r="X318" s="67">
        <v>0</v>
      </c>
      <c r="Y318" s="163">
        <v>0</v>
      </c>
      <c r="Z318" s="166">
        <v>0</v>
      </c>
      <c r="AA318" s="34" t="s">
        <v>644</v>
      </c>
      <c r="AB318" s="23"/>
      <c r="AC318" s="28"/>
      <c r="AD318" s="23"/>
      <c r="AE318" s="452"/>
      <c r="AF318" s="23"/>
      <c r="AG318" s="23"/>
      <c r="AH318" s="23"/>
      <c r="AI318" s="23"/>
      <c r="AJ318" s="23"/>
      <c r="AK318" s="23"/>
    </row>
    <row r="319" spans="1:37" s="29" customFormat="1">
      <c r="A319" s="64" t="s">
        <v>1666</v>
      </c>
      <c r="B319" s="36" t="s">
        <v>1694</v>
      </c>
      <c r="C319" s="23" t="s">
        <v>1700</v>
      </c>
      <c r="D319" s="134">
        <v>14.14</v>
      </c>
      <c r="E319" s="67">
        <v>1729</v>
      </c>
      <c r="F319" s="146">
        <v>0</v>
      </c>
      <c r="G319" s="146">
        <v>0</v>
      </c>
      <c r="H319" s="91">
        <v>1729</v>
      </c>
      <c r="I319" s="67">
        <v>0</v>
      </c>
      <c r="J319" s="739">
        <v>1729</v>
      </c>
      <c r="K319" s="837" t="s">
        <v>644</v>
      </c>
      <c r="L319" s="740">
        <v>1729</v>
      </c>
      <c r="M319" s="741">
        <v>0</v>
      </c>
      <c r="N319" s="67">
        <v>0</v>
      </c>
      <c r="O319" s="67">
        <v>0</v>
      </c>
      <c r="P319" s="674"/>
      <c r="Q319" s="674">
        <v>0</v>
      </c>
      <c r="R319" s="674" t="s">
        <v>1730</v>
      </c>
      <c r="S319" s="798" t="s">
        <v>801</v>
      </c>
      <c r="T319" s="798">
        <v>0</v>
      </c>
      <c r="U319" s="88">
        <v>0</v>
      </c>
      <c r="V319" s="71">
        <v>0</v>
      </c>
      <c r="W319" s="449">
        <v>0</v>
      </c>
      <c r="X319" s="67">
        <v>0</v>
      </c>
      <c r="Y319" s="163">
        <v>0</v>
      </c>
      <c r="Z319" s="166">
        <v>0</v>
      </c>
      <c r="AA319" s="34" t="s">
        <v>644</v>
      </c>
      <c r="AB319" s="23"/>
      <c r="AC319" s="28"/>
      <c r="AD319" s="23"/>
      <c r="AE319" s="452"/>
      <c r="AF319" s="23"/>
      <c r="AG319" s="23"/>
      <c r="AH319" s="23"/>
      <c r="AI319" s="23"/>
      <c r="AJ319" s="23"/>
      <c r="AK319" s="23"/>
    </row>
    <row r="320" spans="1:37" s="29" customFormat="1">
      <c r="A320" s="64" t="s">
        <v>1666</v>
      </c>
      <c r="B320" s="812" t="s">
        <v>1715</v>
      </c>
      <c r="C320" s="543" t="s">
        <v>1718</v>
      </c>
      <c r="D320" s="134">
        <v>69</v>
      </c>
      <c r="E320" s="67">
        <v>8438</v>
      </c>
      <c r="F320" s="146">
        <v>0</v>
      </c>
      <c r="G320" s="146">
        <v>0</v>
      </c>
      <c r="H320" s="91">
        <v>8438</v>
      </c>
      <c r="I320" s="67">
        <v>0</v>
      </c>
      <c r="J320" s="739">
        <v>8438</v>
      </c>
      <c r="K320" s="837" t="s">
        <v>644</v>
      </c>
      <c r="L320" s="740">
        <v>8438</v>
      </c>
      <c r="M320" s="741">
        <v>0</v>
      </c>
      <c r="N320" s="67">
        <v>0</v>
      </c>
      <c r="O320" s="67">
        <v>0</v>
      </c>
      <c r="P320" s="674"/>
      <c r="Q320" s="674">
        <v>0</v>
      </c>
      <c r="R320" s="674" t="s">
        <v>1730</v>
      </c>
      <c r="S320" s="798" t="s">
        <v>801</v>
      </c>
      <c r="T320" s="798">
        <v>0</v>
      </c>
      <c r="U320" s="88">
        <v>0</v>
      </c>
      <c r="V320" s="71">
        <v>0</v>
      </c>
      <c r="W320" s="449">
        <v>0</v>
      </c>
      <c r="X320" s="67">
        <v>0</v>
      </c>
      <c r="Y320" s="163">
        <v>0</v>
      </c>
      <c r="Z320" s="166">
        <v>0</v>
      </c>
      <c r="AA320" s="34" t="s">
        <v>644</v>
      </c>
      <c r="AB320" s="23"/>
      <c r="AC320" s="28"/>
      <c r="AD320" s="23"/>
      <c r="AE320" s="452"/>
      <c r="AF320" s="23"/>
      <c r="AG320" s="23"/>
      <c r="AH320" s="23"/>
      <c r="AI320" s="23"/>
      <c r="AJ320" s="23"/>
      <c r="AK320" s="23"/>
    </row>
    <row r="321" spans="1:37" s="29" customFormat="1">
      <c r="A321" s="64" t="s">
        <v>1666</v>
      </c>
      <c r="B321" s="812" t="s">
        <v>1717</v>
      </c>
      <c r="C321" s="543" t="s">
        <v>1719</v>
      </c>
      <c r="D321" s="134">
        <v>14</v>
      </c>
      <c r="E321" s="67">
        <v>1712</v>
      </c>
      <c r="F321" s="146">
        <v>0</v>
      </c>
      <c r="G321" s="146">
        <v>0</v>
      </c>
      <c r="H321" s="91">
        <v>1712</v>
      </c>
      <c r="I321" s="67">
        <v>0</v>
      </c>
      <c r="J321" s="739">
        <v>1712</v>
      </c>
      <c r="K321" s="837" t="s">
        <v>644</v>
      </c>
      <c r="L321" s="740">
        <v>1712</v>
      </c>
      <c r="M321" s="741">
        <v>0</v>
      </c>
      <c r="N321" s="67">
        <v>0</v>
      </c>
      <c r="O321" s="67">
        <v>0</v>
      </c>
      <c r="P321" s="674"/>
      <c r="Q321" s="674">
        <v>0</v>
      </c>
      <c r="R321" s="674" t="s">
        <v>1730</v>
      </c>
      <c r="S321" s="798" t="s">
        <v>801</v>
      </c>
      <c r="T321" s="798">
        <v>0</v>
      </c>
      <c r="U321" s="88">
        <v>0</v>
      </c>
      <c r="V321" s="71">
        <v>0</v>
      </c>
      <c r="W321" s="449">
        <v>0</v>
      </c>
      <c r="X321" s="67">
        <v>0</v>
      </c>
      <c r="Y321" s="163">
        <v>0</v>
      </c>
      <c r="Z321" s="166">
        <v>0</v>
      </c>
      <c r="AA321" s="34" t="s">
        <v>644</v>
      </c>
      <c r="AB321" s="23"/>
      <c r="AC321" s="28"/>
      <c r="AD321" s="23"/>
      <c r="AE321" s="452"/>
      <c r="AF321" s="23"/>
      <c r="AG321" s="23"/>
      <c r="AH321" s="23"/>
      <c r="AI321" s="23"/>
      <c r="AJ321" s="23"/>
      <c r="AK321" s="23"/>
    </row>
    <row r="322" spans="1:37" s="29" customFormat="1">
      <c r="A322" s="23"/>
      <c r="B322" s="23"/>
      <c r="C322" s="23" t="s">
        <v>1667</v>
      </c>
      <c r="D322" s="134">
        <v>130632.68857142862</v>
      </c>
      <c r="E322" s="134">
        <v>15975125</v>
      </c>
      <c r="F322" s="134">
        <v>0</v>
      </c>
      <c r="G322" s="134">
        <v>0</v>
      </c>
      <c r="H322" s="134">
        <v>15975125</v>
      </c>
      <c r="I322" s="134">
        <v>0</v>
      </c>
      <c r="J322" s="134">
        <v>15975125</v>
      </c>
      <c r="K322" s="134">
        <v>0</v>
      </c>
      <c r="L322" s="134">
        <v>210196</v>
      </c>
      <c r="M322" s="134">
        <v>128913.84571428572</v>
      </c>
      <c r="N322" s="134">
        <v>210194</v>
      </c>
      <c r="O322" s="134">
        <v>15975121</v>
      </c>
      <c r="P322" s="134">
        <v>0.89600000000000002</v>
      </c>
      <c r="Q322" s="134">
        <v>-50</v>
      </c>
      <c r="R322" s="134"/>
      <c r="S322" s="134"/>
      <c r="T322" s="134"/>
      <c r="U322" s="134">
        <v>15975121</v>
      </c>
      <c r="V322" s="134">
        <v>19331.647839976118</v>
      </c>
      <c r="W322" s="134">
        <v>15843910</v>
      </c>
      <c r="X322" s="134">
        <v>15343280</v>
      </c>
      <c r="Y322" s="134">
        <v>631841</v>
      </c>
      <c r="Z322" s="134">
        <v>8.6787533914442108</v>
      </c>
      <c r="AB322" s="23"/>
      <c r="AC322" s="28"/>
      <c r="AD322" s="23"/>
      <c r="AE322" s="23"/>
      <c r="AF322" s="23"/>
      <c r="AG322" s="23"/>
      <c r="AH322" s="23"/>
      <c r="AI322" s="23"/>
      <c r="AJ322" s="23"/>
      <c r="AK322" s="23"/>
    </row>
  </sheetData>
  <autoFilter ref="A8:AK322" xr:uid="{00000000-0009-0000-0000-000007000000}"/>
  <mergeCells count="4">
    <mergeCell ref="E2:H2"/>
    <mergeCell ref="I2:J2"/>
    <mergeCell ref="K2:O2"/>
    <mergeCell ref="R2:T2"/>
  </mergeCells>
  <conditionalFormatting sqref="L9:L321">
    <cfRule type="expression" dxfId="63" priority="20">
      <formula>AND($L9&gt;0,$K9="Yes")</formula>
    </cfRule>
  </conditionalFormatting>
  <conditionalFormatting sqref="C320:C321 C9:C309">
    <cfRule type="expression" dxfId="62" priority="19">
      <formula>AND($O9&lt;10000,$O9&gt;0,$K9="Y")</formula>
    </cfRule>
  </conditionalFormatting>
  <conditionalFormatting sqref="C310:C319">
    <cfRule type="expression" dxfId="61" priority="18">
      <formula>AND($O310&lt;10000,$O310&gt;0,$K310="Y")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39</vt:i4>
      </vt:variant>
    </vt:vector>
  </HeadingPairs>
  <TitlesOfParts>
    <vt:vector size="98" baseType="lpstr">
      <vt:lpstr>comparison from previous</vt:lpstr>
      <vt:lpstr>districts not meeting min</vt:lpstr>
      <vt:lpstr>District</vt:lpstr>
      <vt:lpstr>Allocation 2022-23</vt:lpstr>
      <vt:lpstr>Assumptions</vt:lpstr>
      <vt:lpstr>ccddd 1 col</vt:lpstr>
      <vt:lpstr>Allocation 2021-22</vt:lpstr>
      <vt:lpstr>Allocation 2020-21</vt:lpstr>
      <vt:lpstr>Allocation 2019-20</vt:lpstr>
      <vt:lpstr>Allocation 2018-19</vt:lpstr>
      <vt:lpstr>Allocation 2017-18</vt:lpstr>
      <vt:lpstr>Allocation 2016-17</vt:lpstr>
      <vt:lpstr>Allocation 2015-16</vt:lpstr>
      <vt:lpstr>Allocation 2014-15</vt:lpstr>
      <vt:lpstr>Allocation 2013-14</vt:lpstr>
      <vt:lpstr>Allocation 2012-13</vt:lpstr>
      <vt:lpstr>Allocation 2011-12</vt:lpstr>
      <vt:lpstr>Late Change 2012</vt:lpstr>
      <vt:lpstr>Allocation 2011-12 Revised</vt:lpstr>
      <vt:lpstr>Allocation 2010-11</vt:lpstr>
      <vt:lpstr>iGRANTS</vt:lpstr>
      <vt:lpstr>Allocation 2009-10</vt:lpstr>
      <vt:lpstr>Allocation 2008-09</vt:lpstr>
      <vt:lpstr>Comparison</vt:lpstr>
      <vt:lpstr>Participation 2013-14</vt:lpstr>
      <vt:lpstr>Title III 15-16</vt:lpstr>
      <vt:lpstr>Title III 2013-14</vt:lpstr>
      <vt:lpstr>Title III 2012-13</vt:lpstr>
      <vt:lpstr>Title III</vt:lpstr>
      <vt:lpstr>data</vt:lpstr>
      <vt:lpstr>Enrollment_old</vt:lpstr>
      <vt:lpstr>Enrollment 22-23</vt:lpstr>
      <vt:lpstr>Enrollment</vt:lpstr>
      <vt:lpstr>Native American</vt:lpstr>
      <vt:lpstr>Native American 050714</vt:lpstr>
      <vt:lpstr>Native American Enroll 060413</vt:lpstr>
      <vt:lpstr>Native American Enroll 040213</vt:lpstr>
      <vt:lpstr>Biling Enroll 050714</vt:lpstr>
      <vt:lpstr>Biling Enroll 080613</vt:lpstr>
      <vt:lpstr>Biling Enroll 032813</vt:lpstr>
      <vt:lpstr>Helen Enrollment 050312</vt:lpstr>
      <vt:lpstr>Helen Enrollment 1112</vt:lpstr>
      <vt:lpstr>Helen Enroll 1011</vt:lpstr>
      <vt:lpstr>Helen Enroll w NatAmer</vt:lpstr>
      <vt:lpstr>Helen Enrollment Jul09</vt:lpstr>
      <vt:lpstr>Enroll Est from Helen</vt:lpstr>
      <vt:lpstr>Native Amer Enroll</vt:lpstr>
      <vt:lpstr>Participation info Aug 11</vt:lpstr>
      <vt:lpstr>2011_05_20</vt:lpstr>
      <vt:lpstr>TBIP Enroll</vt:lpstr>
      <vt:lpstr>Participation 0809</vt:lpstr>
      <vt:lpstr>Grants 0910</vt:lpstr>
      <vt:lpstr>Final 09 Immigrant Districts</vt:lpstr>
      <vt:lpstr>Grants 0809</vt:lpstr>
      <vt:lpstr>Grants Estimate 0809</vt:lpstr>
      <vt:lpstr>EI Competitive</vt:lpstr>
      <vt:lpstr>Allocation 2007-08</vt:lpstr>
      <vt:lpstr>Allocation 2006-07</vt:lpstr>
      <vt:lpstr>data 2</vt:lpstr>
      <vt:lpstr>CCDDD_DATA</vt:lpstr>
      <vt:lpstr>esd</vt:lpstr>
      <vt:lpstr>'Allocation 2006-07'!Print_Area</vt:lpstr>
      <vt:lpstr>'Allocation 2007-08'!Print_Area</vt:lpstr>
      <vt:lpstr>'Allocation 2008-09'!Print_Area</vt:lpstr>
      <vt:lpstr>'Allocation 2009-10'!Print_Area</vt:lpstr>
      <vt:lpstr>'Allocation 2010-11'!Print_Area</vt:lpstr>
      <vt:lpstr>'Allocation 2011-12'!Print_Area</vt:lpstr>
      <vt:lpstr>'Allocation 2011-12 Revised'!Print_Area</vt:lpstr>
      <vt:lpstr>'Allocation 2012-13'!Print_Area</vt:lpstr>
      <vt:lpstr>'Allocation 2014-15'!Print_Area</vt:lpstr>
      <vt:lpstr>Assumptions!Print_Area</vt:lpstr>
      <vt:lpstr>'Biling Enroll 080613'!Print_Area</vt:lpstr>
      <vt:lpstr>data!Print_Area</vt:lpstr>
      <vt:lpstr>Enrollment_old!Print_Area</vt:lpstr>
      <vt:lpstr>'Helen Enroll 1011'!Print_Area</vt:lpstr>
      <vt:lpstr>'Helen Enrollment 050312'!Print_Area</vt:lpstr>
      <vt:lpstr>'Helen Enrollment Jul09'!Print_Area</vt:lpstr>
      <vt:lpstr>'Allocation 2006-07'!Print_Titles</vt:lpstr>
      <vt:lpstr>'Allocation 2007-08'!Print_Titles</vt:lpstr>
      <vt:lpstr>'Allocation 2008-09'!Print_Titles</vt:lpstr>
      <vt:lpstr>'Allocation 2009-10'!Print_Titles</vt:lpstr>
      <vt:lpstr>'Allocation 2010-11'!Print_Titles</vt:lpstr>
      <vt:lpstr>'Allocation 2011-12'!Print_Titles</vt:lpstr>
      <vt:lpstr>'Allocation 2011-12 Revised'!Print_Titles</vt:lpstr>
      <vt:lpstr>'Allocation 2012-13'!Print_Titles</vt:lpstr>
      <vt:lpstr>'Allocation 2014-15'!Print_Titles</vt:lpstr>
      <vt:lpstr>'Biling Enroll 080613'!Print_Titles</vt:lpstr>
      <vt:lpstr>Comparison!Print_Titles</vt:lpstr>
      <vt:lpstr>'comparison from previous'!Print_Titles</vt:lpstr>
      <vt:lpstr>Enrollment_old!Print_Titles</vt:lpstr>
      <vt:lpstr>'Helen Enroll 1011'!Print_Titles</vt:lpstr>
      <vt:lpstr>'Helen Enrollment 050312'!Print_Titles</vt:lpstr>
      <vt:lpstr>'Helen Enrollment Jul09'!Print_Titles</vt:lpstr>
      <vt:lpstr>iGRANTS!Print_Titles</vt:lpstr>
      <vt:lpstr>'Biling Enroll 080613'!Print_Titles_MI</vt:lpstr>
      <vt:lpstr>'Helen Enroll 1011'!Print_Titles_MI</vt:lpstr>
      <vt:lpstr>'Helen Enrollment 050312'!Print_Titles_MI</vt:lpstr>
      <vt:lpstr>'Helen Enrollment Jul09'!Print_Titles_MI</vt:lpstr>
    </vt:vector>
  </TitlesOfParts>
  <Company>OSPI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Calvin W. Brodie</dc:creator>
  <cp:lastModifiedBy>Gideon Belmaker</cp:lastModifiedBy>
  <cp:lastPrinted>2018-05-07T16:00:02Z</cp:lastPrinted>
  <dcterms:created xsi:type="dcterms:W3CDTF">2002-02-08T17:38:43Z</dcterms:created>
  <dcterms:modified xsi:type="dcterms:W3CDTF">2022-08-09T17:15:44Z</dcterms:modified>
</cp:coreProperties>
</file>